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ll RO BQ" sheetId="1" r:id="rId5"/>
    <sheet state="hidden" name="All BR BQ" sheetId="2" r:id="rId6"/>
    <sheet state="hidden" name="All JA BQ" sheetId="3" r:id="rId7"/>
    <sheet state="hidden" name="Filter RO Approve SPV Normal" sheetId="4" r:id="rId8"/>
    <sheet state="hidden" name="Filter RO Approve MGR Urgent" sheetId="5" r:id="rId9"/>
    <sheet state="hidden" name="Summary RO Full Approved" sheetId="6" r:id="rId10"/>
    <sheet state="hidden" name="Filter BR Approve SPV Normal" sheetId="7" r:id="rId11"/>
    <sheet state="hidden" name="Summary BR Full Approved" sheetId="8" r:id="rId12"/>
    <sheet state="hidden" name="Filter BR Approve MGR Urgent" sheetId="9" r:id="rId13"/>
    <sheet state="hidden" name="Filter JA Approve SPV Normal" sheetId="10" r:id="rId14"/>
    <sheet state="hidden" name="Filter JA Approve MGR Urgent" sheetId="11" r:id="rId15"/>
    <sheet state="hidden" name="Summary JA Full Approved" sheetId="12" r:id="rId16"/>
    <sheet state="visible" name="BQ Summary Full Approved" sheetId="13" r:id="rId17"/>
    <sheet state="hidden" name="Diskusi" sheetId="14" r:id="rId18"/>
  </sheets>
  <definedNames>
    <definedName hidden="1" localSheetId="12" name="_xlnm._FilterDatabase">'BQ Summary Full Approved'!$A$1:$N$1408</definedName>
  </definedNames>
  <calcPr/>
</workbook>
</file>

<file path=xl/sharedStrings.xml><?xml version="1.0" encoding="utf-8"?>
<sst xmlns="http://schemas.openxmlformats.org/spreadsheetml/2006/main" count="2980" uniqueCount="59">
  <si>
    <t>Timestamp</t>
  </si>
  <si>
    <t>Nomor Registrasi</t>
  </si>
  <si>
    <t>Purpose</t>
  </si>
  <si>
    <t>No Ejo</t>
  </si>
  <si>
    <t>Mesin/Area</t>
  </si>
  <si>
    <t>Deskripsi Item</t>
  </si>
  <si>
    <t>Qty</t>
  </si>
  <si>
    <t>UoM</t>
  </si>
  <si>
    <t>Note</t>
  </si>
  <si>
    <t>Item Code</t>
  </si>
  <si>
    <t>Status Approval SPV</t>
  </si>
  <si>
    <t>Kategori</t>
  </si>
  <si>
    <t>Status Urgent</t>
  </si>
  <si>
    <t>Spesifikasi (Termasuk tipe)</t>
  </si>
  <si>
    <t>Deskripsi Pekerjaan</t>
  </si>
  <si>
    <t>Merk</t>
  </si>
  <si>
    <t>Referensi/Penawaran</t>
  </si>
  <si>
    <t>No BQ</t>
  </si>
  <si>
    <t>Tanggal Request</t>
  </si>
  <si>
    <t>Tanggal Approved</t>
  </si>
  <si>
    <t>No EJO</t>
  </si>
  <si>
    <t>Deskripsi</t>
  </si>
  <si>
    <t>Nomor Registrasi BQ</t>
  </si>
  <si>
    <t>NO BQ</t>
  </si>
  <si>
    <t>Status BQ</t>
  </si>
  <si>
    <t>No PR</t>
  </si>
  <si>
    <t>No PO</t>
  </si>
  <si>
    <t>SFH</t>
  </si>
  <si>
    <t>Utility</t>
  </si>
  <si>
    <t>ROS</t>
  </si>
  <si>
    <t>Maintenance</t>
  </si>
  <si>
    <t>MOB</t>
  </si>
  <si>
    <t>RIA</t>
  </si>
  <si>
    <t>PR Open</t>
  </si>
  <si>
    <t>Approval Item Code</t>
  </si>
  <si>
    <t>-</t>
  </si>
  <si>
    <t>Mencari Penawaran</t>
  </si>
  <si>
    <t>PO Open</t>
  </si>
  <si>
    <t>Proses PR</t>
  </si>
  <si>
    <t>Deliver</t>
  </si>
  <si>
    <t>Perbaikan Pakai PP</t>
  </si>
  <si>
    <t>Approval PR</t>
  </si>
  <si>
    <t>Total</t>
  </si>
  <si>
    <t>BQ Masuk</t>
  </si>
  <si>
    <t>Pembuatan PR</t>
  </si>
  <si>
    <t>Registrasi Sign Item</t>
  </si>
  <si>
    <t>Sign Item Approved</t>
  </si>
  <si>
    <t>AAA</t>
  </si>
  <si>
    <t>MRN</t>
  </si>
  <si>
    <t>ANO</t>
  </si>
  <si>
    <t>NDS</t>
  </si>
  <si>
    <t>INN</t>
  </si>
  <si>
    <t>SHF</t>
  </si>
  <si>
    <t>MFH</t>
  </si>
  <si>
    <t>ESS</t>
  </si>
  <si>
    <t>BDU</t>
  </si>
  <si>
    <t>KFF</t>
  </si>
  <si>
    <t>ERA</t>
  </si>
  <si>
    <t>WAP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</si>
</sst>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dd&quot;, &quot;dd&quot; &quot;mmmm&quot; &quot;yyyy&quot;, &quot;hh&quot;.&quot;mm&quot;.&quot;ss"/>
    <numFmt numFmtId="165" formatCode="dd/MM/yyyy H:mm:ss"/>
  </numFmts>
  <fonts count="7">
    <font>
      <sz val="10.0"/>
      <color rgb="FF000000"/>
      <name val="Arial"/>
      <scheme val="minor"/>
    </font>
    <font>
      <b/>
      <color theme="1"/>
      <name val="Arial"/>
      <scheme val="minor"/>
    </font>
    <font>
      <color theme="1"/>
      <name val="Arial"/>
      <scheme val="minor"/>
    </font>
    <font>
      <u/>
      <color rgb="FF0000FF"/>
    </font>
    <font>
      <u/>
      <color rgb="FF0000FF"/>
    </font>
    <font>
      <b/>
      <sz val="10.0"/>
      <color theme="1"/>
      <name val="Arial"/>
      <scheme val="minor"/>
    </font>
    <font>
      <sz val="10.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2" numFmtId="0" xfId="0" applyFont="1"/>
    <xf borderId="0" fillId="0" fontId="2" numFmtId="164" xfId="0" applyFont="1" applyNumberFormat="1"/>
    <xf borderId="0" fillId="0" fontId="3" numFmtId="0" xfId="0" applyFont="1"/>
    <xf borderId="0" fillId="0" fontId="2" numFmtId="0" xfId="0" applyAlignment="1" applyFont="1">
      <alignment readingOrder="0"/>
    </xf>
    <xf borderId="0" fillId="0" fontId="2" numFmtId="164" xfId="0" applyFont="1" applyNumberFormat="1"/>
    <xf borderId="0" fillId="0" fontId="4" numFmtId="0" xfId="0" applyAlignment="1" applyFont="1">
      <alignment readingOrder="0"/>
    </xf>
    <xf borderId="0" fillId="0" fontId="2" numFmtId="164" xfId="0" applyAlignment="1" applyFont="1" applyNumberFormat="1">
      <alignment readingOrder="0"/>
    </xf>
    <xf borderId="0" fillId="0" fontId="2" numFmtId="165" xfId="0" applyFont="1" applyNumberFormat="1"/>
    <xf borderId="1" fillId="0" fontId="5" numFmtId="0" xfId="0" applyAlignment="1" applyBorder="1" applyFont="1">
      <alignment horizontal="center" readingOrder="0"/>
    </xf>
    <xf borderId="1" fillId="0" fontId="5" numFmtId="0" xfId="0" applyAlignment="1" applyBorder="1" applyFont="1">
      <alignment horizontal="center"/>
    </xf>
    <xf borderId="1" fillId="0" fontId="5" numFmtId="164" xfId="0" applyAlignment="1" applyBorder="1" applyFont="1" applyNumberFormat="1">
      <alignment horizontal="center"/>
    </xf>
    <xf borderId="1" fillId="0" fontId="1" numFmtId="0" xfId="0" applyAlignment="1" applyBorder="1" applyFont="1">
      <alignment horizontal="center"/>
    </xf>
    <xf borderId="1" fillId="0" fontId="6" numFmtId="0" xfId="0" applyBorder="1" applyFont="1"/>
    <xf borderId="1" fillId="0" fontId="6" numFmtId="164" xfId="0" applyBorder="1" applyFont="1" applyNumberFormat="1"/>
    <xf borderId="1" fillId="0" fontId="6" numFmtId="164" xfId="0" applyBorder="1" applyFont="1" applyNumberFormat="1"/>
    <xf borderId="1" fillId="0" fontId="2" numFmtId="0" xfId="0" applyBorder="1" applyFont="1"/>
    <xf borderId="1" fillId="0" fontId="2" numFmtId="9" xfId="0" applyBorder="1" applyFont="1" applyNumberFormat="1"/>
    <xf borderId="0" fillId="0" fontId="2" numFmtId="9" xfId="0" applyFont="1" applyNumberFormat="1"/>
    <xf borderId="1" fillId="0" fontId="6"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file/d/1HvzfTC4qFTLU-v_oKvx0ME7360_1ThHh/view?usp=drive_link" TargetMode="External"/><Relationship Id="rId194" Type="http://schemas.openxmlformats.org/officeDocument/2006/relationships/hyperlink" Target="https://www.tokopedia.com/dw-store/digital-motor-speed-controller-dimmer-lampu-suhu-heater-ac-220v-4000w?extParam=ivf%3Dfalse%26keyword%3Ddimmer+ac+220v%26search_id%3D2025060718012963923F49E524131AAFM0%26src%3Dsearch&amp;t_id=1749319320813&amp;t_st=8&amp;t_pp=search_result&amp;t_efo=search_pure_goods_card&amp;t_ef=goods_search&amp;t_sm=&amp;t_spt=search_result" TargetMode="External"/><Relationship Id="rId193" Type="http://schemas.openxmlformats.org/officeDocument/2006/relationships/hyperlink" Target="https://drive.google.com/file/d/1m9WH1JTnYit8zQ7OCd7__4f-JdGKklLk/view?usp=drive_link" TargetMode="External"/><Relationship Id="rId192" Type="http://schemas.openxmlformats.org/officeDocument/2006/relationships/hyperlink" Target="https://tk.tokopedia.com/ZSkrBgafC/" TargetMode="External"/><Relationship Id="rId191" Type="http://schemas.openxmlformats.org/officeDocument/2006/relationships/hyperlink" Target="https://drive.google.com/file/d/16NwXgqI1VK6m8g-HqsBf6riXewdw3PWP/view?usp=drive_link" TargetMode="External"/><Relationship Id="rId187" Type="http://schemas.openxmlformats.org/officeDocument/2006/relationships/hyperlink" Target="https://www.tokopedia.com/3m/3m-6006-multi-acid-gas-organic-vapor-cartridge-1-bag-isi-2-pcs-1731256986403374100?extParam=ivf%3Dfalse%26keyword%3D3m+6006%26search_id%3D2025052314224576F53CB73EA595211H8E%26src%3Dsearch" TargetMode="External"/><Relationship Id="rId186" Type="http://schemas.openxmlformats.org/officeDocument/2006/relationships/hyperlink" Target="https://www.tokopedia.com/anandito1207/3m-partikel-filter-5n11?extParam=ivf%3Dfalse%26keyword%3Dfilter+5n11+3m%26search_id%3D20250523141807D3AA820E99B7C7102QRC%26src%3Dsearch&amp;t_id=1748009589076&amp;t_st=2&amp;t_pp=search_result&amp;t_efo=search_pure_goods_card&amp;t_ef=goods_search&amp;t_sm=&amp;t_spt=search_result" TargetMode="External"/><Relationship Id="rId185" Type="http://schemas.openxmlformats.org/officeDocument/2006/relationships/hyperlink" Target="https://www.tokopedia.com/verticalstore/filter-cover-masker-5n11-filter-cover-3m-501?extParam=ivf%3Dfalse%26keyword%3Dfilter+cover+masker+%2F+5n11+filter+cover+3m+501%26search_id%3D20250523141235D198A66FA6C3F7184N2Y%26src%3Dsearch&amp;t_id=1748009589076&amp;t_st=1&amp;t_pp=search_result&amp;t_efo=search_pure_goods_card&amp;t_ef=goods_search&amp;t_sm=&amp;t_spt=search_result" TargetMode="External"/><Relationship Id="rId184" Type="http://schemas.openxmlformats.org/officeDocument/2006/relationships/hyperlink" Target="https://www.tokopedia.com/snapshot_product?dtl_id=4553598138&amp;order_id=2113893208" TargetMode="External"/><Relationship Id="rId189" Type="http://schemas.openxmlformats.org/officeDocument/2006/relationships/hyperlink" Target="https://www.google.com/search?q=+GST1813S+20+A&amp;sca_esv=55be52598c2605ca&amp;rlz=1C1GCEA_enID973ID973&amp;udm=2&amp;biw=1093&amp;bih=497&amp;ei=EJExaJWZB7Ov4-EPisWviA0&amp;ved=0ahUKEwiV4fCd5buNAxWz1zgGHYriC9EQ4dUDCBE&amp;uact=5&amp;oq=+GST1813S+20+A&amp;gs_lp=EgNpbWciDiBHU1QxODEzUyAyMCBBSJwQULAFWN4HcAF4AJABAJgBeKAB3AGqAQMyLjG4AQPIAQD4AQGYAgCgAgCYAwCIBgGSBwCgB4cBsgcAuAcA&amp;sclient=img" TargetMode="External"/><Relationship Id="rId188" Type="http://schemas.openxmlformats.org/officeDocument/2006/relationships/hyperlink" Target="https://www.tokopedia.com/h2k/masker-3m-full-facepiece-reusable-masker-respirator-6800-6800-m?extParam=ivf%3Dfalse%26keyword%3Dmasker+3m+6800+full+respirator%26search_id%3D202505231435147BF68B8DB2D5560D62H0%26src%3Dsearch" TargetMode="External"/><Relationship Id="rId183" Type="http://schemas.openxmlformats.org/officeDocument/2006/relationships/hyperlink" Target="https://drive.google.com/file/d/1kGDj03EvrPoekh4YS-Tsi0eLllX8GG8U/view?usp=drive_link" TargetMode="External"/><Relationship Id="rId182" Type="http://schemas.openxmlformats.org/officeDocument/2006/relationships/hyperlink" Target="https://www.tokopedia.com/magnaautomation/counter-timer-digital-autonics-ct6s-1p4-220vac?extParam=ivf%3Dfalse%26keyword%3Dcounter+autonics&amp;src=topads" TargetMode="External"/><Relationship Id="rId181" Type="http://schemas.openxmlformats.org/officeDocument/2006/relationships/hyperlink" Target="https://www.tokopedia.com/discovery/rekomendasi?recomProdId=614235611&amp;utm_source=google&amp;utm_medium=cpc&amp;utm_campaign=0000-0000-gg-pmax-bend-voo-tcpa-act-ord-pg-id51pgce51-0000-alon-gshp&amp;utm_term=614235611&amp;ref=googleshopping&amp;c=21543673600&amp;m=282743202&amp;gclsrc=aw.ds&amp;gad_source=1" TargetMode="External"/><Relationship Id="rId180" Type="http://schemas.openxmlformats.org/officeDocument/2006/relationships/hyperlink" Target="https://tk.tokopedia.com/ZSh5hft6E/" TargetMode="External"/><Relationship Id="rId176" Type="http://schemas.openxmlformats.org/officeDocument/2006/relationships/hyperlink" Target="https://www.monotaro.id/items/s013203092.html?utm_source=google&amp;utm_medium=pla&amp;utm_campaign=1672206402&amp;utm_content=88187085595&amp;utm_term=readystock_cat_group_2_pricebrand_group_1&amp;gad_source=1&amp;gad_campaignid=1672206402&amp;gbraid=0AAAAADJU9-_4YL-FoRX2sApOYXQXIHx7a&amp;gclid=CjwKCAjw24vBBhABEiwANFG7yybbRo4EY7tu_6HvQh2h44P-Il_1II5cUSUppR6YIAXTRCeu9qZiQhoC3g4QAvD_BwE" TargetMode="External"/><Relationship Id="rId297" Type="http://schemas.openxmlformats.org/officeDocument/2006/relationships/hyperlink" Target="https://www.tokopedia.com/lusindojaya/filter-kipas-panel-uk-148-x-148-mm-untuk-kipas-12-x-12-cm?extParam=ivf%3Dfalse%26keyword%3Dfilter+panel+12+x+12+%26search_id%3D2025071120431211B9842E0A271F155LNX%26src%3Dsearch&amp;t_id=1752266597747&amp;t_st=1&amp;t_pp=search_result&amp;t_efo=search_pure_goods_card&amp;t_ef=goods_search&amp;t_sm=&amp;t_spt=search_result" TargetMode="External"/><Relationship Id="rId175" Type="http://schemas.openxmlformats.org/officeDocument/2006/relationships/hyperlink" Target="https://www.monotaro.id/items/s013197759.html?utm_source=google&amp;utm_medium=pla&amp;utm_campaign=1672206402&amp;utm_content=88187085595&amp;utm_term=readystock_cat_group_2_pricebrand_group_1&amp;gad_source=1&amp;gad_campaignid=1672206402&amp;gbraid=0AAAAADJU9-_4YL-FoRX2sApOYXQXIHx7a&amp;gclid=CjwKCAjw24vBBhABEiwANFG7yyMHCffHKkXN0NCT2ptIDKAgsaA9RhZxfpTwKt3Zib8l3aweHWGfbBoCARQQAvD_BwE" TargetMode="External"/><Relationship Id="rId296" Type="http://schemas.openxmlformats.org/officeDocument/2006/relationships/hyperlink" Target="https://www.tokopedia.com/kngw/pengaman-kipas-4-inch-fan-metal-guard-grill-blower-cover-axial-fan-1731317372489729877?extParam=ivf%3Dfalse%26keyword%3Dcover+axial+fan%26search_id%3D202507131006427F100B7B36092F26BKAK%26src%3Dsearch&amp;t_id=1752399739361&amp;t_st=24&amp;t_pp=search_result&amp;t_efo=search_pure_goods_card&amp;t_ef=goods_search&amp;t_sm=&amp;t_spt=search_result" TargetMode="External"/><Relationship Id="rId174" Type="http://schemas.openxmlformats.org/officeDocument/2006/relationships/hyperlink" Target="https://www.doorautomation24.com/sensors/sensors_control-units/aso-safety-elmon-relay-34-32-control-unit.html" TargetMode="External"/><Relationship Id="rId295" Type="http://schemas.openxmlformats.org/officeDocument/2006/relationships/hyperlink" Target="https://www.tokopedia.com/de-elektrik/axial-blower-fan-panel-box-4-inch-segi-kotak-120x120x38-220v-ac-sleeve-bearing-fort-xf1232ash-cooling-kipas?extParam=ivf%3Dfalse%26keyword%3Dfan+panel+220v+fort%26search_id%3D2025071120401326E359E83860DB012WY2%26src%3Dsearch&amp;t_id=1752266415298&amp;t_st=1&amp;t_pp=search_result&amp;t_efo=search_pure_goods_card&amp;t_ef=goods_search&amp;t_sm=&amp;t_spt=search_result" TargetMode="External"/><Relationship Id="rId173" Type="http://schemas.openxmlformats.org/officeDocument/2006/relationships/hyperlink" Target="https://www.tokopedia.com/harikokimia/paint-remover-penghilang-cat-mobil-perontok-cat-kemasan-20kg?utm_source=salinlink&amp;utm_medium=share&amp;utm_campaign=pdp-e8sc3ynissrh-15004203283-0" TargetMode="External"/><Relationship Id="rId294" Type="http://schemas.openxmlformats.org/officeDocument/2006/relationships/hyperlink" Target="https://www.tokopedia.com/mip77/garansi-ori-lrd06-lrd07-lrd08-lrd10-lrd12-lrd14-lrd16-lrd21-lrd22-lrd32-lrd35-thermal-overload-relay-schneider-lrd-06-lrd-07-lrd-08-lrd-10-lrd-12-lrd-14-lrd-16-lrd-21-lrd-22-lrd-32-lrd-35-tor-original-1731460891183712209?extParam=ivf%3Dfalse%26keyword%3Dlrd08%26search_id%3D202507131013505737C6EC2E071600FJN7%26src%3Dsearch&amp;t_id=1752399739361&amp;t_st=36&amp;t_pp=search_result&amp;t_efo=search_pure_goods_card&amp;t_ef=goods_search&amp;t_sm=&amp;t_spt=search_result" TargetMode="External"/><Relationship Id="rId179" Type="http://schemas.openxmlformats.org/officeDocument/2006/relationships/hyperlink" Target="https://drive.google.com/drive/folders/1j9UNRTv1p0bTJ6AYr7-b7ZBTqcrEgUTN" TargetMode="External"/><Relationship Id="rId178" Type="http://schemas.openxmlformats.org/officeDocument/2006/relationships/hyperlink" Target="https://www.tokopedia.com/latifshop/penutup-flexible-ducting-4-in-grill-bulat-pipa-exhaust-cerobong-ac?aff_unique_id=&amp;channel=others&amp;chain_key=" TargetMode="External"/><Relationship Id="rId299" Type="http://schemas.openxmlformats.org/officeDocument/2006/relationships/hyperlink" Target="https://www.tokopedia.com/toko-mik/terminal-blok-block-tbr-tbr-10-tbr-20-tbr-30-tbr-45-tbr-60-din-rail-end-plate-tbr20?extParam=ivf%3Dfalse%26keyword%3Dterminal+tbr20%26search_id%3D2025071120445994F6D7E04A4D4512ENQS%26src%3Dsearch&amp;t_id=1752266597747&amp;t_st=2&amp;t_pp=search_result&amp;t_efo=search_pure_goods_card&amp;t_ef=goods_search&amp;t_sm=&amp;t_spt=search_result" TargetMode="External"/><Relationship Id="rId177" Type="http://schemas.openxmlformats.org/officeDocument/2006/relationships/hyperlink" Target="https://www.tokopedia.com/cianjursanitary/flexible-ducting-4-in-5-meter-free-klem-2-pc-pipa-exhaust-aluminium-fleksibel-pembuangan-ventilasi-ac-cooker-hood-mesin-pengering-loundry-roasting-kopi?aff_unique_id=&amp;channel=others&amp;chain_key=" TargetMode="External"/><Relationship Id="rId298" Type="http://schemas.openxmlformats.org/officeDocument/2006/relationships/hyperlink" Target="https://www.tokopedia.com/toko-mik/terminal-blok-block-tbr-tbr-10-tbr-20-tbr-30-tbr-45-tbr-60-din-rail-terminal-tbr-20?extParam=ivf%3Dfalse%26keyword%3Dterminal+tbr20%26search_id%3D2025071120445994F6D7E04A4D4512ENQS%26src%3Dsearch&amp;t_id=1752266597747&amp;t_st=2&amp;t_pp=search_result&amp;t_efo=search_pure_goods_card&amp;t_ef=goods_search&amp;t_sm=&amp;t_spt=search_result" TargetMode="External"/><Relationship Id="rId198" Type="http://schemas.openxmlformats.org/officeDocument/2006/relationships/hyperlink" Target="https://id.shp.ee/R5ihhSf" TargetMode="External"/><Relationship Id="rId197" Type="http://schemas.openxmlformats.org/officeDocument/2006/relationships/hyperlink" Target="https://id.shp.ee/GekNx87" TargetMode="External"/><Relationship Id="rId196" Type="http://schemas.openxmlformats.org/officeDocument/2006/relationships/hyperlink" Target="https://shopee.co.id/product/587909295/22385719147?gads_t_sig=VTJGc2RHVmtYMTlxTFVSVVRrdENkWVp3RFo3Mkw5czd4Z0hzdEF1WVFibkZLSi9SWDlWYnpqdzJKdURPM1FwMFhJT1g5bVB1QUhURi9zVlc2N1FhUjc1Q1FjUWF0VEQ3RU1BdjRGcENJWSs4RE1nQzFRSVE0MWUzRXNmZC9iNlM" TargetMode="External"/><Relationship Id="rId195" Type="http://schemas.openxmlformats.org/officeDocument/2006/relationships/hyperlink" Target="https://www.tokopedia.com/toko-expert-komputer/cooler-master-thermal-paste-high-performance?extParam=ivf%3Dfalse%26keyword%3Dthermal+paste+tube&amp;src=topads&amp;t_id=1749374650747&amp;t_st=4&amp;t_pp=search_result&amp;t_efo=search_pure_goods_card&amp;t_ef=goods_search&amp;t_sm=&amp;t_spt=search_result" TargetMode="External"/><Relationship Id="rId199" Type="http://schemas.openxmlformats.org/officeDocument/2006/relationships/hyperlink" Target="https://drive.google.com/drive/folders/1e1hU1KNZhTLjnhqKwXRs5lc5JJguLcXg?usp=sharing" TargetMode="External"/><Relationship Id="rId150" Type="http://schemas.openxmlformats.org/officeDocument/2006/relationships/hyperlink" Target="https://drive.google.com/file/d/1pyoXgrmIyQzxMU7kl8iv74J_bwXThuF5/view?usp=drive_link" TargetMode="External"/><Relationship Id="rId271" Type="http://schemas.openxmlformats.org/officeDocument/2006/relationships/hyperlink" Target="https://tk.tokopedia.com/ZSAFBavJD/" TargetMode="External"/><Relationship Id="rId392" Type="http://schemas.openxmlformats.org/officeDocument/2006/relationships/hyperlink" Target="https://sanwaprefab.co.id/produk/?prod=material/?utm_source=SEM-EPS&amp;utm_medium=SEM-EPS&amp;utm_campaign=JSN&amp;utm_content=EPS&amp;gad_source=1&amp;gad_campaignid=1506480884&amp;gbraid=0AAAAAC9Hp19Ukzy0neExP6xydWUi7gqbe&amp;gclid=Cj0KCQjwovPGBhDxARIsAFhgkwSzJsqUyga0-ziHkm6iZcNCvClFQDnvo-w05Ng9xIlKHWMQgD4sRWMaArPyEALw_wcB" TargetMode="External"/><Relationship Id="rId270" Type="http://schemas.openxmlformats.org/officeDocument/2006/relationships/hyperlink" Target="https://cdn.trox.de/44f27a8a5d5b54ac/f10ec6203623/00275603_0.pdf" TargetMode="External"/><Relationship Id="rId391" Type="http://schemas.openxmlformats.org/officeDocument/2006/relationships/hyperlink" Target="https://www.tokopedia.com/andriyanliu/packing-gasket-ptfe-teflon-ansi-300-3-inchi-dn-80-8-lobang?aff_unique_id=&amp;channel=others&amp;chain_key=" TargetMode="External"/><Relationship Id="rId390" Type="http://schemas.openxmlformats.org/officeDocument/2006/relationships/hyperlink" Target="https://drive.google.com/file/d/1n0ES9dQQhP7dQRpPbnaiciy9eHvEvTOV/view?usp=drive_link" TargetMode="External"/><Relationship Id="rId1" Type="http://schemas.openxmlformats.org/officeDocument/2006/relationships/hyperlink" Target="https://www.tokopedia.com/pt-longtime/buckle-cb5-galvanized-steel-buckle-strapping-cordstrap-16mm-hook-tali" TargetMode="External"/><Relationship Id="rId2" Type="http://schemas.openxmlformats.org/officeDocument/2006/relationships/hyperlink" Target="https://www.tokopedia.com/afnteknik/tali-webbing-ratchet-tie-down-roll-ketebalan-4mm-pjang-50-m" TargetMode="External"/><Relationship Id="rId3" Type="http://schemas.openxmlformats.org/officeDocument/2006/relationships/hyperlink" Target="https://tokopedia.link/JiPCRMlMkQb" TargetMode="External"/><Relationship Id="rId149" Type="http://schemas.openxmlformats.org/officeDocument/2006/relationships/hyperlink" Target="https://www.tokopedia.com/jejakjajanan/y-strainer-1-2-inch-kitz-kuningan-asli-kitz-drat-class-150" TargetMode="External"/><Relationship Id="rId4" Type="http://schemas.openxmlformats.org/officeDocument/2006/relationships/hyperlink" Target="https://tokopedia.link/xwdeezvMkQb" TargetMode="External"/><Relationship Id="rId148" Type="http://schemas.openxmlformats.org/officeDocument/2006/relationships/hyperlink" Target="https://www.mkwheatingcontrols.co.uk/siemens-vxg443216c-32mm-kv16-p-2047.html" TargetMode="External"/><Relationship Id="rId269" Type="http://schemas.openxmlformats.org/officeDocument/2006/relationships/hyperlink" Target="https://cdn.trox.de/44f27a8a5d5b54ac/f10ec6203623/00275603_0.pdf" TargetMode="External"/><Relationship Id="rId9" Type="http://schemas.openxmlformats.org/officeDocument/2006/relationships/hyperlink" Target="https://www.monotaro.id/items/s044154165.html?utm_source=google&amp;utm_medium=pla&amp;utm_campaign=1672206402&amp;utm_content=88187085595&amp;utm_term=cpcless_500_more1min_more3_clicks_noclick_others&amp;gad_source=4&amp;gclid=Cj0KCQiAy8K8BhCZARIsAKJ8sfR3JheFG81w58bLuvHbdKIN7I_TZtvV_FDTPiTS5yfIPuawtYGj0wgaAsBLEALw_wcB" TargetMode="External"/><Relationship Id="rId143" Type="http://schemas.openxmlformats.org/officeDocument/2006/relationships/hyperlink" Target="https://www.tokopedia.com/kynetz/waterpass-bulat-bubble-level-spirit-level-waterpas-bundar-mini-besar-8x5-5mm-3bd18?extParam=ivf%3Dfalse%26keyword%3Dmini+waterpass%26search_id%3D20250414091505EFDC168E4C8F4903DCHF%26src%3Dsearch" TargetMode="External"/><Relationship Id="rId264" Type="http://schemas.openxmlformats.org/officeDocument/2006/relationships/hyperlink" Target="https://cdn.trox.de/44f27a8a5d5b54ac/f10ec6203623/00275603_0.pdf" TargetMode="External"/><Relationship Id="rId385" Type="http://schemas.openxmlformats.org/officeDocument/2006/relationships/hyperlink" Target="https://drive.google.com/file/d/1PUjl7MC8a1Fmfyb44giY1zy9_U5G5oLV/view?usp=drive_link" TargetMode="External"/><Relationship Id="rId142" Type="http://schemas.openxmlformats.org/officeDocument/2006/relationships/hyperlink" Target="https://drive.google.com/file/d/1zX71gXWLC2qaHB-gE-N3bKzJQi3egWDw/view?usp=drive_link" TargetMode="External"/><Relationship Id="rId263" Type="http://schemas.openxmlformats.org/officeDocument/2006/relationships/hyperlink" Target="https://jadistore.com/product/kabel-power-cable-power-kabel-power-cpu-kabel-komputer-kabel-pc/" TargetMode="External"/><Relationship Id="rId384" Type="http://schemas.openxmlformats.org/officeDocument/2006/relationships/hyperlink" Target="https://drive.google.com/file/d/1UK6XhCS3T0ni0bA983FEsNp6UNzYsakg/view?usp=drive_link" TargetMode="External"/><Relationship Id="rId141" Type="http://schemas.openxmlformats.org/officeDocument/2006/relationships/hyperlink" Target="https://drive.google.com/file/d/172a7DJgYoSW-72fqeCHtdOcBDU0paDra/view?usp=drive_link" TargetMode="External"/><Relationship Id="rId262" Type="http://schemas.openxmlformats.org/officeDocument/2006/relationships/hyperlink" Target="https://id.misumi-ec.com/vona2/detail/110300240310/?PNSearch=SUSLB&amp;HissuCode=SUSLB&amp;searchFlow=suggest2products&amp;Keyword=SUSLB&amp;list=SuggestPreview" TargetMode="External"/><Relationship Id="rId383" Type="http://schemas.openxmlformats.org/officeDocument/2006/relationships/hyperlink" Target="https://drive.google.com/file/d/1teGRF87qECP0pNjYmnr89ZiPCukgqTgZ/view?usp=drive_link" TargetMode="External"/><Relationship Id="rId140" Type="http://schemas.openxmlformats.org/officeDocument/2006/relationships/hyperlink" Target="https://drive.google.com/file/d/1kgbqBlC2uJ08Hd4uLrwk1ZDOLyU-aMya/view?usp=drive_link" TargetMode="External"/><Relationship Id="rId261" Type="http://schemas.openxmlformats.org/officeDocument/2006/relationships/hyperlink" Target="https://drive.google.com/file/d/1dW-1SnqQJWlXxzlM-twf9s_ijZTf0fyF/view?usp=drive_link" TargetMode="External"/><Relationship Id="rId382" Type="http://schemas.openxmlformats.org/officeDocument/2006/relationships/hyperlink" Target="https://drive.google.com/file/d/1UK6XhCS3T0ni0bA983FEsNp6UNzYsakg/view?usp=drive_link" TargetMode="External"/><Relationship Id="rId5" Type="http://schemas.openxmlformats.org/officeDocument/2006/relationships/hyperlink" Target="https://www.tokopedia.com/rajasambungan/sock-aw-1-5-inch-shock-tanpa-drat-fitting-pralon-soket-pvc-rucika?utm_source=google&amp;utm_medium=organic&amp;utm_campaign=pdp-seo" TargetMode="External"/><Relationship Id="rId147" Type="http://schemas.openxmlformats.org/officeDocument/2006/relationships/hyperlink" Target="https://www.tokopedia.com/controlsolution/push-button-tombol-angka-lift-barang-tanpa-led-angka-2?extParam=ivf%3Dfalse%26keyword%3Dtombol+lift%26search_id%3D20250416083225711196122719BC3364J0%26src%3Dsearch" TargetMode="External"/><Relationship Id="rId268" Type="http://schemas.openxmlformats.org/officeDocument/2006/relationships/hyperlink" Target="https://cdn.trox.de/44f27a8a5d5b54ac/f10ec6203623/00275603_0.pdf" TargetMode="External"/><Relationship Id="rId389" Type="http://schemas.openxmlformats.org/officeDocument/2006/relationships/hyperlink" Target="https://drive.google.com/file/d/1UK6XhCS3T0ni0bA983FEsNp6UNzYsakg/view?usp=drive_link" TargetMode="External"/><Relationship Id="rId6" Type="http://schemas.openxmlformats.org/officeDocument/2006/relationships/hyperlink" Target="https://www.tokopedia.com/rajasambungan/sock-aw-2-5-inch-shock-tanpa-drat-fitting-pralon-soket-pvc-rucika" TargetMode="External"/><Relationship Id="rId146" Type="http://schemas.openxmlformats.org/officeDocument/2006/relationships/hyperlink" Target="https://www.tokopedia.com/aaelec/pilot-lamp-led-22mm-ad22-22ds-ad2222ds-merah-hijau-kuning-fort?extParam=ivf%3Dfalse%26keyword%3Dpilot+lamp%26search_id%3D20250416082733D76E940B3684A30DBNOS%26src%3Dsearch" TargetMode="External"/><Relationship Id="rId267" Type="http://schemas.openxmlformats.org/officeDocument/2006/relationships/hyperlink" Target="https://cdn.trox.de/44f27a8a5d5b54ac/f10ec6203623/00275603_0.pdf" TargetMode="External"/><Relationship Id="rId388" Type="http://schemas.openxmlformats.org/officeDocument/2006/relationships/hyperlink" Target="https://www.tokopedia.com/gasket/gasket-asbestos-8-inch-x-tebal-3mm-ansi-150-full-face?extParam=ivf%3Dfalse%26keyword%3Dgasket+8+inch+lubang+8+tahan+panas%26search_id%3D2025093000011694F6D7E04A4D4526CFVQ%26src%3Dsearch&amp;t_id=1759190412244&amp;t_st=4&amp;t_pp=search_result&amp;t_efo=search_pure_goods_card&amp;t_ef=goods_search&amp;t_sm=&amp;t_spt=search_result" TargetMode="External"/><Relationship Id="rId7" Type="http://schemas.openxmlformats.org/officeDocument/2006/relationships/hyperlink" Target="https://www.tokopedia.com/m88-cibubur/tee-1-1-2-inch-rucika-d-1-5-1-5-pvc-sambungan-pipa" TargetMode="External"/><Relationship Id="rId145" Type="http://schemas.openxmlformats.org/officeDocument/2006/relationships/hyperlink" Target="https://hvac.de/en/obsolete-units/2786-sqs65.html" TargetMode="External"/><Relationship Id="rId266" Type="http://schemas.openxmlformats.org/officeDocument/2006/relationships/hyperlink" Target="https://cdn.trox.de/44f27a8a5d5b54ac/f10ec6203623/00275603_0.pdf" TargetMode="External"/><Relationship Id="rId387" Type="http://schemas.openxmlformats.org/officeDocument/2006/relationships/hyperlink" Target="https://www.tokopedia.com/plasmajaya/kabel-duct-oval-50x15-floor-duct-50x15-panjang-2-9mtr" TargetMode="External"/><Relationship Id="rId8" Type="http://schemas.openxmlformats.org/officeDocument/2006/relationships/hyperlink" Target="https://www.tokopedia.com/lajiah2/tee-pvc-d-2-5-inch-sambungan-fitting-pipa-pvc-t-2-5-inci-in-cabang-3?extParam=ivf%3Dfalse%26keyword%3Dpipa-2-5%26src%3Dsearch&amp;refined=true" TargetMode="External"/><Relationship Id="rId144" Type="http://schemas.openxmlformats.org/officeDocument/2006/relationships/hyperlink" Target="https://www.mkwheatingcontrols.co.uk/siemens-vxg443216c-32mm-kv16-p-2047.html" TargetMode="External"/><Relationship Id="rId265" Type="http://schemas.openxmlformats.org/officeDocument/2006/relationships/hyperlink" Target="https://cdn.trox.de/44f27a8a5d5b54ac/f10ec6203623/00275603_0.pdf" TargetMode="External"/><Relationship Id="rId386" Type="http://schemas.openxmlformats.org/officeDocument/2006/relationships/hyperlink" Target="https://drive.google.com/drive/folders/1exOFlBI3URcQBdkbZnyll88NOViU8cQz?usp=drive_link" TargetMode="External"/><Relationship Id="rId260" Type="http://schemas.openxmlformats.org/officeDocument/2006/relationships/hyperlink" Target="https://mayair.com.my/product/primary-filter-m-mnf/" TargetMode="External"/><Relationship Id="rId381" Type="http://schemas.openxmlformats.org/officeDocument/2006/relationships/hyperlink" Target="https://drive.google.com/file/d/1n0ES9dQQhP7dQRpPbnaiciy9eHvEvTOV/view?usp=drive_link" TargetMode="External"/><Relationship Id="rId380" Type="http://schemas.openxmlformats.org/officeDocument/2006/relationships/hyperlink" Target="https://drive.google.com/file/d/1UK6XhCS3T0ni0bA983FEsNp6UNzYsakg/view?usp=drive_link" TargetMode="External"/><Relationship Id="rId139" Type="http://schemas.openxmlformats.org/officeDocument/2006/relationships/hyperlink" Target="https://www.tokopedia.com/reaim-indonesia/reaim-tangga-lipat-aluminium-besi-6-8-step-holder-household-ladder-serbaguna-murah-besi-rak-kasar-dan-tahan-lama-untuk-keperluan-rumah-dan-industri-1730232197126588123?utm_source=salinlink&amp;utm_medium=share&amp;utm_campaign=pdp-uamli9ogqc6y-100023713036--10000" TargetMode="External"/><Relationship Id="rId138" Type="http://schemas.openxmlformats.org/officeDocument/2006/relationships/hyperlink" Target="https://drive.google.com/file/d/1h-xgAxAhBWxdF7CUqP9Kd2QIpSqOxRci/view?usp=sharing" TargetMode="External"/><Relationship Id="rId259" Type="http://schemas.openxmlformats.org/officeDocument/2006/relationships/hyperlink" Target="https://mayair.com.my/product/primary-filter-m-mnf/" TargetMode="External"/><Relationship Id="rId137" Type="http://schemas.openxmlformats.org/officeDocument/2006/relationships/hyperlink" Target="https://drive.google.com/file/d/1h-xgAxAhBWxdF7CUqP9Kd2QIpSqOxRci/view?usp=sharing" TargetMode="External"/><Relationship Id="rId258" Type="http://schemas.openxmlformats.org/officeDocument/2006/relationships/hyperlink" Target="https://mayair.com.my/product/primary-filter-m-mnf/" TargetMode="External"/><Relationship Id="rId379" Type="http://schemas.openxmlformats.org/officeDocument/2006/relationships/hyperlink" Target="https://drive.google.com/drive/folders/1lM1jIlINrMV-ErghdIiWY6QKmqOuUjKb?usp=drive_link" TargetMode="External"/><Relationship Id="rId132" Type="http://schemas.openxmlformats.org/officeDocument/2006/relationships/hyperlink" Target="https://drive.google.com/file/d/15wxOfezM1IIjxnSyYC0rywqKfxpYZIrg/view?usp=drive_link" TargetMode="External"/><Relationship Id="rId253" Type="http://schemas.openxmlformats.org/officeDocument/2006/relationships/hyperlink" Target="https://hvac.de/en/obsolete-units/3436-vvf3190.html" TargetMode="External"/><Relationship Id="rId374" Type="http://schemas.openxmlformats.org/officeDocument/2006/relationships/hyperlink" Target="https://shopee.co.id/product/50927448/6495933893?gads_t_sig=VTJGc2RHVmtYMTlxTFVSVVRrdENkVEg0SDd3VWo1MDQyT052d3EvY1B4YU1HNHRCNEZYci9ULzRiQ0VjaDFxNDZnRDg1UUxDdVNFUnRMTi9SK2wzdWpwTkt2QTdManY4aUhqSFhtdXRvRlpMcW5BMWtHdUE4OTVnbWdiOEU1cjY&amp;gad_source=1&amp;gad_campaignid=22178753687&amp;gbraid=0AAAAADPpU81DHEJJiFNDyHeTGbCYmzZOL&amp;gclid=Cj0KCQjwrc7GBhCfARIsAHGcW5UONdKWI540cdZi8VMsOJ8TTh3hv4e5Ixb5VsuFRLknKslk3ieZUqoaAt-BEALw_wcB" TargetMode="External"/><Relationship Id="rId495" Type="http://schemas.openxmlformats.org/officeDocument/2006/relationships/hyperlink" Target="https://shopee.co.id/TEKIRO-TANG-LANCIP-6-INCH-(N-R)-TANG-LANCIP-TOOLS-ALAT-PERKAKAS-KUNCI-ALAT-PERTUKANGAN-i.73061699.1237545117?xptdk=b0c511a1-1522-4987-b417-4f3bfbf6df49" TargetMode="External"/><Relationship Id="rId131" Type="http://schemas.openxmlformats.org/officeDocument/2006/relationships/hyperlink" Target="https://www.tokopedia.com/hasby-electrik/relay-omron-mks2p-soket-220-24-12-vdc-original-omron-12vdc-socket-b011d?extParam=ivf%3Dfalse%26keyword%3Domron+mks2p%26search_id%3D202503290853445470E0E48AAF541EBK14%26src%3Dsearch" TargetMode="External"/><Relationship Id="rId252" Type="http://schemas.openxmlformats.org/officeDocument/2006/relationships/hyperlink" Target="https://www.tokopedia.com/acesories038/electric-dropbolt-lock-kunci-pintu-door-access-5-kabel-delay" TargetMode="External"/><Relationship Id="rId373" Type="http://schemas.openxmlformats.org/officeDocument/2006/relationships/hyperlink" Target="https://www.tokopedia.com/besibetonjakarta/cnp-100-x-2-0mm-x-6m?extParam=ivf%3Dfalse%26keyword%3Dcnp+100%26search_id%3D2025071607431701386BD6D8E09119A2JT%26src%3Dsearch&amp;t_id=1752650910822&amp;t_st=2&amp;t_pp=search_result&amp;t_efo=search_pure_goods_card&amp;t_ef=goods_search&amp;t_sm=&amp;t_spt=search_result" TargetMode="External"/><Relationship Id="rId494" Type="http://schemas.openxmlformats.org/officeDocument/2006/relationships/hyperlink" Target="https://shopee.co.id/TEKIRO-TANG-KOMBINASI-7-INCH-(N-R)-TANG-KOMBINASI-TOOLS-ALAT-PERKAKAS-i.73061699.1237545170?xptdk=ea01e3bf-f478-4cfe-8ff7-2c5f9955ba2c" TargetMode="External"/><Relationship Id="rId130" Type="http://schemas.openxmlformats.org/officeDocument/2006/relationships/hyperlink" Target="https://www.tokopedia.com/huhu778/karet-seal-o-ring-1200pcs-hnbr-rubber-o-ring-seal-tightening-box-225pcs-83158?aff_unique_id=&amp;channel=others&amp;chain_key=" TargetMode="External"/><Relationship Id="rId251" Type="http://schemas.openxmlformats.org/officeDocument/2006/relationships/hyperlink" Target="https://www.lazada.co.id/products/slot-kunci-pintu-2-inch-grendel-slot-snless-kunci-pintu-5-cm-kunci-slot-cantol-50-mm-i6551580367.html" TargetMode="External"/><Relationship Id="rId372" Type="http://schemas.openxmlformats.org/officeDocument/2006/relationships/hyperlink" Target="https://drive.google.com/drive/folders/1HA_l4VE-c2stfmaiop6Kn9wux0GKEOZs?usp=drive_link" TargetMode="External"/><Relationship Id="rId493" Type="http://schemas.openxmlformats.org/officeDocument/2006/relationships/hyperlink" Target="https://shopee.co.id/TEKIRO-TANG-POTONG-6-INCH-(N-R)-TANG-POTONG-TOOLS-ALAT-PERKAKAS-i.73061699.6153970432?xptdk=73778dc6-c3b6-482f-8065-94da195c1548" TargetMode="External"/><Relationship Id="rId250" Type="http://schemas.openxmlformats.org/officeDocument/2006/relationships/hyperlink" Target="https://www.tokopedia.com/safetyfirstjkt/castong-heat-resistant-glove-aby-5t-sarung-tangan-tahan-panas-500-c-aby5t-34?extParam=ivf%3Dfalse%26keyword%3Dsarung+tangan+tahan+panas%26search_id%3D2025081416192611B9842E0A271F206M3E%26src%3Dsearch&amp;t_id=1755187951766&amp;t_st=6&amp;t_pp=search_result&amp;t_efo=search_pure_goods_card&amp;t_ef=goods_search&amp;t_sm=&amp;t_spt=search_result" TargetMode="External"/><Relationship Id="rId371" Type="http://schemas.openxmlformats.org/officeDocument/2006/relationships/hyperlink" Target="https://drive.google.com/drive/folders/1iyjSTsQwh1FJ4qLP2UdeqF5J6Vdjoqb-?usp=drive_link" TargetMode="External"/><Relationship Id="rId492" Type="http://schemas.openxmlformats.org/officeDocument/2006/relationships/hyperlink" Target="https://www.tokopedia.com/bilyskonc/terbaru-lampu-philips-ecotone-high-lumen-twister-45w-840-e27-220-240v?extParam=ivf%3Dfalse%26src%3Dsearch" TargetMode="External"/><Relationship Id="rId136" Type="http://schemas.openxmlformats.org/officeDocument/2006/relationships/hyperlink" Target="https://drive.google.com/file/d/1h-xgAxAhBWxdF7CUqP9Kd2QIpSqOxRci/view?usp=sharing" TargetMode="External"/><Relationship Id="rId257" Type="http://schemas.openxmlformats.org/officeDocument/2006/relationships/hyperlink" Target="https://mayair.com.my/product/primary-filter-m-mnf/" TargetMode="External"/><Relationship Id="rId378" Type="http://schemas.openxmlformats.org/officeDocument/2006/relationships/hyperlink" Target="https://drive.google.com/drive/folders/1e6mddq7TXm6CY_3MGDcm8Aud0IUoyIpB?usp=drive_link" TargetMode="External"/><Relationship Id="rId499" Type="http://schemas.openxmlformats.org/officeDocument/2006/relationships/hyperlink" Target="https://www.tokopedia.com/jfd-shop/magnaflux-spotcheck-skd-s2-developer-400ml-1731535556437902791?extParam=ivf%3Dfalse%26keyword%3Dmagnaflux+skd+s2%26search_id%3D202601101302440BB4AEC17105211487JJ%26src%3Dsearch&amp;t_id=1768049558738&amp;t_st=5&amp;t_pp=search_result&amp;t_efo=search_pure_goods_card&amp;t_ef=goods_search&amp;t_sm=&amp;t_spt=search_result" TargetMode="External"/><Relationship Id="rId135" Type="http://schemas.openxmlformats.org/officeDocument/2006/relationships/hyperlink" Target="https://drive.google.com/file/d/1ge0OyNx8rkOPvqels3k1KTNj13FQZEtS/view?usp=drive_link" TargetMode="External"/><Relationship Id="rId256" Type="http://schemas.openxmlformats.org/officeDocument/2006/relationships/hyperlink" Target="https://mayair.com.my/product/primary-filter-m-mnf/" TargetMode="External"/><Relationship Id="rId377" Type="http://schemas.openxmlformats.org/officeDocument/2006/relationships/hyperlink" Target="https://www.tokopedia.com/kaitehnik/karet-kaki-kursi-tutup-pipa-25-mm-1-inch-diameter-dalam" TargetMode="External"/><Relationship Id="rId498" Type="http://schemas.openxmlformats.org/officeDocument/2006/relationships/hyperlink" Target="https://www.tokopedia.com/andriyanliu/tee-las-stainless-ss-304-sch-10-1-inchi?extParam=ivf%3Dfalse%26keyword%3Dtee+las+stainless+sch10+ss304+1+inch%26search_id%3D2026011012525337BC2F75BF1BCF341MBY%26src%3Dsearch&amp;t_id=1768049558738&amp;t_st=2&amp;t_pp=search_result&amp;t_efo=search_pure_goods_card&amp;t_ef=goods_search&amp;t_sm=&amp;t_spt=search_result" TargetMode="External"/><Relationship Id="rId134" Type="http://schemas.openxmlformats.org/officeDocument/2006/relationships/hyperlink" Target="https://www.tokopedia.com/qisacc/werner-tangga-fiber-glass-8-step-2-4-mtr-hijau" TargetMode="External"/><Relationship Id="rId255" Type="http://schemas.openxmlformats.org/officeDocument/2006/relationships/hyperlink" Target="https://mayair.com.my/product/primary-filter-m-mnf/" TargetMode="External"/><Relationship Id="rId376" Type="http://schemas.openxmlformats.org/officeDocument/2006/relationships/hyperlink" Target="https://tk.tokopedia.com/ZSDVLcx29/" TargetMode="External"/><Relationship Id="rId497" Type="http://schemas.openxmlformats.org/officeDocument/2006/relationships/hyperlink" Target="https://shopee.co.id/product/7131578/16169387000?gads_t_sig=VTJGc2RHVmtYMTlxTFVSVVRrdENkVEg0SDd3VWo1MDQyT052d3EvY1B4YkQ4V2NxNE1VVGRjZnNreUFCTjkyR1M1RThxVWkwYWRIVjFsR1F6VHoxbkJaWUpFMmpvencwS0cvQkYrYyt5OG1IdVE3b0V3UUdXWVhEd1V0d2lWRlo" TargetMode="External"/><Relationship Id="rId133" Type="http://schemas.openxmlformats.org/officeDocument/2006/relationships/hyperlink" Target="https://drive.google.com/file/d/1MfEhLKT7TdaZMFerzojf_rYRPGsNRRcd/view?usp=drive_link" TargetMode="External"/><Relationship Id="rId254" Type="http://schemas.openxmlformats.org/officeDocument/2006/relationships/hyperlink" Target="https://en.micatrone.se/produktor/mfs" TargetMode="External"/><Relationship Id="rId375" Type="http://schemas.openxmlformats.org/officeDocument/2006/relationships/hyperlink" Target="https://shopee.co.id/product/50927448/6495933893?gads_t_sig=VTJGc2RHVmtYMTlxTFVSVVRrdENkVEg0SDd3VWo1MDQyT052d3EvY1B4YU1HNHRCNEZYci9ULzRiQ0VjaDFxNDZnRDg1UUxDdVNFUnRMTi9SK2wzdWpwTkt2QTdManY4aUhqSFhtdXRvRlpMcW5BMWtHdUE4OTVnbWdiOEU1cjY&amp;gad_source=1&amp;gad_campaignid=22178753687&amp;gbraid=0AAAAADPpU81DHEJJiFNDyHeTGbCYmzZOL&amp;gclid=Cj0KCQjwrc7GBhCfARIsAHGcW5UONdKWI540cdZi8VMsOJ8TTh3hv4e5Ixb5VsuFRLknKslk3ieZUqoaAt-BEALw_wcB" TargetMode="External"/><Relationship Id="rId496" Type="http://schemas.openxmlformats.org/officeDocument/2006/relationships/hyperlink" Target="https://shopee.co.id/TEKIRO-IMPACT-DRIVE-11-PCS-OBENG-KETOK-TOOLS-ALAT-PERKAKAS-i.73061699.1237545205?extraParams=%7B%22display_model_id%22%3A31563425734%2C%22model_selection_logic%22%3A3%7D&amp;sp_atk=faa8f2e3-089b-400d-b5c4-e05e946f0449&amp;xptdk=faa8f2e3-089b-400d-b5c4-e05e946f0449" TargetMode="External"/><Relationship Id="rId172" Type="http://schemas.openxmlformats.org/officeDocument/2006/relationships/hyperlink" Target="https://www.tokopedia.com/jb89/kunci-camlock-20-25-30-mm-merk-huben-kunci-laci-lemari-loker-kayu-besi-2-2-5-3-cm-kunci-kabinet-kotak-box-panel-listrik-kait-gait-cantol-tipe-hl-103-20-mm-c40e4?extParam=ivf%3Dfalse%26keyword%3Dhuben+kunci+panel+20+mm%26search_id%3D20250507152508557646733D0C6C367WYO%26src%3Dsearch&amp;t_id=1746631514348&amp;t_st=1&amp;t_pp=search_result&amp;t_efo=search_pure_goods_card&amp;t_ef=goods_search&amp;t_sm=&amp;t_spt=search_result" TargetMode="External"/><Relationship Id="rId293" Type="http://schemas.openxmlformats.org/officeDocument/2006/relationships/hyperlink" Target="https://www.tokopedia.com/zonapanel/kontaktor-contactor-schneider-lc1d12m7-lc1d12-d12-220v-new-original?extParam=ivf%3Dfalse%26keyword%3Dlc1d12m7%26search_id%3D2025071310202537BC2F75BF1BCF363NUX%26src%3Dsearch&amp;t_id=1752399739361&amp;t_st=37&amp;t_pp=search_result&amp;t_efo=search_pure_goods_card&amp;t_ef=goods_search&amp;t_sm=&amp;t_spt=search_result" TargetMode="External"/><Relationship Id="rId171" Type="http://schemas.openxmlformats.org/officeDocument/2006/relationships/hyperlink" Target="https://www.tokopedia.com/verticalglobal/chlorine-test-kit-merck-1-14978-0001-600-test" TargetMode="External"/><Relationship Id="rId292" Type="http://schemas.openxmlformats.org/officeDocument/2006/relationships/hyperlink" Target="https://www.tokopedia.com/schneiderel/schneider-electric-new-domae-mcb-4a-1p-domf01104-1731413767356909460?extParam=ivf%3Dfalse%26keyword%3Dmcb+1p+4a%26search_id%3D20250713101039AD13A2A07CA4B7088WIS%26src%3Dsearch&amp;t_id=1752399739361&amp;t_st=29&amp;t_pp=search_result&amp;t_efo=search_pure_goods_card&amp;t_ef=goods_search&amp;t_sm=&amp;t_spt=search_result" TargetMode="External"/><Relationship Id="rId170" Type="http://schemas.openxmlformats.org/officeDocument/2006/relationships/hyperlink" Target="https://drive.google.com/drive/folders/1LjcBip1EcXqyARhwgKyaLyPiPVevLoEt?usp=drive_link" TargetMode="External"/><Relationship Id="rId291" Type="http://schemas.openxmlformats.org/officeDocument/2006/relationships/hyperlink" Target="https://www.tokopedia.com/schneiderel/schneider-electric-new-domae-mcb-6a-1p-domf01106-1731414053356537748?extParam=ivf%3Dfalse%26keyword%3Dmcb+1p+6a%26search_id%3D2025071310101637BC2F75BF1BCF25DNC6%26src%3Dsearch&amp;t_id=1752399739361&amp;t_st=28&amp;t_pp=search_result&amp;t_efo=search_pure_goods_card&amp;t_ef=goods_search&amp;t_sm=&amp;t_spt=search_result" TargetMode="External"/><Relationship Id="rId290" Type="http://schemas.openxmlformats.org/officeDocument/2006/relationships/hyperlink" Target="https://www.tokopedia.com/schneiderel/schneider-electric-new-domae-mcb-10a-1p-domf01110-1731415435940104084?extParam=ivf%3Dfalse%26keyword%3Dmcb+1p+10a%26search_id%3D2025071310094837BC2F75BF1BCF0EFIT7%26src%3Dsearch&amp;t_id=1752399739361&amp;t_st=27&amp;t_pp=search_result&amp;t_efo=search_pure_goods_card&amp;t_ef=goods_search&amp;t_sm=&amp;t_spt=search_result" TargetMode="External"/><Relationship Id="rId165" Type="http://schemas.openxmlformats.org/officeDocument/2006/relationships/hyperlink" Target="https://www.monotaro.id/items/s034534816.html" TargetMode="External"/><Relationship Id="rId286" Type="http://schemas.openxmlformats.org/officeDocument/2006/relationships/hyperlink" Target="https://drive.google.com/drive/folders/1Xyv1oliWyWvM7tP4_7-zA1iuobzNFzN3?usp=drive_link" TargetMode="External"/><Relationship Id="rId164" Type="http://schemas.openxmlformats.org/officeDocument/2006/relationships/hyperlink" Target="https://www.tokopedia.com/rekomendasi/485993699" TargetMode="External"/><Relationship Id="rId285" Type="http://schemas.openxmlformats.org/officeDocument/2006/relationships/hyperlink" Target="https://drive.google.com/file/d/1DzzmgNjSdgFek8aDUvMDkp1wEWrSiEUL/view?usp=sharing" TargetMode="External"/><Relationship Id="rId163" Type="http://schemas.openxmlformats.org/officeDocument/2006/relationships/hyperlink" Target="https://www.doorautomation24.com/sensors/sensors_control-units/aso-safety-elmon-relay-34-32-control-unit.html" TargetMode="External"/><Relationship Id="rId284" Type="http://schemas.openxmlformats.org/officeDocument/2006/relationships/hyperlink" Target="https://www.tokopedia.com/dayagaskencana/proflex-sheet-insulation-insulasi-pembungkus-pipa-ac-roll-khusus-kiriman-instant-3-4-20mm-9f89b?aff_unique_id=&amp;channel=others&amp;chain_key=" TargetMode="External"/><Relationship Id="rId162" Type="http://schemas.openxmlformats.org/officeDocument/2006/relationships/hyperlink" Target="https://drive.google.com/file/d/1aHdQP5TGXIj0ZCcAUYbhgnZ6TqbZRjqb/view?usp=drive_link" TargetMode="External"/><Relationship Id="rId283" Type="http://schemas.openxmlformats.org/officeDocument/2006/relationships/hyperlink" Target="https://www.tokopedia.com/anaekemak/premium-kran-charging-valve-adaptor-perubah-ac-rumah-r22-ke-r410-r32?extParam=ivf%3Dfalse%26keyword%3Dadaptor+kran+freon+r32%26search_id%3D20250821070423432ACA3A1E345E258IWI%26src%3Dsearch&amp;t_id=1755759869543&amp;t_st=1&amp;t_pp=search_result&amp;t_efo=search_pure_goods_card&amp;t_ef=goods_search&amp;t_sm=&amp;t_spt=search_result" TargetMode="External"/><Relationship Id="rId169" Type="http://schemas.openxmlformats.org/officeDocument/2006/relationships/hyperlink" Target="https://drive.google.com/file/d/1SYjvfNOWAPg_xcL3NzgIVMbv0htMKo6x/view?usp=sharing" TargetMode="External"/><Relationship Id="rId168" Type="http://schemas.openxmlformats.org/officeDocument/2006/relationships/hyperlink" Target="https://www.tokopedia.com/crystalsupplier/pipa-pvc-rucika-1-1-4-inch-abu-jis-aw-vp-pralon-jis-aw-4-meter?utm_source=google&amp;utm_medium=organic&amp;utm_campaign=pdp" TargetMode="External"/><Relationship Id="rId289" Type="http://schemas.openxmlformats.org/officeDocument/2006/relationships/hyperlink" Target="https://www.tokopedia.com/schneiderel/schneider-electric-domae-mcb-3p-c-6a-6000a-1731730944094603156?extParam=ivf%3Dfalse%26keyword%3Dmcb+3p+6a%26search_id%3D2025071310085734ED066DF378EF33ELVF%26src%3Dsearch&amp;t_id=1752399739361&amp;t_st=26&amp;t_pp=search_result&amp;t_efo=search_pure_goods_card&amp;t_ef=goods_search&amp;t_sm=&amp;t_spt=search_result" TargetMode="External"/><Relationship Id="rId167" Type="http://schemas.openxmlformats.org/officeDocument/2006/relationships/hyperlink" Target="https://www.niglite.com/product/lampu-sorot-fl-b1000-merk-nig-lite-p23390.aspx" TargetMode="External"/><Relationship Id="rId288" Type="http://schemas.openxmlformats.org/officeDocument/2006/relationships/hyperlink" Target="https://www.tokopedia.com/schneiderel/schneider-electric-new-domae-mcb-32a-3p-domf01332-1731425257974499220?extParam=ivf%3Dfalse%26keyword%3Dmcb+3p+32a%26search_id%3D2025071310082137BC2F75BF1BCF37FZG7%26src%3Dsearch&amp;t_id=1752399739361&amp;t_st=25&amp;t_pp=search_result&amp;t_efo=search_pure_goods_card&amp;t_ef=goods_search&amp;t_sm=&amp;t_spt=search_result" TargetMode="External"/><Relationship Id="rId166" Type="http://schemas.openxmlformats.org/officeDocument/2006/relationships/hyperlink" Target="https://api.whatsapp.com/send/?phone=628811980922&amp;text&amp;type=phone_number&amp;app_absent=0" TargetMode="External"/><Relationship Id="rId287" Type="http://schemas.openxmlformats.org/officeDocument/2006/relationships/hyperlink" Target="https://www.tokopedia.com/tokomegalistrik/schneider-busbar-sisir-3-fasa-63a-10391?extParam=ivf%3Dfalse%26keyword%3Dschneider+comb+busbar%2Fsisir+mcb+3p%26search_id%3D2025071705131137BC2F75BF1BCF2A8NR5%26src%3Dsearch&amp;t_id=1752728510891&amp;t_st=8&amp;t_pp=search_result&amp;t_efo=search_pure_goods_card&amp;t_ef=goods_search&amp;t_sm=&amp;t_spt=search_result" TargetMode="External"/><Relationship Id="rId161" Type="http://schemas.openxmlformats.org/officeDocument/2006/relationships/hyperlink" Target="https://drive.google.com/file/d/1aHdQP5TGXIj0ZCcAUYbhgnZ6TqbZRjqb/view?usp=drive_link" TargetMode="External"/><Relationship Id="rId282" Type="http://schemas.openxmlformats.org/officeDocument/2006/relationships/hyperlink" Target="https://www.tokopedia.com/grandyc/freon-r32-refrigerant?extParam=ivf%3Dfalse%26keyword%3Dfreon+r32%26search_id%3D2025082107024211B9842E0A271F1718O6%26src%3Dsearch&amp;t_id=1755758423342&amp;t_st=5&amp;t_pp=search_result&amp;t_efo=search_pure_goods_card&amp;t_ef=goods_search&amp;t_sm=&amp;t_spt=search_result" TargetMode="External"/><Relationship Id="rId160" Type="http://schemas.openxmlformats.org/officeDocument/2006/relationships/hyperlink" Target="https://drive.google.com/file/d/11iSifyr3VaNC-bhW66h7oKBSKoARNagt/view?usp=drive_link" TargetMode="External"/><Relationship Id="rId281" Type="http://schemas.openxmlformats.org/officeDocument/2006/relationships/hyperlink" Target="https://sinarglodok.com/index.php/semua-produk/kap-lampu-tl-neon" TargetMode="External"/><Relationship Id="rId280" Type="http://schemas.openxmlformats.org/officeDocument/2006/relationships/hyperlink" Target="https://www.tokopedia.com/nusanjadi/pressure-gauge-full-stainless-4-0-6-bar" TargetMode="External"/><Relationship Id="rId159" Type="http://schemas.openxmlformats.org/officeDocument/2006/relationships/hyperlink" Target="https://www.tokopedia.com/rjpneumatic/solenoid-valve-kuningan-2-2-way-normally-open-no-2k250-25-1-inch?extParam=ivf%3Dfalse%26keyword%3Dsolenoid+valve+1+inch+normally+open%26search_id%3D20250428051047974731B8B0DFF82DASKT%26src%3Dsearch" TargetMode="External"/><Relationship Id="rId154" Type="http://schemas.openxmlformats.org/officeDocument/2006/relationships/hyperlink" Target="https://shopee.co.id/product/3246591/4132666346?gads_t_sig=VTJGc2RHVmtYMTlxTFVSVVRrdENkVjhKejlrTjhjZ0djRXFyYU5xR2swS0Rldk5pSTRIdm1jNnZYN1ROa2ErVEsrNXVGb2tNZU5OL0kxbElZWUFWTmlxQnZwS0kzdElzZDhBMlhuei9aVWNnM2FUZW1acFJHODhzVXJSRHU0Y2k&amp;gad_source=4&amp;gclid=CjwKCAjw8IfABhBXEiwAxRHlsPNk8F2XaGhcJH5VonHA_1TYtQvHJs_4abcRR7AEGWAJw5eyTud8uhoCw2EQAvD_BwE" TargetMode="External"/><Relationship Id="rId275" Type="http://schemas.openxmlformats.org/officeDocument/2006/relationships/hyperlink" Target="https://www.tokopedia.com/kitzvalve/kitz-brass-ball-valve-fig-400-t-1-2-15a-15mm-drat-screw-1730871264804767182?t_id=1747715906676&amp;t_st=3&amp;t_pp=cart&amp;t_efo=cart&amp;t_ef=&amp;t_sm=&amp;t_spt=cart" TargetMode="External"/><Relationship Id="rId396" Type="http://schemas.openxmlformats.org/officeDocument/2006/relationships/hyperlink" Target="https://www.tokopedia.com/nusanjadi/gasket-seal-ferrule-ptfe-teflon-sanitary-8-inchi-flange-217-mm?extParam=ivf%3Dfalse%26keyword%3Dgasket+ferrule+8+inch+%26search_id%3D2025100803103611B9842E0A271F090SXI%26src%3Dsearch&amp;t_id=1759893064107&amp;t_st=1&amp;t_pp=search_result&amp;t_efo=search_pure_goods_card&amp;t_ef=goods_search&amp;t_sm=&amp;t_spt=search_result" TargetMode="External"/><Relationship Id="rId153" Type="http://schemas.openxmlformats.org/officeDocument/2006/relationships/hyperlink" Target="https://www.tokopedia.com/archive-tokohteknik/bosch-cb-a86-arang-sepul-bostel-mesin-gerinda-gws-060-6100-5100-8100?extParam=ivf%3Dfalse%26keyword%3Darang+bosch+gws+060&amp;src=topads" TargetMode="External"/><Relationship Id="rId274" Type="http://schemas.openxmlformats.org/officeDocument/2006/relationships/hyperlink" Target="https://www.tokopedia.com/setiajayabangunan/socket-sock-sok-drat-luar-rucika-pvc-1-2-3-4-1-inch-1730856356958996223" TargetMode="External"/><Relationship Id="rId395" Type="http://schemas.openxmlformats.org/officeDocument/2006/relationships/hyperlink" Target="http://tokopedia.com/maha-shop-grosir/relay-omron-my2-my2n-24vac-8-kaki-original-relay-my2n-24vac-original-1730153404901983435?extParam=ivf%3Dfalse%26keyword%3Drelay+omron+24+vac%26search_id%3D20251007084519577BCC914F9E55008BKV%26src%3Dsearch&amp;t_id=1759826728912&amp;t_st=1&amp;t_pp=search_result&amp;t_efo=search_pure_goods_card&amp;t_ef=goods_search&amp;t_sm=&amp;t_spt=search_result" TargetMode="External"/><Relationship Id="rId152" Type="http://schemas.openxmlformats.org/officeDocument/2006/relationships/hyperlink" Target="https://shopee.co.id/Dobel-Sok-Drat-Dalam-3-8-x-3-8-Kuningan-Sock-Drat-Dalam-Kuningan-3-8-Double-Nepel-Drat-Dalam-i.393420297.19784526044" TargetMode="External"/><Relationship Id="rId273" Type="http://schemas.openxmlformats.org/officeDocument/2006/relationships/hyperlink" Target="https://www.tokopedia.com/suryamajumakmur/rucika-reducer-tee-2-x-1-1-2-inch-2-x-1-1-4-aw-2-x-1-inch-ts-2-x-3-4-inch-2-x-1-2-dim-vtee-reduser-tee-t-tebal-sekali-2-x-3-4-inch-96d6a?t_id=1747715906676&amp;t_st=2&amp;t_pp=cart&amp;t_efo=cart&amp;t_ef=&amp;t_sm=&amp;t_spt=cart" TargetMode="External"/><Relationship Id="rId394" Type="http://schemas.openxmlformats.org/officeDocument/2006/relationships/hyperlink" Target="https://www.smcpneumatics.com/AR20-F02G-B.html" TargetMode="External"/><Relationship Id="rId151" Type="http://schemas.openxmlformats.org/officeDocument/2006/relationships/hyperlink" Target="https://www.tokopedia.com/sangseker/ftalit-444-banana-yellow-1kg-cat-kayu-dan-besi-ftalit-115-444-1kg-2c631?utm_source=salinlink&amp;utm_medium=share&amp;utm_campaign=pdp-nutgbjwxlhd2-14175807648-0" TargetMode="External"/><Relationship Id="rId272" Type="http://schemas.openxmlformats.org/officeDocument/2006/relationships/hyperlink" Target="https://drive.google.com/file/d/1H7usACl04xWCy1kseh_ubTg0ruJvPO16/view?usp=sharing" TargetMode="External"/><Relationship Id="rId393" Type="http://schemas.openxmlformats.org/officeDocument/2006/relationships/hyperlink" Target="https://drive.google.com/drive/folders/1Yrt7EVI1vpAQTjI8F7WYEsua1ukIsdl-?usp=drive_link" TargetMode="External"/><Relationship Id="rId158" Type="http://schemas.openxmlformats.org/officeDocument/2006/relationships/hyperlink" Target="https://www.tokopedia.com/mabateknik/obeng-listrik-electrician-screwdriver-pz-6x100mm-krisbow-kw0100765" TargetMode="External"/><Relationship Id="rId279" Type="http://schemas.openxmlformats.org/officeDocument/2006/relationships/hyperlink" Target="https://www.tokopedia.com/kitzvalve/kitz-brass-ball-valve-fig-400-t-1-2-15a-15mm-drat-screw-1730871264804767182?t_id=1747715906676&amp;t_st=3&amp;t_pp=cart&amp;t_efo=cart&amp;t_ef=&amp;t_sm=&amp;t_spt=cart" TargetMode="External"/><Relationship Id="rId157" Type="http://schemas.openxmlformats.org/officeDocument/2006/relationships/hyperlink" Target="https://drive.google.com/file/d/1QSZ3V00IWsdOeba0ypcmV6z7L1vX0D6R/view?usp=drive_link" TargetMode="External"/><Relationship Id="rId278" Type="http://schemas.openxmlformats.org/officeDocument/2006/relationships/hyperlink" Target="https://www.tokopedia.com/setiajayabangunan/socket-sock-sok-drat-luar-rucika-pvc-1-2-3-4-1-inch-1730856356958996223" TargetMode="External"/><Relationship Id="rId399" Type="http://schemas.openxmlformats.org/officeDocument/2006/relationships/hyperlink" Target="https://cdn.trox.de/44f27a8a5d5b54ac/f10ec6203623/00275603_0.pdf" TargetMode="External"/><Relationship Id="rId156" Type="http://schemas.openxmlformats.org/officeDocument/2006/relationships/hyperlink" Target="https://drive.google.com/file/d/1QSZ3V00IWsdOeba0ypcmV6z7L1vX0D6R/view?usp=drive_link" TargetMode="External"/><Relationship Id="rId277" Type="http://schemas.openxmlformats.org/officeDocument/2006/relationships/hyperlink" Target="https://www.tokopedia.com/totalsolusi/vlok-tee-2-1-2-x-3-4-inch-reducing-t-2-1-2-x-3-4-scg?t_id=1747715906676&amp;t_st=1&amp;t_pp=cart&amp;t_efo=cart&amp;t_ef=&amp;t_sm=&amp;t_spt=cart" TargetMode="External"/><Relationship Id="rId398" Type="http://schemas.openxmlformats.org/officeDocument/2006/relationships/hyperlink" Target="https://drive.google.com/file/d/19J_4-brYnzn3fjOf5Y_EbUPBYblHK4Hv/view?usp=drivesdk" TargetMode="External"/><Relationship Id="rId155" Type="http://schemas.openxmlformats.org/officeDocument/2006/relationships/hyperlink" Target="https://www.tokopedia.com/sinshe-tekno/usb-hub-vention-4-port-usb-3-0-2-0-high-speed-power-adapter-otg-chm-2-0-0-5m?utm_campaign=PDP-giuytjx86cja-1207886887-0&amp;utm_source=salinlink&amp;utm_medium=share" TargetMode="External"/><Relationship Id="rId276" Type="http://schemas.openxmlformats.org/officeDocument/2006/relationships/hyperlink" Target="https://www.tokopedia.com/nusanjadi/pressure-gauge-full-stainless-4-0-6-bar" TargetMode="External"/><Relationship Id="rId397" Type="http://schemas.openxmlformats.org/officeDocument/2006/relationships/hyperlink" Target="https://drive.google.com/file/d/19J_4-brYnzn3fjOf5Y_EbUPBYblHK4Hv/view?usp=drivesdk" TargetMode="External"/><Relationship Id="rId40" Type="http://schemas.openxmlformats.org/officeDocument/2006/relationships/hyperlink" Target="https://www.tokopedia.com/cahabtek/clamp-ferrule-sanitary-3-4-inch" TargetMode="External"/><Relationship Id="rId42" Type="http://schemas.openxmlformats.org/officeDocument/2006/relationships/hyperlink" Target="https://tokopedia.link/dObyhZVOMQb" TargetMode="External"/><Relationship Id="rId41" Type="http://schemas.openxmlformats.org/officeDocument/2006/relationships/hyperlink" Target="https://tokopedia.link/nPYHUFgOMQb" TargetMode="External"/><Relationship Id="rId44" Type="http://schemas.openxmlformats.org/officeDocument/2006/relationships/hyperlink" Target="https://www.tokopedia.com/adn-official/samsung-lampu-led-modul-5730-smd-12v-dc-3-mata-12-v-volt-module-ori-putih?extParam=ivf%3Dfalse%26keyword%3Dlampu+led+12+volt+3+mata%26search_id%3D202502072340407D715104E2EFC91EFQIA%26src%3Dsearch" TargetMode="External"/><Relationship Id="rId43" Type="http://schemas.openxmlformats.org/officeDocument/2006/relationships/hyperlink" Target="https://www.tokopedia.com/industrialgs/talled-smps-300-tld-12-volt-driver-led-waterproof-trafo-made-in-korea-1729968416309740548?extParam=ivf%3Dfalse%26keyword%3Dtalled+smps+300+tld+12%26search_id%3D20250207232458E5AF7B92904D6F00CUT4%26src%3Dsearch" TargetMode="External"/><Relationship Id="rId46" Type="http://schemas.openxmlformats.org/officeDocument/2006/relationships/hyperlink" Target="https://drive.google.com/drive/folders/1EKMzaK4ks98e51fyzunPQmus_nVke1w3?usp=drive_link" TargetMode="External"/><Relationship Id="rId45" Type="http://schemas.openxmlformats.org/officeDocument/2006/relationships/hyperlink" Target="https://www.tokopedia.com/ciptajayateknik/solenoid-valve-emc-1-inch-stainless-304?extParam=ivf%3Dfalse%26keyword%3Dsolenoid+valve+1+inch%26search_id%3D20250208000026D9721EA3F54E2D2075HO%26src%3Dsearch" TargetMode="External"/><Relationship Id="rId509" Type="http://schemas.openxmlformats.org/officeDocument/2006/relationships/hyperlink" Target="https://www.tokopedia.com/cemerlangintijaya/pressure-reducing-valve-spirax-sarco-25p-pn16-dn50-prv-spirax-sarco-25p-2-inch?utm_source=google&amp;utm_medium=organic&amp;utm_campaign=pdp" TargetMode="External"/><Relationship Id="rId508" Type="http://schemas.openxmlformats.org/officeDocument/2006/relationships/hyperlink" Target="https://drive.google.com/drive/folders/1WFva2OWKG2hBAFPmJ7tgDIRpESf_EYtL?usp=drive_link" TargetMode="External"/><Relationship Id="rId629" Type="http://schemas.openxmlformats.org/officeDocument/2006/relationships/hyperlink" Target="https://store.fedegari.com/product/level-probe-assembly-for-generator/01t0O00000EwcybQAB" TargetMode="External"/><Relationship Id="rId503" Type="http://schemas.openxmlformats.org/officeDocument/2006/relationships/hyperlink" Target="https://drive.google.com/drive/folders/1ouyRHXj-L2SeBSCEdOe913jtrUFx0HrO?usp=drive_link" TargetMode="External"/><Relationship Id="rId624" Type="http://schemas.openxmlformats.org/officeDocument/2006/relationships/hyperlink" Target="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 TargetMode="External"/><Relationship Id="rId502" Type="http://schemas.openxmlformats.org/officeDocument/2006/relationships/hyperlink" Target="https://www.gemu-group.com/en_SE/shop/replacement-actuators-for-diaphragm-valves/gemu-9612-/9612-10m01ts/pid-88079321" TargetMode="External"/><Relationship Id="rId623" Type="http://schemas.openxmlformats.org/officeDocument/2006/relationships/hyperlink" Target="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 TargetMode="External"/><Relationship Id="rId501" Type="http://schemas.openxmlformats.org/officeDocument/2006/relationships/hyperlink" Target="https://www.tokopedia.com/kimiadanteknik/magnaflux-spotcheck-red-penetrant-skl-sp2-400ml?extParam=ivf%3Dfalse%26keyword%3Dspotcheck+skl-sp2%26search_id%3D202601101301579687864F542F113B6V4M%26src%3Dsearch&amp;t_id=1768050121681&amp;t_st=1&amp;t_pp=search_result&amp;t_efo=search_pure_goods_card&amp;t_ef=goods_search&amp;t_sm=&amp;t_spt=search_result" TargetMode="External"/><Relationship Id="rId622" Type="http://schemas.openxmlformats.org/officeDocument/2006/relationships/hyperlink" Target="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 TargetMode="External"/><Relationship Id="rId500" Type="http://schemas.openxmlformats.org/officeDocument/2006/relationships/hyperlink" Target="https://www.tokopedia.com/kimiadanteknik/magnaflux-spotcheck-cleaner-skc-s-400ml?extParam=ivf%3Dfalse%26keyword%3D+spotcheck+skcs%26search_id%3D202601101301208DD48D6A2E2CAD361ICM%26src%3Dsearch&amp;t_id=1768050008571&amp;t_st=3&amp;t_pp=search_result&amp;t_efo=search_pure_goods_card&amp;t_ef=goods_search&amp;t_sm=&amp;t_spt=search_result" TargetMode="External"/><Relationship Id="rId621" Type="http://schemas.openxmlformats.org/officeDocument/2006/relationships/hyperlink" Target="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 TargetMode="External"/><Relationship Id="rId507" Type="http://schemas.openxmlformats.org/officeDocument/2006/relationships/hyperlink" Target="https://drive.google.com/drive/folders/1WFva2OWKG2hBAFPmJ7tgDIRpESf_EYtL?usp=drive_link" TargetMode="External"/><Relationship Id="rId628" Type="http://schemas.openxmlformats.org/officeDocument/2006/relationships/hyperlink" Target="https://tk.tokopedia.com/ZSHNvHadm/" TargetMode="External"/><Relationship Id="rId506" Type="http://schemas.openxmlformats.org/officeDocument/2006/relationships/hyperlink" Target="https://drive.google.com/drive/folders/1WFva2OWKG2hBAFPmJ7tgDIRpESf_EYtL?usp=drive_link" TargetMode="External"/><Relationship Id="rId627" Type="http://schemas.openxmlformats.org/officeDocument/2006/relationships/hyperlink" Target="https://id.shp.ee/89Wj6fm3" TargetMode="External"/><Relationship Id="rId505" Type="http://schemas.openxmlformats.org/officeDocument/2006/relationships/hyperlink" Target="https://shopee.co.id/product/1030439901/24466009946?gads_t_sig=VTJGc2RHVmtYMTlxTFVSVVRrdENkVHQ3ZkZSUTMrR3pBWmZZNzdrcnRBM1YyaTFFK1FnUjRyeXdrZkF3ZmJuOGFmMFFOaEdxbm10MHhONCtjMGZuUVZUeU5wazE4WFI3OVVZbG5xU2FmbS9wYlE1Q0oxL2lDd0cxTmYzZTc2NWdSZ0VINFg3TzE1S0FKZFdsWGhEQmRBPT0&amp;gad_source=1&amp;gad_campaignid=23290582497&amp;gbraid=0AAAAADPpU83ax10uNyQZEUxaOrg2eLoHc&amp;gclid=Cj0KCQiA1JLLBhCDARIsAAVfy7j-0ZBxbYZKYdtZDBsr1YIx6WKCUjLqLS1cXqKhDbmUUWwIdVf3F9YaAjJAEALw_wcB" TargetMode="External"/><Relationship Id="rId626" Type="http://schemas.openxmlformats.org/officeDocument/2006/relationships/hyperlink" Target="https://www.tokopedia.com/baridaman/kapasitor-12-uf-12uf-450-450-v-kapasitor-kabel?utm_source=google&amp;utm_medium=organic&amp;utm_campaign=pdp" TargetMode="External"/><Relationship Id="rId504" Type="http://schemas.openxmlformats.org/officeDocument/2006/relationships/hyperlink" Target="https://shopee.co.id/product/9018742/42056488537?gads_t_sig=VTJGc2RHVmtYMTlxTFVSVVRrdENkVEg0SDd3VWo1MDQyT052d3EvY1B4YU9kM25CcFplT1VYR2I1bnM1NHlOcnhRbGpETGNXaWZVMUxMdXJ4UFZpbmZETzBtNlZFN2VDMUpnVjFYb0dlWHdDNFc4aDlLUlNFTm95aFJqM3VaUmM&amp;gad_source=1&amp;gad_campaignid=23295573554&amp;gbraid=0AAAAADPpU83y3aTaX-AnLs2Q9PVezaSFB&amp;gclid=Cj0KCQiA1JLLBhCDARIsAAVfy7jf3rL7fVRSiu_qxNUqsZWMso1XWxuzV7uGXQoVCjavABDLO365wt8aAujDEALw_wcB" TargetMode="External"/><Relationship Id="rId625" Type="http://schemas.openxmlformats.org/officeDocument/2006/relationships/hyperlink" Target="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 TargetMode="External"/><Relationship Id="rId48" Type="http://schemas.openxmlformats.org/officeDocument/2006/relationships/hyperlink" Target="https://drive.google.com/drive/folders/1EKMzaK4ks98e51fyzunPQmus_nVke1w3?usp=drive_link" TargetMode="External"/><Relationship Id="rId47" Type="http://schemas.openxmlformats.org/officeDocument/2006/relationships/hyperlink" Target="https://drive.google.com/drive/folders/1EKMzaK4ks98e51fyzunPQmus_nVke1w3?usp=drive_link" TargetMode="External"/><Relationship Id="rId49" Type="http://schemas.openxmlformats.org/officeDocument/2006/relationships/hyperlink" Target="https://drive.google.com/drive/folders/1EKMzaK4ks98e51fyzunPQmus_nVke1w3?usp=drive_link" TargetMode="External"/><Relationship Id="rId620" Type="http://schemas.openxmlformats.org/officeDocument/2006/relationships/hyperlink" Target="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 TargetMode="External"/><Relationship Id="rId31" Type="http://schemas.openxmlformats.org/officeDocument/2006/relationships/hyperlink" Target="https://www.tokopedia.com/sinarberdikari/pressure-gauge-spirax-sarco-4-10kg-drat-3-8-inch" TargetMode="External"/><Relationship Id="rId30" Type="http://schemas.openxmlformats.org/officeDocument/2006/relationships/hyperlink" Target="https://www.tokopedia.com/peonyglodok/dg-10-kompresor-udara-gun-1-4-air-duster-spray-gun-tanpa-bubble" TargetMode="External"/><Relationship Id="rId33" Type="http://schemas.openxmlformats.org/officeDocument/2006/relationships/hyperlink" Target="https://www.tokopedia.com/pusatpneumatic/6mm-x-1-4-male-elbow-connector-tube-od-6-mm-x-1-4-npt-stainless-steel" TargetMode="External"/><Relationship Id="rId32" Type="http://schemas.openxmlformats.org/officeDocument/2006/relationships/hyperlink" Target="https://www.hikelok.com/m6-mc-npt4-316-product/" TargetMode="External"/><Relationship Id="rId35" Type="http://schemas.openxmlformats.org/officeDocument/2006/relationships/hyperlink" Target="http://www.ym-valves.com/products/check-valve/wafer-check-valve.html?gad_source=1&amp;gclid=CjwKCAiA74G9BhAEEiwA8kNfpaR5a7CEedeP0AynfYoOX9Px7-Ywgh2dQUILGPSU-R4473c5i1_NUxoC0AYQAvD_BwE" TargetMode="External"/><Relationship Id="rId34" Type="http://schemas.openxmlformats.org/officeDocument/2006/relationships/hyperlink" Target="https://www.tokopedia.com/valveshop95/solenoid-valve-steam-yoshitake-25a-dp10-ac110v-ac220v-drat-1-inch?extParam=ivf%3Dfalse%26keyword%3Dsolenoid+valve+1+inch&amp;src=topads" TargetMode="External"/><Relationship Id="rId619" Type="http://schemas.openxmlformats.org/officeDocument/2006/relationships/hyperlink" Target="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 TargetMode="External"/><Relationship Id="rId618" Type="http://schemas.openxmlformats.org/officeDocument/2006/relationships/hyperlink" Target="https://www.tokopedia.com/samsungjakarta/ram-pc-kingston-ddr3-4gb-1600mhz-pc-12800-1-5v-ori-ram-komputer-ddr3-4gb-longdimm-1729819347293734825?extParam=ivf%3Dfalse%26keyword%3Dram+4+gb+ddr3%26search_id%3D2026042204152334ED066DF378EF344J00%26src%3Dsearch&amp;t_id=1776832320690&amp;t_st=3&amp;t_pp=search_result&amp;t_efo=search_pure_goods_card&amp;t_ef=goods_search&amp;t_sm=&amp;t_spt=search_result" TargetMode="External"/><Relationship Id="rId613" Type="http://schemas.openxmlformats.org/officeDocument/2006/relationships/hyperlink" Target="https://tk.tokopedia.com/ZS9NeWf9q/" TargetMode="External"/><Relationship Id="rId612" Type="http://schemas.openxmlformats.org/officeDocument/2006/relationships/hyperlink" Target="https://tk.tokopedia.com/ZS9NeQqQu/" TargetMode="External"/><Relationship Id="rId611" Type="http://schemas.openxmlformats.org/officeDocument/2006/relationships/hyperlink" Target="https://tk.tokopedia.com/ZS9RrKwA5/" TargetMode="External"/><Relationship Id="rId610" Type="http://schemas.openxmlformats.org/officeDocument/2006/relationships/hyperlink" Target="https://shopee.co.id/product/374626687/3477781329?gads_t_sig=gqRjZGVrxHCFomtpsTE0MjUxOnRzc19zZGtfa2V5omt20QABpGFsZ2_SAAAAZKNkZWvAomN0xEAAAAAMRvS3L9OTXdZ5FJNxILig8p7lQ7pNpXYtdZAbsM8MQrkGmzJ0eOQRwaQfuYgAF9FAqYvxRTQ9oVrOjPOJqmNpcGhlcnRleHTEbwAAAAykPENgu2UiSJOdfSgVGdwS-0MS9NSHftqZS1AqUOcKOd6s7CBMim585dAwyu_mxbIvm6c0Jl_H6PwYVQ7Go1A0iyc3kjl85nHRJf-UzG6k3UqaeV4uW8JPn_KJLoG9A2V-r8UFYyezZtrU9Q&amp;gad_source=1&amp;gad_campaignid=23290582497&amp;gbraid=0AAAAADPpU80bLni-osjaedmdB_ob8fKd-&amp;gclid=CjwKCAjwwJzPBhBREiwAJfHRnRT3hlfkMpkJSDHZNu04tdFYMRaiNfM3ySpZw6HeLqC9IW3-0gtichoCSYAQAvD_BwE" TargetMode="External"/><Relationship Id="rId731" Type="http://schemas.openxmlformats.org/officeDocument/2006/relationships/drawing" Target="../drawings/drawing2.xml"/><Relationship Id="rId617" Type="http://schemas.openxmlformats.org/officeDocument/2006/relationships/hyperlink" Target="https://www.tokopedia.com/it-shoponline/seagate-barracuda-35-desktop-1tb-harddisk-1729568468913260609?extParam=ivf%3Dfalse%26keyword%3Dhdd+3.5+1tb+seagate%26search_id%3D2026050305424440008B9A5380FC10CY8F%26src%3Dsearch%26whid%3D12666244&amp;t_id=1777786980558&amp;t_st=1&amp;t_pp=search_result&amp;t_efo=search_pure_goods_card&amp;t_ef=goods_search&amp;t_sm=&amp;t_spt=search_result" TargetMode="External"/><Relationship Id="rId616" Type="http://schemas.openxmlformats.org/officeDocument/2006/relationships/hyperlink" Target="https://tk.tokopedia.com/ZSDvcvphB/" TargetMode="External"/><Relationship Id="rId615" Type="http://schemas.openxmlformats.org/officeDocument/2006/relationships/hyperlink" Target="https://drive.google.com/file/d/1wM-9n7WDrWWYEFsPO11kqSs5Hp9UTVX8/view?usp=sharing" TargetMode="External"/><Relationship Id="rId614" Type="http://schemas.openxmlformats.org/officeDocument/2006/relationships/hyperlink" Target="https://drive.google.com/file/d/1zpC8wMxZddx_KtPRnD_yIgP04wUTugPT/view?usp=drive_link" TargetMode="External"/><Relationship Id="rId37" Type="http://schemas.openxmlformats.org/officeDocument/2006/relationships/hyperlink" Target="https://drive.google.com/file/d/1YGQNPS9CHgtje6FGEN-yKJfMxP3K-eEh/view?usp=drive_link" TargetMode="External"/><Relationship Id="rId36" Type="http://schemas.openxmlformats.org/officeDocument/2006/relationships/hyperlink" Target="https://www.tokopedia.com/lfi/filter-exhaust-fan-panel-4-inch-uk-12-cm?extParam=ivf%3Dfalse%26keyword%3Dexhaust+fan+panel%26search_id%3D20241226002341AD7B26CBBF4C2F0F7CLS%26src%3Dsearch" TargetMode="External"/><Relationship Id="rId39" Type="http://schemas.openxmlformats.org/officeDocument/2006/relationships/hyperlink" Target="https://drive.google.com/file/d/1YE9To6RWOVeSyT_g1aFXGlp7-pF3EBto/view?usp=drivesdk" TargetMode="External"/><Relationship Id="rId38" Type="http://schemas.openxmlformats.org/officeDocument/2006/relationships/hyperlink" Target="https://drive.google.com/file/d/1YGQNPS9CHgtje6FGEN-yKJfMxP3K-eEh/view?usp=drive_link" TargetMode="External"/><Relationship Id="rId730" Type="http://schemas.openxmlformats.org/officeDocument/2006/relationships/hyperlink" Target="https://www.monotaro.id/s039467300.html" TargetMode="External"/><Relationship Id="rId20" Type="http://schemas.openxmlformats.org/officeDocument/2006/relationships/hyperlink" Target="https://www.tokopedia.com/valvekitz/gate-valve-2-1-2-inch-kitz-original-japan?utm_source=google&amp;utm_medium=organic&amp;utm_campaign=pdp" TargetMode="External"/><Relationship Id="rId22" Type="http://schemas.openxmlformats.org/officeDocument/2006/relationships/hyperlink" Target="https://drive.google.com/file/d/1cpyV30xyHQ171i0SzClFf3CzmunZOKQL/view?usp=drive_link" TargetMode="External"/><Relationship Id="rId21" Type="http://schemas.openxmlformats.org/officeDocument/2006/relationships/hyperlink" Target="https://drive.google.com/file/d/1TkNDjWAzuCMnA1K4CWfEoTBYgDHKjKe1/view?usp=drive_link" TargetMode="External"/><Relationship Id="rId24" Type="http://schemas.openxmlformats.org/officeDocument/2006/relationships/hyperlink" Target="https://www.tokopedia.com/zentama/control-panel-lcp-102-danfoss-display-inverter-kiped?extParam=ivf%3Dfalse%26keyword%3Dlcp+danfoss%26search_id%3D2025013023320395B43E7F03282537D7CP%26src%3Dsearch" TargetMode="External"/><Relationship Id="rId23" Type="http://schemas.openxmlformats.org/officeDocument/2006/relationships/hyperlink" Target="https://kdk.co.id/product/detail/24" TargetMode="External"/><Relationship Id="rId409" Type="http://schemas.openxmlformats.org/officeDocument/2006/relationships/hyperlink" Target="https://www.tokopedia.com/propeba-indo/flexible-connector-for-windjet-nozzle-adapter-air-blowing-flat-jet?extParam=ivf%3Dfalse%26keyword%3Dnozzle+flexible+npt+thread%26search_id%3D20251016081452A666587AFDA6E81C1IYE%26src%3Dsearch" TargetMode="External"/><Relationship Id="rId404" Type="http://schemas.openxmlformats.org/officeDocument/2006/relationships/hyperlink" Target="https://www.tokopedia.com/artechshoponline/alarm-emergency-door-sensor-delay-exit-delay-time?extParam=ivf%3Dfalse%26keyword%3Dalarm+pintu+emergency%26search_id%3D2025101501300937BC2F75BF1BCF1627G6%26src%3Dsearch&amp;t_id=1760491827440&amp;t_st=4&amp;t_pp=search_result&amp;t_efo=search_pure_goods_card&amp;t_ef=goods_search&amp;t_sm=&amp;t_spt=search_result" TargetMode="External"/><Relationship Id="rId525" Type="http://schemas.openxmlformats.org/officeDocument/2006/relationships/hyperlink" Target="https://tk.tokopedia.com/ZSamF1pXP/" TargetMode="External"/><Relationship Id="rId646" Type="http://schemas.openxmlformats.org/officeDocument/2006/relationships/hyperlink" Target="https://tk.tokopedia.com/ZSQkAuea6/" TargetMode="External"/><Relationship Id="rId403" Type="http://schemas.openxmlformats.org/officeDocument/2006/relationships/hyperlink" Target="https://www.tokopedia.com/brotherofficialjawatimur/brother-printer-label-pt-e850tkw-e-850tkw-wireless-lan-auto-cut?extParam=ivf%3Dfalse%26keyword%3Dbrother+label+printer+pt-e850tkw%26search_id%3D2025101501224837BC2F75BF1BCF079IR1%26src%3Dsearch&amp;t_id=1760491334324&amp;t_st=5&amp;t_pp=search_result&amp;t_efo=search_pure_goods_card&amp;t_ef=goods_search&amp;t_sm=&amp;t_spt=search_result" TargetMode="External"/><Relationship Id="rId524" Type="http://schemas.openxmlformats.org/officeDocument/2006/relationships/hyperlink" Target="https://www.tokopedia.com/uni-t/uni-t-ut25a-circuit-breaker-finder-90-120v-led-indikator-soket-tester-dengan-sensitivitas-uni-t-automatic-circuit-breaker-finder-fuse-socket-ut25a?extParam=ivf%3Dfalse%26keyword%3Dfind+circuit+bracker%26search_id%3D20260126235511EF0D3930A7B6C925ASMG%26src%3Dsearch&amp;t_id=1769471720314&amp;t_st=1&amp;t_pp=search_result&amp;t_efo=search_pure_goods_card&amp;t_ef=goods_search&amp;t_sm=&amp;t_spt=search_result" TargetMode="External"/><Relationship Id="rId645" Type="http://schemas.openxmlformats.org/officeDocument/2006/relationships/hyperlink" Target="https://tk.tokopedia.com/ZSQkSxFt3/" TargetMode="External"/><Relationship Id="rId402" Type="http://schemas.openxmlformats.org/officeDocument/2006/relationships/hyperlink" Target="https://www.belimo.com/us/shop/en_US/config?code=NMX120-3" TargetMode="External"/><Relationship Id="rId523" Type="http://schemas.openxmlformats.org/officeDocument/2006/relationships/hyperlink" Target="https://drive.google.com/file/d/1w4MAVcD4GbdwNr0HZOOAgiXf_now4Qmu/view?usp=drive_link" TargetMode="External"/><Relationship Id="rId644" Type="http://schemas.openxmlformats.org/officeDocument/2006/relationships/hyperlink" Target="https://www.tokopedia.com/sinarlautmandiri/snapring-type-e-snap-ring-type-e-4?extParam=ivf%3Dfalse%26keyword%3Dsnap+ring+e4%26search_id%3D20260609031813D296C101DAA88A2625LY%26src%3Dsearch&amp;t_id=1780975123765&amp;t_st=5&amp;t_pp=search_result&amp;t_efo=search_pure_goods_card&amp;t_ef=goods_search&amp;t_sm=&amp;t_spt=search_result" TargetMode="External"/><Relationship Id="rId401" Type="http://schemas.openxmlformats.org/officeDocument/2006/relationships/hyperlink" Target="https://tk.tokopedia.com/ZSU5B1U6L/" TargetMode="External"/><Relationship Id="rId522" Type="http://schemas.openxmlformats.org/officeDocument/2006/relationships/hyperlink" Target="https://www.tokopedia.com/primajayasentosa/rantai-rs-35-1-roller-chain-rs-35-single-1729809497911362949?extParam=ivf%3Dfalse%26keyword%3Drantai+rs+35%26search_id%3D2026012513524263923F49E524131501ZD%26src%3Dsearch&amp;t_id=1769348218558&amp;t_st=3&amp;t_pp=search_result&amp;t_efo=search_pure_goods_card&amp;t_ef=goods_search&amp;t_sm=&amp;t_spt=search_result" TargetMode="External"/><Relationship Id="rId643" Type="http://schemas.openxmlformats.org/officeDocument/2006/relationships/hyperlink" Target="https://shopee.co.id/DOP-PIPA-TUTUP-DALAM-1-2-3-INCHI-TUTUP-PIPA-ORNAMEN-STAINLESS-STAINLESS-201-i.329038744.9434764723?extraParams=%7B%22display_model_id%22%3A410425438611%2C%22model_selection_logic%22%3A2%7D&amp;sp_atk=82f9a3da-bd49-41b4-98d6-646ef63139b4&amp;xptdk=82f9a3da-bd49-41b4-98d6-646ef63139b4" TargetMode="External"/><Relationship Id="rId408" Type="http://schemas.openxmlformats.org/officeDocument/2006/relationships/hyperlink" Target="https://tk.tokopedia.com/ZSUu97FgQ/" TargetMode="External"/><Relationship Id="rId529" Type="http://schemas.openxmlformats.org/officeDocument/2006/relationships/hyperlink" Target="https://tk.tokopedia.com/ZSaHUfPsQ/" TargetMode="External"/><Relationship Id="rId407" Type="http://schemas.openxmlformats.org/officeDocument/2006/relationships/hyperlink" Target="https://infiltracoiaf.com/product/" TargetMode="External"/><Relationship Id="rId528" Type="http://schemas.openxmlformats.org/officeDocument/2006/relationships/hyperlink" Target="https://tk.tokopedia.com/ZSaY6QkYS/" TargetMode="External"/><Relationship Id="rId649" Type="http://schemas.openxmlformats.org/officeDocument/2006/relationships/hyperlink" Target="https://tk.tokopedia.com/ZSQkAt6KA/" TargetMode="External"/><Relationship Id="rId406" Type="http://schemas.openxmlformats.org/officeDocument/2006/relationships/hyperlink" Target="https://infiltracoiaf.com/product/" TargetMode="External"/><Relationship Id="rId527" Type="http://schemas.openxmlformats.org/officeDocument/2006/relationships/hyperlink" Target="https://drive.google.com/drive/folders/1ZRj5fiO6TVaEqrDRawB57QX6Lkod426T?usp=drive_link" TargetMode="External"/><Relationship Id="rId648" Type="http://schemas.openxmlformats.org/officeDocument/2006/relationships/hyperlink" Target="https://tk.tokopedia.com/ZS9Lo6KSg/" TargetMode="External"/><Relationship Id="rId405" Type="http://schemas.openxmlformats.org/officeDocument/2006/relationships/hyperlink" Target="https://www.tokopedia.com/artechshoponline/alarm-emergency-door-sensor-delay-exit-delay-time?extParam=ivf%3Dfalse%26keyword%3Dalarm+pintu+emergency%26search_id%3D2025101501300937BC2F75BF1BCF1627G6%26src%3Dsearch&amp;t_id=1760491827440&amp;t_st=4&amp;t_pp=search_result&amp;t_efo=search_pure_goods_card&amp;t_ef=goods_search&amp;t_sm=&amp;t_spt=search_result" TargetMode="External"/><Relationship Id="rId526" Type="http://schemas.openxmlformats.org/officeDocument/2006/relationships/hyperlink" Target="https://drive.google.com/drive/folders/1iFGncHzOtVQneQmVZayhu1c4GejmE_aP?usp=drive_link" TargetMode="External"/><Relationship Id="rId647" Type="http://schemas.openxmlformats.org/officeDocument/2006/relationships/hyperlink" Target="https://tk.tokopedia.com/ZS9LoJs2Q/" TargetMode="External"/><Relationship Id="rId26" Type="http://schemas.openxmlformats.org/officeDocument/2006/relationships/hyperlink" Target="https://www.tokopedia.com/zentama/control-panel-lcp-102-danfoss-display-inverter-kiped?extParam=ivf%3Dfalse%26keyword%3Dlcp+danfoss%26search_id%3D2025013023320395B43E7F03282537D7CP%26src%3Dsearch" TargetMode="External"/><Relationship Id="rId25" Type="http://schemas.openxmlformats.org/officeDocument/2006/relationships/hyperlink" Target="https://www.regincontrols.com/en/se/products/controllers/electric-heating-controllers/pulser-1-or-2-phase/electric-heating-controller-for-external-input-signal-0-10-v-230-v-ac-or-400-v-ac-wall-mounting-p11457/pulser230x010/" TargetMode="External"/><Relationship Id="rId28" Type="http://schemas.openxmlformats.org/officeDocument/2006/relationships/hyperlink" Target="https://www.tokopedia.com/solarwinid/baterai-nicad-emergency-tl-biasa-6v-hokistar?extParam=ivf%3Dfalse%26keyword%3Dhokistar+emergency%26search_id%3D20250130234919E5AF7B92904D6F2F3EKQ%26src%3Dsearch" TargetMode="External"/><Relationship Id="rId27" Type="http://schemas.openxmlformats.org/officeDocument/2006/relationships/hyperlink" Target="https://www.tokopedia.com/solarwinid/baterai-nicad-emergency-tl-biasa-6v-hokistar?extParam=ivf%3Dfalse%26keyword%3Dhokistar+emergency%26search_id%3D20250130234919E5AF7B92904D6F2F3EKQ%26src%3Dsearch" TargetMode="External"/><Relationship Id="rId400" Type="http://schemas.openxmlformats.org/officeDocument/2006/relationships/hyperlink" Target="https://tk.tokopedia.com/ZSU5kPmdm/" TargetMode="External"/><Relationship Id="rId521" Type="http://schemas.openxmlformats.org/officeDocument/2006/relationships/hyperlink" Target="https://shopee.co.id/Oil-seal-TC-VITON-ID-20-OD-28-T-5-i.496394644.45000098139?xptdk=0b4bb3b5-300e-4757-b398-c8eaa2f9da98" TargetMode="External"/><Relationship Id="rId642" Type="http://schemas.openxmlformats.org/officeDocument/2006/relationships/hyperlink" Target="https://www.tokopedia.com/louloustore/tongkat-pengganti-lampu-panjang-2-meter-downlight-downlights-2-m-2m-lampu-bohlam-led-pijar-stick-1731620172457018942?extParam=ivf%3Dfalse%26keyword%3Dganti+lampu%26search_id%3D202606072033439DE6D14FFF98062F4U1L%26src%3Dsearch&amp;t_id=1780864432590&amp;t_st=1&amp;t_pp=search_result&amp;t_efo=search_pure_goods_card&amp;t_ef=goods_search&amp;t_sm=&amp;t_spt=search_result" TargetMode="External"/><Relationship Id="rId29" Type="http://schemas.openxmlformats.org/officeDocument/2006/relationships/hyperlink" Target="https://www.tokopedia.com/asolusindo/lampu-emergency-tl-led-16watt-waterproof-ip65-1x-16-watt-b5e6e" TargetMode="External"/><Relationship Id="rId520" Type="http://schemas.openxmlformats.org/officeDocument/2006/relationships/hyperlink" Target="https://drive.google.com/drive/folders/1hjUKIVwNO-DLtFx2BFYHuQqIDNZnbISy?usp=drive_link" TargetMode="External"/><Relationship Id="rId641" Type="http://schemas.openxmlformats.org/officeDocument/2006/relationships/hyperlink" Target="https://acrobat.adobe.com/id/urn:aaid:sc:AP:ed51335f-ae92-4988-ac94-fda62b428eec" TargetMode="External"/><Relationship Id="rId640" Type="http://schemas.openxmlformats.org/officeDocument/2006/relationships/hyperlink" Target="https://www.tokopedia.com/rakini/tekiro-gagang-gergaji-besi-12-gratis-mata-gergajinya-30-cm?extParam=ivf%3Dfalse%26keyword%3Dgergaji+besi+set%26search_id%3D2026060403332734ED066DF378EF2F3442%26src%3Dsearch&amp;t_id=1780544016334&amp;t_st=2&amp;t_pp=search_result&amp;t_efo=search_pure_goods_card&amp;t_ef=goods_search&amp;t_sm=&amp;t_spt=search_result" TargetMode="External"/><Relationship Id="rId11" Type="http://schemas.openxmlformats.org/officeDocument/2006/relationships/hyperlink" Target="https://www.monotaro.id/s013385101.html" TargetMode="External"/><Relationship Id="rId10" Type="http://schemas.openxmlformats.org/officeDocument/2006/relationships/hyperlink" Target="https://www.monotaro.id/items/s044355524.html?utm_source=google&amp;utm_medium=pla&amp;utm_campaign=1672206402&amp;utm_content=88187085595&amp;utm_term=cpcless_500_more1min_more3_clicks_noclick_badbrand&amp;gad_source=4&amp;gclid=Cj0KCQiAy8K8BhCZARIsAKJ8sfQfokzSeLh_STV_PgW4TRj7mhdErFRMIaQsqLWbD6nTW0OekKbuSa8aAh6qEALw_wcB" TargetMode="External"/><Relationship Id="rId13" Type="http://schemas.openxmlformats.org/officeDocument/2006/relationships/hyperlink" Target="https://www.tokopedia.com/onlinekios/commax-wi-4c-sepasang-intercom-wireless?utm_source=google&amp;utm_medium=organic&amp;utm_campaign=pdp" TargetMode="External"/><Relationship Id="rId12" Type="http://schemas.openxmlformats.org/officeDocument/2006/relationships/hyperlink" Target="https://www.tokopedia.com/depibangunan/reducing-socket-vsok-1-x-1-2-inch-aw-rucika-fitting-pvc-vlok-sok" TargetMode="External"/><Relationship Id="rId519" Type="http://schemas.openxmlformats.org/officeDocument/2006/relationships/hyperlink" Target="https://drive.google.com/drive/folders/1m7cuEfuIYcCM-b0C9rT7fPMFnzzvke3B?usp=drive_link" TargetMode="External"/><Relationship Id="rId514" Type="http://schemas.openxmlformats.org/officeDocument/2006/relationships/hyperlink" Target="https://shopee.co.id/apar-powder-3kg-merk-chubb-i.137961004.24183552933" TargetMode="External"/><Relationship Id="rId635" Type="http://schemas.openxmlformats.org/officeDocument/2006/relationships/hyperlink" Target="https://tk.tokopedia.com/ZSxHxE9Y1/" TargetMode="External"/><Relationship Id="rId513" Type="http://schemas.openxmlformats.org/officeDocument/2006/relationships/hyperlink" Target="https://www.tokopedia.com/sumberpompateknik/mesin-saluran-pipa-air-mampet-electric-drain-cleaner-gq-75-1731874439253165951?extParam=ivf%3Dfalse%26keyword%3Ddrain+cleaner%26search_id%3D20260119024343EF0D3930A7B6C905837W%26src%3Dsearch&amp;t_id=1768790653941&amp;t_st=5&amp;t_pp=search_result&amp;t_efo=search_pure_goods_card&amp;t_ef=goods_search&amp;t_sm=&amp;t_spt=search_result" TargetMode="External"/><Relationship Id="rId634" Type="http://schemas.openxmlformats.org/officeDocument/2006/relationships/hyperlink" Target="https://www.tokopedia.com/tokofitting/pneumatic-push-in-8mm-x-1-2-festo-qs-1-2-8?extParam=ivf%3Dfalse%26keyword%3Dqs+1%2F2+8%26search_id%3D2026052102331534ED066DF378EF25ADKN%26src%3Dsearch" TargetMode="External"/><Relationship Id="rId512" Type="http://schemas.openxmlformats.org/officeDocument/2006/relationships/hyperlink" Target="https://www.gemu-group.com/en_SE/shop/replacement-actuators-for-diaphragm-valves/gemu-9612-/9612-10m01ts/pid-88079321" TargetMode="External"/><Relationship Id="rId633" Type="http://schemas.openxmlformats.org/officeDocument/2006/relationships/hyperlink" Target="https://drive.google.com/file/d/1ONkOawShG42cFsxr2cPLzVSzGJ1tF4vr/view?usp=drive_link" TargetMode="External"/><Relationship Id="rId511" Type="http://schemas.openxmlformats.org/officeDocument/2006/relationships/hyperlink" Target="https://www.tokopedia.com/bosch-tools-authorized-snt/bosch-mesin-blower-tangan-cordless-gbl-18v-750-hand-blower-18-v-gbl18v-unit-only-1731137586110039528?extParam=ivf%3Dfalse%26keyword%3Dblower+portable+bosch%26search_id%3D202511110233215B8ADD2A5D98B1224ALM%26src%3Dsearch&amp;t_id=1762828426571&amp;t_st=1&amp;t_pp=search_result&amp;t_efo=search_pure_goods_card&amp;t_ef=goods_search&amp;t_sm=&amp;t_spt=search_result" TargetMode="External"/><Relationship Id="rId632" Type="http://schemas.openxmlformats.org/officeDocument/2006/relationships/hyperlink" Target="https://tk.tokopedia.com/ZS9tbfdcp/" TargetMode="External"/><Relationship Id="rId518" Type="http://schemas.openxmlformats.org/officeDocument/2006/relationships/hyperlink" Target="https://www.tokopedia.com/udmajubersamaaki/aki-mobil-n-100-95e41r-gs-gold-shine-aki-kering-n100-genset-excavator?extParam=ivf%3Dfalse%26keyword%3D95e41r%26search_id%3D202601220440527A614FD06C32542A25AY%26src%3Dsearch&amp;t_id=1769056452383&amp;t_st=5&amp;t_pp=search_result&amp;t_efo=search_pure_goods_card&amp;t_ef=goods_search&amp;t_sm=&amp;t_spt=search_result" TargetMode="External"/><Relationship Id="rId639" Type="http://schemas.openxmlformats.org/officeDocument/2006/relationships/hyperlink" Target="https://drive.google.com/file/d/1brIX0ArNhYAOJeEHqdfR2-328M_jU1Vh/view?usp=drive_link" TargetMode="External"/><Relationship Id="rId517" Type="http://schemas.openxmlformats.org/officeDocument/2006/relationships/hyperlink" Target="https://www.ebay.com/itm/224340714321" TargetMode="External"/><Relationship Id="rId638" Type="http://schemas.openxmlformats.org/officeDocument/2006/relationships/hyperlink" Target="https://drive.google.com/drive/folders/1qFjh3nWLC22ZkSw2vBRudTbIz7Cy1CSk?usp=sharing" TargetMode="External"/><Relationship Id="rId516" Type="http://schemas.openxmlformats.org/officeDocument/2006/relationships/hyperlink" Target="https://www.tokopedia.com/led-lighting-store/philips-tforce-true-force-essential-led-25-w-25-w-25-watt-e27-6500-k?extParam=ivf%3Dfalse%26keyword%3Dlampu+led+philip+25+watt%26search_id%3D20260108065631320722549D17512858C2%26src%3Dsearch" TargetMode="External"/><Relationship Id="rId637" Type="http://schemas.openxmlformats.org/officeDocument/2006/relationships/hyperlink" Target="https://www.tokopedia.com/oringjaya/o-ring-g-300-5-7-x-299-3-x-310-7-mm-nbr-shore-70-merk-nok-1735361336094459163?extParam=ivf%3Dfalse%26keyword%3Do+ring+diameter+30cm%26search_id%3D20260526025648320722549D1751085FKN%26src%3Dsearch&amp;t_id=1779764347613&amp;t_st=1&amp;t_pp=search_result&amp;t_efo=search_pure_goods_card&amp;t_ef=goods_search&amp;t_sm=&amp;t_spt=search_result" TargetMode="External"/><Relationship Id="rId515" Type="http://schemas.openxmlformats.org/officeDocument/2006/relationships/hyperlink" Target="https://www.lazada.co.id/products/smoke-detector-fdk38u-nohmi-komplit-base-b16-berkualitas-i7997020684.html" TargetMode="External"/><Relationship Id="rId636" Type="http://schemas.openxmlformats.org/officeDocument/2006/relationships/hyperlink" Target="https://www.tokopedia.com/bansbachofficial/gas-spring-bansbach-d0m0-83-250-760-750n-1735758326594766499" TargetMode="External"/><Relationship Id="rId15" Type="http://schemas.openxmlformats.org/officeDocument/2006/relationships/hyperlink" Target="https://drive.google.com/file/d/1eBvaxc7AjHsaoSnzSdwhswU5OueVqOuq/view?usp=drive_link" TargetMode="External"/><Relationship Id="rId14" Type="http://schemas.openxmlformats.org/officeDocument/2006/relationships/hyperlink" Target="https://www.tokopedia.com/pt-longtime/buckle-cb5-galvanized-steel-buckle-strapping-cordstrap-16mm-hook-tali" TargetMode="External"/><Relationship Id="rId17" Type="http://schemas.openxmlformats.org/officeDocument/2006/relationships/hyperlink" Target="https://drive.google.com/file/d/1hC4f0O07MBcnaiwecavt9yDoV67_K-GE/view?usp=drive_link" TargetMode="External"/><Relationship Id="rId16" Type="http://schemas.openxmlformats.org/officeDocument/2006/relationships/hyperlink" Target="https://www.tokopedia.com/afnteknik/tali-webbing-ratchet-tie-down-roll-ketebalan-4mm-pjang-50-m" TargetMode="External"/><Relationship Id="rId19" Type="http://schemas.openxmlformats.org/officeDocument/2006/relationships/hyperlink" Target="https://shopee.co.id/product/193832839/8457384467?gads_t_sig=VTJGc2RHVmtYMTlxTFVSVVRrdENkVzBLS2xuUGZzMlQ5NjlFWklmRkZjUU9pQWFXSnBIeTRnYWV3eGVqT2RWR3Q0ZVBSNElESE9Sd3BRQlRhc0ZkK2xlVFVFTm1wRnVhODVrSXpPamUyWjAwWXdHcFZINmRJd0xlUEhOU0pJS0k&amp;gad_source=4&amp;gclid=Cj0KCQiAy8K8BhCZARIsAKJ8sfSVxeEF-f6OUgltFQqg0tuXGCMZSK6CfHpWO7rqVNnAE3JMcqdzzNoaAvlMEALw_wcB" TargetMode="External"/><Relationship Id="rId510" Type="http://schemas.openxmlformats.org/officeDocument/2006/relationships/hyperlink" Target="https://sbindustrialsupply.com/shop/new-swagelok-ss-18rs12-needle-valve-ss18rs12/?srsltid=AfmBOopSSiFirw9ebXl0Mk-8TsctcCYILCsDQKlydstY0am-VOxTbObl" TargetMode="External"/><Relationship Id="rId631" Type="http://schemas.openxmlformats.org/officeDocument/2006/relationships/hyperlink" Target="https://tk.tokopedia.com/ZS9tVnK5V/" TargetMode="External"/><Relationship Id="rId18" Type="http://schemas.openxmlformats.org/officeDocument/2006/relationships/hyperlink" Target="https://www.monotaro.id/items/s044355494.html?utm_source=google&amp;utm_medium=pla&amp;utm_campaign=1672206402&amp;utm_content=88187085595&amp;utm_term=cpcless_500_more1min_more3_clicks_noclick_badbrand&amp;gad_source=4&amp;gclid=Cj0KCQiAy8K8BhCZARIsAKJ8sfRH6nJC7tVOQFd2uy58LoYSysHem5Zy2YQO3wqhAGiFbZYn743OTGcaAoRnEALw_wcB" TargetMode="External"/><Relationship Id="rId630" Type="http://schemas.openxmlformats.org/officeDocument/2006/relationships/hyperlink" Target="https://tk.tokopedia.com/ZS9tVPjjt/" TargetMode="External"/><Relationship Id="rId84" Type="http://schemas.openxmlformats.org/officeDocument/2006/relationships/hyperlink" Target="https://www.monotaro.id/items/s044354671.html?utm_source=google&amp;utm_medium=pla&amp;utm_campaign=1672206402&amp;utm_content=88187085595&amp;utm_term=readystock_cat_group_2_pricebrand_group_2&amp;gad_source=4&amp;gclid=Cj0KCQjwkN--BhDkARIsAD_mnIpf52KCxx5u1mGTdPld-wvL5e3dQsZ81K0kgAUXzWbwh-s2idQOjM8aAoR0EALw_wcB" TargetMode="External"/><Relationship Id="rId83" Type="http://schemas.openxmlformats.org/officeDocument/2006/relationships/hyperlink" Target="https://www.tokopedia.com/discovery/rekomendasi?recomProdId=863672718&amp;utm_source=google&amp;utm_medium=cpc&amp;utm_campaign=0000-0000-gg-pmax-bend-voo-tcpa-act-ord-pg-id51pgce51-0000-alon-gshp&amp;utm_term=863672718&amp;ref=googleshopping&amp;c=21543673600&amp;m=287358447&amp;gclsrc=aw.ds&amp;gad_source=4" TargetMode="External"/><Relationship Id="rId86" Type="http://schemas.openxmlformats.org/officeDocument/2006/relationships/hyperlink" Target="https://www.monotaro.id/items/s007558250.html?utm_source=google&amp;utm_medium=pla&amp;utm_campaign=1672206402&amp;utm_content=88187085595&amp;utm_term=readystock_cat_group_3_pricebrand_group_1&amp;gad_source=4&amp;gclid=Cj0KCQjwkN--BhDkARIsAD_mnIqkp0iZ2kIF7qbatQgTPpIGOjXgJs1tHKdj3XhgCUZifMuarwrjfBQaAuWSEALw_wcB" TargetMode="External"/><Relationship Id="rId85" Type="http://schemas.openxmlformats.org/officeDocument/2006/relationships/hyperlink" Target="https://www.monotaro.id/items/s039476586.html?utm_source=google&amp;utm_medium=pla&amp;utm_campaign=1672206402&amp;utm_content=88187085595&amp;utm_term=others_cat_group_2_pricebrand_group_1&amp;gad_source=4&amp;gclid=Cj0KCQjwkN--BhDkARIsAD_mnIqgSgWRxHVavwcOfmzK0BMez1qGxkak2oqIYqoMzGUyfDUvxLqeItgaAqZiEALw_wcB" TargetMode="External"/><Relationship Id="rId88" Type="http://schemas.openxmlformats.org/officeDocument/2006/relationships/hyperlink" Target="https://www.tokopedia.com/ggtekhnik/freon-dupont-suva-407c-407-r407-usa?extParam=ivf%3Dfalse%26keyword%3Dfreon+r407&amp;src=topads" TargetMode="External"/><Relationship Id="rId87" Type="http://schemas.openxmlformats.org/officeDocument/2006/relationships/hyperlink" Target="https://drive.google.com/file/d/12c2MtJCV8bh6iGglEf3M-ARdyyUYpt5m/view?usp=drive_link" TargetMode="External"/><Relationship Id="rId89" Type="http://schemas.openxmlformats.org/officeDocument/2006/relationships/hyperlink" Target="https://www.tokopedia.com/palemkuncihrd/door-stopper-magnetic-dekson-mds-889-sn?utm_source=salinlink&amp;utm_medium=share&amp;utm_campaign=pdp-m2ax7rt8wzbd-701476599-0" TargetMode="External"/><Relationship Id="rId709" Type="http://schemas.openxmlformats.org/officeDocument/2006/relationships/hyperlink" Target="https://www.tokopedia.com/electricalhome/tang-press-skun-ferrules-hsc9-16-4a-0-08-16mm2-segi-4?extParam=ivf%3Dfalse%26keyword%3Dtang+skun+ferulles+0.08-16mm%26search_id%3D20260710082948A49E9411D64FF5392FWZ%26src%3Dsearch&amp;t_id=1783670943971&amp;t_st=9&amp;t_pp=search_result&amp;t_efo=search_pure_goods_card&amp;t_ef=goods_search&amp;t_sm=&amp;t_spt=search_result" TargetMode="External"/><Relationship Id="rId708" Type="http://schemas.openxmlformats.org/officeDocument/2006/relationships/hyperlink" Target="https://www.tokopedia.com/burung-terbang2/100pcs-kabel-ties-stainless-steel-cable-ties-kabel-tis-besi-ss304-30-40cm-1730927980585780746?extParam=ivf%3Dfalse%26keyword%3Dkabel+ties+stainless%26search_id%3D20260710082457B83AAC23B9528726FA0G%26src%3Dsearch&amp;t_id=1783670943971&amp;t_st=3&amp;t_pp=search_result&amp;t_efo=search_pure_goods_card&amp;t_ef=goods_search&amp;t_sm=&amp;t_spt=search_result" TargetMode="External"/><Relationship Id="rId707" Type="http://schemas.openxmlformats.org/officeDocument/2006/relationships/hyperlink" Target="https://www.tokopedia.com/market-isolasi/solasi-listrik-nitto-2107-merah-kuning-hijau-biru-grosir-biru?t_id=1783670943971&amp;t_st=2&amp;t_pp=cart&amp;t_efo=cart&amp;t_ef=&amp;t_sm=&amp;t_spt=cart" TargetMode="External"/><Relationship Id="rId706" Type="http://schemas.openxmlformats.org/officeDocument/2006/relationships/hyperlink" Target="https://www.tokopedia.com/market-isolasi/solasi-listrik-nitto-2107-merah-kuning-hijau-biru-grosir-biru?t_id=1783670943971&amp;t_st=2&amp;t_pp=cart&amp;t_efo=cart&amp;t_ef=&amp;t_sm=&amp;t_spt=cart" TargetMode="External"/><Relationship Id="rId80" Type="http://schemas.openxmlformats.org/officeDocument/2006/relationships/hyperlink" Target="https://www.tokopedia.com/zentama/control-panel-lcp-102-danfoss-display-inverter-kiped?extParam=ivf%3Dfalse%26keyword%3Dlcp+danfoss%26search_id%3D2025013023320395B43E7F03282537D7CP%26src%3Dsearch" TargetMode="External"/><Relationship Id="rId82" Type="http://schemas.openxmlformats.org/officeDocument/2006/relationships/hyperlink" Target="https://shopee.co.id/product/4401445/19973815449?gads_t_sig=VTJGc2RHVmtYMTlxTFVSVVRrdENkVEg0SDd3VWo1MDQyT052d3EvY1B4WlA0WStXZUtwcVc5OWY1ZjZJNmJOdFJubHlteVNIZ3MwMDE1T1BGdXozaERpaUc2ZG5oalBFSlp0RU82SmxDYmNIU0J4Vk9TNjlYejZSTnl1UHJyREk" TargetMode="External"/><Relationship Id="rId81" Type="http://schemas.openxmlformats.org/officeDocument/2006/relationships/hyperlink" Target="https://www.tokopedia.com/discovery/rekomendasi?recomProdId=13450055747&amp;utm_source=google&amp;utm_medium=cpc&amp;utm_campaign=0000-0000-gg-pmax-bend-voo-tcpa-act-ord-pg-id51pgce51-0000-alon-gshp&amp;utm_term=13450055747&amp;ref=googleshopping&amp;c=21543673600&amp;m=283064554&amp;gclsrc=aw.ds&amp;gad_source=4" TargetMode="External"/><Relationship Id="rId701" Type="http://schemas.openxmlformats.org/officeDocument/2006/relationships/hyperlink" Target="https://www.tokopedia.com/pbelectric/flexible-metal-conduit-1-1-2-inch-flexible-conduit-1-1-2-meteran?t_id=1783670943971&amp;t_st=2&amp;t_pp=cart&amp;t_efo=cart&amp;t_ef=&amp;t_sm=&amp;t_spt=cart" TargetMode="External"/><Relationship Id="rId700" Type="http://schemas.openxmlformats.org/officeDocument/2006/relationships/hyperlink" Target="https://www.tokopedia.com/cv-knox-bright-future/kabel-nyy-5x10mm-5x10-power-kabel-supreme-metal-sni-4b?t_id=1783670943971&amp;t_st=2&amp;t_pp=cart&amp;t_efo=cart&amp;t_ef=&amp;t_sm=&amp;t_spt=cart" TargetMode="External"/><Relationship Id="rId705" Type="http://schemas.openxmlformats.org/officeDocument/2006/relationships/hyperlink" Target="https://www.tokopedia.com/kaleaelektrindo/skun-kabel-sc-10-8-type-10mm-lubang-baut-8mm-scun-cable-lug-premium-bahan-tembaga-lapis-alumunium-warna-doff-silver-1731556745946367006?t_id=1783670943971&amp;t_st=2&amp;t_pp=cart&amp;t_efo=cart&amp;t_ef=&amp;t_sm=&amp;t_spt=cart" TargetMode="External"/><Relationship Id="rId704" Type="http://schemas.openxmlformats.org/officeDocument/2006/relationships/hyperlink" Target="https://www.tokopedia.com/archive-firstelectric/skun-kabel-ferules-ferulles-10mm-10-mm-e1012-e10-12-e-1012-e-10-12-e-1012-e-10-12-tersedia-warna-merah-kuning-hitam-biru-hijau-coklat-abu-abu-putih-ivory-dll-1731067975323584162?t_id=1783670943971&amp;t_st=2&amp;t_pp=cart&amp;t_efo=cart&amp;t_ef=&amp;t_sm=&amp;t_spt=cart" TargetMode="External"/><Relationship Id="rId703" Type="http://schemas.openxmlformats.org/officeDocument/2006/relationships/hyperlink" Target="https://www.tokopedia.com/archive-firstelectric/skun-kabel-ferules-ferulles-10mm-10-mm-e1012-e10-12-e-1012-e-10-12-e-1012-e-10-12-tersedia-warna-merah-kuning-hitam-biru-hijau-coklat-abu-abu-putih-ivory-dll-1731067975323584162?t_id=1783670943971&amp;t_st=2&amp;t_pp=cart&amp;t_efo=cart&amp;t_ef=&amp;t_sm=&amp;t_spt=cart" TargetMode="External"/><Relationship Id="rId702" Type="http://schemas.openxmlformats.org/officeDocument/2006/relationships/hyperlink" Target="https://www.tokopedia.com/archive-firstelectric/skun-kabel-ferules-ferulles-10mm-10-mm-e1012-e10-12-e-1012-e-10-12-e-1012-e-10-12-tersedia-warna-merah-kuning-hitam-biru-hijau-coklat-abu-abu-putih-ivory-dll-1731067975323584162?t_id=1783670943971&amp;t_st=2&amp;t_pp=cart&amp;t_efo=cart&amp;t_ef=&amp;t_sm=&amp;t_spt=cart" TargetMode="External"/><Relationship Id="rId73" Type="http://schemas.openxmlformats.org/officeDocument/2006/relationships/hyperlink" Target="https://www.monotaro.id/s011234999.html" TargetMode="External"/><Relationship Id="rId72" Type="http://schemas.openxmlformats.org/officeDocument/2006/relationships/hyperlink" Target="https://www.monotaro.id/s039285997.html" TargetMode="External"/><Relationship Id="rId75" Type="http://schemas.openxmlformats.org/officeDocument/2006/relationships/hyperlink" Target="https://tokopedia.link/k8YszrwhLNb" TargetMode="External"/><Relationship Id="rId74" Type="http://schemas.openxmlformats.org/officeDocument/2006/relationships/hyperlink" Target="https://shopee.co.id/pelindung-wajah-Full-Face-Shield-Safety-Muka-APD-Gerinda-Visor-FACESHIELD-Safety-i.198818354.20980645147" TargetMode="External"/><Relationship Id="rId77" Type="http://schemas.openxmlformats.org/officeDocument/2006/relationships/hyperlink" Target="https://www.tokopedia.com/rizqula-berkah/potongan-8471-belden-1pair-unshielded-audio-sound-contro-cable-16awg?extParam=ivf%3Dfalse%26keyword%3Dkabel+audio+shielded&amp;src=topads" TargetMode="External"/><Relationship Id="rId76" Type="http://schemas.openxmlformats.org/officeDocument/2006/relationships/hyperlink" Target="https://shopee.co.id/product/566750862/13033066823?gads_t_sig=VTJGc2RHVmtYMTlxTFVSVVRrdENkWVp3RFo3Mkw5czd4Z0hzdEF1WVFibGgrUmpiTWdoMHJJWjd4c2syNi8zaklya05yRnYzUmJpZWFBN3k2OXE1aGU1bzFVTzdVK2liMTJ2azBPeGZORm1ld3hJSFl0eFhqMGtTRmFIUFQ3YkU&amp;gad_source=1&amp;gclid=EAIaIQobChMIqcbNvuqUiQMVM6RmAh2B1xyXEAQYAiABEgJqp_D_BwE" TargetMode="External"/><Relationship Id="rId79" Type="http://schemas.openxmlformats.org/officeDocument/2006/relationships/hyperlink" Target="https://www.tokopedia.com/tokocatpaswarna/kunci-laci-lemari-loker-slide-huben-mekar-hl-505?extParam=ivf%3Dfalse%26keyword%3Dkunci+lemari+slide%26search_id%3D202502240507135A2B7C3ED7DFF42C7G63%26src%3Dsearch" TargetMode="External"/><Relationship Id="rId78" Type="http://schemas.openxmlformats.org/officeDocument/2006/relationships/hyperlink" Target="https://www.tokopedia.com/jasonleonardo/kabel-duct-65-x-65-abu-abu-lubang-pm?extParam=ivf%3Dfalse%26keyword%3Dkabel+duct+65+x+65&amp;src=topads" TargetMode="External"/><Relationship Id="rId71" Type="http://schemas.openxmlformats.org/officeDocument/2006/relationships/hyperlink" Target="https://www.monotaro.id/s029279722.html" TargetMode="External"/><Relationship Id="rId70" Type="http://schemas.openxmlformats.org/officeDocument/2006/relationships/hyperlink" Target="https://shopee.co.id/product/322184538/26855481658?gads_t_sig=VTJGc2RHVmtYMTlxTFVSVVRrdENkWVp3RFo3Mkw5czd4Z0hzdEF1WVFibGlnUHJLRWZqb3BIWDNvMVRDS2wyclk3WnRHdzNBVVJQZDhXRmpmWVBabXNZeGdLQ050VDZSejFIWHFaOXFFenVaZ2w0TCs3eVdrVkNsQVBVNERPUWY&amp;gad_source=1&amp;gclid=EAIaIQobChMIo_yureGCiQMVExqDAx3eLSi8EAQYBCABEgIjxPD_BwE" TargetMode="External"/><Relationship Id="rId62" Type="http://schemas.openxmlformats.org/officeDocument/2006/relationships/hyperlink" Target="https://id.misumi-ec.com/vona2/detail/221005674670/?KWSearch=Mur+U-Nuts+&amp;searchFlow=results2products&amp;list=PageSearchResult" TargetMode="External"/><Relationship Id="rId61" Type="http://schemas.openxmlformats.org/officeDocument/2006/relationships/hyperlink" Target="https://drive.google.com/drive/folders/1G3cIZcwv7Y3w7dzznNZKN0ruRpsHdvkI?usp=drive_link" TargetMode="External"/><Relationship Id="rId64" Type="http://schemas.openxmlformats.org/officeDocument/2006/relationships/hyperlink" Target="https://www.tokopedia.com/jsmmartofficial/rucika-pipa-air-pvc-1-1-4-inch-abu-abu-aw" TargetMode="External"/><Relationship Id="rId63" Type="http://schemas.openxmlformats.org/officeDocument/2006/relationships/hyperlink" Target="https://shopee.co.id/PIPA-PVC-RUCIKA-2-1-2-inch-ABU-JIS-AW-VP-4-meter-i.139075405.7650982111" TargetMode="External"/><Relationship Id="rId66" Type="http://schemas.openxmlformats.org/officeDocument/2006/relationships/hyperlink" Target="https://drive.google.com/file/d/1FuchjV4fj775NNVmhKTLGdR9WU7r5yNh/view?usp=drive_link" TargetMode="External"/><Relationship Id="rId65" Type="http://schemas.openxmlformats.org/officeDocument/2006/relationships/hyperlink" Target="https://id.misumi-ec.com/vona2/detail/110310701099/?Tab=codeList" TargetMode="External"/><Relationship Id="rId68" Type="http://schemas.openxmlformats.org/officeDocument/2006/relationships/hyperlink" Target="https://www.google.com/url?sa=i&amp;url=https%3A%2F%2Fveritaqua.com%2Fproducts%2Freplacement-lamp-for-anatel-a643-or-toc600&amp;psig=AOvVaw1bLUJdia409OUlIY0KIRHk&amp;ust=1740106090113000&amp;source=images&amp;cd=vfe&amp;opi=89978449&amp;ved=0CBQQjRxqFwoTCICpj76e0YsDFQAAAAAdAAAAABAE" TargetMode="External"/><Relationship Id="rId67" Type="http://schemas.openxmlformats.org/officeDocument/2006/relationships/hyperlink" Target="https://tokopedia.link/99TlfcAw6Qb" TargetMode="External"/><Relationship Id="rId609" Type="http://schemas.openxmlformats.org/officeDocument/2006/relationships/hyperlink" Target="https://shopee.co.id/product/1410113315/29720530891?gads_t_sig=gqRjZGVrxHCFomtpsTE0MjUxOnRzc19zZGtfa2V5omt20QABpGFsZ2_SAAAAZKNkZWvAomN0xEAAAAAMRvS3L9OTXdZ5FJNxILig8p7lQ7pNpXYtdZAbsM8MQrkGmzJ0eOQRwaQfuYgAF9FAqYvxRTQ9oVrOjPOJqmNpcGhlcnRleHTEcwAAAAx-KXqI_vgakUFeqSwGS_l1UVBW2vxYI2L3umjGBsc6CG0CagoC9jwNBZY06PuYSQkCNM9-ulPUQVzkYGzo7AtDnslO4deh5EodoDqlR9MQla4kFok1CxmZbhoDYAF4h_V_BSC69CgfPu2O4gdNjMA&amp;gad_source=1&amp;gad_campaignid=23290582497&amp;gbraid=0AAAAADPpU80bLni-osjaedmdB_ob8fKd-&amp;gclid=CjwKCAjwwJzPBhBREiwAJfHRnVNoiwmhXvZSxByCToE0wsUMjMpYHm7pcX8TT215i1MhUYWDtrd1JBoCqigQAvD_BwE" TargetMode="External"/><Relationship Id="rId608" Type="http://schemas.openxmlformats.org/officeDocument/2006/relationships/hyperlink" Target="https://www.tokopedia.com/miraclesporty/mesin-bor-beton-bosch-rotary-hammer-hammer-drill-bor-bobok-gbh-220-gbh220-bor-beton-tembok-22mm-1730590333702997662?aff_unique_id=&amp;channel=others&amp;chain_key=" TargetMode="External"/><Relationship Id="rId729" Type="http://schemas.openxmlformats.org/officeDocument/2006/relationships/hyperlink" Target="https://drive.google.com/drive/folders/160KpJZM6QoiglK61KDbWzISYbRF0ynC1?usp=sharing" TargetMode="External"/><Relationship Id="rId607" Type="http://schemas.openxmlformats.org/officeDocument/2006/relationships/hyperlink" Target="https://www.tokopedia.com/casterwheel/roda-pu-heavy-duty-6inch-1set-4pcs-2mati-2rem?aff_unique_id=&amp;channel=others&amp;chain_key=" TargetMode="External"/><Relationship Id="rId728" Type="http://schemas.openxmlformats.org/officeDocument/2006/relationships/hyperlink" Target="https://shopee.co.id/COVER-PELINDUNG-TRANSPARAN-PUSH-BUTTON-PROTECTION-COVER-UNTUK-PUSH-BUTTON-22mm-i.1219139067.42980978507?extraParams=%7B%22display_model_id%22%3A315938423654%2C%22model_selection_logic%22%3A3%7D" TargetMode="External"/><Relationship Id="rId60" Type="http://schemas.openxmlformats.org/officeDocument/2006/relationships/hyperlink" Target="https://www.tokopedia.com/toko-material-ol/cat-tembok-interior-dulux-catylac-putih-dan-warna-25kg-1730699744622773664?utm_source=salinlink&amp;utm_medium=share&amp;utm_campaign=pdp-kiluasz685fi-15961026197-0" TargetMode="External"/><Relationship Id="rId602" Type="http://schemas.openxmlformats.org/officeDocument/2006/relationships/hyperlink" Target="https://shopee.co.id/product/287681718/21308319884?gads_t_sig=gqRjZGVrxHCFomtpsTE0MjUxOnRzc19zZGtfa2V5omt20QABpGFsZ2_SAAAAZKNkZWvAomN0xEAAAAAMRvS3L9OTXdZ5FJNxILig8p7lQ7pNpXYtdZAbsM8MQrkGmzJ0eOQRwaQfuYgAF9FAqYvxRTQ9oVrOjPOJqmNpcGhlcnRleHTEcQAAAAw-R2r-8X4dMxBDEzJh3pQDGCIkVXaSSOa4dVheX-NNYjU1-tBPNZgcvbaRd_DqMV96QwisDCTfJN59rit3rVP5X3b8mMFsU1Z0aK816OTpAV2tGQ6-NVwsOuLQr0KGY-ptxQJ_k99fIn0IrPVE&amp;gad_source=1&amp;gad_campaignid=23631329745&amp;gbraid=0AAAAADPpU83Hg09HXhYzviD5WvOmTFOrQ&amp;gclid=CjwKCAjwnZfPBhAGEiwAzg-VzCDMhdbiRijeYWeh_lNAk8KJgrm9uaje72hZQemvJGOJZyZw3oyWAxoCt_EQAvD_BwE" TargetMode="External"/><Relationship Id="rId723" Type="http://schemas.openxmlformats.org/officeDocument/2006/relationships/hyperlink" Target="https://tk.tokopedia.com/ZSVG2mkRK/" TargetMode="External"/><Relationship Id="rId601" Type="http://schemas.openxmlformats.org/officeDocument/2006/relationships/hyperlink" Target="https://drive.google.com/drive/folders/1HA_l4VE-c2stfmaiop6Kn9wux0GKEOZs?usp=drive_link" TargetMode="External"/><Relationship Id="rId722" Type="http://schemas.openxmlformats.org/officeDocument/2006/relationships/hyperlink" Target="https://www.tokopedia.com/toolsindoanugerah/kabel-high-temperature-l-kabel-nikel-4-mm-1731965122413102124?extParam=ivf%3Dfalse%26keyword%3Dkabel+heat+temp+4+mm+suhu+500+derajat%26search_id%3D20260826091821C203D8A151612A2007RN%26src%3Dsearch&amp;t_id=1787735554063&amp;t_st=5&amp;t_pp=search_result&amp;t_efo=search_pure_goods_card&amp;t_ef=goods_search&amp;t_sm=&amp;t_spt=search_result" TargetMode="External"/><Relationship Id="rId600" Type="http://schemas.openxmlformats.org/officeDocument/2006/relationships/hyperlink" Target="https://drive.google.com/drive/folders/1iyjSTsQwh1FJ4qLP2UdeqF5J6Vdjoqb-?usp=drive_link" TargetMode="External"/><Relationship Id="rId721" Type="http://schemas.openxmlformats.org/officeDocument/2006/relationships/hyperlink" Target="https://tk.tokopedia.com/ZSVfKK8LE/" TargetMode="External"/><Relationship Id="rId720" Type="http://schemas.openxmlformats.org/officeDocument/2006/relationships/hyperlink" Target="https://www.tokopedia.com/kanglistrik/kabel-control-4x1mm-kabel-ysly-4x1-0mm-kabel-control-ysly-4x1-0mm?extParam=ivf%3Dfalse%26keyword%3Dkabel+control+4x1+%26search_id%3D20260812015546F504DBF83E6F6E365J04%26src%3Dsearch&amp;t_id=1786499266395&amp;t_st=3&amp;t_pp=search_result&amp;t_efo=search_pure_goods_card&amp;t_ef=goods_search&amp;t_sm=&amp;t_spt=search_result" TargetMode="External"/><Relationship Id="rId606" Type="http://schemas.openxmlformats.org/officeDocument/2006/relationships/hyperlink" Target="https://drive.google.com/drive/folders/1YsryhUe8jgRHicPjwSsSK_nouvdeR44n?usp=sharing" TargetMode="External"/><Relationship Id="rId727" Type="http://schemas.openxmlformats.org/officeDocument/2006/relationships/hyperlink" Target="https://tk.tokopedia.com/ZSqJwAUoH/" TargetMode="External"/><Relationship Id="rId605" Type="http://schemas.openxmlformats.org/officeDocument/2006/relationships/hyperlink" Target="https://hit.sbt.siemens.com/RWD/app.aspx?module=Catalog&amp;action=ShowProduct&amp;key=BPZ:VVG44.25-10" TargetMode="External"/><Relationship Id="rId726" Type="http://schemas.openxmlformats.org/officeDocument/2006/relationships/hyperlink" Target="https://www.tokopedia.com/sahabatjayabglcr/schneider-electric-mcb-merk-schneider-16a-3phase-perangkat-pengaman-arus-listrik-3-fase-16-ampere-1731704042080077491?utm_source=google&amp;utm_medium=organic&amp;utm_campaign=pdp" TargetMode="External"/><Relationship Id="rId604" Type="http://schemas.openxmlformats.org/officeDocument/2006/relationships/hyperlink" Target="https://hit.sbt.siemens.com/RWD/App/Main?RC=Baltics&amp;lang=en&amp;MODULE=Catalog&amp;ACTION=ShowProduct&amp;KEY=BPZ%3aSQS65" TargetMode="External"/><Relationship Id="rId725" Type="http://schemas.openxmlformats.org/officeDocument/2006/relationships/hyperlink" Target="https://www.tokopedia.com/marina-cool/kompresor-ac-samsung-r22-r410a-r32-ur-ug-ub-series-ukuran-0-5-0-75-1-1-5-2-pk-hp-original-rotary-compressor-baru-1733712930893301180?extParam=ivf%3Dfalse%26keyword%3Dkompressor+ac+1+pk+r22%26search_id%3D2026090115355040008B9A5380FC0F7OCQ%26src%3Dsearch&amp;t_id=1788276965375&amp;t_st=1&amp;t_pp=search_result&amp;t_efo=search_pure_goods_card&amp;t_ef=goods_search&amp;t_sm=&amp;t_spt=search_result" TargetMode="External"/><Relationship Id="rId603" Type="http://schemas.openxmlformats.org/officeDocument/2006/relationships/hyperlink" Target="https://drive.google.com/drive/folders/11118Cc_L-ROcwEY62w3m9tggLAi2Ercf?usp=drive_link" TargetMode="External"/><Relationship Id="rId724" Type="http://schemas.openxmlformats.org/officeDocument/2006/relationships/hyperlink" Target="https://tk.tokopedia.com/ZSVGMyjTm/" TargetMode="External"/><Relationship Id="rId69" Type="http://schemas.openxmlformats.org/officeDocument/2006/relationships/hyperlink" Target="https://tokopedia.link/TVtna2rC8Qb" TargetMode="External"/><Relationship Id="rId51" Type="http://schemas.openxmlformats.org/officeDocument/2006/relationships/hyperlink" Target="https://drive.google.com/drive/folders/1EKMzaK4ks98e51fyzunPQmus_nVke1w3?usp=drive_link" TargetMode="External"/><Relationship Id="rId50" Type="http://schemas.openxmlformats.org/officeDocument/2006/relationships/hyperlink" Target="https://drive.google.com/drive/folders/1EKMzaK4ks98e51fyzunPQmus_nVke1w3?usp=drive_link" TargetMode="External"/><Relationship Id="rId53" Type="http://schemas.openxmlformats.org/officeDocument/2006/relationships/hyperlink" Target="https://drive.google.com/drive/folders/1EKMzaK4ks98e51fyzunPQmus_nVke1w3?usp=drive_link" TargetMode="External"/><Relationship Id="rId52" Type="http://schemas.openxmlformats.org/officeDocument/2006/relationships/hyperlink" Target="https://drive.google.com/drive/folders/1EKMzaK4ks98e51fyzunPQmus_nVke1w3?usp=drive_link" TargetMode="External"/><Relationship Id="rId55" Type="http://schemas.openxmlformats.org/officeDocument/2006/relationships/hyperlink" Target="https://drive.google.com/drive/folders/1EKMzaK4ks98e51fyzunPQmus_nVke1w3?usp=drive_link" TargetMode="External"/><Relationship Id="rId54" Type="http://schemas.openxmlformats.org/officeDocument/2006/relationships/hyperlink" Target="https://drive.google.com/drive/folders/1EKMzaK4ks98e51fyzunPQmus_nVke1w3?usp=drive_link" TargetMode="External"/><Relationship Id="rId57" Type="http://schemas.openxmlformats.org/officeDocument/2006/relationships/hyperlink" Target="https://drive.google.com/drive/folders/1G3cIZcwv7Y3w7dzznNZKN0ruRpsHdvkI?usp=drive_link" TargetMode="External"/><Relationship Id="rId56" Type="http://schemas.openxmlformats.org/officeDocument/2006/relationships/hyperlink" Target="https://drive.google.com/drive/folders/1G3cIZcwv7Y3w7dzznNZKN0ruRpsHdvkI?usp=drive_link" TargetMode="External"/><Relationship Id="rId719" Type="http://schemas.openxmlformats.org/officeDocument/2006/relationships/hyperlink" Target="https://www.tokopedia.com/pt-sinar-abadi/nyaf-supreme-cable-1x-4-mm-6mm-10-mm-16-mm-25-mm-35-mm-50-mm-serabut-grounding-kabel-kuning-hijau-meteran-1731586037795030867?extParam=ivf%3Dfalse%26keyword%3Dgrounding+1x4%26search_id%3D20260812014614F504DBF83E6F6E1ABSE1%26src%3Dsearch&amp;t_id=1786499266395&amp;t_st=1&amp;t_pp=search_result&amp;t_efo=search_pure_goods_card&amp;t_ef=goods_search&amp;t_sm=&amp;t_spt=search_result" TargetMode="External"/><Relationship Id="rId718" Type="http://schemas.openxmlformats.org/officeDocument/2006/relationships/hyperlink" Target="https://tk.tokopedia.com/ZS4ckGHeg/" TargetMode="External"/><Relationship Id="rId717" Type="http://schemas.openxmlformats.org/officeDocument/2006/relationships/hyperlink" Target="https://www.balluff.com/en-ca/products/BCS003C" TargetMode="External"/><Relationship Id="rId712" Type="http://schemas.openxmlformats.org/officeDocument/2006/relationships/hyperlink" Target="https://www.tokopedia.com/nusanjadi/pressure-gauge-full-stainless-4-0-6-bar?utm_source=whatsapp&amp;utm_medium=share&amp;utm_campaign=pdp-a0oti72t90ig-464314487-0" TargetMode="External"/><Relationship Id="rId711" Type="http://schemas.openxmlformats.org/officeDocument/2006/relationships/hyperlink" Target="https://www.flowcreteasia.com/our-products/systems/flowseal-uv-satin/" TargetMode="External"/><Relationship Id="rId710" Type="http://schemas.openxmlformats.org/officeDocument/2006/relationships/hyperlink" Target="https://shopee.co.id/Mesin-Cuci-Mobil-Motor-Jet-Cleaner-High-Pressure-Washer-Bosch-AdvancedAquatak-140-i.4055609.2801924739" TargetMode="External"/><Relationship Id="rId716" Type="http://schemas.openxmlformats.org/officeDocument/2006/relationships/hyperlink" Target="https://share.google/v83YhsjAC8QZAvRKT" TargetMode="External"/><Relationship Id="rId715" Type="http://schemas.openxmlformats.org/officeDocument/2006/relationships/hyperlink" Target="https://www.tokopedia.com/borolo/krisbow-penggaris-siku-besi-30-cm?utm_source=google&amp;utm_medium=organic&amp;utm_campaign=pdp" TargetMode="External"/><Relationship Id="rId714" Type="http://schemas.openxmlformats.org/officeDocument/2006/relationships/hyperlink" Target="https://www.flowcreteasia.com/our-products/systems/flowshield-quartz/" TargetMode="External"/><Relationship Id="rId713" Type="http://schemas.openxmlformats.org/officeDocument/2006/relationships/hyperlink" Target="https://www.tokopedia.com/indosolarpower/sdd-sock-drat-dalam-pvc-rucika-aw-2-2-5-2-5-21-2-inch-faucet-socket-sdl-2-inch?utm_source=google&amp;utm_medium=organic&amp;utm_campaign=pdp" TargetMode="External"/><Relationship Id="rId59" Type="http://schemas.openxmlformats.org/officeDocument/2006/relationships/hyperlink" Target="https://tokopedia.link/n1yiw7PQSQb" TargetMode="External"/><Relationship Id="rId58" Type="http://schemas.openxmlformats.org/officeDocument/2006/relationships/hyperlink" Target="https://drive.google.com/file/d/1G4atjSOJkMEcwCStqwGkxVezQF9m-uWf/view?usp=drive_link" TargetMode="External"/><Relationship Id="rId590" Type="http://schemas.openxmlformats.org/officeDocument/2006/relationships/hyperlink" Target="https://tk.tokopedia.com/ZSHs25bDM/" TargetMode="External"/><Relationship Id="rId107" Type="http://schemas.openxmlformats.org/officeDocument/2006/relationships/hyperlink" Target="https://www.tokopedia.com/tokoberkatanugerah/roda-trolley-pu-merah-3-inch-1set-2rem-2mati-1730818546328438075?extParam=ivf%3Dfalse%26keyword%3Droda+troli+pu+merah+3+inch+1set+%282rem%2B2mati%29%26search_id%3D20250307080831C73A1F58F088462C0NQZ%26src%3Dsearch" TargetMode="External"/><Relationship Id="rId228" Type="http://schemas.openxmlformats.org/officeDocument/2006/relationships/hyperlink" Target="https://media.monotaro.id/mid01/big/Alat%20AC%20%26%20Pipa/Penyejuk%20Udara%2C%20Ventilasi/Produk%20Ventilasi/Kipas%20Angin%20Exhaust%2FBlower/Nicotra%20Gebhardt%20Cabinet%20Fan/Nicotra%20Gebhardt%20Cabinet%20Fan%20CD-280N%20220-230V%201pc/rnS045413995-1.jpg" TargetMode="External"/><Relationship Id="rId349" Type="http://schemas.openxmlformats.org/officeDocument/2006/relationships/hyperlink" Target="https://www.tokopedia.com/defate/supply-air-diffuser-obd-uk-200x200mm-8-natural-luar-33cm-x-33cm" TargetMode="External"/><Relationship Id="rId106" Type="http://schemas.openxmlformats.org/officeDocument/2006/relationships/hyperlink" Target="https://drive.google.com/drive/folders/1-2wcowGdh5idQxL6Dnn-oo4kRt3i0jx_?usp=drive_link" TargetMode="External"/><Relationship Id="rId227" Type="http://schemas.openxmlformats.org/officeDocument/2006/relationships/hyperlink" Target="https://drive.google.com/file/d/18wo9hmuOIwH8ngUFir2QDrKYwHuVnjUB/view?usp=drive_link" TargetMode="External"/><Relationship Id="rId348" Type="http://schemas.openxmlformats.org/officeDocument/2006/relationships/hyperlink" Target="https://drive.google.com/file/d/1DzzmgNjSdgFek8aDUvMDkp1wEWrSiEUL/view?usp=sharing" TargetMode="External"/><Relationship Id="rId469" Type="http://schemas.openxmlformats.org/officeDocument/2006/relationships/hyperlink" Target="https://www.tokopedia.com/centraltechnicofficial/kipas-portable-ventilator-blower-18-inch-plus-flexible-duct-10-meter?extParam=ivf%3Dfalse%26keyword%3Dventilator+portable%26search_id%3D202512182307048D3BBA7425E7C93C16GQ%26src%3Dsearch&amp;t_id=1766099190886&amp;t_st=2&amp;t_pp=search_result&amp;t_efo=search_pure_goods_card&amp;t_ef=goods_search&amp;t_sm=&amp;t_spt=search_result" TargetMode="External"/><Relationship Id="rId105" Type="http://schemas.openxmlformats.org/officeDocument/2006/relationships/hyperlink" Target="https://www.tokopedia.com/mmsafety/wearpack-safety-coverall-imj-baju-kerja-semi-cotton-biru-dongker-l?extParam=ivf%3Dfalse%26keyword%3Dwearpack+safety+coverall%26search_id%3D20250307042426570092C3363B14036ONG%26src%3Dsearch" TargetMode="External"/><Relationship Id="rId226" Type="http://schemas.openxmlformats.org/officeDocument/2006/relationships/hyperlink" Target="https://drive.google.com/file/d/18wo9hmuOIwH8ngUFir2QDrKYwHuVnjUB/view?usp=drive_link" TargetMode="External"/><Relationship Id="rId347" Type="http://schemas.openxmlformats.org/officeDocument/2006/relationships/hyperlink" Target="https://drive.google.com/drive/folders/1LQqyQiA2P5E-JdfCZIrJqzj83jRESVoM?usp=drive_link" TargetMode="External"/><Relationship Id="rId468" Type="http://schemas.openxmlformats.org/officeDocument/2006/relationships/hyperlink" Target="https://drive.google.com/drive/folders/1A8-gVEjIpkZjnnwnsdSh3Nem54SXtuLb?usp=drive_link" TargetMode="External"/><Relationship Id="rId589" Type="http://schemas.openxmlformats.org/officeDocument/2006/relationships/hyperlink" Target="https://drive.google.com/drive/folders/1UPTdR3qY40b_S68KkEqtQ4CU_cBdXVFj?usp=drive_link" TargetMode="External"/><Relationship Id="rId104" Type="http://schemas.openxmlformats.org/officeDocument/2006/relationships/hyperlink" Target="https://www.tokopedia.com/mmsafety/wearpack-safety-coverall-imj-baju-kerja-semi-cotton-biru-dongker-l?extParam=ivf%3Dfalse%26keyword%3Dwearpack+safety+coverall%26search_id%3D20250307042426570092C3363B14036ONG%26src%3Dsearch" TargetMode="External"/><Relationship Id="rId225" Type="http://schemas.openxmlformats.org/officeDocument/2006/relationships/hyperlink" Target="https://www.tokopedia.com/ptsahabatmitra/autonics-thermocouple-tw-n-pt100-6-4-150mm-1-5m-pt1-8?utm_source=google&amp;utm_medium=organic&amp;utm_campaign=pdp" TargetMode="External"/><Relationship Id="rId346" Type="http://schemas.openxmlformats.org/officeDocument/2006/relationships/hyperlink" Target="https://www.tokopedia.com/royalsafety/sabre-smoke-detector-tester-sabre-smoke-check-detector?extParam=ivf%3Dfalse%26keyword%3Dsmoke+detector+tester%26search_id%3D2025082904142234ED066DF378EF0D0BLN%26src%3Dsearch" TargetMode="External"/><Relationship Id="rId467" Type="http://schemas.openxmlformats.org/officeDocument/2006/relationships/hyperlink" Target="https://drive.google.com/drive/folders/1A8-gVEjIpkZjnnwnsdSh3Nem54SXtuLb?usp=drive_link" TargetMode="External"/><Relationship Id="rId588" Type="http://schemas.openxmlformats.org/officeDocument/2006/relationships/hyperlink" Target="https://www.smcpneumatics.com/pdfs/IFW.pdf" TargetMode="External"/><Relationship Id="rId109" Type="http://schemas.openxmlformats.org/officeDocument/2006/relationships/hyperlink" Target="https://www.tokopedia.com/aksesoris-hvac/insulflex-insulasi-pipa-1-1-8-x-3-8-inch-panjang-1-82-m-tube-class-1?aff_unique_id=&amp;channel=others&amp;chain_key=" TargetMode="External"/><Relationship Id="rId108" Type="http://schemas.openxmlformats.org/officeDocument/2006/relationships/hyperlink" Target="https://www.tokopedia.com/setiakunci/door-closer-dorma-ts-77-ho-hold-open-silver-penutup-pintu-otomatis?extParam=ivf%3Dfalse%26keyword%3Ddoor+closer+pintu+dorma%26search_id%3D20250308062625F44B441242A2AE1AEMIH%26src%3Dsearch" TargetMode="External"/><Relationship Id="rId229" Type="http://schemas.openxmlformats.org/officeDocument/2006/relationships/hyperlink" Target="https://www.google.com/url?sa=i&amp;url=https%3A%2F%2Fwww.coolboxdelta.com%2Fproduct%2Fcaustic-soda-flakes-naoh-ex-lokal-soda-api-p1186934.aspx&amp;psig=AOvVaw3II2GQwqK0bgkkfbcMTixR&amp;ust=1752655595485000&amp;source=images&amp;cd=vfe&amp;opi=89978449&amp;ved=0CBUQjRxqFwoTCOjDhIW9vo4DFQAAAAAdAAAAABAE" TargetMode="External"/><Relationship Id="rId220" Type="http://schemas.openxmlformats.org/officeDocument/2006/relationships/hyperlink" Target="https://www.tokopedia.com/tngindustrial/pos-10-pos10-rod-end-bearing-d6e4" TargetMode="External"/><Relationship Id="rId341" Type="http://schemas.openxmlformats.org/officeDocument/2006/relationships/hyperlink" Target="https://www.tokopedia.com/sensensaprepart/insulasi-pembungkus-pipa-ac-3-4-inch-insuflex-pembungkus-pipa?extParam=ivf%3Dfalse%26keyword%3Dinsuflex+pipa+tembaga+3%2F4%26search_id%3D20250828232903D81F9C1BE2E0890D0HFS%26src%3Dsearch&amp;t_id=1756423677996&amp;t_st=3&amp;t_pp=search_result&amp;t_efo=search_pure_goods_card&amp;t_ef=goods_search&amp;t_sm=&amp;t_spt=search_result" TargetMode="External"/><Relationship Id="rId462" Type="http://schemas.openxmlformats.org/officeDocument/2006/relationships/hyperlink" Target="https://www.tokopedia.com/tokofitting/pneumatic-push-in-8mm-x-1-2-festo-qs-1-2-8?utm_source=google&amp;utm_medium=organic&amp;utm_campaign=pdp" TargetMode="External"/><Relationship Id="rId583" Type="http://schemas.openxmlformats.org/officeDocument/2006/relationships/hyperlink" Target="https://tk.tokopedia.com/ZSuo1a4cR/" TargetMode="External"/><Relationship Id="rId340" Type="http://schemas.openxmlformats.org/officeDocument/2006/relationships/hyperlink" Target="https://www.tokopedia.com/suryatamapart/elbow-tembaga-1-4-sampai-2-1-8-sambungan-ac-keni-tembaga-1?aff_unique_id=&amp;channel=others&amp;chain_key=" TargetMode="External"/><Relationship Id="rId461" Type="http://schemas.openxmlformats.org/officeDocument/2006/relationships/hyperlink" Target="https://shopee.co.id/Super-Alat-Kunci-Sok-Set-Mata-Kunci-Impact-8-24MM-Impact-Socket-Set-Mpact-Tekiro-Batrei-10Pcs-1-2-Inch-i.1291922221.28672325118?xptdk=55995af5-d191-4e2b-8e0c-bff366593e68" TargetMode="External"/><Relationship Id="rId582" Type="http://schemas.openxmlformats.org/officeDocument/2006/relationships/hyperlink" Target="https://www.westermo.com/support/product-support/ed-210" TargetMode="External"/><Relationship Id="rId460" Type="http://schemas.openxmlformats.org/officeDocument/2006/relationships/hyperlink" Target="https://shopee.co.id/Set-9Pcs-14Pcs-Mata-Bor-Socket-Hex-Nut-Baut-Roofing-Adaptor-i.1514659270.40365584142?xptdk=069a1f88-4933-4931-baeb-af00f66848e1" TargetMode="External"/><Relationship Id="rId581" Type="http://schemas.openxmlformats.org/officeDocument/2006/relationships/hyperlink" Target="https://drive.google.com/file/d/1ziyJsvvlRjeBfjIvmq8jY6sonNV3yR7y/view?usp=drive_link" TargetMode="External"/><Relationship Id="rId580" Type="http://schemas.openxmlformats.org/officeDocument/2006/relationships/hyperlink" Target="https://drive.google.com/drive/folders/1ZRj5fiO6TVaEqrDRawB57QX6Lkod426T?usp=drive_link" TargetMode="External"/><Relationship Id="rId103" Type="http://schemas.openxmlformats.org/officeDocument/2006/relationships/hyperlink" Target="https://www.tokopedia.com/mmsafety/wearpack-safety-coverall-imj-baju-kerja-semi-cotton-biru-dongker-l?extParam=ivf%3Dfalse%26keyword%3Dwearpack+safety+coverall%26search_id%3D20250307042426570092C3363B14036ONG%26src%3Dsearch" TargetMode="External"/><Relationship Id="rId224" Type="http://schemas.openxmlformats.org/officeDocument/2006/relationships/hyperlink" Target="https://www.tokopedia.com/utama-jaya-elektrindo/kunci-box-panel-listrik-84x28mm-ms601-new-push-lock-haitan-murah?extParam=ivf%3Dfalse%26keyword%3Dkunci+panel%26search_id%3D2025071108500794F6D7E04A4D4512AXD3%26src%3Dsearch&amp;t_id=1752223856046&amp;t_st=1&amp;t_pp=search_result&amp;t_efo=search_pure_goods_card&amp;t_ef=goods_search&amp;t_sm=&amp;t_spt=search_result" TargetMode="External"/><Relationship Id="rId345" Type="http://schemas.openxmlformats.org/officeDocument/2006/relationships/hyperlink" Target="https://www.tokopedia.com/nurishopsurabaya/klem-pipa-omega-1-2-3-4-1-11-4-11-2-2-21-2-3-4-inch-dim-plat-besi-seng-2?extParam=ivf%3Dfalse%26keyword%3Dclamp+omega%26search_id%3D202508282341324734BA6F3DE83D000DVP%26src%3Dsearch&amp;t_id=1756424495268&amp;t_st=1&amp;t_pp=search_result&amp;t_efo=search_pure_goods_card&amp;t_ef=goods_search&amp;t_sm=&amp;t_spt=search_result" TargetMode="External"/><Relationship Id="rId466" Type="http://schemas.openxmlformats.org/officeDocument/2006/relationships/hyperlink" Target="https://www.tokopedia.com/grosirlegend/fan-motor-kulkas-polytron-f61-10?aff_unique_id=&amp;channel=others&amp;chain_key=" TargetMode="External"/><Relationship Id="rId587" Type="http://schemas.openxmlformats.org/officeDocument/2006/relationships/hyperlink" Target="https://tk.tokopedia.com/ZSH28QYUR/" TargetMode="External"/><Relationship Id="rId102" Type="http://schemas.openxmlformats.org/officeDocument/2006/relationships/hyperlink" Target="https://www.tokopedia.com/tb-calvin/obat-dempul-sanpolac-hardener?utm_source=salinlink&amp;utm_medium=share&amp;utm_campaign=pdp-qhtaqvu09ez2-3391862473-0" TargetMode="External"/><Relationship Id="rId223" Type="http://schemas.openxmlformats.org/officeDocument/2006/relationships/hyperlink" Target="https://drive.google.com/file/d/1595nqTfGnZ3sgnxhGWvcEEMdxSHhKn4Q/view?usp=drive_link" TargetMode="External"/><Relationship Id="rId344" Type="http://schemas.openxmlformats.org/officeDocument/2006/relationships/hyperlink" Target="https://www.tokopedia.com/sensensaprepart/insulasi-pembungkus-pipa-ac-3-4-inch-insuflex-pembungkus-pipa?extParam=ivf%3Dfalse%26keyword%3Dinsuflex+pipa+tembaga+3%2F4%26search_id%3D20250828232903D81F9C1BE2E0890D0HFS%26src%3Dsearch&amp;t_id=1756423677996&amp;t_st=3&amp;t_pp=search_result&amp;t_efo=search_pure_goods_card&amp;t_ef=goods_search&amp;t_sm=&amp;t_spt=search_result" TargetMode="External"/><Relationship Id="rId465" Type="http://schemas.openxmlformats.org/officeDocument/2006/relationships/hyperlink" Target="https://www.tokopedia.com/tojilasman/5a-nol-b-travo-trafo-inverter-step-up-down-carger-cash-charger-aki-accu-5a-murni-besar-original-kurae-100-tembaga-cu-1729847549261284609?extParam=ivf%3Dfalse%26keyword%3Dtravo+step+down%26search_id%3D20251204141134B3967A0E938DC21506AH%26src%3Dsearch" TargetMode="External"/><Relationship Id="rId586" Type="http://schemas.openxmlformats.org/officeDocument/2006/relationships/hyperlink" Target="https://tk.tokopedia.com/ZSHNvHadm/" TargetMode="External"/><Relationship Id="rId101" Type="http://schemas.openxmlformats.org/officeDocument/2006/relationships/hyperlink" Target="https://www.tokopedia.com/maximum/aquadest-akuades-aquades-air-suling-air-aki-radiator-20-liter?extParam=ivf%3Dfalse%26keyword%3Dair+aquades+aki&amp;src=topads" TargetMode="External"/><Relationship Id="rId222" Type="http://schemas.openxmlformats.org/officeDocument/2006/relationships/hyperlink" Target="https://drive.google.com/file/d/1595nqTfGnZ3sgnxhGWvcEEMdxSHhKn4Q/view?usp=drive_link" TargetMode="External"/><Relationship Id="rId343" Type="http://schemas.openxmlformats.org/officeDocument/2006/relationships/hyperlink" Target="https://www.tokopedia.com/sensensaprepart/insulasi-pembungkus-pipa-ac-3-4-inch-insuflex-pembungkus-pipa?extParam=ivf%3Dfalse%26keyword%3Dinsuflex+pipa+tembaga+3%2F4%26search_id%3D20250828232903D81F9C1BE2E0890D0HFS%26src%3Dsearch&amp;t_id=1756423677996&amp;t_st=3&amp;t_pp=search_result&amp;t_efo=search_pure_goods_card&amp;t_ef=goods_search&amp;t_sm=&amp;t_spt=search_result" TargetMode="External"/><Relationship Id="rId464" Type="http://schemas.openxmlformats.org/officeDocument/2006/relationships/hyperlink" Target="https://shopee.co.id/FESTO-PUSH-IN-FITTING-QS-1-4-8-(-153005-)-i.269561947.5036462597" TargetMode="External"/><Relationship Id="rId585" Type="http://schemas.openxmlformats.org/officeDocument/2006/relationships/hyperlink" Target="https://shopee.co.id/SS304-Mur-M10-Mur-Stainless-M10-Hex-Nut-M10-SUS304-A2-70-i.11837378.25891530349?extraParams=%7B%22display_model_id%22%3A166971436616%2C%22model_selection_logic%22%3A2%7D&amp;sp_atk=60a9e104-d23e-46cf-809b-c38557f07cf7&amp;xptdk=60a9e104-d23e-46cf-809b-c38557f07cf7" TargetMode="External"/><Relationship Id="rId100" Type="http://schemas.openxmlformats.org/officeDocument/2006/relationships/hyperlink" Target="https://drive.google.com/file/d/1FgfCBrvcopWq6SdyYKbcoHEvieBmSkfo/view?usp=sharing" TargetMode="External"/><Relationship Id="rId221" Type="http://schemas.openxmlformats.org/officeDocument/2006/relationships/hyperlink" Target="https://www.tokopedia.com/tngindustrial/pos-10-pos10-rod-end-bearing-d6e4" TargetMode="External"/><Relationship Id="rId342" Type="http://schemas.openxmlformats.org/officeDocument/2006/relationships/hyperlink" Target="https://www.tokopedia.com/sensensaprepart/insulasi-pembungkus-pipa-ac-3-4-inch-insuflex-pembungkus-pipa?extParam=ivf%3Dfalse%26keyword%3Dinsuflex+pipa+tembaga+3%2F4%26search_id%3D20250828232903D81F9C1BE2E0890D0HFS%26src%3Dsearch&amp;t_id=1756423677996&amp;t_st=3&amp;t_pp=search_result&amp;t_efo=search_pure_goods_card&amp;t_ef=goods_search&amp;t_sm=&amp;t_spt=search_result" TargetMode="External"/><Relationship Id="rId463" Type="http://schemas.openxmlformats.org/officeDocument/2006/relationships/hyperlink" Target="https://www.tokopedia.com/pusatpneumatic/qs-1-2-6-one-touch-fitting-lurus-male-slip-lock-socket-push-in-connector-nipple-nepel-selang-6mm-drat-1-2-inch-festo" TargetMode="External"/><Relationship Id="rId584" Type="http://schemas.openxmlformats.org/officeDocument/2006/relationships/hyperlink" Target="https://www.tokopedia.com/pneuhydraulics/solenoid-koganei-180-4e1-pll-24vdc-koganei-solenoid-valve-180-4e1-pll?extParam=ivf%3Dfalse%26keyword%3Dkoganei+180-4e1-pll-1l%26search_id%3D202603301508314734BA6F3DE83D145H3D%26src%3Dsearch&amp;t_id=1774883266765&amp;t_st=7&amp;t_pp=search_result&amp;t_efo=search_pure_goods_card&amp;t_ef=goods_search&amp;t_sm=&amp;t_spt=search_result" TargetMode="External"/><Relationship Id="rId217" Type="http://schemas.openxmlformats.org/officeDocument/2006/relationships/hyperlink" Target="https://mayair.com.my/product/primary-filter-m-mnf/" TargetMode="External"/><Relationship Id="rId338" Type="http://schemas.openxmlformats.org/officeDocument/2006/relationships/hyperlink" Target="https://www.tokopedia.com/suryatamapart/elbow-tembaga-1-4-sampai-2-1-8-sambungan-ac-keni-tembaga-1?aff_unique_id=&amp;channel=others&amp;chain_key=" TargetMode="External"/><Relationship Id="rId459" Type="http://schemas.openxmlformats.org/officeDocument/2006/relationships/hyperlink" Target="https://www.tokopedia.com/juraganperkakas/ring-plat-m-10-ring-plat-baut-m10-isi-100-pcs?utm_campaign=pdp-d7n5gj8xa2vp-324740715-0&amp;utm_medium=share&amp;utm_source=salinlink" TargetMode="External"/><Relationship Id="rId216" Type="http://schemas.openxmlformats.org/officeDocument/2006/relationships/hyperlink" Target="https://mayair.com.my/product/primary-filter-m-mnf/" TargetMode="External"/><Relationship Id="rId337" Type="http://schemas.openxmlformats.org/officeDocument/2006/relationships/hyperlink" Target="https://www.tokopedia.com/suryatamapart/elbow-tembaga-1-4-sampai-2-1-8-sambungan-ac-keni-tembaga-1?aff_unique_id=&amp;channel=others&amp;chain_key=" TargetMode="External"/><Relationship Id="rId458" Type="http://schemas.openxmlformats.org/officeDocument/2006/relationships/hyperlink" Target="https://www.tokopedia.com/karyamitragemila/mur-long-drat-stainless-10-mur-baut-stainless-10mm?utm_campaign=pdp-0272ysqmzi2y-6870187366-0&amp;utm_medium=share&amp;utm_source=salinlink" TargetMode="External"/><Relationship Id="rId579" Type="http://schemas.openxmlformats.org/officeDocument/2006/relationships/hyperlink" Target="https://tk.tokopedia.com/ZSufY5FEo/" TargetMode="External"/><Relationship Id="rId215" Type="http://schemas.openxmlformats.org/officeDocument/2006/relationships/hyperlink" Target="https://mayair.com.my/product/primary-filter-m-mnf/" TargetMode="External"/><Relationship Id="rId336" Type="http://schemas.openxmlformats.org/officeDocument/2006/relationships/hyperlink" Target="https://www.tokopedia.com/ademselalu/pipa-tembaga-3-8-x-15-meter-merk-ns-copper-tube-3-8-ns?extParam=ivf%3Dfalse%26keyword%3Dpipa+tembaga+3%2F8%26search_id%3D20250828231918D81F9C1BE2E0892FFF76%26src%3Dsearch&amp;t_id=1756423161801&amp;t_st=1&amp;t_pp=search_result&amp;t_efo=search_pure_goods_card&amp;t_ef=goods_search&amp;t_sm=&amp;t_spt=search_result" TargetMode="External"/><Relationship Id="rId457" Type="http://schemas.openxmlformats.org/officeDocument/2006/relationships/hyperlink" Target="https://www.tokopedia.com/jayasentosa164/dinaset-stainless-304-m10?utm_campaign=pdp-djc8du83tvl7-636298601-0&amp;utm_medium=share&amp;utm_source=whatsapp" TargetMode="External"/><Relationship Id="rId578" Type="http://schemas.openxmlformats.org/officeDocument/2006/relationships/hyperlink" Target="https://tk.tokopedia.com/ZSuA3mDHf/" TargetMode="External"/><Relationship Id="rId699" Type="http://schemas.openxmlformats.org/officeDocument/2006/relationships/hyperlink" Target="https://www.tokopedia.com/sahabatlistrik-1/kabel-supreme-nya-1x10-100m?t_id=1783670943971&amp;t_st=2&amp;t_pp=cart&amp;t_efo=cart&amp;t_ef=&amp;t_sm=&amp;t_spt=cart" TargetMode="External"/><Relationship Id="rId214" Type="http://schemas.openxmlformats.org/officeDocument/2006/relationships/hyperlink" Target="https://mayair.com.my/product/primary-filter-m-mnf/" TargetMode="External"/><Relationship Id="rId335" Type="http://schemas.openxmlformats.org/officeDocument/2006/relationships/hyperlink" Target="https://www.tokopedia.com/allspareparts/pipa-tembaga-platinum-1-4-roll-0-76mm?extParam=ivf%3Dfalse%26keyword%3Dpipa+tembaga+1+4%26search_id%3D20250828231634577BCC914F9E5529BGDI%26src%3Dsearch" TargetMode="External"/><Relationship Id="rId456" Type="http://schemas.openxmlformats.org/officeDocument/2006/relationships/hyperlink" Target="https://www.tokopedia.com/jayasentosa164/as-drat-m10-x-3-meter-stainless-steel-304-longdrat-m10-x-3-meter-sus-304-1730997682946475438?utm_campaign=PDP-mb7j3okhynld-16424361100-0&amp;utm_source=whatsapp&amp;utm_medium=share" TargetMode="External"/><Relationship Id="rId577" Type="http://schemas.openxmlformats.org/officeDocument/2006/relationships/hyperlink" Target="https://tk.tokopedia.com/ZSuAvGxmo/" TargetMode="External"/><Relationship Id="rId698" Type="http://schemas.openxmlformats.org/officeDocument/2006/relationships/hyperlink" Target="https://shopee.co.id/BURGARI-Lithium-Grease-Spray-Gemuk-Cair-500ML-Pelumas-Bearing-Engsel-dan-Alat-Penggerak-Lainnya-i.28051792.26718462866" TargetMode="External"/><Relationship Id="rId219" Type="http://schemas.openxmlformats.org/officeDocument/2006/relationships/hyperlink" Target="https://drive.google.com/drive/folders/1LWaP04hqwk4k9V79g4hF7TzxS_dMQr5R?usp=sharing" TargetMode="External"/><Relationship Id="rId218" Type="http://schemas.openxmlformats.org/officeDocument/2006/relationships/hyperlink" Target="https://drive.google.com/drive/folders/1LWaP04hqwk4k9V79g4hF7TzxS_dMQr5R?usp=sharing" TargetMode="External"/><Relationship Id="rId339" Type="http://schemas.openxmlformats.org/officeDocument/2006/relationships/hyperlink" Target="https://www.tokopedia.com/suryatamapart/elbow-tembaga-1-4-sampai-2-1-8-sambungan-ac-keni-tembaga-1?aff_unique_id=&amp;channel=others&amp;chain_key=" TargetMode="External"/><Relationship Id="rId330" Type="http://schemas.openxmlformats.org/officeDocument/2006/relationships/hyperlink" Target="https://www.tokopedia.com/mechka-store/mechka-film-black-riben-1m-stiker-kaca-tolak-panas-hitam-40-60-80-99-riben-1m-1730896537307219089?extParam=ivf%3Dfalse%26keyword%3Dkaca+film+100%26search_id%3D20250825153659DB8E1AF0CB3ACA3CAMKP%26src%3Dsearch&amp;t_id=1756136229475&amp;t_st=1&amp;t_pp=search_result&amp;t_efo=search_pure_goods_card&amp;t_ef=goods_search&amp;t_sm=&amp;t_spt=search_result" TargetMode="External"/><Relationship Id="rId451" Type="http://schemas.openxmlformats.org/officeDocument/2006/relationships/hyperlink" Target="https://www.tokopedia.com/tekiro-rexco/tekiro-tang-buaya-bengkok-10-inch-tang-buaya-tang-jepit?extParam=ivf%3Dfalse%26keyword%3Dtang+buaya+tekiro%26search_id%3D20251118103515D81F9C1BE2E0890FCAG5%26src%3Dsearch&amp;t_id=1763461286390&amp;t_st=9&amp;t_pp=search_result&amp;t_efo=search_pure_goods_card&amp;t_ef=goods_search&amp;t_sm=&amp;t_spt=search_result" TargetMode="External"/><Relationship Id="rId572" Type="http://schemas.openxmlformats.org/officeDocument/2006/relationships/hyperlink" Target="https://drive.google.com/file/d/1RetRhB0IiBOdKEEgDfI5zpTWBf11f2fj/view?usp=sharing" TargetMode="External"/><Relationship Id="rId693" Type="http://schemas.openxmlformats.org/officeDocument/2006/relationships/hyperlink" Target="https://acrobat.adobe.com/id/urn:aaid:sc:AP:ed51335f-ae92-4988-ac94-fda62b428eec" TargetMode="External"/><Relationship Id="rId450" Type="http://schemas.openxmlformats.org/officeDocument/2006/relationships/hyperlink" Target="https://www.tokopedia.com/dwyerofficial/dwyer-magnehelic-0-1000-pascal-differential-pressure-gauge?extParam=ivf%3Dfalse%26keyword%3Dmagnehelic+0+-+1000+dwyer%26search_id%3D20251118103347EF0D3930A7B6C93D01WY%26src%3Dsearch&amp;t_id=1763461286390&amp;t_st=8&amp;t_pp=search_result&amp;t_efo=search_pure_goods_card&amp;t_ef=goods_search&amp;t_sm=&amp;t_spt=search_result" TargetMode="External"/><Relationship Id="rId571" Type="http://schemas.openxmlformats.org/officeDocument/2006/relationships/hyperlink" Target="https://www.tokopedia.com/vanele/retractable-automatic-door-closer-tali-pintu-tutup-otomatis-800gr-9db7e?extParam=ivf%3Dfalse%26keyword%3Ddoor+closer+tali%26search_id%3D202603070023183DD48AB31D016F187H30%26src%3Dsearch&amp;t_id=1772842407778&amp;t_st=10&amp;t_pp=search_result&amp;t_efo=search_pure_goods_card&amp;t_ef=goods_search&amp;t_sm=&amp;t_spt=search_result" TargetMode="External"/><Relationship Id="rId692" Type="http://schemas.openxmlformats.org/officeDocument/2006/relationships/hyperlink" Target="https://shopee.co.id/product/1164439416/42173786388?gads_t_sig=gqRjZGVrxHCFomtpsTE0MjUxOnRzc19zZGtfa2V5omt20QABpGFsZ2_SAAAAZKNkZWvAomN0xEAAAAAMfaLqlfFS4JwQPCoOJZHE2YMfq1tWF61pnIIHqGuyOlpkjBotHu7Xpb0YRK1tULWVZdcpI_r9hw6jgE9CqmNpcGhlcnRleHTEcwAAAAztSCWnnhPomMujj0wlJ7ZPXivWmK59zHkyC_dyqvi2MgdmUtFQppIcW-tH_uuYcgrBzJ" TargetMode="External"/><Relationship Id="rId570" Type="http://schemas.openxmlformats.org/officeDocument/2006/relationships/hyperlink" Target="https://www.tokopedia.com/murnimitrasejati/pertamina-masri-rg-320-iso-vg-320-oli-gear-industri-eceran-ecer-1-l?extParam=ivf%3Dfalse%26keyword%3Doli+iso+vg+320%26search_id%3D20260307001018C042F4DB68F234220PR3%26src%3Dsearch&amp;t_id=1772842407778&amp;t_st=4&amp;t_pp=search_result&amp;t_efo=search_pure_goods_card&amp;t_ef=goods_search&amp;t_sm=&amp;t_spt=search_resultr" TargetMode="External"/><Relationship Id="rId691" Type="http://schemas.openxmlformats.org/officeDocument/2006/relationships/hyperlink" Target="https://tk.tokopedia.com/ZSCUfnQtM/" TargetMode="External"/><Relationship Id="rId690" Type="http://schemas.openxmlformats.org/officeDocument/2006/relationships/hyperlink" Target="https://tk.tokopedia.com/ZSCUU7Y4T/" TargetMode="External"/><Relationship Id="rId213" Type="http://schemas.openxmlformats.org/officeDocument/2006/relationships/hyperlink" Target="https://mayair.com.my/product/primary-filter-m-mnf/" TargetMode="External"/><Relationship Id="rId334" Type="http://schemas.openxmlformats.org/officeDocument/2006/relationships/hyperlink" Target="https://drive.google.com/file/d/1Yhsabet0ghaUCiI33hbC0r7VpcqGudv3/view?usp=drive_link" TargetMode="External"/><Relationship Id="rId455" Type="http://schemas.openxmlformats.org/officeDocument/2006/relationships/hyperlink" Target="https://www.google.com/search?sca_esv=d0ca274367ee7348&amp;rlz=1C1GCEA_enID1076ID1076&amp;sxsrf=AE3TifMqYmMtTlX4o6O-5GrYaCa2X7HpAg:1763567922732&amp;udm=2&amp;fbs=AIIjpHyT_SxYVhARa94nMDCzZuVE0arryPEhLekpbC7r6xABFKLMG1ndy20DTaZoCITXw-7Umq0xEnhBV2mOt0ZDIF3BngdbAxmde7z5iFP4cTWIomlRxRk8T0CaDKOMnnJbN9-xI4O-tGFAu-VgUMsFQYIGeqkHj2-j1_CbOz26lBWYuXTKANLLaZd0u3M75FUAjXncuTp2Nloxmkd7QETLxlC4kWGHCA&amp;q=manual+valve+ferrule+1+inch&amp;sa=X&amp;ved=2ahUKEwiTlMm8yv6QAxXra2wGHTtNMngQtKgLegQIFRAB&amp;biw=1366&amp;bih=611&amp;dpr=1" TargetMode="External"/><Relationship Id="rId576" Type="http://schemas.openxmlformats.org/officeDocument/2006/relationships/hyperlink" Target="https://shopee.co.id/product/1566195522/40508035156?gads_t_sig=VTJGc2RHVmtYMTlxTFVSVVRrdENkVEdTU3BlMW9zMXB6bGYrZ0J1VEdQdjl4MzJ5UFUvREsxQnRRbS94a1puNGdZMStxM1U4b0o5K2RNWVdNbTBwNVhCRUpSUk1UOVFDY0ZTVTU0Z1JlMGtyMXlqUkErd1QyZ2V0VWt0T2R1STFZZUwzNThjdnhkN3Z0TGZNaFh4NXJBPT0&amp;gad_source=1&amp;gad_campaignid=23290582497&amp;gbraid=0AAAAADPpU81VyXAjPKX7Kjr4xcHYf0wXl&amp;gclid=Cj0KCQjwgr_NBhDFARIsAHiUWr5E1yRcOQ8ayWbFzZq7eAggocA7ZFpSw9Tg4K-ZAFTSWyCenMqlaSUaAmMhEALw_wcB" TargetMode="External"/><Relationship Id="rId697" Type="http://schemas.openxmlformats.org/officeDocument/2006/relationships/hyperlink" Target="https://www.tokopedia.com/arsanitary-1/hand-dryer-toto-hd-4000-c-pengering-tangan-toto-hd4000c-clean-dry-toto?utm_source=google&amp;utm_medium=organic&amp;utm_campaign=pdp" TargetMode="External"/><Relationship Id="rId212" Type="http://schemas.openxmlformats.org/officeDocument/2006/relationships/hyperlink" Target="https://mayair.com.my/product/primary-filter-m-mnf/" TargetMode="External"/><Relationship Id="rId333" Type="http://schemas.openxmlformats.org/officeDocument/2006/relationships/hyperlink" Target="https://drive.google.com/file/d/1Yhsabet0ghaUCiI33hbC0r7VpcqGudv3/view?usp=drive_link" TargetMode="External"/><Relationship Id="rId454" Type="http://schemas.openxmlformats.org/officeDocument/2006/relationships/hyperlink" Target="https://www.google.com/search?sca_esv=d0ca274367ee7348&amp;rlz=1C1GCEA_enID1076ID1076&amp;sxsrf=AE3TifOf34lCmv28ARxFtg2sGvWfjzdvVg:1763567935840&amp;udm=2&amp;fbs=AIIjpHz7wsNGIr2JtZ-cHhz0krGlm2QhyjMco2nIu0lirb5Sihx-b0oAhyDYmGb5K9FIrXnzOgwGXLvOhrKVu2C30f2dzKv7C4XgSQa1hl_UJAwH8FSU7s3FbDlJqp4LylrMOnYM2i_-JwM11ZJ21P2QhQMkb49PeI80SCQfL7ZganQG_WCfAHvDGGECtj5XnaFS65y6uz3gAd9UiMSjjPJJQv1Jsrm45A&amp;q=manual+valve+3/4+inch+ferrule&amp;sa=X&amp;ved=2ahUKEwiZlenCyv6QAxXTRmwGHShuMvkQtKgLegQIFRAB&amp;biw=1366&amp;bih=653&amp;dpr=1" TargetMode="External"/><Relationship Id="rId575" Type="http://schemas.openxmlformats.org/officeDocument/2006/relationships/hyperlink" Target="https://shopee.co.id/product/12427419/17556834730?gads_t_sig=VTJGc2RHVmtYMTlxTFVSVVRrdENkVEN2VUxrWEZOaDk0d0pqV3V0QjRydjRtZURjWlFKM3l3Mkx5SVJ2eXZaV2VuRWp3WVg3cE1rbjNoS3hZTEVTU2xaSnNoczMzRm1tVmtVNThOT29QTnNJQlltcDMvTlA0MFlEQlVZMk42M1c&amp;gad_source=1&amp;gad_campaignid=23290582497&amp;gbraid=0AAAAADPpU81VyXAjPKX7Kjr4xcHYf0wXl&amp;gclid=Cj0KCQjwgr_NBhDFARIsAHiUWr7PF8eed-OEOs8_TjDiIzPi_X6ZvaqmtpuEniI0-r2tLmgAFB1gbasaAp4eEALw_wcB" TargetMode="External"/><Relationship Id="rId696" Type="http://schemas.openxmlformats.org/officeDocument/2006/relationships/hyperlink" Target="https://www.tokopedia.com/sinar-terang-elektrik-os/box-panel-topi-outdoor-powder-coating-20-x-17-x-12-cm-pintu-dalam?extParam=ivf%3Dfalse%26keyword%3Dpanel+outdoor%26search_id%3D20260702074924A666587AFDA6E811DXDK%26src%3Dsearch&amp;t_id=1782978614250&amp;t_st=1&amp;t_pp=search_result&amp;t_efo=search_pure_goods_card&amp;t_ef=goods_search&amp;t_sm=&amp;t_spt=search_result" TargetMode="External"/><Relationship Id="rId211" Type="http://schemas.openxmlformats.org/officeDocument/2006/relationships/hyperlink" Target="https://drive.google.com/drive/folders/16nNPAK_Kpq2W0kHLDM1XiYntl9v_HitU?usp=drive_link" TargetMode="External"/><Relationship Id="rId332" Type="http://schemas.openxmlformats.org/officeDocument/2006/relationships/hyperlink" Target="https://www.ebay.com/itm/303789969208" TargetMode="External"/><Relationship Id="rId453" Type="http://schemas.openxmlformats.org/officeDocument/2006/relationships/hyperlink" Target="https://drive.google.com/file/d/14v-JLYNTKcxGSHDY3i1U6DDR6e2IC6uZ/view?usp=drive_link" TargetMode="External"/><Relationship Id="rId574" Type="http://schemas.openxmlformats.org/officeDocument/2006/relationships/hyperlink" Target="https://www.monotaro.id/items/s045330964.html?utm_source=google&amp;utm_medium=pla&amp;utm_campaign=22608577675&amp;utm_content=180145020197&amp;utm_term=others_cat_group_2_pricebrand_group_1&amp;gad_source=4&amp;gad_campaignid=22608577675&amp;gbraid=0AAAAADJU9--igvJUcptF5cp8mmiUW_Vw8&amp;gclid=Cj0KCQjwgr_NBhDFARIsAHiUWr5jqoFl_ND7RZJtRsLhVU2AuLYUHuHA3yKwRCUBA9OCaHZML5LOsiAaAqtFEALw_wcB" TargetMode="External"/><Relationship Id="rId695" Type="http://schemas.openxmlformats.org/officeDocument/2006/relationships/hyperlink" Target="https://acrobat.adobe.com/id/urn:aaid:sc:AP:ed51335f-ae92-4988-ac94-fda62b428eec" TargetMode="External"/><Relationship Id="rId210" Type="http://schemas.openxmlformats.org/officeDocument/2006/relationships/hyperlink" Target="https://shopee.co.id/product/80262663/11669226864?gads_t_sig=VTJGc2RHVmtYMTlxTFVSVVRrdENkVzBLS2xuUGZzMlQ5NjlFWklmRkZjU1AvZHNQSXkwMzhhRTZYL2w5YUhCc2NVc3ZCd0JVTXoxWFNmZFo2cEZRVXl3aWhJWUgxMXZTMk5TR2QvV29FQ093K2xhYmhrY2FianF5bzNzRDhmdTE&amp;gad_source=1&amp;gad_campaignid=22178753687&amp;gbraid=0AAAAADPpU83KnXLm_7hZs26_YvFWH7d_f&amp;gclid=CjwKCAjwsZPDBhBWEiwADuO6y3G5GRDYqSk1QpSAg_Uqa-ZqbaIV54eVLdbNN5k5HcQqkpuNMSMVPBoCfnwQAvD_BwE" TargetMode="External"/><Relationship Id="rId331" Type="http://schemas.openxmlformats.org/officeDocument/2006/relationships/hyperlink" Target="https://www.tokopedia.com/budgetgadget/lis-strip-pintu-seal-peredam-suara-door-noise-insulation-sealing-tape-6m-sd6-1731250268850063286?extParam=ivf%3Dfalse%26keyword%3Dseal+pintu%26search_id%3D2025082516442182CEC96096D42815D8DO%26src%3Dsearch&amp;t_id=1756140269020&amp;t_st=2&amp;t_pp=search_result&amp;t_efo=search_pure_goods_card&amp;t_ef=goods_search&amp;t_sm=&amp;t_spt=search_result" TargetMode="External"/><Relationship Id="rId452" Type="http://schemas.openxmlformats.org/officeDocument/2006/relationships/hyperlink" Target="https://drive.google.com/file/d/14v-JLYNTKcxGSHDY3i1U6DDR6e2IC6uZ/view?usp=drive_link" TargetMode="External"/><Relationship Id="rId573" Type="http://schemas.openxmlformats.org/officeDocument/2006/relationships/hyperlink" Target="https://shopee.co.id/product/105221864/22620153153?gads_t_sig=VTJGc2RHVmtYMTlxTFVSVVRrdENkY0tSanlKZU1BU2Y2RTJzOS9neUtnZm9xdk1HYjhBM2ZWSDhGNTlxbXBqZEkzbkxkell0cURwRmYrQS9TWGYwY05TZ0VHTnI2aTR2Z3YwQW9jcFhFTFFMVmR3K2taTEw4QUZvU1Z5MU40RkpZU1N6Mnc1ZzJ4TVI3WlY1WnNsUU5BPT0&amp;gad_source=1&amp;gad_campaignid=23290582497&amp;gbraid=0AAAAADPpU81VyXAjPKX7Kjr4xcHYf0wXl&amp;gclid=Cj0KCQjwgr_NBhDFARIsAHiUWr7Y7lsCy9W-Ys5c-mochJ57DXXQ9dUb_r-2vABZmccT1pDK7Z0A60caAipfEALw_wcB" TargetMode="External"/><Relationship Id="rId694" Type="http://schemas.openxmlformats.org/officeDocument/2006/relationships/hyperlink" Target="https://acrobat.adobe.com/id/urn:aaid:sc:AP:ed51335f-ae92-4988-ac94-fda62b428eec" TargetMode="External"/><Relationship Id="rId370" Type="http://schemas.openxmlformats.org/officeDocument/2006/relationships/hyperlink" Target="https://drive.google.com/file/d/1IpnATADGzwUDqmRvJUijXIrlFOnX1tS_/view?usp=drive_link" TargetMode="External"/><Relationship Id="rId491" Type="http://schemas.openxmlformats.org/officeDocument/2006/relationships/hyperlink" Target="https://www.tokopedia.com/utamajayalistrik/fitting-lampu-plafon-bulat-hitam-e27-broco?extParam=ivf%3Dfalse%26keyword%3Dfitting+lampu+wall+mount+bulat+brocco+tipe+e27%26search_id%3D2026010722505913F9896DF61279104MC3%26src%3Dsearch&amp;t_id=1767826404271&amp;t_st=1&amp;t_pp=search_result&amp;t_efo=search_pure_goods_card&amp;t_ef=goods_search&amp;t_sm=&amp;t_spt=search_result" TargetMode="External"/><Relationship Id="rId490" Type="http://schemas.openxmlformats.org/officeDocument/2006/relationships/hyperlink" Target="https://shopee.co.id/TEKIRO-OBENG-KETOK-5-PCS-BOX-PE-OBENG-KETOK-SET-TOOLS-ALAT-PERKAKAS-i.73061699.19172092914?xptdk=fd0e8837-5462-4058-94b9-41634713311e" TargetMode="External"/><Relationship Id="rId129" Type="http://schemas.openxmlformats.org/officeDocument/2006/relationships/hyperlink" Target="https://www.tokopedia.com/danielcahaya28/bearing-629-zz-tutup-besi-merk-skf-asli?aff_unique_id=&amp;channel=others&amp;chain_key=" TargetMode="External"/><Relationship Id="rId128" Type="http://schemas.openxmlformats.org/officeDocument/2006/relationships/hyperlink" Target="https://www.tokopedia.com/tokoexkpres/bearing-6303-2rsh-skf-bearing?aff_unique_id=&amp;channel=others&amp;chain_key=" TargetMode="External"/><Relationship Id="rId249" Type="http://schemas.openxmlformats.org/officeDocument/2006/relationships/hyperlink" Target="https://www.tokopedia.com/mitra-autopedia/k-adp-usb-programmer-pepperl-fuchs?t_id=1755187951766&amp;t_st=3&amp;t_pp=cart&amp;t_efo=cart&amp;t_ef=&amp;t_sm=&amp;t_spt=cart" TargetMode="External"/><Relationship Id="rId127" Type="http://schemas.openxmlformats.org/officeDocument/2006/relationships/hyperlink" Target="https://www.tokopedia.com/berkatsuksestekn/gear-box-mesin-steam-high-pressure-cleaner-10100229-krisbow-130-bar?utm_source=whatsapp&amp;utm_medium=share&amp;utm_campaign=pdp-0tlhi23r1h7e-8136186981-0" TargetMode="External"/><Relationship Id="rId248" Type="http://schemas.openxmlformats.org/officeDocument/2006/relationships/hyperlink" Target="https://drive.google.com/drive/folders/1AM6C0hzUr-5v39s7s6tXSZAMPk5WCFlV?usp=drive_link" TargetMode="External"/><Relationship Id="rId369" Type="http://schemas.openxmlformats.org/officeDocument/2006/relationships/hyperlink" Target="https://drive.google.com/file/d/1wQOQqwJH1Sch1rlfV2Ndpg7Odtqm-ytm/view?usp=drive_link" TargetMode="External"/><Relationship Id="rId126" Type="http://schemas.openxmlformats.org/officeDocument/2006/relationships/hyperlink" Target="https://www.tokopedia.com/benuaseal/oil-seal-tc-20x35x7-nbr-tc-20-35-7-nbr-tc-20-35-7-nbr-taiwan?aff_unique_id=&amp;channel=others&amp;chain_key=" TargetMode="External"/><Relationship Id="rId247" Type="http://schemas.openxmlformats.org/officeDocument/2006/relationships/hyperlink" Target="https://drive.google.com/file/d/1c4GQT33CgbLa-GF_OX0w_b6sQB3WcTgt/view?usp=drive_link" TargetMode="External"/><Relationship Id="rId368" Type="http://schemas.openxmlformats.org/officeDocument/2006/relationships/hyperlink" Target="https://drive.google.com/file/d/1C44KJhdkzl9cWfizQL1QdmCFFtU57bEm/view?usp=drive_link" TargetMode="External"/><Relationship Id="rId489" Type="http://schemas.openxmlformats.org/officeDocument/2006/relationships/hyperlink" Target="https://shopee.co.id/TEKIRO-TANG-BUAYA-BENGKOK-10-INCH-TANG-BUAYA-TANG-JEPIT-TOOLS-ALAT-PERKAKAS-i.73061699.1237546636?xptdk=f32b04bf-7656-4a2b-a0d5-d3b3095fcde4" TargetMode="External"/><Relationship Id="rId121" Type="http://schemas.openxmlformats.org/officeDocument/2006/relationships/hyperlink" Target="https://hit.sbt.siemens.com/RWD/app.aspx?rc=DK&amp;lang=en&amp;module=Catalog&amp;action=ShowProduct&amp;key=BPZ:VVF31.80" TargetMode="External"/><Relationship Id="rId242" Type="http://schemas.openxmlformats.org/officeDocument/2006/relationships/hyperlink" Target="https://www.tokopedia.com/tokomitraaneka/cat-semprot-chrome-stainless-360ml-spray-paint-anti-karat-warna-stainless?aff_unique_id=&amp;channel=others&amp;chain_key=" TargetMode="External"/><Relationship Id="rId363" Type="http://schemas.openxmlformats.org/officeDocument/2006/relationships/hyperlink" Target="https://shopee.co.id/product/1299773/25327270336?gads_t_sig=VTJGc2RHVmtYMTlxTFVSVVRrdENkVEg0SDd3VWo1MDQyT052d3EvY1B4YmhDb0dxdkZFblg5Umk2ZUF4TXpKdWtraGVUa0Y1N3hxejgybk5UTWRnMG1wcG9rR3FhaTBxODZqL0lBTEVNUm5YamxkV2V1b1hHcEdjYmlYVFNISnA&amp;gad_source=1&amp;gad_campaignid=19804035996&amp;gbraid=0AAAAADPpU82rED4xEK3nUYE4bL_2AIcmm&amp;gclid=Cj0KCQjwuKnGBhD5ARIsAD19RsafbWZGh8UzP5u443kSf6pp8XZLe2crZNYv_QsoIL-jZ6_KzA-iUtkaAvj3EALw_wcB" TargetMode="External"/><Relationship Id="rId484" Type="http://schemas.openxmlformats.org/officeDocument/2006/relationships/hyperlink" Target="https://shopee.co.id/Paku-Rivet-SIP-Brand-No-435-440-450-540-550-isi-1000-pcs-No-635-650-665-675-isi-500-pcs-i.258990646.25891744617?xptdk=ac2b6cea-64fe-4dc4-a699-7b5d32d682c9" TargetMode="External"/><Relationship Id="rId120" Type="http://schemas.openxmlformats.org/officeDocument/2006/relationships/hyperlink" Target="https://drive.google.com/file/d/15G2zcdvsMiV-1FC3GBCvPHKUsg-AwMjH/view?usp=drive_link" TargetMode="External"/><Relationship Id="rId241" Type="http://schemas.openxmlformats.org/officeDocument/2006/relationships/hyperlink" Target="https://drive.google.com/file/d/127Rng8nh31Kwgdl5jNkROyeyqTaYG605/view?usp=drive_link" TargetMode="External"/><Relationship Id="rId362" Type="http://schemas.openxmlformats.org/officeDocument/2006/relationships/hyperlink" Target="https://drive.google.com/drive/folders/1oaTb-qzrU40WIID6eOgCm_vXVev-cLxX?usp=drive_link" TargetMode="External"/><Relationship Id="rId483" Type="http://schemas.openxmlformats.org/officeDocument/2006/relationships/hyperlink" Target="https://southco.com/en_any_int/h3-60-421-050" TargetMode="External"/><Relationship Id="rId240" Type="http://schemas.openxmlformats.org/officeDocument/2006/relationships/hyperlink" Target="https://www.tokopedia.com/aaelec/pilot-lamp-led-22mm-ad22-22ds-ad2222ds-merah-hijau-kuning-fort?extParam=ivf%3Dfalse%26keyword%3Dpilot+lamp+220+v%26search_id%3D20250722150116496E05E1AEA0A9031JW6%26src%3Dsearch&amp;t_id=1753196486907&amp;t_st=1&amp;t_pp=search_result&amp;t_efo=search_pure_goods_card&amp;t_ef=goods_search&amp;t_sm=&amp;t_spt=search_result" TargetMode="External"/><Relationship Id="rId361" Type="http://schemas.openxmlformats.org/officeDocument/2006/relationships/hyperlink" Target="https://drive.google.com/drive/folders/1DixVXnMbDcx0kmTjXN_q25kItgwAtF5S?usp=drive_link" TargetMode="External"/><Relationship Id="rId482" Type="http://schemas.openxmlformats.org/officeDocument/2006/relationships/hyperlink" Target="https://drive.google.com/drive/folders/13YkPIvi0AFW5vg6bJ7XU1h2I-czKTUGE?usp=drive_link" TargetMode="External"/><Relationship Id="rId360" Type="http://schemas.openxmlformats.org/officeDocument/2006/relationships/hyperlink" Target="https://drive.google.com/drive/folders/1DixVXnMbDcx0kmTjXN_q25kItgwAtF5S?usp=drive_link" TargetMode="External"/><Relationship Id="rId481" Type="http://schemas.openxmlformats.org/officeDocument/2006/relationships/hyperlink" Target="https://www.tokopedia.com/sanjayacomtronix/belden-9841-chrome-cable-rs-485-multi-conductor-24-awg-stranded-1-pair?extParam=ivf%3Dfalse%26keyword%3Dkabel+awg+rs+485+1+pair+24+shielded%26search_id%3D2025122519311158238E9AE2DD30125Q5I%26src%3Dsearch&amp;t_id=1766690248785&amp;t_st=4&amp;t_pp=search_result&amp;t_efo=search_pure_goods_card&amp;t_ef=goods_search&amp;t_sm=&amp;t_spt=search_result" TargetMode="External"/><Relationship Id="rId125" Type="http://schemas.openxmlformats.org/officeDocument/2006/relationships/hyperlink" Target="https://www.tokopedia.com/sinarabadiaircon/kapacitor-ac-40-2uf?aff_unique_id=&amp;channel=others&amp;chain_key=" TargetMode="External"/><Relationship Id="rId246" Type="http://schemas.openxmlformats.org/officeDocument/2006/relationships/hyperlink" Target="https://shopee.co.id/Kaku-Ka1725Ha2-Fan-Kaku-Ka1725Ha2-Ball-Bearing-i.1524555400.41606998175?xptdk=04553a51-d4c6-4fed-94f6-5a1dd37959c2" TargetMode="External"/><Relationship Id="rId367" Type="http://schemas.openxmlformats.org/officeDocument/2006/relationships/hyperlink" Target="https://shopee.co.id/UGREEN-Lan-Adapter-Gigabit-USB-A-Type-C-To-RJ45-Fast-Ethernet-Network-1000Mbps-2500Mbps-i.293199663.23533022629" TargetMode="External"/><Relationship Id="rId488" Type="http://schemas.openxmlformats.org/officeDocument/2006/relationships/hyperlink" Target="https://shopee.co.id/Krisbow-Screwdriver-Obeng-Plus-Minus-8-Pcs-Kuning-Lrsst8-i.182588931.3878356755?extraParams=%7B%22display_model_id%22%3A63572325641%7D" TargetMode="External"/><Relationship Id="rId124" Type="http://schemas.openxmlformats.org/officeDocument/2006/relationships/hyperlink" Target="https://www.blibli.com/p/label-maker-cable-cat6a-indoor-and-outdoor-labeling/ps--GUR-70048-00214" TargetMode="External"/><Relationship Id="rId245" Type="http://schemas.openxmlformats.org/officeDocument/2006/relationships/hyperlink" Target="https://tokopedia.link/Sc8UgwJmDVb" TargetMode="External"/><Relationship Id="rId366" Type="http://schemas.openxmlformats.org/officeDocument/2006/relationships/hyperlink" Target="https://store.danfoss.com/in/en/Drives/Low-Voltage-Drives/VLT%C2%AE-HVAC-Drive-FC-102/FC-102P4K0T4E55H2XGXXXXSXXXXAXBXCXXXXDX/p/131B4229" TargetMode="External"/><Relationship Id="rId487" Type="http://schemas.openxmlformats.org/officeDocument/2006/relationships/hyperlink" Target="https://shopee.co.id/TEKIRO-SET-KUNCI-L-TORX-DENGAN-LUBANG-9-PCS-KUNCI-L-BINTANG-SET-LUBANG-TOOLS-ALAT-PERKAKAS-i.73061699.9726689915?extraParams=%7B%22display_model_id%22%3A74192270566%2C%22model_selection_logic%22%3A3%7D&amp;sp_atk=9cc6eb24-0b20-41d6-a48d-88e2722da858&amp;xptdk=9cc6eb24-0b20-41d6-a48d-88e2722da858" TargetMode="External"/><Relationship Id="rId123" Type="http://schemas.openxmlformats.org/officeDocument/2006/relationships/hyperlink" Target="https://www.tokopedia.com/cbselectric/schneider-pilot-lamp-led-110v-ac-dc-xa2evbf1lc-pilot-lamp-22mm?aff_unique_id=&amp;channel=others&amp;chain_key=" TargetMode="External"/><Relationship Id="rId244" Type="http://schemas.openxmlformats.org/officeDocument/2006/relationships/hyperlink" Target="https://drive.google.com/file/d/17L-6_bGUNd9ixK3VuVqmxtZA2TKaqWaJ/view?usp=drive_link" TargetMode="External"/><Relationship Id="rId365" Type="http://schemas.openxmlformats.org/officeDocument/2006/relationships/hyperlink" Target="https://store.danfoss.com/sg/en/Drives/Low-Voltage-Drives/VLT%C2%AE-HVAC-Drive-FC-102/FC-102P11KT4E21H2XGXXXXSXXXXAXBXCXXXXDX/p/131B1271" TargetMode="External"/><Relationship Id="rId486" Type="http://schemas.openxmlformats.org/officeDocument/2006/relationships/hyperlink" Target="https://shopee.co.id/TEKIRO-HAND-RIVETER-TANG-RIVET-TOOLS-ALAT-PERKAKAS-KUNCI-ALAT-PERTUKANGAN-i.73061699.1237546604?xptdk=0a356c4c-8938-46ee-a2b7-9923792fe5b9" TargetMode="External"/><Relationship Id="rId122" Type="http://schemas.openxmlformats.org/officeDocument/2006/relationships/hyperlink" Target="https://ifs-store.com/siemens-skc62/" TargetMode="External"/><Relationship Id="rId243" Type="http://schemas.openxmlformats.org/officeDocument/2006/relationships/hyperlink" Target="https://www.tokopedia.com/hydraulicpneumaticpower/solenoid-2-way-emc-2v025-08?extParam=ivf%3Dfalse%26keyword%3Dsolenoid+smc+2way%26search_id%3D2025072706554834ED066DF378EF066HKR%26src%3Dsearch&amp;t_id=1753599329818&amp;t_st=4&amp;t_pp=search_result&amp;t_efo=search_pure_goods_card&amp;t_ef=goods_search&amp;t_sm=&amp;t_spt=search_result" TargetMode="External"/><Relationship Id="rId364" Type="http://schemas.openxmlformats.org/officeDocument/2006/relationships/hyperlink" Target="https://www.tokopedia.com/kitamurapart/star-actuator-soket-actuator-konektor-actuator-sok-14x11-13035" TargetMode="External"/><Relationship Id="rId485" Type="http://schemas.openxmlformats.org/officeDocument/2006/relationships/hyperlink" Target="https://shopee.co.id/Paku-Rivet-SIP-Brand-No-435-440-450-540-550-isi-1000-pcs-No-635-650-665-675-isi-500-pcs-i.258990646.25891744617?xptdk=ac2b6cea-64fe-4dc4-a699-7b5d32d682c9" TargetMode="External"/><Relationship Id="rId95" Type="http://schemas.openxmlformats.org/officeDocument/2006/relationships/hyperlink" Target="https://drive.google.com/file/d/1S99AibyP8-AQtLu-xgnHBMf2c8YPnk1h/view?usp=sharing" TargetMode="External"/><Relationship Id="rId94" Type="http://schemas.openxmlformats.org/officeDocument/2006/relationships/hyperlink" Target="https://drive.google.com/file/d/1qzcQhvDISYnLlvisNE8FSMavU5MXw66w/view?usp=drive_link" TargetMode="External"/><Relationship Id="rId97" Type="http://schemas.openxmlformats.org/officeDocument/2006/relationships/hyperlink" Target="https://www.tokopedia.com/lubricants/grease-mobilux-ep-2-lithium-grease-packing-original-mobil-pail-16kg?txsc=google&amp;utm_source=google&amp;utm_medium=cpc&amp;utm_campaign=0000-0000-gg-pmax-bend-voo-tcpa-act-ord-pg-id51pgce51-0000-alon-gshp&amp;utm_term=15824685200&amp;ref=googleshopping&amp;c=21543673600&amp;m=667148562&amp;gclsrc=aw.ds&amp;gad_source=1" TargetMode="External"/><Relationship Id="rId96" Type="http://schemas.openxmlformats.org/officeDocument/2006/relationships/hyperlink" Target="https://id.shp.ee/tygSdzm" TargetMode="External"/><Relationship Id="rId99" Type="http://schemas.openxmlformats.org/officeDocument/2006/relationships/hyperlink" Target="https://product-selection.grundfos.com/products/unilift-ap/unilift-ap50/unilift-ap505011a1v-96010566?pumpsystemid=2603139592&amp;tab=variant-curves" TargetMode="External"/><Relationship Id="rId480" Type="http://schemas.openxmlformats.org/officeDocument/2006/relationships/hyperlink" Target="https://drive.google.com/drive/folders/1WrYrH1tpJ-bwTM3_Hhi1LFBhEZz3n48U?usp=drive_link" TargetMode="External"/><Relationship Id="rId98" Type="http://schemas.openxmlformats.org/officeDocument/2006/relationships/hyperlink" Target="https://5.imimg.com/data5/SELLER/Default/2021/12/QS/JO/YM/79299811/diaphragm-spare.png" TargetMode="External"/><Relationship Id="rId91" Type="http://schemas.openxmlformats.org/officeDocument/2006/relationships/hyperlink" Target="https://www.tokopedia.com/juragankithcen/flexible-ducting-4-in-pipa-aluminium-exhaust-4-inchi-selang-pembuangan?txsc=google&amp;utm_source=google&amp;utm_medium=cpc&amp;utm_campaign=0000-0000-gg-pmax-bend-voo-tros-act-ord-pg-id51pgce51-0000-alon-gshp&amp;utm_term=5689413304&amp;ref=googleshopping&amp;c=21627648432&amp;m=398720654&amp;gclsrc=aw.ds&amp;gad_source=1" TargetMode="External"/><Relationship Id="rId90" Type="http://schemas.openxmlformats.org/officeDocument/2006/relationships/hyperlink" Target="https://tokopedia.link/Wu42ntfqhRb" TargetMode="External"/><Relationship Id="rId93" Type="http://schemas.openxmlformats.org/officeDocument/2006/relationships/hyperlink" Target="https://www.tokopedia.com/bautfasterner/baut-l-tanam-stainless-m5-x-10-drat-0-8-ss-304-baut-l-tanam-m5x10-ss" TargetMode="External"/><Relationship Id="rId92" Type="http://schemas.openxmlformats.org/officeDocument/2006/relationships/hyperlink" Target="https://www.google.com/search?sca_esv=53b09118edbda9fc&amp;rlz=1C1GCEA_enID1076ID1076&amp;sxsrf=AHTn8zr5oshrwPuVZ4GYerDABE855Pmegg:1740628146184&amp;q=gasket+ferrule+EPDM+6Inch&amp;udm=2&amp;fbs=ABzOT_CB5rTOeVClh44GCXZQydERP1BnZ_6U4iXdAZ_ZkT8a3yweG-ROKJaX8AZ4e4IzcHWttziSCpXz7Kk4unvbthF53f5zm-k1xtQ8Cs1ebCGDwGhGJiiASqBYq1w_9uOUzkHFllm2si9-ahMJTMQdEAiFQbyINXSh6GkB3Mr9fR7Exc5E8c51RwZOU9HzyF7XbDLzSYJ0wedcOqWn1gpH5jI5CiUChw&amp;sa=X&amp;ved=2ahUKEwj1l9uS-eKLAxV2TDABHbbnDBIQtKgLegQIEBAB&amp;biw=1366&amp;bih=611&amp;dpr=1" TargetMode="External"/><Relationship Id="rId118" Type="http://schemas.openxmlformats.org/officeDocument/2006/relationships/hyperlink" Target="https://www.tokopedia.com/pneumatichardware/fitting-pneumatic-selang-14mm-x-12mm-reducer-connector-pg14-12-kk85" TargetMode="External"/><Relationship Id="rId239" Type="http://schemas.openxmlformats.org/officeDocument/2006/relationships/hyperlink" Target="https://tk.tokopedia.com/ZSB7hs9np/" TargetMode="External"/><Relationship Id="rId117" Type="http://schemas.openxmlformats.org/officeDocument/2006/relationships/hyperlink" Target="https://www.tokopedia.com/lubricants/grease-mobilux-ep-2-lithium-grease-packing-original-mobil-pail-16kg?txsc=google&amp;utm_source=google&amp;utm_medium=cpc&amp;utm_campaign=0000-0000-gg-pmax-bend-voo-tcpa-act-ord-pg-id51pgce51-0000-alon-gshp&amp;utm_term=15824685200&amp;ref=googleshopping&amp;c=21543673600&amp;m=667148562&amp;gclsrc=aw.ds&amp;gad_source=1" TargetMode="External"/><Relationship Id="rId238" Type="http://schemas.openxmlformats.org/officeDocument/2006/relationships/hyperlink" Target="https://www.tokopedia.com/agasperforated/expanded-metal-besi-tipe-3035-uk-120x240cm-tebal-3mm-1729843510168749373?utm_source=salinlink&amp;utm_medium=share&amp;utm_campaign=PDP-19222668-4261606302-160725-RKdhUE" TargetMode="External"/><Relationship Id="rId359" Type="http://schemas.openxmlformats.org/officeDocument/2006/relationships/hyperlink" Target="https://drive.google.com/drive/folders/1DixVXnMbDcx0kmTjXN_q25kItgwAtF5S?usp=drive_link" TargetMode="External"/><Relationship Id="rId116" Type="http://schemas.openxmlformats.org/officeDocument/2006/relationships/hyperlink" Target="https://www.google.com/search?sca_esv=53b09118edbda9fc&amp;rlz=1C1GCEA_enID1076ID1076&amp;sxsrf=AHTn8zr5oshrwPuVZ4GYerDABE855Pmegg:1740628146184&amp;q=gasket+ferrule+EPDM+6Inch&amp;udm=2&amp;fbs=ABzOT_CB5rTOeVClh44GCXZQydERP1BnZ_6U4iXdAZ_ZkT8a3yweG-ROKJaX8AZ4e4IzcHWttziSCpXz7Kk4unvbthF53f5zm-k1xtQ8Cs1ebCGDwGhGJiiASqBYq1w_9uOUzkHFllm2si9-ahMJTMQdEAiFQbyINXSh6GkB3Mr9fR7Exc5E8c51RwZOU9HzyF7XbDLzSYJ0wedcOqWn1gpH5jI5CiUChw&amp;sa=X&amp;ved=2ahUKEwj1l9uS-eKLAxV2TDABHbbnDBIQtKgLegQIEBAB&amp;biw=1366&amp;bih=611&amp;dpr=1" TargetMode="External"/><Relationship Id="rId237" Type="http://schemas.openxmlformats.org/officeDocument/2006/relationships/hyperlink" Target="https://www.tokopedia.com/futurateknik/siku-stainless-ss304-30-x-30-tebal-3mm-panjang-6meter-1731439103670061030?utm_source=salinlink&amp;utm_medium=share&amp;utm_campaign=PDP-19222668-100481284480-160725-RKdhUE" TargetMode="External"/><Relationship Id="rId358" Type="http://schemas.openxmlformats.org/officeDocument/2006/relationships/hyperlink" Target="https://drive.google.com/drive/folders/1DixVXnMbDcx0kmTjXN_q25kItgwAtF5S?usp=drive_link" TargetMode="External"/><Relationship Id="rId479" Type="http://schemas.openxmlformats.org/officeDocument/2006/relationships/hyperlink" Target="https://shopee.co.id/KARET-KAKI-HOLLOW-4x4-PADAT-KARET-TAPAK-KAKI-KARET-ALAS-KAKI-KURSI-MEJA-BANGKU-i.178358589.23707429535?extraParams=%7B%22display_model_id%22%3A230347055392%7D" TargetMode="External"/><Relationship Id="rId115" Type="http://schemas.openxmlformats.org/officeDocument/2006/relationships/hyperlink" Target="https://drive.google.com/file/d/1G4atjSOJkMEcwCStqwGkxVezQF9m-uWf/view?usp=drive_link" TargetMode="External"/><Relationship Id="rId236" Type="http://schemas.openxmlformats.org/officeDocument/2006/relationships/hyperlink" Target="https://www.tokopedia.com/jbsstainless/holo-stainless-steel-mirror-sus-304-40x40x1-5mmx3-mtr?utm_source=salinlink&amp;utm_medium=share&amp;utm_campaign=PDP-19222668-2093038838-160725-RKdhUE" TargetMode="External"/><Relationship Id="rId357" Type="http://schemas.openxmlformats.org/officeDocument/2006/relationships/hyperlink" Target="https://tk.tokopedia.com/ZSDNTa6bD/" TargetMode="External"/><Relationship Id="rId478" Type="http://schemas.openxmlformats.org/officeDocument/2006/relationships/hyperlink" Target="https://drive.google.com/file/d/1qSip2j0jetKJrTvoeclb-Wu_0lMvjKsK/view?usp=drive_link" TargetMode="External"/><Relationship Id="rId599" Type="http://schemas.openxmlformats.org/officeDocument/2006/relationships/hyperlink" Target="https://www.tokopedia.com/ferdiofficial/gasket-seal-teflon-ptfe-ferrule-sanitary-uk-1-2-3-4-1-1-1-4-1-1-2-2-2-1-2-3-4-5-6-8-10-12-1733252694670541828?extParam=ivf%3Dfalse%26keyword%3Dgasket+teflon+12+inch+ferrule%26search_id%3D202604170821088D3BBA7425E7C920FWGH%26src%3Dsearch&amp;t_id=1776414150399&amp;t_st=1&amp;t_pp=search_result&amp;t_efo=search_pure_goods_card&amp;t_ef=goods_search&amp;t_sm=&amp;t_spt=search_result" TargetMode="External"/><Relationship Id="rId119" Type="http://schemas.openxmlformats.org/officeDocument/2006/relationships/hyperlink" Target="https://www.google.com/url?sa=i&amp;url=https%3A%2F%2Fhit.sbt.siemens.com%2FRWD%2Fapp.aspx%3Frc%3DNO%26lang%3Den%26module%3DCatalog%26action%3DShowProduct%26key%3DBPZ%3ASKC62&amp;psig=AOvVaw0QQilrq1urX21H_jPxokk1&amp;ust=1742376829543000&amp;source=images&amp;cd=vfe&amp;opi=89978449&amp;ved=0CBQQjRxqFwoTCPCY2dSpk4wDFQAAAAAdAAAAABAE" TargetMode="External"/><Relationship Id="rId110" Type="http://schemas.openxmlformats.org/officeDocument/2006/relationships/hyperlink" Target="https://drive.google.com/drive/folders/1-A3PSFPOtNNj8ILj7DjSRukPtAKqxZlz?usp=drive_link" TargetMode="External"/><Relationship Id="rId231" Type="http://schemas.openxmlformats.org/officeDocument/2006/relationships/hyperlink" Target="https://www.tokopedia.com/rianbaja/besi-unp-100-x-50-berat-36kg-unp-100-d1786?aff_unique_id=&amp;channel=others&amp;chain_key=" TargetMode="External"/><Relationship Id="rId352" Type="http://schemas.openxmlformats.org/officeDocument/2006/relationships/hyperlink" Target="https://www.tokopedia.com/tekniktoolsglodok/kunci-l-set-mini-7-pcs-mili-tekiro?extParam=ivf%3Dfalse%26keyword%3Dkonci+l+kecil%26search_id%3D202509040350329FD81843AD7F20054EMU%26src%3Dsearch&amp;t_id=1756957838260&amp;t_st=1&amp;t_pp=search_result&amp;t_efo=search_pure_goods_card&amp;t_ef=goods_search&amp;t_sm=&amp;t_spt=search_result" TargetMode="External"/><Relationship Id="rId473" Type="http://schemas.openxmlformats.org/officeDocument/2006/relationships/hyperlink" Target="https://www.tokopedia.com/habotest-store-id/diskon-50-habotest-ht106d-socket-tester-pro-voltage-test-digital-outlet-socket-detect-eu-plug-ground-zero-line-plug-polarity-phase-check-1729731898346013952?utm_source=whatsapp&amp;utm_medium=share&amp;utm_campaign=pdp-8ewhhik467s5-100094952832--10000" TargetMode="External"/><Relationship Id="rId594" Type="http://schemas.openxmlformats.org/officeDocument/2006/relationships/hyperlink" Target="https://tk.tokopedia.com/ZSHs2K5yB/" TargetMode="External"/><Relationship Id="rId230" Type="http://schemas.openxmlformats.org/officeDocument/2006/relationships/hyperlink" Target="https://drive.google.com/file/d/10CdrI5_1yuFZmRN3BizcN7HnwkdegEJp/view?usp=drive_link" TargetMode="External"/><Relationship Id="rId351" Type="http://schemas.openxmlformats.org/officeDocument/2006/relationships/hyperlink" Target="https://www.tokopedia.com/discovery/rekomendasi?recomProdId=12425365593&amp;utm_source=google&amp;utm_medium=cpc&amp;utm_campaign=0000-0000-gg-gpmx-bran-nwb-tcpa-nwb-int-tp-id51mlab01-0000-alon-alon&amp;utm_term=12425365593&amp;ref=googleshopping&amp;c=22562631326&amp;m=185508013&amp;gclsrc=aw.ds&amp;gad_source=1&amp;gad_campaignid=22566222628&amp;gbraid=0AAAAABhH3nSuDGMOeM57NjUfBu04uq8p3&amp;gclid=Cj0KCQjwzt_FBhCEARIsAJGFWVka_7YTwqAd1BflpqKYTnjkjAv140tE9xAJIZQymF-GXQEGnBk1XZMaAvvtEALw_wcB" TargetMode="External"/><Relationship Id="rId472" Type="http://schemas.openxmlformats.org/officeDocument/2006/relationships/hyperlink" Target="https://www.tokopedia.com/pyendiro/noyafa-automatic-circuit-breaker-finder-nf-827s-fuse-socket-tester-us-120v-circuit-switch-finder-electrician-diagnostic-tool-1731417965998868184?extParam=ivf%3Dfalse%26keyword%3Dmcb+finder%26search_id%3D20251218231516432ACA3A1E345E05EY36%26src%3Dsearch&amp;t_id=1766099190886&amp;t_st=10&amp;t_pp=search_result&amp;t_efo=search_pure_goods_card&amp;t_ef=goods_search&amp;t_sm=&amp;t_spt=search_result" TargetMode="External"/><Relationship Id="rId593" Type="http://schemas.openxmlformats.org/officeDocument/2006/relationships/hyperlink" Target="https://tk.tokopedia.com/ZSHs29Urp/" TargetMode="External"/><Relationship Id="rId350" Type="http://schemas.openxmlformats.org/officeDocument/2006/relationships/hyperlink" Target="https://tk.tokopedia.com/ZSAsrpR1R/" TargetMode="External"/><Relationship Id="rId471" Type="http://schemas.openxmlformats.org/officeDocument/2006/relationships/hyperlink" Target="https://www.tokopedia.com/happyadventure101/paket-20-mtr-kawat-spiral-premium-diameter-22-mm-panjang-solusi-saluran-pipa-pembuangan-air-mampet-1731607367160333622?extParam=ivf%3Dfalse%26keyword%3Ddrain+cleaner+kawat+baja%26search_id%3D20251218231227B3967A0E938DC2041Q0C%26src%3Dsearch&amp;t_id=1766099190886&amp;t_st=6&amp;t_pp=search_result&amp;t_efo=search_pure_goods_card&amp;t_ef=goods_search&amp;t_sm=&amp;t_spt=search_result" TargetMode="External"/><Relationship Id="rId592" Type="http://schemas.openxmlformats.org/officeDocument/2006/relationships/hyperlink" Target="https://tk.tokopedia.com/ZSHs2uxuR/" TargetMode="External"/><Relationship Id="rId470" Type="http://schemas.openxmlformats.org/officeDocument/2006/relationships/hyperlink" Target="https://www.tokopedia.com/krisbowid/krisbow-drain-cleaner-motor-alat-pembersih-pipa-10-cm?extParam=ivf%3Dfalse%26keyword%3Ddrain+cleaner%26search_id%3D20251218230943DB8E1AF0CB3ACA193JZJ%26src%3Dsearch&amp;t_id=1766099190886&amp;t_st=4&amp;t_pp=search_result&amp;t_efo=search_pure_goods_card&amp;t_ef=goods_search&amp;t_sm=&amp;t_spt=search_result" TargetMode="External"/><Relationship Id="rId591" Type="http://schemas.openxmlformats.org/officeDocument/2006/relationships/hyperlink" Target="https://tk.tokopedia.com/ZSHs25bDM/" TargetMode="External"/><Relationship Id="rId114" Type="http://schemas.openxmlformats.org/officeDocument/2006/relationships/hyperlink" Target="https://drive.google.com/file/d/1zvX3aaY0EYyftKdYeb0Wp3oypc_jlGGH/view?usp=drive_link" TargetMode="External"/><Relationship Id="rId235" Type="http://schemas.openxmlformats.org/officeDocument/2006/relationships/hyperlink" Target="https://www.tokopedia.com/perkakassmart-indo/kobelco-kawat-las-rb26-2mm-per-2kg-kobe-steel-familiarc-welding-electrode-rb-26-2-0-mm-aws-6013-kobesteel?extParam=ivf%3Dfalse%26keyword%3Dkawat+las+rb+2.0%26search_id%3D202507160832238D3BBA7425E7C9134RFX%26src%3Dsearch&amp;t_id=1752650910822&amp;t_st=3&amp;t_pp=search_result&amp;t_efo=search_pure_goods_card&amp;t_ef=goods_search&amp;t_sm=&amp;t_spt=search_result" TargetMode="External"/><Relationship Id="rId356" Type="http://schemas.openxmlformats.org/officeDocument/2006/relationships/hyperlink" Target="https://shopee.co.id/product/12793026/7020484511?gads_t_sig=VTJGc2RHVmtYMTlxTFVSVVRrdENkVEg0SDd3VWo1MDQyT052d3EvY1B4YmUyeVFTa2xVQzl0YzhBNThkNlQvV25BZ2F5Y085ZFRmd01OSDg2V2VpZm9JVXVkeS9xVHkrVU93Qzk1N0tHK1ZwbzArZURhcVJkcGpFd1lEMkNGeHo&amp;gad_source=1&amp;gad_campaignid=16521264469&amp;gbraid=0AAAAADPpU80ioX18J1-827C9cNqVXojvK&amp;gclid=Cj0KCQjww4TGBhCKARIsAFLXndQjAOhaylqAW4Pwe96O1jpL_YZlLIqMYAGN68NMDkpovUq9y3c_CH0aAhvoEALw_wcB" TargetMode="External"/><Relationship Id="rId477" Type="http://schemas.openxmlformats.org/officeDocument/2006/relationships/hyperlink" Target="https://drive.google.com/file/d/1qSip2j0jetKJrTvoeclb-Wu_0lMvjKsK/view?usp=drive_link" TargetMode="External"/><Relationship Id="rId598" Type="http://schemas.openxmlformats.org/officeDocument/2006/relationships/hyperlink" Target="https://www.tokopedia.com/pompanusantara/pompa-grundfos-dpk-10-50-15-5-0d-submersible-sewage-water-pump-pump-adc-4c440" TargetMode="External"/><Relationship Id="rId113" Type="http://schemas.openxmlformats.org/officeDocument/2006/relationships/hyperlink" Target="https://drive.google.com/file/d/1yxd-1i6_2rne2iILRP3vPMVsFFYUDvQl/view?usp=drive_link" TargetMode="External"/><Relationship Id="rId234" Type="http://schemas.openxmlformats.org/officeDocument/2006/relationships/hyperlink" Target="https://www.tokopedia.com/besibetonjakarta/cnp-100-x-2-0mm-x-6m?extParam=ivf%3Dfalse%26keyword%3Dcnp+100%26search_id%3D2025071607431701386BD6D8E09119A2JT%26src%3Dsearch&amp;t_id=1752650910822&amp;t_st=2&amp;t_pp=search_result&amp;t_efo=search_pure_goods_card&amp;t_ef=goods_search&amp;t_sm=&amp;t_spt=search_result" TargetMode="External"/><Relationship Id="rId355" Type="http://schemas.openxmlformats.org/officeDocument/2006/relationships/hyperlink" Target="https://drive.google.com/drive/folders/1y-rKMglsFTNznmxxH_yqJMlTV0GIDohn?usp=drive_link" TargetMode="External"/><Relationship Id="rId476" Type="http://schemas.openxmlformats.org/officeDocument/2006/relationships/hyperlink" Target="https://tk.tokopedia.com/ZSPv7wHNK/" TargetMode="External"/><Relationship Id="rId597" Type="http://schemas.openxmlformats.org/officeDocument/2006/relationships/hyperlink" Target="https://tk.tokopedia.com/ZSHs6wgr4/" TargetMode="External"/><Relationship Id="rId112" Type="http://schemas.openxmlformats.org/officeDocument/2006/relationships/hyperlink" Target="https://drive.google.com/file/d/18AS5uxV3U9XXOPn0spB9aLZ9qDY121mm/view?usp=drive_link" TargetMode="External"/><Relationship Id="rId233" Type="http://schemas.openxmlformats.org/officeDocument/2006/relationships/hyperlink" Target="https://www.tokopedia.com/royalkeys/engsel-tanam-pintu-dekkson-d40-d80-d120-na-dekson-concealed-hinge-d40?extParam=ivf%3Dfalse%26keyword%3Dengsel+tanam+pintu%26search_id%3D20250716072822432ACA3A1E345E1544RI%26src%3Dsearch&amp;t_id=1752650910822&amp;t_st=1&amp;t_pp=search_result&amp;t_efo=search_pure_goods_card&amp;t_ef=goods_search&amp;t_sm=&amp;t_spt=search_result" TargetMode="External"/><Relationship Id="rId354" Type="http://schemas.openxmlformats.org/officeDocument/2006/relationships/hyperlink" Target="https://www.aten.com/global/en/products/usb-solutions/converters/uc232a/" TargetMode="External"/><Relationship Id="rId475" Type="http://schemas.openxmlformats.org/officeDocument/2006/relationships/hyperlink" Target="https://drive.google.com/drive/folders/1R5D6E0xCYQ3hTRBeNH6nkAXT0hPd-1u4?usp=sharing" TargetMode="External"/><Relationship Id="rId596" Type="http://schemas.openxmlformats.org/officeDocument/2006/relationships/hyperlink" Target="https://tk.tokopedia.com/ZSHsjcGVh/" TargetMode="External"/><Relationship Id="rId111" Type="http://schemas.openxmlformats.org/officeDocument/2006/relationships/hyperlink" Target="https://www.tokopedia.com/psrtrades/lem-perekat-superlon-adhesive-insulation-insulasi-pembungkus-pipa-glue?extParam=ivf%3Dfalse%26keyword%3Dlem+superlon%26search_id%3D20250309103729E7F72256397B2D24705W%26src%3Dsearch" TargetMode="External"/><Relationship Id="rId232" Type="http://schemas.openxmlformats.org/officeDocument/2006/relationships/hyperlink" Target="https://www.tokopedia.com/sulawesiutamapersada/elephant-gyspum-papan-gypsum-elephant-9mm?extParam=ivf%3Dfalse%26keyword%3Dgypsum+elephant%26search_id%3D20250716070526496E05E1AEA0A92DEMLN%26src%3Dsearch" TargetMode="External"/><Relationship Id="rId353" Type="http://schemas.openxmlformats.org/officeDocument/2006/relationships/hyperlink" Target="https://www.tokopedia.com/dunia-benang-acc/benang-anti-panas-tahan-panas?extParam=ivf%3Dfalse%26keyword%3Dtali+tahan+panas%26search_id%3D2025090503432094F6D7E04A4D45133ZQV%26src%3Dsearch&amp;t_id=1757043813252&amp;t_st=8&amp;t_pp=search_result&amp;t_efo=search_pure_goods_card&amp;t_ef=goods_search&amp;t_sm=&amp;t_spt=search_result" TargetMode="External"/><Relationship Id="rId474" Type="http://schemas.openxmlformats.org/officeDocument/2006/relationships/hyperlink" Target="https://www.tokopedia.com/fluke/fluke-tc01b-isee-mobile-thermal-camera-kamera-termal-mobile-cctv-wifi-1731259834351715946?extParam=ivf%3Dfalse%26keyword%3Dkamera+thermograph+fluke%26search_id%3D202512182328235B8ADD2A5D98B13D11WC%26src%3Dsearch&amp;t_id=1766099190886&amp;t_st=14&amp;t_pp=search_result&amp;t_efo=search_pure_goods_card&amp;t_ef=goods_search&amp;t_sm=&amp;t_spt=search_result" TargetMode="External"/><Relationship Id="rId595" Type="http://schemas.openxmlformats.org/officeDocument/2006/relationships/hyperlink" Target="https://tk.tokopedia.com/ZSHs2K5yB/" TargetMode="External"/><Relationship Id="rId305" Type="http://schemas.openxmlformats.org/officeDocument/2006/relationships/hyperlink" Target="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 TargetMode="External"/><Relationship Id="rId426" Type="http://schemas.openxmlformats.org/officeDocument/2006/relationships/hyperlink" Target="https://tk.tokopedia.com/ZSy62HdQb/" TargetMode="External"/><Relationship Id="rId547" Type="http://schemas.openxmlformats.org/officeDocument/2006/relationships/hyperlink" Target="https://www.tokopedia.com/onoshop/saklar-emergency-stop-box-1nc-1no-panel-box?extParam=ivf%3Dfalse%26keyword%3Djunction+box+emergency+stop%26search_id%3D202602180808127F100B7B36092F047W3W%26src%3Dsearch&amp;t_id=1771402097871&amp;t_st=1&amp;t_pp=search_result&amp;t_efo=search_pure_goods_card&amp;t_ef=goods_search&amp;t_sm=&amp;t_spt=search_result" TargetMode="External"/><Relationship Id="rId668" Type="http://schemas.openxmlformats.org/officeDocument/2006/relationships/hyperlink" Target="https://www.tokopedia.com/supreme-cable/supreme-cable-kabel-listrik-inti-ganda-tembaga-murni-nym-3-x-1-5-mm-50m-1730795500675040326?extParam=ivf%3Dtrue%26keyword%3Dnym+supreme+3+x+1.5%26search_id%3D2026062210332200EC53C4682D3635EMMY%26src%3Dsearch&amp;t_id=1782124408184&amp;t_st=1&amp;t_pp=search_result&amp;t_efo=search_pure_goods_card&amp;t_ef=goods_search&amp;t_sm=&amp;t_spt=search_result" TargetMode="External"/><Relationship Id="rId304" Type="http://schemas.openxmlformats.org/officeDocument/2006/relationships/hyperlink" Target="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 TargetMode="External"/><Relationship Id="rId425" Type="http://schemas.openxmlformats.org/officeDocument/2006/relationships/hyperlink" Target="https://drive.google.com/drive/folders/1XckZUYeeAEETc2mQSR_pARUUolsPGBVs?usp=drive_link" TargetMode="External"/><Relationship Id="rId546" Type="http://schemas.openxmlformats.org/officeDocument/2006/relationships/hyperlink" Target="https://drive.google.com/file/d/1mxFXDVuXTaI_HIgHyEpfeI6o1TdTjTRv/view?usp=drive_link" TargetMode="External"/><Relationship Id="rId667" Type="http://schemas.openxmlformats.org/officeDocument/2006/relationships/hyperlink" Target="https://www.tokopedia.com/led-lighting-store/philips-panel-light-rc081v-rc091v-led27s-28w-28-watt-smart-bright-panel-slim-led-30-x-120-cm-putih-6500k-2b93e?extParam=ivf%3Dfalse%26keyword%3Dphillips+rc081v%26search_id%3D202606220916346DA37DD3139AA4302A3E%26src%3Dsearch&amp;t_id=1782119809201&amp;t_st=2&amp;t_pp=search_result&amp;t_efo=search_pure_goods_card&amp;t_ef=goods_search&amp;t_sm=&amp;t_spt=search_result" TargetMode="External"/><Relationship Id="rId303" Type="http://schemas.openxmlformats.org/officeDocument/2006/relationships/hyperlink" Target="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 TargetMode="External"/><Relationship Id="rId424" Type="http://schemas.openxmlformats.org/officeDocument/2006/relationships/hyperlink" Target="https://sid.siemens.com/api/khub/documents/xh77L_9J5SlHPdhjmPmVbw/content" TargetMode="External"/><Relationship Id="rId545" Type="http://schemas.openxmlformats.org/officeDocument/2006/relationships/hyperlink" Target="https://drive.google.com/file/d/18nXIf_NpRdqgVFBLyZ6mGEMeLOWjq_X_/view?usp=drive_link" TargetMode="External"/><Relationship Id="rId666" Type="http://schemas.openxmlformats.org/officeDocument/2006/relationships/hyperlink" Target="https://shopee.co.id/product/566669817/24319741045?gads_t_sig=gqRjZGVrxHCFomtpsTE0MjUxOnRzc19zZGtfa2V5omt20QABpGFsZ2_SAAAAZKNkZWvAomN0xEAAAAAMfaLqlfFS4JwQPCoOJZHE2YMfq1tWF61pnIIHqGuyOlpkjBotHu7Xpb0YRK1tULWVZdcpI_r9hw6jgE9CqmNpcGhlcnRleHTEcQAAAAzUjME4JEs-lmfgsZq7YjJPy8tpm9LEYCfxJ26uNLlW-Vk6hX7Iroa8NAND7BIAo-449pI209VhYmk8xcVNysWSblQN2TfKYb_NMgMHshwpw8bZbVjMhL-9lmDyyVYAxJqayIj3RIzSBtxudK9J&amp;gad_source=1&amp;gad_campaignid=23295573554&amp;gbraid=0AAAAADPpU82opQn-91GfoqKvYelpyjpi2&amp;gclid=CjwKCAjwuuPRBhAnEiwA2Ji8embfWMIQhKamlf_rDDAphJuU41kB7LdCZsjHkvzDW1SlT9O2tvAU0BoCQ78QAvD_BwE" TargetMode="External"/><Relationship Id="rId302" Type="http://schemas.openxmlformats.org/officeDocument/2006/relationships/hyperlink" Target="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 TargetMode="External"/><Relationship Id="rId423" Type="http://schemas.openxmlformats.org/officeDocument/2006/relationships/hyperlink" Target="https://store.danfoss.com/en/VLT2980PT4B20STR0DBF00A21C1/p/195N2191" TargetMode="External"/><Relationship Id="rId544" Type="http://schemas.openxmlformats.org/officeDocument/2006/relationships/hyperlink" Target="https://www.krisbow.com/detail/10155038-locker-1-doors-single-coloum-red" TargetMode="External"/><Relationship Id="rId665" Type="http://schemas.openxmlformats.org/officeDocument/2006/relationships/hyperlink" Target="https://shopee.co.id/product/1027084448/18381558008?gads_t_sig=gqRjZGVrxHCFomtpsTE0MjUxOnRzc19zZGtfa2V5omt20QABpGFsZ2_SAAAAZKNkZWvAomN0xEAAAAAMfaLqlfFS4JwQPCoOJZHE2YMfq1tWF61pnIIHqGuyOlpkjBotHu7Xpb0YRK1tULWVZdcpI_r9hw6jgE9CqmNpcGhlcnRleHTEcwAAAAxDOu-TyQCkOeb2YZn8t1O3neCDBJ7XQJaN9mJXkGjWLnBwRtIpsYHSwUQis-YaikctbI6GDep8HPW5FjXVnwAYkMW8VOWycgsRHAnVhpkZhWRUB50yoK7WK5uhjZFZjUvLkkCQUCONx2dWXf13Bkg&amp;gad_source=1&amp;gad_campaignid=23290582497&amp;gbraid=0AAAAADPpU80r4YM6rcpm8nv5aRAHbj3RS&amp;gclid=CjwKCAjwuuPRBhAnEiwA2Ji8em-c4tb24z5ZNw2OhyztyR2eiaJRkuyuVLeJB3kuZNepaR1R3e3GehoCwXgQAvD_BwE" TargetMode="External"/><Relationship Id="rId309" Type="http://schemas.openxmlformats.org/officeDocument/2006/relationships/hyperlink" Target="https://www.tokopedia.com/electrical7/pilot-lamp-led-22m-merah-kuning-hijau-ad22-22ds-220v-fort-merah?extParam=ivf%3Dfalse%26keyword%3Dpilot+lamp+fort+220%26search_id%3D202507130948525737C6EC2E07162C2F2R%26src%3Dsearch&amp;t_id=1752399739361&amp;t_st=5&amp;t_pp=search_result&amp;t_efo=search_pure_goods_card&amp;t_ef=goods_search&amp;t_sm=&amp;t_spt=search_result" TargetMode="External"/><Relationship Id="rId308" Type="http://schemas.openxmlformats.org/officeDocument/2006/relationships/hyperlink" Target="https://www.tokopedia.com/visitek/cable-label-name-tag-identification-id-labeler-penamaan-kabel-wire-tipe-a-3010?extParam=ivf%3Dfalse%26keyword%3Dtagging+kabel%26search_id%3D20250711205253577BCC914F9E55120LKR%26src%3Dsearch&amp;t_id=1752266597747&amp;t_st=6&amp;t_pp=search_result&amp;t_efo=search_pure_goods_card&amp;t_ef=goods_search&amp;t_sm=&amp;t_spt=search_result" TargetMode="External"/><Relationship Id="rId429" Type="http://schemas.openxmlformats.org/officeDocument/2006/relationships/hyperlink" Target="https://tk.tokopedia.com/ZSyxwUTXr/" TargetMode="External"/><Relationship Id="rId307" Type="http://schemas.openxmlformats.org/officeDocument/2006/relationships/hyperlink" Target="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 TargetMode="External"/><Relationship Id="rId428" Type="http://schemas.openxmlformats.org/officeDocument/2006/relationships/hyperlink" Target="https://drive.google.com/file/d/1llHaFRjegWuB6_WX0t4SbBSo3BTCdYup/view?usp=drivesdk" TargetMode="External"/><Relationship Id="rId549" Type="http://schemas.openxmlformats.org/officeDocument/2006/relationships/hyperlink" Target="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 TargetMode="External"/><Relationship Id="rId306" Type="http://schemas.openxmlformats.org/officeDocument/2006/relationships/hyperlink" Target="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 TargetMode="External"/><Relationship Id="rId427" Type="http://schemas.openxmlformats.org/officeDocument/2006/relationships/hyperlink" Target="https://tk.tokopedia.com/ZSy6jMxHp/" TargetMode="External"/><Relationship Id="rId548" Type="http://schemas.openxmlformats.org/officeDocument/2006/relationships/hyperlink" Target="https://tk.tokopedia.com/ZSm4H4Fnd/" TargetMode="External"/><Relationship Id="rId669" Type="http://schemas.openxmlformats.org/officeDocument/2006/relationships/hyperlink" Target="https://www.tokopedia.com/data-electric/boss-pipa-conduit-20-mm-2-9-m-putih-pvc-high-impact-standar-iec-61386-21-2002-melindungi-instalasi-kabel-listrik-dari-kerusakan-mekanis-1732469901559497880?extParam=ivf%3Dfalse%26keyword%3Dconduit+boss%26search_id%3D202606221019454F6FFE13A5D75B3A8V5H%26src%3Dsearch&amp;t_id=1782123611989&amp;t_st=1&amp;t_pp=search_result&amp;t_efo=search_pure_goods_card&amp;t_ef=goods_search&amp;t_sm=&amp;t_spt=search_result" TargetMode="External"/><Relationship Id="rId660" Type="http://schemas.openxmlformats.org/officeDocument/2006/relationships/hyperlink" Target="https://www.monotaro.id/items/s000043642.html?utm_source=google&amp;utm_medium=pla&amp;utm_campaign=22645740610&amp;utm_content=189071432548&amp;utm_term=ready_stock_cat_group_2_pricebrand_group_1&amp;gad_source=4&amp;gad_campaignid=22645740610&amp;gbraid=0AAAAADJU9-_fxP46sbx3UVVJWc9oOsxk4&amp;gclid=CjwKCAjwzevPBhBaEiwAplAxvjLum4MJO87V-Xxbb2o0yawfb1xBtgqFbTDO00qV4vL0kYjCsXcM1hoCJnsQAvD_BwE" TargetMode="External"/><Relationship Id="rId301" Type="http://schemas.openxmlformats.org/officeDocument/2006/relationships/hyperlink" Target="https://www.tokopedia.com/toko-mik/terminal-blok-block-tbr-tbr-10-tbr-20-tbr-30-tbr-45-tbr-60-din-rail-rel-tbr-silver-a871f?extParam=ivf%3Dfalse%26keyword%3Dterminal+tbr20%26search_id%3D2025071120445994F6D7E04A4D4512ENQS%26src%3Dsearch&amp;t_id=1752266597747&amp;t_st=2&amp;t_pp=search_result&amp;t_efo=search_pure_goods_card&amp;t_ef=goods_search&amp;t_sm=&amp;t_spt=search_result" TargetMode="External"/><Relationship Id="rId422" Type="http://schemas.openxmlformats.org/officeDocument/2006/relationships/hyperlink" Target="https://drive.google.com/file/d/12pJ13sy6WnB8XNg3APqvDEBuoI9FpvL-/view?usp=drive_link" TargetMode="External"/><Relationship Id="rId543" Type="http://schemas.openxmlformats.org/officeDocument/2006/relationships/hyperlink" Target="https://www.tokopedia.com/kedaielect/idec-selector-switch-3posisi-22mm-yw1s-3e20?extParam=ivf%3Dfalse%26keyword%3Dselector+switch+3+posisi+22+mm+idec%26search_id%3D2025071309512563923F49E524130BE7D6%26src%3Dsearch&amp;t_id=1752399739361&amp;t_st=7&amp;t_pp=search_result&amp;t_efo=search_pure_goods_card&amp;t_ef=goods_search&amp;t_sm=&amp;t_spt=search_result" TargetMode="External"/><Relationship Id="rId664" Type="http://schemas.openxmlformats.org/officeDocument/2006/relationships/hyperlink" Target="https://shopee.co.id/product/772267197/29852444260?gads_t_sig=gqRjZGVrxHCFomtpsTE0MjUxOnRzc19zZGtfa2V5omt20QABpGFsZ2_SAAAAZKNkZWvAomN0xEAAAAAMfaLqlfFS4JwQPCoOJZHE2YMfq1tWF61pnIIHqGuyOlpkjBotHu7Xpb0YRK1tULWVZdcpI_r9hw6jgE9CqmNpcGhlcnRleHTEcQAAAAx0U4J4IkGcXk4ib0ib4LfBG82fWu9zNb1s2_a4h9dZ5GMvNEkhixtZSjW6EZZf9lWCTyfiPTIkbOr72X6mXR98wx13zrG9EHUHuRSJO7njZKzUX8ZcwKF02MtQdWztpJem7TWxK0r99-a78PhK&amp;gad_source=1&amp;gad_campaignid=23295573023&amp;gbraid=0AAAAADPpU83Xe_0MYaLimaPv78UF4qJo5&amp;gclid=CjwKCAjwuuPRBhAnEiwA2Ji8esk93AHwsPUT_fKGwzRthOhKVbdf2q9mHvM7-nlegLqzngnsQo7FVRoCCVUQAvD_BwE" TargetMode="External"/><Relationship Id="rId300" Type="http://schemas.openxmlformats.org/officeDocument/2006/relationships/hyperlink" Target="https://www.tokopedia.com/toko-mik/terminal-blok-block-tbr-tbr-10-tbr-20-tbr-30-tbr-45-tbr-60-din-rail-end-plate-tbr20?extParam=ivf%3Dfalse%26keyword%3Dterminal+tbr20%26search_id%3D2025071120445994F6D7E04A4D4512ENQS%26src%3Dsearch&amp;t_id=1752266597747&amp;t_st=2&amp;t_pp=search_result&amp;t_efo=search_pure_goods_card&amp;t_ef=goods_search&amp;t_sm=&amp;t_spt=search_result" TargetMode="External"/><Relationship Id="rId421" Type="http://schemas.openxmlformats.org/officeDocument/2006/relationships/hyperlink" Target="https://shopee.co.id/product/291890345/13550838706?gads_t_sig=VTJGc2RHVmtYMTlxTFVSVVRrdENkWVp3RFo3Mkw5czd4Z0hzdEF1WVFibXlIZDIybHBoZTNaeElKbFpUNEp0MmtRUkNMWkhOY2pPS3lGbnhWeTNiSTdML3ZBVGpuTUFXTE4vYVBYdjN0Z29SY0I5cVFTSFpna1lIQTR2YVpRZFBqQU56dEZ0dStnZ1U0R0c4UXdRaEF3PT0&amp;gad_source=1&amp;gad_campaignid=22178753687&amp;gbraid=0AAAAADPpU81syoE8dRjMVcgEdipHEmkxe&amp;gclid=CjwKCAjwpOfHBhAxEiwAm1SwEgfAVvIQg1zmYwAFfNaXv2_TId8ydd7T5CpCqXqEkNOVhQshqUx7CxoCGHUQAvD_BwE" TargetMode="External"/><Relationship Id="rId542" Type="http://schemas.openxmlformats.org/officeDocument/2006/relationships/hyperlink" Target="https://tk.tokopedia.com/ZSm2AKPxK/" TargetMode="External"/><Relationship Id="rId663" Type="http://schemas.openxmlformats.org/officeDocument/2006/relationships/hyperlink" Target="https://shopee.co.id/product/471479494/23169443681?gads_t_sig=gqRjZGVrxHCFomtpsTE0MjUxOnRzc19zZGtfa2V5omt20QABpGFsZ2_SAAAAZKNkZWvAomN0xEAAAAAMfaLqlfFS4JwQPCoOJZHE2YMfq1tWF61pnIIHqGuyOlpkjBotHu7Xpb0YRK1tULWVZdcpI_r9hw6jgE9CqmNpcGhlcnRleHTEcQAAAAy1GR2kNRudlwzbdb3C9oK5qeB8tYVTkirw4lR41CMyXDXlHCVAaR7mmLPoja9SnHUMJZ0PYbdZkBUIiM9LW5UzAgUDSOb2q9gIKffCdkuA2zswzaB35T8yANw3MPdlEF4g2RneT2odK-xHRUeG" TargetMode="External"/><Relationship Id="rId420" Type="http://schemas.openxmlformats.org/officeDocument/2006/relationships/hyperlink" Target="https://drive.google.com/file/d/1ka3V2CAfW9ccfwA8qZN36iHCbkqQtCB9/view?usp=drive_link" TargetMode="External"/><Relationship Id="rId541" Type="http://schemas.openxmlformats.org/officeDocument/2006/relationships/hyperlink" Target="https://tk.tokopedia.com/ZSm2LbBkq/" TargetMode="External"/><Relationship Id="rId662" Type="http://schemas.openxmlformats.org/officeDocument/2006/relationships/hyperlink" Target="https://shopee.co.id/product/349565746/24002520360?gads_t_sig=gqRjZGVrxHCFomtpsTE0MjUxOnRzc19zZGtfa2V5omt20QABpGFsZ2_SAAAAZKNkZWvAomN0xEAAAAAMfaLqlfFS4JwQPCoOJZHE2YMfq1tWF61pnIIHqGuyOlpkjBotHu7Xpb0YRK1tULWVZdcpI_r9hw6jgE9CqmNpcGhlcnRleHTEcQAAAAzj5WhWlhcFBVhsEgP1EkGrNgcrWXxxd1wRS-MFQy9V82-gL_fhCX6D_2dIVPjuWPxO-uFsMWEqmsyh21Tu_u7CPaRpaJFXIanzMepAla9cl2SDcbyc6llMHdxEaNNxFmniImkmkw2N17RL39mc&amp;gad_source=1&amp;gad_campaignid=23631329745&amp;gbraid=0AAAAADPpU83TM1_6Pv4129Us1UY8CM7Mg&amp;gclid=CjwKCAjwuuPRBhAnEiwA2Ji8elrscF_gnzJ_0VIQwbDbQqe42rirw7HuYVWpO5h_eU8qqzntV817GBoClzgQAvD_BwE" TargetMode="External"/><Relationship Id="rId540" Type="http://schemas.openxmlformats.org/officeDocument/2006/relationships/hyperlink" Target="https://tk.tokopedia.com/ZSmeCshY4/" TargetMode="External"/><Relationship Id="rId661" Type="http://schemas.openxmlformats.org/officeDocument/2006/relationships/hyperlink" Target="https://shopee.co.id/product/186890983/24319436830?gads_t_sig=gqRjZGVrxHCFomtpsTE0MjUxOnRzc19zZGtfa2V5omt20QABpGFsZ2_SAAAAZKNkZWvAomN0xEAAAAAMfaLqlfFS4JwQPCoOJZHE2YMfq1tWF61pnIIHqGuyOlpkjBotHu7Xpb0YRK1tULWVZdcpI_r9hw6jgE9CqmNpcGhlcnRleHTEcQAAAAywtGWZWQhq1wSpN8NvI6V5-IKOlJQTbvywX7M9zbtbmGbSXazj5s51Oq2OCVrPg3yTiyZekk8kT6owf1F6RCh4XlC65TuGSmE85lw94fw_DTqqGSD6aPYeJ5u2I5KZT6Ucv_tKVBi-AXhIbXRB&amp;gad_source=1&amp;gad_campaignid=23199775580&amp;gbraid=0AAAAADPpU81DeFPXrA4RrybjVGnG53k7m&amp;gclid=CjwKCAjwuuPRBhAnEiwA2Ji8enjJFhEO6vbh4dbhWLXVB3rZBrWZnzKCIXtVXuaQurNgV9mNYPWHrxoCWP8QAvD_BwE" TargetMode="External"/><Relationship Id="rId415" Type="http://schemas.openxmlformats.org/officeDocument/2006/relationships/hyperlink" Target="https://www.tokopedia.com/bosch-tools-authorized-bts/bosch-cordless-hot-gun-pemanas-baterai-18v-500c-ghg-18v-50-set-baterai-procore-8-ah-1730846796853249703?extParam=ivf%3Dfalse%26keyword%3Dheat+gun+cordless+bosch%26search_id%3D20251016231134432ACA3A1E345E129MP6%26src%3Dsearch&amp;t_id=1760656099990&amp;t_st=4&amp;t_pp=search_result&amp;t_efo=search_pure_goods_card&amp;t_ef=goods_search&amp;t_sm=&amp;t_spt=search_result" TargetMode="External"/><Relationship Id="rId536" Type="http://schemas.openxmlformats.org/officeDocument/2006/relationships/hyperlink" Target="https://hit.sbt.siemens.com/RWD/app.aspx?module=Catalog&amp;action=ShowProduct&amp;key=S55158-A100" TargetMode="External"/><Relationship Id="rId657" Type="http://schemas.openxmlformats.org/officeDocument/2006/relationships/hyperlink" Target="https://www.tokopedia.com/archive-rajawali-putra-1/batu-gurinda-poles-wd-4-x-6-grinda-wheel-4-x6-tb-wd-batu-poles-1-box-taiyo-blue-4x6m-batu-poles-0f994?extParam=ivf%3Dfalse%26keyword%3Dmata+gerinda+polesh+1box%26search_id%3D20260507015118577BCC914F9E552F40J5%26src%3Dsearch&amp;t_id=1778118655787&amp;t_st=2&amp;t_pp=search_result&amp;t_efo=search_pure_goods_card&amp;t_ef=goods_search&amp;t_sm=&amp;t_spt=search_result" TargetMode="External"/><Relationship Id="rId414" Type="http://schemas.openxmlformats.org/officeDocument/2006/relationships/hyperlink" Target="https://www.tokopedia.com/jld-tool-shop/jld-wire-brush-set-5pcs-sikat-endbrush-mata-bor-brush-sikat-mangkok-gepeng-3pc-wire-brush-sikat-tangkai-bor-sikat-kawat-baja-bulu-kuningan-end-brush-crimped-wire-shank-bor-pembesih-karat-besi-1729969355487283479?extParam=ivf%3Dfalse%26keyword%3Dbrush+borr%26search_id%3D2025101623081634ED066DF378EF206JX1%26src%3Dsearch&amp;t_id=1760656099990&amp;t_st=1&amp;t_pp=search_result&amp;t_efo=search_pure_goods_card&amp;t_ef=goods_search&amp;t_sm=&amp;t_spt=search_result" TargetMode="External"/><Relationship Id="rId535" Type="http://schemas.openxmlformats.org/officeDocument/2006/relationships/hyperlink" Target="https://drive.google.com/drive/folders/1bNO_4ubS9oTp1rlIV0UiO31ztN-JfCMi" TargetMode="External"/><Relationship Id="rId656" Type="http://schemas.openxmlformats.org/officeDocument/2006/relationships/hyperlink" Target="https://www.tokopedia.com/lengkapaja/mata-gerinda-potong-wd-cutting-4-inch-harga-per-dus-kotak?aff_unique_id=&amp;channel=others&amp;chain_key=" TargetMode="External"/><Relationship Id="rId413" Type="http://schemas.openxmlformats.org/officeDocument/2006/relationships/hyperlink" Target="https://www.tokopedia.com/suryamakmurmotor/pilok-pilox-diton-premium-vespa-green-relax-v9488-hijau-cat-semprot?extParam=ivf%3Dfalse%26keyword%3Dcat+hijau+telur+asin%26search_id%3D20251016230446577BCC914F9E5513E4T1%26src%3Dsearch" TargetMode="External"/><Relationship Id="rId534" Type="http://schemas.openxmlformats.org/officeDocument/2006/relationships/hyperlink" Target="https://drive.google.com/drive/folders/1eCct3940FpMgMSRcHKv41fBAZmeRBUST?usp=drive_link" TargetMode="External"/><Relationship Id="rId655" Type="http://schemas.openxmlformats.org/officeDocument/2006/relationships/hyperlink" Target="https://www.tokopedia.com/hvac-indonesia/plastic-air-grille-exhaust-fan-round-diffuser-bulat-4-6-8-inch-plastik-hg-02-100-mm" TargetMode="External"/><Relationship Id="rId412" Type="http://schemas.openxmlformats.org/officeDocument/2006/relationships/hyperlink" Target="https://www.tokopedia.com/samuraipaintofficial/samurai-paint-metallic-black-1139-metallic-hitam?extParam=ivf%3Dfalse%26keyword%3Dsamurai+black+metallic%26search_id%3D2025101622511537BC2F75BF1BCF222GWB%26src%3Dsearch%26whid%3D10682866" TargetMode="External"/><Relationship Id="rId533" Type="http://schemas.openxmlformats.org/officeDocument/2006/relationships/hyperlink" Target="https://acrobat.adobe.com/id/urn:aaid:sc:AP:ed51335f-ae92-4988-ac94-fda62b428eec" TargetMode="External"/><Relationship Id="rId654" Type="http://schemas.openxmlformats.org/officeDocument/2006/relationships/hyperlink" Target="https://shopee.co.id/product/299925060/28105168306?gads_t_sig=gqRjZGVrxHCFomtpsTE0MjUxOnRzc19zZGtfa2V5omt20QABpGFsZ2_SAAAAZKNkZWvAomN0xEAAAAAMfaLqlfFS4JwQPCoOJZHE2YMfq1tWF61pnIIHqGuyOlpkjBotHu7Xpb0YRK1tULWVZdcpI_r9hw6jgE9CqmNpcGhlcnRleHTEcQAAAAyqMUWUEbBUWJ7cgWQSjUnuo2ulZ2QKvWieGxMWNcUkghvd_wGlbDvNwGsui7cfwRvlYQMt5k9Va-zOIBp9yDRIZdU4o3y70G5jDZqptLQycf8M6NVrlabDPiX9z5fhIJQACMJLHTEzzuh-r-YI&amp;gad_source=1&amp;gad_campaignid=23290582497&amp;gbraid=0AAAAADPpU82jbzPMtihPNavUdnJYjsjnR&amp;gclid=CjwKCAjw0dPRBhAPEiwAE5vTTgTQcHWoXZLHkkw_MmatHu9Ytu1Yc9URg88BxZCj0hfyaJaNYgPFNBoCmzMQAvD_BwE" TargetMode="External"/><Relationship Id="rId419" Type="http://schemas.openxmlformats.org/officeDocument/2006/relationships/hyperlink" Target="https://www.tokopedia.com/nusantara-pratama-konstruksi/atap-spandek-galvalum-zincalume-lengkung-melengkung-bending-lebar-1m-lapis-pasir-1731401257863644747?aff_unique_id=&amp;channel=others&amp;chain_key=" TargetMode="External"/><Relationship Id="rId418" Type="http://schemas.openxmlformats.org/officeDocument/2006/relationships/hyperlink" Target="https://share.google/images/tZ3CJWJOBzJ2ZnEGB" TargetMode="External"/><Relationship Id="rId539" Type="http://schemas.openxmlformats.org/officeDocument/2006/relationships/hyperlink" Target="https://tk.tokopedia.com/ZSmeH6NCN/" TargetMode="External"/><Relationship Id="rId417" Type="http://schemas.openxmlformats.org/officeDocument/2006/relationships/hyperlink" Target="https://drive.google.com/drive/folders/13e3ZZfcph5xMZnHVYig3bFbAg8xg3yWb?usp=drive_link" TargetMode="External"/><Relationship Id="rId538" Type="http://schemas.openxmlformats.org/officeDocument/2006/relationships/hyperlink" Target="https://www.tokopedia.com/trenindonesia/solenoid-valve-2-way-kuningan-normal-open-1-inch-voltase-ac220-pamy-1729954728013825858?extParam=ivf%3Dfalse%26keyword%3Dsolenoid+valve+1+inch+normaly+open+220+vac%26search_id%3D202602090804246DA37DD3139AA4011VYJ%26src%3Dsearch&amp;t_id=1770624288381&amp;t_st=2&amp;t_pp=search_result&amp;t_efo=search_pure_goods_card&amp;t_ef=goods_search&amp;t_sm=&amp;t_spt=search_result" TargetMode="External"/><Relationship Id="rId659" Type="http://schemas.openxmlformats.org/officeDocument/2006/relationships/hyperlink" Target="https://www.tokopedia.com/kabirmall/amplas-susun-flapdisc-taiyo-4-per-kotak-terlaris-1734137829216716375?aff_unique_id=&amp;channel=others&amp;chain_key=" TargetMode="External"/><Relationship Id="rId416" Type="http://schemas.openxmlformats.org/officeDocument/2006/relationships/hyperlink" Target="https://drive.google.com/file/d/1lXN9j-NaVNMNhl8I8tzQ6cQ8wbui2LhZ/view?usp=drive_link" TargetMode="External"/><Relationship Id="rId537" Type="http://schemas.openxmlformats.org/officeDocument/2006/relationships/hyperlink" Target="https://hit.sbt.siemens.com/RWD/app.aspx?module=Catalog&amp;action=ShowProduct&amp;key=BPZ:VVG44.25-10" TargetMode="External"/><Relationship Id="rId658" Type="http://schemas.openxmlformats.org/officeDocument/2006/relationships/hyperlink" Target="https://www.tokopedia.com/kabirmall/amplas-susun-flapdisc-taiyo-4-per-kotak-terlaris-1734137829216716375?aff_unique_id=&amp;channel=others&amp;chain_key=" TargetMode="External"/><Relationship Id="rId411" Type="http://schemas.openxmlformats.org/officeDocument/2006/relationships/hyperlink" Target="https://artolite.co.id/portfolio/rmo-cpob-aseta-buka-atas/" TargetMode="External"/><Relationship Id="rId532" Type="http://schemas.openxmlformats.org/officeDocument/2006/relationships/hyperlink" Target="https://tk.tokopedia.com/ZSaHyVQMh/" TargetMode="External"/><Relationship Id="rId653" Type="http://schemas.openxmlformats.org/officeDocument/2006/relationships/hyperlink" Target="https://shopee.co.id/product/298341482/7453844976?gads_t_sig=gqRjZGVrxHCFomtpsTE0MjUxOnRzc19zZGtfa2V5omt20QABpGFsZ2_SAAAAZKNkZWvAomN0xEAAAAAMfaLqlfFS4JwQPCoOJZHE2YMfq1tWF61pnIIHqGuyOlpkjBotHu7Xpb0YRK1tULWVZdcpI_r9hw6jgE9CqmNpcGhlcnRleHTEbwAAAAxec2J5tsaSY0spDEzg-OpHcdN3SkSQuYRBMMBkVPZVrbxorz-tNtEVeHdW5wMom76ptwZ7CqN5X3zFIl5hvXdLIcGIrL4m7v3h1HKPCOormIgCS0SIaiz9YD7FYUlPN8JdAJFnslegcMZ79Q&amp;gad_source=1&amp;gad_campaignid=23199775580&amp;gbraid=0AAAAADPpU82zfCXJsEupNYlwCfbjtXZsK&amp;gclid=Cj0KCQjwrs7RBhDuARIsAIVfBD38oMoZuJHpbuNto4zbEUIqagj030ZAae8PE32BbWG_L6KV74mtdEAaAoJvEALw_wcB" TargetMode="External"/><Relationship Id="rId410" Type="http://schemas.openxmlformats.org/officeDocument/2006/relationships/hyperlink" Target="https://drive.google.com/file/d/1zrW0nPFhCh5PAoOfV2vAlockqb6SIJeX/view?usp=drive_link" TargetMode="External"/><Relationship Id="rId531" Type="http://schemas.openxmlformats.org/officeDocument/2006/relationships/hyperlink" Target="https://tk.tokopedia.com/ZSaHUbyMS/" TargetMode="External"/><Relationship Id="rId652" Type="http://schemas.openxmlformats.org/officeDocument/2006/relationships/hyperlink" Target="https://shop.murrelektronik.com/en/Electronics-in-the-Control-Cabinet/Intelligent-Power-Distribution/Modules/MICO-electronic-circuit-protection-2-CHANNELS-9000-41042-0401000.html" TargetMode="External"/><Relationship Id="rId530" Type="http://schemas.openxmlformats.org/officeDocument/2006/relationships/hyperlink" Target="https://tk.tokopedia.com/ZS5Wroa1E/" TargetMode="External"/><Relationship Id="rId651" Type="http://schemas.openxmlformats.org/officeDocument/2006/relationships/hyperlink" Target="https://www.tokopedia.com/electrindofast/panasonic-br2032-3volt-original-1731279756595004907?extParam=ivf%3Dfalse%26keyword%3Dpanasonic+br.2330+3volt+%26search_id%3D2026060909272534ED066DF378EF3ABU2V%26src%3Dsearch&amp;t_id=1780997250566&amp;t_st=4&amp;t_pp=search_result&amp;t_efo=search_pure_goods_card&amp;t_ef=goods_search&amp;t_sm=&amp;t_spt=search_result" TargetMode="External"/><Relationship Id="rId650" Type="http://schemas.openxmlformats.org/officeDocument/2006/relationships/hyperlink" Target="https://fortindo.id/product/fuse-kubur-fs-101-1-pole-10-ampere-merk-fort/" TargetMode="External"/><Relationship Id="rId206" Type="http://schemas.openxmlformats.org/officeDocument/2006/relationships/hyperlink" Target="https://www.tokopedia.com/papabolt/asdrat-hitam-stud-bolt-fulldrat-m14-x-1-meter-long-drat-14mm?extParam=ivf%3Dfalse%26keyword%3Dmur+baut+m14+x+1mtr%26search_id%3D20250624200610577BCC914F9E5522D1VU%26src%3Dsearch&amp;t_id=1750795524866&amp;t_st=2&amp;t_pp=search_result&amp;t_efo=search_pure_goods_card&amp;t_ef=goods_search&amp;t_sm=&amp;t_spt=search_result" TargetMode="External"/><Relationship Id="rId327" Type="http://schemas.openxmlformats.org/officeDocument/2006/relationships/hyperlink" Target="https://tk.tokopedia.com/ZSAUsc4MS/" TargetMode="External"/><Relationship Id="rId448" Type="http://schemas.openxmlformats.org/officeDocument/2006/relationships/hyperlink" Target="https://www.tokopedia.com/tokostockglodok/dwyer-magnehelic-0-500-pascal-original-baru-garansi-1-bulan-made-in-usa-presisi-tinggi-1731595365878367325?extParam=ivf%3Dfalse%26keyword%3Dmagnehelic+0+-+500+dwyer%26search_id%3D20251118103033357A6FDF7642BF1E7XZL%26src%3Dsearch&amp;t_id=1763461286390&amp;t_st=5&amp;t_pp=search_result&amp;t_efo=search_pure_goods_card&amp;t_ef=goods_search&amp;t_sm=&amp;t_spt=search_result" TargetMode="External"/><Relationship Id="rId569" Type="http://schemas.openxmlformats.org/officeDocument/2006/relationships/hyperlink" Target="https://tk.tokopedia.com/ZSu85mvxp/" TargetMode="External"/><Relationship Id="rId205" Type="http://schemas.openxmlformats.org/officeDocument/2006/relationships/hyperlink" Target="https://www.tokopedia.com/besibetonjakarta/plat-strip-50mm-x-6mm-x-6m-full?extParam=ivf%3Dfalse%26keyword%3Dplate+strip+50mm+x+6mm%26search_id%3D2025062419583937BC2F75BF1BCF288DMN%26src%3Dsearch&amp;t_id=1750795129116&amp;t_st=2&amp;t_pp=search_result&amp;t_efo=search_pure_goods_card&amp;t_ef=goods_search&amp;t_sm=&amp;t_spt=search_result" TargetMode="External"/><Relationship Id="rId326" Type="http://schemas.openxmlformats.org/officeDocument/2006/relationships/hyperlink" Target="https://tk.tokopedia.com/ZSAUsc4MS/" TargetMode="External"/><Relationship Id="rId447" Type="http://schemas.openxmlformats.org/officeDocument/2006/relationships/hyperlink" Target="https://www.tokopedia.com/dhuhateknik/pressure-gauge-with-electric-contact-pressure-gauge-switch-armatherm-10kg-4-inch-drat-1-2-inch-1731482437069014204?extParam=ivf%3Dfalse%26keyword%3Dpressure+switch+pressure+gauge%26search_id%3D2025111810211737BC2F75BF1BCF078ARN%26src%3Dsearch&amp;t_id=1763461286390&amp;t_st=3&amp;t_pp=search_result&amp;t_efo=search_pure_goods_card&amp;t_ef=goods_search&amp;t_sm=&amp;t_spt=search_result" TargetMode="External"/><Relationship Id="rId568" Type="http://schemas.openxmlformats.org/officeDocument/2006/relationships/hyperlink" Target="https://www.ebmpapst.com/de/en/products/centrifugal-fans/p/R3G220RD5303.html" TargetMode="External"/><Relationship Id="rId689" Type="http://schemas.openxmlformats.org/officeDocument/2006/relationships/hyperlink" Target="https://tk.tokopedia.com/ZSCUB7Eb8/" TargetMode="External"/><Relationship Id="rId204" Type="http://schemas.openxmlformats.org/officeDocument/2006/relationships/hyperlink" Target="https://www.tokopedia.com/rianbaja/besi-unp-100-x-50-berat-36kg-unp-100-d1786?aff_unique_id=&amp;channel=others&amp;chain_key=" TargetMode="External"/><Relationship Id="rId325" Type="http://schemas.openxmlformats.org/officeDocument/2006/relationships/hyperlink" Target="https://www.tokopedia.com/hk-komponen/buzzer-panel-12vdc-22mm-scb-22-shemsco?extParam=ivf%3Dfalse%26keyword%3Dbuzzer+12+vacdc%26search_id%3D2025082508244663923F49E524131C0C1S%26src%3Dsearch&amp;t_id=1756110296354&amp;t_st=1&amp;t_pp=search_result&amp;t_efo=search_pure_goods_card&amp;t_ef=goods_search&amp;t_sm=&amp;t_spt=search_result" TargetMode="External"/><Relationship Id="rId446" Type="http://schemas.openxmlformats.org/officeDocument/2006/relationships/hyperlink" Target="https://www.tokopedia.com/1997desember/usb-rj45-extension-adaptor-up-to-150ft-length-usb-extender-via-lan?utm_campaign=pdp-m84gsv0il46n-6315927799-21858996&amp;utm_medium=share&amp;utm_source=salinlink" TargetMode="External"/><Relationship Id="rId567" Type="http://schemas.openxmlformats.org/officeDocument/2006/relationships/hyperlink" Target="https://drive.google.com/drive/folders/16RUdl0UsA4XTftxhbjZNed8eRo4Oj33n?usp=drive_link" TargetMode="External"/><Relationship Id="rId688" Type="http://schemas.openxmlformats.org/officeDocument/2006/relationships/hyperlink" Target="https://www.osram.com/ecat/ORIGINAL%20-%20FESTOON-Signal%20lamps-Truck%20lighting-Automotive/com/en/GPS01_1057117/ZMP_61080/" TargetMode="External"/><Relationship Id="rId203" Type="http://schemas.openxmlformats.org/officeDocument/2006/relationships/hyperlink" Target="https://drive.google.com/file/d/18q3lO3GjNDc-1O75CbNV--fuIooVPqSg/view?usp=drive_link" TargetMode="External"/><Relationship Id="rId324" Type="http://schemas.openxmlformats.org/officeDocument/2006/relationships/hyperlink" Target="https://www.tokopedia.com/defate/supply-air-diffuser-obd-uk-200x200mm-8-natural-luar-33cm-x-33cm" TargetMode="External"/><Relationship Id="rId445" Type="http://schemas.openxmlformats.org/officeDocument/2006/relationships/hyperlink" Target="https://drive.google.com/drive/folders/1bz4V7E-HXiRvPqVjYMEmoRrPutOoHBTx?usp=sharing" TargetMode="External"/><Relationship Id="rId566" Type="http://schemas.openxmlformats.org/officeDocument/2006/relationships/hyperlink" Target="https://shopee.co.id/Lampu-Tanam-Lantai-LED-DC-12V-12-V-Uplight-COB-Ground-Light-Outdoor-Waterproof-IP65-Lampu-Carport-Taman-Rumah-1000k-3000k-i.171115695.44458488299?xptdk=3be436bf-1efb-4162-8224-44c448c477dc" TargetMode="External"/><Relationship Id="rId687" Type="http://schemas.openxmlformats.org/officeDocument/2006/relationships/hyperlink" Target="https://shopee.co.id/LED-hpl-bulat-seri-3-titik-32mm-real-pick-1watt-3watt-5watt-putih-merah-hijau-biru-kuning-fullspectrum-pink-ice-blue-ion-blue-ultraviolet-royal-blue-i.168243818.23686807983" TargetMode="External"/><Relationship Id="rId209" Type="http://schemas.openxmlformats.org/officeDocument/2006/relationships/hyperlink" Target="https://www.blibli.com/p/gate-valve-kitz-kuningan-1-2-inch/ps--TOB-70786-00834" TargetMode="External"/><Relationship Id="rId208" Type="http://schemas.openxmlformats.org/officeDocument/2006/relationships/hyperlink" Target="https://www.tokopedia.com/cakratools-1/ball-valve-pvc-gagang-stainless-stop-kran-air-tebal-1-2-3-4-1-1-2-4861c?extParam=ivf%3Dfalse%26keyword%3Dstop+kran+1+inch%26search_id%3D2025062420154013F9896DF61279185ZXS%26src%3Dsearch&amp;t_id=1750795524866&amp;t_st=4&amp;t_pp=search_result&amp;t_efo=search_pure_goods_card&amp;t_ef=goods_search&amp;t_sm=&amp;t_spt=search_result" TargetMode="External"/><Relationship Id="rId329" Type="http://schemas.openxmlformats.org/officeDocument/2006/relationships/hyperlink" Target="https://www.dekkson.com/product/detail/1277/categorys//slug/flush-bolt-fb-sq-501-370mm" TargetMode="External"/><Relationship Id="rId207" Type="http://schemas.openxmlformats.org/officeDocument/2006/relationships/hyperlink" Target="https://www.tokopedia.com/sumberbautsunter/m14-x-2-00-mur-baja-8-8-hitam-nut-only-hexagon-high-tensile-kunci-22?extParam=ivf%3Dfalse%26keyword%3Dmur+m14%26search_id%3D20250624200834320722549D17510566QD%26src%3Dsearch&amp;t_id=1750795524866&amp;t_st=3&amp;t_pp=search_result&amp;t_efo=search_pure_goods_card&amp;t_ef=goods_search&amp;t_sm=&amp;t_spt=search_result" TargetMode="External"/><Relationship Id="rId328" Type="http://schemas.openxmlformats.org/officeDocument/2006/relationships/hyperlink" Target="https://www.sika.net/en/series/bourdon-tube-pressure-gauges-with-casing-filling-marine-version-mrem/" TargetMode="External"/><Relationship Id="rId449" Type="http://schemas.openxmlformats.org/officeDocument/2006/relationships/hyperlink" Target="https://www.tokopedia.com/tokostockglodok/magnehelic-dwyer-0-250-pascal?extParam=ivf%3Dfalse%26keyword%3Dmagnehelic+0+-+250+dwyer%26search_id%3D20251118103229D81F9C1BE2E0892A1KFP%26src%3Dsearch&amp;t_id=1763461286390&amp;t_st=6&amp;t_pp=search_result&amp;t_efo=search_pure_goods_card&amp;t_ef=goods_search&amp;t_sm=&amp;t_spt=search_result" TargetMode="External"/><Relationship Id="rId440" Type="http://schemas.openxmlformats.org/officeDocument/2006/relationships/hyperlink" Target="https://www.tokopedia.com/karyamitragemila/mur-long-drat-stainless-10-mur-baut-stainless-10mm?utm_campaign=pdp-0272ysqmzi2y-6870187366-0&amp;utm_medium=share&amp;utm_source=salinlink" TargetMode="External"/><Relationship Id="rId561" Type="http://schemas.openxmlformats.org/officeDocument/2006/relationships/hyperlink" Target="https://shopee.co.id/1-Blind-Ferrule-Sanitary-Foodgrade-Solid-End-Cap-Dop-Ferrule-Buta-Stainless-Steel-316L-Size-1-Inch-i.1037069836.54805060782?extraParams=%7B%22display_model_id%22%3A335466374070%2C%22model_selection_logic%22%3A3%7D&amp;sp_atk=66a49e53-bb0b-4a1b-ae87-edd6653c5c1b&amp;xptdk=66a49e53-bb0b-4a1b-ae87-edd6653c5c1b" TargetMode="External"/><Relationship Id="rId682" Type="http://schemas.openxmlformats.org/officeDocument/2006/relationships/hyperlink" Target="https://drive.google.com/drive/folders/1O9PcD_WtRgHtv45UpQj399zB5hqNQcSI?usp=drive_link" TargetMode="External"/><Relationship Id="rId560" Type="http://schemas.openxmlformats.org/officeDocument/2006/relationships/hyperlink" Target="https://shopee.co.id/product/1037069836/53855065223?gads_t_sig=VTJGc2RHVmtYMTlxTFVSVVRrdENkVEdTU3BlMW9zMXB6bGYrZ0J1VEdQdmcvT3Fia3pwaEdLTi9POHV0OTZHdjE1aEdvVzZOWUpWY0p2M3p5MTVjNHV3N1kxS3kwRmlJdSttQWZVOVdqd2w3am9tcyt1Y01TUEZIMlZ4RkpFMytpU3Z4eXlyQkRrS2F6QjV6NjBoTmtBPT0&amp;gad_source=1&amp;gad_campaignid=23295573023&amp;gbraid=0AAAAADPpU8191fxNZBLS_jfqJ3XPS9CNL&amp;gclid=CjwKCAiAh5XNBhAAEiwA_Bu8FTXlzjRuKXUo4IBw19IVz0oGMUKQ6_QvKHD3gFV7SE2sIfFWV9CxNxoChzgQAvD_BwE" TargetMode="External"/><Relationship Id="rId681" Type="http://schemas.openxmlformats.org/officeDocument/2006/relationships/hyperlink" Target="https://drive.google.com/drive/folders/1Nxa-kITa5hGlsg9vl9Z78Bel2dfnwsH6?usp=drive_link" TargetMode="External"/><Relationship Id="rId680" Type="http://schemas.openxmlformats.org/officeDocument/2006/relationships/hyperlink" Target="https://www.blibli.com/p/ram-pc-samsung-ddr5-16gb-pc-38400-4800-mhz-longdimm-memory-pc5-1-1v/is--DAY-70061-00411-00001?pickupPointCode=PP-3493272" TargetMode="External"/><Relationship Id="rId202" Type="http://schemas.openxmlformats.org/officeDocument/2006/relationships/hyperlink" Target="https://drive.google.com/file/d/18q3lO3GjNDc-1O75CbNV--fuIooVPqSg/view?usp=drive_link" TargetMode="External"/><Relationship Id="rId323" Type="http://schemas.openxmlformats.org/officeDocument/2006/relationships/hyperlink" Target="https://www.tokopedia.com/dpelectric/schneider-comb-busbar-sisir-mcb-1p-12module-63a-ez9xph112?extParam=ivf%3Dfalse%26keyword%3Dsisir+mcb%26search_id%3D20250717051121B2EB734903575434CXGC%26src%3Dsearch&amp;t_id=1752728510891&amp;t_st=7&amp;t_pp=search_result&amp;t_efo=search_pure_goods_card&amp;t_ef=goods_search&amp;t_sm=&amp;t_spt=search_result" TargetMode="External"/><Relationship Id="rId444" Type="http://schemas.openxmlformats.org/officeDocument/2006/relationships/hyperlink" Target="https://drive.google.com/drive/folders/1yuEl7iXhO2CNHBU_QX3E2WIoVpf9adEo?usp=sharing" TargetMode="External"/><Relationship Id="rId565" Type="http://schemas.openxmlformats.org/officeDocument/2006/relationships/hyperlink" Target="https://shopee.co.id/3-4-Blind-Ferrule-Sanitary-Foodgrade-Solid-End-Cap-Dop-Ferrule-Buta-Stainless-Steel-316L-Size-3-4-Inch-i.1319467784.51755156791?extraParams=%7B%22display_model_id%22%3A380473384257%2C%22model_selection_logic%22%3A3%7D&amp;sp_atk=23f1bb3e-8675-4892-b81b-ef46ef154c58&amp;xptdk=23f1bb3e-8675-4892-b81b-ef46ef154c58" TargetMode="External"/><Relationship Id="rId686" Type="http://schemas.openxmlformats.org/officeDocument/2006/relationships/hyperlink" Target="https://www.lazada.co.id/products/promo-alat-semprotan-angin-kompresor-tekiro-air-duster-coupler-semprotan-debu-i6877018660-s13029000059.html?" TargetMode="External"/><Relationship Id="rId201" Type="http://schemas.openxmlformats.org/officeDocument/2006/relationships/hyperlink" Target="https://www.tokopedia.com/apbootsofficial/ap-boots-safety-s5-black-sepatu-boot-pvc-39?extParam=src%3Dshop%26whid%3D11618574&amp;aff_unique_id=&amp;channel=others&amp;chain_key=" TargetMode="External"/><Relationship Id="rId322" Type="http://schemas.openxmlformats.org/officeDocument/2006/relationships/hyperlink" Target="https://www.tokopedia.com/teora/name-plate-panel-label-acrylic-1731608777917171309?extParam=ivf%3Dfalse%26keyword%3Dname+plate+panel%26search_id%3D20250717050144577BCC914F9E550D03XU%26src%3Dsearch&amp;t_id=1752728510891&amp;t_st=1&amp;t_pp=search_result&amp;t_efo=search_pure_goods_card&amp;t_ef=goods_search&amp;t_sm=&amp;t_spt=search_result" TargetMode="External"/><Relationship Id="rId443" Type="http://schemas.openxmlformats.org/officeDocument/2006/relationships/hyperlink" Target="https://shopee.co.id/product/138926279/25359413619?gads_t_sig=VTJGc2RHVmtYMTlxTFVSVVRrdENkWVp3RFo3Mkw5czd4Z0hzdEF1WVFia1ZaQnFDSDhMcEFUR0pZV3I4S1NNc2VvNmh5VUVVbzFVbnQ0NkZ0eFFmREdWTDh4ZnNDZUNiNUlOVDNDeC9LQmRXUW81dkNWZ2FiVm05cmpLb2RTSE5WV2dJa3NoVFpHUUVUNi84Qm5WQnhnb0l2eE4vcjA3ZGI3ZSsyaXkxVXJRPQ&amp;share_channel_code=1&amp;uls_trackid=547171d1013e&amp;utm_campaign=id_CDrijdr49t&amp;utm_content=----&amp;utm_medium=affiliates&amp;utm_source=an_11323310810&amp;utm_term=dyw3zcexhve3" TargetMode="External"/><Relationship Id="rId564" Type="http://schemas.openxmlformats.org/officeDocument/2006/relationships/hyperlink" Target="https://www.tokopedia.com/pacificmesin/centrifugal-duct-inline-8inch-gcil-200-nicotra-2speed-230v-gcil20-best?aff_unique_id=&amp;channel=others&amp;chain_key=" TargetMode="External"/><Relationship Id="rId685" Type="http://schemas.openxmlformats.org/officeDocument/2006/relationships/hyperlink" Target="https://www.tokopedia.com/wijaya-indotech-protection/box-control-earthing-pit-pvc-furse-pt205-1730921522349115376?t_id=1782306554623&amp;t_st=2&amp;t_pp=cart&amp;t_efo=cart&amp;t_ef=&amp;t_sm=&amp;t_spt=cart" TargetMode="External"/><Relationship Id="rId200" Type="http://schemas.openxmlformats.org/officeDocument/2006/relationships/hyperlink" Target="https://drive.google.com/drive/folders/19RVTrpAUNAzyPR3c8XRT10d2UrCYXa12?usp=drive_link" TargetMode="External"/><Relationship Id="rId321" Type="http://schemas.openxmlformats.org/officeDocument/2006/relationships/hyperlink" Target="https://www.tokopedia.com/centralelectrind/pilot-lamp-buzzer-led-22mm-220vac-ewig-merah-1731444223517492392?extParam=ivf%3Dfalse%26keyword%3Dbuzzer+220+vac+22+mm%26search_id%3D20250713105029577BCC914F9E553D9A1B%26src%3Dsearch&amp;t_id=1752399888456&amp;t_st=5&amp;t_pp=search_result&amp;t_efo=search_pure_goods_card&amp;t_ef=goods_search&amp;t_sm=&amp;t_spt=search_result" TargetMode="External"/><Relationship Id="rId442" Type="http://schemas.openxmlformats.org/officeDocument/2006/relationships/hyperlink" Target="https://www.tokopedia.com/jayasentosa164/as-drat-m10-x-3-meter-stainless-steel-304-longdrat-m10-x-3-meter-sus-304-1730997682946475438?utm_campaign=PDP-mb7j3okhynld-16424361100-0&amp;utm_source=whatsapp&amp;utm_medium=share" TargetMode="External"/><Relationship Id="rId563" Type="http://schemas.openxmlformats.org/officeDocument/2006/relationships/hyperlink" Target="https://www.tokopedia.com/usea/usea-x-taffpack-lis-strip-pintu-door-noise-insulation-sealing-tape-5mx3cm-b35-peredam-suara-pintu-jendela-1731213568021465083?extParam=ivf%3Dfalse%26keyword%3Dsealing+tape%26search_id%3D2026030408131594F6D7E04A4D450A03ZW%26src%3Dsearch" TargetMode="External"/><Relationship Id="rId684" Type="http://schemas.openxmlformats.org/officeDocument/2006/relationships/hyperlink" Target="https://www.tokopedia.com/visiotekindonesia/bak-kontrol-grounding-set?extParam=ivf%3Dfalse%26keyword%3Dbox+control+grounding%26search_id%3D2026062410453918D8042386B79E19AXG6%26src%3Dsearch&amp;t_id=1782297688690&amp;t_st=7&amp;t_pp=search_result&amp;t_efo=search_pure_goods_card&amp;t_ef=goods_search&amp;t_sm=&amp;t_spt=search_result" TargetMode="External"/><Relationship Id="rId320" Type="http://schemas.openxmlformats.org/officeDocument/2006/relationships/hyperlink" Target="https://www.tokopedia.com/wisma-teknik/socket-stop-kontak-panel-mounting-2p-16a-220v-fort-cee112?extParam=ivf%3Dfalse%26keyword%3Dstop+kontak+panel%26search_id%3D2025071310301534ED066DF378EF30F64W%26src%3Dsearch&amp;t_id=1752399888456&amp;t_st=4&amp;t_pp=search_result&amp;t_efo=search_pure_goods_card&amp;t_ef=goods_search&amp;t_sm=&amp;t_spt=search_result" TargetMode="External"/><Relationship Id="rId441" Type="http://schemas.openxmlformats.org/officeDocument/2006/relationships/hyperlink" Target="https://www.tokopedia.com/jayasentosa164/dinaset-stainless-304-m10?utm_campaign=pdp-djc8du83tvl7-636298601-0&amp;utm_medium=share&amp;utm_source=whatsapp" TargetMode="External"/><Relationship Id="rId562" Type="http://schemas.openxmlformats.org/officeDocument/2006/relationships/hyperlink" Target="https://shopee.co.id/1-2-Blind-Ferrule-Sanitary-Foodgrade-Solid-End-Cap-Dop-Ferrule-Buta-Stainless-Steel-316L-Size-1-2-Inch-i.1037069836.54805060783?extraParams=%7B%22display_model_id%22%3A310466968668%2C%22model_selection_logic%22%3A3%7D&amp;sp_atk=777a7459-821b-4a59-9a1c-b9fee3b444ef&amp;xptdk=777a7459-821b-4a59-9a1c-b9fee3b444ef" TargetMode="External"/><Relationship Id="rId683" Type="http://schemas.openxmlformats.org/officeDocument/2006/relationships/hyperlink" Target="https://drive.google.com/drive/folders/10COnVF0_mq8boGcgmQ3HP5u0BS7LtAPA?usp=drive_link" TargetMode="External"/><Relationship Id="rId316" Type="http://schemas.openxmlformats.org/officeDocument/2006/relationships/hyperlink" Target="https://www.tokopedia.com/altbutikk/kugel-hole-saw-tct-23mm-mata-bor-stainless-23-mm-original?extParam=ivf%3Dfalse%26keyword%3Dhole+saw+23+mm%26search_id%3D2025071309583234ED066DF378EF251BX3%26src%3Dsearch&amp;t_id=1752399739361&amp;t_st=13&amp;t_pp=search_result&amp;t_efo=search_pure_goods_card&amp;t_ef=goods_search&amp;t_sm=&amp;t_spt=search_result" TargetMode="External"/><Relationship Id="rId437" Type="http://schemas.openxmlformats.org/officeDocument/2006/relationships/hyperlink" Target="https://www.tokopedia.com/kitzvalve/kitz-stainless-ball-valve-fig-600-utkm-3-8-10mm-drat-screw?extParam=ivf%3Dfalse%26keyword%3Dvalve+kitz+stainless+3%2F8%26search_id%3D2025111409354020F07591C6FCB2067RS6%26src%3Dsearch&amp;t_id=1763111423290&amp;t_st=3&amp;t_pp=search_result&amp;t_efo=search_pure_goods_card&amp;t_ef=goods_search&amp;t_sm=&amp;t_spt=search_result" TargetMode="External"/><Relationship Id="rId558" Type="http://schemas.openxmlformats.org/officeDocument/2006/relationships/hyperlink" Target="https://shopee.co.id/product/117505252/9279632448" TargetMode="External"/><Relationship Id="rId679" Type="http://schemas.openxmlformats.org/officeDocument/2006/relationships/hyperlink" Target="https://www.blibli.com/p/ram-pc-samsung-ddr5-16gb-pc-38400-4800-mhz-longdimm-memory-pc5-1-1v/is--DAY-70061-00411-00001?pickupPointCode=PP-3493272" TargetMode="External"/><Relationship Id="rId315" Type="http://schemas.openxmlformats.org/officeDocument/2006/relationships/hyperlink" Target="https://www.tokopedia.com/jayamaselektrik/kabel-duct-wering-duct-kabel-duck-25x25-32x32-25x45-32x45-lubang-abu-25x25-b2da0?extParam=ivf%3Dfalse%26keyword%3Dkabel+duct+35+mm%26search_id%3D20250713095707496E05E1AEA0A92F4C2W%26src%3Dsearch&amp;t_id=1752399739361&amp;t_st=12&amp;t_pp=search_result&amp;t_efo=search_pure_goods_card&amp;t_ef=goods_search&amp;t_sm=&amp;t_spt=search_result" TargetMode="External"/><Relationship Id="rId436" Type="http://schemas.openxmlformats.org/officeDocument/2006/relationships/hyperlink" Target="https://www.tokopedia.com/kitzvalve/kitz-stainless-ball-valve-fig-600-utkm-1-4-8a-8mm-drat-screw?extParam=ivf%3Dfalse%26keyword%3Dvalve+kitz+stainless+1%2F4%26search_id%3D2025111409255834ED066DF378EF31620N%26src%3Dsearch&amp;t_id=1763111423290&amp;t_st=2&amp;t_pp=search_result&amp;t_efo=search_pure_goods_card&amp;t_ef=goods_search&amp;t_sm=&amp;t_spt=search_result" TargetMode="External"/><Relationship Id="rId557" Type="http://schemas.openxmlformats.org/officeDocument/2006/relationships/hyperlink" Target="https://drive.google.com/drive/folders/1S9MBCu7rvIZ5WYScEkf3R51aidi6viNX?usp=drive_link" TargetMode="External"/><Relationship Id="rId678" Type="http://schemas.openxmlformats.org/officeDocument/2006/relationships/hyperlink" Target="https://www.tokopedia.com/archive-mfpteknik-1631/zckj1h29-limit-switch-telemecanique-new?t_id=1782171122044&amp;t_st=6&amp;t_pp=cart&amp;t_efo=cart&amp;t_ef=&amp;t_sm=&amp;t_spt=cart" TargetMode="External"/><Relationship Id="rId314" Type="http://schemas.openxmlformats.org/officeDocument/2006/relationships/hyperlink" Target="https://www.tokopedia.com/secius/kabel-nyaf-1-5mm-1-5-mm-jembo-serabut-1x1-5-mm-1-roll-50m-50-meter-1731338884034889424?extParam=ivf%3Dfalse%26keyword%3Dkabel+1+x+1.5+tunggal+nyaf+jembo%26search_id%3D20250717050753D947BF06A885DB075ENN%26src%3Dsearch&amp;t_id=1752728510891&amp;t_st=5&amp;t_pp=search_result&amp;t_efo=search_pure_goods_card&amp;t_ef=goods_search&amp;t_sm=&amp;t_spt=search_result" TargetMode="External"/><Relationship Id="rId435" Type="http://schemas.openxmlformats.org/officeDocument/2006/relationships/hyperlink" Target="https://www.tokopedia.com/indomakers/gb5789-serrated-flanged-hexagon-bolt-stainless-steel-sus304-m5x16-isi-10pcs-1731645178796410672?extParam=ivf%3Dfalse%26keyword%3Dgb5789+%26search_id%3D2026012615170637BC2F75BF1BCF0E5LSC%26src%3Dsearch&amp;t_id=1769440677424&amp;t_st=1&amp;t_pp=search_result&amp;t_efo=search_pure_goods_card&amp;t_ef=goods_search&amp;t_sm=&amp;t_spt=search_result" TargetMode="External"/><Relationship Id="rId556" Type="http://schemas.openxmlformats.org/officeDocument/2006/relationships/hyperlink" Target="https://tk.tokopedia.com/ZSmGRUK4E/" TargetMode="External"/><Relationship Id="rId677" Type="http://schemas.openxmlformats.org/officeDocument/2006/relationships/hyperlink" Target="https://toco.id/listing/schneider-electric-limit-switch-head-zcke65?srsltid=AfmBOorkBEYohk8_P-kOz1LzRMAN6AZKfzX7ZxmTzIAIbb3slal-ZGVh" TargetMode="External"/><Relationship Id="rId313" Type="http://schemas.openxmlformats.org/officeDocument/2006/relationships/hyperlink" Target="https://www.tokopedia.com/siaplaksanakan/kabel-nyyhy-4x2-5-4x2-5mm-jembo-roll-100-meter-serabut?extParam=ivf%3Dfalse%26keyword%3Dkabel+nyyhy+4x2%2C5+jembo+roll+100+meter+listrik+serabut%26search_id%3D20250713095612CAF1A3DFB505FF37AGWG%26src%3Dsearch&amp;t_id=1752399739361&amp;t_st=11&amp;t_pp=search_result&amp;t_efo=search_pure_goods_card&amp;t_ef=goods_search&amp;t_sm=&amp;t_spt=search_result" TargetMode="External"/><Relationship Id="rId434" Type="http://schemas.openxmlformats.org/officeDocument/2006/relationships/hyperlink" Target="https://www.tokopedia.com/avo2001/1pack-100pcs-m5-mur-rivet-stainles-ss-304-mur-furniture-ss-304-rivet-nut-stainless-304-1731042401031521814?extParam=ivf%3Dfalse%26keyword%3Drivet+nuts+mur+m5+stainlees%26search_id%3D2025111214133120F07591C6FCB21550U5%26src%3Dsearch&amp;t_id=1762956816005&amp;t_st=2&amp;t_pp=search_result&amp;t_efo=search_pure_goods_card&amp;t_ef=goods_search&amp;t_sm=&amp;t_spt=search_result" TargetMode="External"/><Relationship Id="rId555" Type="http://schemas.openxmlformats.org/officeDocument/2006/relationships/hyperlink" Target="https://www.tokopedia.com/dmostoshop-106/cat-semprot-samurai-pilok-pilox-samurai-deep-purplish-blue-y3973-3973-biru-gelap-400ml-1734313104749069892?extParam=ivf%3Dfalse%26keyword%3Dpilox+samurai+dark+blue%26search_id%3D20260225093405D947BF06A885DB3B5OUR%26src%3Dsearch&amp;t_id=1772011793678&amp;t_st=3&amp;t_pp=search_result&amp;t_efo=search_pure_goods_card&amp;t_ef=goods_search&amp;t_sm=&amp;t_spt=search_result" TargetMode="External"/><Relationship Id="rId676" Type="http://schemas.openxmlformats.org/officeDocument/2006/relationships/hyperlink" Target="https://www.tokopedia.com/harmonielectric/schneider-electric-s-classic-saklar-lampu-3-gang-1w-e33-1-2ar-we-g3?extParam=ivf%3Dfalse%26keyword%3Dsaklar+schneider+3+gang%26search_id%3D20260622140706371BCE7DC8381719EOWW%26src%3Dsearch&amp;t_id=1782137231036&amp;t_st=1&amp;t_pp=search_result&amp;t_efo=search_pure_goods_card&amp;t_ef=goods_search&amp;t_sm=&amp;t_spt=search_result" TargetMode="External"/><Relationship Id="rId319" Type="http://schemas.openxmlformats.org/officeDocument/2006/relationships/hyperlink" Target="https://www.tokopedia.com/asteknikglodok/nachi-mata-bor-set-1-13mm-isi-25pcs-1730793831917192934?extParam=ivf%3Dfalse%26keyword%3Dmata+bor++nachi+1+set%26search_id%3D202507131004188DD48D6A2E2CAD2C7C6E%26src%3Dsearch&amp;t_id=1752399739361&amp;t_st=21&amp;t_pp=search_result&amp;t_efo=search_pure_goods_card&amp;t_ef=goods_search&amp;t_sm=&amp;t_spt=search_result" TargetMode="External"/><Relationship Id="rId318" Type="http://schemas.openxmlformats.org/officeDocument/2006/relationships/hyperlink" Target="https://www.tokopedia.com/tebetstore/paku-rivet-5mm-isi-per-bungkus-50-pcs-1730776062793058170?extParam=ivf%3Dfalse%26keyword%3Dpaku+rivet%26search_id%3D20250713100231AD13A2A07CA4B7356ESG%26src%3Dsearch&amp;t_id=1752399739361&amp;t_st=19&amp;t_pp=search_result&amp;t_efo=search_pure_goods_card&amp;t_ef=goods_search&amp;t_sm=&amp;t_spt=search_result" TargetMode="External"/><Relationship Id="rId439" Type="http://schemas.openxmlformats.org/officeDocument/2006/relationships/hyperlink" Target="https://www.tokopedia.com/juraganperkakas/ring-plat-m-10-ring-plat-baut-m10-isi-100-pcs?utm_campaign=pdp-d7n5gj8xa2vp-324740715-0&amp;utm_medium=share&amp;utm_source=salinlink" TargetMode="External"/><Relationship Id="rId317" Type="http://schemas.openxmlformats.org/officeDocument/2006/relationships/hyperlink" Target="https://www.tokopedia.com/glodok123/gland-cable-kabel-glan-waterproof-pg-25-29-36-42-48-63-hitam-putih-pg25-hitam?extParam=ivf%3Dfalse%26keyword%3Dkabel+gland+23+mm+pg+25%26search_id%3D202507131000445737C6EC2E0716316H32%26src%3Dsearch&amp;t_id=1752399739361&amp;t_st=17&amp;t_pp=search_result&amp;t_efo=search_pure_goods_card&amp;t_ef=goods_search&amp;t_sm=&amp;t_spt=search_result" TargetMode="External"/><Relationship Id="rId438" Type="http://schemas.openxmlformats.org/officeDocument/2006/relationships/hyperlink" Target="https://www.tokopedia.com/cahayabajabersinar/baut-l-stainless-steel-304-m5-x-40mm-50mm-ht-socket-cap-screw-m5-x-50mm-676dd?extParam=ivf%3Dfalse%26keyword%3Dbaut+l+m5x50%26search_id%3D2025111412384134ED066DF378EF152KKJ%26src%3Dsearch&amp;t_id=1763123932206&amp;t_st=3&amp;t_pp=search_result&amp;t_efo=search_pure_goods_card&amp;t_ef=goods_search&amp;t_sm=&amp;t_spt=search_result" TargetMode="External"/><Relationship Id="rId559" Type="http://schemas.openxmlformats.org/officeDocument/2006/relationships/hyperlink" Target="https://www.tokopedia.com/skenoofastener/100-gr-paku-rivet-sip-brand-2-4mm-3-2mm-4mm-dan-4-8mm-eceran-1732378493242017132?extParam=ivf%3Dfalse%26keyword%3Dpaku+rivet+4.8mm%26search_id%3D202603020903063C7781A36BCD6C0BES8T%26src%3Dsearch&amp;t_id=1772442202083&amp;t_st=3&amp;t_pp=search_result&amp;t_efo=search_pure_goods_card&amp;t_ef=goods_search&amp;t_sm=&amp;t_spt=search_result" TargetMode="External"/><Relationship Id="rId550" Type="http://schemas.openxmlformats.org/officeDocument/2006/relationships/hyperlink" Target="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 TargetMode="External"/><Relationship Id="rId671" Type="http://schemas.openxmlformats.org/officeDocument/2006/relationships/hyperlink" Target="https://www.tokopedia.com/heningelectric/flexibel-20mm-merk-boss-per-1-meter?extParam=ivf%3Dfalse%26keyword%3Dflexible+hose+boss%26search_id%3D20260622102151C042F4DB68F2340ECRZL%26src%3Dsearch&amp;t_id=1782123716027&amp;t_st=1&amp;t_pp=search_result&amp;t_efo=search_pure_goods_card&amp;t_ef=goods_search&amp;t_sm=&amp;t_spt=search_result" TargetMode="External"/><Relationship Id="rId670" Type="http://schemas.openxmlformats.org/officeDocument/2006/relationships/hyperlink" Target="https://www.tokopedia.com/suryaadil/t-dus-boss-cabang-3-conduit-sudah-termasuk-tutup-dan-baut?extParam=ivf%3Dfalse%26keyword%3Dt+dus+boss%26search_id%3D202606221021083DD48AB31D016F08AJJW%26src%3Dsearch&amp;t_id=1782123673219&amp;t_st=1&amp;t_pp=search_result&amp;t_efo=search_pure_goods_card&amp;t_ef=goods_search&amp;t_sm=&amp;t_spt=search_result" TargetMode="External"/><Relationship Id="rId312" Type="http://schemas.openxmlformats.org/officeDocument/2006/relationships/hyperlink" Target="https://www.tokopedia.com/kedaielect/idec-selector-switch-3posisi-22mm-yw1s-3e20?extParam=ivf%3Dfalse%26keyword%3Dselector+switch+3+posisi+22+mm+idec%26search_id%3D2025071309512563923F49E524130BE7D6%26src%3Dsearch&amp;t_id=1752399739361&amp;t_st=7&amp;t_pp=search_result&amp;t_efo=search_pure_goods_card&amp;t_ef=goods_search&amp;t_sm=&amp;t_spt=search_result" TargetMode="External"/><Relationship Id="rId433" Type="http://schemas.openxmlformats.org/officeDocument/2006/relationships/hyperlink" Target="https://shopee.co.id/Tang-Riveter-nuts-guns-with-nuts-110-pcs-i.1350425502.29814821242?extraParams=%7B%22display_model_id%22%3A207900299653%2C%22model_selection_logic%22%3A3%7D&amp;sp_atk=132c58a9-1d7f-452f-9eb1-021003caed19&amp;xptdk=132c58a9-1d7f-452f-9eb1-021003caed19" TargetMode="External"/><Relationship Id="rId554" Type="http://schemas.openxmlformats.org/officeDocument/2006/relationships/hyperlink" Target="https://www.tokopedia.com/cengtim/cat-semprot-aerosol-samurai-paint-hijau-tua-metalik-super-green-1144-pylox-tahan-bensin-1731425096795588007?extParam=ivf%3Dfalse%26keyword%3Dpilox+samurai+hijau+dark%26search_id%3D2026022509325704025959B191F8163PPB%26src%3Dsearch&amp;t_id=1772011793678&amp;t_st=2&amp;t_pp=search_result&amp;t_efo=search_pure_goods_card&amp;t_ef=goods_search&amp;t_sm=&amp;t_spt=search_result" TargetMode="External"/><Relationship Id="rId675" Type="http://schemas.openxmlformats.org/officeDocument/2006/relationships/hyperlink" Target="https://www.tokopedia.com/singa-henry/kunci-box-panel-listrik-push-lock-tipe-persegi-material-nylon-tahan-lama-anti-maling-untuk-industri-1733403265038255849?extParam=ivf%3Dfalse%26keyword%3Dkunci+panel+listrik%26search_id%3D202606220913438DD48D6A2E2CAD07BH1P%26src%3Dsearch&amp;t_id=1782119645314&amp;t_st=1&amp;t_pp=search_result&amp;t_efo=search_pure_goods_card&amp;t_ef=goods_search&amp;t_sm=&amp;t_spt=search_result" TargetMode="External"/><Relationship Id="rId311" Type="http://schemas.openxmlformats.org/officeDocument/2006/relationships/hyperlink" Target="https://www.tokopedia.com/electrical7/pilot-lamp-led-22m-merah-kuning-hijau-ad22-22ds-220v-fort-merah?extParam=ivf%3Dfalse%26keyword%3Dpilot+lamp+fort+220%26search_id%3D202507130948525737C6EC2E07162C2F2R%26src%3Dsearch&amp;t_id=1752399739361&amp;t_st=5&amp;t_pp=search_result&amp;t_efo=search_pure_goods_card&amp;t_ef=goods_search&amp;t_sm=&amp;t_spt=search_result" TargetMode="External"/><Relationship Id="rId432" Type="http://schemas.openxmlformats.org/officeDocument/2006/relationships/hyperlink" Target="https://www.tokopedia.com/bosch-tools-authorized-bts/bosch-head-lamp-torch-headlight-190lm-ipx-4-lampu-kerja-senter-kepala?extParam=ivf%3Dfalse%26keyword%3Dbosch+senter+kepala%26search_id%3D2025111102370211B9842E0A271F20EVMM%26src%3Dsearch&amp;t_id=1762828426571&amp;t_st=2&amp;t_pp=search_result&amp;t_efo=search_pure_goods_card&amp;t_ef=goods_search&amp;t_sm=&amp;t_spt=search_result" TargetMode="External"/><Relationship Id="rId553" Type="http://schemas.openxmlformats.org/officeDocument/2006/relationships/hyperlink" Target="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 TargetMode="External"/><Relationship Id="rId674" Type="http://schemas.openxmlformats.org/officeDocument/2006/relationships/hyperlink" Target="https://www.tokopedia.com/sahabatlistrik-1/elbow-pipa-listrik-20mm-knee-pipa-conduit-20mm-boss-hitam-purih-1730927430286542137?extParam=ivf%3Dfalse%26keyword%3Delbow+conduit+20mm+boss%26search_id%3D2026062210295058238E9AE2DD303982NZ%26src%3Dsearch&amp;t_id=1782124198570&amp;t_st=1&amp;t_pp=search_result&amp;t_efo=search_pure_goods_card&amp;t_ef=goods_search&amp;t_sm=&amp;t_spt=search_result" TargetMode="External"/><Relationship Id="rId310" Type="http://schemas.openxmlformats.org/officeDocument/2006/relationships/hyperlink" Target="https://www.tokopedia.com/electrical7/pilot-lamp-led-22m-merah-kuning-hijau-ad22-22ds-220v-fort-merah?extParam=ivf%3Dfalse%26keyword%3Dpilot+lamp+fort+220%26search_id%3D202507130948525737C6EC2E07162C2F2R%26src%3Dsearch&amp;t_id=1752399739361&amp;t_st=5&amp;t_pp=search_result&amp;t_efo=search_pure_goods_card&amp;t_ef=goods_search&amp;t_sm=&amp;t_spt=search_result" TargetMode="External"/><Relationship Id="rId431" Type="http://schemas.openxmlformats.org/officeDocument/2006/relationships/hyperlink" Target="https://www.tokopedia.com/bosch-tools-authorized-snt/bosch-mesin-blower-tangan-cordless-gbl-18v-750-hand-blower-18-v-gbl18v-unit-only-1731137586110039528?extParam=ivf%3Dfalse%26keyword%3Dblower+portable+bosch%26search_id%3D202511110233215B8ADD2A5D98B1224ALM%26src%3Dsearch&amp;t_id=1762828426571&amp;t_st=1&amp;t_pp=search_result&amp;t_efo=search_pure_goods_card&amp;t_ef=goods_search&amp;t_sm=&amp;t_spt=search_result" TargetMode="External"/><Relationship Id="rId552" Type="http://schemas.openxmlformats.org/officeDocument/2006/relationships/hyperlink" Target="https://www.tokopedia.com/willysmotor/samurai-paint-brown-scoopy-h391-cat-semprot-pilox-pylox?extParam=ivf%3Dfalse%26keyword%3Dpilox+samurai+coklat%26search_id%3D20260225092950D947BF06A885DB08CT6R%26src%3Dsearch&amp;t_id=1772011793678&amp;t_st=1&amp;t_pp=search_result&amp;t_efo=search_pure_goods_card&amp;t_ef=goods_search&amp;t_sm=&amp;t_spt=search_result" TargetMode="External"/><Relationship Id="rId673" Type="http://schemas.openxmlformats.org/officeDocument/2006/relationships/hyperlink" Target="https://www.tokopedia.com/karel8989/saklar-4gang-4-gang-schneider-clypsal-classic-set-outbow-tempel?extParam=ivf%3Dfalse%26keyword%3Dsaklar+broco+4+tombol%26search_id%3D202606221027085B8ADD2A5D98B11C6WYU%26src%3Dsearch&amp;t_id=1782124036726&amp;t_st=1&amp;t_pp=search_result&amp;t_efo=search_pure_goods_card&amp;t_ef=goods_search&amp;t_sm=&amp;t_spt=search_result" TargetMode="External"/><Relationship Id="rId430" Type="http://schemas.openxmlformats.org/officeDocument/2006/relationships/hyperlink" Target="https://tk.tokopedia.com/ZSyxKVyXb/" TargetMode="External"/><Relationship Id="rId551" Type="http://schemas.openxmlformats.org/officeDocument/2006/relationships/hyperlink" Target="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 TargetMode="External"/><Relationship Id="rId672" Type="http://schemas.openxmlformats.org/officeDocument/2006/relationships/hyperlink" Target="https://www.tokopedia.com/broco-official/broco-stop-kontak-allegra-c151-1729881674917971001?extParam=ivf%3Dfalse%26keyword%3Dstop+kontak+dinding+broco%26search_id%3D202606221022483DD48AB31D016F32B4MR%26src%3Dsearch&amp;t_id=1782123802549&amp;t_st=1&amp;t_pp=search_result&amp;t_efo=search_pure_goods_card&amp;t_ef=goods_search&amp;t_sm=&amp;t_spt=search_resul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wIF5uYg_ikBSnjz3RrtfzdQgxrxJIxrJ/view?usp=drive_link" TargetMode="External"/><Relationship Id="rId2" Type="http://schemas.openxmlformats.org/officeDocument/2006/relationships/hyperlink" Target="https://drive.google.com/file/d/1wIF5uYg_ikBSnjz3RrtfzdQgxrxJIxrJ/view?usp=drive_link" TargetMode="External"/><Relationship Id="rId3" Type="http://schemas.openxmlformats.org/officeDocument/2006/relationships/hyperlink" Target="https://drive.google.com/file/d/1GnfQFhJYJjSVRaCiKynCvKYvQx7efO1F/view?usp=drive_link" TargetMode="External"/><Relationship Id="rId4" Type="http://schemas.openxmlformats.org/officeDocument/2006/relationships/hyperlink" Target="https://drive.google.com/file/d/1GnfQFhJYJjSVRaCiKynCvKYvQx7efO1F/view?usp=drive_link" TargetMode="External"/><Relationship Id="rId9" Type="http://schemas.openxmlformats.org/officeDocument/2006/relationships/hyperlink" Target="https://drive.google.com/file/d/1-h2TDtuzkLxo8sO3ozwve8eKzVgbFJdE/view?usp=drive_link" TargetMode="External"/><Relationship Id="rId5" Type="http://schemas.openxmlformats.org/officeDocument/2006/relationships/hyperlink" Target="https://drive.google.com/drive/folders/1PmXhE0uaWBmdrU38AYtA6RWQzZeilTrR?usp=sharing" TargetMode="External"/><Relationship Id="rId6" Type="http://schemas.openxmlformats.org/officeDocument/2006/relationships/hyperlink" Target="https://drive.google.com/file/d/1PoK6rvQCa2eQpbqSFg0-H5tR3hvDLFlm/view?usp=drivesdk" TargetMode="External"/><Relationship Id="rId7" Type="http://schemas.openxmlformats.org/officeDocument/2006/relationships/hyperlink" Target="https://drive.google.com/file/d/1PpX9Nr3AuNZa_uGCDWC56pPlRQN3fZJf/view?usp=drivesdk" TargetMode="External"/><Relationship Id="rId8" Type="http://schemas.openxmlformats.org/officeDocument/2006/relationships/hyperlink" Target="https://drive.google.com/file/d/1eB1GBhClpSB3KQLD6ILfdPLUY2GlFT6I/view?usp=drive_link" TargetMode="External"/><Relationship Id="rId20" Type="http://schemas.openxmlformats.org/officeDocument/2006/relationships/hyperlink" Target="https://drive.google.com/file/d/1uAXqbtWz6Y-hfUlLHPwk3RfX5j593lI6/view?usp=sharing" TargetMode="External"/><Relationship Id="rId22" Type="http://schemas.openxmlformats.org/officeDocument/2006/relationships/hyperlink" Target="https://drive.google.com/drive/folders/1GuJq1W6y1ezFtGSc6yqEoeh1yR5IOfgz" TargetMode="External"/><Relationship Id="rId21" Type="http://schemas.openxmlformats.org/officeDocument/2006/relationships/hyperlink" Target="https://drive.google.com/drive/folders/1GuJq1W6y1ezFtGSc6yqEoeh1yR5IOfgz" TargetMode="External"/><Relationship Id="rId24" Type="http://schemas.openxmlformats.org/officeDocument/2006/relationships/drawing" Target="../drawings/drawing3.xml"/><Relationship Id="rId23" Type="http://schemas.openxmlformats.org/officeDocument/2006/relationships/hyperlink" Target="https://drive.google.com/drive/folders/1GuJq1W6y1ezFtGSc6yqEoeh1yR5IOfgz" TargetMode="External"/><Relationship Id="rId11" Type="http://schemas.openxmlformats.org/officeDocument/2006/relationships/hyperlink" Target="https://drive.google.com/file/d/1C9xRrPXc3CBDEByqX4kB4uzRq--AoThb/view?usp=drive_link" TargetMode="External"/><Relationship Id="rId10" Type="http://schemas.openxmlformats.org/officeDocument/2006/relationships/hyperlink" Target="https://drive.google.com/file/d/1lD1mSPrETOmvLPnS_AL655OtiMI78mW8/view?usp=sharing" TargetMode="External"/><Relationship Id="rId13" Type="http://schemas.openxmlformats.org/officeDocument/2006/relationships/hyperlink" Target="https://drive.google.com/drive/folders/17mXglJ9K1YwOmSbaJqgh19jaVjU8Mwj1?usp=drive_link" TargetMode="External"/><Relationship Id="rId12" Type="http://schemas.openxmlformats.org/officeDocument/2006/relationships/hyperlink" Target="https://drive.google.com/file/d/1npVDC5zUOvm8AJ9vWLki31zmfZYo7zaC/view?usp=drive_link" TargetMode="External"/><Relationship Id="rId15" Type="http://schemas.openxmlformats.org/officeDocument/2006/relationships/hyperlink" Target="https://drive.google.com/file/d/1F2uqlJFYcJigpqNY7BEjQLnMRBY9xb6E/view?usp=drive_link" TargetMode="External"/><Relationship Id="rId14" Type="http://schemas.openxmlformats.org/officeDocument/2006/relationships/hyperlink" Target="https://drive.google.com/file/d/1LoODjj6kphgkZ98SaZaUvvgZWiw-_AFu/view?usp=drive_link" TargetMode="External"/><Relationship Id="rId17" Type="http://schemas.openxmlformats.org/officeDocument/2006/relationships/hyperlink" Target="https://drive.google.com/file/d/1oX43wMBjJNBYOeMUKOS6Yy3FR5Z_zgfj/view?usp=drive_link" TargetMode="External"/><Relationship Id="rId16" Type="http://schemas.openxmlformats.org/officeDocument/2006/relationships/hyperlink" Target="https://drive.google.com/file/d/1l2c2oU_b7292Cr-xT5s7bgAGFfToWAfO/view?usp=drive_link" TargetMode="External"/><Relationship Id="rId19" Type="http://schemas.openxmlformats.org/officeDocument/2006/relationships/hyperlink" Target="https://drive.google.com/file/d/1SA89R59JGjMhdB9AK0FbmYrYm_oaSO71/view?usp=sharing" TargetMode="External"/><Relationship Id="rId18" Type="http://schemas.openxmlformats.org/officeDocument/2006/relationships/hyperlink" Target="https://drive.google.com/file/d/1TA5KXsYDwldehCjQSgN1HlpDQx3DRxdO/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mayair.com.my/product/primary-filter-m-mnf/" TargetMode="External"/><Relationship Id="rId194" Type="http://schemas.openxmlformats.org/officeDocument/2006/relationships/hyperlink" Target="https://mayair.com.my/product/primary-filter-m-mnf/" TargetMode="External"/><Relationship Id="rId193" Type="http://schemas.openxmlformats.org/officeDocument/2006/relationships/hyperlink" Target="https://mayair.com.my/product/primary-filter-m-mnf/" TargetMode="External"/><Relationship Id="rId192" Type="http://schemas.openxmlformats.org/officeDocument/2006/relationships/hyperlink" Target="https://mayair.com.my/product/primary-filter-m-mnf/" TargetMode="External"/><Relationship Id="rId191" Type="http://schemas.openxmlformats.org/officeDocument/2006/relationships/hyperlink" Target="https://mayair.com.my/product/primary-filter-m-mnf/" TargetMode="External"/><Relationship Id="rId187" Type="http://schemas.openxmlformats.org/officeDocument/2006/relationships/hyperlink" Target="https://www.tokopedia.com/safetyfirstjkt/castong-heat-resistant-glove-aby-5t-sarung-tangan-tahan-panas-500-c-aby5t-34?extParam=ivf%3Dfalse%26keyword%3Dsarung+tangan+tahan+panas%26search_id%3D2025081416192611B9842E0A271F206M3E%26src%3Dsearch&amp;t_id=1755187951766&amp;t_st=6&amp;t_pp=search_result&amp;t_efo=search_pure_goods_card&amp;t_ef=goods_search&amp;t_sm=&amp;t_spt=search_result" TargetMode="External"/><Relationship Id="rId186" Type="http://schemas.openxmlformats.org/officeDocument/2006/relationships/hyperlink" Target="https://www.tokopedia.com/mitra-autopedia/k-adp-usb-programmer-pepperl-fuchs?t_id=1755187951766&amp;t_st=3&amp;t_pp=cart&amp;t_efo=cart&amp;t_ef=&amp;t_sm=&amp;t_spt=cart" TargetMode="External"/><Relationship Id="rId185" Type="http://schemas.openxmlformats.org/officeDocument/2006/relationships/hyperlink" Target="https://drive.google.com/file/d/1c4GQT33CgbLa-GF_OX0w_b6sQB3WcTgt/view?usp=drive_link" TargetMode="External"/><Relationship Id="rId184" Type="http://schemas.openxmlformats.org/officeDocument/2006/relationships/hyperlink" Target="https://shopee.co.id/Kaku-Ka1725Ha2-Fan-Kaku-Ka1725Ha2-Ball-Bearing-i.1524555400.41606998175?xptdk=04553a51-d4c6-4fed-94f6-5a1dd37959c2" TargetMode="External"/><Relationship Id="rId189" Type="http://schemas.openxmlformats.org/officeDocument/2006/relationships/hyperlink" Target="https://en.micatrone.se/produktor/mfs" TargetMode="External"/><Relationship Id="rId188" Type="http://schemas.openxmlformats.org/officeDocument/2006/relationships/hyperlink" Target="https://www.tokopedia.com/acesories038/electric-dropbolt-lock-kunci-pintu-door-access-5-kabel-delay" TargetMode="External"/><Relationship Id="rId183" Type="http://schemas.openxmlformats.org/officeDocument/2006/relationships/hyperlink" Target="https://tokopedia.link/Sc8UgwJmDVb" TargetMode="External"/><Relationship Id="rId182" Type="http://schemas.openxmlformats.org/officeDocument/2006/relationships/hyperlink" Target="https://www.tokopedia.com/hydraulicpneumaticpower/solenoid-2-way-emc-2v025-08?extParam=ivf%3Dfalse%26keyword%3Dsolenoid+smc+2way%26search_id%3D2025072706554834ED066DF378EF066HKR%26src%3Dsearch&amp;t_id=1753599329818&amp;t_st=4&amp;t_pp=search_result&amp;t_efo=search_pure_goods_card&amp;t_ef=goods_search&amp;t_sm=&amp;t_spt=search_result" TargetMode="External"/><Relationship Id="rId181" Type="http://schemas.openxmlformats.org/officeDocument/2006/relationships/hyperlink" Target="https://www.tokopedia.com/tokomitraaneka/cat-semprot-chrome-stainless-360ml-spray-paint-anti-karat-warna-stainless?aff_unique_id=&amp;channel=others&amp;chain_key=" TargetMode="External"/><Relationship Id="rId180" Type="http://schemas.openxmlformats.org/officeDocument/2006/relationships/hyperlink" Target="https://drive.google.com/file/d/127Rng8nh31Kwgdl5jNkROyeyqTaYG605/view?usp=drive_link" TargetMode="External"/><Relationship Id="rId176" Type="http://schemas.openxmlformats.org/officeDocument/2006/relationships/hyperlink" Target="https://www.tokopedia.com/futurateknik/siku-stainless-ss304-30-x-30-tebal-3mm-panjang-6meter-1731439103670061030?utm_source=salinlink&amp;utm_medium=share&amp;utm_campaign=PDP-19222668-100481284480-160725-RKdhUE" TargetMode="External"/><Relationship Id="rId297" Type="http://schemas.openxmlformats.org/officeDocument/2006/relationships/hyperlink" Target="https://tk.tokopedia.com/ZSUu97FgQ/" TargetMode="External"/><Relationship Id="rId175" Type="http://schemas.openxmlformats.org/officeDocument/2006/relationships/hyperlink" Target="https://www.tokopedia.com/jbsstainless/holo-stainless-steel-mirror-sus-304-40x40x1-5mmx3-mtr?utm_source=salinlink&amp;utm_medium=share&amp;utm_campaign=PDP-19222668-2093038838-160725-RKdhUE" TargetMode="External"/><Relationship Id="rId296" Type="http://schemas.openxmlformats.org/officeDocument/2006/relationships/hyperlink" Target="https://infiltracoiaf.com/product/" TargetMode="External"/><Relationship Id="rId174" Type="http://schemas.openxmlformats.org/officeDocument/2006/relationships/hyperlink" Target="https://www.tokopedia.com/perkakassmart-indo/kobelco-kawat-las-rb26-2mm-per-2kg-kobe-steel-familiarc-welding-electrode-rb-26-2-0-mm-aws-6013-kobesteel?extParam=ivf%3Dfalse%26keyword%3Dkawat+las+rb+2.0%26search_id%3D202507160832238D3BBA7425E7C9134RFX%26src%3Dsearch&amp;t_id=1752650910822&amp;t_st=3&amp;t_pp=search_result&amp;t_efo=search_pure_goods_card&amp;t_ef=goods_search&amp;t_sm=&amp;t_spt=search_result" TargetMode="External"/><Relationship Id="rId295" Type="http://schemas.openxmlformats.org/officeDocument/2006/relationships/hyperlink" Target="https://infiltracoiaf.com/product/" TargetMode="External"/><Relationship Id="rId173" Type="http://schemas.openxmlformats.org/officeDocument/2006/relationships/hyperlink" Target="https://www.tokopedia.com/besibetonjakarta/cnp-100-x-2-0mm-x-6m?extParam=ivf%3Dfalse%26keyword%3Dcnp+100%26search_id%3D2025071607431701386BD6D8E09119A2JT%26src%3Dsearch&amp;t_id=1752650910822&amp;t_st=2&amp;t_pp=search_result&amp;t_efo=search_pure_goods_card&amp;t_ef=goods_search&amp;t_sm=&amp;t_spt=search_result" TargetMode="External"/><Relationship Id="rId294" Type="http://schemas.openxmlformats.org/officeDocument/2006/relationships/hyperlink" Target="https://www.belimo.com/us/shop/en_US/config?code=NMX120-3" TargetMode="External"/><Relationship Id="rId179" Type="http://schemas.openxmlformats.org/officeDocument/2006/relationships/hyperlink" Target="https://www.tokopedia.com/aaelec/pilot-lamp-led-22mm-ad22-22ds-ad2222ds-merah-hijau-kuning-fort?extParam=ivf%3Dfalse%26keyword%3Dpilot+lamp+220+v%26search_id%3D20250722150116496E05E1AEA0A9031JW6%26src%3Dsearch&amp;t_id=1753196486907&amp;t_st=1&amp;t_pp=search_result&amp;t_efo=search_pure_goods_card&amp;t_ef=goods_search&amp;t_sm=&amp;t_spt=search_result" TargetMode="External"/><Relationship Id="rId178" Type="http://schemas.openxmlformats.org/officeDocument/2006/relationships/hyperlink" Target="https://tk.tokopedia.com/ZSB7hs9np/" TargetMode="External"/><Relationship Id="rId299" Type="http://schemas.openxmlformats.org/officeDocument/2006/relationships/hyperlink" Target="https://www.tokopedia.com/samuraipaintofficial/samurai-paint-metallic-black-1139-metallic-hitam?extParam=ivf%3Dfalse%26keyword%3Dsamurai+black+metallic%26search_id%3D2025101622511537BC2F75BF1BCF222GWB%26src%3Dsearch%26whid%3D10682866" TargetMode="External"/><Relationship Id="rId177" Type="http://schemas.openxmlformats.org/officeDocument/2006/relationships/hyperlink" Target="https://www.tokopedia.com/agasperforated/expanded-metal-besi-tipe-3035-uk-120x240cm-tebal-3mm-1729843510168749373?utm_source=salinlink&amp;utm_medium=share&amp;utm_campaign=PDP-19222668-4261606302-160725-RKdhUE" TargetMode="External"/><Relationship Id="rId298" Type="http://schemas.openxmlformats.org/officeDocument/2006/relationships/hyperlink" Target="https://drive.google.com/file/d/1zrW0nPFhCh5PAoOfV2vAlockqb6SIJeX/view?usp=drive_link" TargetMode="External"/><Relationship Id="rId198" Type="http://schemas.openxmlformats.org/officeDocument/2006/relationships/hyperlink" Target="https://tk.tokopedia.com/ZSAFBavJD/" TargetMode="External"/><Relationship Id="rId197" Type="http://schemas.openxmlformats.org/officeDocument/2006/relationships/hyperlink" Target="https://jadistore.com/product/kabel-power-cable-power-kabel-power-cpu-kabel-komputer-kabel-pc/" TargetMode="External"/><Relationship Id="rId196" Type="http://schemas.openxmlformats.org/officeDocument/2006/relationships/hyperlink" Target="https://drive.google.com/file/d/1dW-1SnqQJWlXxzlM-twf9s_ijZTf0fyF/view?usp=drive_link" TargetMode="External"/><Relationship Id="rId195" Type="http://schemas.openxmlformats.org/officeDocument/2006/relationships/hyperlink" Target="https://mayair.com.my/product/primary-filter-m-mnf/" TargetMode="External"/><Relationship Id="rId199" Type="http://schemas.openxmlformats.org/officeDocument/2006/relationships/hyperlink" Target="https://www.tokopedia.com/suryamajumakmur/rucika-reducer-tee-2-x-1-1-2-inch-2-x-1-1-4-aw-2-x-1-inch-ts-2-x-3-4-inch-2-x-1-2-dim-vtee-reduser-tee-t-tebal-sekali-2-x-3-4-inch-96d6a?t_id=1747715906676&amp;t_st=2&amp;t_pp=cart&amp;t_efo=cart&amp;t_ef=&amp;t_sm=&amp;t_spt=cart" TargetMode="External"/><Relationship Id="rId150" Type="http://schemas.openxmlformats.org/officeDocument/2006/relationships/hyperlink" Target="https://id.shp.ee/GekNx87" TargetMode="External"/><Relationship Id="rId271" Type="http://schemas.openxmlformats.org/officeDocument/2006/relationships/hyperlink" Target="https://drive.google.com/file/d/1wQOQqwJH1Sch1rlfV2Ndpg7Odtqm-ytm/view?usp=drive_link" TargetMode="External"/><Relationship Id="rId392" Type="http://schemas.openxmlformats.org/officeDocument/2006/relationships/hyperlink" Target="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 TargetMode="External"/><Relationship Id="rId270" Type="http://schemas.openxmlformats.org/officeDocument/2006/relationships/hyperlink" Target="https://drive.google.com/file/d/1C44KJhdkzl9cWfizQL1QdmCFFtU57bEm/view?usp=drive_link" TargetMode="External"/><Relationship Id="rId391" Type="http://schemas.openxmlformats.org/officeDocument/2006/relationships/hyperlink" Target="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 TargetMode="External"/><Relationship Id="rId390" Type="http://schemas.openxmlformats.org/officeDocument/2006/relationships/hyperlink" Target="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 TargetMode="External"/><Relationship Id="rId1" Type="http://schemas.openxmlformats.org/officeDocument/2006/relationships/hyperlink" Target="https://tokopedia.link/xwdeezvMkQb" TargetMode="External"/><Relationship Id="rId2" Type="http://schemas.openxmlformats.org/officeDocument/2006/relationships/hyperlink" Target="https://www.tokopedia.com/rajasambungan/sock-aw-1-5-inch-shock-tanpa-drat-fitting-pralon-soket-pvc-rucika?utm_source=google&amp;utm_medium=organic&amp;utm_campaign=pdp-seo" TargetMode="External"/><Relationship Id="rId3" Type="http://schemas.openxmlformats.org/officeDocument/2006/relationships/hyperlink" Target="https://www.tokopedia.com/rajasambungan/sock-aw-2-5-inch-shock-tanpa-drat-fitting-pralon-soket-pvc-rucika" TargetMode="External"/><Relationship Id="rId149" Type="http://schemas.openxmlformats.org/officeDocument/2006/relationships/hyperlink" Target="https://shopee.co.id/product/587909295/22385719147?gads_t_sig=VTJGc2RHVmtYMTlxTFVSVVRrdENkWVp3RFo3Mkw5czd4Z0hzdEF1WVFibkZLSi9SWDlWYnpqdzJKdURPM1FwMFhJT1g5bVB1QUhURi9zVlc2N1FhUjc1Q1FjUWF0VEQ3RU1BdjRGcENJWSs4RE1nQzFRSVE0MWUzRXNmZC9iNlM" TargetMode="External"/><Relationship Id="rId4" Type="http://schemas.openxmlformats.org/officeDocument/2006/relationships/hyperlink" Target="https://www.tokopedia.com/m88-cibubur/tee-1-1-2-inch-rucika-d-1-5-1-5-pvc-sambungan-pipa" TargetMode="External"/><Relationship Id="rId148" Type="http://schemas.openxmlformats.org/officeDocument/2006/relationships/hyperlink" Target="https://www.tokopedia.com/toko-expert-komputer/cooler-master-thermal-paste-high-performance?extParam=ivf%3Dfalse%26keyword%3Dthermal+paste+tube&amp;src=topads&amp;t_id=1749374650747&amp;t_st=4&amp;t_pp=search_result&amp;t_efo=search_pure_goods_card&amp;t_ef=goods_search&amp;t_sm=&amp;t_spt=search_result" TargetMode="External"/><Relationship Id="rId269" Type="http://schemas.openxmlformats.org/officeDocument/2006/relationships/hyperlink" Target="https://shopee.co.id/UGREEN-Lan-Adapter-Gigabit-USB-A-Type-C-To-RJ45-Fast-Ethernet-Network-1000Mbps-2500Mbps-i.293199663.23533022629" TargetMode="External"/><Relationship Id="rId9" Type="http://schemas.openxmlformats.org/officeDocument/2006/relationships/hyperlink" Target="https://www.tokopedia.com/depibangunan/reducing-socket-vsok-1-x-1-2-inch-aw-rucika-fitting-pvc-vlok-sok" TargetMode="External"/><Relationship Id="rId143" Type="http://schemas.openxmlformats.org/officeDocument/2006/relationships/hyperlink" Target="https://www.google.com/search?q=+GST1813S+20+A&amp;sca_esv=55be52598c2605ca&amp;rlz=1C1GCEA_enID973ID973&amp;udm=2&amp;biw=1093&amp;bih=497&amp;ei=EJExaJWZB7Ov4-EPisWviA0&amp;ved=0ahUKEwiV4fCd5buNAxWz1zgGHYriC9EQ4dUDCBE&amp;uact=5&amp;oq=+GST1813S+20+A&amp;gs_lp=EgNpbWciDiBHU1QxODEzUyAyMCBBSJwQULAFWN4HcAF4AJABAJgBeKAB3AGqAQMyLjG4AQPIAQD4AQGYAgCgAgCYAwCIBgGSBwCgB4cBsgcAuAcA&amp;sclient=img" TargetMode="External"/><Relationship Id="rId264" Type="http://schemas.openxmlformats.org/officeDocument/2006/relationships/hyperlink" Target="https://drive.google.com/drive/folders/1DixVXnMbDcx0kmTjXN_q25kItgwAtF5S?usp=drive_link" TargetMode="External"/><Relationship Id="rId385" Type="http://schemas.openxmlformats.org/officeDocument/2006/relationships/hyperlink" Target="https://www.tokopedia.com/kedaielect/idec-selector-switch-3posisi-22mm-yw1s-3e20?extParam=ivf%3Dfalse%26keyword%3Dselector+switch+3+posisi+22+mm+idec%26search_id%3D2025071309512563923F49E524130BE7D6%26src%3Dsearch&amp;t_id=1752399739361&amp;t_st=7&amp;t_pp=search_result&amp;t_efo=search_pure_goods_card&amp;t_ef=goods_search&amp;t_sm=&amp;t_spt=search_result" TargetMode="External"/><Relationship Id="rId142" Type="http://schemas.openxmlformats.org/officeDocument/2006/relationships/hyperlink" Target="https://www.tokopedia.com/h2k/masker-3m-full-facepiece-reusable-masker-respirator-6800-6800-m?extParam=ivf%3Dfalse%26keyword%3Dmasker+3m+6800+full+respirator%26search_id%3D202505231435147BF68B8DB2D5560D62H0%26src%3Dsearch" TargetMode="External"/><Relationship Id="rId263" Type="http://schemas.openxmlformats.org/officeDocument/2006/relationships/hyperlink" Target="https://drive.google.com/drive/folders/1DixVXnMbDcx0kmTjXN_q25kItgwAtF5S?usp=drive_link" TargetMode="External"/><Relationship Id="rId384" Type="http://schemas.openxmlformats.org/officeDocument/2006/relationships/hyperlink" Target="https://tk.tokopedia.com/ZSm2AKPxK/" TargetMode="External"/><Relationship Id="rId141" Type="http://schemas.openxmlformats.org/officeDocument/2006/relationships/hyperlink" Target="https://www.tokopedia.com/3m/3m-6006-multi-acid-gas-organic-vapor-cartridge-1-bag-isi-2-pcs-1731256986403374100?extParam=ivf%3Dfalse%26keyword%3D3m+6006%26search_id%3D2025052314224576F53CB73EA595211H8E%26src%3Dsearch" TargetMode="External"/><Relationship Id="rId262" Type="http://schemas.openxmlformats.org/officeDocument/2006/relationships/hyperlink" Target="https://shopee.co.id/product/12793026/7020484511?gads_t_sig=VTJGc2RHVmtYMTlxTFVSVVRrdENkVEg0SDd3VWo1MDQyT052d3EvY1B4YmUyeVFTa2xVQzl0YzhBNThkNlQvV25BZ2F5Y085ZFRmd01OSDg2V2VpZm9JVXVkeS9xVHkrVU93Qzk1N0tHK1ZwbzArZURhcVJkcGpFd1lEMkNGeHo&amp;gad_source=1&amp;gad_campaignid=16521264469&amp;gbraid=0AAAAADPpU80ioX18J1-827C9cNqVXojvK&amp;gclid=Cj0KCQjww4TGBhCKARIsAFLXndQjAOhaylqAW4Pwe96O1jpL_YZlLIqMYAGN68NMDkpovUq9y3c_CH0aAhvoEALw_wcB" TargetMode="External"/><Relationship Id="rId383" Type="http://schemas.openxmlformats.org/officeDocument/2006/relationships/hyperlink" Target="https://tk.tokopedia.com/ZSm2LbBkq/" TargetMode="External"/><Relationship Id="rId140" Type="http://schemas.openxmlformats.org/officeDocument/2006/relationships/hyperlink" Target="https://www.tokopedia.com/anandito1207/3m-partikel-filter-5n11?extParam=ivf%3Dfalse%26keyword%3Dfilter+5n11+3m%26search_id%3D20250523141807D3AA820E99B7C7102QRC%26src%3Dsearch&amp;t_id=1748009589076&amp;t_st=2&amp;t_pp=search_result&amp;t_efo=search_pure_goods_card&amp;t_ef=goods_search&amp;t_sm=&amp;t_spt=search_result" TargetMode="External"/><Relationship Id="rId261" Type="http://schemas.openxmlformats.org/officeDocument/2006/relationships/hyperlink" Target="https://drive.google.com/drive/folders/1y-rKMglsFTNznmxxH_yqJMlTV0GIDohn?usp=drive_link" TargetMode="External"/><Relationship Id="rId382" Type="http://schemas.openxmlformats.org/officeDocument/2006/relationships/hyperlink" Target="https://www.tokopedia.com/trenindonesia/solenoid-valve-2-way-kuningan-normal-open-1-inch-voltase-ac220-pamy-1729954728013825858?extParam=ivf%3Dfalse%26keyword%3Dsolenoid+valve+1+inch+normaly+open+220+vac%26search_id%3D202602090804246DA37DD3139AA4011VYJ%26src%3Dsearch&amp;t_id=1770624288381&amp;t_st=2&amp;t_pp=search_result&amp;t_efo=search_pure_goods_card&amp;t_ef=goods_search&amp;t_sm=&amp;t_spt=search_result" TargetMode="External"/><Relationship Id="rId5" Type="http://schemas.openxmlformats.org/officeDocument/2006/relationships/hyperlink" Target="https://www.tokopedia.com/lajiah2/tee-pvc-d-2-5-inch-sambungan-fitting-pipa-pvc-t-2-5-inci-in-cabang-3?extParam=ivf%3Dfalse%26keyword%3Dpipa-2-5%26src%3Dsearch&amp;refined=true" TargetMode="External"/><Relationship Id="rId147" Type="http://schemas.openxmlformats.org/officeDocument/2006/relationships/hyperlink" Target="https://www.tokopedia.com/dw-store/digital-motor-speed-controller-dimmer-lampu-suhu-heater-ac-220v-4000w?extParam=ivf%3Dfalse%26keyword%3Ddimmer+ac+220v%26search_id%3D2025060718012963923F49E524131AAFM0%26src%3Dsearch&amp;t_id=1749319320813&amp;t_st=8&amp;t_pp=search_result&amp;t_efo=search_pure_goods_card&amp;t_ef=goods_search&amp;t_sm=&amp;t_spt=search_result" TargetMode="External"/><Relationship Id="rId268" Type="http://schemas.openxmlformats.org/officeDocument/2006/relationships/hyperlink" Target="https://store.danfoss.com/in/en/Drives/Low-Voltage-Drives/VLT%C2%AE-HVAC-Drive-FC-102/FC-102P4K0T4E55H2XGXXXXSXXXXAXBXCXXXXDX/p/131B4229" TargetMode="External"/><Relationship Id="rId389" Type="http://schemas.openxmlformats.org/officeDocument/2006/relationships/hyperlink" Target="https://tk.tokopedia.com/ZSm4H4Fnd/" TargetMode="External"/><Relationship Id="rId6" Type="http://schemas.openxmlformats.org/officeDocument/2006/relationships/hyperlink" Target="https://www.monotaro.id/items/s044154165.html?utm_source=google&amp;utm_medium=pla&amp;utm_campaign=1672206402&amp;utm_content=88187085595&amp;utm_term=cpcless_500_more1min_more3_clicks_noclick_others&amp;gad_source=4&amp;gclid=Cj0KCQiAy8K8BhCZARIsAKJ8sfR3JheFG81w58bLuvHbdKIN7I_TZtvV_FDTPiTS5yfIPuawtYGj0wgaAsBLEALw_wcB" TargetMode="External"/><Relationship Id="rId146" Type="http://schemas.openxmlformats.org/officeDocument/2006/relationships/hyperlink" Target="https://drive.google.com/file/d/1m9WH1JTnYit8zQ7OCd7__4f-JdGKklLk/view?usp=drive_link" TargetMode="External"/><Relationship Id="rId267" Type="http://schemas.openxmlformats.org/officeDocument/2006/relationships/hyperlink" Target="https://store.danfoss.com/sg/en/Drives/Low-Voltage-Drives/VLT%C2%AE-HVAC-Drive-FC-102/FC-102P11KT4E21H2XGXXXXSXXXXAXBXCXXXXDX/p/131B1271" TargetMode="External"/><Relationship Id="rId388" Type="http://schemas.openxmlformats.org/officeDocument/2006/relationships/hyperlink" Target="https://www.tokopedia.com/onoshop/saklar-emergency-stop-box-1nc-1no-panel-box?extParam=ivf%3Dfalse%26keyword%3Djunction+box+emergency+stop%26search_id%3D202602180808127F100B7B36092F047W3W%26src%3Dsearch&amp;t_id=1771402097871&amp;t_st=1&amp;t_pp=search_result&amp;t_efo=search_pure_goods_card&amp;t_ef=goods_search&amp;t_sm=&amp;t_spt=search_result" TargetMode="External"/><Relationship Id="rId7" Type="http://schemas.openxmlformats.org/officeDocument/2006/relationships/hyperlink" Target="https://www.monotaro.id/items/s044355524.html?utm_source=google&amp;utm_medium=pla&amp;utm_campaign=1672206402&amp;utm_content=88187085595&amp;utm_term=cpcless_500_more1min_more3_clicks_noclick_badbrand&amp;gad_source=4&amp;gclid=Cj0KCQiAy8K8BhCZARIsAKJ8sfQfokzSeLh_STV_PgW4TRj7mhdErFRMIaQsqLWbD6nTW0OekKbuSa8aAh6qEALw_wcB" TargetMode="External"/><Relationship Id="rId145" Type="http://schemas.openxmlformats.org/officeDocument/2006/relationships/hyperlink" Target="https://drive.google.com/file/d/16NwXgqI1VK6m8g-HqsBf6riXewdw3PWP/view?usp=drive_link" TargetMode="External"/><Relationship Id="rId266" Type="http://schemas.openxmlformats.org/officeDocument/2006/relationships/hyperlink" Target="https://www.tokopedia.com/kitamurapart/star-actuator-soket-actuator-konektor-actuator-sok-14x11-13035" TargetMode="External"/><Relationship Id="rId387" Type="http://schemas.openxmlformats.org/officeDocument/2006/relationships/hyperlink" Target="https://drive.google.com/file/d/1mxFXDVuXTaI_HIgHyEpfeI6o1TdTjTRv/view?usp=drive_link" TargetMode="External"/><Relationship Id="rId8" Type="http://schemas.openxmlformats.org/officeDocument/2006/relationships/hyperlink" Target="https://www.monotaro.id/s013385101.html" TargetMode="External"/><Relationship Id="rId144" Type="http://schemas.openxmlformats.org/officeDocument/2006/relationships/hyperlink" Target="https://drive.google.com/file/d/1HvzfTC4qFTLU-v_oKvx0ME7360_1ThHh/view?usp=drive_link" TargetMode="External"/><Relationship Id="rId265" Type="http://schemas.openxmlformats.org/officeDocument/2006/relationships/hyperlink" Target="https://drive.google.com/drive/folders/1oaTb-qzrU40WIID6eOgCm_vXVev-cLxX?usp=drive_link" TargetMode="External"/><Relationship Id="rId386" Type="http://schemas.openxmlformats.org/officeDocument/2006/relationships/hyperlink" Target="https://drive.google.com/file/d/18nXIf_NpRdqgVFBLyZ6mGEMeLOWjq_X_/view?usp=drive_link" TargetMode="External"/><Relationship Id="rId260" Type="http://schemas.openxmlformats.org/officeDocument/2006/relationships/hyperlink" Target="https://www.aten.com/global/en/products/usb-solutions/converters/uc232a/" TargetMode="External"/><Relationship Id="rId381" Type="http://schemas.openxmlformats.org/officeDocument/2006/relationships/hyperlink" Target="https://drive.google.com/drive/folders/1bNO_4ubS9oTp1rlIV0UiO31ztN-JfCMi" TargetMode="External"/><Relationship Id="rId380" Type="http://schemas.openxmlformats.org/officeDocument/2006/relationships/hyperlink" Target="https://drive.google.com/drive/folders/1eCct3940FpMgMSRcHKv41fBAZmeRBUST?usp=drive_link" TargetMode="External"/><Relationship Id="rId139" Type="http://schemas.openxmlformats.org/officeDocument/2006/relationships/hyperlink" Target="https://www.tokopedia.com/verticalstore/filter-cover-masker-5n11-filter-cover-3m-501?extParam=ivf%3Dfalse%26keyword%3Dfilter+cover+masker+%2F+5n11+filter+cover+3m+501%26search_id%3D20250523141235D198A66FA6C3F7184N2Y%26src%3Dsearch&amp;t_id=1748009589076&amp;t_st=1&amp;t_pp=search_result&amp;t_efo=search_pure_goods_card&amp;t_ef=goods_search&amp;t_sm=&amp;t_spt=search_result" TargetMode="External"/><Relationship Id="rId138" Type="http://schemas.openxmlformats.org/officeDocument/2006/relationships/hyperlink" Target="https://www.tokopedia.com/snapshot_product?dtl_id=4553598138&amp;order_id=2113893208" TargetMode="External"/><Relationship Id="rId259" Type="http://schemas.openxmlformats.org/officeDocument/2006/relationships/hyperlink" Target="https://www.tokopedia.com/dunia-benang-acc/benang-anti-panas-tahan-panas?extParam=ivf%3Dfalse%26keyword%3Dtali+tahan+panas%26search_id%3D2025090503432094F6D7E04A4D45133ZQV%26src%3Dsearch&amp;t_id=1757043813252&amp;t_st=8&amp;t_pp=search_result&amp;t_efo=search_pure_goods_card&amp;t_ef=goods_search&amp;t_sm=&amp;t_spt=search_result" TargetMode="External"/><Relationship Id="rId137" Type="http://schemas.openxmlformats.org/officeDocument/2006/relationships/hyperlink" Target="https://drive.google.com/file/d/1kGDj03EvrPoekh4YS-Tsi0eLllX8GG8U/view?usp=drive_link" TargetMode="External"/><Relationship Id="rId258" Type="http://schemas.openxmlformats.org/officeDocument/2006/relationships/hyperlink" Target="https://www.tokopedia.com/tekniktoolsglodok/kunci-l-set-mini-7-pcs-mili-tekiro?extParam=ivf%3Dfalse%26keyword%3Dkonci+l+kecil%26search_id%3D202509040350329FD81843AD7F20054EMU%26src%3Dsearch&amp;t_id=1756957838260&amp;t_st=1&amp;t_pp=search_result&amp;t_efo=search_pure_goods_card&amp;t_ef=goods_search&amp;t_sm=&amp;t_spt=search_result" TargetMode="External"/><Relationship Id="rId379" Type="http://schemas.openxmlformats.org/officeDocument/2006/relationships/hyperlink" Target="https://tk.tokopedia.com/ZSaHUbyMS/" TargetMode="External"/><Relationship Id="rId132" Type="http://schemas.openxmlformats.org/officeDocument/2006/relationships/hyperlink" Target="https://www.tokopedia.com/latifshop/penutup-flexible-ducting-4-in-grill-bulat-pipa-exhaust-cerobong-ac?aff_unique_id=&amp;channel=others&amp;chain_key=" TargetMode="External"/><Relationship Id="rId253" Type="http://schemas.openxmlformats.org/officeDocument/2006/relationships/hyperlink" Target="https://www.tokopedia.com/sensensaprepart/insulasi-pembungkus-pipa-ac-3-4-inch-insuflex-pembungkus-pipa?extParam=ivf%3Dfalse%26keyword%3Dinsuflex+pipa+tembaga+3%2F4%26search_id%3D20250828232903D81F9C1BE2E0890D0HFS%26src%3Dsearch&amp;t_id=1756423677996&amp;t_st=3&amp;t_pp=search_result&amp;t_efo=search_pure_goods_card&amp;t_ef=goods_search&amp;t_sm=&amp;t_spt=search_result" TargetMode="External"/><Relationship Id="rId374" Type="http://schemas.openxmlformats.org/officeDocument/2006/relationships/hyperlink" Target="https://www.tokopedia.com/primajayasentosa/rantai-rs-35-1-roller-chain-rs-35-single-1729809497911362949?extParam=ivf%3Dfalse%26keyword%3Drantai+rs+35%26search_id%3D2026012513524263923F49E524131501ZD%26src%3Dsearch&amp;t_id=1769348218558&amp;t_st=3&amp;t_pp=search_result&amp;t_efo=search_pure_goods_card&amp;t_ef=goods_search&amp;t_sm=&amp;t_spt=search_result" TargetMode="External"/><Relationship Id="rId495" Type="http://schemas.openxmlformats.org/officeDocument/2006/relationships/hyperlink" Target="https://drive.google.com/drive/folders/10COnVF0_mq8boGcgmQ3HP5u0BS7LtAPA?usp=drive_link" TargetMode="External"/><Relationship Id="rId131" Type="http://schemas.openxmlformats.org/officeDocument/2006/relationships/hyperlink" Target="https://www.tokopedia.com/cianjursanitary/flexible-ducting-4-in-5-meter-free-klem-2-pc-pipa-exhaust-aluminium-fleksibel-pembuangan-ventilasi-ac-cooker-hood-mesin-pengering-loundry-roasting-kopi?aff_unique_id=&amp;channel=others&amp;chain_key=" TargetMode="External"/><Relationship Id="rId252" Type="http://schemas.openxmlformats.org/officeDocument/2006/relationships/hyperlink" Target="https://www.tokopedia.com/sensensaprepart/insulasi-pembungkus-pipa-ac-3-4-inch-insuflex-pembungkus-pipa?extParam=ivf%3Dfalse%26keyword%3Dinsuflex+pipa+tembaga+3%2F4%26search_id%3D20250828232903D81F9C1BE2E0890D0HFS%26src%3Dsearch&amp;t_id=1756423677996&amp;t_st=3&amp;t_pp=search_result&amp;t_efo=search_pure_goods_card&amp;t_ef=goods_search&amp;t_sm=&amp;t_spt=search_result" TargetMode="External"/><Relationship Id="rId373" Type="http://schemas.openxmlformats.org/officeDocument/2006/relationships/hyperlink" Target="https://shopee.co.id/Oil-seal-TC-VITON-ID-20-OD-28-T-5-i.496394644.45000098139?xptdk=0b4bb3b5-300e-4757-b398-c8eaa2f9da98" TargetMode="External"/><Relationship Id="rId494" Type="http://schemas.openxmlformats.org/officeDocument/2006/relationships/hyperlink" Target="https://drive.google.com/drive/folders/1O9PcD_WtRgHtv45UpQj399zB5hqNQcSI?usp=drive_link" TargetMode="External"/><Relationship Id="rId130" Type="http://schemas.openxmlformats.org/officeDocument/2006/relationships/hyperlink" Target="https://www.monotaro.id/items/s013203092.html?utm_source=google&amp;utm_medium=pla&amp;utm_campaign=1672206402&amp;utm_content=88187085595&amp;utm_term=readystock_cat_group_2_pricebrand_group_1&amp;gad_source=1&amp;gad_campaignid=1672206402&amp;gbraid=0AAAAADJU9-_4YL-FoRX2sApOYXQXIHx7a&amp;gclid=CjwKCAjw24vBBhABEiwANFG7yybbRo4EY7tu_6HvQh2h44P-Il_1II5cUSUppR6YIAXTRCeu9qZiQhoC3g4QAvD_BwE" TargetMode="External"/><Relationship Id="rId251" Type="http://schemas.openxmlformats.org/officeDocument/2006/relationships/hyperlink" Target="https://www.tokopedia.com/sensensaprepart/insulasi-pembungkus-pipa-ac-3-4-inch-insuflex-pembungkus-pipa?extParam=ivf%3Dfalse%26keyword%3Dinsuflex+pipa+tembaga+3%2F4%26search_id%3D20250828232903D81F9C1BE2E0890D0HFS%26src%3Dsearch&amp;t_id=1756423677996&amp;t_st=3&amp;t_pp=search_result&amp;t_efo=search_pure_goods_card&amp;t_ef=goods_search&amp;t_sm=&amp;t_spt=search_result" TargetMode="External"/><Relationship Id="rId372" Type="http://schemas.openxmlformats.org/officeDocument/2006/relationships/hyperlink" Target="https://drive.google.com/drive/folders/1hjUKIVwNO-DLtFx2BFYHuQqIDNZnbISy?usp=drive_link" TargetMode="External"/><Relationship Id="rId493" Type="http://schemas.openxmlformats.org/officeDocument/2006/relationships/hyperlink" Target="https://drive.google.com/drive/folders/1Nxa-kITa5hGlsg9vl9Z78Bel2dfnwsH6?usp=drive_link" TargetMode="External"/><Relationship Id="rId250" Type="http://schemas.openxmlformats.org/officeDocument/2006/relationships/hyperlink" Target="https://www.tokopedia.com/suryatamapart/elbow-tembaga-1-4-sampai-2-1-8-sambungan-ac-keni-tembaga-1?aff_unique_id=&amp;channel=others&amp;chain_key=" TargetMode="External"/><Relationship Id="rId371" Type="http://schemas.openxmlformats.org/officeDocument/2006/relationships/hyperlink" Target="https://drive.google.com/drive/folders/1m7cuEfuIYcCM-b0C9rT7fPMFnzzvke3B?usp=drive_link" TargetMode="External"/><Relationship Id="rId492" Type="http://schemas.openxmlformats.org/officeDocument/2006/relationships/hyperlink" Target="https://www.blibli.com/p/ram-pc-samsung-ddr5-16gb-pc-38400-4800-mhz-longdimm-memory-pc5-1-1v/is--DAY-70061-00411-00001?pickupPointCode=PP-3493272" TargetMode="External"/><Relationship Id="rId136" Type="http://schemas.openxmlformats.org/officeDocument/2006/relationships/hyperlink" Target="https://www.tokopedia.com/magnaautomation/counter-timer-digital-autonics-ct6s-1p4-220vac?extParam=ivf%3Dfalse%26keyword%3Dcounter+autonics&amp;src=topads" TargetMode="External"/><Relationship Id="rId257" Type="http://schemas.openxmlformats.org/officeDocument/2006/relationships/hyperlink" Target="https://www.tokopedia.com/discovery/rekomendasi?recomProdId=12425365593&amp;utm_source=google&amp;utm_medium=cpc&amp;utm_campaign=0000-0000-gg-gpmx-bran-nwb-tcpa-nwb-int-tp-id51mlab01-0000-alon-alon&amp;utm_term=12425365593&amp;ref=googleshopping&amp;c=22562631326&amp;m=185508013&amp;gclsrc=aw.ds&amp;gad_source=1&amp;gad_campaignid=22566222628&amp;gbraid=0AAAAABhH3nSuDGMOeM57NjUfBu04uq8p3&amp;gclid=Cj0KCQjwzt_FBhCEARIsAJGFWVka_7YTwqAd1BflpqKYTnjkjAv140tE9xAJIZQymF-GXQEGnBk1XZMaAvvtEALw_wcB" TargetMode="External"/><Relationship Id="rId378" Type="http://schemas.openxmlformats.org/officeDocument/2006/relationships/hyperlink" Target="https://tk.tokopedia.com/ZS5Wroa1E/" TargetMode="External"/><Relationship Id="rId499" Type="http://schemas.openxmlformats.org/officeDocument/2006/relationships/hyperlink" Target="https://tk.tokopedia.com/ZSCUU7Y4T/" TargetMode="External"/><Relationship Id="rId135" Type="http://schemas.openxmlformats.org/officeDocument/2006/relationships/hyperlink" Target="https://www.tokopedia.com/discovery/rekomendasi?recomProdId=614235611&amp;utm_source=google&amp;utm_medium=cpc&amp;utm_campaign=0000-0000-gg-pmax-bend-voo-tcpa-act-ord-pg-id51pgce51-0000-alon-gshp&amp;utm_term=614235611&amp;ref=googleshopping&amp;c=21543673600&amp;m=282743202&amp;gclsrc=aw.ds&amp;gad_source=1" TargetMode="External"/><Relationship Id="rId256" Type="http://schemas.openxmlformats.org/officeDocument/2006/relationships/hyperlink" Target="https://tk.tokopedia.com/ZSAsrpR1R/" TargetMode="External"/><Relationship Id="rId377" Type="http://schemas.openxmlformats.org/officeDocument/2006/relationships/hyperlink" Target="https://tk.tokopedia.com/ZSaY6QkYS/" TargetMode="External"/><Relationship Id="rId498" Type="http://schemas.openxmlformats.org/officeDocument/2006/relationships/hyperlink" Target="https://www.osram.com/ecat/ORIGINAL%20-%20FESTOON-Signal%20lamps-Truck%20lighting-Automotive/com/en/GPS01_1057117/ZMP_61080/" TargetMode="External"/><Relationship Id="rId134" Type="http://schemas.openxmlformats.org/officeDocument/2006/relationships/hyperlink" Target="https://tk.tokopedia.com/ZSh5hft6E/" TargetMode="External"/><Relationship Id="rId255" Type="http://schemas.openxmlformats.org/officeDocument/2006/relationships/hyperlink" Target="https://www.tokopedia.com/defate/supply-air-diffuser-obd-uk-200x200mm-8-natural-luar-33cm-x-33cm" TargetMode="External"/><Relationship Id="rId376" Type="http://schemas.openxmlformats.org/officeDocument/2006/relationships/hyperlink" Target="https://drive.google.com/drive/folders/1ZRj5fiO6TVaEqrDRawB57QX6Lkod426T?usp=drive_link" TargetMode="External"/><Relationship Id="rId497" Type="http://schemas.openxmlformats.org/officeDocument/2006/relationships/hyperlink" Target="https://www.lazada.co.id/products/promo-alat-semprotan-angin-kompresor-tekiro-air-duster-coupler-semprotan-debu-i6877018660-s13029000059.html?" TargetMode="External"/><Relationship Id="rId133" Type="http://schemas.openxmlformats.org/officeDocument/2006/relationships/hyperlink" Target="https://drive.google.com/drive/folders/1j9UNRTv1p0bTJ6AYr7-b7ZBTqcrEgUTN" TargetMode="External"/><Relationship Id="rId254" Type="http://schemas.openxmlformats.org/officeDocument/2006/relationships/hyperlink" Target="https://www.tokopedia.com/royalsafety/sabre-smoke-detector-tester-sabre-smoke-check-detector?extParam=ivf%3Dfalse%26keyword%3Dsmoke+detector+tester%26search_id%3D2025082904142234ED066DF378EF0D0BLN%26src%3Dsearch" TargetMode="External"/><Relationship Id="rId375" Type="http://schemas.openxmlformats.org/officeDocument/2006/relationships/hyperlink" Target="https://tk.tokopedia.com/ZSamF1pXP/" TargetMode="External"/><Relationship Id="rId496" Type="http://schemas.openxmlformats.org/officeDocument/2006/relationships/hyperlink" Target="https://www.tokopedia.com/wijaya-indotech-protection/box-control-earthing-pit-pvc-furse-pt205-1730921522349115376?t_id=1782306554623&amp;t_st=2&amp;t_pp=cart&amp;t_efo=cart&amp;t_ef=&amp;t_sm=&amp;t_spt=cart" TargetMode="External"/><Relationship Id="rId172" Type="http://schemas.openxmlformats.org/officeDocument/2006/relationships/hyperlink" Target="https://www.tokopedia.com/royalkeys/engsel-tanam-pintu-dekkson-d40-d80-d120-na-dekson-concealed-hinge-d40?extParam=ivf%3Dfalse%26keyword%3Dengsel+tanam+pintu%26search_id%3D20250716072822432ACA3A1E345E1544RI%26src%3Dsearch&amp;t_id=1752650910822&amp;t_st=1&amp;t_pp=search_result&amp;t_efo=search_pure_goods_card&amp;t_ef=goods_search&amp;t_sm=&amp;t_spt=search_result" TargetMode="External"/><Relationship Id="rId293" Type="http://schemas.openxmlformats.org/officeDocument/2006/relationships/hyperlink" Target="https://tk.tokopedia.com/ZSU5B1U6L/" TargetMode="External"/><Relationship Id="rId171" Type="http://schemas.openxmlformats.org/officeDocument/2006/relationships/hyperlink" Target="https://www.tokopedia.com/sulawesiutamapersada/elephant-gyspum-papan-gypsum-elephant-9mm?extParam=ivf%3Dfalse%26keyword%3Dgypsum+elephant%26search_id%3D20250716070526496E05E1AEA0A92DEMLN%26src%3Dsearch" TargetMode="External"/><Relationship Id="rId292" Type="http://schemas.openxmlformats.org/officeDocument/2006/relationships/hyperlink" Target="https://tk.tokopedia.com/ZSU5kPmdm/" TargetMode="External"/><Relationship Id="rId170" Type="http://schemas.openxmlformats.org/officeDocument/2006/relationships/hyperlink" Target="https://www.tokopedia.com/rianbaja/besi-unp-100-x-50-berat-36kg-unp-100-d1786?aff_unique_id=&amp;channel=others&amp;chain_key=" TargetMode="External"/><Relationship Id="rId291" Type="http://schemas.openxmlformats.org/officeDocument/2006/relationships/hyperlink" Target="https://drive.google.com/file/d/19J_4-brYnzn3fjOf5Y_EbUPBYblHK4Hv/view?usp=drivesdk" TargetMode="External"/><Relationship Id="rId290" Type="http://schemas.openxmlformats.org/officeDocument/2006/relationships/hyperlink" Target="https://drive.google.com/file/d/19J_4-brYnzn3fjOf5Y_EbUPBYblHK4Hv/view?usp=drivesdk" TargetMode="External"/><Relationship Id="rId165" Type="http://schemas.openxmlformats.org/officeDocument/2006/relationships/hyperlink" Target="https://drive.google.com/file/d/1595nqTfGnZ3sgnxhGWvcEEMdxSHhKn4Q/view?usp=drive_link" TargetMode="External"/><Relationship Id="rId286" Type="http://schemas.openxmlformats.org/officeDocument/2006/relationships/hyperlink" Target="https://drive.google.com/drive/folders/1Yrt7EVI1vpAQTjI8F7WYEsua1ukIsdl-?usp=drive_link" TargetMode="External"/><Relationship Id="rId164" Type="http://schemas.openxmlformats.org/officeDocument/2006/relationships/hyperlink" Target="https://drive.google.com/file/d/1595nqTfGnZ3sgnxhGWvcEEMdxSHhKn4Q/view?usp=drive_link" TargetMode="External"/><Relationship Id="rId285" Type="http://schemas.openxmlformats.org/officeDocument/2006/relationships/hyperlink" Target="https://drive.google.com/file/d/1n0ES9dQQhP7dQRpPbnaiciy9eHvEvTOV/view?usp=drive_link" TargetMode="External"/><Relationship Id="rId163" Type="http://schemas.openxmlformats.org/officeDocument/2006/relationships/hyperlink" Target="https://www.tokopedia.com/tngindustrial/pos-10-pos10-rod-end-bearing-d6e4" TargetMode="External"/><Relationship Id="rId284" Type="http://schemas.openxmlformats.org/officeDocument/2006/relationships/hyperlink" Target="https://drive.google.com/file/d/1UK6XhCS3T0ni0bA983FEsNp6UNzYsakg/view?usp=drive_link" TargetMode="External"/><Relationship Id="rId162" Type="http://schemas.openxmlformats.org/officeDocument/2006/relationships/hyperlink" Target="https://www.tokopedia.com/tngindustrial/pos-10-pos10-rod-end-bearing-d6e4" TargetMode="External"/><Relationship Id="rId283" Type="http://schemas.openxmlformats.org/officeDocument/2006/relationships/hyperlink" Target="https://www.tokopedia.com/plasmajaya/kabel-duct-oval-50x15-floor-duct-50x15-panjang-2-9mtr" TargetMode="External"/><Relationship Id="rId169" Type="http://schemas.openxmlformats.org/officeDocument/2006/relationships/hyperlink" Target="https://www.google.com/url?sa=i&amp;url=https%3A%2F%2Fwww.coolboxdelta.com%2Fproduct%2Fcaustic-soda-flakes-naoh-ex-lokal-soda-api-p1186934.aspx&amp;psig=AOvVaw3II2GQwqK0bgkkfbcMTixR&amp;ust=1752655595485000&amp;source=images&amp;cd=vfe&amp;opi=89978449&amp;ved=0CBUQjRxqFwoTCOjDhIW9vo4DFQAAAAAdAAAAABAE" TargetMode="External"/><Relationship Id="rId168" Type="http://schemas.openxmlformats.org/officeDocument/2006/relationships/hyperlink" Target="https://drive.google.com/file/d/18wo9hmuOIwH8ngUFir2QDrKYwHuVnjUB/view?usp=drive_link" TargetMode="External"/><Relationship Id="rId289" Type="http://schemas.openxmlformats.org/officeDocument/2006/relationships/hyperlink" Target="https://www.tokopedia.com/nusanjadi/gasket-seal-ferrule-ptfe-teflon-sanitary-8-inchi-flange-217-mm?extParam=ivf%3Dfalse%26keyword%3Dgasket+ferrule+8+inch+%26search_id%3D2025100803103611B9842E0A271F090SXI%26src%3Dsearch&amp;t_id=1759893064107&amp;t_st=1&amp;t_pp=search_result&amp;t_efo=search_pure_goods_card&amp;t_ef=goods_search&amp;t_sm=&amp;t_spt=search_result" TargetMode="External"/><Relationship Id="rId167" Type="http://schemas.openxmlformats.org/officeDocument/2006/relationships/hyperlink" Target="https://drive.google.com/file/d/18wo9hmuOIwH8ngUFir2QDrKYwHuVnjUB/view?usp=drive_link" TargetMode="External"/><Relationship Id="rId288" Type="http://schemas.openxmlformats.org/officeDocument/2006/relationships/hyperlink" Target="http://tokopedia.com/maha-shop-grosir/relay-omron-my2-my2n-24vac-8-kaki-original-relay-my2n-24vac-original-1730153404901983435?extParam=ivf%3Dfalse%26keyword%3Drelay+omron+24+vac%26search_id%3D20251007084519577BCC914F9E55008BKV%26src%3Dsearch&amp;t_id=1759826728912&amp;t_st=1&amp;t_pp=search_result&amp;t_efo=search_pure_goods_card&amp;t_ef=goods_search&amp;t_sm=&amp;t_spt=search_result" TargetMode="External"/><Relationship Id="rId166" Type="http://schemas.openxmlformats.org/officeDocument/2006/relationships/hyperlink" Target="https://www.tokopedia.com/ptsahabatmitra/autonics-thermocouple-tw-n-pt100-6-4-150mm-1-5m-pt1-8?utm_source=google&amp;utm_medium=organic&amp;utm_campaign=pdp" TargetMode="External"/><Relationship Id="rId287" Type="http://schemas.openxmlformats.org/officeDocument/2006/relationships/hyperlink" Target="https://www.smcpneumatics.com/AR20-F02G-B.html" TargetMode="External"/><Relationship Id="rId161" Type="http://schemas.openxmlformats.org/officeDocument/2006/relationships/hyperlink" Target="https://shopee.co.id/product/80262663/11669226864?gads_t_sig=VTJGc2RHVmtYMTlxTFVSVVRrdENkVzBLS2xuUGZzMlQ5NjlFWklmRkZjU1AvZHNQSXkwMzhhRTZYL2w5YUhCc2NVc3ZCd0JVTXoxWFNmZFo2cEZRVXl3aWhJWUgxMXZTMk5TR2QvV29FQ093K2xhYmhrY2FianF5bzNzRDhmdTE&amp;gad_source=1&amp;gad_campaignid=22178753687&amp;gbraid=0AAAAADPpU83KnXLm_7hZs26_YvFWH7d_f&amp;gclid=CjwKCAjwsZPDBhBWEiwADuO6y3G5GRDYqSk1QpSAg_Uqa-ZqbaIV54eVLdbNN5k5HcQqkpuNMSMVPBoCfnwQAvD_BwE" TargetMode="External"/><Relationship Id="rId282" Type="http://schemas.openxmlformats.org/officeDocument/2006/relationships/hyperlink" Target="https://drive.google.com/drive/folders/1exOFlBI3URcQBdkbZnyll88NOViU8cQz?usp=drive_link" TargetMode="External"/><Relationship Id="rId160" Type="http://schemas.openxmlformats.org/officeDocument/2006/relationships/hyperlink" Target="https://www.blibli.com/p/gate-valve-kitz-kuningan-1-2-inch/ps--TOB-70786-00834" TargetMode="External"/><Relationship Id="rId281" Type="http://schemas.openxmlformats.org/officeDocument/2006/relationships/hyperlink" Target="https://drive.google.com/file/d/1PUjl7MC8a1Fmfyb44giY1zy9_U5G5oLV/view?usp=drive_link" TargetMode="External"/><Relationship Id="rId280" Type="http://schemas.openxmlformats.org/officeDocument/2006/relationships/hyperlink" Target="https://drive.google.com/file/d/1UK6XhCS3T0ni0bA983FEsNp6UNzYsakg/view?usp=drive_link" TargetMode="External"/><Relationship Id="rId159" Type="http://schemas.openxmlformats.org/officeDocument/2006/relationships/hyperlink" Target="https://www.tokopedia.com/cakratools-1/ball-valve-pvc-gagang-stainless-stop-kran-air-tebal-1-2-3-4-1-1-2-4861c?extParam=ivf%3Dfalse%26keyword%3Dstop+kran+1+inch%26search_id%3D2025062420154013F9896DF61279185ZXS%26src%3Dsearch&amp;t_id=1750795524866&amp;t_st=4&amp;t_pp=search_result&amp;t_efo=search_pure_goods_card&amp;t_ef=goods_search&amp;t_sm=&amp;t_spt=search_result" TargetMode="External"/><Relationship Id="rId154" Type="http://schemas.openxmlformats.org/officeDocument/2006/relationships/hyperlink" Target="https://drive.google.com/file/d/18q3lO3GjNDc-1O75CbNV--fuIooVPqSg/view?usp=drive_link" TargetMode="External"/><Relationship Id="rId275" Type="http://schemas.openxmlformats.org/officeDocument/2006/relationships/hyperlink" Target="https://tk.tokopedia.com/ZSDVLcx29/" TargetMode="External"/><Relationship Id="rId396" Type="http://schemas.openxmlformats.org/officeDocument/2006/relationships/hyperlink" Target="https://www.tokopedia.com/dmostoshop-106/cat-semprot-samurai-pilok-pilox-samurai-deep-purplish-blue-y3973-3973-biru-gelap-400ml-1734313104749069892?extParam=ivf%3Dfalse%26keyword%3Dpilox+samurai+dark+blue%26search_id%3D20260225093405D947BF06A885DB3B5OUR%26src%3Dsearch&amp;t_id=1772011793678&amp;t_st=3&amp;t_pp=search_result&amp;t_efo=search_pure_goods_card&amp;t_ef=goods_search&amp;t_sm=&amp;t_spt=search_result" TargetMode="External"/><Relationship Id="rId153" Type="http://schemas.openxmlformats.org/officeDocument/2006/relationships/hyperlink" Target="https://drive.google.com/file/d/18q3lO3GjNDc-1O75CbNV--fuIooVPqSg/view?usp=drive_link" TargetMode="External"/><Relationship Id="rId274" Type="http://schemas.openxmlformats.org/officeDocument/2006/relationships/hyperlink" Target="https://drive.google.com/drive/folders/1HA_l4VE-c2stfmaiop6Kn9wux0GKEOZs?usp=drive_link" TargetMode="External"/><Relationship Id="rId395" Type="http://schemas.openxmlformats.org/officeDocument/2006/relationships/hyperlink" Target="https://www.tokopedia.com/cengtim/cat-semprot-aerosol-samurai-paint-hijau-tua-metalik-super-green-1144-pylox-tahan-bensin-1731425096795588007?extParam=ivf%3Dfalse%26keyword%3Dpilox+samurai+hijau+dark%26search_id%3D2026022509325704025959B191F8163PPB%26src%3Dsearch&amp;t_id=1772011793678&amp;t_st=2&amp;t_pp=search_result&amp;t_efo=search_pure_goods_card&amp;t_ef=goods_search&amp;t_sm=&amp;t_spt=search_result" TargetMode="External"/><Relationship Id="rId152" Type="http://schemas.openxmlformats.org/officeDocument/2006/relationships/hyperlink" Target="https://www.tokopedia.com/apbootsofficial/ap-boots-safety-s5-black-sepatu-boot-pvc-39?extParam=src%3Dshop%26whid%3D11618574&amp;aff_unique_id=&amp;channel=others&amp;chain_key=" TargetMode="External"/><Relationship Id="rId273" Type="http://schemas.openxmlformats.org/officeDocument/2006/relationships/hyperlink" Target="https://drive.google.com/drive/folders/1iyjSTsQwh1FJ4qLP2UdeqF5J6Vdjoqb-?usp=drive_link" TargetMode="External"/><Relationship Id="rId394" Type="http://schemas.openxmlformats.org/officeDocument/2006/relationships/hyperlink" Target="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 TargetMode="External"/><Relationship Id="rId151" Type="http://schemas.openxmlformats.org/officeDocument/2006/relationships/hyperlink" Target="https://drive.google.com/drive/folders/1e1hU1KNZhTLjnhqKwXRs5lc5JJguLcXg?usp=sharing" TargetMode="External"/><Relationship Id="rId272" Type="http://schemas.openxmlformats.org/officeDocument/2006/relationships/hyperlink" Target="https://drive.google.com/file/d/1IpnATADGzwUDqmRvJUijXIrlFOnX1tS_/view?usp=drive_link" TargetMode="External"/><Relationship Id="rId393" Type="http://schemas.openxmlformats.org/officeDocument/2006/relationships/hyperlink" Target="https://www.tokopedia.com/willysmotor/samurai-paint-brown-scoopy-h391-cat-semprot-pilox-pylox?extParam=ivf%3Dfalse%26keyword%3Dpilox+samurai+coklat%26search_id%3D20260225092950D947BF06A885DB08CT6R%26src%3Dsearch&amp;t_id=1772011793678&amp;t_st=1&amp;t_pp=search_result&amp;t_efo=search_pure_goods_card&amp;t_ef=goods_search&amp;t_sm=&amp;t_spt=search_result" TargetMode="External"/><Relationship Id="rId158" Type="http://schemas.openxmlformats.org/officeDocument/2006/relationships/hyperlink" Target="https://www.tokopedia.com/sumberbautsunter/m14-x-2-00-mur-baja-8-8-hitam-nut-only-hexagon-high-tensile-kunci-22?extParam=ivf%3Dfalse%26keyword%3Dmur+m14%26search_id%3D20250624200834320722549D17510566QD%26src%3Dsearch&amp;t_id=1750795524866&amp;t_st=3&amp;t_pp=search_result&amp;t_efo=search_pure_goods_card&amp;t_ef=goods_search&amp;t_sm=&amp;t_spt=search_result" TargetMode="External"/><Relationship Id="rId279" Type="http://schemas.openxmlformats.org/officeDocument/2006/relationships/hyperlink" Target="https://drive.google.com/file/d/1teGRF87qECP0pNjYmnr89ZiPCukgqTgZ/view?usp=drive_link" TargetMode="External"/><Relationship Id="rId157" Type="http://schemas.openxmlformats.org/officeDocument/2006/relationships/hyperlink" Target="https://www.tokopedia.com/papabolt/asdrat-hitam-stud-bolt-fulldrat-m14-x-1-meter-long-drat-14mm?extParam=ivf%3Dfalse%26keyword%3Dmur+baut+m14+x+1mtr%26search_id%3D20250624200610577BCC914F9E5522D1VU%26src%3Dsearch&amp;t_id=1750795524866&amp;t_st=2&amp;t_pp=search_result&amp;t_efo=search_pure_goods_card&amp;t_ef=goods_search&amp;t_sm=&amp;t_spt=search_result" TargetMode="External"/><Relationship Id="rId278" Type="http://schemas.openxmlformats.org/officeDocument/2006/relationships/hyperlink" Target="https://drive.google.com/file/d/1UK6XhCS3T0ni0bA983FEsNp6UNzYsakg/view?usp=drive_link" TargetMode="External"/><Relationship Id="rId399" Type="http://schemas.openxmlformats.org/officeDocument/2006/relationships/hyperlink" Target="https://shopee.co.id/product/117505252/9279632448" TargetMode="External"/><Relationship Id="rId156" Type="http://schemas.openxmlformats.org/officeDocument/2006/relationships/hyperlink" Target="https://www.tokopedia.com/besibetonjakarta/plat-strip-50mm-x-6mm-x-6m-full?extParam=ivf%3Dfalse%26keyword%3Dplate+strip+50mm+x+6mm%26search_id%3D2025062419583937BC2F75BF1BCF288DMN%26src%3Dsearch&amp;t_id=1750795129116&amp;t_st=2&amp;t_pp=search_result&amp;t_efo=search_pure_goods_card&amp;t_ef=goods_search&amp;t_sm=&amp;t_spt=search_result" TargetMode="External"/><Relationship Id="rId277" Type="http://schemas.openxmlformats.org/officeDocument/2006/relationships/hyperlink" Target="https://drive.google.com/drive/folders/1lM1jIlINrMV-ErghdIiWY6QKmqOuUjKb?usp=drive_link" TargetMode="External"/><Relationship Id="rId398" Type="http://schemas.openxmlformats.org/officeDocument/2006/relationships/hyperlink" Target="https://drive.google.com/drive/folders/1S9MBCu7rvIZ5WYScEkf3R51aidi6viNX?usp=drive_link" TargetMode="External"/><Relationship Id="rId155" Type="http://schemas.openxmlformats.org/officeDocument/2006/relationships/hyperlink" Target="https://www.tokopedia.com/rianbaja/besi-unp-100-x-50-berat-36kg-unp-100-d1786?aff_unique_id=&amp;channel=others&amp;chain_key=" TargetMode="External"/><Relationship Id="rId276" Type="http://schemas.openxmlformats.org/officeDocument/2006/relationships/hyperlink" Target="https://www.tokopedia.com/kaitehnik/karet-kaki-kursi-tutup-pipa-25-mm-1-inch-diameter-dalam" TargetMode="External"/><Relationship Id="rId397" Type="http://schemas.openxmlformats.org/officeDocument/2006/relationships/hyperlink" Target="https://tk.tokopedia.com/ZSmGRUK4E/" TargetMode="External"/><Relationship Id="rId40" Type="http://schemas.openxmlformats.org/officeDocument/2006/relationships/hyperlink" Target="https://www.tokopedia.com/adn-official/samsung-lampu-led-modul-5730-smd-12v-dc-3-mata-12-v-volt-module-ori-putih?extParam=ivf%3Dfalse%26keyword%3Dlampu+led+12+volt+3+mata%26search_id%3D202502072340407D715104E2EFC91EFQIA%26src%3Dsearch" TargetMode="External"/><Relationship Id="rId42" Type="http://schemas.openxmlformats.org/officeDocument/2006/relationships/hyperlink" Target="https://drive.google.com/drive/folders/1EKMzaK4ks98e51fyzunPQmus_nVke1w3?usp=drive_link" TargetMode="External"/><Relationship Id="rId41" Type="http://schemas.openxmlformats.org/officeDocument/2006/relationships/hyperlink" Target="https://www.tokopedia.com/ciptajayateknik/solenoid-valve-emc-1-inch-stainless-304?extParam=ivf%3Dfalse%26keyword%3Dsolenoid+valve+1+inch%26search_id%3D20250208000026D9721EA3F54E2D2075HO%26src%3Dsearch" TargetMode="External"/><Relationship Id="rId44" Type="http://schemas.openxmlformats.org/officeDocument/2006/relationships/hyperlink" Target="https://drive.google.com/drive/folders/1EKMzaK4ks98e51fyzunPQmus_nVke1w3?usp=drive_link" TargetMode="External"/><Relationship Id="rId43" Type="http://schemas.openxmlformats.org/officeDocument/2006/relationships/hyperlink" Target="https://drive.google.com/drive/folders/1EKMzaK4ks98e51fyzunPQmus_nVke1w3?usp=drive_link" TargetMode="External"/><Relationship Id="rId46" Type="http://schemas.openxmlformats.org/officeDocument/2006/relationships/hyperlink" Target="https://www.tokopedia.com/toko-material-ol/cat-tembok-interior-dulux-catylac-putih-dan-warna-25kg-1730699744622773664?utm_source=salinlink&amp;utm_medium=share&amp;utm_campaign=pdp-kiluasz685fi-15961026197-0" TargetMode="External"/><Relationship Id="rId45" Type="http://schemas.openxmlformats.org/officeDocument/2006/relationships/hyperlink" Target="https://drive.google.com/drive/folders/1G3cIZcwv7Y3w7dzznNZKN0ruRpsHdvkI?usp=drive_link" TargetMode="External"/><Relationship Id="rId509" Type="http://schemas.openxmlformats.org/officeDocument/2006/relationships/hyperlink" Target="https://www.tokopedia.com/kaleaelektrindo/skun-kabel-sc-10-8-type-10mm-lubang-baut-8mm-scun-cable-lug-premium-bahan-tembaga-lapis-alumunium-warna-doff-silver-1731556745946367006?t_id=1783670943971&amp;t_st=2&amp;t_pp=cart&amp;t_efo=cart&amp;t_ef=&amp;t_sm=&amp;t_spt=cart" TargetMode="External"/><Relationship Id="rId508" Type="http://schemas.openxmlformats.org/officeDocument/2006/relationships/hyperlink" Target="https://www.tokopedia.com/archive-firstelectric/skun-kabel-ferules-ferulles-10mm-10-mm-e1012-e10-12-e-1012-e-10-12-e-1012-e-10-12-tersedia-warna-merah-kuning-hitam-biru-hijau-coklat-abu-abu-putih-ivory-dll-1731067975323584162?t_id=1783670943971&amp;t_st=2&amp;t_pp=cart&amp;t_efo=cart&amp;t_ef=&amp;t_sm=&amp;t_spt=cart" TargetMode="External"/><Relationship Id="rId503" Type="http://schemas.openxmlformats.org/officeDocument/2006/relationships/hyperlink" Target="https://acrobat.adobe.com/id/urn:aaid:sc:AP:ed51335f-ae92-4988-ac94-fda62b428eec" TargetMode="External"/><Relationship Id="rId502" Type="http://schemas.openxmlformats.org/officeDocument/2006/relationships/hyperlink" Target="https://acrobat.adobe.com/id/urn:aaid:sc:AP:ed51335f-ae92-4988-ac94-fda62b428eec" TargetMode="External"/><Relationship Id="rId501" Type="http://schemas.openxmlformats.org/officeDocument/2006/relationships/hyperlink" Target="https://shopee.co.id/product/1164439416/42173786388?gads_t_sig=gqRjZGVrxHCFomtpsTE0MjUxOnRzc19zZGtfa2V5omt20QABpGFsZ2_SAAAAZKNkZWvAomN0xEAAAAAMfaLqlfFS4JwQPCoOJZHE2YMfq1tWF61pnIIHqGuyOlpkjBotHu7Xpb0YRK1tULWVZdcpI_r9hw6jgE9CqmNpcGhlcnRleHTEcwAAAAztSCWnnhPomMujj0wlJ7ZPXivWmK59zHkyC_dyqvi2MgdmUtFQppIcW-tH_uuYcgrBzJ" TargetMode="External"/><Relationship Id="rId500" Type="http://schemas.openxmlformats.org/officeDocument/2006/relationships/hyperlink" Target="https://tk.tokopedia.com/ZSCUfnQtM/" TargetMode="External"/><Relationship Id="rId507" Type="http://schemas.openxmlformats.org/officeDocument/2006/relationships/hyperlink" Target="https://www.tokopedia.com/archive-firstelectric/skun-kabel-ferules-ferulles-10mm-10-mm-e1012-e10-12-e-1012-e-10-12-e-1012-e-10-12-tersedia-warna-merah-kuning-hitam-biru-hijau-coklat-abu-abu-putih-ivory-dll-1731067975323584162?t_id=1783670943971&amp;t_st=2&amp;t_pp=cart&amp;t_efo=cart&amp;t_ef=&amp;t_sm=&amp;t_spt=cart" TargetMode="External"/><Relationship Id="rId506" Type="http://schemas.openxmlformats.org/officeDocument/2006/relationships/hyperlink" Target="https://www.tokopedia.com/pbelectric/flexible-metal-conduit-1-1-2-inch-flexible-conduit-1-1-2-meteran?t_id=1783670943971&amp;t_st=2&amp;t_pp=cart&amp;t_efo=cart&amp;t_ef=&amp;t_sm=&amp;t_spt=cart" TargetMode="External"/><Relationship Id="rId505" Type="http://schemas.openxmlformats.org/officeDocument/2006/relationships/hyperlink" Target="https://shopee.co.id/BURGARI-Lithium-Grease-Spray-Gemuk-Cair-500ML-Pelumas-Bearing-Engsel-dan-Alat-Penggerak-Lainnya-i.28051792.26718462866" TargetMode="External"/><Relationship Id="rId504" Type="http://schemas.openxmlformats.org/officeDocument/2006/relationships/hyperlink" Target="https://www.tokopedia.com/sinar-terang-elektrik-os/box-panel-topi-outdoor-powder-coating-20-x-17-x-12-cm-pintu-dalam?extParam=ivf%3Dfalse%26keyword%3Dpanel+outdoor%26search_id%3D20260702074924A666587AFDA6E811DXDK%26src%3Dsearch&amp;t_id=1782978614250&amp;t_st=1&amp;t_pp=search_result&amp;t_efo=search_pure_goods_card&amp;t_ef=goods_search&amp;t_sm=&amp;t_spt=search_result" TargetMode="External"/><Relationship Id="rId48" Type="http://schemas.openxmlformats.org/officeDocument/2006/relationships/hyperlink" Target="https://www.tokopedia.com/jsmmartofficial/rucika-pipa-air-pvc-1-1-4-inch-abu-abu-aw" TargetMode="External"/><Relationship Id="rId47" Type="http://schemas.openxmlformats.org/officeDocument/2006/relationships/hyperlink" Target="https://shopee.co.id/PIPA-PVC-RUCIKA-2-1-2-inch-ABU-JIS-AW-VP-4-meter-i.139075405.7650982111" TargetMode="External"/><Relationship Id="rId49" Type="http://schemas.openxmlformats.org/officeDocument/2006/relationships/hyperlink" Target="https://tokopedia.link/99TlfcAw6Qb" TargetMode="External"/><Relationship Id="rId31" Type="http://schemas.openxmlformats.org/officeDocument/2006/relationships/hyperlink" Target="https://www.tokopedia.com/valveshop95/solenoid-valve-steam-yoshitake-25a-dp10-ac110v-ac220v-drat-1-inch?extParam=ivf%3Dfalse%26keyword%3Dsolenoid+valve+1+inch&amp;src=topads" TargetMode="External"/><Relationship Id="rId30" Type="http://schemas.openxmlformats.org/officeDocument/2006/relationships/hyperlink" Target="https://www.tokopedia.com/pusatpneumatic/6mm-x-1-4-male-elbow-connector-tube-od-6-mm-x-1-4-npt-stainless-steel" TargetMode="External"/><Relationship Id="rId33" Type="http://schemas.openxmlformats.org/officeDocument/2006/relationships/hyperlink" Target="https://www.tokopedia.com/lfi/filter-exhaust-fan-panel-4-inch-uk-12-cm?extParam=ivf%3Dfalse%26keyword%3Dexhaust+fan+panel%26search_id%3D20241226002341AD7B26CBBF4C2F0F7CLS%26src%3Dsearch" TargetMode="External"/><Relationship Id="rId32" Type="http://schemas.openxmlformats.org/officeDocument/2006/relationships/hyperlink" Target="http://www.ym-valves.com/products/check-valve/wafer-check-valve.html?gad_source=1&amp;gclid=CjwKCAiA74G9BhAEEiwA8kNfpaR5a7CEedeP0AynfYoOX9Px7-Ywgh2dQUILGPSU-R4473c5i1_NUxoC0AYQAvD_BwE" TargetMode="External"/><Relationship Id="rId35" Type="http://schemas.openxmlformats.org/officeDocument/2006/relationships/hyperlink" Target="https://drive.google.com/file/d/1YE9To6RWOVeSyT_g1aFXGlp7-pF3EBto/view?usp=drivesdk" TargetMode="External"/><Relationship Id="rId34" Type="http://schemas.openxmlformats.org/officeDocument/2006/relationships/hyperlink" Target="https://drive.google.com/file/d/1YGQNPS9CHgtje6FGEN-yKJfMxP3K-eEh/view?usp=drive_link" TargetMode="External"/><Relationship Id="rId37" Type="http://schemas.openxmlformats.org/officeDocument/2006/relationships/hyperlink" Target="https://tokopedia.link/nPYHUFgOMQb" TargetMode="External"/><Relationship Id="rId36" Type="http://schemas.openxmlformats.org/officeDocument/2006/relationships/hyperlink" Target="https://www.tokopedia.com/cahabtek/clamp-ferrule-sanitary-3-4-inch" TargetMode="External"/><Relationship Id="rId39" Type="http://schemas.openxmlformats.org/officeDocument/2006/relationships/hyperlink" Target="https://www.tokopedia.com/industrialgs/talled-smps-300-tld-12-volt-driver-led-waterproof-trafo-made-in-korea-1729968416309740548?extParam=ivf%3Dfalse%26keyword%3Dtalled+smps+300+tld+12%26search_id%3D20250207232458E5AF7B92904D6F00CUT4%26src%3Dsearch" TargetMode="External"/><Relationship Id="rId38" Type="http://schemas.openxmlformats.org/officeDocument/2006/relationships/hyperlink" Target="https://tokopedia.link/dObyhZVOMQb" TargetMode="External"/><Relationship Id="rId20" Type="http://schemas.openxmlformats.org/officeDocument/2006/relationships/hyperlink" Target="https://kdk.co.id/product/detail/24" TargetMode="External"/><Relationship Id="rId22" Type="http://schemas.openxmlformats.org/officeDocument/2006/relationships/hyperlink" Target="https://www.regincontrols.com/en/se/products/controllers/electric-heating-controllers/pulser-1-or-2-phase/electric-heating-controller-for-external-input-signal-0-10-v-230-v-ac-or-400-v-ac-wall-mounting-p11457/pulser230x010/" TargetMode="External"/><Relationship Id="rId21" Type="http://schemas.openxmlformats.org/officeDocument/2006/relationships/hyperlink" Target="https://www.tokopedia.com/zentama/control-panel-lcp-102-danfoss-display-inverter-kiped?extParam=ivf%3Dfalse%26keyword%3Dlcp+danfoss%26search_id%3D2025013023320395B43E7F03282537D7CP%26src%3Dsearch" TargetMode="External"/><Relationship Id="rId24" Type="http://schemas.openxmlformats.org/officeDocument/2006/relationships/hyperlink" Target="https://www.tokopedia.com/solarwinid/baterai-nicad-emergency-tl-biasa-6v-hokistar?extParam=ivf%3Dfalse%26keyword%3Dhokistar+emergency%26search_id%3D20250130234919E5AF7B92904D6F2F3EKQ%26src%3Dsearch" TargetMode="External"/><Relationship Id="rId23" Type="http://schemas.openxmlformats.org/officeDocument/2006/relationships/hyperlink" Target="https://www.tokopedia.com/zentama/control-panel-lcp-102-danfoss-display-inverter-kiped?extParam=ivf%3Dfalse%26keyword%3Dlcp+danfoss%26search_id%3D2025013023320395B43E7F03282537D7CP%26src%3Dsearch" TargetMode="External"/><Relationship Id="rId409" Type="http://schemas.openxmlformats.org/officeDocument/2006/relationships/hyperlink" Target="https://tk.tokopedia.com/ZSu85mvxp/" TargetMode="External"/><Relationship Id="rId404" Type="http://schemas.openxmlformats.org/officeDocument/2006/relationships/hyperlink" Target="https://www.tokopedia.com/pacificmesin/centrifugal-duct-inline-8inch-gcil-200-nicotra-2speed-230v-gcil20-best?aff_unique_id=&amp;channel=others&amp;chain_key=" TargetMode="External"/><Relationship Id="rId403" Type="http://schemas.openxmlformats.org/officeDocument/2006/relationships/hyperlink" Target="https://www.tokopedia.com/usea/usea-x-taffpack-lis-strip-pintu-door-noise-insulation-sealing-tape-5mx3cm-b35-peredam-suara-pintu-jendela-1731213568021465083?extParam=ivf%3Dfalse%26keyword%3Dsealing+tape%26search_id%3D2026030408131594F6D7E04A4D450A03ZW%26src%3Dsearch" TargetMode="External"/><Relationship Id="rId524" Type="http://schemas.openxmlformats.org/officeDocument/2006/relationships/drawing" Target="../drawings/drawing7.xml"/><Relationship Id="rId402" Type="http://schemas.openxmlformats.org/officeDocument/2006/relationships/hyperlink" Target="https://shopee.co.id/1-2-Blind-Ferrule-Sanitary-Foodgrade-Solid-End-Cap-Dop-Ferrule-Buta-Stainless-Steel-316L-Size-1-2-Inch-i.1037069836.54805060783?extraParams=%7B%22display_model_id%22%3A310466968668%2C%22model_selection_logic%22%3A3%7D&amp;sp_atk=777a7459-821b-4a59-9a1c-b9fee3b444ef&amp;xptdk=777a7459-821b-4a59-9a1c-b9fee3b444ef" TargetMode="External"/><Relationship Id="rId523" Type="http://schemas.openxmlformats.org/officeDocument/2006/relationships/hyperlink" Target="https://shopee.co.id/COVER-PELINDUNG-TRANSPARAN-PUSH-BUTTON-PROTECTION-COVER-UNTUK-PUSH-BUTTON-22mm-i.1219139067.42980978507?extraParams=%7B%22display_model_id%22%3A315938423654%2C%22model_selection_logic%22%3A3%7D" TargetMode="External"/><Relationship Id="rId401" Type="http://schemas.openxmlformats.org/officeDocument/2006/relationships/hyperlink" Target="https://shopee.co.id/1-Blind-Ferrule-Sanitary-Foodgrade-Solid-End-Cap-Dop-Ferrule-Buta-Stainless-Steel-316L-Size-1-Inch-i.1037069836.54805060782?extraParams=%7B%22display_model_id%22%3A335466374070%2C%22model_selection_logic%22%3A3%7D&amp;sp_atk=66a49e53-bb0b-4a1b-ae87-edd6653c5c1b&amp;xptdk=66a49e53-bb0b-4a1b-ae87-edd6653c5c1b" TargetMode="External"/><Relationship Id="rId522" Type="http://schemas.openxmlformats.org/officeDocument/2006/relationships/hyperlink" Target="https://www.tokopedia.com/marina-cool/kompresor-ac-samsung-r22-r410a-r32-ur-ug-ub-series-ukuran-0-5-0-75-1-1-5-2-pk-hp-original-rotary-compressor-baru-1733712930893301180?extParam=ivf%3Dfalse%26keyword%3Dkompressor+ac+1+pk+r22%26search_id%3D2026090115355040008B9A5380FC0F7OCQ%26src%3Dsearch&amp;t_id=1788276965375&amp;t_st=1&amp;t_pp=search_result&amp;t_efo=search_pure_goods_card&amp;t_ef=goods_search&amp;t_sm=&amp;t_spt=search_result" TargetMode="External"/><Relationship Id="rId408" Type="http://schemas.openxmlformats.org/officeDocument/2006/relationships/hyperlink" Target="https://www.ebmpapst.com/de/en/products/centrifugal-fans/p/R3G220RD5303.html" TargetMode="External"/><Relationship Id="rId407" Type="http://schemas.openxmlformats.org/officeDocument/2006/relationships/hyperlink" Target="https://drive.google.com/drive/folders/16RUdl0UsA4XTftxhbjZNed8eRo4Oj33n?usp=drive_link" TargetMode="External"/><Relationship Id="rId406" Type="http://schemas.openxmlformats.org/officeDocument/2006/relationships/hyperlink" Target="https://shopee.co.id/Lampu-Tanam-Lantai-LED-DC-12V-12-V-Uplight-COB-Ground-Light-Outdoor-Waterproof-IP65-Lampu-Carport-Taman-Rumah-1000k-3000k-i.171115695.44458488299?xptdk=3be436bf-1efb-4162-8224-44c448c477dc" TargetMode="External"/><Relationship Id="rId405" Type="http://schemas.openxmlformats.org/officeDocument/2006/relationships/hyperlink" Target="https://shopee.co.id/3-4-Blind-Ferrule-Sanitary-Foodgrade-Solid-End-Cap-Dop-Ferrule-Buta-Stainless-Steel-316L-Size-3-4-Inch-i.1319467784.51755156791?extraParams=%7B%22display_model_id%22%3A380473384257%2C%22model_selection_logic%22%3A3%7D&amp;sp_atk=23f1bb3e-8675-4892-b81b-ef46ef154c58&amp;xptdk=23f1bb3e-8675-4892-b81b-ef46ef154c58" TargetMode="External"/><Relationship Id="rId26" Type="http://schemas.openxmlformats.org/officeDocument/2006/relationships/hyperlink" Target="https://www.tokopedia.com/asolusindo/lampu-emergency-tl-led-16watt-waterproof-ip65-1x-16-watt-b5e6e" TargetMode="External"/><Relationship Id="rId25" Type="http://schemas.openxmlformats.org/officeDocument/2006/relationships/hyperlink" Target="https://www.tokopedia.com/solarwinid/baterai-nicad-emergency-tl-biasa-6v-hokistar?extParam=ivf%3Dfalse%26keyword%3Dhokistar+emergency%26search_id%3D20250130234919E5AF7B92904D6F2F3EKQ%26src%3Dsearch" TargetMode="External"/><Relationship Id="rId28" Type="http://schemas.openxmlformats.org/officeDocument/2006/relationships/hyperlink" Target="https://www.tokopedia.com/sinarberdikari/pressure-gauge-spirax-sarco-4-10kg-drat-3-8-inch" TargetMode="External"/><Relationship Id="rId27" Type="http://schemas.openxmlformats.org/officeDocument/2006/relationships/hyperlink" Target="https://www.tokopedia.com/peonyglodok/dg-10-kompresor-udara-gun-1-4-air-duster-spray-gun-tanpa-bubble" TargetMode="External"/><Relationship Id="rId400" Type="http://schemas.openxmlformats.org/officeDocument/2006/relationships/hyperlink" Target="https://www.tokopedia.com/skenoofastener/100-gr-paku-rivet-sip-brand-2-4mm-3-2mm-4mm-dan-4-8mm-eceran-1732378493242017132?extParam=ivf%3Dfalse%26keyword%3Dpaku+rivet+4.8mm%26search_id%3D202603020903063C7781A36BCD6C0BES8T%26src%3Dsearch&amp;t_id=1772442202083&amp;t_st=3&amp;t_pp=search_result&amp;t_efo=search_pure_goods_card&amp;t_ef=goods_search&amp;t_sm=&amp;t_spt=search_result" TargetMode="External"/><Relationship Id="rId521" Type="http://schemas.openxmlformats.org/officeDocument/2006/relationships/hyperlink" Target="https://tk.tokopedia.com/ZSVfKK8LE/" TargetMode="External"/><Relationship Id="rId29" Type="http://schemas.openxmlformats.org/officeDocument/2006/relationships/hyperlink" Target="https://www.hikelok.com/m6-mc-npt4-316-product/" TargetMode="External"/><Relationship Id="rId520" Type="http://schemas.openxmlformats.org/officeDocument/2006/relationships/hyperlink" Target="https://www.tokopedia.com/pt-sinar-abadi/nyaf-supreme-cable-1x-4-mm-6mm-10-mm-16-mm-25-mm-35-mm-50-mm-serabut-grounding-kabel-kuning-hijau-meteran-1731586037795030867?extParam=ivf%3Dfalse%26keyword%3Dgrounding+1x4%26search_id%3D20260812014614F504DBF83E6F6E1ABSE1%26src%3Dsearch&amp;t_id=1786499266395&amp;t_st=1&amp;t_pp=search_result&amp;t_efo=search_pure_goods_card&amp;t_ef=goods_search&amp;t_sm=&amp;t_spt=search_result" TargetMode="External"/><Relationship Id="rId11" Type="http://schemas.openxmlformats.org/officeDocument/2006/relationships/hyperlink" Target="https://www.tokopedia.com/pt-longtime/buckle-cb5-galvanized-steel-buckle-strapping-cordstrap-16mm-hook-tali" TargetMode="External"/><Relationship Id="rId10" Type="http://schemas.openxmlformats.org/officeDocument/2006/relationships/hyperlink" Target="https://www.tokopedia.com/onlinekios/commax-wi-4c-sepasang-intercom-wireless?utm_source=google&amp;utm_medium=organic&amp;utm_campaign=pdp" TargetMode="External"/><Relationship Id="rId13" Type="http://schemas.openxmlformats.org/officeDocument/2006/relationships/hyperlink" Target="https://www.tokopedia.com/afnteknik/tali-webbing-ratchet-tie-down-roll-ketebalan-4mm-pjang-50-m" TargetMode="External"/><Relationship Id="rId12" Type="http://schemas.openxmlformats.org/officeDocument/2006/relationships/hyperlink" Target="https://drive.google.com/file/d/1eBvaxc7AjHsaoSnzSdwhswU5OueVqOuq/view?usp=drive_link" TargetMode="External"/><Relationship Id="rId519" Type="http://schemas.openxmlformats.org/officeDocument/2006/relationships/hyperlink" Target="https://tk.tokopedia.com/ZS4ckGHeg/" TargetMode="External"/><Relationship Id="rId514" Type="http://schemas.openxmlformats.org/officeDocument/2006/relationships/hyperlink" Target="https://www.flowcreteasia.com/our-products/systems/flowseal-uv-satin/" TargetMode="External"/><Relationship Id="rId513" Type="http://schemas.openxmlformats.org/officeDocument/2006/relationships/hyperlink" Target="https://shopee.co.id/Mesin-Cuci-Mobil-Motor-Jet-Cleaner-High-Pressure-Washer-Bosch-AdvancedAquatak-140-i.4055609.2801924739" TargetMode="External"/><Relationship Id="rId512" Type="http://schemas.openxmlformats.org/officeDocument/2006/relationships/hyperlink" Target="https://www.tokopedia.com/electricalhome/tang-press-skun-ferrules-hsc9-16-4a-0-08-16mm2-segi-4?extParam=ivf%3Dfalse%26keyword%3Dtang+skun+ferulles+0.08-16mm%26search_id%3D20260710082948A49E9411D64FF5392FWZ%26src%3Dsearch&amp;t_id=1783670943971&amp;t_st=9&amp;t_pp=search_result&amp;t_efo=search_pure_goods_card&amp;t_ef=goods_search&amp;t_sm=&amp;t_spt=search_result" TargetMode="External"/><Relationship Id="rId511" Type="http://schemas.openxmlformats.org/officeDocument/2006/relationships/hyperlink" Target="https://www.tokopedia.com/burung-terbang2/100pcs-kabel-ties-stainless-steel-cable-ties-kabel-tis-besi-ss304-30-40cm-1730927980585780746?extParam=ivf%3Dfalse%26keyword%3Dkabel+ties+stainless%26search_id%3D20260710082457B83AAC23B9528726FA0G%26src%3Dsearch&amp;t_id=1783670943971&amp;t_st=3&amp;t_pp=search_result&amp;t_efo=search_pure_goods_card&amp;t_ef=goods_search&amp;t_sm=&amp;t_spt=search_result" TargetMode="External"/><Relationship Id="rId518" Type="http://schemas.openxmlformats.org/officeDocument/2006/relationships/hyperlink" Target="https://share.google/v83YhsjAC8QZAvRKT" TargetMode="External"/><Relationship Id="rId517" Type="http://schemas.openxmlformats.org/officeDocument/2006/relationships/hyperlink" Target="https://www.tokopedia.com/borolo/krisbow-penggaris-siku-besi-30-cm?utm_source=google&amp;utm_medium=organic&amp;utm_campaign=pdp" TargetMode="External"/><Relationship Id="rId516" Type="http://schemas.openxmlformats.org/officeDocument/2006/relationships/hyperlink" Target="https://www.tokopedia.com/indosolarpower/sdd-sock-drat-dalam-pvc-rucika-aw-2-2-5-2-5-21-2-inch-faucet-socket-sdl-2-inch?utm_source=google&amp;utm_medium=organic&amp;utm_campaign=pdp" TargetMode="External"/><Relationship Id="rId515" Type="http://schemas.openxmlformats.org/officeDocument/2006/relationships/hyperlink" Target="https://www.tokopedia.com/nusanjadi/pressure-gauge-full-stainless-4-0-6-bar?utm_source=whatsapp&amp;utm_medium=share&amp;utm_campaign=pdp-a0oti72t90ig-464314487-0" TargetMode="External"/><Relationship Id="rId15" Type="http://schemas.openxmlformats.org/officeDocument/2006/relationships/hyperlink" Target="https://www.monotaro.id/items/s044355494.html?utm_source=google&amp;utm_medium=pla&amp;utm_campaign=1672206402&amp;utm_content=88187085595&amp;utm_term=cpcless_500_more1min_more3_clicks_noclick_badbrand&amp;gad_source=4&amp;gclid=Cj0KCQiAy8K8BhCZARIsAKJ8sfRH6nJC7tVOQFd2uy58LoYSysHem5Zy2YQO3wqhAGiFbZYn743OTGcaAoRnEALw_wcB" TargetMode="External"/><Relationship Id="rId14" Type="http://schemas.openxmlformats.org/officeDocument/2006/relationships/hyperlink" Target="https://drive.google.com/file/d/1hC4f0O07MBcnaiwecavt9yDoV67_K-GE/view?usp=drive_link" TargetMode="External"/><Relationship Id="rId17" Type="http://schemas.openxmlformats.org/officeDocument/2006/relationships/hyperlink" Target="https://www.tokopedia.com/valvekitz/gate-valve-2-1-2-inch-kitz-original-japan?utm_source=google&amp;utm_medium=organic&amp;utm_campaign=pdp" TargetMode="External"/><Relationship Id="rId16" Type="http://schemas.openxmlformats.org/officeDocument/2006/relationships/hyperlink" Target="https://shopee.co.id/product/193832839/8457384467?gads_t_sig=VTJGc2RHVmtYMTlxTFVSVVRrdENkVzBLS2xuUGZzMlQ5NjlFWklmRkZjUU9pQWFXSnBIeTRnYWV3eGVqT2RWR3Q0ZVBSNElESE9Sd3BRQlRhc0ZkK2xlVFVFTm1wRnVhODVrSXpPamUyWjAwWXdHcFZINmRJd0xlUEhOU0pJS0k&amp;gad_source=4&amp;gclid=Cj0KCQiAy8K8BhCZARIsAKJ8sfSVxeEF-f6OUgltFQqg0tuXGCMZSK6CfHpWO7rqVNnAE3JMcqdzzNoaAvlMEALw_wcB" TargetMode="External"/><Relationship Id="rId19" Type="http://schemas.openxmlformats.org/officeDocument/2006/relationships/hyperlink" Target="https://drive.google.com/file/d/1cpyV30xyHQ171i0SzClFf3CzmunZOKQL/view?usp=drive_link" TargetMode="External"/><Relationship Id="rId510" Type="http://schemas.openxmlformats.org/officeDocument/2006/relationships/hyperlink" Target="https://www.tokopedia.com/market-isolasi/solasi-listrik-nitto-2107-merah-kuning-hijau-biru-grosir-biru?t_id=1783670943971&amp;t_st=2&amp;t_pp=cart&amp;t_efo=cart&amp;t_ef=&amp;t_sm=&amp;t_spt=cart" TargetMode="External"/><Relationship Id="rId18" Type="http://schemas.openxmlformats.org/officeDocument/2006/relationships/hyperlink" Target="https://drive.google.com/file/d/1TkNDjWAzuCMnA1K4CWfEoTBYgDHKjKe1/view?usp=drive_link" TargetMode="External"/><Relationship Id="rId84" Type="http://schemas.openxmlformats.org/officeDocument/2006/relationships/hyperlink" Target="https://drive.google.com/file/d/1yxd-1i6_2rne2iILRP3vPMVsFFYUDvQl/view?usp=drive_link" TargetMode="External"/><Relationship Id="rId83" Type="http://schemas.openxmlformats.org/officeDocument/2006/relationships/hyperlink" Target="https://drive.google.com/file/d/18AS5uxV3U9XXOPn0spB9aLZ9qDY121mm/view?usp=drive_link" TargetMode="External"/><Relationship Id="rId86" Type="http://schemas.openxmlformats.org/officeDocument/2006/relationships/hyperlink" Target="https://www.google.com/search?sca_esv=53b09118edbda9fc&amp;rlz=1C1GCEA_enID1076ID1076&amp;sxsrf=AHTn8zr5oshrwPuVZ4GYerDABE855Pmegg:1740628146184&amp;q=gasket+ferrule+EPDM+6Inch&amp;udm=2&amp;fbs=ABzOT_CB5rTOeVClh44GCXZQydERP1BnZ_6U4iXdAZ_ZkT8a3yweG-ROKJaX8AZ4e4IzcHWttziSCpXz7Kk4unvbthF53f5zm-k1xtQ8Cs1ebCGDwGhGJiiASqBYq1w_9uOUzkHFllm2si9-ahMJTMQdEAiFQbyINXSh6GkB3Mr9fR7Exc5E8c51RwZOU9HzyF7XbDLzSYJ0wedcOqWn1gpH5jI5CiUChw&amp;sa=X&amp;ved=2ahUKEwj1l9uS-eKLAxV2TDABHbbnDBIQtKgLegQIEBAB&amp;biw=1366&amp;bih=611&amp;dpr=1" TargetMode="External"/><Relationship Id="rId85" Type="http://schemas.openxmlformats.org/officeDocument/2006/relationships/hyperlink" Target="https://drive.google.com/file/d/1zvX3aaY0EYyftKdYeb0Wp3oypc_jlGGH/view?usp=drive_link" TargetMode="External"/><Relationship Id="rId88" Type="http://schemas.openxmlformats.org/officeDocument/2006/relationships/hyperlink" Target="https://www.tokopedia.com/pneumatichardware/fitting-pneumatic-selang-14mm-x-12mm-reducer-connector-pg14-12-kk85" TargetMode="External"/><Relationship Id="rId87" Type="http://schemas.openxmlformats.org/officeDocument/2006/relationships/hyperlink" Target="https://www.tokopedia.com/lubricants/grease-mobilux-ep-2-lithium-grease-packing-original-mobil-pail-16kg?txsc=google&amp;utm_source=google&amp;utm_medium=cpc&amp;utm_campaign=0000-0000-gg-pmax-bend-voo-tcpa-act-ord-pg-id51pgce51-0000-alon-gshp&amp;utm_term=15824685200&amp;ref=googleshopping&amp;c=21543673600&amp;m=667148562&amp;gclsrc=aw.ds&amp;gad_source=1" TargetMode="External"/><Relationship Id="rId89" Type="http://schemas.openxmlformats.org/officeDocument/2006/relationships/hyperlink" Target="https://www.google.com/url?sa=i&amp;url=https%3A%2F%2Fhit.sbt.siemens.com%2FRWD%2Fapp.aspx%3Frc%3DNO%26lang%3Den%26module%3DCatalog%26action%3DShowProduct%26key%3DBPZ%3ASKC62&amp;psig=AOvVaw0QQilrq1urX21H_jPxokk1&amp;ust=1742376829543000&amp;source=images&amp;cd=vfe&amp;opi=89978449&amp;ved=0CBQQjRxqFwoTCPCY2dSpk4wDFQAAAAAdAAAAABAE" TargetMode="External"/><Relationship Id="rId80" Type="http://schemas.openxmlformats.org/officeDocument/2006/relationships/hyperlink" Target="https://www.tokopedia.com/aksesoris-hvac/insulflex-insulasi-pipa-1-1-8-x-3-8-inch-panjang-1-82-m-tube-class-1?aff_unique_id=&amp;channel=others&amp;chain_key=" TargetMode="External"/><Relationship Id="rId82" Type="http://schemas.openxmlformats.org/officeDocument/2006/relationships/hyperlink" Target="https://www.tokopedia.com/psrtrades/lem-perekat-superlon-adhesive-insulation-insulasi-pembungkus-pipa-glue?extParam=ivf%3Dfalse%26keyword%3Dlem+superlon%26search_id%3D20250309103729E7F72256397B2D24705W%26src%3Dsearch" TargetMode="External"/><Relationship Id="rId81" Type="http://schemas.openxmlformats.org/officeDocument/2006/relationships/hyperlink" Target="https://drive.google.com/drive/folders/1-A3PSFPOtNNj8ILj7DjSRukPtAKqxZlz?usp=drive_link" TargetMode="External"/><Relationship Id="rId73" Type="http://schemas.openxmlformats.org/officeDocument/2006/relationships/hyperlink" Target="https://www.tokopedia.com/maximum/aquadest-akuades-aquades-air-suling-air-aki-radiator-20-liter?extParam=ivf%3Dfalse%26keyword%3Dair+aquades+aki&amp;src=topads" TargetMode="External"/><Relationship Id="rId72" Type="http://schemas.openxmlformats.org/officeDocument/2006/relationships/hyperlink" Target="https://id.shp.ee/tygSdzm" TargetMode="External"/><Relationship Id="rId75" Type="http://schemas.openxmlformats.org/officeDocument/2006/relationships/hyperlink" Target="https://www.tokopedia.com/mmsafety/wearpack-safety-coverall-imj-baju-kerja-semi-cotton-biru-dongker-l?extParam=ivf%3Dfalse%26keyword%3Dwearpack+safety+coverall%26search_id%3D20250307042426570092C3363B14036ONG%26src%3Dsearch" TargetMode="External"/><Relationship Id="rId74" Type="http://schemas.openxmlformats.org/officeDocument/2006/relationships/hyperlink" Target="https://www.tokopedia.com/tb-calvin/obat-dempul-sanpolac-hardener?utm_source=salinlink&amp;utm_medium=share&amp;utm_campaign=pdp-qhtaqvu09ez2-3391862473-0" TargetMode="External"/><Relationship Id="rId77" Type="http://schemas.openxmlformats.org/officeDocument/2006/relationships/hyperlink" Target="https://www.tokopedia.com/mmsafety/wearpack-safety-coverall-imj-baju-kerja-semi-cotton-biru-dongker-l?extParam=ivf%3Dfalse%26keyword%3Dwearpack+safety+coverall%26search_id%3D20250307042426570092C3363B14036ONG%26src%3Dsearch" TargetMode="External"/><Relationship Id="rId76" Type="http://schemas.openxmlformats.org/officeDocument/2006/relationships/hyperlink" Target="https://www.tokopedia.com/mmsafety/wearpack-safety-coverall-imj-baju-kerja-semi-cotton-biru-dongker-l?extParam=ivf%3Dfalse%26keyword%3Dwearpack+safety+coverall%26search_id%3D20250307042426570092C3363B14036ONG%26src%3Dsearch" TargetMode="External"/><Relationship Id="rId79" Type="http://schemas.openxmlformats.org/officeDocument/2006/relationships/hyperlink" Target="https://www.tokopedia.com/setiakunci/door-closer-dorma-ts-77-ho-hold-open-silver-penutup-pintu-otomatis?extParam=ivf%3Dfalse%26keyword%3Ddoor+closer+pintu+dorma%26search_id%3D20250308062625F44B441242A2AE1AEMIH%26src%3Dsearch" TargetMode="External"/><Relationship Id="rId78" Type="http://schemas.openxmlformats.org/officeDocument/2006/relationships/hyperlink" Target="https://drive.google.com/drive/folders/1-2wcowGdh5idQxL6Dnn-oo4kRt3i0jx_?usp=drive_link" TargetMode="External"/><Relationship Id="rId71" Type="http://schemas.openxmlformats.org/officeDocument/2006/relationships/hyperlink" Target="https://drive.google.com/file/d/1S99AibyP8-AQtLu-xgnHBMf2c8YPnk1h/view?usp=sharing" TargetMode="External"/><Relationship Id="rId70" Type="http://schemas.openxmlformats.org/officeDocument/2006/relationships/hyperlink" Target="https://drive.google.com/file/d/1qzcQhvDISYnLlvisNE8FSMavU5MXw66w/view?usp=drive_link" TargetMode="External"/><Relationship Id="rId62" Type="http://schemas.openxmlformats.org/officeDocument/2006/relationships/hyperlink" Target="https://www.tokopedia.com/discovery/rekomendasi?recomProdId=13450055747&amp;utm_source=google&amp;utm_medium=cpc&amp;utm_campaign=0000-0000-gg-pmax-bend-voo-tcpa-act-ord-pg-id51pgce51-0000-alon-gshp&amp;utm_term=13450055747&amp;ref=googleshopping&amp;c=21543673600&amp;m=283064554&amp;gclsrc=aw.ds&amp;gad_source=4" TargetMode="External"/><Relationship Id="rId61" Type="http://schemas.openxmlformats.org/officeDocument/2006/relationships/hyperlink" Target="https://www.tokopedia.com/zentama/control-panel-lcp-102-danfoss-display-inverter-kiped?extParam=ivf%3Dfalse%26keyword%3Dlcp+danfoss%26search_id%3D2025013023320395B43E7F03282537D7CP%26src%3Dsearch" TargetMode="External"/><Relationship Id="rId64" Type="http://schemas.openxmlformats.org/officeDocument/2006/relationships/hyperlink" Target="https://www.tokopedia.com/discovery/rekomendasi?recomProdId=863672718&amp;utm_source=google&amp;utm_medium=cpc&amp;utm_campaign=0000-0000-gg-pmax-bend-voo-tcpa-act-ord-pg-id51pgce51-0000-alon-gshp&amp;utm_term=863672718&amp;ref=googleshopping&amp;c=21543673600&amp;m=287358447&amp;gclsrc=aw.ds&amp;gad_source=4" TargetMode="External"/><Relationship Id="rId63" Type="http://schemas.openxmlformats.org/officeDocument/2006/relationships/hyperlink" Target="https://shopee.co.id/product/4401445/19973815449?gads_t_sig=VTJGc2RHVmtYMTlxTFVSVVRrdENkVEg0SDd3VWo1MDQyT052d3EvY1B4WlA0WStXZUtwcVc5OWY1ZjZJNmJOdFJubHlteVNIZ3MwMDE1T1BGdXozaERpaUc2ZG5oalBFSlp0RU82SmxDYmNIU0J4Vk9TNjlYejZSTnl1UHJyREk" TargetMode="External"/><Relationship Id="rId66" Type="http://schemas.openxmlformats.org/officeDocument/2006/relationships/hyperlink" Target="https://www.monotaro.id/items/s007558250.html?utm_source=google&amp;utm_medium=pla&amp;utm_campaign=1672206402&amp;utm_content=88187085595&amp;utm_term=readystock_cat_group_3_pricebrand_group_1&amp;gad_source=4&amp;gclid=Cj0KCQjwkN--BhDkARIsAD_mnIqkp0iZ2kIF7qbatQgTPpIGOjXgJs1tHKdj3XhgCUZifMuarwrjfBQaAuWSEALw_wcB" TargetMode="External"/><Relationship Id="rId65" Type="http://schemas.openxmlformats.org/officeDocument/2006/relationships/hyperlink" Target="https://www.monotaro.id/items/s044354671.html?utm_source=google&amp;utm_medium=pla&amp;utm_campaign=1672206402&amp;utm_content=88187085595&amp;utm_term=readystock_cat_group_2_pricebrand_group_2&amp;gad_source=4&amp;gclid=Cj0KCQjwkN--BhDkARIsAD_mnIpf52KCxx5u1mGTdPld-wvL5e3dQsZ81K0kgAUXzWbwh-s2idQOjM8aAoR0EALw_wcB" TargetMode="External"/><Relationship Id="rId68" Type="http://schemas.openxmlformats.org/officeDocument/2006/relationships/hyperlink" Target="https://www.tokopedia.com/juragankithcen/flexible-ducting-4-in-pipa-aluminium-exhaust-4-inchi-selang-pembuangan?txsc=google&amp;utm_source=google&amp;utm_medium=cpc&amp;utm_campaign=0000-0000-gg-pmax-bend-voo-tros-act-ord-pg-id51pgce51-0000-alon-gshp&amp;utm_term=5689413304&amp;ref=googleshopping&amp;c=21627648432&amp;m=398720654&amp;gclsrc=aw.ds&amp;gad_source=1" TargetMode="External"/><Relationship Id="rId67" Type="http://schemas.openxmlformats.org/officeDocument/2006/relationships/hyperlink" Target="https://www.tokopedia.com/ggtekhnik/freon-dupont-suva-407c-407-r407-usa?extParam=ivf%3Dfalse%26keyword%3Dfreon+r407&amp;src=topads" TargetMode="External"/><Relationship Id="rId60" Type="http://schemas.openxmlformats.org/officeDocument/2006/relationships/hyperlink" Target="https://www.tokopedia.com/tokocatpaswarna/kunci-laci-lemari-loker-slide-huben-mekar-hl-505?extParam=ivf%3Dfalse%26keyword%3Dkunci+lemari+slide%26search_id%3D202502240507135A2B7C3ED7DFF42C7G63%26src%3Dsearch" TargetMode="External"/><Relationship Id="rId69" Type="http://schemas.openxmlformats.org/officeDocument/2006/relationships/hyperlink" Target="https://www.tokopedia.com/bautfasterner/baut-l-tanam-stainless-m5-x-10-drat-0-8-ss-304-baut-l-tanam-m5x10-ss" TargetMode="External"/><Relationship Id="rId51" Type="http://schemas.openxmlformats.org/officeDocument/2006/relationships/hyperlink" Target="https://shopee.co.id/product/322184538/26855481658?gads_t_sig=VTJGc2RHVmtYMTlxTFVSVVRrdENkWVp3RFo3Mkw5czd4Z0hzdEF1WVFibGlnUHJLRWZqb3BIWDNvMVRDS2wyclk3WnRHdzNBVVJQZDhXRmpmWVBabXNZeGdLQ050VDZSejFIWHFaOXFFenVaZ2w0TCs3eVdrVkNsQVBVNERPUWY&amp;gad_source=1&amp;gclid=EAIaIQobChMIo_yureGCiQMVExqDAx3eLSi8EAQYBCABEgIjxPD_BwE" TargetMode="External"/><Relationship Id="rId50" Type="http://schemas.openxmlformats.org/officeDocument/2006/relationships/hyperlink" Target="https://tokopedia.link/TVtna2rC8Qb" TargetMode="External"/><Relationship Id="rId53" Type="http://schemas.openxmlformats.org/officeDocument/2006/relationships/hyperlink" Target="https://www.monotaro.id/s039285997.html" TargetMode="External"/><Relationship Id="rId52" Type="http://schemas.openxmlformats.org/officeDocument/2006/relationships/hyperlink" Target="https://www.monotaro.id/s029279722.html" TargetMode="External"/><Relationship Id="rId55" Type="http://schemas.openxmlformats.org/officeDocument/2006/relationships/hyperlink" Target="https://shopee.co.id/pelindung-wajah-Full-Face-Shield-Safety-Muka-APD-Gerinda-Visor-FACESHIELD-Safety-i.198818354.20980645147" TargetMode="External"/><Relationship Id="rId54" Type="http://schemas.openxmlformats.org/officeDocument/2006/relationships/hyperlink" Target="https://www.monotaro.id/s011234999.html" TargetMode="External"/><Relationship Id="rId57" Type="http://schemas.openxmlformats.org/officeDocument/2006/relationships/hyperlink" Target="https://shopee.co.id/product/566750862/13033066823?gads_t_sig=VTJGc2RHVmtYMTlxTFVSVVRrdENkWVp3RFo3Mkw5czd4Z0hzdEF1WVFibGgrUmpiTWdoMHJJWjd4c2syNi8zaklya05yRnYzUmJpZWFBN3k2OXE1aGU1bzFVTzdVK2liMTJ2azBPeGZORm1ld3hJSFl0eFhqMGtTRmFIUFQ3YkU&amp;gad_source=1&amp;gclid=EAIaIQobChMIqcbNvuqUiQMVM6RmAh2B1xyXEAQYAiABEgJqp_D_BwE" TargetMode="External"/><Relationship Id="rId56" Type="http://schemas.openxmlformats.org/officeDocument/2006/relationships/hyperlink" Target="https://tokopedia.link/k8YszrwhLNb" TargetMode="External"/><Relationship Id="rId59" Type="http://schemas.openxmlformats.org/officeDocument/2006/relationships/hyperlink" Target="https://www.tokopedia.com/jasonleonardo/kabel-duct-65-x-65-abu-abu-lubang-pm?extParam=ivf%3Dfalse%26keyword%3Dkabel+duct+65+x+65&amp;src=topads" TargetMode="External"/><Relationship Id="rId58" Type="http://schemas.openxmlformats.org/officeDocument/2006/relationships/hyperlink" Target="https://www.tokopedia.com/rizqula-berkah/potongan-8471-belden-1pair-unshielded-audio-sound-contro-cable-16awg?extParam=ivf%3Dfalse%26keyword%3Dkabel+audio+shielded&amp;src=topads" TargetMode="External"/><Relationship Id="rId107" Type="http://schemas.openxmlformats.org/officeDocument/2006/relationships/hyperlink" Target="https://www.tokopedia.com/aaelec/pilot-lamp-led-22mm-ad22-22ds-ad2222ds-merah-hijau-kuning-fort?extParam=ivf%3Dfalse%26keyword%3Dpilot+lamp%26search_id%3D20250416082733D76E940B3684A30DBNOS%26src%3Dsearch" TargetMode="External"/><Relationship Id="rId228" Type="http://schemas.openxmlformats.org/officeDocument/2006/relationships/hyperlink" Target="https://www.tokopedia.com/electrical7/pilot-lamp-led-22m-merah-kuning-hijau-ad22-22ds-220v-fort-merah?extParam=ivf%3Dfalse%26keyword%3Dpilot+lamp+fort+220%26search_id%3D202507130948525737C6EC2E07162C2F2R%26src%3Dsearch&amp;t_id=1752399739361&amp;t_st=5&amp;t_pp=search_result&amp;t_efo=search_pure_goods_card&amp;t_ef=goods_search&amp;t_sm=&amp;t_spt=search_result" TargetMode="External"/><Relationship Id="rId349" Type="http://schemas.openxmlformats.org/officeDocument/2006/relationships/hyperlink" Target="https://shopee.co.id/TEKIRO-TANG-KOMBINASI-7-INCH-(N-R)-TANG-KOMBINASI-TOOLS-ALAT-PERKAKAS-i.73061699.1237545170?xptdk=ea01e3bf-f478-4cfe-8ff7-2c5f9955ba2c" TargetMode="External"/><Relationship Id="rId106" Type="http://schemas.openxmlformats.org/officeDocument/2006/relationships/hyperlink" Target="https://www.mkwheatingcontrols.co.uk/siemens-vxg443216c-32mm-kv16-p-2047.html" TargetMode="External"/><Relationship Id="rId227" Type="http://schemas.openxmlformats.org/officeDocument/2006/relationships/hyperlink" Target="https://www.tokopedia.com/electrical7/pilot-lamp-led-22m-merah-kuning-hijau-ad22-22ds-220v-fort-merah?extParam=ivf%3Dfalse%26keyword%3Dpilot+lamp+fort+220%26search_id%3D202507130948525737C6EC2E07162C2F2R%26src%3Dsearch&amp;t_id=1752399739361&amp;t_st=5&amp;t_pp=search_result&amp;t_efo=search_pure_goods_card&amp;t_ef=goods_search&amp;t_sm=&amp;t_spt=search_result" TargetMode="External"/><Relationship Id="rId348" Type="http://schemas.openxmlformats.org/officeDocument/2006/relationships/hyperlink" Target="https://shopee.co.id/TEKIRO-TANG-POTONG-6-INCH-(N-R)-TANG-POTONG-TOOLS-ALAT-PERKAKAS-i.73061699.6153970432?xptdk=73778dc6-c3b6-482f-8065-94da195c1548" TargetMode="External"/><Relationship Id="rId469" Type="http://schemas.openxmlformats.org/officeDocument/2006/relationships/hyperlink" Target="https://www.tokopedia.com/lengkapaja/mata-gerinda-potong-wd-cutting-4-inch-harga-per-dus-kotak?aff_unique_id=&amp;channel=others&amp;chain_key=" TargetMode="External"/><Relationship Id="rId105" Type="http://schemas.openxmlformats.org/officeDocument/2006/relationships/hyperlink" Target="https://drive.google.com/file/d/1zX71gXWLC2qaHB-gE-N3bKzJQi3egWDw/view?usp=drive_link" TargetMode="External"/><Relationship Id="rId226" Type="http://schemas.openxmlformats.org/officeDocument/2006/relationships/hyperlink" Target="https://www.tokopedia.com/visitek/cable-label-name-tag-identification-id-labeler-penamaan-kabel-wire-tipe-a-3010?extParam=ivf%3Dfalse%26keyword%3Dtagging+kabel%26search_id%3D20250711205253577BCC914F9E55120LKR%26src%3Dsearch&amp;t_id=1752266597747&amp;t_st=6&amp;t_pp=search_result&amp;t_efo=search_pure_goods_card&amp;t_ef=goods_search&amp;t_sm=&amp;t_spt=search_result" TargetMode="External"/><Relationship Id="rId347" Type="http://schemas.openxmlformats.org/officeDocument/2006/relationships/hyperlink" Target="https://shopee.co.id/TEKIRO-TANG-BUAYA-BENGKOK-10-INCH-TANG-BUAYA-TANG-JEPIT-TOOLS-ALAT-PERKAKAS-i.73061699.1237546636?xptdk=f32b04bf-7656-4a2b-a0d5-d3b3095fcde4" TargetMode="External"/><Relationship Id="rId468" Type="http://schemas.openxmlformats.org/officeDocument/2006/relationships/hyperlink" Target="https://www.tokopedia.com/hvac-indonesia/plastic-air-grille-exhaust-fan-round-diffuser-bulat-4-6-8-inch-plastik-hg-02-100-mm" TargetMode="External"/><Relationship Id="rId104" Type="http://schemas.openxmlformats.org/officeDocument/2006/relationships/hyperlink" Target="https://drive.google.com/file/d/172a7DJgYoSW-72fqeCHtdOcBDU0paDra/view?usp=drive_link" TargetMode="External"/><Relationship Id="rId225" Type="http://schemas.openxmlformats.org/officeDocument/2006/relationships/hyperlink" Target="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 TargetMode="External"/><Relationship Id="rId346" Type="http://schemas.openxmlformats.org/officeDocument/2006/relationships/hyperlink" Target="https://shopee.co.id/Krisbow-Screwdriver-Obeng-Plus-Minus-8-Pcs-Kuning-Lrsst8-i.182588931.3878356755?extraParams=%7B%22display_model_id%22%3A63572325641%7D" TargetMode="External"/><Relationship Id="rId467" Type="http://schemas.openxmlformats.org/officeDocument/2006/relationships/hyperlink" Target="https://shopee.co.id/product/299925060/28105168306?gads_t_sig=gqRjZGVrxHCFomtpsTE0MjUxOnRzc19zZGtfa2V5omt20QABpGFsZ2_SAAAAZKNkZWvAomN0xEAAAAAMfaLqlfFS4JwQPCoOJZHE2YMfq1tWF61pnIIHqGuyOlpkjBotHu7Xpb0YRK1tULWVZdcpI_r9hw6jgE9CqmNpcGhlcnRleHTEcQAAAAyqMUWUEbBUWJ7cgWQSjUnuo2ulZ2QKvWieGxMWNcUkghvd_wGlbDvNwGsui7cfwRvlYQMt5k9Va-zOIBp9yDRIZdU4o3y70G5jDZqptLQycf8M6NVrlabDPiX9z5fhIJQACMJLHTEzzuh-r-YI&amp;gad_source=1&amp;gad_campaignid=23290582497&amp;gbraid=0AAAAADPpU82jbzPMtihPNavUdnJYjsjnR&amp;gclid=CjwKCAjw0dPRBhAPEiwAE5vTTgTQcHWoXZLHkkw_MmatHu9Ytu1Yc9URg88BxZCj0hfyaJaNYgPFNBoCmzMQAvD_BwE" TargetMode="External"/><Relationship Id="rId109" Type="http://schemas.openxmlformats.org/officeDocument/2006/relationships/hyperlink" Target="https://drive.google.com/file/d/1pyoXgrmIyQzxMU7kl8iv74J_bwXThuF5/view?usp=drive_link" TargetMode="External"/><Relationship Id="rId108" Type="http://schemas.openxmlformats.org/officeDocument/2006/relationships/hyperlink" Target="https://www.tokopedia.com/jejakjajanan/y-strainer-1-2-inch-kitz-kuningan-asli-kitz-drat-class-150" TargetMode="External"/><Relationship Id="rId229" Type="http://schemas.openxmlformats.org/officeDocument/2006/relationships/hyperlink" Target="https://www.tokopedia.com/kedaielect/idec-selector-switch-3posisi-22mm-yw1s-3e20?extParam=ivf%3Dfalse%26keyword%3Dselector+switch+3+posisi+22+mm+idec%26search_id%3D2025071309512563923F49E524130BE7D6%26src%3Dsearch&amp;t_id=1752399739361&amp;t_st=7&amp;t_pp=search_result&amp;t_efo=search_pure_goods_card&amp;t_ef=goods_search&amp;t_sm=&amp;t_spt=search_result" TargetMode="External"/><Relationship Id="rId220" Type="http://schemas.openxmlformats.org/officeDocument/2006/relationships/hyperlink" Target="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 TargetMode="External"/><Relationship Id="rId341" Type="http://schemas.openxmlformats.org/officeDocument/2006/relationships/hyperlink" Target="https://drive.google.com/drive/folders/13YkPIvi0AFW5vg6bJ7XU1h2I-czKTUGE?usp=drive_link" TargetMode="External"/><Relationship Id="rId462" Type="http://schemas.openxmlformats.org/officeDocument/2006/relationships/hyperlink" Target="https://www.tokopedia.com/sinarlautmandiri/snapring-type-e-snap-ring-type-e-4?extParam=ivf%3Dfalse%26keyword%3Dsnap+ring+e4%26search_id%3D20260609031813D296C101DAA88A2625LY%26src%3Dsearch&amp;t_id=1780975123765&amp;t_st=5&amp;t_pp=search_result&amp;t_efo=search_pure_goods_card&amp;t_ef=goods_search&amp;t_sm=&amp;t_spt=search_result" TargetMode="External"/><Relationship Id="rId340" Type="http://schemas.openxmlformats.org/officeDocument/2006/relationships/hyperlink" Target="https://drive.google.com/file/d/1qSip2j0jetKJrTvoeclb-Wu_0lMvjKsK/view?usp=drive_link" TargetMode="External"/><Relationship Id="rId461" Type="http://schemas.openxmlformats.org/officeDocument/2006/relationships/hyperlink" Target="https://shopee.co.id/DOP-PIPA-TUTUP-DALAM-1-2-3-INCHI-TUTUP-PIPA-ORNAMEN-STAINLESS-STAINLESS-201-i.329038744.9434764723?extraParams=%7B%22display_model_id%22%3A410425438611%2C%22model_selection_logic%22%3A2%7D&amp;sp_atk=82f9a3da-bd49-41b4-98d6-646ef63139b4&amp;xptdk=82f9a3da-bd49-41b4-98d6-646ef63139b4" TargetMode="External"/><Relationship Id="rId460" Type="http://schemas.openxmlformats.org/officeDocument/2006/relationships/hyperlink" Target="https://www.tokopedia.com/louloustore/tongkat-pengganti-lampu-panjang-2-meter-downlight-downlights-2-m-2m-lampu-bohlam-led-pijar-stick-1731620172457018942?extParam=ivf%3Dfalse%26keyword%3Dganti+lampu%26search_id%3D202606072033439DE6D14FFF98062F4U1L%26src%3Dsearch&amp;t_id=1780864432590&amp;t_st=1&amp;t_pp=search_result&amp;t_efo=search_pure_goods_card&amp;t_ef=goods_search&amp;t_sm=&amp;t_spt=search_result" TargetMode="External"/><Relationship Id="rId103" Type="http://schemas.openxmlformats.org/officeDocument/2006/relationships/hyperlink" Target="https://drive.google.com/file/d/1kgbqBlC2uJ08Hd4uLrwk1ZDOLyU-aMya/view?usp=drive_link" TargetMode="External"/><Relationship Id="rId224" Type="http://schemas.openxmlformats.org/officeDocument/2006/relationships/hyperlink" Target="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 TargetMode="External"/><Relationship Id="rId345" Type="http://schemas.openxmlformats.org/officeDocument/2006/relationships/hyperlink" Target="https://shopee.co.id/TEKIRO-SET-KUNCI-L-TORX-DENGAN-LUBANG-9-PCS-KUNCI-L-BINTANG-SET-LUBANG-TOOLS-ALAT-PERKAKAS-i.73061699.9726689915?extraParams=%7B%22display_model_id%22%3A74192270566%2C%22model_selection_logic%22%3A3%7D&amp;sp_atk=9cc6eb24-0b20-41d6-a48d-88e2722da858&amp;xptdk=9cc6eb24-0b20-41d6-a48d-88e2722da858" TargetMode="External"/><Relationship Id="rId466" Type="http://schemas.openxmlformats.org/officeDocument/2006/relationships/hyperlink" Target="https://shopee.co.id/product/298341482/7453844976?gads_t_sig=gqRjZGVrxHCFomtpsTE0MjUxOnRzc19zZGtfa2V5omt20QABpGFsZ2_SAAAAZKNkZWvAomN0xEAAAAAMfaLqlfFS4JwQPCoOJZHE2YMfq1tWF61pnIIHqGuyOlpkjBotHu7Xpb0YRK1tULWVZdcpI_r9hw6jgE9CqmNpcGhlcnRleHTEbwAAAAxec2J5tsaSY0spDEzg-OpHcdN3SkSQuYRBMMBkVPZVrbxorz-tNtEVeHdW5wMom76ptwZ7CqN5X3zFIl5hvXdLIcGIrL4m7v3h1HKPCOormIgCS0SIaiz9YD7FYUlPN8JdAJFnslegcMZ79Q&amp;gad_source=1&amp;gad_campaignid=23199775580&amp;gbraid=0AAAAADPpU82zfCXJsEupNYlwCfbjtXZsK&amp;gclid=Cj0KCQjwrs7RBhDuARIsAIVfBD38oMoZuJHpbuNto4zbEUIqagj030ZAae8PE32BbWG_L6KV74mtdEAaAoJvEALw_wcB" TargetMode="External"/><Relationship Id="rId102" Type="http://schemas.openxmlformats.org/officeDocument/2006/relationships/hyperlink" Target="https://www.tokopedia.com/reaim-indonesia/reaim-tangga-lipat-aluminium-besi-6-8-step-holder-household-ladder-serbaguna-murah-besi-rak-kasar-dan-tahan-lama-untuk-keperluan-rumah-dan-industri-1730232197126588123?utm_source=salinlink&amp;utm_medium=share&amp;utm_campaign=pdp-uamli9ogqc6y-100023713036--10000" TargetMode="External"/><Relationship Id="rId223" Type="http://schemas.openxmlformats.org/officeDocument/2006/relationships/hyperlink" Target="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 TargetMode="External"/><Relationship Id="rId344" Type="http://schemas.openxmlformats.org/officeDocument/2006/relationships/hyperlink" Target="https://shopee.co.id/Paku-Rivet-SIP-Brand-No-435-440-450-540-550-isi-1000-pcs-No-635-650-665-675-isi-500-pcs-i.258990646.25891744617?xptdk=ac2b6cea-64fe-4dc4-a699-7b5d32d682c9" TargetMode="External"/><Relationship Id="rId465" Type="http://schemas.openxmlformats.org/officeDocument/2006/relationships/hyperlink" Target="https://shop.murrelektronik.com/en/Electronics-in-the-Control-Cabinet/Intelligent-Power-Distribution/Modules/MICO-electronic-circuit-protection-2-CHANNELS-9000-41042-0401000.html" TargetMode="External"/><Relationship Id="rId101" Type="http://schemas.openxmlformats.org/officeDocument/2006/relationships/hyperlink" Target="https://drive.google.com/file/d/1h-xgAxAhBWxdF7CUqP9Kd2QIpSqOxRci/view?usp=sharing" TargetMode="External"/><Relationship Id="rId222" Type="http://schemas.openxmlformats.org/officeDocument/2006/relationships/hyperlink" Target="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 TargetMode="External"/><Relationship Id="rId343" Type="http://schemas.openxmlformats.org/officeDocument/2006/relationships/hyperlink" Target="https://shopee.co.id/Paku-Rivet-SIP-Brand-No-435-440-450-540-550-isi-1000-pcs-No-635-650-665-675-isi-500-pcs-i.258990646.25891744617?xptdk=ac2b6cea-64fe-4dc4-a699-7b5d32d682c9" TargetMode="External"/><Relationship Id="rId464" Type="http://schemas.openxmlformats.org/officeDocument/2006/relationships/hyperlink" Target="https://www.tokopedia.com/electrindofast/panasonic-br2032-3volt-original-1731279756595004907?extParam=ivf%3Dfalse%26keyword%3Dpanasonic+br.2330+3volt+%26search_id%3D2026060909272534ED066DF378EF3ABU2V%26src%3Dsearch&amp;t_id=1780997250566&amp;t_st=4&amp;t_pp=search_result&amp;t_efo=search_pure_goods_card&amp;t_ef=goods_search&amp;t_sm=&amp;t_spt=search_result" TargetMode="External"/><Relationship Id="rId100" Type="http://schemas.openxmlformats.org/officeDocument/2006/relationships/hyperlink" Target="https://drive.google.com/file/d/1h-xgAxAhBWxdF7CUqP9Kd2QIpSqOxRci/view?usp=sharing" TargetMode="External"/><Relationship Id="rId221" Type="http://schemas.openxmlformats.org/officeDocument/2006/relationships/hyperlink" Target="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 TargetMode="External"/><Relationship Id="rId342" Type="http://schemas.openxmlformats.org/officeDocument/2006/relationships/hyperlink" Target="https://southco.com/en_any_int/h3-60-421-050" TargetMode="External"/><Relationship Id="rId463" Type="http://schemas.openxmlformats.org/officeDocument/2006/relationships/hyperlink" Target="https://fortindo.id/product/fuse-kubur-fs-101-1-pole-10-ampere-merk-fort/" TargetMode="External"/><Relationship Id="rId217" Type="http://schemas.openxmlformats.org/officeDocument/2006/relationships/hyperlink" Target="https://www.tokopedia.com/toko-mik/terminal-blok-block-tbr-tbr-10-tbr-20-tbr-30-tbr-45-tbr-60-din-rail-end-plate-tbr20?extParam=ivf%3Dfalse%26keyword%3Dterminal+tbr20%26search_id%3D2025071120445994F6D7E04A4D4512ENQS%26src%3Dsearch&amp;t_id=1752266597747&amp;t_st=2&amp;t_pp=search_result&amp;t_efo=search_pure_goods_card&amp;t_ef=goods_search&amp;t_sm=&amp;t_spt=search_result" TargetMode="External"/><Relationship Id="rId338" Type="http://schemas.openxmlformats.org/officeDocument/2006/relationships/hyperlink" Target="https://drive.google.com/drive/folders/1R5D6E0xCYQ3hTRBeNH6nkAXT0hPd-1u4?usp=sharing" TargetMode="External"/><Relationship Id="rId459" Type="http://schemas.openxmlformats.org/officeDocument/2006/relationships/hyperlink" Target="https://drive.google.com/file/d/1brIX0ArNhYAOJeEHqdfR2-328M_jU1Vh/view?usp=drive_link" TargetMode="External"/><Relationship Id="rId216" Type="http://schemas.openxmlformats.org/officeDocument/2006/relationships/hyperlink" Target="https://www.tokopedia.com/toko-mik/terminal-blok-block-tbr-tbr-10-tbr-20-tbr-30-tbr-45-tbr-60-din-rail-terminal-tbr-20?extParam=ivf%3Dfalse%26keyword%3Dterminal+tbr20%26search_id%3D2025071120445994F6D7E04A4D4512ENQS%26src%3Dsearch&amp;t_id=1752266597747&amp;t_st=2&amp;t_pp=search_result&amp;t_efo=search_pure_goods_card&amp;t_ef=goods_search&amp;t_sm=&amp;t_spt=search_result" TargetMode="External"/><Relationship Id="rId337" Type="http://schemas.openxmlformats.org/officeDocument/2006/relationships/hyperlink" Target="https://www.tokopedia.com/fluke/fluke-tc01b-isee-mobile-thermal-camera-kamera-termal-mobile-cctv-wifi-1731259834351715946?extParam=ivf%3Dfalse%26keyword%3Dkamera+thermograph+fluke%26search_id%3D202512182328235B8ADD2A5D98B13D11WC%26src%3Dsearch&amp;t_id=1766099190886&amp;t_st=14&amp;t_pp=search_result&amp;t_efo=search_pure_goods_card&amp;t_ef=goods_search&amp;t_sm=&amp;t_spt=search_result" TargetMode="External"/><Relationship Id="rId458" Type="http://schemas.openxmlformats.org/officeDocument/2006/relationships/hyperlink" Target="https://www.tokopedia.com/oringjaya/o-ring-g-300-5-7-x-299-3-x-310-7-mm-nbr-shore-70-merk-nok-1735361336094459163?extParam=ivf%3Dfalse%26keyword%3Do+ring+diameter+30cm%26search_id%3D20260526025648320722549D1751085FKN%26src%3Dsearch&amp;t_id=1779764347613&amp;t_st=1&amp;t_pp=search_result&amp;t_efo=search_pure_goods_card&amp;t_ef=goods_search&amp;t_sm=&amp;t_spt=search_result" TargetMode="External"/><Relationship Id="rId215" Type="http://schemas.openxmlformats.org/officeDocument/2006/relationships/hyperlink" Target="https://www.tokopedia.com/mip77/garansi-ori-lrd06-lrd07-lrd08-lrd10-lrd12-lrd14-lrd16-lrd21-lrd22-lrd32-lrd35-thermal-overload-relay-schneider-lrd-06-lrd-07-lrd-08-lrd-10-lrd-12-lrd-14-lrd-16-lrd-21-lrd-22-lrd-32-lrd-35-tor-original-1731460891183712209?extParam=ivf%3Dfalse%26keyword%3Dlrd08%26search_id%3D202507131013505737C6EC2E071600FJN7%26src%3Dsearch&amp;t_id=1752399739361&amp;t_st=36&amp;t_pp=search_result&amp;t_efo=search_pure_goods_card&amp;t_ef=goods_search&amp;t_sm=&amp;t_spt=search_result" TargetMode="External"/><Relationship Id="rId336" Type="http://schemas.openxmlformats.org/officeDocument/2006/relationships/hyperlink" Target="https://www.tokopedia.com/habotest-store-id/diskon-50-habotest-ht106d-socket-tester-pro-voltage-test-digital-outlet-socket-detect-eu-plug-ground-zero-line-plug-polarity-phase-check-1729731898346013952?utm_source=whatsapp&amp;utm_medium=share&amp;utm_campaign=pdp-8ewhhik467s5-100094952832--10000" TargetMode="External"/><Relationship Id="rId457" Type="http://schemas.openxmlformats.org/officeDocument/2006/relationships/hyperlink" Target="https://www.tokopedia.com/bansbachofficial/gas-spring-bansbach-d0m0-83-250-760-750n-1735758326594766499" TargetMode="External"/><Relationship Id="rId214" Type="http://schemas.openxmlformats.org/officeDocument/2006/relationships/hyperlink" Target="https://www.tokopedia.com/zonapanel/kontaktor-contactor-schneider-lc1d12m7-lc1d12-d12-220v-new-original?extParam=ivf%3Dfalse%26keyword%3Dlc1d12m7%26search_id%3D2025071310202537BC2F75BF1BCF363NUX%26src%3Dsearch&amp;t_id=1752399739361&amp;t_st=37&amp;t_pp=search_result&amp;t_efo=search_pure_goods_card&amp;t_ef=goods_search&amp;t_sm=&amp;t_spt=search_result" TargetMode="External"/><Relationship Id="rId335" Type="http://schemas.openxmlformats.org/officeDocument/2006/relationships/hyperlink" Target="https://www.tokopedia.com/pyendiro/noyafa-automatic-circuit-breaker-finder-nf-827s-fuse-socket-tester-us-120v-circuit-switch-finder-electrician-diagnostic-tool-1731417965998868184?extParam=ivf%3Dfalse%26keyword%3Dmcb+finder%26search_id%3D20251218231516432ACA3A1E345E05EY36%26src%3Dsearch&amp;t_id=1766099190886&amp;t_st=10&amp;t_pp=search_result&amp;t_efo=search_pure_goods_card&amp;t_ef=goods_search&amp;t_sm=&amp;t_spt=search_result" TargetMode="External"/><Relationship Id="rId456" Type="http://schemas.openxmlformats.org/officeDocument/2006/relationships/hyperlink" Target="https://www.tokopedia.com/tokofitting/pneumatic-push-in-8mm-x-1-2-festo-qs-1-2-8?extParam=ivf%3Dfalse%26keyword%3Dqs+1%2F2+8%26search_id%3D2026052102331534ED066DF378EF25ADKN%26src%3Dsearch" TargetMode="External"/><Relationship Id="rId219" Type="http://schemas.openxmlformats.org/officeDocument/2006/relationships/hyperlink" Target="https://www.tokopedia.com/toko-mik/terminal-blok-block-tbr-tbr-10-tbr-20-tbr-30-tbr-45-tbr-60-din-rail-rel-tbr-silver-a871f?extParam=ivf%3Dfalse%26keyword%3Dterminal+tbr20%26search_id%3D2025071120445994F6D7E04A4D4512ENQS%26src%3Dsearch&amp;t_id=1752266597747&amp;t_st=2&amp;t_pp=search_result&amp;t_efo=search_pure_goods_card&amp;t_ef=goods_search&amp;t_sm=&amp;t_spt=search_result" TargetMode="External"/><Relationship Id="rId218" Type="http://schemas.openxmlformats.org/officeDocument/2006/relationships/hyperlink" Target="https://www.tokopedia.com/toko-mik/terminal-blok-block-tbr-tbr-10-tbr-20-tbr-30-tbr-45-tbr-60-din-rail-end-plate-tbr20?extParam=ivf%3Dfalse%26keyword%3Dterminal+tbr20%26search_id%3D2025071120445994F6D7E04A4D4512ENQS%26src%3Dsearch&amp;t_id=1752266597747&amp;t_st=2&amp;t_pp=search_result&amp;t_efo=search_pure_goods_card&amp;t_ef=goods_search&amp;t_sm=&amp;t_spt=search_result" TargetMode="External"/><Relationship Id="rId339" Type="http://schemas.openxmlformats.org/officeDocument/2006/relationships/hyperlink" Target="https://drive.google.com/file/d/1qSip2j0jetKJrTvoeclb-Wu_0lMvjKsK/view?usp=drive_link" TargetMode="External"/><Relationship Id="rId330" Type="http://schemas.openxmlformats.org/officeDocument/2006/relationships/hyperlink" Target="https://www.tokopedia.com/tojilasman/5a-nol-b-travo-trafo-inverter-step-up-down-carger-cash-charger-aki-accu-5a-murni-besar-original-kurae-100-tembaga-cu-1729847549261284609?extParam=ivf%3Dfalse%26keyword%3Dtravo+step+down%26search_id%3D20251204141134B3967A0E938DC21506AH%26src%3Dsearch" TargetMode="External"/><Relationship Id="rId451" Type="http://schemas.openxmlformats.org/officeDocument/2006/relationships/hyperlink" Target="https://store.fedegari.com/product/level-probe-assembly-for-generator/01t0O00000EwcybQAB" TargetMode="External"/><Relationship Id="rId450" Type="http://schemas.openxmlformats.org/officeDocument/2006/relationships/hyperlink" Target="https://id.shp.ee/89Wj6fm3" TargetMode="External"/><Relationship Id="rId213" Type="http://schemas.openxmlformats.org/officeDocument/2006/relationships/hyperlink" Target="https://www.tokopedia.com/schneiderel/schneider-electric-new-domae-mcb-4a-1p-domf01104-1731413767356909460?extParam=ivf%3Dfalse%26keyword%3Dmcb+1p+4a%26search_id%3D20250713101039AD13A2A07CA4B7088WIS%26src%3Dsearch&amp;t_id=1752399739361&amp;t_st=29&amp;t_pp=search_result&amp;t_efo=search_pure_goods_card&amp;t_ef=goods_search&amp;t_sm=&amp;t_spt=search_result" TargetMode="External"/><Relationship Id="rId334" Type="http://schemas.openxmlformats.org/officeDocument/2006/relationships/hyperlink" Target="https://www.tokopedia.com/centraltechnicofficial/kipas-portable-ventilator-blower-18-inch-plus-flexible-duct-10-meter?extParam=ivf%3Dfalse%26keyword%3Dventilator+portable%26search_id%3D202512182307048D3BBA7425E7C93C16GQ%26src%3Dsearch&amp;t_id=1766099190886&amp;t_st=2&amp;t_pp=search_result&amp;t_efo=search_pure_goods_card&amp;t_ef=goods_search&amp;t_sm=&amp;t_spt=search_result" TargetMode="External"/><Relationship Id="rId455" Type="http://schemas.openxmlformats.org/officeDocument/2006/relationships/hyperlink" Target="https://drive.google.com/file/d/1ONkOawShG42cFsxr2cPLzVSzGJ1tF4vr/view?usp=drive_link" TargetMode="External"/><Relationship Id="rId212" Type="http://schemas.openxmlformats.org/officeDocument/2006/relationships/hyperlink" Target="https://www.tokopedia.com/schneiderel/schneider-electric-new-domae-mcb-6a-1p-domf01106-1731414053356537748?extParam=ivf%3Dfalse%26keyword%3Dmcb+1p+6a%26search_id%3D2025071310101637BC2F75BF1BCF25DNC6%26src%3Dsearch&amp;t_id=1752399739361&amp;t_st=28&amp;t_pp=search_result&amp;t_efo=search_pure_goods_card&amp;t_ef=goods_search&amp;t_sm=&amp;t_spt=search_result" TargetMode="External"/><Relationship Id="rId333" Type="http://schemas.openxmlformats.org/officeDocument/2006/relationships/hyperlink" Target="https://drive.google.com/drive/folders/1A8-gVEjIpkZjnnwnsdSh3Nem54SXtuLb?usp=drive_link" TargetMode="External"/><Relationship Id="rId454" Type="http://schemas.openxmlformats.org/officeDocument/2006/relationships/hyperlink" Target="https://tk.tokopedia.com/ZS9tbfdcp/" TargetMode="External"/><Relationship Id="rId211" Type="http://schemas.openxmlformats.org/officeDocument/2006/relationships/hyperlink" Target="https://www.tokopedia.com/schneiderel/schneider-electric-new-domae-mcb-10a-1p-domf01110-1731415435940104084?extParam=ivf%3Dfalse%26keyword%3Dmcb+1p+10a%26search_id%3D2025071310094837BC2F75BF1BCF0EFIT7%26src%3Dsearch&amp;t_id=1752399739361&amp;t_st=27&amp;t_pp=search_result&amp;t_efo=search_pure_goods_card&amp;t_ef=goods_search&amp;t_sm=&amp;t_spt=search_result" TargetMode="External"/><Relationship Id="rId332" Type="http://schemas.openxmlformats.org/officeDocument/2006/relationships/hyperlink" Target="https://drive.google.com/drive/folders/1A8-gVEjIpkZjnnwnsdSh3Nem54SXtuLb?usp=drive_link" TargetMode="External"/><Relationship Id="rId453" Type="http://schemas.openxmlformats.org/officeDocument/2006/relationships/hyperlink" Target="https://tk.tokopedia.com/ZS9tVnK5V/" TargetMode="External"/><Relationship Id="rId210" Type="http://schemas.openxmlformats.org/officeDocument/2006/relationships/hyperlink" Target="https://www.tokopedia.com/schneiderel/schneider-electric-domae-mcb-3p-c-6a-6000a-1731730944094603156?extParam=ivf%3Dfalse%26keyword%3Dmcb+3p+6a%26search_id%3D2025071310085734ED066DF378EF33ELVF%26src%3Dsearch&amp;t_id=1752399739361&amp;t_st=26&amp;t_pp=search_result&amp;t_efo=search_pure_goods_card&amp;t_ef=goods_search&amp;t_sm=&amp;t_spt=search_result" TargetMode="External"/><Relationship Id="rId331" Type="http://schemas.openxmlformats.org/officeDocument/2006/relationships/hyperlink" Target="https://www.tokopedia.com/grosirlegend/fan-motor-kulkas-polytron-f61-10?aff_unique_id=&amp;channel=others&amp;chain_key=" TargetMode="External"/><Relationship Id="rId452" Type="http://schemas.openxmlformats.org/officeDocument/2006/relationships/hyperlink" Target="https://tk.tokopedia.com/ZS9tVPjjt/" TargetMode="External"/><Relationship Id="rId370" Type="http://schemas.openxmlformats.org/officeDocument/2006/relationships/hyperlink" Target="https://www.tokopedia.com/udmajubersamaaki/aki-mobil-n-100-95e41r-gs-gold-shine-aki-kering-n100-genset-excavator?extParam=ivf%3Dfalse%26keyword%3D95e41r%26search_id%3D202601220440527A614FD06C32542A25AY%26src%3Dsearch&amp;t_id=1769056452383&amp;t_st=5&amp;t_pp=search_result&amp;t_efo=search_pure_goods_card&amp;t_ef=goods_search&amp;t_sm=&amp;t_spt=search_result" TargetMode="External"/><Relationship Id="rId491" Type="http://schemas.openxmlformats.org/officeDocument/2006/relationships/hyperlink" Target="https://www.blibli.com/p/ram-pc-samsung-ddr5-16gb-pc-38400-4800-mhz-longdimm-memory-pc5-1-1v/is--DAY-70061-00411-00001?pickupPointCode=PP-3493272" TargetMode="External"/><Relationship Id="rId490" Type="http://schemas.openxmlformats.org/officeDocument/2006/relationships/hyperlink" Target="https://www.tokopedia.com/archive-mfpteknik-1631/zckj1h29-limit-switch-telemecanique-new?t_id=1782171122044&amp;t_st=6&amp;t_pp=cart&amp;t_efo=cart&amp;t_ef=&amp;t_sm=&amp;t_spt=cart" TargetMode="External"/><Relationship Id="rId129" Type="http://schemas.openxmlformats.org/officeDocument/2006/relationships/hyperlink" Target="https://www.monotaro.id/items/s013197759.html?utm_source=google&amp;utm_medium=pla&amp;utm_campaign=1672206402&amp;utm_content=88187085595&amp;utm_term=readystock_cat_group_2_pricebrand_group_1&amp;gad_source=1&amp;gad_campaignid=1672206402&amp;gbraid=0AAAAADJU9-_4YL-FoRX2sApOYXQXIHx7a&amp;gclid=CjwKCAjw24vBBhABEiwANFG7yyMHCffHKkXN0NCT2ptIDKAgsaA9RhZxfpTwKt3Zib8l3aweHWGfbBoCARQQAvD_BwE" TargetMode="External"/><Relationship Id="rId128" Type="http://schemas.openxmlformats.org/officeDocument/2006/relationships/hyperlink" Target="https://www.tokopedia.com/harikokimia/paint-remover-penghilang-cat-mobil-perontok-cat-kemasan-20kg?utm_source=salinlink&amp;utm_medium=share&amp;utm_campaign=pdp-e8sc3ynissrh-15004203283-0" TargetMode="External"/><Relationship Id="rId249" Type="http://schemas.openxmlformats.org/officeDocument/2006/relationships/hyperlink" Target="https://www.tokopedia.com/suryatamapart/elbow-tembaga-1-4-sampai-2-1-8-sambungan-ac-keni-tembaga-1?aff_unique_id=&amp;channel=others&amp;chain_key=" TargetMode="External"/><Relationship Id="rId127" Type="http://schemas.openxmlformats.org/officeDocument/2006/relationships/hyperlink" Target="https://www.tokopedia.com/jb89/kunci-camlock-20-25-30-mm-merk-huben-kunci-laci-lemari-loker-kayu-besi-2-2-5-3-cm-kunci-kabinet-kotak-box-panel-listrik-kait-gait-cantol-tipe-hl-103-20-mm-c40e4?extParam=ivf%3Dfalse%26keyword%3Dhuben+kunci+panel+20+mm%26search_id%3D20250507152508557646733D0C6C367WYO%26src%3Dsearch&amp;t_id=1746631514348&amp;t_st=1&amp;t_pp=search_result&amp;t_efo=search_pure_goods_card&amp;t_ef=goods_search&amp;t_sm=&amp;t_spt=search_result" TargetMode="External"/><Relationship Id="rId248" Type="http://schemas.openxmlformats.org/officeDocument/2006/relationships/hyperlink" Target="https://www.tokopedia.com/suryatamapart/elbow-tembaga-1-4-sampai-2-1-8-sambungan-ac-keni-tembaga-1?aff_unique_id=&amp;channel=others&amp;chain_key=" TargetMode="External"/><Relationship Id="rId369" Type="http://schemas.openxmlformats.org/officeDocument/2006/relationships/hyperlink" Target="https://www.ebay.com/itm/224340714321" TargetMode="External"/><Relationship Id="rId126" Type="http://schemas.openxmlformats.org/officeDocument/2006/relationships/hyperlink" Target="https://www.tokopedia.com/verticalglobal/chlorine-test-kit-merck-1-14978-0001-600-test" TargetMode="External"/><Relationship Id="rId247" Type="http://schemas.openxmlformats.org/officeDocument/2006/relationships/hyperlink" Target="https://www.tokopedia.com/suryatamapart/elbow-tembaga-1-4-sampai-2-1-8-sambungan-ac-keni-tembaga-1?aff_unique_id=&amp;channel=others&amp;chain_key=" TargetMode="External"/><Relationship Id="rId368" Type="http://schemas.openxmlformats.org/officeDocument/2006/relationships/hyperlink" Target="https://www.tokopedia.com/led-lighting-store/philips-tforce-true-force-essential-led-25-w-25-w-25-watt-e27-6500-k?extParam=ivf%3Dfalse%26keyword%3Dlampu+led+philip+25+watt%26search_id%3D20260108065631320722549D17512858C2%26src%3Dsearch" TargetMode="External"/><Relationship Id="rId489" Type="http://schemas.openxmlformats.org/officeDocument/2006/relationships/hyperlink" Target="https://www.tokopedia.com/harmonielectric/schneider-electric-s-classic-saklar-lampu-3-gang-1w-e33-1-2ar-we-g3?extParam=ivf%3Dfalse%26keyword%3Dsaklar+schneider+3+gang%26search_id%3D20260622140706371BCE7DC8381719EOWW%26src%3Dsearch&amp;t_id=1782137231036&amp;t_st=1&amp;t_pp=search_result&amp;t_efo=search_pure_goods_card&amp;t_ef=goods_search&amp;t_sm=&amp;t_spt=search_result" TargetMode="External"/><Relationship Id="rId121" Type="http://schemas.openxmlformats.org/officeDocument/2006/relationships/hyperlink" Target="https://www.tokopedia.com/rekomendasi/485993699" TargetMode="External"/><Relationship Id="rId242" Type="http://schemas.openxmlformats.org/officeDocument/2006/relationships/hyperlink" Target="https://www.tokopedia.com/budgetgadget/lis-strip-pintu-seal-peredam-suara-door-noise-insulation-sealing-tape-6m-sd6-1731250268850063286?extParam=ivf%3Dfalse%26keyword%3Dseal+pintu%26search_id%3D2025082516442182CEC96096D42815D8DO%26src%3Dsearch&amp;t_id=1756140269020&amp;t_st=2&amp;t_pp=search_result&amp;t_efo=search_pure_goods_card&amp;t_ef=goods_search&amp;t_sm=&amp;t_spt=search_result" TargetMode="External"/><Relationship Id="rId363" Type="http://schemas.openxmlformats.org/officeDocument/2006/relationships/hyperlink" Target="https://www.tokopedia.com/cemerlangintijaya/pressure-reducing-valve-spirax-sarco-25p-pn16-dn50-prv-spirax-sarco-25p-2-inch?utm_source=google&amp;utm_medium=organic&amp;utm_campaign=pdp" TargetMode="External"/><Relationship Id="rId484" Type="http://schemas.openxmlformats.org/officeDocument/2006/relationships/hyperlink" Target="https://www.tokopedia.com/heningelectric/flexibel-20mm-merk-boss-per-1-meter?extParam=ivf%3Dfalse%26keyword%3Dflexible+hose+boss%26search_id%3D20260622102151C042F4DB68F2340ECRZL%26src%3Dsearch&amp;t_id=1782123716027&amp;t_st=1&amp;t_pp=search_result&amp;t_efo=search_pure_goods_card&amp;t_ef=goods_search&amp;t_sm=&amp;t_spt=search_result" TargetMode="External"/><Relationship Id="rId120" Type="http://schemas.openxmlformats.org/officeDocument/2006/relationships/hyperlink" Target="https://drive.google.com/file/d/1aHdQP5TGXIj0ZCcAUYbhgnZ6TqbZRjqb/view?usp=drive_link" TargetMode="External"/><Relationship Id="rId241" Type="http://schemas.openxmlformats.org/officeDocument/2006/relationships/hyperlink" Target="https://www.dekkson.com/product/detail/1277/categorys//slug/flush-bolt-fb-sq-501-370mm" TargetMode="External"/><Relationship Id="rId362" Type="http://schemas.openxmlformats.org/officeDocument/2006/relationships/hyperlink" Target="https://drive.google.com/drive/folders/1WFva2OWKG2hBAFPmJ7tgDIRpESf_EYtL?usp=drive_link" TargetMode="External"/><Relationship Id="rId483" Type="http://schemas.openxmlformats.org/officeDocument/2006/relationships/hyperlink" Target="https://www.tokopedia.com/suryaadil/t-dus-boss-cabang-3-conduit-sudah-termasuk-tutup-dan-baut?extParam=ivf%3Dfalse%26keyword%3Dt+dus+boss%26search_id%3D202606221021083DD48AB31D016F08AJJW%26src%3Dsearch&amp;t_id=1782123673219&amp;t_st=1&amp;t_pp=search_result&amp;t_efo=search_pure_goods_card&amp;t_ef=goods_search&amp;t_sm=&amp;t_spt=search_result" TargetMode="External"/><Relationship Id="rId240" Type="http://schemas.openxmlformats.org/officeDocument/2006/relationships/hyperlink" Target="https://www.sika.net/en/series/bourdon-tube-pressure-gauges-with-casing-filling-marine-version-mrem/" TargetMode="External"/><Relationship Id="rId361" Type="http://schemas.openxmlformats.org/officeDocument/2006/relationships/hyperlink" Target="https://drive.google.com/drive/folders/1WFva2OWKG2hBAFPmJ7tgDIRpESf_EYtL?usp=drive_link" TargetMode="External"/><Relationship Id="rId482" Type="http://schemas.openxmlformats.org/officeDocument/2006/relationships/hyperlink" Target="https://www.tokopedia.com/data-electric/boss-pipa-conduit-20-mm-2-9-m-putih-pvc-high-impact-standar-iec-61386-21-2002-melindungi-instalasi-kabel-listrik-dari-kerusakan-mekanis-1732469901559497880?extParam=ivf%3Dfalse%26keyword%3Dconduit+boss%26search_id%3D202606221019454F6FFE13A5D75B3A8V5H%26src%3Dsearch&amp;t_id=1782123611989&amp;t_st=1&amp;t_pp=search_result&amp;t_efo=search_pure_goods_card&amp;t_ef=goods_search&amp;t_sm=&amp;t_spt=search_result" TargetMode="External"/><Relationship Id="rId360" Type="http://schemas.openxmlformats.org/officeDocument/2006/relationships/hyperlink" Target="https://drive.google.com/drive/folders/1WFva2OWKG2hBAFPmJ7tgDIRpESf_EYtL?usp=drive_link" TargetMode="External"/><Relationship Id="rId481" Type="http://schemas.openxmlformats.org/officeDocument/2006/relationships/hyperlink" Target="https://www.tokopedia.com/supreme-cable/supreme-cable-kabel-listrik-inti-ganda-tembaga-murni-nym-3-x-1-5-mm-50m-1730795500675040326?extParam=ivf%3Dtrue%26keyword%3Dnym+supreme+3+x+1.5%26search_id%3D2026062210332200EC53C4682D3635EMMY%26src%3Dsearch&amp;t_id=1782124408184&amp;t_st=1&amp;t_pp=search_result&amp;t_efo=search_pure_goods_card&amp;t_ef=goods_search&amp;t_sm=&amp;t_spt=search_result" TargetMode="External"/><Relationship Id="rId125" Type="http://schemas.openxmlformats.org/officeDocument/2006/relationships/hyperlink" Target="https://drive.google.com/drive/folders/1LjcBip1EcXqyARhwgKyaLyPiPVevLoEt?usp=drive_link" TargetMode="External"/><Relationship Id="rId246" Type="http://schemas.openxmlformats.org/officeDocument/2006/relationships/hyperlink" Target="https://www.tokopedia.com/ademselalu/pipa-tembaga-3-8-x-15-meter-merk-ns-copper-tube-3-8-ns?extParam=ivf%3Dfalse%26keyword%3Dpipa+tembaga+3%2F8%26search_id%3D20250828231918D81F9C1BE2E0892FFF76%26src%3Dsearch&amp;t_id=1756423161801&amp;t_st=1&amp;t_pp=search_result&amp;t_efo=search_pure_goods_card&amp;t_ef=goods_search&amp;t_sm=&amp;t_spt=search_result" TargetMode="External"/><Relationship Id="rId367" Type="http://schemas.openxmlformats.org/officeDocument/2006/relationships/hyperlink" Target="https://www.tokopedia.com/sumberpompateknik/mesin-saluran-pipa-air-mampet-electric-drain-cleaner-gq-75-1731874439253165951?extParam=ivf%3Dfalse%26keyword%3Ddrain+cleaner%26search_id%3D20260119024343EF0D3930A7B6C905837W%26src%3Dsearch&amp;t_id=1768790653941&amp;t_st=5&amp;t_pp=search_result&amp;t_efo=search_pure_goods_card&amp;t_ef=goods_search&amp;t_sm=&amp;t_spt=search_result" TargetMode="External"/><Relationship Id="rId488" Type="http://schemas.openxmlformats.org/officeDocument/2006/relationships/hyperlink" Target="https://www.tokopedia.com/singa-henry/kunci-box-panel-listrik-push-lock-tipe-persegi-material-nylon-tahan-lama-anti-maling-untuk-industri-1733403265038255849?extParam=ivf%3Dfalse%26keyword%3Dkunci+panel+listrik%26search_id%3D202606220913438DD48D6A2E2CAD07BH1P%26src%3Dsearch&amp;t_id=1782119645314&amp;t_st=1&amp;t_pp=search_result&amp;t_efo=search_pure_goods_card&amp;t_ef=goods_search&amp;t_sm=&amp;t_spt=search_result" TargetMode="External"/><Relationship Id="rId124" Type="http://schemas.openxmlformats.org/officeDocument/2006/relationships/hyperlink" Target="https://drive.google.com/file/d/1SYjvfNOWAPg_xcL3NzgIVMbv0htMKo6x/view?usp=sharing" TargetMode="External"/><Relationship Id="rId245" Type="http://schemas.openxmlformats.org/officeDocument/2006/relationships/hyperlink" Target="https://drive.google.com/file/d/1Yhsabet0ghaUCiI33hbC0r7VpcqGudv3/view?usp=drive_link" TargetMode="External"/><Relationship Id="rId366" Type="http://schemas.openxmlformats.org/officeDocument/2006/relationships/hyperlink" Target="https://www.gemu-group.com/en_SE/shop/replacement-actuators-for-diaphragm-valves/gemu-9612-/9612-10m01ts/pid-88079321" TargetMode="External"/><Relationship Id="rId487" Type="http://schemas.openxmlformats.org/officeDocument/2006/relationships/hyperlink" Target="https://www.tokopedia.com/sahabatlistrik-1/elbow-pipa-listrik-20mm-knee-pipa-conduit-20mm-boss-hitam-purih-1730927430286542137?extParam=ivf%3Dfalse%26keyword%3Delbow+conduit+20mm+boss%26search_id%3D2026062210295058238E9AE2DD303982NZ%26src%3Dsearch&amp;t_id=1782124198570&amp;t_st=1&amp;t_pp=search_result&amp;t_efo=search_pure_goods_card&amp;t_ef=goods_search&amp;t_sm=&amp;t_spt=search_result" TargetMode="External"/><Relationship Id="rId123" Type="http://schemas.openxmlformats.org/officeDocument/2006/relationships/hyperlink" Target="https://www.tokopedia.com/crystalsupplier/pipa-pvc-rucika-1-1-4-inch-abu-jis-aw-vp-pralon-jis-aw-4-meter?utm_source=google&amp;utm_medium=organic&amp;utm_campaign=pdp" TargetMode="External"/><Relationship Id="rId244" Type="http://schemas.openxmlformats.org/officeDocument/2006/relationships/hyperlink" Target="https://drive.google.com/file/d/1Yhsabet0ghaUCiI33hbC0r7VpcqGudv3/view?usp=drive_link" TargetMode="External"/><Relationship Id="rId365" Type="http://schemas.openxmlformats.org/officeDocument/2006/relationships/hyperlink" Target="https://www.tokopedia.com/bosch-tools-authorized-snt/bosch-mesin-blower-tangan-cordless-gbl-18v-750-hand-blower-18-v-gbl18v-unit-only-1731137586110039528?extParam=ivf%3Dfalse%26keyword%3Dblower+portable+bosch%26search_id%3D202511110233215B8ADD2A5D98B1224ALM%26src%3Dsearch&amp;t_id=1762828426571&amp;t_st=1&amp;t_pp=search_result&amp;t_efo=search_pure_goods_card&amp;t_ef=goods_search&amp;t_sm=&amp;t_spt=search_result" TargetMode="External"/><Relationship Id="rId486" Type="http://schemas.openxmlformats.org/officeDocument/2006/relationships/hyperlink" Target="https://www.tokopedia.com/karel8989/saklar-4gang-4-gang-schneider-clypsal-classic-set-outbow-tempel?extParam=ivf%3Dfalse%26keyword%3Dsaklar+broco+4+tombol%26search_id%3D202606221027085B8ADD2A5D98B11C6WYU%26src%3Dsearch&amp;t_id=1782124036726&amp;t_st=1&amp;t_pp=search_result&amp;t_efo=search_pure_goods_card&amp;t_ef=goods_search&amp;t_sm=&amp;t_spt=search_result" TargetMode="External"/><Relationship Id="rId122" Type="http://schemas.openxmlformats.org/officeDocument/2006/relationships/hyperlink" Target="https://www.monotaro.id/items/s034534816.html" TargetMode="External"/><Relationship Id="rId243" Type="http://schemas.openxmlformats.org/officeDocument/2006/relationships/hyperlink" Target="https://www.ebay.com/itm/303789969208" TargetMode="External"/><Relationship Id="rId364" Type="http://schemas.openxmlformats.org/officeDocument/2006/relationships/hyperlink" Target="https://sbindustrialsupply.com/shop/new-swagelok-ss-18rs12-needle-valve-ss18rs12/?srsltid=AfmBOopSSiFirw9ebXl0Mk-8TsctcCYILCsDQKlydstY0am-VOxTbObl" TargetMode="External"/><Relationship Id="rId485" Type="http://schemas.openxmlformats.org/officeDocument/2006/relationships/hyperlink" Target="https://www.tokopedia.com/broco-official/broco-stop-kontak-allegra-c151-1729881674917971001?extParam=ivf%3Dfalse%26keyword%3Dstop+kontak+dinding+broco%26search_id%3D202606221022483DD48AB31D016F32B4MR%26src%3Dsearch&amp;t_id=1782123802549&amp;t_st=1&amp;t_pp=search_result&amp;t_efo=search_pure_goods_card&amp;t_ef=goods_search&amp;t_sm=&amp;t_spt=search_result" TargetMode="External"/><Relationship Id="rId95" Type="http://schemas.openxmlformats.org/officeDocument/2006/relationships/hyperlink" Target="https://www.tokopedia.com/hasby-electrik/relay-omron-mks2p-soket-220-24-12-vdc-original-omron-12vdc-socket-b011d?extParam=ivf%3Dfalse%26keyword%3Domron+mks2p%26search_id%3D202503290853445470E0E48AAF541EBK14%26src%3Dsearch" TargetMode="External"/><Relationship Id="rId94" Type="http://schemas.openxmlformats.org/officeDocument/2006/relationships/hyperlink" Target="https://www.tokopedia.com/danielcahaya28/bearing-629-zz-tutup-besi-merk-skf-asli?aff_unique_id=&amp;channel=others&amp;chain_key=" TargetMode="External"/><Relationship Id="rId97" Type="http://schemas.openxmlformats.org/officeDocument/2006/relationships/hyperlink" Target="https://drive.google.com/file/d/1MfEhLKT7TdaZMFerzojf_rYRPGsNRRcd/view?usp=drive_link" TargetMode="External"/><Relationship Id="rId96" Type="http://schemas.openxmlformats.org/officeDocument/2006/relationships/hyperlink" Target="https://drive.google.com/file/d/15wxOfezM1IIjxnSyYC0rywqKfxpYZIrg/view?usp=drive_link" TargetMode="External"/><Relationship Id="rId99" Type="http://schemas.openxmlformats.org/officeDocument/2006/relationships/hyperlink" Target="https://drive.google.com/file/d/1h-xgAxAhBWxdF7CUqP9Kd2QIpSqOxRci/view?usp=sharing" TargetMode="External"/><Relationship Id="rId480" Type="http://schemas.openxmlformats.org/officeDocument/2006/relationships/hyperlink" Target="https://www.tokopedia.com/led-lighting-store/philips-panel-light-rc081v-rc091v-led27s-28w-28-watt-smart-bright-panel-slim-led-30-x-120-cm-putih-6500k-2b93e?extParam=ivf%3Dfalse%26keyword%3Dphillips+rc081v%26search_id%3D202606220916346DA37DD3139AA4302A3E%26src%3Dsearch&amp;t_id=1782119809201&amp;t_st=2&amp;t_pp=search_result&amp;t_efo=search_pure_goods_card&amp;t_ef=goods_search&amp;t_sm=&amp;t_spt=search_result" TargetMode="External"/><Relationship Id="rId98" Type="http://schemas.openxmlformats.org/officeDocument/2006/relationships/hyperlink" Target="https://drive.google.com/file/d/1ge0OyNx8rkOPvqels3k1KTNj13FQZEtS/view?usp=drive_link" TargetMode="External"/><Relationship Id="rId91" Type="http://schemas.openxmlformats.org/officeDocument/2006/relationships/hyperlink" Target="https://ifs-store.com/siemens-skc62/" TargetMode="External"/><Relationship Id="rId90" Type="http://schemas.openxmlformats.org/officeDocument/2006/relationships/hyperlink" Target="https://drive.google.com/file/d/15G2zcdvsMiV-1FC3GBCvPHKUsg-AwMjH/view?usp=drive_link" TargetMode="External"/><Relationship Id="rId93" Type="http://schemas.openxmlformats.org/officeDocument/2006/relationships/hyperlink" Target="https://www.tokopedia.com/sinarabadiaircon/kapacitor-ac-40-2uf?aff_unique_id=&amp;channel=others&amp;chain_key=" TargetMode="External"/><Relationship Id="rId92" Type="http://schemas.openxmlformats.org/officeDocument/2006/relationships/hyperlink" Target="https://www.tokopedia.com/cbselectric/schneider-pilot-lamp-led-110v-ac-dc-xa2evbf1lc-pilot-lamp-22mm?aff_unique_id=&amp;channel=others&amp;chain_key=" TargetMode="External"/><Relationship Id="rId118" Type="http://schemas.openxmlformats.org/officeDocument/2006/relationships/hyperlink" Target="https://drive.google.com/file/d/11iSifyr3VaNC-bhW66h7oKBSKoARNagt/view?usp=drive_link" TargetMode="External"/><Relationship Id="rId239" Type="http://schemas.openxmlformats.org/officeDocument/2006/relationships/hyperlink" Target="https://www.tokopedia.com/hk-komponen/buzzer-panel-12vdc-22mm-scb-22-shemsco?extParam=ivf%3Dfalse%26keyword%3Dbuzzer+12+vacdc%26search_id%3D2025082508244663923F49E524131C0C1S%26src%3Dsearch&amp;t_id=1756110296354&amp;t_st=1&amp;t_pp=search_result&amp;t_efo=search_pure_goods_card&amp;t_ef=goods_search&amp;t_sm=&amp;t_spt=search_result" TargetMode="External"/><Relationship Id="rId117" Type="http://schemas.openxmlformats.org/officeDocument/2006/relationships/hyperlink" Target="https://www.tokopedia.com/rjpneumatic/solenoid-valve-kuningan-2-2-way-normally-open-no-2k250-25-1-inch?extParam=ivf%3Dfalse%26keyword%3Dsolenoid+valve+1+inch+normally+open%26search_id%3D20250428051047974731B8B0DFF82DASKT%26src%3Dsearch" TargetMode="External"/><Relationship Id="rId238" Type="http://schemas.openxmlformats.org/officeDocument/2006/relationships/hyperlink" Target="https://www.tokopedia.com/dpelectric/schneider-comb-busbar-sisir-mcb-1p-12module-63a-ez9xph112?extParam=ivf%3Dfalse%26keyword%3Dsisir+mcb%26search_id%3D20250717051121B2EB734903575434CXGC%26src%3Dsearch&amp;t_id=1752728510891&amp;t_st=7&amp;t_pp=search_result&amp;t_efo=search_pure_goods_card&amp;t_ef=goods_search&amp;t_sm=&amp;t_spt=search_result" TargetMode="External"/><Relationship Id="rId359" Type="http://schemas.openxmlformats.org/officeDocument/2006/relationships/hyperlink" Target="https://shopee.co.id/product/1030439901/24466009946?gads_t_sig=VTJGc2RHVmtYMTlxTFVSVVRrdENkVHQ3ZkZSUTMrR3pBWmZZNzdrcnRBM1YyaTFFK1FnUjRyeXdrZkF3ZmJuOGFmMFFOaEdxbm10MHhONCtjMGZuUVZUeU5wazE4WFI3OVVZbG5xU2FmbS9wYlE1Q0oxL2lDd0cxTmYzZTc2NWdSZ0VINFg3TzE1S0FKZFdsWGhEQmRBPT0&amp;gad_source=1&amp;gad_campaignid=23290582497&amp;gbraid=0AAAAADPpU83ax10uNyQZEUxaOrg2eLoHc&amp;gclid=Cj0KCQiA1JLLBhCDARIsAAVfy7j-0ZBxbYZKYdtZDBsr1YIx6WKCUjLqLS1cXqKhDbmUUWwIdVf3F9YaAjJAEALw_wcB" TargetMode="External"/><Relationship Id="rId116" Type="http://schemas.openxmlformats.org/officeDocument/2006/relationships/hyperlink" Target="https://www.tokopedia.com/mabateknik/obeng-listrik-electrician-screwdriver-pz-6x100mm-krisbow-kw0100765" TargetMode="External"/><Relationship Id="rId237" Type="http://schemas.openxmlformats.org/officeDocument/2006/relationships/hyperlink" Target="https://www.tokopedia.com/centralelectrind/pilot-lamp-buzzer-led-22mm-220vac-ewig-merah-1731444223517492392?extParam=ivf%3Dfalse%26keyword%3Dbuzzer+220+vac+22+mm%26search_id%3D20250713105029577BCC914F9E553D9A1B%26src%3Dsearch&amp;t_id=1752399888456&amp;t_st=5&amp;t_pp=search_result&amp;t_efo=search_pure_goods_card&amp;t_ef=goods_search&amp;t_sm=&amp;t_spt=search_result" TargetMode="External"/><Relationship Id="rId358" Type="http://schemas.openxmlformats.org/officeDocument/2006/relationships/hyperlink" Target="https://shopee.co.id/product/9018742/42056488537?gads_t_sig=VTJGc2RHVmtYMTlxTFVSVVRrdENkVEg0SDd3VWo1MDQyT052d3EvY1B4YU9kM25CcFplT1VYR2I1bnM1NHlOcnhRbGpETGNXaWZVMUxMdXJ4UFZpbmZETzBtNlZFN2VDMUpnVjFYb0dlWHdDNFc4aDlLUlNFTm95aFJqM3VaUmM&amp;gad_source=1&amp;gad_campaignid=23295573554&amp;gbraid=0AAAAADPpU83y3aTaX-AnLs2Q9PVezaSFB&amp;gclid=Cj0KCQiA1JLLBhCDARIsAAVfy7jf3rL7fVRSiu_qxNUqsZWMso1XWxuzV7uGXQoVCjavABDLO365wt8aAujDEALw_wcB" TargetMode="External"/><Relationship Id="rId479" Type="http://schemas.openxmlformats.org/officeDocument/2006/relationships/hyperlink" Target="https://shopee.co.id/product/566669817/24319741045?gads_t_sig=gqRjZGVrxHCFomtpsTE0MjUxOnRzc19zZGtfa2V5omt20QABpGFsZ2_SAAAAZKNkZWvAomN0xEAAAAAMfaLqlfFS4JwQPCoOJZHE2YMfq1tWF61pnIIHqGuyOlpkjBotHu7Xpb0YRK1tULWVZdcpI_r9hw6jgE9CqmNpcGhlcnRleHTEcQAAAAzUjME4JEs-lmfgsZq7YjJPy8tpm9LEYCfxJ26uNLlW-Vk6hX7Iroa8NAND7BIAo-449pI209VhYmk8xcVNysWSblQN2TfKYb_NMgMHshwpw8bZbVjMhL-9lmDyyVYAxJqayIj3RIzSBtxudK9J&amp;gad_source=1&amp;gad_campaignid=23295573554&amp;gbraid=0AAAAADPpU82opQn-91GfoqKvYelpyjpi2&amp;gclid=CjwKCAjwuuPRBhAnEiwA2Ji8embfWMIQhKamlf_rDDAphJuU41kB7LdCZsjHkvzDW1SlT9O2tvAU0BoCQ78QAvD_BwE" TargetMode="External"/><Relationship Id="rId115" Type="http://schemas.openxmlformats.org/officeDocument/2006/relationships/hyperlink" Target="https://drive.google.com/file/d/1QSZ3V00IWsdOeba0ypcmV6z7L1vX0D6R/view?usp=drive_link" TargetMode="External"/><Relationship Id="rId236" Type="http://schemas.openxmlformats.org/officeDocument/2006/relationships/hyperlink" Target="https://www.tokopedia.com/wisma-teknik/socket-stop-kontak-panel-mounting-2p-16a-220v-fort-cee112?extParam=ivf%3Dfalse%26keyword%3Dstop+kontak+panel%26search_id%3D2025071310301534ED066DF378EF30F64W%26src%3Dsearch&amp;t_id=1752399888456&amp;t_st=4&amp;t_pp=search_result&amp;t_efo=search_pure_goods_card&amp;t_ef=goods_search&amp;t_sm=&amp;t_spt=search_result" TargetMode="External"/><Relationship Id="rId357" Type="http://schemas.openxmlformats.org/officeDocument/2006/relationships/hyperlink" Target="https://drive.google.com/drive/folders/1ouyRHXj-L2SeBSCEdOe913jtrUFx0HrO?usp=drive_link" TargetMode="External"/><Relationship Id="rId478" Type="http://schemas.openxmlformats.org/officeDocument/2006/relationships/hyperlink" Target="https://shopee.co.id/product/1027084448/18381558008?gads_t_sig=gqRjZGVrxHCFomtpsTE0MjUxOnRzc19zZGtfa2V5omt20QABpGFsZ2_SAAAAZKNkZWvAomN0xEAAAAAMfaLqlfFS4JwQPCoOJZHE2YMfq1tWF61pnIIHqGuyOlpkjBotHu7Xpb0YRK1tULWVZdcpI_r9hw6jgE9CqmNpcGhlcnRleHTEcwAAAAxDOu-TyQCkOeb2YZn8t1O3neCDBJ7XQJaN9mJXkGjWLnBwRtIpsYHSwUQis-YaikctbI6GDep8HPW5FjXVnwAYkMW8VOWycgsRHAnVhpkZhWRUB50yoK7WK5uhjZFZjUvLkkCQUCONx2dWXf13Bkg&amp;gad_source=1&amp;gad_campaignid=23290582497&amp;gbraid=0AAAAADPpU80r4YM6rcpm8nv5aRAHbj3RS&amp;gclid=CjwKCAjwuuPRBhAnEiwA2Ji8em-c4tb24z5ZNw2OhyztyR2eiaJRkuyuVLeJB3kuZNepaR1R3e3GehoCwXgQAvD_BwE" TargetMode="External"/><Relationship Id="rId119" Type="http://schemas.openxmlformats.org/officeDocument/2006/relationships/hyperlink" Target="https://drive.google.com/file/d/1aHdQP5TGXIj0ZCcAUYbhgnZ6TqbZRjqb/view?usp=drive_link" TargetMode="External"/><Relationship Id="rId110" Type="http://schemas.openxmlformats.org/officeDocument/2006/relationships/hyperlink" Target="https://www.tokopedia.com/sangseker/ftalit-444-banana-yellow-1kg-cat-kayu-dan-besi-ftalit-115-444-1kg-2c631?utm_source=salinlink&amp;utm_medium=share&amp;utm_campaign=pdp-nutgbjwxlhd2-14175807648-0" TargetMode="External"/><Relationship Id="rId231" Type="http://schemas.openxmlformats.org/officeDocument/2006/relationships/hyperlink" Target="https://www.tokopedia.com/secius/kabel-nyaf-1-5mm-1-5-mm-jembo-serabut-1x1-5-mm-1-roll-50m-50-meter-1731338884034889424?extParam=ivf%3Dfalse%26keyword%3Dkabel+1+x+1.5+tunggal+nyaf+jembo%26search_id%3D20250717050753D947BF06A885DB075ENN%26src%3Dsearch&amp;t_id=1752728510891&amp;t_st=5&amp;t_pp=search_result&amp;t_efo=search_pure_goods_card&amp;t_ef=goods_search&amp;t_sm=&amp;t_spt=search_result" TargetMode="External"/><Relationship Id="rId352" Type="http://schemas.openxmlformats.org/officeDocument/2006/relationships/hyperlink" Target="https://shopee.co.id/product/7131578/16169387000?gads_t_sig=VTJGc2RHVmtYMTlxTFVSVVRrdENkVEg0SDd3VWo1MDQyT052d3EvY1B4YkQ4V2NxNE1VVGRjZnNreUFCTjkyR1M1RThxVWkwYWRIVjFsR1F6VHoxbkJaWUpFMmpvencwS0cvQkYrYyt5OG1IdVE3b0V3UUdXWVhEd1V0d2lWRlo" TargetMode="External"/><Relationship Id="rId473" Type="http://schemas.openxmlformats.org/officeDocument/2006/relationships/hyperlink" Target="https://www.monotaro.id/items/s000043642.html?utm_source=google&amp;utm_medium=pla&amp;utm_campaign=22645740610&amp;utm_content=189071432548&amp;utm_term=ready_stock_cat_group_2_pricebrand_group_1&amp;gad_source=4&amp;gad_campaignid=22645740610&amp;gbraid=0AAAAADJU9-_fxP46sbx3UVVJWc9oOsxk4&amp;gclid=CjwKCAjwzevPBhBaEiwAplAxvjLum4MJO87V-Xxbb2o0yawfb1xBtgqFbTDO00qV4vL0kYjCsXcM1hoCJnsQAvD_BwE" TargetMode="External"/><Relationship Id="rId230" Type="http://schemas.openxmlformats.org/officeDocument/2006/relationships/hyperlink" Target="https://www.tokopedia.com/siaplaksanakan/kabel-nyyhy-4x2-5-4x2-5mm-jembo-roll-100-meter-serabut?extParam=ivf%3Dfalse%26keyword%3Dkabel+nyyhy+4x2%2C5+jembo+roll+100+meter+listrik+serabut%26search_id%3D20250713095612CAF1A3DFB505FF37AGWG%26src%3Dsearch&amp;t_id=1752399739361&amp;t_st=11&amp;t_pp=search_result&amp;t_efo=search_pure_goods_card&amp;t_ef=goods_search&amp;t_sm=&amp;t_spt=search_result" TargetMode="External"/><Relationship Id="rId351" Type="http://schemas.openxmlformats.org/officeDocument/2006/relationships/hyperlink" Target="https://shopee.co.id/TEKIRO-IMPACT-DRIVE-11-PCS-OBENG-KETOK-TOOLS-ALAT-PERKAKAS-i.73061699.1237545205?extraParams=%7B%22display_model_id%22%3A31563425734%2C%22model_selection_logic%22%3A3%7D&amp;sp_atk=faa8f2e3-089b-400d-b5c4-e05e946f0449&amp;xptdk=faa8f2e3-089b-400d-b5c4-e05e946f0449" TargetMode="External"/><Relationship Id="rId472" Type="http://schemas.openxmlformats.org/officeDocument/2006/relationships/hyperlink" Target="https://www.tokopedia.com/kabirmall/amplas-susun-flapdisc-taiyo-4-per-kotak-terlaris-1734137829216716375?aff_unique_id=&amp;channel=others&amp;chain_key=" TargetMode="External"/><Relationship Id="rId350" Type="http://schemas.openxmlformats.org/officeDocument/2006/relationships/hyperlink" Target="https://shopee.co.id/TEKIRO-TANG-LANCIP-6-INCH-(N-R)-TANG-LANCIP-TOOLS-ALAT-PERKAKAS-KUNCI-ALAT-PERTUKANGAN-i.73061699.1237545117?xptdk=b0c511a1-1522-4987-b417-4f3bfbf6df49" TargetMode="External"/><Relationship Id="rId471" Type="http://schemas.openxmlformats.org/officeDocument/2006/relationships/hyperlink" Target="https://www.tokopedia.com/kabirmall/amplas-susun-flapdisc-taiyo-4-per-kotak-terlaris-1734137829216716375?aff_unique_id=&amp;channel=others&amp;chain_key=" TargetMode="External"/><Relationship Id="rId470" Type="http://schemas.openxmlformats.org/officeDocument/2006/relationships/hyperlink" Target="https://www.tokopedia.com/archive-rajawali-putra-1/batu-gurinda-poles-wd-4-x-6-grinda-wheel-4-x6-tb-wd-batu-poles-1-box-taiyo-blue-4x6m-batu-poles-0f994?extParam=ivf%3Dfalse%26keyword%3Dmata+gerinda+polesh+1box%26search_id%3D20260507015118577BCC914F9E552F40J5%26src%3Dsearch&amp;t_id=1778118655787&amp;t_st=2&amp;t_pp=search_result&amp;t_efo=search_pure_goods_card&amp;t_ef=goods_search&amp;t_sm=&amp;t_spt=search_result" TargetMode="External"/><Relationship Id="rId114" Type="http://schemas.openxmlformats.org/officeDocument/2006/relationships/hyperlink" Target="https://drive.google.com/file/d/1QSZ3V00IWsdOeba0ypcmV6z7L1vX0D6R/view?usp=drive_link" TargetMode="External"/><Relationship Id="rId235" Type="http://schemas.openxmlformats.org/officeDocument/2006/relationships/hyperlink" Target="https://www.tokopedia.com/tebetstore/paku-rivet-5mm-isi-per-bungkus-50-pcs-1730776062793058170?extParam=ivf%3Dfalse%26keyword%3Dpaku+rivet%26search_id%3D20250713100231AD13A2A07CA4B7356ESG%26src%3Dsearch&amp;t_id=1752399739361&amp;t_st=19&amp;t_pp=search_result&amp;t_efo=search_pure_goods_card&amp;t_ef=goods_search&amp;t_sm=&amp;t_spt=search_result" TargetMode="External"/><Relationship Id="rId356" Type="http://schemas.openxmlformats.org/officeDocument/2006/relationships/hyperlink" Target="https://www.tokopedia.com/kimiadanteknik/magnaflux-spotcheck-red-penetrant-skl-sp2-400ml?extParam=ivf%3Dfalse%26keyword%3Dspotcheck+skl-sp2%26search_id%3D202601101301579687864F542F113B6V4M%26src%3Dsearch&amp;t_id=1768050121681&amp;t_st=1&amp;t_pp=search_result&amp;t_efo=search_pure_goods_card&amp;t_ef=goods_search&amp;t_sm=&amp;t_spt=search_result" TargetMode="External"/><Relationship Id="rId477" Type="http://schemas.openxmlformats.org/officeDocument/2006/relationships/hyperlink" Target="https://shopee.co.id/product/772267197/29852444260?gads_t_sig=gqRjZGVrxHCFomtpsTE0MjUxOnRzc19zZGtfa2V5omt20QABpGFsZ2_SAAAAZKNkZWvAomN0xEAAAAAMfaLqlfFS4JwQPCoOJZHE2YMfq1tWF61pnIIHqGuyOlpkjBotHu7Xpb0YRK1tULWVZdcpI_r9hw6jgE9CqmNpcGhlcnRleHTEcQAAAAx0U4J4IkGcXk4ib0ib4LfBG82fWu9zNb1s2_a4h9dZ5GMvNEkhixtZSjW6EZZf9lWCTyfiPTIkbOr72X6mXR98wx13zrG9EHUHuRSJO7njZKzUX8ZcwKF02MtQdWztpJem7TWxK0r99-a78PhK&amp;gad_source=1&amp;gad_campaignid=23295573023&amp;gbraid=0AAAAADPpU83Xe_0MYaLimaPv78UF4qJo5&amp;gclid=CjwKCAjwuuPRBhAnEiwA2Ji8esk93AHwsPUT_fKGwzRthOhKVbdf2q9mHvM7-nlegLqzngnsQo7FVRoCCVUQAvD_BwE" TargetMode="External"/><Relationship Id="rId113" Type="http://schemas.openxmlformats.org/officeDocument/2006/relationships/hyperlink" Target="https://www.tokopedia.com/sinshe-tekno/usb-hub-vention-4-port-usb-3-0-2-0-high-speed-power-adapter-otg-chm-2-0-0-5m?utm_campaign=PDP-giuytjx86cja-1207886887-0&amp;utm_source=salinlink&amp;utm_medium=share" TargetMode="External"/><Relationship Id="rId234" Type="http://schemas.openxmlformats.org/officeDocument/2006/relationships/hyperlink" Target="https://www.tokopedia.com/glodok123/gland-cable-kabel-glan-waterproof-pg-25-29-36-42-48-63-hitam-putih-pg25-hitam?extParam=ivf%3Dfalse%26keyword%3Dkabel+gland+23+mm+pg+25%26search_id%3D202507131000445737C6EC2E0716316H32%26src%3Dsearch&amp;t_id=1752399739361&amp;t_st=17&amp;t_pp=search_result&amp;t_efo=search_pure_goods_card&amp;t_ef=goods_search&amp;t_sm=&amp;t_spt=search_result" TargetMode="External"/><Relationship Id="rId355" Type="http://schemas.openxmlformats.org/officeDocument/2006/relationships/hyperlink" Target="https://www.tokopedia.com/kimiadanteknik/magnaflux-spotcheck-cleaner-skc-s-400ml?extParam=ivf%3Dfalse%26keyword%3D+spotcheck+skcs%26search_id%3D202601101301208DD48D6A2E2CAD361ICM%26src%3Dsearch&amp;t_id=1768050008571&amp;t_st=3&amp;t_pp=search_result&amp;t_efo=search_pure_goods_card&amp;t_ef=goods_search&amp;t_sm=&amp;t_spt=search_result" TargetMode="External"/><Relationship Id="rId476" Type="http://schemas.openxmlformats.org/officeDocument/2006/relationships/hyperlink" Target="https://shopee.co.id/product/471479494/23169443681?gads_t_sig=gqRjZGVrxHCFomtpsTE0MjUxOnRzc19zZGtfa2V5omt20QABpGFsZ2_SAAAAZKNkZWvAomN0xEAAAAAMfaLqlfFS4JwQPCoOJZHE2YMfq1tWF61pnIIHqGuyOlpkjBotHu7Xpb0YRK1tULWVZdcpI_r9hw6jgE9CqmNpcGhlcnRleHTEcQAAAAy1GR2kNRudlwzbdb3C9oK5qeB8tYVTkirw4lR41CMyXDXlHCVAaR7mmLPoja9SnHUMJZ0PYbdZkBUIiM9LW5UzAgUDSOb2q9gIKffCdkuA2zswzaB35T8yANw3MPdlEF4g2RneT2odK-xHRUeG" TargetMode="External"/><Relationship Id="rId112" Type="http://schemas.openxmlformats.org/officeDocument/2006/relationships/hyperlink" Target="https://www.tokopedia.com/archive-tokohteknik/bosch-cb-a86-arang-sepul-bostel-mesin-gerinda-gws-060-6100-5100-8100?extParam=ivf%3Dfalse%26keyword%3Darang+bosch+gws+060&amp;src=topads" TargetMode="External"/><Relationship Id="rId233" Type="http://schemas.openxmlformats.org/officeDocument/2006/relationships/hyperlink" Target="https://www.tokopedia.com/altbutikk/kugel-hole-saw-tct-23mm-mata-bor-stainless-23-mm-original?extParam=ivf%3Dfalse%26keyword%3Dhole+saw+23+mm%26search_id%3D2025071309583234ED066DF378EF251BX3%26src%3Dsearch&amp;t_id=1752399739361&amp;t_st=13&amp;t_pp=search_result&amp;t_efo=search_pure_goods_card&amp;t_ef=goods_search&amp;t_sm=&amp;t_spt=search_result" TargetMode="External"/><Relationship Id="rId354" Type="http://schemas.openxmlformats.org/officeDocument/2006/relationships/hyperlink" Target="https://www.tokopedia.com/jfd-shop/magnaflux-spotcheck-skd-s2-developer-400ml-1731535556437902791?extParam=ivf%3Dfalse%26keyword%3Dmagnaflux+skd+s2%26search_id%3D202601101302440BB4AEC17105211487JJ%26src%3Dsearch&amp;t_id=1768049558738&amp;t_st=5&amp;t_pp=search_result&amp;t_efo=search_pure_goods_card&amp;t_ef=goods_search&amp;t_sm=&amp;t_spt=search_result" TargetMode="External"/><Relationship Id="rId475" Type="http://schemas.openxmlformats.org/officeDocument/2006/relationships/hyperlink" Target="https://shopee.co.id/product/349565746/24002520360?gads_t_sig=gqRjZGVrxHCFomtpsTE0MjUxOnRzc19zZGtfa2V5omt20QABpGFsZ2_SAAAAZKNkZWvAomN0xEAAAAAMfaLqlfFS4JwQPCoOJZHE2YMfq1tWF61pnIIHqGuyOlpkjBotHu7Xpb0YRK1tULWVZdcpI_r9hw6jgE9CqmNpcGhlcnRleHTEcQAAAAzj5WhWlhcFBVhsEgP1EkGrNgcrWXxxd1wRS-MFQy9V82-gL_fhCX6D_2dIVPjuWPxO-uFsMWEqmsyh21Tu_u7CPaRpaJFXIanzMepAla9cl2SDcbyc6llMHdxEaNNxFmniImkmkw2N17RL39mc&amp;gad_source=1&amp;gad_campaignid=23631329745&amp;gbraid=0AAAAADPpU83TM1_6Pv4129Us1UY8CM7Mg&amp;gclid=CjwKCAjwuuPRBhAnEiwA2Ji8elrscF_gnzJ_0VIQwbDbQqe42rirw7HuYVWpO5h_eU8qqzntV817GBoClzgQAvD_BwE" TargetMode="External"/><Relationship Id="rId111" Type="http://schemas.openxmlformats.org/officeDocument/2006/relationships/hyperlink" Target="https://shopee.co.id/Dobel-Sok-Drat-Dalam-3-8-x-3-8-Kuningan-Sock-Drat-Dalam-Kuningan-3-8-Double-Nepel-Drat-Dalam-i.393420297.19784526044" TargetMode="External"/><Relationship Id="rId232" Type="http://schemas.openxmlformats.org/officeDocument/2006/relationships/hyperlink" Target="https://www.tokopedia.com/jayamaselektrik/kabel-duct-wering-duct-kabel-duck-25x25-32x32-25x45-32x45-lubang-abu-25x25-b2da0?extParam=ivf%3Dfalse%26keyword%3Dkabel+duct+35+mm%26search_id%3D20250713095707496E05E1AEA0A92F4C2W%26src%3Dsearch&amp;t_id=1752399739361&amp;t_st=12&amp;t_pp=search_result&amp;t_efo=search_pure_goods_card&amp;t_ef=goods_search&amp;t_sm=&amp;t_spt=search_result" TargetMode="External"/><Relationship Id="rId353" Type="http://schemas.openxmlformats.org/officeDocument/2006/relationships/hyperlink" Target="https://www.tokopedia.com/andriyanliu/tee-las-stainless-ss-304-sch-10-1-inchi?extParam=ivf%3Dfalse%26keyword%3Dtee+las+stainless+sch10+ss304+1+inch%26search_id%3D2026011012525337BC2F75BF1BCF341MBY%26src%3Dsearch&amp;t_id=1768049558738&amp;t_st=2&amp;t_pp=search_result&amp;t_efo=search_pure_goods_card&amp;t_ef=goods_search&amp;t_sm=&amp;t_spt=search_result" TargetMode="External"/><Relationship Id="rId474" Type="http://schemas.openxmlformats.org/officeDocument/2006/relationships/hyperlink" Target="https://shopee.co.id/product/186890983/24319436830?gads_t_sig=gqRjZGVrxHCFomtpsTE0MjUxOnRzc19zZGtfa2V5omt20QABpGFsZ2_SAAAAZKNkZWvAomN0xEAAAAAMfaLqlfFS4JwQPCoOJZHE2YMfq1tWF61pnIIHqGuyOlpkjBotHu7Xpb0YRK1tULWVZdcpI_r9hw6jgE9CqmNpcGhlcnRleHTEcQAAAAywtGWZWQhq1wSpN8NvI6V5-IKOlJQTbvywX7M9zbtbmGbSXazj5s51Oq2OCVrPg3yTiyZekk8kT6owf1F6RCh4XlC65TuGSmE85lw94fw_DTqqGSD6aPYeJ5u2I5KZT6Ucv_tKVBi-AXhIbXRB&amp;gad_source=1&amp;gad_campaignid=23199775580&amp;gbraid=0AAAAADPpU81DeFPXrA4RrybjVGnG53k7m&amp;gclid=CjwKCAjwuuPRBhAnEiwA2Ji8enjJFhEO6vbh4dbhWLXVB3rZBrWZnzKCIXtVXuaQurNgV9mNYPWHrxoCWP8QAvD_BwE" TargetMode="External"/><Relationship Id="rId305" Type="http://schemas.openxmlformats.org/officeDocument/2006/relationships/hyperlink" Target="https://drive.google.com/file/d/1ka3V2CAfW9ccfwA8qZN36iHCbkqQtCB9/view?usp=drive_link" TargetMode="External"/><Relationship Id="rId426" Type="http://schemas.openxmlformats.org/officeDocument/2006/relationships/hyperlink" Target="https://tk.tokopedia.com/ZSHs2uxuR/" TargetMode="External"/><Relationship Id="rId304" Type="http://schemas.openxmlformats.org/officeDocument/2006/relationships/hyperlink" Target="https://drive.google.com/drive/folders/13e3ZZfcph5xMZnHVYig3bFbAg8xg3yWb?usp=drive_link" TargetMode="External"/><Relationship Id="rId425" Type="http://schemas.openxmlformats.org/officeDocument/2006/relationships/hyperlink" Target="https://tk.tokopedia.com/ZSHs25bDM/" TargetMode="External"/><Relationship Id="rId303" Type="http://schemas.openxmlformats.org/officeDocument/2006/relationships/hyperlink" Target="https://drive.google.com/file/d/1lXN9j-NaVNMNhl8I8tzQ6cQ8wbui2LhZ/view?usp=drive_link" TargetMode="External"/><Relationship Id="rId424" Type="http://schemas.openxmlformats.org/officeDocument/2006/relationships/hyperlink" Target="https://tk.tokopedia.com/ZSHs25bDM/" TargetMode="External"/><Relationship Id="rId302" Type="http://schemas.openxmlformats.org/officeDocument/2006/relationships/hyperlink" Target="https://www.tokopedia.com/bosch-tools-authorized-bts/bosch-cordless-hot-gun-pemanas-baterai-18v-500c-ghg-18v-50-set-baterai-procore-8-ah-1730846796853249703?extParam=ivf%3Dfalse%26keyword%3Dheat+gun+cordless+bosch%26search_id%3D20251016231134432ACA3A1E345E129MP6%26src%3Dsearch&amp;t_id=1760656099990&amp;t_st=4&amp;t_pp=search_result&amp;t_efo=search_pure_goods_card&amp;t_ef=goods_search&amp;t_sm=&amp;t_spt=search_result" TargetMode="External"/><Relationship Id="rId423" Type="http://schemas.openxmlformats.org/officeDocument/2006/relationships/hyperlink" Target="https://www.smcpneumatics.com/pdfs/IFW.pdf" TargetMode="External"/><Relationship Id="rId309" Type="http://schemas.openxmlformats.org/officeDocument/2006/relationships/hyperlink" Target="https://tk.tokopedia.com/ZSy62HdQb/" TargetMode="External"/><Relationship Id="rId308" Type="http://schemas.openxmlformats.org/officeDocument/2006/relationships/hyperlink" Target="https://drive.google.com/drive/folders/1XckZUYeeAEETc2mQSR_pARUUolsPGBVs?usp=drive_link" TargetMode="External"/><Relationship Id="rId429" Type="http://schemas.openxmlformats.org/officeDocument/2006/relationships/hyperlink" Target="https://tk.tokopedia.com/ZSHs2K5yB/" TargetMode="External"/><Relationship Id="rId307" Type="http://schemas.openxmlformats.org/officeDocument/2006/relationships/hyperlink" Target="https://store.danfoss.com/en/VLT2980PT4B20STR0DBF00A21C1/p/195N2191" TargetMode="External"/><Relationship Id="rId428" Type="http://schemas.openxmlformats.org/officeDocument/2006/relationships/hyperlink" Target="https://tk.tokopedia.com/ZSHs2K5yB/" TargetMode="External"/><Relationship Id="rId306" Type="http://schemas.openxmlformats.org/officeDocument/2006/relationships/hyperlink" Target="https://shopee.co.id/product/291890345/13550838706?gads_t_sig=VTJGc2RHVmtYMTlxTFVSVVRrdENkWVp3RFo3Mkw5czd4Z0hzdEF1WVFibXlIZDIybHBoZTNaeElKbFpUNEp0MmtRUkNMWkhOY2pPS3lGbnhWeTNiSTdML3ZBVGpuTUFXTE4vYVBYdjN0Z29SY0I5cVFTSFpna1lIQTR2YVpRZFBqQU56dEZ0dStnZ1U0R0c4UXdRaEF3PT0&amp;gad_source=1&amp;gad_campaignid=22178753687&amp;gbraid=0AAAAADPpU81syoE8dRjMVcgEdipHEmkxe&amp;gclid=CjwKCAjwpOfHBhAxEiwAm1SwEgfAVvIQg1zmYwAFfNaXv2_TId8ydd7T5CpCqXqEkNOVhQshqUx7CxoCGHUQAvD_BwE" TargetMode="External"/><Relationship Id="rId427" Type="http://schemas.openxmlformats.org/officeDocument/2006/relationships/hyperlink" Target="https://tk.tokopedia.com/ZSHs29Urp/" TargetMode="External"/><Relationship Id="rId301" Type="http://schemas.openxmlformats.org/officeDocument/2006/relationships/hyperlink" Target="https://www.tokopedia.com/jld-tool-shop/jld-wire-brush-set-5pcs-sikat-endbrush-mata-bor-brush-sikat-mangkok-gepeng-3pc-wire-brush-sikat-tangkai-bor-sikat-kawat-baja-bulu-kuningan-end-brush-crimped-wire-shank-bor-pembesih-karat-besi-1729969355487283479?extParam=ivf%3Dfalse%26keyword%3Dbrush+borr%26search_id%3D2025101623081634ED066DF378EF206JX1%26src%3Dsearch&amp;t_id=1760656099990&amp;t_st=1&amp;t_pp=search_result&amp;t_efo=search_pure_goods_card&amp;t_ef=goods_search&amp;t_sm=&amp;t_spt=search_result" TargetMode="External"/><Relationship Id="rId422" Type="http://schemas.openxmlformats.org/officeDocument/2006/relationships/hyperlink" Target="https://shopee.co.id/SS304-Mur-M10-Mur-Stainless-M10-Hex-Nut-M10-SUS304-A2-70-i.11837378.25891530349?extraParams=%7B%22display_model_id%22%3A166971436616%2C%22model_selection_logic%22%3A2%7D&amp;sp_atk=60a9e104-d23e-46cf-809b-c38557f07cf7&amp;xptdk=60a9e104-d23e-46cf-809b-c38557f07cf7" TargetMode="External"/><Relationship Id="rId300" Type="http://schemas.openxmlformats.org/officeDocument/2006/relationships/hyperlink" Target="https://www.tokopedia.com/suryamakmurmotor/pilok-pilox-diton-premium-vespa-green-relax-v9488-hijau-cat-semprot?extParam=ivf%3Dfalse%26keyword%3Dcat+hijau+telur+asin%26search_id%3D20251016230446577BCC914F9E5513E4T1%26src%3Dsearch" TargetMode="External"/><Relationship Id="rId421" Type="http://schemas.openxmlformats.org/officeDocument/2006/relationships/hyperlink" Target="https://www.tokopedia.com/pneuhydraulics/solenoid-koganei-180-4e1-pll-24vdc-koganei-solenoid-valve-180-4e1-pll?extParam=ivf%3Dfalse%26keyword%3Dkoganei+180-4e1-pll-1l%26search_id%3D202603301508314734BA6F3DE83D145H3D%26src%3Dsearch&amp;t_id=1774883266765&amp;t_st=7&amp;t_pp=search_result&amp;t_efo=search_pure_goods_card&amp;t_ef=goods_search&amp;t_sm=&amp;t_spt=search_result" TargetMode="External"/><Relationship Id="rId420" Type="http://schemas.openxmlformats.org/officeDocument/2006/relationships/hyperlink" Target="https://tk.tokopedia.com/ZSuo1a4cR/" TargetMode="External"/><Relationship Id="rId415" Type="http://schemas.openxmlformats.org/officeDocument/2006/relationships/hyperlink" Target="https://shopee.co.id/product/1566195522/40508035156?gads_t_sig=VTJGc2RHVmtYMTlxTFVSVVRrdENkVEdTU3BlMW9zMXB6bGYrZ0J1VEdQdjl4MzJ5UFUvREsxQnRRbS94a1puNGdZMStxM1U4b0o5K2RNWVdNbTBwNVhCRUpSUk1UOVFDY0ZTVTU0Z1JlMGtyMXlqUkErd1QyZ2V0VWt0T2R1STFZZUwzNThjdnhkN3Z0TGZNaFh4NXJBPT0&amp;gad_source=1&amp;gad_campaignid=23290582497&amp;gbraid=0AAAAADPpU81VyXAjPKX7Kjr4xcHYf0wXl&amp;gclid=Cj0KCQjwgr_NBhDFARIsAHiUWr5E1yRcOQ8ayWbFzZq7eAggocA7ZFpSw9Tg4K-ZAFTSWyCenMqlaSUaAmMhEALw_wcB" TargetMode="External"/><Relationship Id="rId414" Type="http://schemas.openxmlformats.org/officeDocument/2006/relationships/hyperlink" Target="https://shopee.co.id/product/12427419/17556834730?gads_t_sig=VTJGc2RHVmtYMTlxTFVSVVRrdENkVEN2VUxrWEZOaDk0d0pqV3V0QjRydjRtZURjWlFKM3l3Mkx5SVJ2eXZaV2VuRWp3WVg3cE1rbjNoS3hZTEVTU2xaSnNoczMzRm1tVmtVNThOT29QTnNJQlltcDMvTlA0MFlEQlVZMk42M1c&amp;gad_source=1&amp;gad_campaignid=23290582497&amp;gbraid=0AAAAADPpU81VyXAjPKX7Kjr4xcHYf0wXl&amp;gclid=Cj0KCQjwgr_NBhDFARIsAHiUWr7PF8eed-OEOs8_TjDiIzPi_X6ZvaqmtpuEniI0-r2tLmgAFB1gbasaAp4eEALw_wcB" TargetMode="External"/><Relationship Id="rId413" Type="http://schemas.openxmlformats.org/officeDocument/2006/relationships/hyperlink" Target="https://www.monotaro.id/items/s045330964.html?utm_source=google&amp;utm_medium=pla&amp;utm_campaign=22608577675&amp;utm_content=180145020197&amp;utm_term=others_cat_group_2_pricebrand_group_1&amp;gad_source=4&amp;gad_campaignid=22608577675&amp;gbraid=0AAAAADJU9--igvJUcptF5cp8mmiUW_Vw8&amp;gclid=Cj0KCQjwgr_NBhDFARIsAHiUWr5jqoFl_ND7RZJtRsLhVU2AuLYUHuHA3yKwRCUBA9OCaHZML5LOsiAaAqtFEALw_wcB" TargetMode="External"/><Relationship Id="rId412" Type="http://schemas.openxmlformats.org/officeDocument/2006/relationships/hyperlink" Target="https://shopee.co.id/product/105221864/22620153153?gads_t_sig=VTJGc2RHVmtYMTlxTFVSVVRrdENkY0tSanlKZU1BU2Y2RTJzOS9neUtnZm9xdk1HYjhBM2ZWSDhGNTlxbXBqZEkzbkxkell0cURwRmYrQS9TWGYwY05TZ0VHTnI2aTR2Z3YwQW9jcFhFTFFMVmR3K2taTEw4QUZvU1Z5MU40RkpZU1N6Mnc1ZzJ4TVI3WlY1WnNsUU5BPT0&amp;gad_source=1&amp;gad_campaignid=23290582497&amp;gbraid=0AAAAADPpU81VyXAjPKX7Kjr4xcHYf0wXl&amp;gclid=Cj0KCQjwgr_NBhDFARIsAHiUWr7Y7lsCy9W-Ys5c-mochJ57DXXQ9dUb_r-2vABZmccT1pDK7Z0A60caAipfEALw_wcB" TargetMode="External"/><Relationship Id="rId419" Type="http://schemas.openxmlformats.org/officeDocument/2006/relationships/hyperlink" Target="https://drive.google.com/file/d/1ziyJsvvlRjeBfjIvmq8jY6sonNV3yR7y/view?usp=drive_link" TargetMode="External"/><Relationship Id="rId418" Type="http://schemas.openxmlformats.org/officeDocument/2006/relationships/hyperlink" Target="https://tk.tokopedia.com/ZSufY5FEo/" TargetMode="External"/><Relationship Id="rId417" Type="http://schemas.openxmlformats.org/officeDocument/2006/relationships/hyperlink" Target="https://tk.tokopedia.com/ZSuA3mDHf/" TargetMode="External"/><Relationship Id="rId416" Type="http://schemas.openxmlformats.org/officeDocument/2006/relationships/hyperlink" Target="https://tk.tokopedia.com/ZSuAvGxmo/" TargetMode="External"/><Relationship Id="rId411" Type="http://schemas.openxmlformats.org/officeDocument/2006/relationships/hyperlink" Target="https://drive.google.com/file/d/1RetRhB0IiBOdKEEgDfI5zpTWBf11f2fj/view?usp=sharing" TargetMode="External"/><Relationship Id="rId410" Type="http://schemas.openxmlformats.org/officeDocument/2006/relationships/hyperlink" Target="https://www.tokopedia.com/murnimitrasejati/pertamina-masri-rg-320-iso-vg-320-oli-gear-industri-eceran-ecer-1-l?extParam=ivf%3Dfalse%26keyword%3Doli+iso+vg+320%26search_id%3D20260307001018C042F4DB68F234220PR3%26src%3Dsearch&amp;t_id=1772842407778&amp;t_st=4&amp;t_pp=search_result&amp;t_efo=search_pure_goods_card&amp;t_ef=goods_search&amp;t_sm=&amp;t_spt=search_resultr" TargetMode="External"/><Relationship Id="rId206" Type="http://schemas.openxmlformats.org/officeDocument/2006/relationships/hyperlink" Target="https://www.tokopedia.com/dayagaskencana/proflex-sheet-insulation-insulasi-pembungkus-pipa-ac-roll-khusus-kiriman-instant-3-4-20mm-9f89b?aff_unique_id=&amp;channel=others&amp;chain_key=" TargetMode="External"/><Relationship Id="rId327" Type="http://schemas.openxmlformats.org/officeDocument/2006/relationships/hyperlink" Target="https://shopee.co.id/Set-9Pcs-14Pcs-Mata-Bor-Socket-Hex-Nut-Baut-Roofing-Adaptor-i.1514659270.40365584142?xptdk=069a1f88-4933-4931-baeb-af00f66848e1" TargetMode="External"/><Relationship Id="rId448" Type="http://schemas.openxmlformats.org/officeDocument/2006/relationships/hyperlink" Target="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 TargetMode="External"/><Relationship Id="rId205" Type="http://schemas.openxmlformats.org/officeDocument/2006/relationships/hyperlink" Target="https://www.tokopedia.com/anaekemak/premium-kran-charging-valve-adaptor-perubah-ac-rumah-r22-ke-r410-r32?extParam=ivf%3Dfalse%26keyword%3Dadaptor+kran+freon+r32%26search_id%3D20250821070423432ACA3A1E345E258IWI%26src%3Dsearch&amp;t_id=1755759869543&amp;t_st=1&amp;t_pp=search_result&amp;t_efo=search_pure_goods_card&amp;t_ef=goods_search&amp;t_sm=&amp;t_spt=search_result" TargetMode="External"/><Relationship Id="rId326" Type="http://schemas.openxmlformats.org/officeDocument/2006/relationships/hyperlink" Target="https://www.google.com/search?sca_esv=d0ca274367ee7348&amp;rlz=1C1GCEA_enID1076ID1076&amp;sxsrf=AE3TifMqYmMtTlX4o6O-5GrYaCa2X7HpAg:1763567922732&amp;udm=2&amp;fbs=AIIjpHyT_SxYVhARa94nMDCzZuVE0arryPEhLekpbC7r6xABFKLMG1ndy20DTaZoCITXw-7Umq0xEnhBV2mOt0ZDIF3BngdbAxmde7z5iFP4cTWIomlRxRk8T0CaDKOMnnJbN9-xI4O-tGFAu-VgUMsFQYIGeqkHj2-j1_CbOz26lBWYuXTKANLLaZd0u3M75FUAjXncuTp2Nloxmkd7QETLxlC4kWGHCA&amp;q=manual+valve+ferrule+1+inch&amp;sa=X&amp;ved=2ahUKEwiTlMm8yv6QAxXra2wGHTtNMngQtKgLegQIFRAB&amp;biw=1366&amp;bih=611&amp;dpr=1" TargetMode="External"/><Relationship Id="rId447" Type="http://schemas.openxmlformats.org/officeDocument/2006/relationships/hyperlink" Target="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 TargetMode="External"/><Relationship Id="rId204" Type="http://schemas.openxmlformats.org/officeDocument/2006/relationships/hyperlink" Target="https://www.tokopedia.com/grandyc/freon-r32-refrigerant?extParam=ivf%3Dfalse%26keyword%3Dfreon+r32%26search_id%3D2025082107024211B9842E0A271F1718O6%26src%3Dsearch&amp;t_id=1755758423342&amp;t_st=5&amp;t_pp=search_result&amp;t_efo=search_pure_goods_card&amp;t_ef=goods_search&amp;t_sm=&amp;t_spt=search_result" TargetMode="External"/><Relationship Id="rId325" Type="http://schemas.openxmlformats.org/officeDocument/2006/relationships/hyperlink" Target="https://www.google.com/search?sca_esv=d0ca274367ee7348&amp;rlz=1C1GCEA_enID1076ID1076&amp;sxsrf=AE3TifOf34lCmv28ARxFtg2sGvWfjzdvVg:1763567935840&amp;udm=2&amp;fbs=AIIjpHz7wsNGIr2JtZ-cHhz0krGlm2QhyjMco2nIu0lirb5Sihx-b0oAhyDYmGb5K9FIrXnzOgwGXLvOhrKVu2C30f2dzKv7C4XgSQa1hl_UJAwH8FSU7s3FbDlJqp4LylrMOnYM2i_-JwM11ZJ21P2QhQMkb49PeI80SCQfL7ZganQG_WCfAHvDGGECtj5XnaFS65y6uz3gAd9UiMSjjPJJQv1Jsrm45A&amp;q=manual+valve+3/4+inch+ferrule&amp;sa=X&amp;ved=2ahUKEwiZlenCyv6QAxXTRmwGHShuMvkQtKgLegQIFRAB&amp;biw=1366&amp;bih=653&amp;dpr=1" TargetMode="External"/><Relationship Id="rId446" Type="http://schemas.openxmlformats.org/officeDocument/2006/relationships/hyperlink" Target="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 TargetMode="External"/><Relationship Id="rId203" Type="http://schemas.openxmlformats.org/officeDocument/2006/relationships/hyperlink" Target="https://www.tokopedia.com/totalsolusi/vlok-tee-2-1-2-x-3-4-inch-reducing-t-2-1-2-x-3-4-scg?t_id=1747715906676&amp;t_st=1&amp;t_pp=cart&amp;t_efo=cart&amp;t_ef=&amp;t_sm=&amp;t_spt=cart" TargetMode="External"/><Relationship Id="rId324" Type="http://schemas.openxmlformats.org/officeDocument/2006/relationships/hyperlink" Target="https://drive.google.com/file/d/14v-JLYNTKcxGSHDY3i1U6DDR6e2IC6uZ/view?usp=drive_link" TargetMode="External"/><Relationship Id="rId445" Type="http://schemas.openxmlformats.org/officeDocument/2006/relationships/hyperlink" Target="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 TargetMode="External"/><Relationship Id="rId209" Type="http://schemas.openxmlformats.org/officeDocument/2006/relationships/hyperlink" Target="https://www.tokopedia.com/schneiderel/schneider-electric-new-domae-mcb-32a-3p-domf01332-1731425257974499220?extParam=ivf%3Dfalse%26keyword%3Dmcb+3p+32a%26search_id%3D2025071310082137BC2F75BF1BCF37FZG7%26src%3Dsearch&amp;t_id=1752399739361&amp;t_st=25&amp;t_pp=search_result&amp;t_efo=search_pure_goods_card&amp;t_ef=goods_search&amp;t_sm=&amp;t_spt=search_result" TargetMode="External"/><Relationship Id="rId208" Type="http://schemas.openxmlformats.org/officeDocument/2006/relationships/hyperlink" Target="https://www.tokopedia.com/tokomegalistrik/schneider-busbar-sisir-3-fasa-63a-10391?extParam=ivf%3Dfalse%26keyword%3Dschneider+comb+busbar%2Fsisir+mcb+3p%26search_id%3D2025071705131137BC2F75BF1BCF2A8NR5%26src%3Dsearch&amp;t_id=1752728510891&amp;t_st=8&amp;t_pp=search_result&amp;t_efo=search_pure_goods_card&amp;t_ef=goods_search&amp;t_sm=&amp;t_spt=search_result" TargetMode="External"/><Relationship Id="rId329" Type="http://schemas.openxmlformats.org/officeDocument/2006/relationships/hyperlink" Target="https://shopee.co.id/FESTO-PUSH-IN-FITTING-QS-1-4-8-(-153005-)-i.269561947.5036462597" TargetMode="External"/><Relationship Id="rId207" Type="http://schemas.openxmlformats.org/officeDocument/2006/relationships/hyperlink" Target="https://drive.google.com/drive/folders/1Xyv1oliWyWvM7tP4_7-zA1iuobzNFzN3?usp=drive_link" TargetMode="External"/><Relationship Id="rId328" Type="http://schemas.openxmlformats.org/officeDocument/2006/relationships/hyperlink" Target="https://www.tokopedia.com/tokofitting/pneumatic-push-in-8mm-x-1-2-festo-qs-1-2-8?utm_source=google&amp;utm_medium=organic&amp;utm_campaign=pdp" TargetMode="External"/><Relationship Id="rId449" Type="http://schemas.openxmlformats.org/officeDocument/2006/relationships/hyperlink" Target="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 TargetMode="External"/><Relationship Id="rId440" Type="http://schemas.openxmlformats.org/officeDocument/2006/relationships/hyperlink" Target="https://tk.tokopedia.com/ZSDvcvphB/" TargetMode="External"/><Relationship Id="rId202" Type="http://schemas.openxmlformats.org/officeDocument/2006/relationships/hyperlink" Target="https://www.tokopedia.com/nusanjadi/pressure-gauge-full-stainless-4-0-6-bar" TargetMode="External"/><Relationship Id="rId323" Type="http://schemas.openxmlformats.org/officeDocument/2006/relationships/hyperlink" Target="https://drive.google.com/file/d/14v-JLYNTKcxGSHDY3i1U6DDR6e2IC6uZ/view?usp=drive_link" TargetMode="External"/><Relationship Id="rId444" Type="http://schemas.openxmlformats.org/officeDocument/2006/relationships/hyperlink" Target="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 TargetMode="External"/><Relationship Id="rId201" Type="http://schemas.openxmlformats.org/officeDocument/2006/relationships/hyperlink" Target="https://www.tokopedia.com/kitzvalve/kitz-brass-ball-valve-fig-400-t-1-2-15a-15mm-drat-screw-1730871264804767182?t_id=1747715906676&amp;t_st=3&amp;t_pp=cart&amp;t_efo=cart&amp;t_ef=&amp;t_sm=&amp;t_spt=cart" TargetMode="External"/><Relationship Id="rId322" Type="http://schemas.openxmlformats.org/officeDocument/2006/relationships/hyperlink" Target="https://www.tokopedia.com/tekiro-rexco/tekiro-tang-buaya-bengkok-10-inch-tang-buaya-tang-jepit?extParam=ivf%3Dfalse%26keyword%3Dtang+buaya+tekiro%26search_id%3D20251118103515D81F9C1BE2E0890FCAG5%26src%3Dsearch&amp;t_id=1763461286390&amp;t_st=9&amp;t_pp=search_result&amp;t_efo=search_pure_goods_card&amp;t_ef=goods_search&amp;t_sm=&amp;t_spt=search_result" TargetMode="External"/><Relationship Id="rId443" Type="http://schemas.openxmlformats.org/officeDocument/2006/relationships/hyperlink" Target="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 TargetMode="External"/><Relationship Id="rId200" Type="http://schemas.openxmlformats.org/officeDocument/2006/relationships/hyperlink" Target="https://www.tokopedia.com/setiajayabangunan/socket-sock-sok-drat-luar-rucika-pvc-1-2-3-4-1-inch-1730856356958996223" TargetMode="External"/><Relationship Id="rId321" Type="http://schemas.openxmlformats.org/officeDocument/2006/relationships/hyperlink" Target="https://www.tokopedia.com/dwyerofficial/dwyer-magnehelic-0-1000-pascal-differential-pressure-gauge?extParam=ivf%3Dfalse%26keyword%3Dmagnehelic+0+-+1000+dwyer%26search_id%3D20251118103347EF0D3930A7B6C93D01WY%26src%3Dsearch&amp;t_id=1763461286390&amp;t_st=8&amp;t_pp=search_result&amp;t_efo=search_pure_goods_card&amp;t_ef=goods_search&amp;t_sm=&amp;t_spt=search_result" TargetMode="External"/><Relationship Id="rId442" Type="http://schemas.openxmlformats.org/officeDocument/2006/relationships/hyperlink" Target="https://www.tokopedia.com/samsungjakarta/ram-pc-kingston-ddr3-4gb-1600mhz-pc-12800-1-5v-ori-ram-komputer-ddr3-4gb-longdimm-1729819347293734825?extParam=ivf%3Dfalse%26keyword%3Dram+4+gb+ddr3%26search_id%3D2026042204152334ED066DF378EF344J00%26src%3Dsearch&amp;t_id=1776832320690&amp;t_st=3&amp;t_pp=search_result&amp;t_efo=search_pure_goods_card&amp;t_ef=goods_search&amp;t_sm=&amp;t_spt=search_result" TargetMode="External"/><Relationship Id="rId320" Type="http://schemas.openxmlformats.org/officeDocument/2006/relationships/hyperlink" Target="https://www.tokopedia.com/dhuhateknik/pressure-gauge-with-electric-contact-pressure-gauge-switch-armatherm-10kg-4-inch-drat-1-2-inch-1731482437069014204?extParam=ivf%3Dfalse%26keyword%3Dpressure+switch+pressure+gauge%26search_id%3D2025111810211737BC2F75BF1BCF078ARN%26src%3Dsearch&amp;t_id=1763461286390&amp;t_st=3&amp;t_pp=search_result&amp;t_efo=search_pure_goods_card&amp;t_ef=goods_search&amp;t_sm=&amp;t_spt=search_result" TargetMode="External"/><Relationship Id="rId441" Type="http://schemas.openxmlformats.org/officeDocument/2006/relationships/hyperlink" Target="https://www.tokopedia.com/it-shoponline/seagate-barracuda-35-desktop-1tb-harddisk-1729568468913260609?extParam=ivf%3Dfalse%26keyword%3Dhdd+3.5+1tb+seagate%26search_id%3D2026050305424440008B9A5380FC10CY8F%26src%3Dsearch%26whid%3D12666244&amp;t_id=1777786980558&amp;t_st=1&amp;t_pp=search_result&amp;t_efo=search_pure_goods_card&amp;t_ef=goods_search&amp;t_sm=&amp;t_spt=search_result" TargetMode="External"/><Relationship Id="rId316" Type="http://schemas.openxmlformats.org/officeDocument/2006/relationships/hyperlink" Target="https://www.tokopedia.com/kitzvalve/kitz-stainless-ball-valve-fig-600-utkm-3-8-10mm-drat-screw?extParam=ivf%3Dfalse%26keyword%3Dvalve+kitz+stainless+3%2F8%26search_id%3D2025111409354020F07591C6FCB2067RS6%26src%3Dsearch&amp;t_id=1763111423290&amp;t_st=3&amp;t_pp=search_result&amp;t_efo=search_pure_goods_card&amp;t_ef=goods_search&amp;t_sm=&amp;t_spt=search_result" TargetMode="External"/><Relationship Id="rId437" Type="http://schemas.openxmlformats.org/officeDocument/2006/relationships/hyperlink" Target="https://shopee.co.id/product/374626687/3477781329?gads_t_sig=gqRjZGVrxHCFomtpsTE0MjUxOnRzc19zZGtfa2V5omt20QABpGFsZ2_SAAAAZKNkZWvAomN0xEAAAAAMRvS3L9OTXdZ5FJNxILig8p7lQ7pNpXYtdZAbsM8MQrkGmzJ0eOQRwaQfuYgAF9FAqYvxRTQ9oVrOjPOJqmNpcGhlcnRleHTEbwAAAAykPENgu2UiSJOdfSgVGdwS-0MS9NSHftqZS1AqUOcKOd6s7CBMim585dAwyu_mxbIvm6c0Jl_H6PwYVQ7Go1A0iyc3kjl85nHRJf-UzG6k3UqaeV4uW8JPn_KJLoG9A2V-r8UFYyezZtrU9Q&amp;gad_source=1&amp;gad_campaignid=23290582497&amp;gbraid=0AAAAADPpU80bLni-osjaedmdB_ob8fKd-&amp;gclid=CjwKCAjwwJzPBhBREiwAJfHRnRT3hlfkMpkJSDHZNu04tdFYMRaiNfM3ySpZw6HeLqC9IW3-0gtichoCSYAQAvD_BwE" TargetMode="External"/><Relationship Id="rId315" Type="http://schemas.openxmlformats.org/officeDocument/2006/relationships/hyperlink" Target="https://www.tokopedia.com/kitzvalve/kitz-stainless-ball-valve-fig-600-utkm-1-4-8a-8mm-drat-screw?extParam=ivf%3Dfalse%26keyword%3Dvalve+kitz+stainless+1%2F4%26search_id%3D2025111409255834ED066DF378EF31620N%26src%3Dsearch&amp;t_id=1763111423290&amp;t_st=2&amp;t_pp=search_result&amp;t_efo=search_pure_goods_card&amp;t_ef=goods_search&amp;t_sm=&amp;t_spt=search_result" TargetMode="External"/><Relationship Id="rId436" Type="http://schemas.openxmlformats.org/officeDocument/2006/relationships/hyperlink" Target="https://shopee.co.id/product/1410113315/29720530891?gads_t_sig=gqRjZGVrxHCFomtpsTE0MjUxOnRzc19zZGtfa2V5omt20QABpGFsZ2_SAAAAZKNkZWvAomN0xEAAAAAMRvS3L9OTXdZ5FJNxILig8p7lQ7pNpXYtdZAbsM8MQrkGmzJ0eOQRwaQfuYgAF9FAqYvxRTQ9oVrOjPOJqmNpcGhlcnRleHTEcwAAAAx-KXqI_vgakUFeqSwGS_l1UVBW2vxYI2L3umjGBsc6CG0CagoC9jwNBZY06PuYSQkCNM9-ulPUQVzkYGzo7AtDnslO4deh5EodoDqlR9MQla4kFok1CxmZbhoDYAF4h_V_BSC69CgfPu2O4gdNjMA&amp;gad_source=1&amp;gad_campaignid=23290582497&amp;gbraid=0AAAAADPpU80bLni-osjaedmdB_ob8fKd-&amp;gclid=CjwKCAjwwJzPBhBREiwAJfHRnVNoiwmhXvZSxByCToE0wsUMjMpYHm7pcX8TT215i1MhUYWDtrd1JBoCqigQAvD_BwE" TargetMode="External"/><Relationship Id="rId314" Type="http://schemas.openxmlformats.org/officeDocument/2006/relationships/hyperlink" Target="https://www.tokopedia.com/indomakers/gb5789-serrated-flanged-hexagon-bolt-stainless-steel-sus304-m5x16-isi-10pcs-1731645178796410672?extParam=ivf%3Dfalse%26keyword%3Dgb5789+%26search_id%3D2026012615170637BC2F75BF1BCF0E5LSC%26src%3Dsearch&amp;t_id=1769440677424&amp;t_st=1&amp;t_pp=search_result&amp;t_efo=search_pure_goods_card&amp;t_ef=goods_search&amp;t_sm=&amp;t_spt=search_result" TargetMode="External"/><Relationship Id="rId435" Type="http://schemas.openxmlformats.org/officeDocument/2006/relationships/hyperlink" Target="https://www.tokopedia.com/miraclesporty/mesin-bor-beton-bosch-rotary-hammer-hammer-drill-bor-bobok-gbh-220-gbh220-bor-beton-tembok-22mm-1730590333702997662?aff_unique_id=&amp;channel=others&amp;chain_key=" TargetMode="External"/><Relationship Id="rId313" Type="http://schemas.openxmlformats.org/officeDocument/2006/relationships/hyperlink" Target="https://www.tokopedia.com/avo2001/1pack-100pcs-m5-mur-rivet-stainles-ss-304-mur-furniture-ss-304-rivet-nut-stainless-304-1731042401031521814?extParam=ivf%3Dfalse%26keyword%3Drivet+nuts+mur+m5+stainlees%26search_id%3D2025111214133120F07591C6FCB21550U5%26src%3Dsearch&amp;t_id=1762956816005&amp;t_st=2&amp;t_pp=search_result&amp;t_efo=search_pure_goods_card&amp;t_ef=goods_search&amp;t_sm=&amp;t_spt=search_result" TargetMode="External"/><Relationship Id="rId434" Type="http://schemas.openxmlformats.org/officeDocument/2006/relationships/hyperlink" Target="https://drive.google.com/drive/folders/1YsryhUe8jgRHicPjwSsSK_nouvdeR44n?usp=sharing" TargetMode="External"/><Relationship Id="rId319" Type="http://schemas.openxmlformats.org/officeDocument/2006/relationships/hyperlink" Target="https://drive.google.com/drive/folders/1yuEl7iXhO2CNHBU_QX3E2WIoVpf9adEo?usp=sharing" TargetMode="External"/><Relationship Id="rId318" Type="http://schemas.openxmlformats.org/officeDocument/2006/relationships/hyperlink" Target="https://shopee.co.id/product/138926279/25359413619?gads_t_sig=VTJGc2RHVmtYMTlxTFVSVVRrdENkWVp3RFo3Mkw5czd4Z0hzdEF1WVFia1ZaQnFDSDhMcEFUR0pZV3I4S1NNc2VvNmh5VUVVbzFVbnQ0NkZ0eFFmREdWTDh4ZnNDZUNiNUlOVDNDeC9LQmRXUW81dkNWZ2FiVm05cmpLb2RTSE5WV2dJa3NoVFpHUUVUNi84Qm5WQnhnb0l2eE4vcjA3ZGI3ZSsyaXkxVXJRPQ&amp;share_channel_code=1&amp;uls_trackid=547171d1013e&amp;utm_campaign=id_CDrijdr49t&amp;utm_content=----&amp;utm_medium=affiliates&amp;utm_source=an_11323310810&amp;utm_term=dyw3zcexhve3" TargetMode="External"/><Relationship Id="rId439" Type="http://schemas.openxmlformats.org/officeDocument/2006/relationships/hyperlink" Target="https://drive.google.com/file/d/1wM-9n7WDrWWYEFsPO11kqSs5Hp9UTVX8/view?usp=sharing" TargetMode="External"/><Relationship Id="rId317" Type="http://schemas.openxmlformats.org/officeDocument/2006/relationships/hyperlink" Target="https://www.tokopedia.com/cahayabajabersinar/baut-l-stainless-steel-304-m5-x-40mm-50mm-ht-socket-cap-screw-m5-x-50mm-676dd?extParam=ivf%3Dfalse%26keyword%3Dbaut+l+m5x50%26search_id%3D2025111412384134ED066DF378EF152KKJ%26src%3Dsearch&amp;t_id=1763123932206&amp;t_st=3&amp;t_pp=search_result&amp;t_efo=search_pure_goods_card&amp;t_ef=goods_search&amp;t_sm=&amp;t_spt=search_result" TargetMode="External"/><Relationship Id="rId438" Type="http://schemas.openxmlformats.org/officeDocument/2006/relationships/hyperlink" Target="https://tk.tokopedia.com/ZS9RrKwA5/" TargetMode="External"/><Relationship Id="rId312" Type="http://schemas.openxmlformats.org/officeDocument/2006/relationships/hyperlink" Target="https://shopee.co.id/Tang-Riveter-nuts-guns-with-nuts-110-pcs-i.1350425502.29814821242?extraParams=%7B%22display_model_id%22%3A207900299653%2C%22model_selection_logic%22%3A3%7D&amp;sp_atk=132c58a9-1d7f-452f-9eb1-021003caed19&amp;xptdk=132c58a9-1d7f-452f-9eb1-021003caed19" TargetMode="External"/><Relationship Id="rId433" Type="http://schemas.openxmlformats.org/officeDocument/2006/relationships/hyperlink" Target="https://drive.google.com/drive/folders/11118Cc_L-ROcwEY62w3m9tggLAi2Ercf?usp=drive_link" TargetMode="External"/><Relationship Id="rId311" Type="http://schemas.openxmlformats.org/officeDocument/2006/relationships/hyperlink" Target="https://www.tokopedia.com/bosch-tools-authorized-bts/bosch-head-lamp-torch-headlight-190lm-ipx-4-lampu-kerja-senter-kepala?extParam=ivf%3Dfalse%26keyword%3Dbosch+senter+kepala%26search_id%3D2025111102370211B9842E0A271F20EVMM%26src%3Dsearch&amp;t_id=1762828426571&amp;t_st=2&amp;t_pp=search_result&amp;t_efo=search_pure_goods_card&amp;t_ef=goods_search&amp;t_sm=&amp;t_spt=search_result" TargetMode="External"/><Relationship Id="rId432" Type="http://schemas.openxmlformats.org/officeDocument/2006/relationships/hyperlink" Target="https://shopee.co.id/product/287681718/21308319884?gads_t_sig=gqRjZGVrxHCFomtpsTE0MjUxOnRzc19zZGtfa2V5omt20QABpGFsZ2_SAAAAZKNkZWvAomN0xEAAAAAMRvS3L9OTXdZ5FJNxILig8p7lQ7pNpXYtdZAbsM8MQrkGmzJ0eOQRwaQfuYgAF9FAqYvxRTQ9oVrOjPOJqmNpcGhlcnRleHTEcQAAAAw-R2r-8X4dMxBDEzJh3pQDGCIkVXaSSOa4dVheX-NNYjU1-tBPNZgcvbaRd_DqMV96QwisDCTfJN59rit3rVP5X3b8mMFsU1Z0aK816OTpAV2tGQ6-NVwsOuLQr0KGY-ptxQJ_k99fIn0IrPVE&amp;gad_source=1&amp;gad_campaignid=23631329745&amp;gbraid=0AAAAADPpU83Hg09HXhYzviD5WvOmTFOrQ&amp;gclid=CjwKCAjwnZfPBhAGEiwAzg-VzCDMhdbiRijeYWeh_lNAk8KJgrm9uaje72hZQemvJGOJZyZw3oyWAxoCt_EQAvD_BwE" TargetMode="External"/><Relationship Id="rId310" Type="http://schemas.openxmlformats.org/officeDocument/2006/relationships/hyperlink" Target="https://tk.tokopedia.com/ZSy6jMxHp/" TargetMode="External"/><Relationship Id="rId431" Type="http://schemas.openxmlformats.org/officeDocument/2006/relationships/hyperlink" Target="https://tk.tokopedia.com/ZSHs6wgr4/" TargetMode="External"/><Relationship Id="rId430" Type="http://schemas.openxmlformats.org/officeDocument/2006/relationships/hyperlink" Target="https://tk.tokopedia.com/ZSHsjcGVh/"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tokopedia.link/Wu42ntfqhRb" TargetMode="External"/><Relationship Id="rId2" Type="http://schemas.openxmlformats.org/officeDocument/2006/relationships/hyperlink" Target="https://drive.google.com/drive/folders/1AM6C0hzUr-5v39s7s6tXSZAMPk5WCFlV?usp=drive_link"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PmXhE0uaWBmdrU38AYtA6RWQzZeilTrR?usp=sharing" TargetMode="External"/><Relationship Id="rId2" Type="http://schemas.openxmlformats.org/officeDocument/2006/relationships/hyperlink" Target="https://drive.google.com/file/d/1eB1GBhClpSB3KQLD6ILfdPLUY2GlFT6I/view?usp=drive_link" TargetMode="External"/><Relationship Id="rId3" Type="http://schemas.openxmlformats.org/officeDocument/2006/relationships/hyperlink" Target="https://drive.google.com/file/d/1-h2TDtuzkLxo8sO3ozwve8eKzVgbFJdE/view?usp=drive_link" TargetMode="External"/><Relationship Id="rId4" Type="http://schemas.openxmlformats.org/officeDocument/2006/relationships/hyperlink" Target="https://drive.google.com/file/d/1lD1mSPrETOmvLPnS_AL655OtiMI78mW8/view?usp=sharing" TargetMode="External"/><Relationship Id="rId9" Type="http://schemas.openxmlformats.org/officeDocument/2006/relationships/hyperlink" Target="https://drive.google.com/file/d/1l2c2oU_b7292Cr-xT5s7bgAGFfToWAfO/view?usp=drive_link" TargetMode="External"/><Relationship Id="rId5" Type="http://schemas.openxmlformats.org/officeDocument/2006/relationships/hyperlink" Target="https://drive.google.com/file/d/1C9xRrPXc3CBDEByqX4kB4uzRq--AoThb/view?usp=drive_link" TargetMode="External"/><Relationship Id="rId6" Type="http://schemas.openxmlformats.org/officeDocument/2006/relationships/hyperlink" Target="https://drive.google.com/drive/folders/17mXglJ9K1YwOmSbaJqgh19jaVjU8Mwj1?usp=drive_link" TargetMode="External"/><Relationship Id="rId7" Type="http://schemas.openxmlformats.org/officeDocument/2006/relationships/hyperlink" Target="https://drive.google.com/file/d/1LoODjj6kphgkZ98SaZaUvvgZWiw-_AFu/view?usp=drive_link" TargetMode="External"/><Relationship Id="rId8" Type="http://schemas.openxmlformats.org/officeDocument/2006/relationships/hyperlink" Target="https://drive.google.com/file/d/1F2uqlJFYcJigpqNY7BEjQLnMRBY9xb6E/view?usp=drive_link" TargetMode="External"/><Relationship Id="rId11" Type="http://schemas.openxmlformats.org/officeDocument/2006/relationships/hyperlink" Target="https://drive.google.com/file/d/1uAXqbtWz6Y-hfUlLHPwk3RfX5j593lI6/view?usp=sharing" TargetMode="External"/><Relationship Id="rId10" Type="http://schemas.openxmlformats.org/officeDocument/2006/relationships/hyperlink" Target="https://drive.google.com/file/d/1oX43wMBjJNBYOeMUKOS6Yy3FR5Z_zgfj/view?usp=drive_link" TargetMode="External"/><Relationship Id="rId13" Type="http://schemas.openxmlformats.org/officeDocument/2006/relationships/hyperlink" Target="https://drive.google.com/drive/folders/1GuJq1W6y1ezFtGSc6yqEoeh1yR5IOfgz" TargetMode="External"/><Relationship Id="rId12" Type="http://schemas.openxmlformats.org/officeDocument/2006/relationships/hyperlink" Target="https://drive.google.com/drive/folders/1GuJq1W6y1ezFtGSc6yqEoeh1yR5IOfgz" TargetMode="External"/><Relationship Id="rId15" Type="http://schemas.openxmlformats.org/officeDocument/2006/relationships/drawing" Target="../drawings/drawing10.xml"/><Relationship Id="rId14" Type="http://schemas.openxmlformats.org/officeDocument/2006/relationships/hyperlink" Target="https://drive.google.com/drive/folders/1GuJq1W6y1ezFtGSc6yqEoeh1yR5IOfgz"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4.88"/>
    <col customWidth="1" min="3" max="3" width="7.63"/>
    <col customWidth="1" min="4" max="4" width="6.25"/>
    <col customWidth="1" min="5" max="5" width="9.88"/>
    <col customWidth="1" min="6" max="6" width="20.5"/>
    <col customWidth="1" min="7" max="7" width="3.75"/>
    <col customWidth="1" min="8" max="8" width="4.63"/>
    <col customWidth="1" min="9" max="9" width="4.75"/>
    <col customWidth="1" min="10" max="10" width="9.75"/>
    <col customWidth="1" min="11" max="11" width="17.63"/>
    <col customWidth="1" min="12" max="12" width="7.75"/>
    <col customWidth="1" min="13" max="13" width="11.88"/>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c r="A2" s="4">
        <f>IFERROR(__xludf.DUMMYFUNCTION("if(isna(QUERY({IMPORTRANGE(""1cQjqA9e_ROK_DL6lhwLlY--XdPO9xNC43VbfdVxxWsE"",""Re Order!B2:N"");IMPORTRANGE(""1z0nfI7RRQosYkqwM9LryCqReZEv89IqX7saa3TwWdVc"",""Re Order!B2:N"");IMPORTRANGE(""1YudYBN9S2lChWfS_pkwKtR9lFC12LcgIj6RggVc2iFo"", ""Re Order!B2:N"")"&amp;"; IMPORTRANGE(""1eINJ6HsAv5BvWrtwtk13CXExduMoD_WkrMSKy3LJlCM"", ""Re Order!B2:N"");importrange(""1OeurbDSDkvtHP1YfNsN7uf9Bh_zQ0fKnU6JJvS-fUmk"",""Re Order!B2:N"");importrange(""1o_G3OiybOBm1PhEKlTlMmcfRpd7w0N2lsKOv_Q-iB_c"",""Re Order!B2:N"");importrange("&amp;"""1EHW0nnlfros-DP7FeVO8wdSGjz_E0M22VyvMVuQAb4Y"",""Re Order!B2:N"");importrange(""1NvtqqkLL5FCQ2wJLsbulp8Yl05UgqaMnYHMx6xAbRuM"",""Re Order!B2:N"");importrange(""1lLIK3NQUx_vn2Or3MY4mnuTooWiDsfTuxQZJcuiZ_PU"",""Re Order!B2:N"");importrange(""18DIWpGrQi5sH"&amp;"3iEsnKXxiVF3WHvl5gqUy2R8lI2oPnk"",""Re Order!B2:N"");importrange(""1JYjxtMhJvmfzKBh16HDiTo1lpJaIJdusWLOMRTcWyG8"",""Re Order!B2:N"");importrange(""1pWfC8L9aOX-jH40t_eDbTYyag0jSXu2kttrNRmUoGyg"",""Re Order!B2:N"");importrange(""1R9Rwojmbt4YrHUeqVzIgXbY7Dag"&amp;"AvEb1-RzGUjJpMV8"",""Re Order!B2:N"");importrange(""1J4sZpKQpEWWldTKvmaqG1RUM6HH3juujFam5dK-MJ2I"",""Re Order!B2:N"");importrange(""1E4F_drOMHfl9nmGdjuVVKsBj4LihHj_ug7mzoCiv_yw"",""Re Order!B2:N"");importrange(""1nCi_wyNHV1dHm6H1xxgptdUxG-Va9z6VEv44geRfT3"&amp;"s"",""Re Order!B2:N"")}, ""SELECT * WHERE Col1 IS NOT NULL ORDER BY Col1 ASC"")),"""",QUERY({IMPORTRANGE(""1cQjqA9e_ROK_DL6lhwLlY--XdPO9xNC43VbfdVxxWsE"",""Re Order!B2:N"");IMPORTRANGE(""1z0nfI7RRQosYkqwM9LryCqReZEv89IqX7saa3TwWdVc"",""Re Order!B2:N"");IM"&amp;"PORTRANGE(""1YudYBN9S2lChWfS_pkwKtR9lFC12LcgIj6RggVc2iFo"", ""Re Order!B2:N""); IMPORTRANGE(""1eINJ6HsAv5BvWrtwtk13CXExduMoD_WkrMSKy3LJlCM"", ""Re Order!B2:N"");importrange(""1OeurbDSDkvtHP1YfNsN7uf9Bh_zQ0fKnU6JJvS-fUmk"",""Re Order!B2:N"");importrange("""&amp;"1o_G3OiybOBm1PhEKlTlMmcfRpd7w0N2lsKOv_Q-iB_c"",""Re Order!B2:N"");importrange(""1EHW0nnlfros-DP7FeVO8wdSGjz_E0M22VyvMVuQAb4Y"",""Re Order!B2:N"");importrange(""1NvtqqkLL5FCQ2wJLsbulp8Yl05UgqaMnYHMx6xAbRuM"",""Re Order!B2:N"");importrange(""1lLIK3NQUx_vn2O"&amp;"r3MY4mnuTooWiDsfTuxQZJcuiZ_PU"",""Re Order!B2:N"");importrange(""18DIWpGrQi5sH3iEsnKXxiVF3WHvl5gqUy2R8lI2oPnk"",""Re Order!B2:N"");importrange(""1JYjxtMhJvmfzKBh16HDiTo1lpJaIJdusWLOMRTcWyG8"",""Re Order!B2:N"");importrange(""1pWfC8L9aOX-jH40t_eDbTYyag0jSX"&amp;"u2kttrNRmUoGyg"",""Re Order!B2:N"");importrange(""1R9Rwojmbt4YrHUeqVzIgXbY7DagAvEb1-RzGUjJpMV8"",""Re Order!B2:N"");importrange(""1J4sZpKQpEWWldTKvmaqG1RUM6HH3juujFam5dK-MJ2I"",""Re Order!B2:N"");importrange(""1E4F_drOMHfl9nmGdjuVVKsBj4LihHj_ug7mzoCiv_yw"&amp;""",""Re Order!B2:N"");importrange(""1nCi_wyNHV1dHm6H1xxgptdUxG-Va9z6VEv44geRfT3s"",""Re Order!B2:N"")}, ""SELECT * WHERE Col1 IS NOT NULL ORDER BY Col1 ASC""))"),45678.67155555555)</f>
        <v>45678.67156</v>
      </c>
      <c r="B2" s="3" t="str">
        <f>IFERROR(__xludf.DUMMYFUNCTION("""COMPUTED_VALUE"""),"SFHRO0001")</f>
        <v>SFHRO0001</v>
      </c>
      <c r="C2" s="3" t="str">
        <f>IFERROR(__xludf.DUMMYFUNCTION("""COMPUTED_VALUE"""),"Consumable")</f>
        <v>Consumable</v>
      </c>
      <c r="D2" s="3" t="str">
        <f>IFERROR(__xludf.DUMMYFUNCTION("""COMPUTED_VALUE"""),"-")</f>
        <v>-</v>
      </c>
      <c r="E2" s="3" t="str">
        <f>IFERROR(__xludf.DUMMYFUNCTION("""COMPUTED_VALUE"""),"lantai 2 ")</f>
        <v>lantai 2 </v>
      </c>
      <c r="F2" s="3" t="str">
        <f>IFERROR(__xludf.DUMMYFUNCTION("""COMPUTED_VALUE"""),"Compound / Kompon Gypsum;No Brand;;pack size 20 kg per pck")</f>
        <v>Compound / Kompon Gypsum;No Brand;;pack size 20 kg per pck</v>
      </c>
      <c r="G2" s="3">
        <f>IFERROR(__xludf.DUMMYFUNCTION("""COMPUTED_VALUE"""),60.0)</f>
        <v>60</v>
      </c>
      <c r="H2" s="3" t="str">
        <f>IFERROR(__xludf.DUMMYFUNCTION("""COMPUTED_VALUE"""),"kg")</f>
        <v>kg</v>
      </c>
      <c r="I2" s="3" t="str">
        <f>IFERROR(__xludf.DUMMYFUNCTION("""COMPUTED_VALUE"""),"-")</f>
        <v>-</v>
      </c>
      <c r="J2" s="3" t="str">
        <f>IFERROR(__xludf.DUMMYFUNCTION("""COMPUTED_VALUE"""),"Q-10302-00")</f>
        <v>Q-10302-00</v>
      </c>
      <c r="K2" s="3" t="str">
        <f>IFERROR(__xludf.DUMMYFUNCTION("""COMPUTED_VALUE"""),"Approve")</f>
        <v>Approve</v>
      </c>
      <c r="L2" s="3" t="str">
        <f>IFERROR(__xludf.DUMMYFUNCTION("""COMPUTED_VALUE"""),"Urgent")</f>
        <v>Urgent</v>
      </c>
      <c r="M2" s="3" t="str">
        <f>IFERROR(__xludf.DUMMYFUNCTION("""COMPUTED_VALUE"""),"Approve")</f>
        <v>Approve</v>
      </c>
    </row>
    <row r="3">
      <c r="A3" s="4">
        <f>IFERROR(__xludf.DUMMYFUNCTION("""COMPUTED_VALUE"""),45678.67302818287)</f>
        <v>45678.67303</v>
      </c>
      <c r="B3" s="3" t="str">
        <f>IFERROR(__xludf.DUMMYFUNCTION("""COMPUTED_VALUE"""),"SFHRO0002")</f>
        <v>SFHRO0002</v>
      </c>
      <c r="C3" s="3" t="str">
        <f>IFERROR(__xludf.DUMMYFUNCTION("""COMPUTED_VALUE"""),"MIn Stok")</f>
        <v>MIn Stok</v>
      </c>
      <c r="D3" s="3" t="str">
        <f>IFERROR(__xludf.DUMMYFUNCTION("""COMPUTED_VALUE"""),"-")</f>
        <v>-</v>
      </c>
      <c r="E3" s="3" t="str">
        <f>IFERROR(__xludf.DUMMYFUNCTION("""COMPUTED_VALUE"""),"lantai 2")</f>
        <v>lantai 2</v>
      </c>
      <c r="F3" s="3" t="str">
        <f>IFERROR(__xludf.DUMMYFUNCTION("""COMPUTED_VALUE"""),"Door Seal Karet Penutup Bawah Pintu Abu 2,5 cm x 1 M; ; ;")</f>
        <v>Door Seal Karet Penutup Bawah Pintu Abu 2,5 cm x 1 M; ; ;</v>
      </c>
      <c r="G3" s="3">
        <f>IFERROR(__xludf.DUMMYFUNCTION("""COMPUTED_VALUE"""),10.0)</f>
        <v>10</v>
      </c>
      <c r="H3" s="3" t="str">
        <f>IFERROR(__xludf.DUMMYFUNCTION("""COMPUTED_VALUE"""),"m")</f>
        <v>m</v>
      </c>
      <c r="I3" s="3" t="str">
        <f>IFERROR(__xludf.DUMMYFUNCTION("""COMPUTED_VALUE"""),"-")</f>
        <v>-</v>
      </c>
      <c r="J3" s="3" t="str">
        <f>IFERROR(__xludf.DUMMYFUNCTION("""COMPUTED_VALUE"""),"Q-10984-00")</f>
        <v>Q-10984-00</v>
      </c>
      <c r="K3" s="3" t="str">
        <f>IFERROR(__xludf.DUMMYFUNCTION("""COMPUTED_VALUE"""),"Approve")</f>
        <v>Approve</v>
      </c>
      <c r="L3" s="3" t="str">
        <f>IFERROR(__xludf.DUMMYFUNCTION("""COMPUTED_VALUE"""),"Normal")</f>
        <v>Normal</v>
      </c>
      <c r="M3" s="3" t="str">
        <f>IFERROR(__xludf.DUMMYFUNCTION("""COMPUTED_VALUE"""),"Non Urgent")</f>
        <v>Non Urgent</v>
      </c>
    </row>
    <row r="4">
      <c r="A4" s="4">
        <f>IFERROR(__xludf.DUMMYFUNCTION("""COMPUTED_VALUE"""),45679.47850109954)</f>
        <v>45679.4785</v>
      </c>
      <c r="B4" s="3" t="str">
        <f>IFERROR(__xludf.DUMMYFUNCTION("""COMPUTED_VALUE"""),"MOBRO0001")</f>
        <v>MOBRO0001</v>
      </c>
      <c r="C4" s="3" t="str">
        <f>IFERROR(__xludf.DUMMYFUNCTION("""COMPUTED_VALUE"""),"Consumable")</f>
        <v>Consumable</v>
      </c>
      <c r="D4" s="3" t="str">
        <f>IFERROR(__xludf.DUMMYFUNCTION("""COMPUTED_VALUE"""),"-")</f>
        <v>-</v>
      </c>
      <c r="E4" s="3" t="str">
        <f>IFERROR(__xludf.DUMMYFUNCTION("""COMPUTED_VALUE"""),"Building")</f>
        <v>Building</v>
      </c>
      <c r="F4" s="3" t="str">
        <f>IFERROR(__xludf.DUMMYFUNCTION("""COMPUTED_VALUE"""),"General - Elbow PVC 90 AW 1/2inch; Rucika; -; 1 Pc")</f>
        <v>General - Elbow PVC 90 AW 1/2inch; Rucika; -; 1 Pc</v>
      </c>
      <c r="G4" s="3">
        <f>IFERROR(__xludf.DUMMYFUNCTION("""COMPUTED_VALUE"""),5.0)</f>
        <v>5</v>
      </c>
      <c r="H4" s="3" t="str">
        <f>IFERROR(__xludf.DUMMYFUNCTION("""COMPUTED_VALUE"""),"Pcs")</f>
        <v>Pcs</v>
      </c>
      <c r="I4" s="3" t="str">
        <f>IFERROR(__xludf.DUMMYFUNCTION("""COMPUTED_VALUE"""),"-")</f>
        <v>-</v>
      </c>
      <c r="J4" s="3" t="str">
        <f>IFERROR(__xludf.DUMMYFUNCTION("""COMPUTED_VALUE"""),"P-10859-00")</f>
        <v>P-10859-00</v>
      </c>
      <c r="K4" s="3" t="str">
        <f>IFERROR(__xludf.DUMMYFUNCTION("""COMPUTED_VALUE"""),"Approve")</f>
        <v>Approve</v>
      </c>
      <c r="L4" s="3" t="str">
        <f>IFERROR(__xludf.DUMMYFUNCTION("""COMPUTED_VALUE"""),"Normal")</f>
        <v>Normal</v>
      </c>
      <c r="M4" s="3" t="str">
        <f>IFERROR(__xludf.DUMMYFUNCTION("""COMPUTED_VALUE"""),"Non Urgent")</f>
        <v>Non Urgent</v>
      </c>
    </row>
    <row r="5">
      <c r="A5" s="4">
        <f>IFERROR(__xludf.DUMMYFUNCTION("""COMPUTED_VALUE"""),45679.47935678241)</f>
        <v>45679.47936</v>
      </c>
      <c r="B5" s="3" t="str">
        <f>IFERROR(__xludf.DUMMYFUNCTION("""COMPUTED_VALUE"""),"MOBRO0002")</f>
        <v>MOBRO0002</v>
      </c>
      <c r="C5" s="3" t="str">
        <f>IFERROR(__xludf.DUMMYFUNCTION("""COMPUTED_VALUE"""),"Consumable")</f>
        <v>Consumable</v>
      </c>
      <c r="D5" s="3" t="str">
        <f>IFERROR(__xludf.DUMMYFUNCTION("""COMPUTED_VALUE"""),"-")</f>
        <v>-</v>
      </c>
      <c r="E5" s="3" t="str">
        <f>IFERROR(__xludf.DUMMYFUNCTION("""COMPUTED_VALUE"""),"Building")</f>
        <v>Building</v>
      </c>
      <c r="F5" s="3" t="str">
        <f>IFERROR(__xludf.DUMMYFUNCTION("""COMPUTED_VALUE"""),"Fitting PVC - Elbow PVC 3/4""")</f>
        <v>Fitting PVC - Elbow PVC 3/4"</v>
      </c>
      <c r="G5" s="3">
        <f>IFERROR(__xludf.DUMMYFUNCTION("""COMPUTED_VALUE"""),5.0)</f>
        <v>5</v>
      </c>
      <c r="H5" s="3" t="str">
        <f>IFERROR(__xludf.DUMMYFUNCTION("""COMPUTED_VALUE"""),"Pcs")</f>
        <v>Pcs</v>
      </c>
      <c r="I5" s="3" t="str">
        <f>IFERROR(__xludf.DUMMYFUNCTION("""COMPUTED_VALUE"""),"-")</f>
        <v>-</v>
      </c>
      <c r="J5" s="3" t="str">
        <f>IFERROR(__xludf.DUMMYFUNCTION("""COMPUTED_VALUE"""),"P-10865-00")</f>
        <v>P-10865-00</v>
      </c>
      <c r="K5" s="3" t="str">
        <f>IFERROR(__xludf.DUMMYFUNCTION("""COMPUTED_VALUE"""),"Approve")</f>
        <v>Approve</v>
      </c>
      <c r="L5" s="3" t="str">
        <f>IFERROR(__xludf.DUMMYFUNCTION("""COMPUTED_VALUE"""),"Normal")</f>
        <v>Normal</v>
      </c>
      <c r="M5" s="3" t="str">
        <f>IFERROR(__xludf.DUMMYFUNCTION("""COMPUTED_VALUE"""),"Non Urgent")</f>
        <v>Non Urgent</v>
      </c>
    </row>
    <row r="6">
      <c r="A6" s="4">
        <f>IFERROR(__xludf.DUMMYFUNCTION("""COMPUTED_VALUE"""),45679.47991846065)</f>
        <v>45679.47992</v>
      </c>
      <c r="B6" s="3" t="str">
        <f>IFERROR(__xludf.DUMMYFUNCTION("""COMPUTED_VALUE"""),"MOBRO0003")</f>
        <v>MOBRO0003</v>
      </c>
      <c r="C6" s="3" t="str">
        <f>IFERROR(__xludf.DUMMYFUNCTION("""COMPUTED_VALUE"""),"Consumable")</f>
        <v>Consumable</v>
      </c>
      <c r="D6" s="3" t="str">
        <f>IFERROR(__xludf.DUMMYFUNCTION("""COMPUTED_VALUE"""),"-")</f>
        <v>-</v>
      </c>
      <c r="E6" s="3" t="str">
        <f>IFERROR(__xludf.DUMMYFUNCTION("""COMPUTED_VALUE"""),"Building")</f>
        <v>Building</v>
      </c>
      <c r="F6" s="3" t="str">
        <f>IFERROR(__xludf.DUMMYFUNCTION("""COMPUTED_VALUE"""),"Fitting PVC - Elbow PVC 1""")</f>
        <v>Fitting PVC - Elbow PVC 1"</v>
      </c>
      <c r="G6" s="3">
        <f>IFERROR(__xludf.DUMMYFUNCTION("""COMPUTED_VALUE"""),5.0)</f>
        <v>5</v>
      </c>
      <c r="H6" s="3" t="str">
        <f>IFERROR(__xludf.DUMMYFUNCTION("""COMPUTED_VALUE"""),"Pcs")</f>
        <v>Pcs</v>
      </c>
      <c r="I6" s="3" t="str">
        <f>IFERROR(__xludf.DUMMYFUNCTION("""COMPUTED_VALUE"""),"-")</f>
        <v>-</v>
      </c>
      <c r="J6" s="3" t="str">
        <f>IFERROR(__xludf.DUMMYFUNCTION("""COMPUTED_VALUE"""),"P-10860-00")</f>
        <v>P-10860-00</v>
      </c>
      <c r="K6" s="3" t="str">
        <f>IFERROR(__xludf.DUMMYFUNCTION("""COMPUTED_VALUE"""),"Approve")</f>
        <v>Approve</v>
      </c>
      <c r="L6" s="3" t="str">
        <f>IFERROR(__xludf.DUMMYFUNCTION("""COMPUTED_VALUE"""),"Normal")</f>
        <v>Normal</v>
      </c>
      <c r="M6" s="3" t="str">
        <f>IFERROR(__xludf.DUMMYFUNCTION("""COMPUTED_VALUE"""),"Non Urgent")</f>
        <v>Non Urgent</v>
      </c>
    </row>
    <row r="7">
      <c r="A7" s="4">
        <f>IFERROR(__xludf.DUMMYFUNCTION("""COMPUTED_VALUE"""),45679.48062346065)</f>
        <v>45679.48062</v>
      </c>
      <c r="B7" s="3" t="str">
        <f>IFERROR(__xludf.DUMMYFUNCTION("""COMPUTED_VALUE"""),"MOBRO0004")</f>
        <v>MOBRO0004</v>
      </c>
      <c r="C7" s="3" t="str">
        <f>IFERROR(__xludf.DUMMYFUNCTION("""COMPUTED_VALUE"""),"Consumable")</f>
        <v>Consumable</v>
      </c>
      <c r="D7" s="3" t="str">
        <f>IFERROR(__xludf.DUMMYFUNCTION("""COMPUTED_VALUE"""),"-")</f>
        <v>-</v>
      </c>
      <c r="E7" s="3" t="str">
        <f>IFERROR(__xludf.DUMMYFUNCTION("""COMPUTED_VALUE"""),"Bulding")</f>
        <v>Bulding</v>
      </c>
      <c r="F7" s="3" t="str">
        <f>IFERROR(__xludf.DUMMYFUNCTION("""COMPUTED_VALUE"""),"Fitting PVC - Elbow PVC 1 1/4""")</f>
        <v>Fitting PVC - Elbow PVC 1 1/4"</v>
      </c>
      <c r="G7" s="3">
        <f>IFERROR(__xludf.DUMMYFUNCTION("""COMPUTED_VALUE"""),5.0)</f>
        <v>5</v>
      </c>
      <c r="H7" s="3" t="str">
        <f>IFERROR(__xludf.DUMMYFUNCTION("""COMPUTED_VALUE"""),"Pcs")</f>
        <v>Pcs</v>
      </c>
      <c r="I7" s="3" t="str">
        <f>IFERROR(__xludf.DUMMYFUNCTION("""COMPUTED_VALUE"""),"-")</f>
        <v>-</v>
      </c>
      <c r="J7" s="3" t="str">
        <f>IFERROR(__xludf.DUMMYFUNCTION("""COMPUTED_VALUE"""),"P-10858-00")</f>
        <v>P-10858-00</v>
      </c>
      <c r="K7" s="3" t="str">
        <f>IFERROR(__xludf.DUMMYFUNCTION("""COMPUTED_VALUE"""),"Approve")</f>
        <v>Approve</v>
      </c>
      <c r="L7" s="3" t="str">
        <f>IFERROR(__xludf.DUMMYFUNCTION("""COMPUTED_VALUE"""),"Normal")</f>
        <v>Normal</v>
      </c>
      <c r="M7" s="3" t="str">
        <f>IFERROR(__xludf.DUMMYFUNCTION("""COMPUTED_VALUE"""),"Non Urgent")</f>
        <v>Non Urgent</v>
      </c>
    </row>
    <row r="8">
      <c r="A8" s="4">
        <f>IFERROR(__xludf.DUMMYFUNCTION("""COMPUTED_VALUE"""),45679.481238009255)</f>
        <v>45679.48124</v>
      </c>
      <c r="B8" s="3" t="str">
        <f>IFERROR(__xludf.DUMMYFUNCTION("""COMPUTED_VALUE"""),"MOBRO0005")</f>
        <v>MOBRO0005</v>
      </c>
      <c r="C8" s="3" t="str">
        <f>IFERROR(__xludf.DUMMYFUNCTION("""COMPUTED_VALUE"""),"Consumable")</f>
        <v>Consumable</v>
      </c>
      <c r="D8" s="3" t="str">
        <f>IFERROR(__xludf.DUMMYFUNCTION("""COMPUTED_VALUE"""),"-")</f>
        <v>-</v>
      </c>
      <c r="E8" s="3" t="str">
        <f>IFERROR(__xludf.DUMMYFUNCTION("""COMPUTED_VALUE"""),"Building")</f>
        <v>Building</v>
      </c>
      <c r="F8" s="3" t="str">
        <f>IFERROR(__xludf.DUMMYFUNCTION("""COMPUTED_VALUE"""),"General - Elbow PVC 90 AW 1 1/2inch; Rucika; -; 1 Pc")</f>
        <v>General - Elbow PVC 90 AW 1 1/2inch; Rucika; -; 1 Pc</v>
      </c>
      <c r="G8" s="3">
        <f>IFERROR(__xludf.DUMMYFUNCTION("""COMPUTED_VALUE"""),5.0)</f>
        <v>5</v>
      </c>
      <c r="H8" s="3" t="str">
        <f>IFERROR(__xludf.DUMMYFUNCTION("""COMPUTED_VALUE"""),"Pcs")</f>
        <v>Pcs</v>
      </c>
      <c r="I8" s="3" t="str">
        <f>IFERROR(__xludf.DUMMYFUNCTION("""COMPUTED_VALUE"""),"-")</f>
        <v>-</v>
      </c>
      <c r="J8" s="3" t="str">
        <f>IFERROR(__xludf.DUMMYFUNCTION("""COMPUTED_VALUE"""),"P-10857-00")</f>
        <v>P-10857-00</v>
      </c>
      <c r="K8" s="3" t="str">
        <f>IFERROR(__xludf.DUMMYFUNCTION("""COMPUTED_VALUE"""),"Approve")</f>
        <v>Approve</v>
      </c>
      <c r="L8" s="3" t="str">
        <f>IFERROR(__xludf.DUMMYFUNCTION("""COMPUTED_VALUE"""),"Normal")</f>
        <v>Normal</v>
      </c>
      <c r="M8" s="3" t="str">
        <f>IFERROR(__xludf.DUMMYFUNCTION("""COMPUTED_VALUE"""),"Non Urgent")</f>
        <v>Non Urgent</v>
      </c>
    </row>
    <row r="9">
      <c r="A9" s="4">
        <f>IFERROR(__xludf.DUMMYFUNCTION("""COMPUTED_VALUE"""),45679.48156423611)</f>
        <v>45679.48156</v>
      </c>
      <c r="B9" s="3" t="str">
        <f>IFERROR(__xludf.DUMMYFUNCTION("""COMPUTED_VALUE"""),"MOBRO0006")</f>
        <v>MOBRO0006</v>
      </c>
      <c r="C9" s="3" t="str">
        <f>IFERROR(__xludf.DUMMYFUNCTION("""COMPUTED_VALUE"""),"Consumable")</f>
        <v>Consumable</v>
      </c>
      <c r="D9" s="3" t="str">
        <f>IFERROR(__xludf.DUMMYFUNCTION("""COMPUTED_VALUE"""),"-")</f>
        <v>-</v>
      </c>
      <c r="E9" s="3" t="str">
        <f>IFERROR(__xludf.DUMMYFUNCTION("""COMPUTED_VALUE"""),"Building")</f>
        <v>Building</v>
      </c>
      <c r="F9" s="3" t="str">
        <f>IFERROR(__xludf.DUMMYFUNCTION("""COMPUTED_VALUE"""),"Fitting PVC - Elbow PVC 2""")</f>
        <v>Fitting PVC - Elbow PVC 2"</v>
      </c>
      <c r="G9" s="3">
        <f>IFERROR(__xludf.DUMMYFUNCTION("""COMPUTED_VALUE"""),5.0)</f>
        <v>5</v>
      </c>
      <c r="H9" s="3" t="str">
        <f>IFERROR(__xludf.DUMMYFUNCTION("""COMPUTED_VALUE"""),"Pcs")</f>
        <v>Pcs</v>
      </c>
      <c r="I9" s="3" t="str">
        <f>IFERROR(__xludf.DUMMYFUNCTION("""COMPUTED_VALUE"""),"-")</f>
        <v>-</v>
      </c>
      <c r="J9" s="3" t="str">
        <f>IFERROR(__xludf.DUMMYFUNCTION("""COMPUTED_VALUE"""),"P-10863-00")</f>
        <v>P-10863-00</v>
      </c>
      <c r="K9" s="3" t="str">
        <f>IFERROR(__xludf.DUMMYFUNCTION("""COMPUTED_VALUE"""),"Approve")</f>
        <v>Approve</v>
      </c>
      <c r="L9" s="3" t="str">
        <f>IFERROR(__xludf.DUMMYFUNCTION("""COMPUTED_VALUE"""),"Normal")</f>
        <v>Normal</v>
      </c>
      <c r="M9" s="3" t="str">
        <f>IFERROR(__xludf.DUMMYFUNCTION("""COMPUTED_VALUE"""),"Non Urgent")</f>
        <v>Non Urgent</v>
      </c>
    </row>
    <row r="10">
      <c r="A10" s="4">
        <f>IFERROR(__xludf.DUMMYFUNCTION("""COMPUTED_VALUE"""),45679.481986597224)</f>
        <v>45679.48199</v>
      </c>
      <c r="B10" s="3" t="str">
        <f>IFERROR(__xludf.DUMMYFUNCTION("""COMPUTED_VALUE"""),"MOBRO0007")</f>
        <v>MOBRO0007</v>
      </c>
      <c r="C10" s="3" t="str">
        <f>IFERROR(__xludf.DUMMYFUNCTION("""COMPUTED_VALUE"""),"Consumable")</f>
        <v>Consumable</v>
      </c>
      <c r="D10" s="3" t="str">
        <f>IFERROR(__xludf.DUMMYFUNCTION("""COMPUTED_VALUE"""),"-")</f>
        <v>-</v>
      </c>
      <c r="E10" s="3" t="str">
        <f>IFERROR(__xludf.DUMMYFUNCTION("""COMPUTED_VALUE"""),"Building")</f>
        <v>Building</v>
      </c>
      <c r="F10" s="3" t="str">
        <f>IFERROR(__xludf.DUMMYFUNCTION("""COMPUTED_VALUE"""),"Fitting PVC - Elbow PVC 2 1/2""")</f>
        <v>Fitting PVC - Elbow PVC 2 1/2"</v>
      </c>
      <c r="G10" s="3">
        <f>IFERROR(__xludf.DUMMYFUNCTION("""COMPUTED_VALUE"""),5.0)</f>
        <v>5</v>
      </c>
      <c r="H10" s="3" t="str">
        <f>IFERROR(__xludf.DUMMYFUNCTION("""COMPUTED_VALUE"""),"Pcs")</f>
        <v>Pcs</v>
      </c>
      <c r="I10" s="3" t="str">
        <f>IFERROR(__xludf.DUMMYFUNCTION("""COMPUTED_VALUE"""),"-")</f>
        <v>-</v>
      </c>
      <c r="J10" s="3" t="str">
        <f>IFERROR(__xludf.DUMMYFUNCTION("""COMPUTED_VALUE"""),"P-10862-00")</f>
        <v>P-10862-00</v>
      </c>
      <c r="K10" s="3" t="str">
        <f>IFERROR(__xludf.DUMMYFUNCTION("""COMPUTED_VALUE"""),"Approve")</f>
        <v>Approve</v>
      </c>
      <c r="L10" s="3" t="str">
        <f>IFERROR(__xludf.DUMMYFUNCTION("""COMPUTED_VALUE"""),"Normal")</f>
        <v>Normal</v>
      </c>
      <c r="M10" s="3" t="str">
        <f>IFERROR(__xludf.DUMMYFUNCTION("""COMPUTED_VALUE"""),"Non Urgent")</f>
        <v>Non Urgent</v>
      </c>
    </row>
    <row r="11">
      <c r="A11" s="4">
        <f>IFERROR(__xludf.DUMMYFUNCTION("""COMPUTED_VALUE"""),45679.48238184028)</f>
        <v>45679.48238</v>
      </c>
      <c r="B11" s="3" t="str">
        <f>IFERROR(__xludf.DUMMYFUNCTION("""COMPUTED_VALUE"""),"MOBRO0008")</f>
        <v>MOBRO0008</v>
      </c>
      <c r="C11" s="3" t="str">
        <f>IFERROR(__xludf.DUMMYFUNCTION("""COMPUTED_VALUE"""),"Consumable")</f>
        <v>Consumable</v>
      </c>
      <c r="D11" s="3" t="str">
        <f>IFERROR(__xludf.DUMMYFUNCTION("""COMPUTED_VALUE"""),"-")</f>
        <v>-</v>
      </c>
      <c r="E11" s="3" t="str">
        <f>IFERROR(__xludf.DUMMYFUNCTION("""COMPUTED_VALUE"""),"Building")</f>
        <v>Building</v>
      </c>
      <c r="F11" s="3" t="str">
        <f>IFERROR(__xludf.DUMMYFUNCTION("""COMPUTED_VALUE"""),"General - Socket, PVC, 1/2""; No Brand; -; 1 pcs")</f>
        <v>General - Socket, PVC, 1/2"; No Brand; -; 1 pcs</v>
      </c>
      <c r="G11" s="3">
        <f>IFERROR(__xludf.DUMMYFUNCTION("""COMPUTED_VALUE"""),4.0)</f>
        <v>4</v>
      </c>
      <c r="H11" s="3" t="str">
        <f>IFERROR(__xludf.DUMMYFUNCTION("""COMPUTED_VALUE"""),"Pcs")</f>
        <v>Pcs</v>
      </c>
      <c r="I11" s="3" t="str">
        <f>IFERROR(__xludf.DUMMYFUNCTION("""COMPUTED_VALUE"""),"-")</f>
        <v>-</v>
      </c>
      <c r="J11" s="3" t="str">
        <f>IFERROR(__xludf.DUMMYFUNCTION("""COMPUTED_VALUE"""),"P-10895-00")</f>
        <v>P-10895-00</v>
      </c>
      <c r="K11" s="3" t="str">
        <f>IFERROR(__xludf.DUMMYFUNCTION("""COMPUTED_VALUE"""),"Approve")</f>
        <v>Approve</v>
      </c>
      <c r="L11" s="3" t="str">
        <f>IFERROR(__xludf.DUMMYFUNCTION("""COMPUTED_VALUE"""),"Normal")</f>
        <v>Normal</v>
      </c>
      <c r="M11" s="3" t="str">
        <f>IFERROR(__xludf.DUMMYFUNCTION("""COMPUTED_VALUE"""),"Non Urgent")</f>
        <v>Non Urgent</v>
      </c>
    </row>
    <row r="12">
      <c r="A12" s="4">
        <f>IFERROR(__xludf.DUMMYFUNCTION("""COMPUTED_VALUE"""),45679.48338646991)</f>
        <v>45679.48339</v>
      </c>
      <c r="B12" s="3" t="str">
        <f>IFERROR(__xludf.DUMMYFUNCTION("""COMPUTED_VALUE"""),"MOBRO0009")</f>
        <v>MOBRO0009</v>
      </c>
      <c r="C12" s="3" t="str">
        <f>IFERROR(__xludf.DUMMYFUNCTION("""COMPUTED_VALUE"""),"Consumable")</f>
        <v>Consumable</v>
      </c>
      <c r="D12" s="3" t="str">
        <f>IFERROR(__xludf.DUMMYFUNCTION("""COMPUTED_VALUE"""),"-")</f>
        <v>-</v>
      </c>
      <c r="E12" s="3" t="str">
        <f>IFERROR(__xludf.DUMMYFUNCTION("""COMPUTED_VALUE"""),"Building")</f>
        <v>Building</v>
      </c>
      <c r="F12" s="3" t="str">
        <f>IFERROR(__xludf.DUMMYFUNCTION("""COMPUTED_VALUE"""),"General - Socket, PVC, 3/4""; Rucika; -; 1 pcs")</f>
        <v>General - Socket, PVC, 3/4"; Rucika; -; 1 pcs</v>
      </c>
      <c r="G12" s="3">
        <f>IFERROR(__xludf.DUMMYFUNCTION("""COMPUTED_VALUE"""),4.0)</f>
        <v>4</v>
      </c>
      <c r="H12" s="3" t="str">
        <f>IFERROR(__xludf.DUMMYFUNCTION("""COMPUTED_VALUE"""),"Pcs")</f>
        <v>Pcs</v>
      </c>
      <c r="I12" s="3" t="str">
        <f>IFERROR(__xludf.DUMMYFUNCTION("""COMPUTED_VALUE"""),"-")</f>
        <v>-</v>
      </c>
      <c r="J12" s="3" t="str">
        <f>IFERROR(__xludf.DUMMYFUNCTION("""COMPUTED_VALUE"""),"P-10899-00")</f>
        <v>P-10899-00</v>
      </c>
      <c r="K12" s="3" t="str">
        <f>IFERROR(__xludf.DUMMYFUNCTION("""COMPUTED_VALUE"""),"Approve")</f>
        <v>Approve</v>
      </c>
      <c r="L12" s="3" t="str">
        <f>IFERROR(__xludf.DUMMYFUNCTION("""COMPUTED_VALUE"""),"Normal")</f>
        <v>Normal</v>
      </c>
      <c r="M12" s="3" t="str">
        <f>IFERROR(__xludf.DUMMYFUNCTION("""COMPUTED_VALUE"""),"Non Urgent")</f>
        <v>Non Urgent</v>
      </c>
    </row>
    <row r="13">
      <c r="A13" s="4">
        <f>IFERROR(__xludf.DUMMYFUNCTION("""COMPUTED_VALUE"""),45679.484258136574)</f>
        <v>45679.48426</v>
      </c>
      <c r="B13" s="3" t="str">
        <f>IFERROR(__xludf.DUMMYFUNCTION("""COMPUTED_VALUE"""),"MOBRO0010")</f>
        <v>MOBRO0010</v>
      </c>
      <c r="C13" s="3" t="str">
        <f>IFERROR(__xludf.DUMMYFUNCTION("""COMPUTED_VALUE"""),"Consumable")</f>
        <v>Consumable</v>
      </c>
      <c r="D13" s="3" t="str">
        <f>IFERROR(__xludf.DUMMYFUNCTION("""COMPUTED_VALUE"""),"-")</f>
        <v>-</v>
      </c>
      <c r="E13" s="3" t="str">
        <f>IFERROR(__xludf.DUMMYFUNCTION("""COMPUTED_VALUE"""),"Building")</f>
        <v>Building</v>
      </c>
      <c r="F13" s="3" t="str">
        <f>IFERROR(__xludf.DUMMYFUNCTION("""COMPUTED_VALUE"""),"Fitting PVC - Sock PVC 1""")</f>
        <v>Fitting PVC - Sock PVC 1"</v>
      </c>
      <c r="G13" s="3">
        <f>IFERROR(__xludf.DUMMYFUNCTION("""COMPUTED_VALUE"""),4.0)</f>
        <v>4</v>
      </c>
      <c r="H13" s="3" t="str">
        <f>IFERROR(__xludf.DUMMYFUNCTION("""COMPUTED_VALUE"""),"Pcs")</f>
        <v>Pcs</v>
      </c>
      <c r="I13" s="3" t="str">
        <f>IFERROR(__xludf.DUMMYFUNCTION("""COMPUTED_VALUE"""),"-")</f>
        <v>-</v>
      </c>
      <c r="J13" s="3" t="str">
        <f>IFERROR(__xludf.DUMMYFUNCTION("""COMPUTED_VALUE"""),"P-10897-00")</f>
        <v>P-10897-00</v>
      </c>
      <c r="K13" s="3" t="str">
        <f>IFERROR(__xludf.DUMMYFUNCTION("""COMPUTED_VALUE"""),"Approve")</f>
        <v>Approve</v>
      </c>
      <c r="L13" s="3" t="str">
        <f>IFERROR(__xludf.DUMMYFUNCTION("""COMPUTED_VALUE"""),"Normal")</f>
        <v>Normal</v>
      </c>
      <c r="M13" s="3" t="str">
        <f>IFERROR(__xludf.DUMMYFUNCTION("""COMPUTED_VALUE"""),"Non Urgent")</f>
        <v>Non Urgent</v>
      </c>
    </row>
    <row r="14">
      <c r="A14" s="4">
        <f>IFERROR(__xludf.DUMMYFUNCTION("""COMPUTED_VALUE"""),45679.48484324074)</f>
        <v>45679.48484</v>
      </c>
      <c r="B14" s="3" t="str">
        <f>IFERROR(__xludf.DUMMYFUNCTION("""COMPUTED_VALUE"""),"MOBRO0011")</f>
        <v>MOBRO0011</v>
      </c>
      <c r="C14" s="3" t="str">
        <f>IFERROR(__xludf.DUMMYFUNCTION("""COMPUTED_VALUE"""),"Consumable")</f>
        <v>Consumable</v>
      </c>
      <c r="D14" s="3" t="str">
        <f>IFERROR(__xludf.DUMMYFUNCTION("""COMPUTED_VALUE"""),"-")</f>
        <v>-</v>
      </c>
      <c r="E14" s="3" t="str">
        <f>IFERROR(__xludf.DUMMYFUNCTION("""COMPUTED_VALUE"""),"Building")</f>
        <v>Building</v>
      </c>
      <c r="F14" s="3" t="str">
        <f>IFERROR(__xludf.DUMMYFUNCTION("""COMPUTED_VALUE"""),"Fitting PVC - Sock PVC 2""")</f>
        <v>Fitting PVC - Sock PVC 2"</v>
      </c>
      <c r="G14" s="3">
        <f>IFERROR(__xludf.DUMMYFUNCTION("""COMPUTED_VALUE"""),4.0)</f>
        <v>4</v>
      </c>
      <c r="H14" s="3" t="str">
        <f>IFERROR(__xludf.DUMMYFUNCTION("""COMPUTED_VALUE"""),"PCS")</f>
        <v>PCS</v>
      </c>
      <c r="I14" s="3" t="str">
        <f>IFERROR(__xludf.DUMMYFUNCTION("""COMPUTED_VALUE"""),"-")</f>
        <v>-</v>
      </c>
      <c r="J14" s="3" t="str">
        <f>IFERROR(__xludf.DUMMYFUNCTION("""COMPUTED_VALUE"""),"P-10898-00")</f>
        <v>P-10898-00</v>
      </c>
      <c r="K14" s="3" t="str">
        <f>IFERROR(__xludf.DUMMYFUNCTION("""COMPUTED_VALUE"""),"Approve")</f>
        <v>Approve</v>
      </c>
      <c r="L14" s="3" t="str">
        <f>IFERROR(__xludf.DUMMYFUNCTION("""COMPUTED_VALUE"""),"Normal")</f>
        <v>Normal</v>
      </c>
      <c r="M14" s="3" t="str">
        <f>IFERROR(__xludf.DUMMYFUNCTION("""COMPUTED_VALUE"""),"Non Urgent")</f>
        <v>Non Urgent</v>
      </c>
    </row>
    <row r="15">
      <c r="A15" s="4">
        <f>IFERROR(__xludf.DUMMYFUNCTION("""COMPUTED_VALUE"""),45679.48616252314)</f>
        <v>45679.48616</v>
      </c>
      <c r="B15" s="3" t="str">
        <f>IFERROR(__xludf.DUMMYFUNCTION("""COMPUTED_VALUE"""),"MOBRO0012")</f>
        <v>MOBRO0012</v>
      </c>
      <c r="C15" s="3" t="str">
        <f>IFERROR(__xludf.DUMMYFUNCTION("""COMPUTED_VALUE"""),"Consumable")</f>
        <v>Consumable</v>
      </c>
      <c r="D15" s="3" t="str">
        <f>IFERROR(__xludf.DUMMYFUNCTION("""COMPUTED_VALUE"""),"-")</f>
        <v>-</v>
      </c>
      <c r="E15" s="3" t="str">
        <f>IFERROR(__xludf.DUMMYFUNCTION("""COMPUTED_VALUE"""),"Building")</f>
        <v>Building</v>
      </c>
      <c r="F15" s="3" t="str">
        <f>IFERROR(__xludf.DUMMYFUNCTION("""COMPUTED_VALUE"""),"Fitting PVC - Tee PVC 1"" Rucika AW")</f>
        <v>Fitting PVC - Tee PVC 1" Rucika AW</v>
      </c>
      <c r="G15" s="3">
        <f>IFERROR(__xludf.DUMMYFUNCTION("""COMPUTED_VALUE"""),4.0)</f>
        <v>4</v>
      </c>
      <c r="H15" s="3" t="str">
        <f>IFERROR(__xludf.DUMMYFUNCTION("""COMPUTED_VALUE"""),"Pcs")</f>
        <v>Pcs</v>
      </c>
      <c r="I15" s="3" t="str">
        <f>IFERROR(__xludf.DUMMYFUNCTION("""COMPUTED_VALUE"""),"-")</f>
        <v>-</v>
      </c>
      <c r="J15" s="3" t="str">
        <f>IFERROR(__xludf.DUMMYFUNCTION("""COMPUTED_VALUE"""),"P-10906-00")</f>
        <v>P-10906-00</v>
      </c>
      <c r="K15" s="3" t="str">
        <f>IFERROR(__xludf.DUMMYFUNCTION("""COMPUTED_VALUE"""),"Approve")</f>
        <v>Approve</v>
      </c>
      <c r="L15" s="3" t="str">
        <f>IFERROR(__xludf.DUMMYFUNCTION("""COMPUTED_VALUE"""),"Normal")</f>
        <v>Normal</v>
      </c>
      <c r="M15" s="3" t="str">
        <f>IFERROR(__xludf.DUMMYFUNCTION("""COMPUTED_VALUE"""),"Non Urgent")</f>
        <v>Non Urgent</v>
      </c>
    </row>
    <row r="16">
      <c r="A16" s="4">
        <f>IFERROR(__xludf.DUMMYFUNCTION("""COMPUTED_VALUE"""),45679.49535489584)</f>
        <v>45679.49535</v>
      </c>
      <c r="B16" s="3" t="str">
        <f>IFERROR(__xludf.DUMMYFUNCTION("""COMPUTED_VALUE"""),"MOBRO0013")</f>
        <v>MOBRO0013</v>
      </c>
      <c r="C16" s="3" t="str">
        <f>IFERROR(__xludf.DUMMYFUNCTION("""COMPUTED_VALUE"""),"Consumable")</f>
        <v>Consumable</v>
      </c>
      <c r="D16" s="3" t="str">
        <f>IFERROR(__xludf.DUMMYFUNCTION("""COMPUTED_VALUE"""),"EJO/01/123")</f>
        <v>EJO/01/123</v>
      </c>
      <c r="E16" s="3" t="str">
        <f>IFERROR(__xludf.DUMMYFUNCTION("""COMPUTED_VALUE"""),"Ruang Gas QC")</f>
        <v>Ruang Gas QC</v>
      </c>
      <c r="F16" s="3" t="str">
        <f>IFERROR(__xludf.DUMMYFUNCTION("""COMPUTED_VALUE"""),"Regulator Hydrogen 96A-10M Morris; ; ;")</f>
        <v>Regulator Hydrogen 96A-10M Morris; ; ;</v>
      </c>
      <c r="G16" s="3">
        <f>IFERROR(__xludf.DUMMYFUNCTION("""COMPUTED_VALUE"""),1.0)</f>
        <v>1</v>
      </c>
      <c r="H16" s="3" t="str">
        <f>IFERROR(__xludf.DUMMYFUNCTION("""COMPUTED_VALUE"""),"Pcs")</f>
        <v>Pcs</v>
      </c>
      <c r="I16" s="3" t="str">
        <f>IFERROR(__xludf.DUMMYFUNCTION("""COMPUTED_VALUE"""),"-")</f>
        <v>-</v>
      </c>
      <c r="J16" s="3" t="str">
        <f>IFERROR(__xludf.DUMMYFUNCTION("""COMPUTED_VALUE"""),"P-13598-00")</f>
        <v>P-13598-00</v>
      </c>
      <c r="K16" s="3" t="str">
        <f>IFERROR(__xludf.DUMMYFUNCTION("""COMPUTED_VALUE"""),"Approve")</f>
        <v>Approve</v>
      </c>
      <c r="L16" s="3" t="str">
        <f>IFERROR(__xludf.DUMMYFUNCTION("""COMPUTED_VALUE"""),"Normal")</f>
        <v>Normal</v>
      </c>
      <c r="M16" s="3" t="str">
        <f>IFERROR(__xludf.DUMMYFUNCTION("""COMPUTED_VALUE"""),"Non Urgent")</f>
        <v>Non Urgent</v>
      </c>
    </row>
    <row r="17">
      <c r="A17" s="4">
        <f>IFERROR(__xludf.DUMMYFUNCTION("""COMPUTED_VALUE"""),45679.50538865741)</f>
        <v>45679.50539</v>
      </c>
      <c r="B17" s="3" t="str">
        <f>IFERROR(__xludf.DUMMYFUNCTION("""COMPUTED_VALUE"""),"MOBRO0014")</f>
        <v>MOBRO0014</v>
      </c>
      <c r="C17" s="3" t="str">
        <f>IFERROR(__xludf.DUMMYFUNCTION("""COMPUTED_VALUE"""),"Consumable")</f>
        <v>Consumable</v>
      </c>
      <c r="D17" s="3" t="str">
        <f>IFERROR(__xludf.DUMMYFUNCTION("""COMPUTED_VALUE"""),"-")</f>
        <v>-</v>
      </c>
      <c r="E17" s="3" t="str">
        <f>IFERROR(__xludf.DUMMYFUNCTION("""COMPUTED_VALUE"""),"Ruang Gas QC")</f>
        <v>Ruang Gas QC</v>
      </c>
      <c r="F17" s="3" t="str">
        <f>IFERROR(__xludf.DUMMYFUNCTION("""COMPUTED_VALUE"""),"Regulator Nitrogen ( N2 )  YAMATO P/N : -  pc")</f>
        <v>Regulator Nitrogen ( N2 )  YAMATO P/N : -  pc</v>
      </c>
      <c r="G17" s="3">
        <f>IFERROR(__xludf.DUMMYFUNCTION("""COMPUTED_VALUE"""),1.0)</f>
        <v>1</v>
      </c>
      <c r="H17" s="3" t="str">
        <f>IFERROR(__xludf.DUMMYFUNCTION("""COMPUTED_VALUE"""),"Pcs")</f>
        <v>Pcs</v>
      </c>
      <c r="I17" s="3" t="str">
        <f>IFERROR(__xludf.DUMMYFUNCTION("""COMPUTED_VALUE"""),"-")</f>
        <v>-</v>
      </c>
      <c r="J17" s="3" t="str">
        <f>IFERROR(__xludf.DUMMYFUNCTION("""COMPUTED_VALUE"""),"O-16334-00")</f>
        <v>O-16334-00</v>
      </c>
      <c r="K17" s="3" t="str">
        <f>IFERROR(__xludf.DUMMYFUNCTION("""COMPUTED_VALUE"""),"Approve")</f>
        <v>Approve</v>
      </c>
      <c r="L17" s="3" t="str">
        <f>IFERROR(__xludf.DUMMYFUNCTION("""COMPUTED_VALUE"""),"Normal")</f>
        <v>Normal</v>
      </c>
      <c r="M17" s="3" t="str">
        <f>IFERROR(__xludf.DUMMYFUNCTION("""COMPUTED_VALUE"""),"Non Urgent")</f>
        <v>Non Urgent</v>
      </c>
    </row>
    <row r="18">
      <c r="A18" s="4">
        <f>IFERROR(__xludf.DUMMYFUNCTION("""COMPUTED_VALUE"""),45679.50815523148)</f>
        <v>45679.50816</v>
      </c>
      <c r="B18" s="3" t="str">
        <f>IFERROR(__xludf.DUMMYFUNCTION("""COMPUTED_VALUE"""),"MOBRO0015")</f>
        <v>MOBRO0015</v>
      </c>
      <c r="C18" s="3" t="str">
        <f>IFERROR(__xludf.DUMMYFUNCTION("""COMPUTED_VALUE"""),"Consumable")</f>
        <v>Consumable</v>
      </c>
      <c r="D18" s="3" t="str">
        <f>IFERROR(__xludf.DUMMYFUNCTION("""COMPUTED_VALUE"""),"-")</f>
        <v>-</v>
      </c>
      <c r="E18" s="3" t="str">
        <f>IFERROR(__xludf.DUMMYFUNCTION("""COMPUTED_VALUE"""),"Building")</f>
        <v>Building</v>
      </c>
      <c r="F18" s="3" t="str">
        <f>IFERROR(__xludf.DUMMYFUNCTION("""COMPUTED_VALUE"""),"General - Reducer, PVC, 1"" x 1/2""; Rucika; -; 1 pcs")</f>
        <v>General - Reducer, PVC, 1" x 1/2"; Rucika; -; 1 pcs</v>
      </c>
      <c r="G18" s="3">
        <f>IFERROR(__xludf.DUMMYFUNCTION("""COMPUTED_VALUE"""),4.0)</f>
        <v>4</v>
      </c>
      <c r="H18" s="3" t="str">
        <f>IFERROR(__xludf.DUMMYFUNCTION("""COMPUTED_VALUE"""),"Pcs")</f>
        <v>Pcs</v>
      </c>
      <c r="I18" s="3" t="str">
        <f>IFERROR(__xludf.DUMMYFUNCTION("""COMPUTED_VALUE"""),"-")</f>
        <v>-</v>
      </c>
      <c r="J18" s="3" t="str">
        <f>IFERROR(__xludf.DUMMYFUNCTION("""COMPUTED_VALUE"""),"P-10874-00")</f>
        <v>P-10874-00</v>
      </c>
      <c r="K18" s="3" t="str">
        <f>IFERROR(__xludf.DUMMYFUNCTION("""COMPUTED_VALUE"""),"Approve")</f>
        <v>Approve</v>
      </c>
      <c r="L18" s="3" t="str">
        <f>IFERROR(__xludf.DUMMYFUNCTION("""COMPUTED_VALUE"""),"Normal")</f>
        <v>Normal</v>
      </c>
      <c r="M18" s="3" t="str">
        <f>IFERROR(__xludf.DUMMYFUNCTION("""COMPUTED_VALUE"""),"Non Urgent")</f>
        <v>Non Urgent</v>
      </c>
    </row>
    <row r="19">
      <c r="A19" s="4">
        <f>IFERROR(__xludf.DUMMYFUNCTION("""COMPUTED_VALUE"""),45680.38341931713)</f>
        <v>45680.38342</v>
      </c>
      <c r="B19" s="3" t="str">
        <f>IFERROR(__xludf.DUMMYFUNCTION("""COMPUTED_VALUE"""),"MOBRO0016")</f>
        <v>MOBRO0016</v>
      </c>
      <c r="C19" s="3" t="str">
        <f>IFERROR(__xludf.DUMMYFUNCTION("""COMPUTED_VALUE"""),"Consumable")</f>
        <v>Consumable</v>
      </c>
      <c r="D19" s="3" t="str">
        <f>IFERROR(__xludf.DUMMYFUNCTION("""COMPUTED_VALUE"""),"-")</f>
        <v>-</v>
      </c>
      <c r="E19" s="3" t="str">
        <f>IFERROR(__xludf.DUMMYFUNCTION("""COMPUTED_VALUE"""),"Building")</f>
        <v>Building</v>
      </c>
      <c r="F19" s="3" t="str">
        <f>IFERROR(__xludf.DUMMYFUNCTION("""COMPUTED_VALUE"""),"PVC - Dop 1 inch; ; ;")</f>
        <v>PVC - Dop 1 inch; ; ;</v>
      </c>
      <c r="G19" s="3">
        <f>IFERROR(__xludf.DUMMYFUNCTION("""COMPUTED_VALUE"""),4.0)</f>
        <v>4</v>
      </c>
      <c r="H19" s="3" t="str">
        <f>IFERROR(__xludf.DUMMYFUNCTION("""COMPUTED_VALUE"""),"Pcs")</f>
        <v>Pcs</v>
      </c>
      <c r="I19" s="3" t="str">
        <f>IFERROR(__xludf.DUMMYFUNCTION("""COMPUTED_VALUE"""),"-")</f>
        <v>-</v>
      </c>
      <c r="J19" s="3" t="str">
        <f>IFERROR(__xludf.DUMMYFUNCTION("""COMPUTED_VALUE"""),"P-14960-00")</f>
        <v>P-14960-00</v>
      </c>
      <c r="K19" s="3" t="str">
        <f>IFERROR(__xludf.DUMMYFUNCTION("""COMPUTED_VALUE"""),"Approve")</f>
        <v>Approve</v>
      </c>
      <c r="L19" s="3" t="str">
        <f>IFERROR(__xludf.DUMMYFUNCTION("""COMPUTED_VALUE"""),"Normal")</f>
        <v>Normal</v>
      </c>
      <c r="M19" s="3" t="str">
        <f>IFERROR(__xludf.DUMMYFUNCTION("""COMPUTED_VALUE"""),"Non Urgent")</f>
        <v>Non Urgent</v>
      </c>
    </row>
    <row r="20">
      <c r="A20" s="4">
        <f>IFERROR(__xludf.DUMMYFUNCTION("""COMPUTED_VALUE"""),45688.279736620374)</f>
        <v>45688.27974</v>
      </c>
      <c r="B20" s="3" t="str">
        <f>IFERROR(__xludf.DUMMYFUNCTION("""COMPUTED_VALUE"""),"RIARO0001")</f>
        <v>RIARO0001</v>
      </c>
      <c r="C20" s="3" t="str">
        <f>IFERROR(__xludf.DUMMYFUNCTION("""COMPUTED_VALUE"""),"EJO")</f>
        <v>EJO</v>
      </c>
      <c r="D20" s="3" t="str">
        <f>IFERROR(__xludf.DUMMYFUNCTION("""COMPUTED_VALUE"""),"EJO/2025/01/69")</f>
        <v>EJO/2025/01/69</v>
      </c>
      <c r="E20" s="3" t="str">
        <f>IFERROR(__xludf.DUMMYFUNCTION("""COMPUTED_VALUE"""),"AHU F31")</f>
        <v>AHU F31</v>
      </c>
      <c r="F20" s="3" t="str">
        <f>IFERROR(__xludf.DUMMYFUNCTION("""COMPUTED_VALUE"""),"HVAC - Pressure Flow Control MF PFC Ver.3 24 VAC/VDC 0 - 100 Pa Micatrone; ; ;")</f>
        <v>HVAC - Pressure Flow Control MF PFC Ver.3 24 VAC/VDC 0 - 100 Pa Micatrone; ; ;</v>
      </c>
      <c r="G20" s="3">
        <f>IFERROR(__xludf.DUMMYFUNCTION("""COMPUTED_VALUE"""),1.0)</f>
        <v>1</v>
      </c>
      <c r="H20" s="3" t="str">
        <f>IFERROR(__xludf.DUMMYFUNCTION("""COMPUTED_VALUE"""),"Pcs")</f>
        <v>Pcs</v>
      </c>
      <c r="I20" s="3" t="str">
        <f>IFERROR(__xludf.DUMMYFUNCTION("""COMPUTED_VALUE"""),"LCD Micatrone Vignet")</f>
        <v>LCD Micatrone Vignet</v>
      </c>
      <c r="J20" s="3" t="str">
        <f>IFERROR(__xludf.DUMMYFUNCTION("""COMPUTED_VALUE"""),"P-52369-00")</f>
        <v>P-52369-00</v>
      </c>
      <c r="K20" s="3" t="str">
        <f>IFERROR(__xludf.DUMMYFUNCTION("""COMPUTED_VALUE"""),"Approve")</f>
        <v>Approve</v>
      </c>
      <c r="L20" s="3" t="str">
        <f>IFERROR(__xludf.DUMMYFUNCTION("""COMPUTED_VALUE"""),"Normal")</f>
        <v>Normal</v>
      </c>
      <c r="M20" s="3" t="str">
        <f>IFERROR(__xludf.DUMMYFUNCTION("""COMPUTED_VALUE"""),"Non Urgent")</f>
        <v>Non Urgent</v>
      </c>
    </row>
    <row r="21">
      <c r="A21" s="4">
        <f>IFERROR(__xludf.DUMMYFUNCTION("""COMPUTED_VALUE"""),45688.280334166666)</f>
        <v>45688.28033</v>
      </c>
      <c r="B21" s="3" t="str">
        <f>IFERROR(__xludf.DUMMYFUNCTION("""COMPUTED_VALUE"""),"RIARO0002")</f>
        <v>RIARO0002</v>
      </c>
      <c r="C21" s="3" t="str">
        <f>IFERROR(__xludf.DUMMYFUNCTION("""COMPUTED_VALUE"""),"EJO")</f>
        <v>EJO</v>
      </c>
      <c r="D21" s="3" t="str">
        <f>IFERROR(__xludf.DUMMYFUNCTION("""COMPUTED_VALUE"""),"EJO/2025/01/69")</f>
        <v>EJO/2025/01/69</v>
      </c>
      <c r="E21" s="3" t="str">
        <f>IFERROR(__xludf.DUMMYFUNCTION("""COMPUTED_VALUE"""),"AHU F32")</f>
        <v>AHU F32</v>
      </c>
      <c r="F21" s="3" t="str">
        <f>IFERROR(__xludf.DUMMYFUNCTION("""COMPUTED_VALUE"""),"HVAC - Pressure Flow Control MF PFC Ver.3 24 VAC/VDC 0 - 100 Pa Micatrone; ; ;")</f>
        <v>HVAC - Pressure Flow Control MF PFC Ver.3 24 VAC/VDC 0 - 100 Pa Micatrone; ; ;</v>
      </c>
      <c r="G21" s="3">
        <f>IFERROR(__xludf.DUMMYFUNCTION("""COMPUTED_VALUE"""),1.0)</f>
        <v>1</v>
      </c>
      <c r="H21" s="3" t="str">
        <f>IFERROR(__xludf.DUMMYFUNCTION("""COMPUTED_VALUE"""),"Pcs")</f>
        <v>Pcs</v>
      </c>
      <c r="I21" s="3" t="str">
        <f>IFERROR(__xludf.DUMMYFUNCTION("""COMPUTED_VALUE"""),"LCD Micatrone Vignet")</f>
        <v>LCD Micatrone Vignet</v>
      </c>
      <c r="J21" s="3" t="str">
        <f>IFERROR(__xludf.DUMMYFUNCTION("""COMPUTED_VALUE"""),"P-52369-00")</f>
        <v>P-52369-00</v>
      </c>
      <c r="K21" s="3" t="str">
        <f>IFERROR(__xludf.DUMMYFUNCTION("""COMPUTED_VALUE"""),"Approve")</f>
        <v>Approve</v>
      </c>
      <c r="L21" s="3" t="str">
        <f>IFERROR(__xludf.DUMMYFUNCTION("""COMPUTED_VALUE"""),"Normal")</f>
        <v>Normal</v>
      </c>
      <c r="M21" s="3" t="str">
        <f>IFERROR(__xludf.DUMMYFUNCTION("""COMPUTED_VALUE"""),"Non Urgent")</f>
        <v>Non Urgent</v>
      </c>
    </row>
    <row r="22">
      <c r="A22" s="4">
        <f>IFERROR(__xludf.DUMMYFUNCTION("""COMPUTED_VALUE"""),45691.458069699074)</f>
        <v>45691.45807</v>
      </c>
      <c r="B22" s="3" t="str">
        <f>IFERROR(__xludf.DUMMYFUNCTION("""COMPUTED_VALUE"""),"RIARO0003")</f>
        <v>RIARO0003</v>
      </c>
      <c r="C22" s="3" t="str">
        <f>IFERROR(__xludf.DUMMYFUNCTION("""COMPUTED_VALUE"""),"MIn Stok")</f>
        <v>MIn Stok</v>
      </c>
      <c r="D22" s="3" t="str">
        <f>IFERROR(__xludf.DUMMYFUNCTION("""COMPUTED_VALUE"""),"-")</f>
        <v>-</v>
      </c>
      <c r="E22" s="3" t="str">
        <f>IFERROR(__xludf.DUMMYFUNCTION("""COMPUTED_VALUE"""),"TOC WFI SKID")</f>
        <v>TOC WFI SKID</v>
      </c>
      <c r="F22" s="3" t="str">
        <f>IFERROR(__xludf.DUMMYFUNCTION("""COMPUTED_VALUE"""),"Sample Pump Head for TOC Sievers M500; ; ;")</f>
        <v>Sample Pump Head for TOC Sievers M500; ; ;</v>
      </c>
      <c r="G22" s="3">
        <f>IFERROR(__xludf.DUMMYFUNCTION("""COMPUTED_VALUE"""),2.0)</f>
        <v>2</v>
      </c>
      <c r="H22" s="3" t="str">
        <f>IFERROR(__xludf.DUMMYFUNCTION("""COMPUTED_VALUE"""),"Pcs")</f>
        <v>Pcs</v>
      </c>
      <c r="I22" s="3" t="str">
        <f>IFERROR(__xludf.DUMMYFUNCTION("""COMPUTED_VALUE"""),"Sudah mendekati waktu ganti")</f>
        <v>Sudah mendekati waktu ganti</v>
      </c>
      <c r="J22" s="3" t="str">
        <f>IFERROR(__xludf.DUMMYFUNCTION("""COMPUTED_VALUE"""),"P-18447-00")</f>
        <v>P-18447-00</v>
      </c>
      <c r="K22" s="3" t="str">
        <f>IFERROR(__xludf.DUMMYFUNCTION("""COMPUTED_VALUE"""),"Approve")</f>
        <v>Approve</v>
      </c>
      <c r="L22" s="3" t="str">
        <f>IFERROR(__xludf.DUMMYFUNCTION("""COMPUTED_VALUE"""),"Urgent")</f>
        <v>Urgent</v>
      </c>
      <c r="M22" s="3" t="str">
        <f>IFERROR(__xludf.DUMMYFUNCTION("""COMPUTED_VALUE"""),"Reject")</f>
        <v>Reject</v>
      </c>
    </row>
    <row r="23">
      <c r="A23" s="4">
        <f>IFERROR(__xludf.DUMMYFUNCTION("""COMPUTED_VALUE"""),45691.45811422453)</f>
        <v>45691.45811</v>
      </c>
      <c r="B23" s="3" t="str">
        <f>IFERROR(__xludf.DUMMYFUNCTION("""COMPUTED_VALUE"""),"RIARO0004")</f>
        <v>RIARO0004</v>
      </c>
      <c r="C23" s="3" t="str">
        <f>IFERROR(__xludf.DUMMYFUNCTION("""COMPUTED_VALUE"""),"Consumable")</f>
        <v>Consumable</v>
      </c>
      <c r="D23" s="3" t="str">
        <f>IFERROR(__xludf.DUMMYFUNCTION("""COMPUTED_VALUE"""),"-")</f>
        <v>-</v>
      </c>
      <c r="E23" s="3" t="str">
        <f>IFERROR(__xludf.DUMMYFUNCTION("""COMPUTED_VALUE"""),"TOC WFI SKID")</f>
        <v>TOC WFI SKID</v>
      </c>
      <c r="F23" s="3" t="str">
        <f>IFERROR(__xludf.DUMMYFUNCTION("""COMPUTED_VALUE"""),"UV lamp for TOC Sievers M500; TOC Sievers; ; pack size per pc")</f>
        <v>UV lamp for TOC Sievers M500; TOC Sievers; ; pack size per pc</v>
      </c>
      <c r="G23" s="3">
        <f>IFERROR(__xludf.DUMMYFUNCTION("""COMPUTED_VALUE"""),2.0)</f>
        <v>2</v>
      </c>
      <c r="H23" s="3" t="str">
        <f>IFERROR(__xludf.DUMMYFUNCTION("""COMPUTED_VALUE"""),"Pcs")</f>
        <v>Pcs</v>
      </c>
      <c r="I23" s="3" t="str">
        <f>IFERROR(__xludf.DUMMYFUNCTION("""COMPUTED_VALUE"""),"Belum diganti, setahun 2x")</f>
        <v>Belum diganti, setahun 2x</v>
      </c>
      <c r="J23" s="3" t="str">
        <f>IFERROR(__xludf.DUMMYFUNCTION("""COMPUTED_VALUE"""),"P-54181-00")</f>
        <v>P-54181-00</v>
      </c>
      <c r="K23" s="3" t="str">
        <f>IFERROR(__xludf.DUMMYFUNCTION("""COMPUTED_VALUE"""),"Approve")</f>
        <v>Approve</v>
      </c>
      <c r="L23" s="3" t="str">
        <f>IFERROR(__xludf.DUMMYFUNCTION("""COMPUTED_VALUE"""),"Urgent")</f>
        <v>Urgent</v>
      </c>
      <c r="M23" s="3" t="str">
        <f>IFERROR(__xludf.DUMMYFUNCTION("""COMPUTED_VALUE"""),"Reject")</f>
        <v>Reject</v>
      </c>
    </row>
    <row r="24">
      <c r="A24" s="4">
        <f>IFERROR(__xludf.DUMMYFUNCTION("""COMPUTED_VALUE"""),45691.458188495366)</f>
        <v>45691.45819</v>
      </c>
      <c r="B24" s="3" t="str">
        <f>IFERROR(__xludf.DUMMYFUNCTION("""COMPUTED_VALUE"""),"RIARO0005")</f>
        <v>RIARO0005</v>
      </c>
      <c r="C24" s="3" t="str">
        <f>IFERROR(__xludf.DUMMYFUNCTION("""COMPUTED_VALUE"""),"Consumable")</f>
        <v>Consumable</v>
      </c>
      <c r="D24" s="3" t="str">
        <f>IFERROR(__xludf.DUMMYFUNCTION("""COMPUTED_VALUE"""),"-")</f>
        <v>-</v>
      </c>
      <c r="E24" s="3" t="str">
        <f>IFERROR(__xludf.DUMMYFUNCTION("""COMPUTED_VALUE"""),"TOC WFI SKID")</f>
        <v>TOC WFI SKID</v>
      </c>
      <c r="F24" s="3" t="str">
        <f>IFERROR(__xludf.DUMMYFUNCTION("""COMPUTED_VALUE"""),"Resin Bed Replacement for TOC Sievers M500; ; ;")</f>
        <v>Resin Bed Replacement for TOC Sievers M500; ; ;</v>
      </c>
      <c r="G24" s="3">
        <f>IFERROR(__xludf.DUMMYFUNCTION("""COMPUTED_VALUE"""),1.0)</f>
        <v>1</v>
      </c>
      <c r="H24" s="3" t="str">
        <f>IFERROR(__xludf.DUMMYFUNCTION("""COMPUTED_VALUE"""),"Pcs")</f>
        <v>Pcs</v>
      </c>
      <c r="I24" s="3" t="str">
        <f>IFERROR(__xludf.DUMMYFUNCTION("""COMPUTED_VALUE"""),"Buat Stock")</f>
        <v>Buat Stock</v>
      </c>
      <c r="J24" s="3" t="str">
        <f>IFERROR(__xludf.DUMMYFUNCTION("""COMPUTED_VALUE"""),"P-18448-00")</f>
        <v>P-18448-00</v>
      </c>
      <c r="K24" s="3" t="str">
        <f>IFERROR(__xludf.DUMMYFUNCTION("""COMPUTED_VALUE"""),"Approve")</f>
        <v>Approve</v>
      </c>
      <c r="L24" s="3" t="str">
        <f>IFERROR(__xludf.DUMMYFUNCTION("""COMPUTED_VALUE"""),"Urgent")</f>
        <v>Urgent</v>
      </c>
      <c r="M24" s="3" t="str">
        <f>IFERROR(__xludf.DUMMYFUNCTION("""COMPUTED_VALUE"""),"Reject")</f>
        <v>Reject</v>
      </c>
    </row>
    <row r="25">
      <c r="A25" s="4">
        <f>IFERROR(__xludf.DUMMYFUNCTION("""COMPUTED_VALUE"""),45691.57719454861)</f>
        <v>45691.57719</v>
      </c>
      <c r="B25" s="3" t="str">
        <f>IFERROR(__xludf.DUMMYFUNCTION("""COMPUTED_VALUE"""),"MOBRO0017")</f>
        <v>MOBRO0017</v>
      </c>
      <c r="C25" s="3" t="str">
        <f>IFERROR(__xludf.DUMMYFUNCTION("""COMPUTED_VALUE"""),"EJO")</f>
        <v>EJO</v>
      </c>
      <c r="D25" s="3" t="str">
        <f>IFERROR(__xludf.DUMMYFUNCTION("""COMPUTED_VALUE"""),"EJO/2025/01/50")</f>
        <v>EJO/2025/01/50</v>
      </c>
      <c r="E25" s="3" t="str">
        <f>IFERROR(__xludf.DUMMYFUNCTION("""COMPUTED_VALUE"""),"AHU F3-6")</f>
        <v>AHU F3-6</v>
      </c>
      <c r="F25" s="3" t="str">
        <f>IFERROR(__xludf.DUMMYFUNCTION("""COMPUTED_VALUE"""),"HVAC - Pressure Flow Control MF PFC Ver.3 24 VAC/VDC 0 - 100 Pa Micatrone; ; ;")</f>
        <v>HVAC - Pressure Flow Control MF PFC Ver.3 24 VAC/VDC 0 - 100 Pa Micatrone; ; ;</v>
      </c>
      <c r="G25" s="3">
        <f>IFERROR(__xludf.DUMMYFUNCTION("""COMPUTED_VALUE"""),2.0)</f>
        <v>2</v>
      </c>
      <c r="H25" s="3" t="str">
        <f>IFERROR(__xludf.DUMMYFUNCTION("""COMPUTED_VALUE"""),"Pcs")</f>
        <v>Pcs</v>
      </c>
      <c r="I25" s="3" t="str">
        <f>IFERROR(__xludf.DUMMYFUNCTION("""COMPUTED_VALUE"""),"-")</f>
        <v>-</v>
      </c>
      <c r="J25" s="3" t="str">
        <f>IFERROR(__xludf.DUMMYFUNCTION("""COMPUTED_VALUE"""),"P-52369-00")</f>
        <v>P-52369-00</v>
      </c>
      <c r="K25" s="3" t="str">
        <f>IFERROR(__xludf.DUMMYFUNCTION("""COMPUTED_VALUE"""),"Approve")</f>
        <v>Approve</v>
      </c>
      <c r="L25" s="3" t="str">
        <f>IFERROR(__xludf.DUMMYFUNCTION("""COMPUTED_VALUE"""),"Normal")</f>
        <v>Normal</v>
      </c>
      <c r="M25" s="3" t="str">
        <f>IFERROR(__xludf.DUMMYFUNCTION("""COMPUTED_VALUE"""),"Non Urgent")</f>
        <v>Non Urgent</v>
      </c>
    </row>
    <row r="26">
      <c r="A26" s="4">
        <f>IFERROR(__xludf.DUMMYFUNCTION("""COMPUTED_VALUE"""),45691.58993614583)</f>
        <v>45691.58994</v>
      </c>
      <c r="B26" s="3" t="str">
        <f>IFERROR(__xludf.DUMMYFUNCTION("""COMPUTED_VALUE"""),"MOBRO0018")</f>
        <v>MOBRO0018</v>
      </c>
      <c r="C26" s="3" t="str">
        <f>IFERROR(__xludf.DUMMYFUNCTION("""COMPUTED_VALUE"""),"EJO")</f>
        <v>EJO</v>
      </c>
      <c r="D26" s="3" t="str">
        <f>IFERROR(__xludf.DUMMYFUNCTION("""COMPUTED_VALUE"""),"EJO/2025/02/38")</f>
        <v>EJO/2025/02/38</v>
      </c>
      <c r="E26" s="3" t="str">
        <f>IFERROR(__xludf.DUMMYFUNCTION("""COMPUTED_VALUE"""),"UV Lamp PW SKID")</f>
        <v>UV Lamp PW SKID</v>
      </c>
      <c r="F26" s="3" t="str">
        <f>IFERROR(__xludf.DUMMYFUNCTION("""COMPUTED_VALUE"""),"Arc tube Hanovia UV System; HANOVIA; p/n 130071 - 0320 - 01;")</f>
        <v>Arc tube Hanovia UV System; HANOVIA; p/n 130071 - 0320 - 01;</v>
      </c>
      <c r="G26" s="3">
        <f>IFERROR(__xludf.DUMMYFUNCTION("""COMPUTED_VALUE"""),2.0)</f>
        <v>2</v>
      </c>
      <c r="H26" s="3" t="str">
        <f>IFERROR(__xludf.DUMMYFUNCTION("""COMPUTED_VALUE"""),"Pcs")</f>
        <v>Pcs</v>
      </c>
      <c r="I26" s="3" t="str">
        <f>IFERROR(__xludf.DUMMYFUNCTION("""COMPUTED_VALUE"""),"Urgent")</f>
        <v>Urgent</v>
      </c>
      <c r="J26" s="3" t="str">
        <f>IFERROR(__xludf.DUMMYFUNCTION("""COMPUTED_VALUE"""),"P-53182-00")</f>
        <v>P-53182-00</v>
      </c>
      <c r="K26" s="3" t="str">
        <f>IFERROR(__xludf.DUMMYFUNCTION("""COMPUTED_VALUE"""),"Approve")</f>
        <v>Approve</v>
      </c>
      <c r="L26" s="3" t="str">
        <f>IFERROR(__xludf.DUMMYFUNCTION("""COMPUTED_VALUE"""),"Urgent")</f>
        <v>Urgent</v>
      </c>
      <c r="M26" s="3" t="str">
        <f>IFERROR(__xludf.DUMMYFUNCTION("""COMPUTED_VALUE"""),"Approve")</f>
        <v>Approve</v>
      </c>
    </row>
    <row r="27">
      <c r="A27" s="4">
        <f>IFERROR(__xludf.DUMMYFUNCTION("""COMPUTED_VALUE"""),45691.64753633102)</f>
        <v>45691.64754</v>
      </c>
      <c r="B27" s="3" t="str">
        <f>IFERROR(__xludf.DUMMYFUNCTION("""COMPUTED_VALUE"""),"RIARO0006")</f>
        <v>RIARO0006</v>
      </c>
      <c r="C27" s="3" t="str">
        <f>IFERROR(__xludf.DUMMYFUNCTION("""COMPUTED_VALUE"""),"EJO")</f>
        <v>EJO</v>
      </c>
      <c r="D27" s="3" t="str">
        <f>IFERROR(__xludf.DUMMYFUNCTION("""COMPUTED_VALUE"""),"EJO/2024/11/89")</f>
        <v>EJO/2024/11/89</v>
      </c>
      <c r="E27" s="3" t="str">
        <f>IFERROR(__xludf.DUMMYFUNCTION("""COMPUTED_VALUE"""),"UPS 40KVA")</f>
        <v>UPS 40KVA</v>
      </c>
      <c r="F27" s="3" t="str">
        <f>IFERROR(__xludf.DUMMYFUNCTION("""COMPUTED_VALUE"""),"General - Accu 6FM40, Baterai Kering, 12 V, 40 Ah; Vision; -; 1 pcs")</f>
        <v>General - Accu 6FM40, Baterai Kering, 12 V, 40 Ah; Vision; -; 1 pcs</v>
      </c>
      <c r="G27" s="3">
        <f>IFERROR(__xludf.DUMMYFUNCTION("""COMPUTED_VALUE"""),32.0)</f>
        <v>32</v>
      </c>
      <c r="H27" s="3" t="str">
        <f>IFERROR(__xludf.DUMMYFUNCTION("""COMPUTED_VALUE"""),"Pcs")</f>
        <v>Pcs</v>
      </c>
      <c r="I27" s="3" t="str">
        <f>IFERROR(__xludf.DUMMYFUNCTION("""COMPUTED_VALUE"""),"Buat Persiapan PM Tahun Ini")</f>
        <v>Buat Persiapan PM Tahun Ini</v>
      </c>
      <c r="J27" s="3" t="str">
        <f>IFERROR(__xludf.DUMMYFUNCTION("""COMPUTED_VALUE"""),"P-52119-00")</f>
        <v>P-52119-00</v>
      </c>
      <c r="K27" s="3" t="str">
        <f>IFERROR(__xludf.DUMMYFUNCTION("""COMPUTED_VALUE"""),"Approve")</f>
        <v>Approve</v>
      </c>
      <c r="L27" s="3" t="str">
        <f>IFERROR(__xludf.DUMMYFUNCTION("""COMPUTED_VALUE"""),"Urgent")</f>
        <v>Urgent</v>
      </c>
      <c r="M27" s="3" t="str">
        <f>IFERROR(__xludf.DUMMYFUNCTION("""COMPUTED_VALUE"""),"Reject")</f>
        <v>Reject</v>
      </c>
    </row>
    <row r="28">
      <c r="A28" s="4">
        <f>IFERROR(__xludf.DUMMYFUNCTION("""COMPUTED_VALUE"""),45691.647935567125)</f>
        <v>45691.64794</v>
      </c>
      <c r="B28" s="3" t="str">
        <f>IFERROR(__xludf.DUMMYFUNCTION("""COMPUTED_VALUE"""),"RIARO0007")</f>
        <v>RIARO0007</v>
      </c>
      <c r="C28" s="3" t="str">
        <f>IFERROR(__xludf.DUMMYFUNCTION("""COMPUTED_VALUE"""),"EJO")</f>
        <v>EJO</v>
      </c>
      <c r="D28" s="3" t="str">
        <f>IFERROR(__xludf.DUMMYFUNCTION("""COMPUTED_VALUE"""),"EJO/2024/11/89")</f>
        <v>EJO/2024/11/89</v>
      </c>
      <c r="E28" s="3" t="str">
        <f>IFERROR(__xludf.DUMMYFUNCTION("""COMPUTED_VALUE"""),"UPS 40KVA")</f>
        <v>UPS 40KVA</v>
      </c>
      <c r="F28" s="3" t="str">
        <f>IFERROR(__xludf.DUMMYFUNCTION("""COMPUTED_VALUE"""),"Capacitor 50F 250VAC 25A 5% Screw (KMT) P/N : 6R 01502010; ; ;")</f>
        <v>Capacitor 50F 250VAC 25A 5% Screw (KMT) P/N : 6R 01502010; ; ;</v>
      </c>
      <c r="G28" s="3">
        <f>IFERROR(__xludf.DUMMYFUNCTION("""COMPUTED_VALUE"""),5.0)</f>
        <v>5</v>
      </c>
      <c r="H28" s="3" t="str">
        <f>IFERROR(__xludf.DUMMYFUNCTION("""COMPUTED_VALUE"""),"Pcs")</f>
        <v>Pcs</v>
      </c>
      <c r="I28" s="3" t="str">
        <f>IFERROR(__xludf.DUMMYFUNCTION("""COMPUTED_VALUE"""),"Buat Ganti Kapasitor Yang Rusak")</f>
        <v>Buat Ganti Kapasitor Yang Rusak</v>
      </c>
      <c r="J28" s="3" t="str">
        <f>IFERROR(__xludf.DUMMYFUNCTION("""COMPUTED_VALUE"""),"P-52278-00")</f>
        <v>P-52278-00</v>
      </c>
      <c r="K28" s="3" t="str">
        <f>IFERROR(__xludf.DUMMYFUNCTION("""COMPUTED_VALUE"""),"Approve")</f>
        <v>Approve</v>
      </c>
      <c r="L28" s="3" t="str">
        <f>IFERROR(__xludf.DUMMYFUNCTION("""COMPUTED_VALUE"""),"Urgent")</f>
        <v>Urgent</v>
      </c>
      <c r="M28" s="3" t="str">
        <f>IFERROR(__xludf.DUMMYFUNCTION("""COMPUTED_VALUE"""),"Reject")</f>
        <v>Reject</v>
      </c>
    </row>
    <row r="29">
      <c r="A29" s="4">
        <f>IFERROR(__xludf.DUMMYFUNCTION("""COMPUTED_VALUE"""),45691.65469311342)</f>
        <v>45691.65469</v>
      </c>
      <c r="B29" s="3" t="str">
        <f>IFERROR(__xludf.DUMMYFUNCTION("""COMPUTED_VALUE"""),"MOBRO0019")</f>
        <v>MOBRO0019</v>
      </c>
      <c r="C29" s="3" t="str">
        <f>IFERROR(__xludf.DUMMYFUNCTION("""COMPUTED_VALUE"""),"EJO")</f>
        <v>EJO</v>
      </c>
      <c r="D29" s="3" t="str">
        <f>IFERROR(__xludf.DUMMYFUNCTION("""COMPUTED_VALUE"""),"EJO/2024/12/155")</f>
        <v>EJO/2024/12/155</v>
      </c>
      <c r="E29" s="3" t="str">
        <f>IFERROR(__xludf.DUMMYFUNCTION("""COMPUTED_VALUE"""),"Heating Coil B 1-2")</f>
        <v>Heating Coil B 1-2</v>
      </c>
      <c r="F29" s="3" t="str">
        <f>IFERROR(__xludf.DUMMYFUNCTION("""COMPUTED_VALUE"""),"Electronic Valve Actuator ; Brand : Siemens ; P/N : SQS65 ; Pack Size : pcs")</f>
        <v>Electronic Valve Actuator ; Brand : Siemens ; P/N : SQS65 ; Pack Size : pcs</v>
      </c>
      <c r="G29" s="3">
        <f>IFERROR(__xludf.DUMMYFUNCTION("""COMPUTED_VALUE"""),2.0)</f>
        <v>2</v>
      </c>
      <c r="H29" s="3" t="str">
        <f>IFERROR(__xludf.DUMMYFUNCTION("""COMPUTED_VALUE"""),"Pcs")</f>
        <v>Pcs</v>
      </c>
      <c r="I29" s="3" t="str">
        <f>IFERROR(__xludf.DUMMYFUNCTION("""COMPUTED_VALUE"""),"-")</f>
        <v>-</v>
      </c>
      <c r="J29" s="3" t="str">
        <f>IFERROR(__xludf.DUMMYFUNCTION("""COMPUTED_VALUE"""),"P-13754-00")</f>
        <v>P-13754-00</v>
      </c>
      <c r="K29" s="3" t="str">
        <f>IFERROR(__xludf.DUMMYFUNCTION("""COMPUTED_VALUE"""),"Approve")</f>
        <v>Approve</v>
      </c>
      <c r="L29" s="3" t="str">
        <f>IFERROR(__xludf.DUMMYFUNCTION("""COMPUTED_VALUE"""),"Urgent")</f>
        <v>Urgent</v>
      </c>
      <c r="M29" s="3" t="str">
        <f>IFERROR(__xludf.DUMMYFUNCTION("""COMPUTED_VALUE"""),"Waiting")</f>
        <v>Waiting</v>
      </c>
    </row>
    <row r="30">
      <c r="A30" s="4">
        <f>IFERROR(__xludf.DUMMYFUNCTION("""COMPUTED_VALUE"""),45691.67420321759)</f>
        <v>45691.6742</v>
      </c>
      <c r="B30" s="3" t="str">
        <f>IFERROR(__xludf.DUMMYFUNCTION("""COMPUTED_VALUE"""),"MOBRO0020")</f>
        <v>MOBRO0020</v>
      </c>
      <c r="C30" s="3" t="str">
        <f>IFERROR(__xludf.DUMMYFUNCTION("""COMPUTED_VALUE"""),"Consumable")</f>
        <v>Consumable</v>
      </c>
      <c r="D30" s="3" t="str">
        <f>IFERROR(__xludf.DUMMYFUNCTION("""COMPUTED_VALUE"""),"-")</f>
        <v>-</v>
      </c>
      <c r="E30" s="3" t="str">
        <f>IFERROR(__xludf.DUMMYFUNCTION("""COMPUTED_VALUE"""),"Plumbing")</f>
        <v>Plumbing</v>
      </c>
      <c r="F30" s="3" t="str">
        <f>IFERROR(__xludf.DUMMYFUNCTION("""COMPUTED_VALUE"""),"RUCIKA - Pipa PVC AW dia 1 inch Warna Abu-Abu")</f>
        <v>RUCIKA - Pipa PVC AW dia 1 inch Warna Abu-Abu</v>
      </c>
      <c r="G30" s="3">
        <f>IFERROR(__xludf.DUMMYFUNCTION("""COMPUTED_VALUE"""),5.0)</f>
        <v>5</v>
      </c>
      <c r="H30" s="3" t="str">
        <f>IFERROR(__xludf.DUMMYFUNCTION("""COMPUTED_VALUE"""),"Pcs")</f>
        <v>Pcs</v>
      </c>
      <c r="I30" s="3" t="str">
        <f>IFERROR(__xludf.DUMMYFUNCTION("""COMPUTED_VALUE"""),"-")</f>
        <v>-</v>
      </c>
      <c r="J30" s="3" t="str">
        <f>IFERROR(__xludf.DUMMYFUNCTION("""COMPUTED_VALUE"""),"P-12749-00")</f>
        <v>P-12749-00</v>
      </c>
      <c r="K30" s="3" t="str">
        <f>IFERROR(__xludf.DUMMYFUNCTION("""COMPUTED_VALUE"""),"Approve")</f>
        <v>Approve</v>
      </c>
      <c r="L30" s="3" t="str">
        <f>IFERROR(__xludf.DUMMYFUNCTION("""COMPUTED_VALUE"""),"Normal")</f>
        <v>Normal</v>
      </c>
      <c r="M30" s="3" t="str">
        <f>IFERROR(__xludf.DUMMYFUNCTION("""COMPUTED_VALUE"""),"Non Urgent")</f>
        <v>Non Urgent</v>
      </c>
    </row>
    <row r="31">
      <c r="A31" s="4">
        <f>IFERROR(__xludf.DUMMYFUNCTION("""COMPUTED_VALUE"""),45691.6794790625)</f>
        <v>45691.67948</v>
      </c>
      <c r="B31" s="3" t="str">
        <f>IFERROR(__xludf.DUMMYFUNCTION("""COMPUTED_VALUE"""),"MOBRO0021")</f>
        <v>MOBRO0021</v>
      </c>
      <c r="C31" s="3" t="str">
        <f>IFERROR(__xludf.DUMMYFUNCTION("""COMPUTED_VALUE"""),"Consumable")</f>
        <v>Consumable</v>
      </c>
      <c r="D31" s="3" t="str">
        <f>IFERROR(__xludf.DUMMYFUNCTION("""COMPUTED_VALUE"""),"-")</f>
        <v>-</v>
      </c>
      <c r="E31" s="3" t="str">
        <f>IFERROR(__xludf.DUMMYFUNCTION("""COMPUTED_VALUE"""),"Plumbing")</f>
        <v>Plumbing</v>
      </c>
      <c r="F31" s="3" t="str">
        <f>IFERROR(__xludf.DUMMYFUNCTION("""COMPUTED_VALUE"""),"RUCIKA - Pipa PVC aw dia 1/2 inch Warna Abu-Abu")</f>
        <v>RUCIKA - Pipa PVC aw dia 1/2 inch Warna Abu-Abu</v>
      </c>
      <c r="G31" s="3">
        <f>IFERROR(__xludf.DUMMYFUNCTION("""COMPUTED_VALUE"""),5.0)</f>
        <v>5</v>
      </c>
      <c r="H31" s="3" t="str">
        <f>IFERROR(__xludf.DUMMYFUNCTION("""COMPUTED_VALUE"""),"Pcs")</f>
        <v>Pcs</v>
      </c>
      <c r="I31" s="3" t="str">
        <f>IFERROR(__xludf.DUMMYFUNCTION("""COMPUTED_VALUE"""),"-")</f>
        <v>-</v>
      </c>
      <c r="J31" s="3" t="str">
        <f>IFERROR(__xludf.DUMMYFUNCTION("""COMPUTED_VALUE"""),"P-12750-00")</f>
        <v>P-12750-00</v>
      </c>
      <c r="K31" s="3" t="str">
        <f>IFERROR(__xludf.DUMMYFUNCTION("""COMPUTED_VALUE"""),"Approve")</f>
        <v>Approve</v>
      </c>
      <c r="L31" s="3" t="str">
        <f>IFERROR(__xludf.DUMMYFUNCTION("""COMPUTED_VALUE"""),"Normal")</f>
        <v>Normal</v>
      </c>
      <c r="M31" s="3" t="str">
        <f>IFERROR(__xludf.DUMMYFUNCTION("""COMPUTED_VALUE"""),"Non Urgent")</f>
        <v>Non Urgent</v>
      </c>
    </row>
    <row r="32">
      <c r="A32" s="4">
        <f>IFERROR(__xludf.DUMMYFUNCTION("""COMPUTED_VALUE"""),45691.67974535879)</f>
        <v>45691.67975</v>
      </c>
      <c r="B32" s="3" t="str">
        <f>IFERROR(__xludf.DUMMYFUNCTION("""COMPUTED_VALUE"""),"MOBRO0022")</f>
        <v>MOBRO0022</v>
      </c>
      <c r="C32" s="3" t="str">
        <f>IFERROR(__xludf.DUMMYFUNCTION("""COMPUTED_VALUE"""),"Consumable")</f>
        <v>Consumable</v>
      </c>
      <c r="D32" s="3" t="str">
        <f>IFERROR(__xludf.DUMMYFUNCTION("""COMPUTED_VALUE"""),"-")</f>
        <v>-</v>
      </c>
      <c r="E32" s="3" t="str">
        <f>IFERROR(__xludf.DUMMYFUNCTION("""COMPUTED_VALUE"""),"Plumbing")</f>
        <v>Plumbing</v>
      </c>
      <c r="F32" s="3" t="str">
        <f>IFERROR(__xludf.DUMMYFUNCTION("""COMPUTED_VALUE"""),"RUCIKA - Pipa PVC AW dia 3/4inch")</f>
        <v>RUCIKA - Pipa PVC AW dia 3/4inch</v>
      </c>
      <c r="G32" s="3">
        <f>IFERROR(__xludf.DUMMYFUNCTION("""COMPUTED_VALUE"""),5.0)</f>
        <v>5</v>
      </c>
      <c r="H32" s="3" t="str">
        <f>IFERROR(__xludf.DUMMYFUNCTION("""COMPUTED_VALUE"""),"Pcs")</f>
        <v>Pcs</v>
      </c>
      <c r="I32" s="3" t="str">
        <f>IFERROR(__xludf.DUMMYFUNCTION("""COMPUTED_VALUE"""),"-")</f>
        <v>-</v>
      </c>
      <c r="J32" s="3" t="str">
        <f>IFERROR(__xludf.DUMMYFUNCTION("""COMPUTED_VALUE"""),"P-12747-00")</f>
        <v>P-12747-00</v>
      </c>
      <c r="K32" s="3" t="str">
        <f>IFERROR(__xludf.DUMMYFUNCTION("""COMPUTED_VALUE"""),"Approve")</f>
        <v>Approve</v>
      </c>
      <c r="L32" s="3" t="str">
        <f>IFERROR(__xludf.DUMMYFUNCTION("""COMPUTED_VALUE"""),"Normal")</f>
        <v>Normal</v>
      </c>
      <c r="M32" s="3" t="str">
        <f>IFERROR(__xludf.DUMMYFUNCTION("""COMPUTED_VALUE"""),"Non Urgent")</f>
        <v>Non Urgent</v>
      </c>
    </row>
    <row r="33">
      <c r="A33" s="4">
        <f>IFERROR(__xludf.DUMMYFUNCTION("""COMPUTED_VALUE"""),45692.454085289355)</f>
        <v>45692.45409</v>
      </c>
      <c r="B33" s="3" t="str">
        <f>IFERROR(__xludf.DUMMYFUNCTION("""COMPUTED_VALUE"""),"RIARO0008")</f>
        <v>RIARO0008</v>
      </c>
      <c r="C33" s="3" t="str">
        <f>IFERROR(__xludf.DUMMYFUNCTION("""COMPUTED_VALUE"""),"EJO")</f>
        <v>EJO</v>
      </c>
      <c r="D33" s="3" t="str">
        <f>IFERROR(__xludf.DUMMYFUNCTION("""COMPUTED_VALUE"""),"EJO/2025/01/34")</f>
        <v>EJO/2025/01/34</v>
      </c>
      <c r="E33" s="3" t="str">
        <f>IFERROR(__xludf.DUMMYFUNCTION("""COMPUTED_VALUE"""),"Hot Water")</f>
        <v>Hot Water</v>
      </c>
      <c r="F33" s="3" t="str">
        <f>IFERROR(__xludf.DUMMYFUNCTION("""COMPUTED_VALUE"""),"General - Exhaust Fan Panel 240VAC; TW; -; 1 pc")</f>
        <v>General - Exhaust Fan Panel 240VAC; TW; -; 1 pc</v>
      </c>
      <c r="G33" s="3">
        <f>IFERROR(__xludf.DUMMYFUNCTION("""COMPUTED_VALUE"""),2.0)</f>
        <v>2</v>
      </c>
      <c r="H33" s="3" t="str">
        <f>IFERROR(__xludf.DUMMYFUNCTION("""COMPUTED_VALUE"""),"Pcs")</f>
        <v>Pcs</v>
      </c>
      <c r="I33" s="3" t="str">
        <f>IFERROR(__xludf.DUMMYFUNCTION("""COMPUTED_VALUE"""),"EJO Improvement")</f>
        <v>EJO Improvement</v>
      </c>
      <c r="J33" s="3" t="str">
        <f>IFERROR(__xludf.DUMMYFUNCTION("""COMPUTED_VALUE"""),"P-51891-00")</f>
        <v>P-51891-00</v>
      </c>
      <c r="K33" s="3" t="str">
        <f>IFERROR(__xludf.DUMMYFUNCTION("""COMPUTED_VALUE"""),"Approve")</f>
        <v>Approve</v>
      </c>
      <c r="L33" s="3" t="str">
        <f>IFERROR(__xludf.DUMMYFUNCTION("""COMPUTED_VALUE"""),"Normal")</f>
        <v>Normal</v>
      </c>
      <c r="M33" s="3" t="str">
        <f>IFERROR(__xludf.DUMMYFUNCTION("""COMPUTED_VALUE"""),"Non Urgent")</f>
        <v>Non Urgent</v>
      </c>
    </row>
    <row r="34">
      <c r="A34" s="4">
        <f>IFERROR(__xludf.DUMMYFUNCTION("""COMPUTED_VALUE"""),45692.46238467592)</f>
        <v>45692.46238</v>
      </c>
      <c r="B34" s="3" t="str">
        <f>IFERROR(__xludf.DUMMYFUNCTION("""COMPUTED_VALUE"""),"RIARO0009")</f>
        <v>RIARO0009</v>
      </c>
      <c r="C34" s="3" t="str">
        <f>IFERROR(__xludf.DUMMYFUNCTION("""COMPUTED_VALUE"""),"EJO")</f>
        <v>EJO</v>
      </c>
      <c r="D34" s="3" t="str">
        <f>IFERROR(__xludf.DUMMYFUNCTION("""COMPUTED_VALUE"""),"EJO/2024/12/154")</f>
        <v>EJO/2024/12/154</v>
      </c>
      <c r="E34" s="3" t="str">
        <f>IFERROR(__xludf.DUMMYFUNCTION("""COMPUTED_VALUE"""),"WWTP")</f>
        <v>WWTP</v>
      </c>
      <c r="F34" s="3" t="str">
        <f>IFERROR(__xludf.DUMMYFUNCTION("""COMPUTED_VALUE"""),"Pompa Submersible; ; ; - POMPA SUBMERSIBLE SB 3")</f>
        <v>Pompa Submersible; ; ; - POMPA SUBMERSIBLE SB 3</v>
      </c>
      <c r="G34" s="3">
        <f>IFERROR(__xludf.DUMMYFUNCTION("""COMPUTED_VALUE"""),2.0)</f>
        <v>2</v>
      </c>
      <c r="H34" s="3" t="str">
        <f>IFERROR(__xludf.DUMMYFUNCTION("""COMPUTED_VALUE"""),"Pcs")</f>
        <v>Pcs</v>
      </c>
      <c r="I34" s="3" t="str">
        <f>IFERROR(__xludf.DUMMYFUNCTION("""COMPUTED_VALUE"""),"Pompa A Rusak")</f>
        <v>Pompa A Rusak</v>
      </c>
      <c r="J34" s="3" t="str">
        <f>IFERROR(__xludf.DUMMYFUNCTION("""COMPUTED_VALUE"""),"P-17066-00")</f>
        <v>P-17066-00</v>
      </c>
      <c r="K34" s="3" t="str">
        <f>IFERROR(__xludf.DUMMYFUNCTION("""COMPUTED_VALUE"""),"Reject")</f>
        <v>Reject</v>
      </c>
      <c r="L34" s="3" t="str">
        <f>IFERROR(__xludf.DUMMYFUNCTION("""COMPUTED_VALUE"""),"Normal")</f>
        <v>Normal</v>
      </c>
      <c r="M34" s="3" t="str">
        <f>IFERROR(__xludf.DUMMYFUNCTION("""COMPUTED_VALUE"""),"Non Urgent")</f>
        <v>Non Urgent</v>
      </c>
    </row>
    <row r="35">
      <c r="A35" s="4">
        <f>IFERROR(__xludf.DUMMYFUNCTION("""COMPUTED_VALUE"""),45692.585179340276)</f>
        <v>45692.58518</v>
      </c>
      <c r="B35" s="3" t="str">
        <f>IFERROR(__xludf.DUMMYFUNCTION("""COMPUTED_VALUE"""),"RIARO0010")</f>
        <v>RIARO0010</v>
      </c>
      <c r="C35" s="3" t="str">
        <f>IFERROR(__xludf.DUMMYFUNCTION("""COMPUTED_VALUE"""),"EJO")</f>
        <v>EJO</v>
      </c>
      <c r="D35" s="3" t="str">
        <f>IFERROR(__xludf.DUMMYFUNCTION("""COMPUTED_VALUE"""),"EJO/2025/02/25")</f>
        <v>EJO/2025/02/25</v>
      </c>
      <c r="E35" s="3" t="str">
        <f>IFERROR(__xludf.DUMMYFUNCTION("""COMPUTED_VALUE"""),"PWG")</f>
        <v>PWG</v>
      </c>
      <c r="F35" s="3" t="str">
        <f>IFERROR(__xludf.DUMMYFUNCTION("""COMPUTED_VALUE"""),"General - External Cable 5 Wire for Dosing Pump Analogue 4-20mA; Prominent; BT4B 0708 PVT 2000UA011A00YP; 1 pc")</f>
        <v>General - External Cable 5 Wire for Dosing Pump Analogue 4-20mA; Prominent; BT4B 0708 PVT 2000UA011A00YP; 1 pc</v>
      </c>
      <c r="G35" s="3">
        <f>IFERROR(__xludf.DUMMYFUNCTION("""COMPUTED_VALUE"""),2.0)</f>
        <v>2</v>
      </c>
      <c r="H35" s="3" t="str">
        <f>IFERROR(__xludf.DUMMYFUNCTION("""COMPUTED_VALUE"""),"Pcs")</f>
        <v>Pcs</v>
      </c>
      <c r="I35" s="3" t="str">
        <f>IFERROR(__xludf.DUMMYFUNCTION("""COMPUTED_VALUE"""),"Pompa SMBS rusak, satunya buat spare")</f>
        <v>Pompa SMBS rusak, satunya buat spare</v>
      </c>
      <c r="J35" s="3" t="str">
        <f>IFERROR(__xludf.DUMMYFUNCTION("""COMPUTED_VALUE"""),"P-53404-00")</f>
        <v>P-53404-00</v>
      </c>
      <c r="K35" s="3" t="str">
        <f>IFERROR(__xludf.DUMMYFUNCTION("""COMPUTED_VALUE"""),"Approve")</f>
        <v>Approve</v>
      </c>
      <c r="L35" s="3" t="str">
        <f>IFERROR(__xludf.DUMMYFUNCTION("""COMPUTED_VALUE"""),"Normal")</f>
        <v>Normal</v>
      </c>
      <c r="M35" s="3" t="str">
        <f>IFERROR(__xludf.DUMMYFUNCTION("""COMPUTED_VALUE"""),"Non Urgent")</f>
        <v>Non Urgent</v>
      </c>
    </row>
    <row r="36">
      <c r="A36" s="4">
        <f>IFERROR(__xludf.DUMMYFUNCTION("""COMPUTED_VALUE"""),45692.58546775463)</f>
        <v>45692.58547</v>
      </c>
      <c r="B36" s="3" t="str">
        <f>IFERROR(__xludf.DUMMYFUNCTION("""COMPUTED_VALUE"""),"RIARO0011")</f>
        <v>RIARO0011</v>
      </c>
      <c r="C36" s="3" t="str">
        <f>IFERROR(__xludf.DUMMYFUNCTION("""COMPUTED_VALUE"""),"EJO")</f>
        <v>EJO</v>
      </c>
      <c r="D36" s="3" t="str">
        <f>IFERROR(__xludf.DUMMYFUNCTION("""COMPUTED_VALUE"""),"EJO/2025/02/25")</f>
        <v>EJO/2025/02/25</v>
      </c>
      <c r="E36" s="3" t="str">
        <f>IFERROR(__xludf.DUMMYFUNCTION("""COMPUTED_VALUE"""),"PWG")</f>
        <v>PWG</v>
      </c>
      <c r="F36" s="3" t="str">
        <f>IFERROR(__xludf.DUMMYFUNCTION("""COMPUTED_VALUE"""),"Doshing Pump BT4B Merk Prominent; ; ;")</f>
        <v>Doshing Pump BT4B Merk Prominent; ; ;</v>
      </c>
      <c r="G36" s="3">
        <f>IFERROR(__xludf.DUMMYFUNCTION("""COMPUTED_VALUE"""),2.0)</f>
        <v>2</v>
      </c>
      <c r="H36" s="3" t="str">
        <f>IFERROR(__xludf.DUMMYFUNCTION("""COMPUTED_VALUE"""),"Pcs")</f>
        <v>Pcs</v>
      </c>
      <c r="I36" s="3" t="str">
        <f>IFERROR(__xludf.DUMMYFUNCTION("""COMPUTED_VALUE"""),"Pompa SMBS rusak, satunya buat spare")</f>
        <v>Pompa SMBS rusak, satunya buat spare</v>
      </c>
      <c r="J36" s="3" t="str">
        <f>IFERROR(__xludf.DUMMYFUNCTION("""COMPUTED_VALUE"""),"P-52844-00")</f>
        <v>P-52844-00</v>
      </c>
      <c r="K36" s="3" t="str">
        <f>IFERROR(__xludf.DUMMYFUNCTION("""COMPUTED_VALUE"""),"Approve")</f>
        <v>Approve</v>
      </c>
      <c r="L36" s="3" t="str">
        <f>IFERROR(__xludf.DUMMYFUNCTION("""COMPUTED_VALUE"""),"Normal")</f>
        <v>Normal</v>
      </c>
      <c r="M36" s="3" t="str">
        <f>IFERROR(__xludf.DUMMYFUNCTION("""COMPUTED_VALUE"""),"Non Urgent")</f>
        <v>Non Urgent</v>
      </c>
    </row>
    <row r="37">
      <c r="A37" s="4">
        <f>IFERROR(__xludf.DUMMYFUNCTION("""COMPUTED_VALUE"""),45693.39191435185)</f>
        <v>45693.39191</v>
      </c>
      <c r="B37" s="3" t="str">
        <f>IFERROR(__xludf.DUMMYFUNCTION("""COMPUTED_VALUE"""),"ANORO0001")</f>
        <v>ANORO0001</v>
      </c>
      <c r="C37" s="3" t="str">
        <f>IFERROR(__xludf.DUMMYFUNCTION("""COMPUTED_VALUE"""),"EJO")</f>
        <v>EJO</v>
      </c>
      <c r="D37" s="3" t="str">
        <f>IFERROR(__xludf.DUMMYFUNCTION("""COMPUTED_VALUE"""),"EJO/2025/01/137")</f>
        <v>EJO/2025/01/137</v>
      </c>
      <c r="E37" s="3" t="str">
        <f>IFERROR(__xludf.DUMMYFUNCTION("""COMPUTED_VALUE"""),"Lab micro")</f>
        <v>Lab micro</v>
      </c>
      <c r="F37" s="3" t="str">
        <f>IFERROR(__xludf.DUMMYFUNCTION("""COMPUTED_VALUE"""),"Trolly - Roda ABUS 4inch (100 x 27mm), Without Brake; No Brand; -; 1 pc")</f>
        <v>Trolly - Roda ABUS 4inch (100 x 27mm), Without Brake; No Brand; -; 1 pc</v>
      </c>
      <c r="G37" s="3">
        <f>IFERROR(__xludf.DUMMYFUNCTION("""COMPUTED_VALUE"""),5.0)</f>
        <v>5</v>
      </c>
      <c r="H37" s="3" t="str">
        <f>IFERROR(__xludf.DUMMYFUNCTION("""COMPUTED_VALUE"""),"pcs")</f>
        <v>pcs</v>
      </c>
      <c r="I37" s="3" t="str">
        <f>IFERROR(__xludf.DUMMYFUNCTION("""COMPUTED_VALUE"""),"-")</f>
        <v>-</v>
      </c>
      <c r="J37" s="3" t="str">
        <f>IFERROR(__xludf.DUMMYFUNCTION("""COMPUTED_VALUE"""),"P-11356-00")</f>
        <v>P-11356-00</v>
      </c>
      <c r="K37" s="3" t="str">
        <f>IFERROR(__xludf.DUMMYFUNCTION("""COMPUTED_VALUE"""),"Approve")</f>
        <v>Approve</v>
      </c>
      <c r="L37" s="3" t="str">
        <f>IFERROR(__xludf.DUMMYFUNCTION("""COMPUTED_VALUE"""),"Normal")</f>
        <v>Normal</v>
      </c>
      <c r="M37" s="3" t="str">
        <f>IFERROR(__xludf.DUMMYFUNCTION("""COMPUTED_VALUE"""),"Non Urgent")</f>
        <v>Non Urgent</v>
      </c>
    </row>
    <row r="38">
      <c r="A38" s="4">
        <f>IFERROR(__xludf.DUMMYFUNCTION("""COMPUTED_VALUE"""),45693.71919592593)</f>
        <v>45693.7192</v>
      </c>
      <c r="B38" s="3" t="str">
        <f>IFERROR(__xludf.DUMMYFUNCTION("""COMPUTED_VALUE"""),"MRNRO0001")</f>
        <v>MRNRO0001</v>
      </c>
      <c r="C38" s="3" t="str">
        <f>IFERROR(__xludf.DUMMYFUNCTION("""COMPUTED_VALUE"""),"EJO")</f>
        <v>EJO</v>
      </c>
      <c r="D38" s="3" t="str">
        <f>IFERROR(__xludf.DUMMYFUNCTION("""COMPUTED_VALUE"""),"EJO/2025/01/23")</f>
        <v>EJO/2025/01/23</v>
      </c>
      <c r="E38" s="3" t="str">
        <f>IFERROR(__xludf.DUMMYFUNCTION("""COMPUTED_VALUE"""),"CC baru di stability")</f>
        <v>CC baru di stability</v>
      </c>
      <c r="F38" s="3" t="str">
        <f>IFERROR(__xludf.DUMMYFUNCTION("""COMPUTED_VALUE"""),"RUCIKA - Pipa PVC aw dia 1/2 inch Warna Abu-Abu")</f>
        <v>RUCIKA - Pipa PVC aw dia 1/2 inch Warna Abu-Abu</v>
      </c>
      <c r="G38" s="3">
        <f>IFERROR(__xludf.DUMMYFUNCTION("""COMPUTED_VALUE"""),4.0)</f>
        <v>4</v>
      </c>
      <c r="H38" s="3" t="str">
        <f>IFERROR(__xludf.DUMMYFUNCTION("""COMPUTED_VALUE"""),"btg")</f>
        <v>btg</v>
      </c>
      <c r="I38" s="3" t="str">
        <f>IFERROR(__xludf.DUMMYFUNCTION("""COMPUTED_VALUE"""),"Requst RMA cc baru")</f>
        <v>Requst RMA cc baru</v>
      </c>
      <c r="J38" s="3" t="str">
        <f>IFERROR(__xludf.DUMMYFUNCTION("""COMPUTED_VALUE"""),"P-12750-00")</f>
        <v>P-12750-00</v>
      </c>
      <c r="K38" s="3" t="str">
        <f>IFERROR(__xludf.DUMMYFUNCTION("""COMPUTED_VALUE"""),"Approve")</f>
        <v>Approve</v>
      </c>
      <c r="L38" s="3" t="str">
        <f>IFERROR(__xludf.DUMMYFUNCTION("""COMPUTED_VALUE"""),"Normal")</f>
        <v>Normal</v>
      </c>
      <c r="M38" s="3" t="str">
        <f>IFERROR(__xludf.DUMMYFUNCTION("""COMPUTED_VALUE"""),"Non Urgent")</f>
        <v>Non Urgent</v>
      </c>
    </row>
    <row r="39">
      <c r="A39" s="4">
        <f>IFERROR(__xludf.DUMMYFUNCTION("""COMPUTED_VALUE"""),45693.722962534725)</f>
        <v>45693.72296</v>
      </c>
      <c r="B39" s="3" t="str">
        <f>IFERROR(__xludf.DUMMYFUNCTION("""COMPUTED_VALUE"""),"MRNRO0002")</f>
        <v>MRNRO0002</v>
      </c>
      <c r="C39" s="3" t="str">
        <f>IFERROR(__xludf.DUMMYFUNCTION("""COMPUTED_VALUE"""),"EJO")</f>
        <v>EJO</v>
      </c>
      <c r="D39" s="3" t="str">
        <f>IFERROR(__xludf.DUMMYFUNCTION("""COMPUTED_VALUE"""),"EJO/2025/01/23")</f>
        <v>EJO/2025/01/23</v>
      </c>
      <c r="E39" s="3" t="str">
        <f>IFERROR(__xludf.DUMMYFUNCTION("""COMPUTED_VALUE"""),"CC baru di stability")</f>
        <v>CC baru di stability</v>
      </c>
      <c r="F39" s="3" t="str">
        <f>IFERROR(__xludf.DUMMYFUNCTION("""COMPUTED_VALUE"""),"Cable Duct Round Putih 35 x 10 mm; ; ;")</f>
        <v>Cable Duct Round Putih 35 x 10 mm; ; ;</v>
      </c>
      <c r="G39" s="3">
        <f>IFERROR(__xludf.DUMMYFUNCTION("""COMPUTED_VALUE"""),2.0)</f>
        <v>2</v>
      </c>
      <c r="H39" s="3" t="str">
        <f>IFERROR(__xludf.DUMMYFUNCTION("""COMPUTED_VALUE"""),"btg")</f>
        <v>btg</v>
      </c>
      <c r="I39" s="3" t="str">
        <f>IFERROR(__xludf.DUMMYFUNCTION("""COMPUTED_VALUE"""),"Requst RMA cc baru")</f>
        <v>Requst RMA cc baru</v>
      </c>
      <c r="J39" s="3" t="str">
        <f>IFERROR(__xludf.DUMMYFUNCTION("""COMPUTED_VALUE"""),"P-13735-00")</f>
        <v>P-13735-00</v>
      </c>
      <c r="K39" s="3" t="str">
        <f>IFERROR(__xludf.DUMMYFUNCTION("""COMPUTED_VALUE"""),"Approve")</f>
        <v>Approve</v>
      </c>
      <c r="L39" s="3" t="str">
        <f>IFERROR(__xludf.DUMMYFUNCTION("""COMPUTED_VALUE"""),"Normal")</f>
        <v>Normal</v>
      </c>
      <c r="M39" s="3" t="str">
        <f>IFERROR(__xludf.DUMMYFUNCTION("""COMPUTED_VALUE"""),"Non Urgent")</f>
        <v>Non Urgent</v>
      </c>
    </row>
    <row r="40">
      <c r="A40" s="4">
        <f>IFERROR(__xludf.DUMMYFUNCTION("""COMPUTED_VALUE"""),45693.722962534725)</f>
        <v>45693.72296</v>
      </c>
      <c r="B40" s="3" t="str">
        <f>IFERROR(__xludf.DUMMYFUNCTION("""COMPUTED_VALUE"""),"MRNRO0003")</f>
        <v>MRNRO0003</v>
      </c>
      <c r="C40" s="3" t="str">
        <f>IFERROR(__xludf.DUMMYFUNCTION("""COMPUTED_VALUE"""),"EJO")</f>
        <v>EJO</v>
      </c>
      <c r="D40" s="3" t="str">
        <f>IFERROR(__xludf.DUMMYFUNCTION("""COMPUTED_VALUE"""),"EJO/2025/01/23")</f>
        <v>EJO/2025/01/23</v>
      </c>
      <c r="E40" s="3" t="str">
        <f>IFERROR(__xludf.DUMMYFUNCTION("""COMPUTED_VALUE"""),"CC baru di stability")</f>
        <v>CC baru di stability</v>
      </c>
      <c r="F40" s="3" t="str">
        <f>IFERROR(__xludf.DUMMYFUNCTION("""COMPUTED_VALUE"""),"General - Elbow PVC 90 AW 1/2inch; Rucika; -; 1 Pc")</f>
        <v>General - Elbow PVC 90 AW 1/2inch; Rucika; -; 1 Pc</v>
      </c>
      <c r="G40" s="3">
        <f>IFERROR(__xludf.DUMMYFUNCTION("""COMPUTED_VALUE"""),6.0)</f>
        <v>6</v>
      </c>
      <c r="H40" s="3" t="str">
        <f>IFERROR(__xludf.DUMMYFUNCTION("""COMPUTED_VALUE"""),"pcs")</f>
        <v>pcs</v>
      </c>
      <c r="I40" s="3" t="str">
        <f>IFERROR(__xludf.DUMMYFUNCTION("""COMPUTED_VALUE"""),"Requst RMA cc baru")</f>
        <v>Requst RMA cc baru</v>
      </c>
      <c r="J40" s="3" t="str">
        <f>IFERROR(__xludf.DUMMYFUNCTION("""COMPUTED_VALUE"""),"P-10859-00")</f>
        <v>P-10859-00</v>
      </c>
      <c r="K40" s="3" t="str">
        <f>IFERROR(__xludf.DUMMYFUNCTION("""COMPUTED_VALUE"""),"Approve")</f>
        <v>Approve</v>
      </c>
      <c r="L40" s="3" t="str">
        <f>IFERROR(__xludf.DUMMYFUNCTION("""COMPUTED_VALUE"""),"Normal")</f>
        <v>Normal</v>
      </c>
      <c r="M40" s="3" t="str">
        <f>IFERROR(__xludf.DUMMYFUNCTION("""COMPUTED_VALUE"""),"Non Urgent")</f>
        <v>Non Urgent</v>
      </c>
    </row>
    <row r="41">
      <c r="A41" s="4">
        <f>IFERROR(__xludf.DUMMYFUNCTION("""COMPUTED_VALUE"""),45693.722962534725)</f>
        <v>45693.72296</v>
      </c>
      <c r="B41" s="3" t="str">
        <f>IFERROR(__xludf.DUMMYFUNCTION("""COMPUTED_VALUE"""),"MRNRO0004")</f>
        <v>MRNRO0004</v>
      </c>
      <c r="C41" s="3" t="str">
        <f>IFERROR(__xludf.DUMMYFUNCTION("""COMPUTED_VALUE"""),"EJO")</f>
        <v>EJO</v>
      </c>
      <c r="D41" s="3" t="str">
        <f>IFERROR(__xludf.DUMMYFUNCTION("""COMPUTED_VALUE"""),"EJO/2025/01/23")</f>
        <v>EJO/2025/01/23</v>
      </c>
      <c r="E41" s="3" t="str">
        <f>IFERROR(__xludf.DUMMYFUNCTION("""COMPUTED_VALUE"""),"CC baru di stability")</f>
        <v>CC baru di stability</v>
      </c>
      <c r="F41" s="3" t="str">
        <f>IFERROR(__xludf.DUMMYFUNCTION("""COMPUTED_VALUE"""),"Water Mur PVC dia 1/2inch")</f>
        <v>Water Mur PVC dia 1/2inch</v>
      </c>
      <c r="G41" s="3">
        <f>IFERROR(__xludf.DUMMYFUNCTION("""COMPUTED_VALUE"""),3.0)</f>
        <v>3</v>
      </c>
      <c r="H41" s="3" t="str">
        <f>IFERROR(__xludf.DUMMYFUNCTION("""COMPUTED_VALUE"""),"pcs")</f>
        <v>pcs</v>
      </c>
      <c r="I41" s="3" t="str">
        <f>IFERROR(__xludf.DUMMYFUNCTION("""COMPUTED_VALUE"""),"Requst RMA cc baru")</f>
        <v>Requst RMA cc baru</v>
      </c>
      <c r="J41" s="3" t="str">
        <f>IFERROR(__xludf.DUMMYFUNCTION("""COMPUTED_VALUE"""),"P-12943-00")</f>
        <v>P-12943-00</v>
      </c>
      <c r="K41" s="3" t="str">
        <f>IFERROR(__xludf.DUMMYFUNCTION("""COMPUTED_VALUE"""),"Approve")</f>
        <v>Approve</v>
      </c>
      <c r="L41" s="3" t="str">
        <f>IFERROR(__xludf.DUMMYFUNCTION("""COMPUTED_VALUE"""),"Normal")</f>
        <v>Normal</v>
      </c>
      <c r="M41" s="3" t="str">
        <f>IFERROR(__xludf.DUMMYFUNCTION("""COMPUTED_VALUE"""),"Non Urgent")</f>
        <v>Non Urgent</v>
      </c>
    </row>
    <row r="42">
      <c r="A42" s="4">
        <f>IFERROR(__xludf.DUMMYFUNCTION("""COMPUTED_VALUE"""),45693.722962534725)</f>
        <v>45693.72296</v>
      </c>
      <c r="B42" s="3" t="str">
        <f>IFERROR(__xludf.DUMMYFUNCTION("""COMPUTED_VALUE"""),"MRNRO0005")</f>
        <v>MRNRO0005</v>
      </c>
      <c r="C42" s="3" t="str">
        <f>IFERROR(__xludf.DUMMYFUNCTION("""COMPUTED_VALUE"""),"EJO")</f>
        <v>EJO</v>
      </c>
      <c r="D42" s="3" t="str">
        <f>IFERROR(__xludf.DUMMYFUNCTION("""COMPUTED_VALUE"""),"EJO/2025/01/23")</f>
        <v>EJO/2025/01/23</v>
      </c>
      <c r="E42" s="3" t="str">
        <f>IFERROR(__xludf.DUMMYFUNCTION("""COMPUTED_VALUE"""),"CC baru di stability")</f>
        <v>CC baru di stability</v>
      </c>
      <c r="F42" s="3" t="str">
        <f>IFERROR(__xludf.DUMMYFUNCTION("""COMPUTED_VALUE"""),"Tee PVC AW General - Tee PVC AW dia 1/2inch X 1/2inch; Rucika; -; 1 pcs")</f>
        <v>Tee PVC AW General - Tee PVC AW dia 1/2inch X 1/2inch; Rucika; -; 1 pcs</v>
      </c>
      <c r="G42" s="3">
        <f>IFERROR(__xludf.DUMMYFUNCTION("""COMPUTED_VALUE"""),2.0)</f>
        <v>2</v>
      </c>
      <c r="H42" s="3" t="str">
        <f>IFERROR(__xludf.DUMMYFUNCTION("""COMPUTED_VALUE"""),"pcs")</f>
        <v>pcs</v>
      </c>
      <c r="I42" s="3" t="str">
        <f>IFERROR(__xludf.DUMMYFUNCTION("""COMPUTED_VALUE"""),"Requst RMA cc baru")</f>
        <v>Requst RMA cc baru</v>
      </c>
      <c r="J42" s="3" t="str">
        <f>IFERROR(__xludf.DUMMYFUNCTION("""COMPUTED_VALUE"""),"P-12883-00")</f>
        <v>P-12883-00</v>
      </c>
      <c r="K42" s="3" t="str">
        <f>IFERROR(__xludf.DUMMYFUNCTION("""COMPUTED_VALUE"""),"Approve")</f>
        <v>Approve</v>
      </c>
      <c r="L42" s="3" t="str">
        <f>IFERROR(__xludf.DUMMYFUNCTION("""COMPUTED_VALUE"""),"Normal")</f>
        <v>Normal</v>
      </c>
      <c r="M42" s="3" t="str">
        <f>IFERROR(__xludf.DUMMYFUNCTION("""COMPUTED_VALUE"""),"Non Urgent")</f>
        <v>Non Urgent</v>
      </c>
    </row>
    <row r="43">
      <c r="A43" s="4">
        <f>IFERROR(__xludf.DUMMYFUNCTION("""COMPUTED_VALUE"""),45693.722962534725)</f>
        <v>45693.72296</v>
      </c>
      <c r="B43" s="3" t="str">
        <f>IFERROR(__xludf.DUMMYFUNCTION("""COMPUTED_VALUE"""),"MRNRO0006")</f>
        <v>MRNRO0006</v>
      </c>
      <c r="C43" s="3" t="str">
        <f>IFERROR(__xludf.DUMMYFUNCTION("""COMPUTED_VALUE"""),"EJO")</f>
        <v>EJO</v>
      </c>
      <c r="D43" s="3" t="str">
        <f>IFERROR(__xludf.DUMMYFUNCTION("""COMPUTED_VALUE"""),"EJO/2025/01/23")</f>
        <v>EJO/2025/01/23</v>
      </c>
      <c r="E43" s="3" t="str">
        <f>IFERROR(__xludf.DUMMYFUNCTION("""COMPUTED_VALUE"""),"CC baru di stability")</f>
        <v>CC baru di stability</v>
      </c>
      <c r="F43" s="3" t="str">
        <f>IFERROR(__xludf.DUMMYFUNCTION("""COMPUTED_VALUE"""),"Hollow Baja Ringan 4x4cm, Tebal 0.5mm, Panjang 4m; ; ;")</f>
        <v>Hollow Baja Ringan 4x4cm, Tebal 0.5mm, Panjang 4m; ; ;</v>
      </c>
      <c r="G43" s="3">
        <f>IFERROR(__xludf.DUMMYFUNCTION("""COMPUTED_VALUE"""),3.0)</f>
        <v>3</v>
      </c>
      <c r="H43" s="3" t="str">
        <f>IFERROR(__xludf.DUMMYFUNCTION("""COMPUTED_VALUE"""),"btg")</f>
        <v>btg</v>
      </c>
      <c r="I43" s="3" t="str">
        <f>IFERROR(__xludf.DUMMYFUNCTION("""COMPUTED_VALUE"""),"Requst RMA cc baru")</f>
        <v>Requst RMA cc baru</v>
      </c>
      <c r="J43" s="3" t="str">
        <f>IFERROR(__xludf.DUMMYFUNCTION("""COMPUTED_VALUE"""),"Q-10750-00")</f>
        <v>Q-10750-00</v>
      </c>
      <c r="K43" s="3" t="str">
        <f>IFERROR(__xludf.DUMMYFUNCTION("""COMPUTED_VALUE"""),"Approve")</f>
        <v>Approve</v>
      </c>
      <c r="L43" s="3" t="str">
        <f>IFERROR(__xludf.DUMMYFUNCTION("""COMPUTED_VALUE"""),"Normal")</f>
        <v>Normal</v>
      </c>
      <c r="M43" s="3" t="str">
        <f>IFERROR(__xludf.DUMMYFUNCTION("""COMPUTED_VALUE"""),"Non Urgent")</f>
        <v>Non Urgent</v>
      </c>
    </row>
    <row r="44">
      <c r="A44" s="4">
        <f>IFERROR(__xludf.DUMMYFUNCTION("""COMPUTED_VALUE"""),45693.722962534725)</f>
        <v>45693.72296</v>
      </c>
      <c r="B44" s="3" t="str">
        <f>IFERROR(__xludf.DUMMYFUNCTION("""COMPUTED_VALUE"""),"MRNRO0007")</f>
        <v>MRNRO0007</v>
      </c>
      <c r="C44" s="3" t="str">
        <f>IFERROR(__xludf.DUMMYFUNCTION("""COMPUTED_VALUE"""),"EJO")</f>
        <v>EJO</v>
      </c>
      <c r="D44" s="3" t="str">
        <f>IFERROR(__xludf.DUMMYFUNCTION("""COMPUTED_VALUE"""),"EJO/2025/01/23")</f>
        <v>EJO/2025/01/23</v>
      </c>
      <c r="E44" s="3" t="str">
        <f>IFERROR(__xludf.DUMMYFUNCTION("""COMPUTED_VALUE"""),"CC baru di stability")</f>
        <v>CC baru di stability</v>
      </c>
      <c r="F44" s="3" t="str">
        <f>IFERROR(__xludf.DUMMYFUNCTION("""COMPUTED_VALUE"""),"Skrup Baja Hitam;No Brand;;pack size per pack")</f>
        <v>Skrup Baja Hitam;No Brand;;pack size per pack</v>
      </c>
      <c r="G44" s="3">
        <f>IFERROR(__xludf.DUMMYFUNCTION("""COMPUTED_VALUE"""),1.0)</f>
        <v>1</v>
      </c>
      <c r="H44" s="3" t="str">
        <f>IFERROR(__xludf.DUMMYFUNCTION("""COMPUTED_VALUE"""),"pack")</f>
        <v>pack</v>
      </c>
      <c r="I44" s="3" t="str">
        <f>IFERROR(__xludf.DUMMYFUNCTION("""COMPUTED_VALUE"""),"Requst RMA cc baru")</f>
        <v>Requst RMA cc baru</v>
      </c>
      <c r="J44" s="3" t="str">
        <f>IFERROR(__xludf.DUMMYFUNCTION("""COMPUTED_VALUE"""),"Q-10900-00")</f>
        <v>Q-10900-00</v>
      </c>
      <c r="K44" s="3" t="str">
        <f>IFERROR(__xludf.DUMMYFUNCTION("""COMPUTED_VALUE"""),"Approve")</f>
        <v>Approve</v>
      </c>
      <c r="L44" s="3" t="str">
        <f>IFERROR(__xludf.DUMMYFUNCTION("""COMPUTED_VALUE"""),"Normal")</f>
        <v>Normal</v>
      </c>
      <c r="M44" s="3" t="str">
        <f>IFERROR(__xludf.DUMMYFUNCTION("""COMPUTED_VALUE"""),"Non Urgent")</f>
        <v>Non Urgent</v>
      </c>
    </row>
    <row r="45">
      <c r="A45" s="4">
        <f>IFERROR(__xludf.DUMMYFUNCTION("""COMPUTED_VALUE"""),45693.72360567129)</f>
        <v>45693.72361</v>
      </c>
      <c r="B45" s="3" t="str">
        <f>IFERROR(__xludf.DUMMYFUNCTION("""COMPUTED_VALUE"""),"MRNRO0008")</f>
        <v>MRNRO0008</v>
      </c>
      <c r="C45" s="3" t="str">
        <f>IFERROR(__xludf.DUMMYFUNCTION("""COMPUTED_VALUE"""),"MIn Stok")</f>
        <v>MIn Stok</v>
      </c>
      <c r="D45" s="3" t="str">
        <f>IFERROR(__xludf.DUMMYFUNCTION("""COMPUTED_VALUE"""),"EJO/2025/01/28")</f>
        <v>EJO/2025/01/28</v>
      </c>
      <c r="E45" s="3" t="str">
        <f>IFERROR(__xludf.DUMMYFUNCTION("""COMPUTED_VALUE"""),"Building")</f>
        <v>Building</v>
      </c>
      <c r="F45" s="3" t="str">
        <f>IFERROR(__xludf.DUMMYFUNCTION("""COMPUTED_VALUE"""),"Compound / Kompon Gypsum;No Brand;;pack size 20 kg per pck")</f>
        <v>Compound / Kompon Gypsum;No Brand;;pack size 20 kg per pck</v>
      </c>
      <c r="G45" s="3">
        <f>IFERROR(__xludf.DUMMYFUNCTION("""COMPUTED_VALUE"""),5.0)</f>
        <v>5</v>
      </c>
      <c r="H45" s="3" t="str">
        <f>IFERROR(__xludf.DUMMYFUNCTION("""COMPUTED_VALUE"""),"sack")</f>
        <v>sack</v>
      </c>
      <c r="I45" s="3" t="str">
        <f>IFERROR(__xludf.DUMMYFUNCTION("""COMPUTED_VALUE"""),"stok tinggal 1")</f>
        <v>stok tinggal 1</v>
      </c>
      <c r="J45" s="3" t="str">
        <f>IFERROR(__xludf.DUMMYFUNCTION("""COMPUTED_VALUE"""),"Q-10302-00")</f>
        <v>Q-10302-00</v>
      </c>
      <c r="K45" s="3" t="str">
        <f>IFERROR(__xludf.DUMMYFUNCTION("""COMPUTED_VALUE"""),"Approve")</f>
        <v>Approve</v>
      </c>
      <c r="L45" s="3" t="str">
        <f>IFERROR(__xludf.DUMMYFUNCTION("""COMPUTED_VALUE"""),"Normal")</f>
        <v>Normal</v>
      </c>
      <c r="M45" s="3" t="str">
        <f>IFERROR(__xludf.DUMMYFUNCTION("""COMPUTED_VALUE"""),"Non Urgent")</f>
        <v>Non Urgent</v>
      </c>
    </row>
    <row r="46">
      <c r="A46" s="4">
        <f>IFERROR(__xludf.DUMMYFUNCTION("""COMPUTED_VALUE"""),45693.72575957176)</f>
        <v>45693.72576</v>
      </c>
      <c r="B46" s="3" t="str">
        <f>IFERROR(__xludf.DUMMYFUNCTION("""COMPUTED_VALUE"""),"MRNRO0009")</f>
        <v>MRNRO0009</v>
      </c>
      <c r="C46" s="3" t="str">
        <f>IFERROR(__xludf.DUMMYFUNCTION("""COMPUTED_VALUE"""),"EJO")</f>
        <v>EJO</v>
      </c>
      <c r="D46" s="3" t="str">
        <f>IFERROR(__xludf.DUMMYFUNCTION("""COMPUTED_VALUE"""),"EJO/2025/01/23")</f>
        <v>EJO/2025/01/23</v>
      </c>
      <c r="E46" s="3" t="str">
        <f>IFERROR(__xludf.DUMMYFUNCTION("""COMPUTED_VALUE"""),"CC baru di stability")</f>
        <v>CC baru di stability</v>
      </c>
      <c r="F46" s="3" t="str">
        <f>IFERROR(__xludf.DUMMYFUNCTION("""COMPUTED_VALUE"""),"PVC - Dop 1/2 inch; ; ;")</f>
        <v>PVC - Dop 1/2 inch; ; ;</v>
      </c>
      <c r="G46" s="3">
        <f>IFERROR(__xludf.DUMMYFUNCTION("""COMPUTED_VALUE"""),2.0)</f>
        <v>2</v>
      </c>
      <c r="H46" s="3" t="str">
        <f>IFERROR(__xludf.DUMMYFUNCTION("""COMPUTED_VALUE"""),"pcs")</f>
        <v>pcs</v>
      </c>
      <c r="I46" s="3" t="str">
        <f>IFERROR(__xludf.DUMMYFUNCTION("""COMPUTED_VALUE"""),"Requst RMA cc baru")</f>
        <v>Requst RMA cc baru</v>
      </c>
      <c r="J46" s="3" t="str">
        <f>IFERROR(__xludf.DUMMYFUNCTION("""COMPUTED_VALUE"""),"P-14959-00")</f>
        <v>P-14959-00</v>
      </c>
      <c r="K46" s="3" t="str">
        <f>IFERROR(__xludf.DUMMYFUNCTION("""COMPUTED_VALUE"""),"Approve")</f>
        <v>Approve</v>
      </c>
      <c r="L46" s="3" t="str">
        <f>IFERROR(__xludf.DUMMYFUNCTION("""COMPUTED_VALUE"""),"Normal")</f>
        <v>Normal</v>
      </c>
      <c r="M46" s="3" t="str">
        <f>IFERROR(__xludf.DUMMYFUNCTION("""COMPUTED_VALUE"""),"Non Urgent")</f>
        <v>Non Urgent</v>
      </c>
    </row>
    <row r="47">
      <c r="A47" s="4">
        <f>IFERROR(__xludf.DUMMYFUNCTION("""COMPUTED_VALUE"""),45693.73084386574)</f>
        <v>45693.73084</v>
      </c>
      <c r="B47" s="3" t="str">
        <f>IFERROR(__xludf.DUMMYFUNCTION("""COMPUTED_VALUE"""),"MRNRO0010")</f>
        <v>MRNRO0010</v>
      </c>
      <c r="C47" s="3" t="str">
        <f>IFERROR(__xludf.DUMMYFUNCTION("""COMPUTED_VALUE"""),"EJO")</f>
        <v>EJO</v>
      </c>
      <c r="D47" s="3" t="str">
        <f>IFERROR(__xludf.DUMMYFUNCTION("""COMPUTED_VALUE"""),"EJO/2025/01/23")</f>
        <v>EJO/2025/01/23</v>
      </c>
      <c r="E47" s="3" t="str">
        <f>IFERROR(__xludf.DUMMYFUNCTION("""COMPUTED_VALUE"""),"CC baru di stability")</f>
        <v>CC baru di stability</v>
      </c>
      <c r="F47" s="3" t="str">
        <f>IFERROR(__xludf.DUMMYFUNCTION("""COMPUTED_VALUE"""),"General - Tee, PVC, 1 1/4""; Rucika; -; 1 pcs")</f>
        <v>General - Tee, PVC, 1 1/4"; Rucika; -; 1 pcs</v>
      </c>
      <c r="G47" s="3">
        <f>IFERROR(__xludf.DUMMYFUNCTION("""COMPUTED_VALUE"""),1.0)</f>
        <v>1</v>
      </c>
      <c r="H47" s="3" t="str">
        <f>IFERROR(__xludf.DUMMYFUNCTION("""COMPUTED_VALUE"""),"pcs")</f>
        <v>pcs</v>
      </c>
      <c r="I47" s="3" t="str">
        <f>IFERROR(__xludf.DUMMYFUNCTION("""COMPUTED_VALUE"""),"Requst RMA cc baru")</f>
        <v>Requst RMA cc baru</v>
      </c>
      <c r="J47" s="3" t="str">
        <f>IFERROR(__xludf.DUMMYFUNCTION("""COMPUTED_VALUE"""),"P-10904-00")</f>
        <v>P-10904-00</v>
      </c>
      <c r="K47" s="3" t="str">
        <f>IFERROR(__xludf.DUMMYFUNCTION("""COMPUTED_VALUE"""),"Approve")</f>
        <v>Approve</v>
      </c>
      <c r="L47" s="3" t="str">
        <f>IFERROR(__xludf.DUMMYFUNCTION("""COMPUTED_VALUE"""),"Normal")</f>
        <v>Normal</v>
      </c>
      <c r="M47" s="3" t="str">
        <f>IFERROR(__xludf.DUMMYFUNCTION("""COMPUTED_VALUE"""),"Non Urgent")</f>
        <v>Non Urgent</v>
      </c>
    </row>
    <row r="48">
      <c r="A48" s="4">
        <f>IFERROR(__xludf.DUMMYFUNCTION("""COMPUTED_VALUE"""),45693.75055214121)</f>
        <v>45693.75055</v>
      </c>
      <c r="B48" s="3" t="str">
        <f>IFERROR(__xludf.DUMMYFUNCTION("""COMPUTED_VALUE"""),"MRNRO0011")</f>
        <v>MRNRO0011</v>
      </c>
      <c r="C48" s="3" t="str">
        <f>IFERROR(__xludf.DUMMYFUNCTION("""COMPUTED_VALUE"""),"MIn Stok")</f>
        <v>MIn Stok</v>
      </c>
      <c r="D48" s="3" t="str">
        <f>IFERROR(__xludf.DUMMYFUNCTION("""COMPUTED_VALUE"""),"EJO/2025/01/28")</f>
        <v>EJO/2025/01/28</v>
      </c>
      <c r="E48" s="3" t="str">
        <f>IFERROR(__xludf.DUMMYFUNCTION("""COMPUTED_VALUE"""),"Building")</f>
        <v>Building</v>
      </c>
      <c r="F48" s="3" t="str">
        <f>IFERROR(__xludf.DUMMYFUNCTION("""COMPUTED_VALUE"""),"Kuas Cat Uk. 2 inch;Eterna;Tipe 611;pack size per pcs")</f>
        <v>Kuas Cat Uk. 2 inch;Eterna;Tipe 611;pack size per pcs</v>
      </c>
      <c r="G48" s="3">
        <f>IFERROR(__xludf.DUMMYFUNCTION("""COMPUTED_VALUE"""),10.0)</f>
        <v>10</v>
      </c>
      <c r="H48" s="3" t="str">
        <f>IFERROR(__xludf.DUMMYFUNCTION("""COMPUTED_VALUE"""),"pcs")</f>
        <v>pcs</v>
      </c>
      <c r="I48" s="3" t="str">
        <f>IFERROR(__xludf.DUMMYFUNCTION("""COMPUTED_VALUE"""),"stok tinggal 1")</f>
        <v>stok tinggal 1</v>
      </c>
      <c r="J48" s="3" t="str">
        <f>IFERROR(__xludf.DUMMYFUNCTION("""COMPUTED_VALUE"""),"Q-60026-00")</f>
        <v>Q-60026-00</v>
      </c>
      <c r="K48" s="3" t="str">
        <f>IFERROR(__xludf.DUMMYFUNCTION("""COMPUTED_VALUE"""),"Approve")</f>
        <v>Approve</v>
      </c>
      <c r="L48" s="3" t="str">
        <f>IFERROR(__xludf.DUMMYFUNCTION("""COMPUTED_VALUE"""),"Normal")</f>
        <v>Normal</v>
      </c>
      <c r="M48" s="3" t="str">
        <f>IFERROR(__xludf.DUMMYFUNCTION("""COMPUTED_VALUE"""),"Non Urgent")</f>
        <v>Non Urgent</v>
      </c>
    </row>
    <row r="49">
      <c r="A49" s="4">
        <f>IFERROR(__xludf.DUMMYFUNCTION("""COMPUTED_VALUE"""),45696.25871767361)</f>
        <v>45696.25872</v>
      </c>
      <c r="B49" s="3" t="str">
        <f>IFERROR(__xludf.DUMMYFUNCTION("""COMPUTED_VALUE"""),"RIARO0012")</f>
        <v>RIARO0012</v>
      </c>
      <c r="C49" s="3" t="str">
        <f>IFERROR(__xludf.DUMMYFUNCTION("""COMPUTED_VALUE"""),"EJO")</f>
        <v>EJO</v>
      </c>
      <c r="D49" s="3" t="str">
        <f>IFERROR(__xludf.DUMMYFUNCTION("""COMPUTED_VALUE"""),"EJO/2025/02/38")</f>
        <v>EJO/2025/02/38</v>
      </c>
      <c r="E49" s="3" t="str">
        <f>IFERROR(__xludf.DUMMYFUNCTION("""COMPUTED_VALUE"""),"PW SKID")</f>
        <v>PW SKID</v>
      </c>
      <c r="F49" s="3" t="str">
        <f>IFERROR(__xludf.DUMMYFUNCTION("""COMPUTED_VALUE"""),"UV DEVICE ; REMOVAL OF OZONE; HANOVIA UV; Pharma Line SD55; ID : S203-001")</f>
        <v>UV DEVICE ; REMOVAL OF OZONE; HANOVIA UV; Pharma Line SD55; ID : S203-001</v>
      </c>
      <c r="G49" s="3">
        <f>IFERROR(__xludf.DUMMYFUNCTION("""COMPUTED_VALUE"""),2.0)</f>
        <v>2</v>
      </c>
      <c r="H49" s="3" t="str">
        <f>IFERROR(__xludf.DUMMYFUNCTION("""COMPUTED_VALUE"""),"Pcs")</f>
        <v>Pcs</v>
      </c>
      <c r="I49" s="3" t="str">
        <f>IFERROR(__xludf.DUMMYFUNCTION("""COMPUTED_VALUE"""),"UV Lamp Waktunya Ganti")</f>
        <v>UV Lamp Waktunya Ganti</v>
      </c>
      <c r="J49" s="3" t="str">
        <f>IFERROR(__xludf.DUMMYFUNCTION("""COMPUTED_VALUE"""),"O-54018-00")</f>
        <v>O-54018-00</v>
      </c>
      <c r="K49" s="3" t="str">
        <f>IFERROR(__xludf.DUMMYFUNCTION("""COMPUTED_VALUE"""),"Approve")</f>
        <v>Approve</v>
      </c>
      <c r="L49" s="3" t="str">
        <f>IFERROR(__xludf.DUMMYFUNCTION("""COMPUTED_VALUE"""),"Urgent")</f>
        <v>Urgent</v>
      </c>
      <c r="M49" s="3" t="str">
        <f>IFERROR(__xludf.DUMMYFUNCTION("""COMPUTED_VALUE"""),"Approve")</f>
        <v>Approve</v>
      </c>
    </row>
    <row r="50">
      <c r="A50" s="4">
        <f>IFERROR(__xludf.DUMMYFUNCTION("""COMPUTED_VALUE"""),45696.258744942126)</f>
        <v>45696.25874</v>
      </c>
      <c r="B50" s="3" t="str">
        <f>IFERROR(__xludf.DUMMYFUNCTION("""COMPUTED_VALUE"""),"RIARO0013")</f>
        <v>RIARO0013</v>
      </c>
      <c r="C50" s="3" t="str">
        <f>IFERROR(__xludf.DUMMYFUNCTION("""COMPUTED_VALUE"""),"EJO")</f>
        <v>EJO</v>
      </c>
      <c r="D50" s="3" t="str">
        <f>IFERROR(__xludf.DUMMYFUNCTION("""COMPUTED_VALUE"""),"EJO/2025/02/65")</f>
        <v>EJO/2025/02/65</v>
      </c>
      <c r="E50" s="3" t="str">
        <f>IFERROR(__xludf.DUMMYFUNCTION("""COMPUTED_VALUE"""),"Heater Mixing")</f>
        <v>Heater Mixing</v>
      </c>
      <c r="F50" s="3" t="str">
        <f>IFERROR(__xludf.DUMMYFUNCTION("""COMPUTED_VALUE"""),"General - Exhaust Fan Panel 240VAC; TW; -; 1 pc")</f>
        <v>General - Exhaust Fan Panel 240VAC; TW; -; 1 pc</v>
      </c>
      <c r="G50" s="3">
        <f>IFERROR(__xludf.DUMMYFUNCTION("""COMPUTED_VALUE"""),2.0)</f>
        <v>2</v>
      </c>
      <c r="H50" s="3" t="str">
        <f>IFERROR(__xludf.DUMMYFUNCTION("""COMPUTED_VALUE"""),"Pcs")</f>
        <v>Pcs</v>
      </c>
      <c r="I50" s="3" t="str">
        <f>IFERROR(__xludf.DUMMYFUNCTION("""COMPUTED_VALUE"""),"EJO Improvement")</f>
        <v>EJO Improvement</v>
      </c>
      <c r="J50" s="3" t="str">
        <f>IFERROR(__xludf.DUMMYFUNCTION("""COMPUTED_VALUE"""),"P-51891-00")</f>
        <v>P-51891-00</v>
      </c>
      <c r="K50" s="3" t="str">
        <f>IFERROR(__xludf.DUMMYFUNCTION("""COMPUTED_VALUE"""),"Approve")</f>
        <v>Approve</v>
      </c>
      <c r="L50" s="3" t="str">
        <f>IFERROR(__xludf.DUMMYFUNCTION("""COMPUTED_VALUE"""),"Normal")</f>
        <v>Normal</v>
      </c>
      <c r="M50" s="3" t="str">
        <f>IFERROR(__xludf.DUMMYFUNCTION("""COMPUTED_VALUE"""),"Non Urgent")</f>
        <v>Non Urgent</v>
      </c>
    </row>
    <row r="51">
      <c r="A51" s="4">
        <f>IFERROR(__xludf.DUMMYFUNCTION("""COMPUTED_VALUE"""),45698.442053217594)</f>
        <v>45698.44205</v>
      </c>
      <c r="B51" s="3" t="str">
        <f>IFERROR(__xludf.DUMMYFUNCTION("""COMPUTED_VALUE"""),"NDSRO0001")</f>
        <v>NDSRO0001</v>
      </c>
      <c r="C51" s="3" t="str">
        <f>IFERROR(__xludf.DUMMYFUNCTION("""COMPUTED_VALUE"""),"EJO")</f>
        <v>EJO</v>
      </c>
      <c r="D51" s="3" t="str">
        <f>IFERROR(__xludf.DUMMYFUNCTION("""COMPUTED_VALUE"""),"EJO/2025/02/76")</f>
        <v>EJO/2025/02/76</v>
      </c>
      <c r="E51" s="3" t="str">
        <f>IFERROR(__xludf.DUMMYFUNCTION("""COMPUTED_VALUE"""),"Conveyor A &amp; B")</f>
        <v>Conveyor A &amp; B</v>
      </c>
      <c r="F51" s="3" t="str">
        <f>IFERROR(__xludf.DUMMYFUNCTION("""COMPUTED_VALUE"""),"Bola lampu 24V 5 Watt")</f>
        <v>Bola lampu 24V 5 Watt</v>
      </c>
      <c r="G51" s="3">
        <f>IFERROR(__xludf.DUMMYFUNCTION("""COMPUTED_VALUE"""),20.0)</f>
        <v>20</v>
      </c>
      <c r="H51" s="3" t="str">
        <f>IFERROR(__xludf.DUMMYFUNCTION("""COMPUTED_VALUE"""),"Pcs")</f>
        <v>Pcs</v>
      </c>
      <c r="I51" s="3" t="str">
        <f>IFERROR(__xludf.DUMMYFUNCTION("""COMPUTED_VALUE"""),"-")</f>
        <v>-</v>
      </c>
      <c r="J51" s="3" t="str">
        <f>IFERROR(__xludf.DUMMYFUNCTION("""COMPUTED_VALUE"""),"P-50797-00")</f>
        <v>P-50797-00</v>
      </c>
      <c r="K51" s="3" t="str">
        <f>IFERROR(__xludf.DUMMYFUNCTION("""COMPUTED_VALUE"""),"Approve")</f>
        <v>Approve</v>
      </c>
      <c r="L51" s="3" t="str">
        <f>IFERROR(__xludf.DUMMYFUNCTION("""COMPUTED_VALUE"""),"Normal")</f>
        <v>Normal</v>
      </c>
      <c r="M51" s="3" t="str">
        <f>IFERROR(__xludf.DUMMYFUNCTION("""COMPUTED_VALUE"""),"Non Urgent")</f>
        <v>Non Urgent</v>
      </c>
    </row>
    <row r="52">
      <c r="A52" s="4">
        <f>IFERROR(__xludf.DUMMYFUNCTION("""COMPUTED_VALUE"""),45698.453369571755)</f>
        <v>45698.45337</v>
      </c>
      <c r="B52" s="3" t="str">
        <f>IFERROR(__xludf.DUMMYFUNCTION("""COMPUTED_VALUE"""),"NDSRO0002")</f>
        <v>NDSRO0002</v>
      </c>
      <c r="C52" s="3" t="str">
        <f>IFERROR(__xludf.DUMMYFUNCTION("""COMPUTED_VALUE"""),"EJO")</f>
        <v>EJO</v>
      </c>
      <c r="D52" s="3" t="str">
        <f>IFERROR(__xludf.DUMMYFUNCTION("""COMPUTED_VALUE"""),"EJO/2025/02/75")</f>
        <v>EJO/2025/02/75</v>
      </c>
      <c r="E52" s="3" t="str">
        <f>IFERROR(__xludf.DUMMYFUNCTION("""COMPUTED_VALUE"""),"Labeling")</f>
        <v>Labeling</v>
      </c>
      <c r="F52" s="3" t="str">
        <f>IFERROR(__xludf.DUMMYFUNCTION("""COMPUTED_VALUE"""),"Belt HTD 720-5M-95mm + Lapisan Blue Sponge 6mm DIAN BATARA INTI, PT P/N : -  set")</f>
        <v>Belt HTD 720-5M-95mm + Lapisan Blue Sponge 6mm DIAN BATARA INTI, PT P/N : -  set</v>
      </c>
      <c r="G52" s="3">
        <f>IFERROR(__xludf.DUMMYFUNCTION("""COMPUTED_VALUE"""),3.0)</f>
        <v>3</v>
      </c>
      <c r="H52" s="3" t="str">
        <f>IFERROR(__xludf.DUMMYFUNCTION("""COMPUTED_VALUE"""),"Pcs")</f>
        <v>Pcs</v>
      </c>
      <c r="I52" s="3" t="str">
        <f>IFERROR(__xludf.DUMMYFUNCTION("""COMPUTED_VALUE"""),"Request Pada sambungan spongenya dibikin rata, jangan ada yang menonjol")</f>
        <v>Request Pada sambungan spongenya dibikin rata, jangan ada yang menonjol</v>
      </c>
      <c r="J52" s="3" t="str">
        <f>IFERROR(__xludf.DUMMYFUNCTION("""COMPUTED_VALUE"""),"O-17242-00")</f>
        <v>O-17242-00</v>
      </c>
      <c r="K52" s="3" t="str">
        <f>IFERROR(__xludf.DUMMYFUNCTION("""COMPUTED_VALUE"""),"Approve")</f>
        <v>Approve</v>
      </c>
      <c r="L52" s="3" t="str">
        <f>IFERROR(__xludf.DUMMYFUNCTION("""COMPUTED_VALUE"""),"Normal")</f>
        <v>Normal</v>
      </c>
      <c r="M52" s="3" t="str">
        <f>IFERROR(__xludf.DUMMYFUNCTION("""COMPUTED_VALUE"""),"Non Urgent")</f>
        <v>Non Urgent</v>
      </c>
    </row>
    <row r="53">
      <c r="A53" s="4">
        <f>IFERROR(__xludf.DUMMYFUNCTION("""COMPUTED_VALUE"""),45699.18760521991)</f>
        <v>45699.18761</v>
      </c>
      <c r="B53" s="3" t="str">
        <f>IFERROR(__xludf.DUMMYFUNCTION("""COMPUTED_VALUE"""),"SFHRO0003")</f>
        <v>SFHRO0003</v>
      </c>
      <c r="C53" s="3" t="str">
        <f>IFERROR(__xludf.DUMMYFUNCTION("""COMPUTED_VALUE"""),"Consumable")</f>
        <v>Consumable</v>
      </c>
      <c r="D53" s="3" t="str">
        <f>IFERROR(__xludf.DUMMYFUNCTION("""COMPUTED_VALUE"""),"-")</f>
        <v>-</v>
      </c>
      <c r="E53" s="3" t="str">
        <f>IFERROR(__xludf.DUMMYFUNCTION("""COMPUTED_VALUE"""),"lantai 2")</f>
        <v>lantai 2</v>
      </c>
      <c r="F53" s="3" t="str">
        <f>IFERROR(__xludf.DUMMYFUNCTION("""COMPUTED_VALUE"""),"Thinner Super End/Impala @ 1 Liter")</f>
        <v>Thinner Super End/Impala @ 1 Liter</v>
      </c>
      <c r="G53" s="3">
        <f>IFERROR(__xludf.DUMMYFUNCTION("""COMPUTED_VALUE"""),20.0)</f>
        <v>20</v>
      </c>
      <c r="H53" s="3" t="str">
        <f>IFERROR(__xludf.DUMMYFUNCTION("""COMPUTED_VALUE"""),"liter")</f>
        <v>liter</v>
      </c>
      <c r="I53" s="3" t="str">
        <f>IFERROR(__xludf.DUMMYFUNCTION("""COMPUTED_VALUE"""),"-")</f>
        <v>-</v>
      </c>
      <c r="J53" s="3" t="str">
        <f>IFERROR(__xludf.DUMMYFUNCTION("""COMPUTED_VALUE"""),"Q-10128-00")</f>
        <v>Q-10128-00</v>
      </c>
      <c r="K53" s="3" t="str">
        <f>IFERROR(__xludf.DUMMYFUNCTION("""COMPUTED_VALUE"""),"Approve")</f>
        <v>Approve</v>
      </c>
      <c r="L53" s="3" t="str">
        <f>IFERROR(__xludf.DUMMYFUNCTION("""COMPUTED_VALUE"""),"Normal")</f>
        <v>Normal</v>
      </c>
      <c r="M53" s="3" t="str">
        <f>IFERROR(__xludf.DUMMYFUNCTION("""COMPUTED_VALUE"""),"Non Urgent")</f>
        <v>Non Urgent</v>
      </c>
    </row>
    <row r="54">
      <c r="A54" s="4">
        <f>IFERROR(__xludf.DUMMYFUNCTION("""COMPUTED_VALUE"""),45703.74109815972)</f>
        <v>45703.7411</v>
      </c>
      <c r="B54" s="3" t="str">
        <f>IFERROR(__xludf.DUMMYFUNCTION("""COMPUTED_VALUE"""),"ANORO0002")</f>
        <v>ANORO0002</v>
      </c>
      <c r="C54" s="3" t="str">
        <f>IFERROR(__xludf.DUMMYFUNCTION("""COMPUTED_VALUE"""),"Consumable")</f>
        <v>Consumable</v>
      </c>
      <c r="D54" s="3" t="str">
        <f>IFERROR(__xludf.DUMMYFUNCTION("""COMPUTED_VALUE"""),"-")</f>
        <v>-</v>
      </c>
      <c r="E54" s="3" t="str">
        <f>IFERROR(__xludf.DUMMYFUNCTION("""COMPUTED_VALUE"""),"washing ")</f>
        <v>washing </v>
      </c>
      <c r="F54" s="3" t="str">
        <f>IFERROR(__xludf.DUMMYFUNCTION("""COMPUTED_VALUE"""),"Washing RAV4 - Black Arm Mat. SUS 304; Custom/Lokal; -; 1 Pc")</f>
        <v>Washing RAV4 - Black Arm Mat. SUS 304; Custom/Lokal; -; 1 Pc</v>
      </c>
      <c r="G54" s="3">
        <f>IFERROR(__xludf.DUMMYFUNCTION("""COMPUTED_VALUE"""),6.0)</f>
        <v>6</v>
      </c>
      <c r="H54" s="3" t="str">
        <f>IFERROR(__xludf.DUMMYFUNCTION("""COMPUTED_VALUE"""),"pcs")</f>
        <v>pcs</v>
      </c>
      <c r="I54" s="3" t="str">
        <f>IFERROR(__xludf.DUMMYFUNCTION("""COMPUTED_VALUE"""),"Buat stock ")</f>
        <v>Buat stock </v>
      </c>
      <c r="J54" s="3" t="str">
        <f>IFERROR(__xludf.DUMMYFUNCTION("""COMPUTED_VALUE"""),"O-20230-00")</f>
        <v>O-20230-00</v>
      </c>
      <c r="K54" s="3" t="str">
        <f>IFERROR(__xludf.DUMMYFUNCTION("""COMPUTED_VALUE"""),"Approve")</f>
        <v>Approve</v>
      </c>
      <c r="L54" s="3" t="str">
        <f>IFERROR(__xludf.DUMMYFUNCTION("""COMPUTED_VALUE"""),"Normal")</f>
        <v>Normal</v>
      </c>
      <c r="M54" s="3" t="str">
        <f>IFERROR(__xludf.DUMMYFUNCTION("""COMPUTED_VALUE"""),"Non Urgent")</f>
        <v>Non Urgent</v>
      </c>
    </row>
    <row r="55">
      <c r="A55" s="4">
        <f>IFERROR(__xludf.DUMMYFUNCTION("""COMPUTED_VALUE"""),45703.74109815972)</f>
        <v>45703.7411</v>
      </c>
      <c r="B55" s="3" t="str">
        <f>IFERROR(__xludf.DUMMYFUNCTION("""COMPUTED_VALUE"""),"ANORO0003")</f>
        <v>ANORO0003</v>
      </c>
      <c r="C55" s="3" t="str">
        <f>IFERROR(__xludf.DUMMYFUNCTION("""COMPUTED_VALUE"""),"Consumable")</f>
        <v>Consumable</v>
      </c>
      <c r="D55" s="3" t="str">
        <f>IFERROR(__xludf.DUMMYFUNCTION("""COMPUTED_VALUE"""),"-")</f>
        <v>-</v>
      </c>
      <c r="E55" s="3" t="str">
        <f>IFERROR(__xludf.DUMMYFUNCTION("""COMPUTED_VALUE"""),"washing ")</f>
        <v>washing </v>
      </c>
      <c r="F55" s="3" t="str">
        <f>IFERROR(__xludf.DUMMYFUNCTION("""COMPUTED_VALUE"""),"Washing RAV4 - Base Black Arm Mat. VCN; Custom/Lokal; -; 1 Pc")</f>
        <v>Washing RAV4 - Base Black Arm Mat. VCN; Custom/Lokal; -; 1 Pc</v>
      </c>
      <c r="G55" s="3">
        <f>IFERROR(__xludf.DUMMYFUNCTION("""COMPUTED_VALUE"""),3.0)</f>
        <v>3</v>
      </c>
      <c r="H55" s="3" t="str">
        <f>IFERROR(__xludf.DUMMYFUNCTION("""COMPUTED_VALUE"""),"pcs")</f>
        <v>pcs</v>
      </c>
      <c r="I55" s="3" t="str">
        <f>IFERROR(__xludf.DUMMYFUNCTION("""COMPUTED_VALUE"""),"Buat stock ")</f>
        <v>Buat stock </v>
      </c>
      <c r="J55" s="3" t="str">
        <f>IFERROR(__xludf.DUMMYFUNCTION("""COMPUTED_VALUE"""),"O-20231-00")</f>
        <v>O-20231-00</v>
      </c>
      <c r="K55" s="3" t="str">
        <f>IFERROR(__xludf.DUMMYFUNCTION("""COMPUTED_VALUE"""),"Approve")</f>
        <v>Approve</v>
      </c>
      <c r="L55" s="3" t="str">
        <f>IFERROR(__xludf.DUMMYFUNCTION("""COMPUTED_VALUE"""),"Normal")</f>
        <v>Normal</v>
      </c>
      <c r="M55" s="3" t="str">
        <f>IFERROR(__xludf.DUMMYFUNCTION("""COMPUTED_VALUE"""),"Non Urgent")</f>
        <v>Non Urgent</v>
      </c>
    </row>
    <row r="56">
      <c r="A56" s="4">
        <f>IFERROR(__xludf.DUMMYFUNCTION("""COMPUTED_VALUE"""),45707.49983197916)</f>
        <v>45707.49983</v>
      </c>
      <c r="B56" s="3" t="str">
        <f>IFERROR(__xludf.DUMMYFUNCTION("""COMPUTED_VALUE"""),"MOBRO0023")</f>
        <v>MOBRO0023</v>
      </c>
      <c r="C56" s="3" t="str">
        <f>IFERROR(__xludf.DUMMYFUNCTION("""COMPUTED_VALUE"""),"EJO")</f>
        <v>EJO</v>
      </c>
      <c r="D56" s="3" t="str">
        <f>IFERROR(__xludf.DUMMYFUNCTION("""COMPUTED_VALUE"""),"EJO/2025/02/91")</f>
        <v>EJO/2025/02/91</v>
      </c>
      <c r="E56" s="3" t="str">
        <f>IFERROR(__xludf.DUMMYFUNCTION("""COMPUTED_VALUE"""),"FMS AHU")</f>
        <v>FMS AHU</v>
      </c>
      <c r="F56" s="3" t="str">
        <f>IFERROR(__xludf.DUMMYFUNCTION("""COMPUTED_VALUE"""),"General - TU Polyurethane Tubing, TU1065C-100; SMC Pneumatics; -; 1 roll")</f>
        <v>General - TU Polyurethane Tubing, TU1065C-100; SMC Pneumatics; -; 1 roll</v>
      </c>
      <c r="G56" s="3">
        <f>IFERROR(__xludf.DUMMYFUNCTION("""COMPUTED_VALUE"""),4.0)</f>
        <v>4</v>
      </c>
      <c r="H56" s="3" t="str">
        <f>IFERROR(__xludf.DUMMYFUNCTION("""COMPUTED_VALUE"""),"Pcs")</f>
        <v>Pcs</v>
      </c>
      <c r="I56" s="3" t="str">
        <f>IFERROR(__xludf.DUMMYFUNCTION("""COMPUTED_VALUE"""),"Tubing getas perlu peremajaan ")</f>
        <v>Tubing getas perlu peremajaan </v>
      </c>
      <c r="J56" s="3" t="str">
        <f>IFERROR(__xludf.DUMMYFUNCTION("""COMPUTED_VALUE"""),"O-12733-00")</f>
        <v>O-12733-00</v>
      </c>
      <c r="K56" s="3" t="str">
        <f>IFERROR(__xludf.DUMMYFUNCTION("""COMPUTED_VALUE"""),"Approve")</f>
        <v>Approve</v>
      </c>
      <c r="L56" s="3" t="str">
        <f>IFERROR(__xludf.DUMMYFUNCTION("""COMPUTED_VALUE"""),"Normal")</f>
        <v>Normal</v>
      </c>
      <c r="M56" s="3" t="str">
        <f>IFERROR(__xludf.DUMMYFUNCTION("""COMPUTED_VALUE"""),"Non Urgent")</f>
        <v>Non Urgent</v>
      </c>
    </row>
    <row r="57">
      <c r="A57" s="4">
        <f>IFERROR(__xludf.DUMMYFUNCTION("""COMPUTED_VALUE"""),45708.40492289352)</f>
        <v>45708.40492</v>
      </c>
      <c r="B57" s="3" t="str">
        <f>IFERROR(__xludf.DUMMYFUNCTION("""COMPUTED_VALUE"""),"RIARO0014")</f>
        <v>RIARO0014</v>
      </c>
      <c r="C57" s="3" t="str">
        <f>IFERROR(__xludf.DUMMYFUNCTION("""COMPUTED_VALUE"""),"EJO")</f>
        <v>EJO</v>
      </c>
      <c r="D57" s="3" t="str">
        <f>IFERROR(__xludf.DUMMYFUNCTION("""COMPUTED_VALUE"""),"EJO/2024/12/75")</f>
        <v>EJO/2024/12/75</v>
      </c>
      <c r="E57" s="3" t="str">
        <f>IFERROR(__xludf.DUMMYFUNCTION("""COMPUTED_VALUE"""),"Pipa FW OSD")</f>
        <v>Pipa FW OSD</v>
      </c>
      <c r="F57" s="3" t="str">
        <f>IFERROR(__xludf.DUMMYFUNCTION("""COMPUTED_VALUE"""),"Acrylic tebal 5mm ukr : 1000 x 2000")</f>
        <v>Acrylic tebal 5mm ukr : 1000 x 2000</v>
      </c>
      <c r="G57" s="3">
        <f>IFERROR(__xludf.DUMMYFUNCTION("""COMPUTED_VALUE"""),1.0)</f>
        <v>1</v>
      </c>
      <c r="H57" s="3" t="str">
        <f>IFERROR(__xludf.DUMMYFUNCTION("""COMPUTED_VALUE"""),"Pcs")</f>
        <v>Pcs</v>
      </c>
      <c r="I57" s="3" t="str">
        <f>IFERROR(__xludf.DUMMYFUNCTION("""COMPUTED_VALUE"""),"Untuk menutup panel AHU E12 OSD")</f>
        <v>Untuk menutup panel AHU E12 OSD</v>
      </c>
      <c r="J57" s="3" t="str">
        <f>IFERROR(__xludf.DUMMYFUNCTION("""COMPUTED_VALUE"""),"P-11818-00")</f>
        <v>P-11818-00</v>
      </c>
      <c r="K57" s="3" t="str">
        <f>IFERROR(__xludf.DUMMYFUNCTION("""COMPUTED_VALUE"""),"Approve")</f>
        <v>Approve</v>
      </c>
      <c r="L57" s="3" t="str">
        <f>IFERROR(__xludf.DUMMYFUNCTION("""COMPUTED_VALUE"""),"Normal")</f>
        <v>Normal</v>
      </c>
      <c r="M57" s="3" t="str">
        <f>IFERROR(__xludf.DUMMYFUNCTION("""COMPUTED_VALUE"""),"Non Urgent")</f>
        <v>Non Urgent</v>
      </c>
    </row>
    <row r="58">
      <c r="A58" s="4">
        <f>IFERROR(__xludf.DUMMYFUNCTION("""COMPUTED_VALUE"""),45708.501207071764)</f>
        <v>45708.50121</v>
      </c>
      <c r="B58" s="3" t="str">
        <f>IFERROR(__xludf.DUMMYFUNCTION("""COMPUTED_VALUE"""),"MOBRO0024")</f>
        <v>MOBRO0024</v>
      </c>
      <c r="C58" s="3" t="str">
        <f>IFERROR(__xludf.DUMMYFUNCTION("""COMPUTED_VALUE"""),"EJO")</f>
        <v>EJO</v>
      </c>
      <c r="D58" s="3" t="str">
        <f>IFERROR(__xludf.DUMMYFUNCTION("""COMPUTED_VALUE"""),"EJO/2025/02/151")</f>
        <v>EJO/2025/02/151</v>
      </c>
      <c r="E58" s="3" t="str">
        <f>IFERROR(__xludf.DUMMYFUNCTION("""COMPUTED_VALUE"""),"UPS Mesin")</f>
        <v>UPS Mesin</v>
      </c>
      <c r="F58" s="3" t="str">
        <f>IFERROR(__xludf.DUMMYFUNCTION("""COMPUTED_VALUE"""),"UPS Type I Plug IPG800, Capacity 800 VA; Riello; ;")</f>
        <v>UPS Type I Plug IPG800, Capacity 800 VA; Riello; ;</v>
      </c>
      <c r="G58" s="3">
        <f>IFERROR(__xludf.DUMMYFUNCTION("""COMPUTED_VALUE"""),1.0)</f>
        <v>1</v>
      </c>
      <c r="H58" s="3" t="str">
        <f>IFERROR(__xludf.DUMMYFUNCTION("""COMPUTED_VALUE"""),"Pcs")</f>
        <v>Pcs</v>
      </c>
      <c r="I58" s="3" t="str">
        <f>IFERROR(__xludf.DUMMYFUNCTION("""COMPUTED_VALUE"""),"Untuk Penggantian min Stok Yang akan dipakai untuk PC BAS OSD")</f>
        <v>Untuk Penggantian min Stok Yang akan dipakai untuk PC BAS OSD</v>
      </c>
      <c r="J58" s="3" t="str">
        <f>IFERROR(__xludf.DUMMYFUNCTION("""COMPUTED_VALUE"""),"O-52561-00")</f>
        <v>O-52561-00</v>
      </c>
      <c r="K58" s="3" t="str">
        <f>IFERROR(__xludf.DUMMYFUNCTION("""COMPUTED_VALUE"""),"Reject")</f>
        <v>Reject</v>
      </c>
      <c r="L58" s="3" t="str">
        <f>IFERROR(__xludf.DUMMYFUNCTION("""COMPUTED_VALUE"""),"Normal")</f>
        <v>Normal</v>
      </c>
      <c r="M58" s="3" t="str">
        <f>IFERROR(__xludf.DUMMYFUNCTION("""COMPUTED_VALUE"""),"Non Urgent")</f>
        <v>Non Urgent</v>
      </c>
    </row>
    <row r="59">
      <c r="A59" s="4">
        <f>IFERROR(__xludf.DUMMYFUNCTION("""COMPUTED_VALUE"""),45712.497155428246)</f>
        <v>45712.49716</v>
      </c>
      <c r="B59" s="3" t="str">
        <f>IFERROR(__xludf.DUMMYFUNCTION("""COMPUTED_VALUE"""),"RIARO0015")</f>
        <v>RIARO0015</v>
      </c>
      <c r="C59" s="3" t="str">
        <f>IFERROR(__xludf.DUMMYFUNCTION("""COMPUTED_VALUE"""),"EJO")</f>
        <v>EJO</v>
      </c>
      <c r="D59" s="3" t="str">
        <f>IFERROR(__xludf.DUMMYFUNCTION("""COMPUTED_VALUE"""),"EJO/2025/02/26")</f>
        <v>EJO/2025/02/26</v>
      </c>
      <c r="E59" s="3" t="str">
        <f>IFERROR(__xludf.DUMMYFUNCTION("""COMPUTED_VALUE"""),"Sparepart")</f>
        <v>Sparepart</v>
      </c>
      <c r="F59" s="3" t="str">
        <f>IFERROR(__xludf.DUMMYFUNCTION("""COMPUTED_VALUE"""),"Magnetic door stopper; Dekson; Part No. MDS 889 SN;")</f>
        <v>Magnetic door stopper; Dekson; Part No. MDS 889 SN;</v>
      </c>
      <c r="G59" s="3">
        <f>IFERROR(__xludf.DUMMYFUNCTION("""COMPUTED_VALUE"""),3.0)</f>
        <v>3</v>
      </c>
      <c r="H59" s="3" t="str">
        <f>IFERROR(__xludf.DUMMYFUNCTION("""COMPUTED_VALUE"""),"Pcs")</f>
        <v>Pcs</v>
      </c>
      <c r="I59" s="3" t="str">
        <f>IFERROR(__xludf.DUMMYFUNCTION("""COMPUTED_VALUE"""),"Buat stopper pintu ")</f>
        <v>Buat stopper pintu </v>
      </c>
      <c r="J59" s="3" t="str">
        <f>IFERROR(__xludf.DUMMYFUNCTION("""COMPUTED_VALUE"""),"Q-10460-00")</f>
        <v>Q-10460-00</v>
      </c>
      <c r="K59" s="3" t="str">
        <f>IFERROR(__xludf.DUMMYFUNCTION("""COMPUTED_VALUE"""),"Reject")</f>
        <v>Reject</v>
      </c>
      <c r="L59" s="3" t="str">
        <f>IFERROR(__xludf.DUMMYFUNCTION("""COMPUTED_VALUE"""),"Normal")</f>
        <v>Normal</v>
      </c>
      <c r="M59" s="3" t="str">
        <f>IFERROR(__xludf.DUMMYFUNCTION("""COMPUTED_VALUE"""),"Non Urgent")</f>
        <v>Non Urgent</v>
      </c>
    </row>
    <row r="60">
      <c r="A60" s="4">
        <f>IFERROR(__xludf.DUMMYFUNCTION("""COMPUTED_VALUE"""),45712.5030408449)</f>
        <v>45712.50304</v>
      </c>
      <c r="B60" s="3" t="str">
        <f>IFERROR(__xludf.DUMMYFUNCTION("""COMPUTED_VALUE"""),"SHFRO0001")</f>
        <v>SHFRO0001</v>
      </c>
      <c r="C60" s="3" t="str">
        <f>IFERROR(__xludf.DUMMYFUNCTION("""COMPUTED_VALUE"""),"EJO")</f>
        <v>EJO</v>
      </c>
      <c r="D60" s="3" t="str">
        <f>IFERROR(__xludf.DUMMYFUNCTION("""COMPUTED_VALUE"""),"EJO/2024/12/158")</f>
        <v>EJO/2024/12/158</v>
      </c>
      <c r="E60" s="3" t="str">
        <f>IFERROR(__xludf.DUMMYFUNCTION("""COMPUTED_VALUE"""),"Tank Hot Water OSD")</f>
        <v>Tank Hot Water OSD</v>
      </c>
      <c r="F60" s="3" t="str">
        <f>IFERROR(__xludf.DUMMYFUNCTION("""COMPUTED_VALUE"""),"RUCIKA - Pipa PVC AW dia 2 inch Warna Abu-Abu")</f>
        <v>RUCIKA - Pipa PVC AW dia 2 inch Warna Abu-Abu</v>
      </c>
      <c r="G60" s="3">
        <f>IFERROR(__xludf.DUMMYFUNCTION("""COMPUTED_VALUE"""),6.0)</f>
        <v>6</v>
      </c>
      <c r="H60" s="3" t="str">
        <f>IFERROR(__xludf.DUMMYFUNCTION("""COMPUTED_VALUE"""),"Pc")</f>
        <v>Pc</v>
      </c>
      <c r="I60" s="3" t="str">
        <f>IFERROR(__xludf.DUMMYFUNCTION("""COMPUTED_VALUE"""),"-")</f>
        <v>-</v>
      </c>
      <c r="J60" s="3" t="str">
        <f>IFERROR(__xludf.DUMMYFUNCTION("""COMPUTED_VALUE"""),"P-12751-00")</f>
        <v>P-12751-00</v>
      </c>
      <c r="K60" s="3" t="str">
        <f>IFERROR(__xludf.DUMMYFUNCTION("""COMPUTED_VALUE"""),"Waiting")</f>
        <v>Waiting</v>
      </c>
      <c r="L60" s="3" t="str">
        <f>IFERROR(__xludf.DUMMYFUNCTION("""COMPUTED_VALUE"""),"Waiting")</f>
        <v>Waiting</v>
      </c>
      <c r="M60" s="3" t="str">
        <f>IFERROR(__xludf.DUMMYFUNCTION("""COMPUTED_VALUE"""),"Non Urgent")</f>
        <v>Non Urgent</v>
      </c>
    </row>
    <row r="61">
      <c r="A61" s="4">
        <f>IFERROR(__xludf.DUMMYFUNCTION("""COMPUTED_VALUE"""),45712.503166400464)</f>
        <v>45712.50317</v>
      </c>
      <c r="B61" s="3" t="str">
        <f>IFERROR(__xludf.DUMMYFUNCTION("""COMPUTED_VALUE"""),"SHFRO0002")</f>
        <v>SHFRO0002</v>
      </c>
      <c r="C61" s="3" t="str">
        <f>IFERROR(__xludf.DUMMYFUNCTION("""COMPUTED_VALUE"""),"EJO")</f>
        <v>EJO</v>
      </c>
      <c r="D61" s="3" t="str">
        <f>IFERROR(__xludf.DUMMYFUNCTION("""COMPUTED_VALUE"""),"EJO/2024/12/158")</f>
        <v>EJO/2024/12/158</v>
      </c>
      <c r="E61" s="3" t="str">
        <f>IFERROR(__xludf.DUMMYFUNCTION("""COMPUTED_VALUE"""),"Tank Hot Water OSD")</f>
        <v>Tank Hot Water OSD</v>
      </c>
      <c r="F61" s="3" t="str">
        <f>IFERROR(__xludf.DUMMYFUNCTION("""COMPUTED_VALUE"""),"General - ELBOW PVC AW 2"" ; Rucika; -; 1 pc")</f>
        <v>General - ELBOW PVC AW 2" ; Rucika; -; 1 pc</v>
      </c>
      <c r="G61" s="3">
        <f>IFERROR(__xludf.DUMMYFUNCTION("""COMPUTED_VALUE"""),4.0)</f>
        <v>4</v>
      </c>
      <c r="H61" s="3" t="str">
        <f>IFERROR(__xludf.DUMMYFUNCTION("""COMPUTED_VALUE"""),"Pc")</f>
        <v>Pc</v>
      </c>
      <c r="I61" s="3" t="str">
        <f>IFERROR(__xludf.DUMMYFUNCTION("""COMPUTED_VALUE"""),"-")</f>
        <v>-</v>
      </c>
      <c r="J61" s="3" t="str">
        <f>IFERROR(__xludf.DUMMYFUNCTION("""COMPUTED_VALUE"""),"P-15078-00")</f>
        <v>P-15078-00</v>
      </c>
      <c r="K61" s="3" t="str">
        <f>IFERROR(__xludf.DUMMYFUNCTION("""COMPUTED_VALUE"""),"Approve")</f>
        <v>Approve</v>
      </c>
      <c r="L61" s="3" t="str">
        <f>IFERROR(__xludf.DUMMYFUNCTION("""COMPUTED_VALUE"""),"Normal")</f>
        <v>Normal</v>
      </c>
      <c r="M61" s="3" t="str">
        <f>IFERROR(__xludf.DUMMYFUNCTION("""COMPUTED_VALUE"""),"Non Urgent")</f>
        <v>Non Urgent</v>
      </c>
    </row>
    <row r="62">
      <c r="A62" s="4">
        <f>IFERROR(__xludf.DUMMYFUNCTION("""COMPUTED_VALUE"""),45712.503166400464)</f>
        <v>45712.50317</v>
      </c>
      <c r="B62" s="3" t="str">
        <f>IFERROR(__xludf.DUMMYFUNCTION("""COMPUTED_VALUE"""),"SHFRO0003")</f>
        <v>SHFRO0003</v>
      </c>
      <c r="C62" s="3" t="str">
        <f>IFERROR(__xludf.DUMMYFUNCTION("""COMPUTED_VALUE"""),"EJO")</f>
        <v>EJO</v>
      </c>
      <c r="D62" s="3" t="str">
        <f>IFERROR(__xludf.DUMMYFUNCTION("""COMPUTED_VALUE"""),"EJO/2024/12/158")</f>
        <v>EJO/2024/12/158</v>
      </c>
      <c r="E62" s="3" t="str">
        <f>IFERROR(__xludf.DUMMYFUNCTION("""COMPUTED_VALUE"""),"Tank Hot Water OSD")</f>
        <v>Tank Hot Water OSD</v>
      </c>
      <c r="F62" s="3" t="str">
        <f>IFERROR(__xludf.DUMMYFUNCTION("""COMPUTED_VALUE"""),"Elbow PVC AW 45 deg dia 2 Inch; ; ;")</f>
        <v>Elbow PVC AW 45 deg dia 2 Inch; ; ;</v>
      </c>
      <c r="G62" s="3">
        <f>IFERROR(__xludf.DUMMYFUNCTION("""COMPUTED_VALUE"""),4.0)</f>
        <v>4</v>
      </c>
      <c r="H62" s="3" t="str">
        <f>IFERROR(__xludf.DUMMYFUNCTION("""COMPUTED_VALUE"""),"Pc")</f>
        <v>Pc</v>
      </c>
      <c r="I62" s="3" t="str">
        <f>IFERROR(__xludf.DUMMYFUNCTION("""COMPUTED_VALUE"""),"-")</f>
        <v>-</v>
      </c>
      <c r="J62" s="3" t="str">
        <f>IFERROR(__xludf.DUMMYFUNCTION("""COMPUTED_VALUE"""),"P-18277-00")</f>
        <v>P-18277-00</v>
      </c>
      <c r="K62" s="3" t="str">
        <f>IFERROR(__xludf.DUMMYFUNCTION("""COMPUTED_VALUE"""),"Approve")</f>
        <v>Approve</v>
      </c>
      <c r="L62" s="3" t="str">
        <f>IFERROR(__xludf.DUMMYFUNCTION("""COMPUTED_VALUE"""),"Normal")</f>
        <v>Normal</v>
      </c>
      <c r="M62" s="3" t="str">
        <f>IFERROR(__xludf.DUMMYFUNCTION("""COMPUTED_VALUE"""),"Non Urgent")</f>
        <v>Non Urgent</v>
      </c>
    </row>
    <row r="63">
      <c r="A63" s="4">
        <f>IFERROR(__xludf.DUMMYFUNCTION("""COMPUTED_VALUE"""),45712.50946371528)</f>
        <v>45712.50946</v>
      </c>
      <c r="B63" s="3" t="str">
        <f>IFERROR(__xludf.DUMMYFUNCTION("""COMPUTED_VALUE"""),"RIARO0016")</f>
        <v>RIARO0016</v>
      </c>
      <c r="C63" s="3" t="str">
        <f>IFERROR(__xludf.DUMMYFUNCTION("""COMPUTED_VALUE"""),"Consumable")</f>
        <v>Consumable</v>
      </c>
      <c r="D63" s="3" t="str">
        <f>IFERROR(__xludf.DUMMYFUNCTION("""COMPUTED_VALUE"""),"-")</f>
        <v>-</v>
      </c>
      <c r="E63" s="3" t="str">
        <f>IFERROR(__xludf.DUMMYFUNCTION("""COMPUTED_VALUE"""),"TOC WFI SKID")</f>
        <v>TOC WFI SKID</v>
      </c>
      <c r="F63" s="3" t="str">
        <f>IFERROR(__xludf.DUMMYFUNCTION("""COMPUTED_VALUE"""),"Sample Pump Head for TOC Sievers M500; ; ;")</f>
        <v>Sample Pump Head for TOC Sievers M500; ; ;</v>
      </c>
      <c r="G63" s="3">
        <f>IFERROR(__xludf.DUMMYFUNCTION("""COMPUTED_VALUE"""),1.0)</f>
        <v>1</v>
      </c>
      <c r="H63" s="3" t="str">
        <f>IFERROR(__xludf.DUMMYFUNCTION("""COMPUTED_VALUE"""),"Set")</f>
        <v>Set</v>
      </c>
      <c r="I63" s="3" t="str">
        <f>IFERROR(__xludf.DUMMYFUNCTION("""COMPUTED_VALUE"""),"Tahunan butuh 1, stok punya kita sudah habis dipakai ganti kemarin")</f>
        <v>Tahunan butuh 1, stok punya kita sudah habis dipakai ganti kemarin</v>
      </c>
      <c r="J63" s="3" t="str">
        <f>IFERROR(__xludf.DUMMYFUNCTION("""COMPUTED_VALUE"""),"P-18447-00")</f>
        <v>P-18447-00</v>
      </c>
      <c r="K63" s="3" t="str">
        <f>IFERROR(__xludf.DUMMYFUNCTION("""COMPUTED_VALUE"""),"Approve")</f>
        <v>Approve</v>
      </c>
      <c r="L63" s="3" t="str">
        <f>IFERROR(__xludf.DUMMYFUNCTION("""COMPUTED_VALUE"""),"Normal")</f>
        <v>Normal</v>
      </c>
      <c r="M63" s="3" t="str">
        <f>IFERROR(__xludf.DUMMYFUNCTION("""COMPUTED_VALUE"""),"Non Urgent")</f>
        <v>Non Urgent</v>
      </c>
    </row>
    <row r="64">
      <c r="A64" s="4">
        <f>IFERROR(__xludf.DUMMYFUNCTION("""COMPUTED_VALUE"""),45712.50997244213)</f>
        <v>45712.50997</v>
      </c>
      <c r="B64" s="3" t="str">
        <f>IFERROR(__xludf.DUMMYFUNCTION("""COMPUTED_VALUE"""),"RIARO0017")</f>
        <v>RIARO0017</v>
      </c>
      <c r="C64" s="3" t="str">
        <f>IFERROR(__xludf.DUMMYFUNCTION("""COMPUTED_VALUE"""),"Consumable")</f>
        <v>Consumable</v>
      </c>
      <c r="D64" s="3" t="str">
        <f>IFERROR(__xludf.DUMMYFUNCTION("""COMPUTED_VALUE"""),"-")</f>
        <v>-</v>
      </c>
      <c r="E64" s="3" t="str">
        <f>IFERROR(__xludf.DUMMYFUNCTION("""COMPUTED_VALUE"""),"TOC WFI SKID")</f>
        <v>TOC WFI SKID</v>
      </c>
      <c r="F64" s="3" t="str">
        <f>IFERROR(__xludf.DUMMYFUNCTION("""COMPUTED_VALUE"""),"UV lamp for TOC Sievers M500; TOC Sievers; ; pack size per pc")</f>
        <v>UV lamp for TOC Sievers M500; TOC Sievers; ; pack size per pc</v>
      </c>
      <c r="G64" s="3">
        <f>IFERROR(__xludf.DUMMYFUNCTION("""COMPUTED_VALUE"""),2.0)</f>
        <v>2</v>
      </c>
      <c r="H64" s="3" t="str">
        <f>IFERROR(__xludf.DUMMYFUNCTION("""COMPUTED_VALUE"""),"Pcs")</f>
        <v>Pcs</v>
      </c>
      <c r="I64" s="3" t="str">
        <f>IFERROR(__xludf.DUMMYFUNCTION("""COMPUTED_VALUE"""),"Beliin lagi karena bulan juli mau diganti lagi, kebutuhan 1 tahun 2 pcs")</f>
        <v>Beliin lagi karena bulan juli mau diganti lagi, kebutuhan 1 tahun 2 pcs</v>
      </c>
      <c r="J64" s="3" t="str">
        <f>IFERROR(__xludf.DUMMYFUNCTION("""COMPUTED_VALUE"""),"P-54181-00")</f>
        <v>P-54181-00</v>
      </c>
      <c r="K64" s="3" t="str">
        <f>IFERROR(__xludf.DUMMYFUNCTION("""COMPUTED_VALUE"""),"Approve")</f>
        <v>Approve</v>
      </c>
      <c r="L64" s="3" t="str">
        <f>IFERROR(__xludf.DUMMYFUNCTION("""COMPUTED_VALUE"""),"Normal")</f>
        <v>Normal</v>
      </c>
      <c r="M64" s="3" t="str">
        <f>IFERROR(__xludf.DUMMYFUNCTION("""COMPUTED_VALUE"""),"Non Urgent")</f>
        <v>Non Urgent</v>
      </c>
    </row>
    <row r="65">
      <c r="A65" s="4">
        <f>IFERROR(__xludf.DUMMYFUNCTION("""COMPUTED_VALUE"""),45712.510523680554)</f>
        <v>45712.51052</v>
      </c>
      <c r="B65" s="3" t="str">
        <f>IFERROR(__xludf.DUMMYFUNCTION("""COMPUTED_VALUE"""),"RIARO0018")</f>
        <v>RIARO0018</v>
      </c>
      <c r="C65" s="3" t="str">
        <f>IFERROR(__xludf.DUMMYFUNCTION("""COMPUTED_VALUE"""),"Consumable")</f>
        <v>Consumable</v>
      </c>
      <c r="D65" s="3" t="str">
        <f>IFERROR(__xludf.DUMMYFUNCTION("""COMPUTED_VALUE"""),"-")</f>
        <v>-</v>
      </c>
      <c r="E65" s="3" t="str">
        <f>IFERROR(__xludf.DUMMYFUNCTION("""COMPUTED_VALUE"""),"TOC WFI SKID")</f>
        <v>TOC WFI SKID</v>
      </c>
      <c r="F65" s="3" t="str">
        <f>IFERROR(__xludf.DUMMYFUNCTION("""COMPUTED_VALUE"""),"Resin Bed Replacement for TOC Sievers M500; ; ;")</f>
        <v>Resin Bed Replacement for TOC Sievers M500; ; ;</v>
      </c>
      <c r="G65" s="3">
        <f>IFERROR(__xludf.DUMMYFUNCTION("""COMPUTED_VALUE"""),1.0)</f>
        <v>1</v>
      </c>
      <c r="H65" s="3" t="str">
        <f>IFERROR(__xludf.DUMMYFUNCTION("""COMPUTED_VALUE"""),"Pcs")</f>
        <v>Pcs</v>
      </c>
      <c r="I65" s="3" t="str">
        <f>IFERROR(__xludf.DUMMYFUNCTION("""COMPUTED_VALUE"""),"Stock kita kosong, penggantian masih awal tahun 2026, lebih baik di kasih stock karena pernah kejadian resinnya alarm ")</f>
        <v>Stock kita kosong, penggantian masih awal tahun 2026, lebih baik di kasih stock karena pernah kejadian resinnya alarm </v>
      </c>
      <c r="J65" s="3" t="str">
        <f>IFERROR(__xludf.DUMMYFUNCTION("""COMPUTED_VALUE"""),"P-18448-00")</f>
        <v>P-18448-00</v>
      </c>
      <c r="K65" s="3" t="str">
        <f>IFERROR(__xludf.DUMMYFUNCTION("""COMPUTED_VALUE"""),"Approve")</f>
        <v>Approve</v>
      </c>
      <c r="L65" s="3" t="str">
        <f>IFERROR(__xludf.DUMMYFUNCTION("""COMPUTED_VALUE"""),"Normal")</f>
        <v>Normal</v>
      </c>
      <c r="M65" s="3" t="str">
        <f>IFERROR(__xludf.DUMMYFUNCTION("""COMPUTED_VALUE"""),"Non Urgent")</f>
        <v>Non Urgent</v>
      </c>
    </row>
    <row r="66">
      <c r="A66" s="4">
        <f>IFERROR(__xludf.DUMMYFUNCTION("""COMPUTED_VALUE"""),45712.51167266203)</f>
        <v>45712.51167</v>
      </c>
      <c r="B66" s="3" t="str">
        <f>IFERROR(__xludf.DUMMYFUNCTION("""COMPUTED_VALUE"""),"RIARO0019")</f>
        <v>RIARO0019</v>
      </c>
      <c r="C66" s="3" t="str">
        <f>IFERROR(__xludf.DUMMYFUNCTION("""COMPUTED_VALUE"""),"EJO")</f>
        <v>EJO</v>
      </c>
      <c r="D66" s="3" t="str">
        <f>IFERROR(__xludf.DUMMYFUNCTION("""COMPUTED_VALUE"""),"EJO/2024/11/89")</f>
        <v>EJO/2024/11/89</v>
      </c>
      <c r="E66" s="3" t="str">
        <f>IFERROR(__xludf.DUMMYFUNCTION("""COMPUTED_VALUE"""),"UPS 40KVA")</f>
        <v>UPS 40KVA</v>
      </c>
      <c r="F66" s="3" t="str">
        <f>IFERROR(__xludf.DUMMYFUNCTION("""COMPUTED_VALUE"""),"General - Accu 6FM40, Baterai Kering, 12 V, 40 Ah; Vision; -; 1 pcs")</f>
        <v>General - Accu 6FM40, Baterai Kering, 12 V, 40 Ah; Vision; -; 1 pcs</v>
      </c>
      <c r="G66" s="3">
        <f>IFERROR(__xludf.DUMMYFUNCTION("""COMPUTED_VALUE"""),32.0)</f>
        <v>32</v>
      </c>
      <c r="H66" s="3" t="str">
        <f>IFERROR(__xludf.DUMMYFUNCTION("""COMPUTED_VALUE"""),"Pcs")</f>
        <v>Pcs</v>
      </c>
      <c r="I66" s="3" t="str">
        <f>IFERROR(__xludf.DUMMYFUNCTION("""COMPUTED_VALUE"""),"Beliin buat ganti dan spare karena tidak punya spare")</f>
        <v>Beliin buat ganti dan spare karena tidak punya spare</v>
      </c>
      <c r="J66" s="3" t="str">
        <f>IFERROR(__xludf.DUMMYFUNCTION("""COMPUTED_VALUE"""),"P-52119-00")</f>
        <v>P-52119-00</v>
      </c>
      <c r="K66" s="3" t="str">
        <f>IFERROR(__xludf.DUMMYFUNCTION("""COMPUTED_VALUE"""),"Approve")</f>
        <v>Approve</v>
      </c>
      <c r="L66" s="3" t="str">
        <f>IFERROR(__xludf.DUMMYFUNCTION("""COMPUTED_VALUE"""),"Normal")</f>
        <v>Normal</v>
      </c>
      <c r="M66" s="3" t="str">
        <f>IFERROR(__xludf.DUMMYFUNCTION("""COMPUTED_VALUE"""),"Non Urgent")</f>
        <v>Non Urgent</v>
      </c>
    </row>
    <row r="67">
      <c r="A67" s="4">
        <f>IFERROR(__xludf.DUMMYFUNCTION("""COMPUTED_VALUE"""),45712.512104594905)</f>
        <v>45712.5121</v>
      </c>
      <c r="B67" s="3" t="str">
        <f>IFERROR(__xludf.DUMMYFUNCTION("""COMPUTED_VALUE"""),"RIARO0020")</f>
        <v>RIARO0020</v>
      </c>
      <c r="C67" s="3" t="str">
        <f>IFERROR(__xludf.DUMMYFUNCTION("""COMPUTED_VALUE"""),"EJO")</f>
        <v>EJO</v>
      </c>
      <c r="D67" s="3" t="str">
        <f>IFERROR(__xludf.DUMMYFUNCTION("""COMPUTED_VALUE"""),"EJO/2024/11/89")</f>
        <v>EJO/2024/11/89</v>
      </c>
      <c r="E67" s="3" t="str">
        <f>IFERROR(__xludf.DUMMYFUNCTION("""COMPUTED_VALUE"""),"UPS 40KVA")</f>
        <v>UPS 40KVA</v>
      </c>
      <c r="F67" s="3" t="str">
        <f>IFERROR(__xludf.DUMMYFUNCTION("""COMPUTED_VALUE"""),"Capacitor 50F 250VAC 25A 5% Screw (KMT) P/N : 6R 01502010; ; ;")</f>
        <v>Capacitor 50F 250VAC 25A 5% Screw (KMT) P/N : 6R 01502010; ; ;</v>
      </c>
      <c r="G67" s="3">
        <f>IFERROR(__xludf.DUMMYFUNCTION("""COMPUTED_VALUE"""),10.0)</f>
        <v>10</v>
      </c>
      <c r="H67" s="3" t="str">
        <f>IFERROR(__xludf.DUMMYFUNCTION("""COMPUTED_VALUE"""),"Pcs")</f>
        <v>Pcs</v>
      </c>
      <c r="I67" s="3" t="str">
        <f>IFERROR(__xludf.DUMMYFUNCTION("""COMPUTED_VALUE"""),"Buat ganti kapasitor yang rusak, itu harusnya 50 uf speknya, item codenya 50 f. ")</f>
        <v>Buat ganti kapasitor yang rusak, itu harusnya 50 uf speknya, item codenya 50 f. </v>
      </c>
      <c r="J67" s="3" t="str">
        <f>IFERROR(__xludf.DUMMYFUNCTION("""COMPUTED_VALUE"""),"P-52278-00")</f>
        <v>P-52278-00</v>
      </c>
      <c r="K67" s="3" t="str">
        <f>IFERROR(__xludf.DUMMYFUNCTION("""COMPUTED_VALUE"""),"Approve")</f>
        <v>Approve</v>
      </c>
      <c r="L67" s="3" t="str">
        <f>IFERROR(__xludf.DUMMYFUNCTION("""COMPUTED_VALUE"""),"Normal")</f>
        <v>Normal</v>
      </c>
      <c r="M67" s="3" t="str">
        <f>IFERROR(__xludf.DUMMYFUNCTION("""COMPUTED_VALUE"""),"Non Urgent")</f>
        <v>Non Urgent</v>
      </c>
    </row>
    <row r="68">
      <c r="A68" s="4">
        <f>IFERROR(__xludf.DUMMYFUNCTION("""COMPUTED_VALUE"""),45712.56990068287)</f>
        <v>45712.5699</v>
      </c>
      <c r="B68" s="3" t="str">
        <f>IFERROR(__xludf.DUMMYFUNCTION("""COMPUTED_VALUE"""),"ANORO0004")</f>
        <v>ANORO0004</v>
      </c>
      <c r="C68" s="3" t="str">
        <f>IFERROR(__xludf.DUMMYFUNCTION("""COMPUTED_VALUE"""),"EJO")</f>
        <v>EJO</v>
      </c>
      <c r="D68" s="3" t="str">
        <f>IFERROR(__xludf.DUMMYFUNCTION("""COMPUTED_VALUE"""),"EJO/2025/02/170")</f>
        <v>EJO/2025/02/170</v>
      </c>
      <c r="E68" s="3" t="str">
        <f>IFERROR(__xludf.DUMMYFUNCTION("""COMPUTED_VALUE"""),"Autoclave Decontam")</f>
        <v>Autoclave Decontam</v>
      </c>
      <c r="F68" s="3" t="str">
        <f>IFERROR(__xludf.DUMMYFUNCTION("""COMPUTED_VALUE"""),"Ball Valve SS 316 1/2"" 1000 WOG SANKYO")</f>
        <v>Ball Valve SS 316 1/2" 1000 WOG SANKYO</v>
      </c>
      <c r="G68" s="3">
        <f>IFERROR(__xludf.DUMMYFUNCTION("""COMPUTED_VALUE"""),3.0)</f>
        <v>3</v>
      </c>
      <c r="H68" s="3" t="str">
        <f>IFERROR(__xludf.DUMMYFUNCTION("""COMPUTED_VALUE"""),"pcs")</f>
        <v>pcs</v>
      </c>
      <c r="I68" s="3" t="str">
        <f>IFERROR(__xludf.DUMMYFUNCTION("""COMPUTED_VALUE"""),"untuk stock dan untuk ganti di autoclave Decontam (Minta yang merk KITZ ya dil)")</f>
        <v>untuk stock dan untuk ganti di autoclave Decontam (Minta yang merk KITZ ya dil)</v>
      </c>
      <c r="J68" s="3" t="str">
        <f>IFERROR(__xludf.DUMMYFUNCTION("""COMPUTED_VALUE"""),"P-10398-00")</f>
        <v>P-10398-00</v>
      </c>
      <c r="K68" s="3" t="str">
        <f>IFERROR(__xludf.DUMMYFUNCTION("""COMPUTED_VALUE"""),"Approve")</f>
        <v>Approve</v>
      </c>
      <c r="L68" s="3" t="str">
        <f>IFERROR(__xludf.DUMMYFUNCTION("""COMPUTED_VALUE"""),"Normal")</f>
        <v>Normal</v>
      </c>
      <c r="M68" s="3" t="str">
        <f>IFERROR(__xludf.DUMMYFUNCTION("""COMPUTED_VALUE"""),"Non Urgent")</f>
        <v>Non Urgent</v>
      </c>
    </row>
    <row r="69">
      <c r="A69" s="4">
        <f>IFERROR(__xludf.DUMMYFUNCTION("""COMPUTED_VALUE"""),45713.40445349537)</f>
        <v>45713.40445</v>
      </c>
      <c r="B69" s="3" t="str">
        <f>IFERROR(__xludf.DUMMYFUNCTION("""COMPUTED_VALUE"""),"SHFRO0004")</f>
        <v>SHFRO0004</v>
      </c>
      <c r="C69" s="3" t="str">
        <f>IFERROR(__xludf.DUMMYFUNCTION("""COMPUTED_VALUE"""),"EJO")</f>
        <v>EJO</v>
      </c>
      <c r="D69" s="3" t="str">
        <f>IFERROR(__xludf.DUMMYFUNCTION("""COMPUTED_VALUE"""),"EJO/2024/12/158")</f>
        <v>EJO/2024/12/158</v>
      </c>
      <c r="E69" s="3" t="str">
        <f>IFERROR(__xludf.DUMMYFUNCTION("""COMPUTED_VALUE"""),"Tank Hot Water OSD")</f>
        <v>Tank Hot Water OSD</v>
      </c>
      <c r="F69" s="3" t="str">
        <f>IFERROR(__xludf.DUMMYFUNCTION("""COMPUTED_VALUE"""),"Ball Valve PVC 2""")</f>
        <v>Ball Valve PVC 2"</v>
      </c>
      <c r="G69" s="3">
        <f>IFERROR(__xludf.DUMMYFUNCTION("""COMPUTED_VALUE"""),2.0)</f>
        <v>2</v>
      </c>
      <c r="H69" s="3" t="str">
        <f>IFERROR(__xludf.DUMMYFUNCTION("""COMPUTED_VALUE"""),"Pcs")</f>
        <v>Pcs</v>
      </c>
      <c r="I69" s="3" t="str">
        <f>IFERROR(__xludf.DUMMYFUNCTION("""COMPUTED_VALUE"""),"-")</f>
        <v>-</v>
      </c>
      <c r="J69" s="3" t="str">
        <f>IFERROR(__xludf.DUMMYFUNCTION("""COMPUTED_VALUE"""),"P-10391-00")</f>
        <v>P-10391-00</v>
      </c>
      <c r="K69" s="3" t="str">
        <f>IFERROR(__xludf.DUMMYFUNCTION("""COMPUTED_VALUE"""),"Approve")</f>
        <v>Approve</v>
      </c>
      <c r="L69" s="3" t="str">
        <f>IFERROR(__xludf.DUMMYFUNCTION("""COMPUTED_VALUE"""),"Normal")</f>
        <v>Normal</v>
      </c>
      <c r="M69" s="3" t="str">
        <f>IFERROR(__xludf.DUMMYFUNCTION("""COMPUTED_VALUE"""),"Non Urgent")</f>
        <v>Non Urgent</v>
      </c>
    </row>
    <row r="70">
      <c r="A70" s="4">
        <f>IFERROR(__xludf.DUMMYFUNCTION("""COMPUTED_VALUE"""),45714.691398194445)</f>
        <v>45714.6914</v>
      </c>
      <c r="B70" s="3" t="str">
        <f>IFERROR(__xludf.DUMMYFUNCTION("""COMPUTED_VALUE"""),"RIARO0021")</f>
        <v>RIARO0021</v>
      </c>
      <c r="C70" s="3" t="str">
        <f>IFERROR(__xludf.DUMMYFUNCTION("""COMPUTED_VALUE"""),"EJO")</f>
        <v>EJO</v>
      </c>
      <c r="D70" s="3" t="str">
        <f>IFERROR(__xludf.DUMMYFUNCTION("""COMPUTED_VALUE"""),"EJO/2025/02/162")</f>
        <v>EJO/2025/02/162</v>
      </c>
      <c r="E70" s="3" t="str">
        <f>IFERROR(__xludf.DUMMYFUNCTION("""COMPUTED_VALUE"""),"WWTP")</f>
        <v>WWTP</v>
      </c>
      <c r="F70" s="3" t="str">
        <f>IFERROR(__xludf.DUMMYFUNCTION("""COMPUTED_VALUE"""),"Pompa Celup SS SE-268 San-Ei; San-Ei; ;")</f>
        <v>Pompa Celup SS SE-268 San-Ei; San-Ei; ;</v>
      </c>
      <c r="G70" s="3">
        <f>IFERROR(__xludf.DUMMYFUNCTION("""COMPUTED_VALUE"""),1.0)</f>
        <v>1</v>
      </c>
      <c r="H70" s="3" t="str">
        <f>IFERROR(__xludf.DUMMYFUNCTION("""COMPUTED_VALUE"""),"Pcs")</f>
        <v>Pcs</v>
      </c>
      <c r="I70" s="3" t="str">
        <f>IFERROR(__xludf.DUMMYFUNCTION("""COMPUTED_VALUE"""),"Untuk Pompa Sump Pit")</f>
        <v>Untuk Pompa Sump Pit</v>
      </c>
      <c r="J70" s="3" t="str">
        <f>IFERROR(__xludf.DUMMYFUNCTION("""COMPUTED_VALUE"""),"P-54226-00")</f>
        <v>P-54226-00</v>
      </c>
      <c r="K70" s="3" t="str">
        <f>IFERROR(__xludf.DUMMYFUNCTION("""COMPUTED_VALUE"""),"Reject")</f>
        <v>Reject</v>
      </c>
      <c r="L70" s="3" t="str">
        <f>IFERROR(__xludf.DUMMYFUNCTION("""COMPUTED_VALUE"""),"Normal")</f>
        <v>Normal</v>
      </c>
      <c r="M70" s="3" t="str">
        <f>IFERROR(__xludf.DUMMYFUNCTION("""COMPUTED_VALUE"""),"Non Urgent")</f>
        <v>Non Urgent</v>
      </c>
    </row>
    <row r="71">
      <c r="A71" s="4">
        <f>IFERROR(__xludf.DUMMYFUNCTION("""COMPUTED_VALUE"""),45720.86735175926)</f>
        <v>45720.86735</v>
      </c>
      <c r="B71" s="3" t="str">
        <f>IFERROR(__xludf.DUMMYFUNCTION("""COMPUTED_VALUE"""),"RIARO0022")</f>
        <v>RIARO0022</v>
      </c>
      <c r="C71" s="3" t="str">
        <f>IFERROR(__xludf.DUMMYFUNCTION("""COMPUTED_VALUE"""),"MIn Stok")</f>
        <v>MIn Stok</v>
      </c>
      <c r="D71" s="3" t="str">
        <f>IFERROR(__xludf.DUMMYFUNCTION("""COMPUTED_VALUE"""),"-")</f>
        <v>-</v>
      </c>
      <c r="E71" s="3" t="str">
        <f>IFERROR(__xludf.DUMMYFUNCTION("""COMPUTED_VALUE"""),"PW SKID")</f>
        <v>PW SKID</v>
      </c>
      <c r="F71" s="3" t="str">
        <f>IFERROR(__xludf.DUMMYFUNCTION("""COMPUTED_VALUE"""),"Membrane Diaphragm Valve EPDM PTFE DN 25 Gemu KRISNA DWI MITRA P/N : 600 25M 17 pc")</f>
        <v>Membrane Diaphragm Valve EPDM PTFE DN 25 Gemu KRISNA DWI MITRA P/N : 600 25M 17 pc</v>
      </c>
      <c r="G71" s="3">
        <f>IFERROR(__xludf.DUMMYFUNCTION("""COMPUTED_VALUE"""),5.0)</f>
        <v>5</v>
      </c>
      <c r="H71" s="3" t="str">
        <f>IFERROR(__xludf.DUMMYFUNCTION("""COMPUTED_VALUE"""),"Pcs")</f>
        <v>Pcs</v>
      </c>
      <c r="I71" s="3" t="str">
        <f>IFERROR(__xludf.DUMMYFUNCTION("""COMPUTED_VALUE"""),"Sisa untuk ganti Pou tinggal 1 pcs")</f>
        <v>Sisa untuk ganti Pou tinggal 1 pcs</v>
      </c>
      <c r="J71" s="3" t="str">
        <f>IFERROR(__xludf.DUMMYFUNCTION("""COMPUTED_VALUE"""),"O-16715-00")</f>
        <v>O-16715-00</v>
      </c>
      <c r="K71" s="3" t="str">
        <f>IFERROR(__xludf.DUMMYFUNCTION("""COMPUTED_VALUE"""),"Approve")</f>
        <v>Approve</v>
      </c>
      <c r="L71" s="3" t="str">
        <f>IFERROR(__xludf.DUMMYFUNCTION("""COMPUTED_VALUE"""),"Normal")</f>
        <v>Normal</v>
      </c>
      <c r="M71" s="3" t="str">
        <f>IFERROR(__xludf.DUMMYFUNCTION("""COMPUTED_VALUE"""),"Non Urgent")</f>
        <v>Non Urgent</v>
      </c>
    </row>
    <row r="72">
      <c r="A72" s="4">
        <f>IFERROR(__xludf.DUMMYFUNCTION("""COMPUTED_VALUE"""),45720.871782905095)</f>
        <v>45720.87178</v>
      </c>
      <c r="B72" s="3" t="str">
        <f>IFERROR(__xludf.DUMMYFUNCTION("""COMPUTED_VALUE"""),"RIARO0023")</f>
        <v>RIARO0023</v>
      </c>
      <c r="C72" s="3" t="str">
        <f>IFERROR(__xludf.DUMMYFUNCTION("""COMPUTED_VALUE"""),"MIn Stok")</f>
        <v>MIn Stok</v>
      </c>
      <c r="D72" s="3" t="str">
        <f>IFERROR(__xludf.DUMMYFUNCTION("""COMPUTED_VALUE"""),"-")</f>
        <v>-</v>
      </c>
      <c r="E72" s="3" t="str">
        <f>IFERROR(__xludf.DUMMYFUNCTION("""COMPUTED_VALUE"""),"PW SKID")</f>
        <v>PW SKID</v>
      </c>
      <c r="F72" s="3" t="str">
        <f>IFERROR(__xludf.DUMMYFUNCTION("""COMPUTED_VALUE"""),"Membrane Valve PTFE/EPDM DN15 type 612 GEMU; ; ;")</f>
        <v>Membrane Valve PTFE/EPDM DN15 type 612 GEMU; ; ;</v>
      </c>
      <c r="G72" s="3">
        <f>IFERROR(__xludf.DUMMYFUNCTION("""COMPUTED_VALUE"""),5.0)</f>
        <v>5</v>
      </c>
      <c r="H72" s="3" t="str">
        <f>IFERROR(__xludf.DUMMYFUNCTION("""COMPUTED_VALUE"""),"Pcs")</f>
        <v>Pcs</v>
      </c>
      <c r="I72" s="3" t="str">
        <f>IFERROR(__xludf.DUMMYFUNCTION("""COMPUTED_VALUE"""),"Ganti PoU kurang 2 pcs namun buat spare sisanya, di item code plastik existing P-19304-00 tak cari belum nemu yang pas, adanya ini, kodenya MG10")</f>
        <v>Ganti PoU kurang 2 pcs namun buat spare sisanya, di item code plastik existing P-19304-00 tak cari belum nemu yang pas, adanya ini, kodenya MG10</v>
      </c>
      <c r="J72" s="3" t="str">
        <f>IFERROR(__xludf.DUMMYFUNCTION("""COMPUTED_VALUE"""),"O-18388-00")</f>
        <v>O-18388-00</v>
      </c>
      <c r="K72" s="3" t="str">
        <f>IFERROR(__xludf.DUMMYFUNCTION("""COMPUTED_VALUE"""),"Approve")</f>
        <v>Approve</v>
      </c>
      <c r="L72" s="3" t="str">
        <f>IFERROR(__xludf.DUMMYFUNCTION("""COMPUTED_VALUE"""),"Normal")</f>
        <v>Normal</v>
      </c>
      <c r="M72" s="3" t="str">
        <f>IFERROR(__xludf.DUMMYFUNCTION("""COMPUTED_VALUE"""),"Non Urgent")</f>
        <v>Non Urgent</v>
      </c>
    </row>
    <row r="73">
      <c r="A73" s="4">
        <f>IFERROR(__xludf.DUMMYFUNCTION("""COMPUTED_VALUE"""),45720.9661524074)</f>
        <v>45720.96615</v>
      </c>
      <c r="B73" s="3" t="str">
        <f>IFERROR(__xludf.DUMMYFUNCTION("""COMPUTED_VALUE"""),"RIARO0024")</f>
        <v>RIARO0024</v>
      </c>
      <c r="C73" s="3" t="str">
        <f>IFERROR(__xludf.DUMMYFUNCTION("""COMPUTED_VALUE"""),"EJO")</f>
        <v>EJO</v>
      </c>
      <c r="D73" s="3" t="str">
        <f>IFERROR(__xludf.DUMMYFUNCTION("""COMPUTED_VALUE"""),"EJO/2025/03/01")</f>
        <v>EJO/2025/03/01</v>
      </c>
      <c r="E73" s="3" t="str">
        <f>IFERROR(__xludf.DUMMYFUNCTION("""COMPUTED_VALUE"""),"Wet Lab")</f>
        <v>Wet Lab</v>
      </c>
      <c r="F73" s="3" t="str">
        <f>IFERROR(__xludf.DUMMYFUNCTION("""COMPUTED_VALUE"""),"General - Ceiling Exhaust Fan; KDK; FV-25TGU5; 1 Pc")</f>
        <v>General - Ceiling Exhaust Fan; KDK; FV-25TGU5; 1 Pc</v>
      </c>
      <c r="G73" s="3">
        <f>IFERROR(__xludf.DUMMYFUNCTION("""COMPUTED_VALUE"""),1.0)</f>
        <v>1</v>
      </c>
      <c r="H73" s="3" t="str">
        <f>IFERROR(__xludf.DUMMYFUNCTION("""COMPUTED_VALUE"""),"Pcs")</f>
        <v>Pcs</v>
      </c>
      <c r="I73" s="3" t="str">
        <f>IFERROR(__xludf.DUMMYFUNCTION("""COMPUTED_VALUE"""),"Untuk ganti EF F3-31")</f>
        <v>Untuk ganti EF F3-31</v>
      </c>
      <c r="J73" s="3" t="str">
        <f>IFERROR(__xludf.DUMMYFUNCTION("""COMPUTED_VALUE"""),"P-52420-00")</f>
        <v>P-52420-00</v>
      </c>
      <c r="K73" s="3" t="str">
        <f>IFERROR(__xludf.DUMMYFUNCTION("""COMPUTED_VALUE"""),"Approve")</f>
        <v>Approve</v>
      </c>
      <c r="L73" s="3" t="str">
        <f>IFERROR(__xludf.DUMMYFUNCTION("""COMPUTED_VALUE"""),"Normal")</f>
        <v>Normal</v>
      </c>
      <c r="M73" s="3" t="str">
        <f>IFERROR(__xludf.DUMMYFUNCTION("""COMPUTED_VALUE"""),"Non Urgent")</f>
        <v>Non Urgent</v>
      </c>
    </row>
    <row r="74">
      <c r="A74" s="4">
        <f>IFERROR(__xludf.DUMMYFUNCTION("""COMPUTED_VALUE"""),45723.63803334491)</f>
        <v>45723.63803</v>
      </c>
      <c r="B74" s="3" t="str">
        <f>IFERROR(__xludf.DUMMYFUNCTION("""COMPUTED_VALUE"""),"ROSRO0001")</f>
        <v>ROSRO0001</v>
      </c>
      <c r="C74" s="3" t="str">
        <f>IFERROR(__xludf.DUMMYFUNCTION("""COMPUTED_VALUE"""),"EJO")</f>
        <v>EJO</v>
      </c>
      <c r="D74" s="3" t="str">
        <f>IFERROR(__xludf.DUMMYFUNCTION("""COMPUTED_VALUE"""),"EJO/2023/02/60")</f>
        <v>EJO/2023/02/60</v>
      </c>
      <c r="E74" s="3" t="str">
        <f>IFERROR(__xludf.DUMMYFUNCTION("""COMPUTED_VALUE"""),"refigerator GEA")</f>
        <v>refigerator GEA</v>
      </c>
      <c r="F74" s="3" t="str">
        <f>IFERROR(__xludf.DUMMYFUNCTION("""COMPUTED_VALUE"""),"Cable Temperature Sensor Silicone 1,5m PT1000 QAP2012.150")</f>
        <v>Cable Temperature Sensor Silicone 1,5m PT1000 QAP2012.150</v>
      </c>
      <c r="G74" s="3">
        <f>IFERROR(__xludf.DUMMYFUNCTION("""COMPUTED_VALUE"""),4.0)</f>
        <v>4</v>
      </c>
      <c r="H74" s="3" t="str">
        <f>IFERROR(__xludf.DUMMYFUNCTION("""COMPUTED_VALUE"""),"pcs")</f>
        <v>pcs</v>
      </c>
      <c r="I74" s="3" t="str">
        <f>IFERROR(__xludf.DUMMYFUNCTION("""COMPUTED_VALUE"""),"-")</f>
        <v>-</v>
      </c>
      <c r="J74" s="3" t="str">
        <f>IFERROR(__xludf.DUMMYFUNCTION("""COMPUTED_VALUE"""),"O-53032-00")</f>
        <v>O-53032-00</v>
      </c>
      <c r="K74" s="3" t="str">
        <f>IFERROR(__xludf.DUMMYFUNCTION("""COMPUTED_VALUE"""),"Approve")</f>
        <v>Approve</v>
      </c>
      <c r="L74" s="3" t="str">
        <f>IFERROR(__xludf.DUMMYFUNCTION("""COMPUTED_VALUE"""),"Normal")</f>
        <v>Normal</v>
      </c>
      <c r="M74" s="3" t="str">
        <f>IFERROR(__xludf.DUMMYFUNCTION("""COMPUTED_VALUE"""),"Non Urgent")</f>
        <v>Non Urgent</v>
      </c>
    </row>
    <row r="75">
      <c r="A75" s="4">
        <f>IFERROR(__xludf.DUMMYFUNCTION("""COMPUTED_VALUE"""),45727.048098761574)</f>
        <v>45727.0481</v>
      </c>
      <c r="B75" s="3" t="str">
        <f>IFERROR(__xludf.DUMMYFUNCTION("""COMPUTED_VALUE"""),"MOBRO0025")</f>
        <v>MOBRO0025</v>
      </c>
      <c r="C75" s="3" t="str">
        <f>IFERROR(__xludf.DUMMYFUNCTION("""COMPUTED_VALUE"""),"MIn Stok")</f>
        <v>MIn Stok</v>
      </c>
      <c r="D75" s="3" t="str">
        <f>IFERROR(__xludf.DUMMYFUNCTION("""COMPUTED_VALUE"""),"-")</f>
        <v>-</v>
      </c>
      <c r="E75" s="3" t="str">
        <f>IFERROR(__xludf.DUMMYFUNCTION("""COMPUTED_VALUE"""),"Plumbing")</f>
        <v>Plumbing</v>
      </c>
      <c r="F75" s="3" t="str">
        <f>IFERROR(__xludf.DUMMYFUNCTION("""COMPUTED_VALUE"""),"Pneumatic  Fitting - QS 1/2-10 / PN : 190646 / Festo")</f>
        <v>Pneumatic  Fitting - QS 1/2-10 / PN : 190646 / Festo</v>
      </c>
      <c r="G75" s="3">
        <f>IFERROR(__xludf.DUMMYFUNCTION("""COMPUTED_VALUE"""),8.0)</f>
        <v>8</v>
      </c>
      <c r="H75" s="3" t="str">
        <f>IFERROR(__xludf.DUMMYFUNCTION("""COMPUTED_VALUE"""),"Pcs")</f>
        <v>Pcs</v>
      </c>
      <c r="I75" s="3" t="str">
        <f>IFERROR(__xludf.DUMMYFUNCTION("""COMPUTED_VALUE"""),"Stok Habis")</f>
        <v>Stok Habis</v>
      </c>
      <c r="J75" s="3" t="str">
        <f>IFERROR(__xludf.DUMMYFUNCTION("""COMPUTED_VALUE"""),"P-11164-00")</f>
        <v>P-11164-00</v>
      </c>
      <c r="K75" s="3" t="str">
        <f>IFERROR(__xludf.DUMMYFUNCTION("""COMPUTED_VALUE"""),"Approve")</f>
        <v>Approve</v>
      </c>
      <c r="L75" s="3" t="str">
        <f>IFERROR(__xludf.DUMMYFUNCTION("""COMPUTED_VALUE"""),"Normal")</f>
        <v>Normal</v>
      </c>
      <c r="M75" s="3" t="str">
        <f>IFERROR(__xludf.DUMMYFUNCTION("""COMPUTED_VALUE"""),"Non Urgent")</f>
        <v>Non Urgent</v>
      </c>
    </row>
    <row r="76">
      <c r="A76" s="4">
        <f>IFERROR(__xludf.DUMMYFUNCTION("""COMPUTED_VALUE"""),45729.89329858796)</f>
        <v>45729.8933</v>
      </c>
      <c r="B76" s="3" t="str">
        <f>IFERROR(__xludf.DUMMYFUNCTION("""COMPUTED_VALUE"""),"NDSRO0003")</f>
        <v>NDSRO0003</v>
      </c>
      <c r="C76" s="3" t="str">
        <f>IFERROR(__xludf.DUMMYFUNCTION("""COMPUTED_VALUE"""),"MIn Stok")</f>
        <v>MIn Stok</v>
      </c>
      <c r="D76" s="3" t="str">
        <f>IFERROR(__xludf.DUMMYFUNCTION("""COMPUTED_VALUE"""),"-")</f>
        <v>-</v>
      </c>
      <c r="E76" s="3" t="str">
        <f>IFERROR(__xludf.DUMMYFUNCTION("""COMPUTED_VALUE"""),"Tunnel")</f>
        <v>Tunnel</v>
      </c>
      <c r="F76" s="3" t="str">
        <f>IFERROR(__xludf.DUMMYFUNCTION("""COMPUTED_VALUE"""),"Selenoid Valve VSNC-FC-M52-MD-G14-F8-1B2; Festo; P/n: 577295;")</f>
        <v>Selenoid Valve VSNC-FC-M52-MD-G14-F8-1B2; Festo; P/n: 577295;</v>
      </c>
      <c r="G76" s="3">
        <f>IFERROR(__xludf.DUMMYFUNCTION("""COMPUTED_VALUE"""),2.0)</f>
        <v>2</v>
      </c>
      <c r="H76" s="3" t="str">
        <f>IFERROR(__xludf.DUMMYFUNCTION("""COMPUTED_VALUE"""),"Pcs")</f>
        <v>Pcs</v>
      </c>
      <c r="I76" s="3" t="str">
        <f>IFERROR(__xludf.DUMMYFUNCTION("""COMPUTED_VALUE"""),"-")</f>
        <v>-</v>
      </c>
      <c r="J76" s="3" t="str">
        <f>IFERROR(__xludf.DUMMYFUNCTION("""COMPUTED_VALUE"""),"O-52314-00")</f>
        <v>O-52314-00</v>
      </c>
      <c r="K76" s="3" t="str">
        <f>IFERROR(__xludf.DUMMYFUNCTION("""COMPUTED_VALUE"""),"Approve")</f>
        <v>Approve</v>
      </c>
      <c r="L76" s="3" t="str">
        <f>IFERROR(__xludf.DUMMYFUNCTION("""COMPUTED_VALUE"""),"Normal")</f>
        <v>Normal</v>
      </c>
      <c r="M76" s="3" t="str">
        <f>IFERROR(__xludf.DUMMYFUNCTION("""COMPUTED_VALUE"""),"Non Urgent")</f>
        <v>Non Urgent</v>
      </c>
    </row>
    <row r="77">
      <c r="A77" s="4">
        <f>IFERROR(__xludf.DUMMYFUNCTION("""COMPUTED_VALUE"""),45729.97195557871)</f>
        <v>45729.97196</v>
      </c>
      <c r="B77" s="3" t="str">
        <f>IFERROR(__xludf.DUMMYFUNCTION("""COMPUTED_VALUE"""),"MOBRO0026")</f>
        <v>MOBRO0026</v>
      </c>
      <c r="C77" s="3" t="str">
        <f>IFERROR(__xludf.DUMMYFUNCTION("""COMPUTED_VALUE"""),"Consumable")</f>
        <v>Consumable</v>
      </c>
      <c r="D77" s="3" t="str">
        <f>IFERROR(__xludf.DUMMYFUNCTION("""COMPUTED_VALUE"""),"-")</f>
        <v>-</v>
      </c>
      <c r="E77" s="3" t="str">
        <f>IFERROR(__xludf.DUMMYFUNCTION("""COMPUTED_VALUE"""),"Pneumatic Fitting")</f>
        <v>Pneumatic Fitting</v>
      </c>
      <c r="F77" s="3" t="str">
        <f>IFERROR(__xludf.DUMMYFUNCTION("""COMPUTED_VALUE"""),"General - Push-in Connector, QS-8-6; Festo; 153038; 1 pcs")</f>
        <v>General - Push-in Connector, QS-8-6; Festo; 153038; 1 pcs</v>
      </c>
      <c r="G77" s="3">
        <f>IFERROR(__xludf.DUMMYFUNCTION("""COMPUTED_VALUE"""),8.0)</f>
        <v>8</v>
      </c>
      <c r="H77" s="3" t="str">
        <f>IFERROR(__xludf.DUMMYFUNCTION("""COMPUTED_VALUE"""),"Pcs")</f>
        <v>Pcs</v>
      </c>
      <c r="I77" s="3" t="str">
        <f>IFERROR(__xludf.DUMMYFUNCTION("""COMPUTED_VALUE"""),"Stok Habis")</f>
        <v>Stok Habis</v>
      </c>
      <c r="J77" s="3" t="str">
        <f>IFERROR(__xludf.DUMMYFUNCTION("""COMPUTED_VALUE"""),"P-11185-00")</f>
        <v>P-11185-00</v>
      </c>
      <c r="K77" s="3" t="str">
        <f>IFERROR(__xludf.DUMMYFUNCTION("""COMPUTED_VALUE"""),"Approve")</f>
        <v>Approve</v>
      </c>
      <c r="L77" s="3" t="str">
        <f>IFERROR(__xludf.DUMMYFUNCTION("""COMPUTED_VALUE"""),"Normal")</f>
        <v>Normal</v>
      </c>
      <c r="M77" s="3" t="str">
        <f>IFERROR(__xludf.DUMMYFUNCTION("""COMPUTED_VALUE"""),"Non Urgent")</f>
        <v>Non Urgent</v>
      </c>
    </row>
    <row r="78">
      <c r="A78" s="4">
        <f>IFERROR(__xludf.DUMMYFUNCTION("""COMPUTED_VALUE"""),45729.9726683912)</f>
        <v>45729.97267</v>
      </c>
      <c r="B78" s="3" t="str">
        <f>IFERROR(__xludf.DUMMYFUNCTION("""COMPUTED_VALUE"""),"MOBRO0027")</f>
        <v>MOBRO0027</v>
      </c>
      <c r="C78" s="3" t="str">
        <f>IFERROR(__xludf.DUMMYFUNCTION("""COMPUTED_VALUE"""),"Consumable")</f>
        <v>Consumable</v>
      </c>
      <c r="D78" s="3" t="str">
        <f>IFERROR(__xludf.DUMMYFUNCTION("""COMPUTED_VALUE"""),"-")</f>
        <v>-</v>
      </c>
      <c r="E78" s="3" t="str">
        <f>IFERROR(__xludf.DUMMYFUNCTION("""COMPUTED_VALUE"""),"Pneumatic Fitting")</f>
        <v>Pneumatic Fitting</v>
      </c>
      <c r="F78" s="3" t="str">
        <f>IFERROR(__xludf.DUMMYFUNCTION("""COMPUTED_VALUE"""),"FESTO - QS-10-8 Push In Connector p/n 153039")</f>
        <v>FESTO - QS-10-8 Push In Connector p/n 153039</v>
      </c>
      <c r="G78" s="3">
        <f>IFERROR(__xludf.DUMMYFUNCTION("""COMPUTED_VALUE"""),8.0)</f>
        <v>8</v>
      </c>
      <c r="H78" s="3" t="str">
        <f>IFERROR(__xludf.DUMMYFUNCTION("""COMPUTED_VALUE"""),"Pcs")</f>
        <v>Pcs</v>
      </c>
      <c r="I78" s="3" t="str">
        <f>IFERROR(__xludf.DUMMYFUNCTION("""COMPUTED_VALUE"""),"Stok Habis")</f>
        <v>Stok Habis</v>
      </c>
      <c r="J78" s="3" t="str">
        <f>IFERROR(__xludf.DUMMYFUNCTION("""COMPUTED_VALUE"""),"P-12281-00")</f>
        <v>P-12281-00</v>
      </c>
      <c r="K78" s="3" t="str">
        <f>IFERROR(__xludf.DUMMYFUNCTION("""COMPUTED_VALUE"""),"Approve")</f>
        <v>Approve</v>
      </c>
      <c r="L78" s="3" t="str">
        <f>IFERROR(__xludf.DUMMYFUNCTION("""COMPUTED_VALUE"""),"Normal")</f>
        <v>Normal</v>
      </c>
      <c r="M78" s="3" t="str">
        <f>IFERROR(__xludf.DUMMYFUNCTION("""COMPUTED_VALUE"""),"Non Urgent")</f>
        <v>Non Urgent</v>
      </c>
    </row>
    <row r="79">
      <c r="A79" s="4">
        <f>IFERROR(__xludf.DUMMYFUNCTION("""COMPUTED_VALUE"""),45729.97299439815)</f>
        <v>45729.97299</v>
      </c>
      <c r="B79" s="3" t="str">
        <f>IFERROR(__xludf.DUMMYFUNCTION("""COMPUTED_VALUE"""),"MOBRO0028")</f>
        <v>MOBRO0028</v>
      </c>
      <c r="C79" s="3" t="str">
        <f>IFERROR(__xludf.DUMMYFUNCTION("""COMPUTED_VALUE"""),"Consumable")</f>
        <v>Consumable</v>
      </c>
      <c r="D79" s="3" t="str">
        <f>IFERROR(__xludf.DUMMYFUNCTION("""COMPUTED_VALUE"""),"-")</f>
        <v>-</v>
      </c>
      <c r="E79" s="3" t="str">
        <f>IFERROR(__xludf.DUMMYFUNCTION("""COMPUTED_VALUE"""),"Pneumatic Fitting")</f>
        <v>Pneumatic Fitting</v>
      </c>
      <c r="F79" s="3" t="str">
        <f>IFERROR(__xludf.DUMMYFUNCTION("""COMPUTED_VALUE"""),"FESTO - QS-12-10 Push in Connector p/n: 153040")</f>
        <v>FESTO - QS-12-10 Push in Connector p/n: 153040</v>
      </c>
      <c r="G79" s="3">
        <f>IFERROR(__xludf.DUMMYFUNCTION("""COMPUTED_VALUE"""),8.0)</f>
        <v>8</v>
      </c>
      <c r="H79" s="3" t="str">
        <f>IFERROR(__xludf.DUMMYFUNCTION("""COMPUTED_VALUE"""),"Pcs")</f>
        <v>Pcs</v>
      </c>
      <c r="I79" s="3" t="str">
        <f>IFERROR(__xludf.DUMMYFUNCTION("""COMPUTED_VALUE"""),"Stok Habis")</f>
        <v>Stok Habis</v>
      </c>
      <c r="J79" s="3" t="str">
        <f>IFERROR(__xludf.DUMMYFUNCTION("""COMPUTED_VALUE"""),"P-12282-00")</f>
        <v>P-12282-00</v>
      </c>
      <c r="K79" s="3" t="str">
        <f>IFERROR(__xludf.DUMMYFUNCTION("""COMPUTED_VALUE"""),"Approve")</f>
        <v>Approve</v>
      </c>
      <c r="L79" s="3" t="str">
        <f>IFERROR(__xludf.DUMMYFUNCTION("""COMPUTED_VALUE"""),"Normal")</f>
        <v>Normal</v>
      </c>
      <c r="M79" s="3" t="str">
        <f>IFERROR(__xludf.DUMMYFUNCTION("""COMPUTED_VALUE"""),"Non Urgent")</f>
        <v>Non Urgent</v>
      </c>
    </row>
    <row r="80">
      <c r="A80" s="4">
        <f>IFERROR(__xludf.DUMMYFUNCTION("""COMPUTED_VALUE"""),45734.94708142361)</f>
        <v>45734.94708</v>
      </c>
      <c r="B80" s="3" t="str">
        <f>IFERROR(__xludf.DUMMYFUNCTION("""COMPUTED_VALUE"""),"ROSRO0002")</f>
        <v>ROSRO0002</v>
      </c>
      <c r="C80" s="3" t="str">
        <f>IFERROR(__xludf.DUMMYFUNCTION("""COMPUTED_VALUE"""),"Consumable")</f>
        <v>Consumable</v>
      </c>
      <c r="D80" s="3" t="str">
        <f>IFERROR(__xludf.DUMMYFUNCTION("""COMPUTED_VALUE"""),"-")</f>
        <v>-</v>
      </c>
      <c r="E80" s="3" t="str">
        <f>IFERROR(__xludf.DUMMYFUNCTION("""COMPUTED_VALUE"""),"autoclave preparasi dan decontam")</f>
        <v>autoclave preparasi dan decontam</v>
      </c>
      <c r="F80" s="3" t="str">
        <f>IFERROR(__xludf.DUMMYFUNCTION("""COMPUTED_VALUE"""),"Fedegari FVA2/A1 - O-RING 15.47x3.53 ; Code : CC150170; ; ;")</f>
        <v>Fedegari FVA2/A1 - O-RING 15.47x3.53 ; Code : CC150170; ; ;</v>
      </c>
      <c r="G80" s="3">
        <f>IFERROR(__xludf.DUMMYFUNCTION("""COMPUTED_VALUE"""),20.0)</f>
        <v>20</v>
      </c>
      <c r="H80" s="3" t="str">
        <f>IFERROR(__xludf.DUMMYFUNCTION("""COMPUTED_VALUE"""),"pcs")</f>
        <v>pcs</v>
      </c>
      <c r="I80" s="3" t="str">
        <f>IFERROR(__xludf.DUMMYFUNCTION("""COMPUTED_VALUE"""),"oring gasket sensor water level autclave")</f>
        <v>oring gasket sensor water level autclave</v>
      </c>
      <c r="J80" s="3" t="str">
        <f>IFERROR(__xludf.DUMMYFUNCTION("""COMPUTED_VALUE"""),"O-15918-00")</f>
        <v>O-15918-00</v>
      </c>
      <c r="K80" s="3" t="str">
        <f>IFERROR(__xludf.DUMMYFUNCTION("""COMPUTED_VALUE"""),"Approve")</f>
        <v>Approve</v>
      </c>
      <c r="L80" s="3" t="str">
        <f>IFERROR(__xludf.DUMMYFUNCTION("""COMPUTED_VALUE"""),"Normal")</f>
        <v>Normal</v>
      </c>
      <c r="M80" s="3" t="str">
        <f>IFERROR(__xludf.DUMMYFUNCTION("""COMPUTED_VALUE"""),"Non Urgent")</f>
        <v>Non Urgent</v>
      </c>
    </row>
    <row r="81">
      <c r="A81" s="4">
        <f>IFERROR(__xludf.DUMMYFUNCTION("""COMPUTED_VALUE"""),45740.56819136574)</f>
        <v>45740.56819</v>
      </c>
      <c r="B81" s="3" t="str">
        <f>IFERROR(__xludf.DUMMYFUNCTION("""COMPUTED_VALUE"""),"MOBRO0029")</f>
        <v>MOBRO0029</v>
      </c>
      <c r="C81" s="3" t="str">
        <f>IFERROR(__xludf.DUMMYFUNCTION("""COMPUTED_VALUE"""),"Consumable")</f>
        <v>Consumable</v>
      </c>
      <c r="D81" s="3" t="str">
        <f>IFERROR(__xludf.DUMMYFUNCTION("""COMPUTED_VALUE"""),"EJO/2025/04/18")</f>
        <v>EJO/2025/04/18</v>
      </c>
      <c r="E81" s="3" t="str">
        <f>IFERROR(__xludf.DUMMYFUNCTION("""COMPUTED_VALUE"""),"Bulk Storage")</f>
        <v>Bulk Storage</v>
      </c>
      <c r="F81" s="3" t="str">
        <f>IFERROR(__xludf.DUMMYFUNCTION("""COMPUTED_VALUE"""),"Temperature probe model PT100; single element, 3 wires diameter 3mm, length 250mm, Total silicone ca; ; ;")</f>
        <v>Temperature probe model PT100; single element, 3 wires diameter 3mm, length 250mm, Total silicone ca; ; ;</v>
      </c>
      <c r="G81" s="3">
        <f>IFERROR(__xludf.DUMMYFUNCTION("""COMPUTED_VALUE"""),2.0)</f>
        <v>2</v>
      </c>
      <c r="H81" s="3" t="str">
        <f>IFERROR(__xludf.DUMMYFUNCTION("""COMPUTED_VALUE"""),"Pcs")</f>
        <v>Pcs</v>
      </c>
      <c r="I81" s="3" t="str">
        <f>IFERROR(__xludf.DUMMYFUNCTION("""COMPUTED_VALUE"""),"Stok Habis")</f>
        <v>Stok Habis</v>
      </c>
      <c r="J81" s="3" t="str">
        <f>IFERROR(__xludf.DUMMYFUNCTION("""COMPUTED_VALUE"""),"O-15905-00")</f>
        <v>O-15905-00</v>
      </c>
      <c r="K81" s="3" t="str">
        <f>IFERROR(__xludf.DUMMYFUNCTION("""COMPUTED_VALUE"""),"Reject")</f>
        <v>Reject</v>
      </c>
      <c r="L81" s="3" t="str">
        <f>IFERROR(__xludf.DUMMYFUNCTION("""COMPUTED_VALUE"""),"Normal")</f>
        <v>Normal</v>
      </c>
      <c r="M81" s="3" t="str">
        <f>IFERROR(__xludf.DUMMYFUNCTION("""COMPUTED_VALUE"""),"Non Urgent")</f>
        <v>Non Urgent</v>
      </c>
    </row>
    <row r="82">
      <c r="A82" s="4">
        <f>IFERROR(__xludf.DUMMYFUNCTION("""COMPUTED_VALUE"""),45755.25170274305)</f>
        <v>45755.2517</v>
      </c>
      <c r="B82" s="3" t="str">
        <f>IFERROR(__xludf.DUMMYFUNCTION("""COMPUTED_VALUE"""),"MFHRO0001")</f>
        <v>MFHRO0001</v>
      </c>
      <c r="C82" s="3" t="str">
        <f>IFERROR(__xludf.DUMMYFUNCTION("""COMPUTED_VALUE"""),"Consumable")</f>
        <v>Consumable</v>
      </c>
      <c r="D82" s="3" t="str">
        <f>IFERROR(__xludf.DUMMYFUNCTION("""COMPUTED_VALUE"""),"-")</f>
        <v>-</v>
      </c>
      <c r="E82" s="3" t="str">
        <f>IFERROR(__xludf.DUMMYFUNCTION("""COMPUTED_VALUE"""),"General")</f>
        <v>General</v>
      </c>
      <c r="F82" s="3" t="str">
        <f>IFERROR(__xludf.DUMMYFUNCTION("""COMPUTED_VALUE"""),"Silicone Sealant;Silglaze;Type N10 White;pack size per pcs")</f>
        <v>Silicone Sealant;Silglaze;Type N10 White;pack size per pcs</v>
      </c>
      <c r="G82" s="3">
        <f>IFERROR(__xludf.DUMMYFUNCTION("""COMPUTED_VALUE"""),30.0)</f>
        <v>30</v>
      </c>
      <c r="H82" s="3" t="str">
        <f>IFERROR(__xludf.DUMMYFUNCTION("""COMPUTED_VALUE"""),"Pc")</f>
        <v>Pc</v>
      </c>
      <c r="I82" s="3" t="str">
        <f>IFERROR(__xludf.DUMMYFUNCTION("""COMPUTED_VALUE"""),"Blanketing Sealant Putih  PR 121702317")</f>
        <v>Blanketing Sealant Putih  PR 121702317</v>
      </c>
      <c r="J82" s="3" t="str">
        <f>IFERROR(__xludf.DUMMYFUNCTION("""COMPUTED_VALUE"""),"Q-60502-00")</f>
        <v>Q-60502-00</v>
      </c>
      <c r="K82" s="3" t="str">
        <f>IFERROR(__xludf.DUMMYFUNCTION("""COMPUTED_VALUE"""),"Approve")</f>
        <v>Approve</v>
      </c>
      <c r="L82" s="3" t="str">
        <f>IFERROR(__xludf.DUMMYFUNCTION("""COMPUTED_VALUE"""),"Normal")</f>
        <v>Normal</v>
      </c>
      <c r="M82" s="3" t="str">
        <f>IFERROR(__xludf.DUMMYFUNCTION("""COMPUTED_VALUE"""),"Non Urgent")</f>
        <v>Non Urgent</v>
      </c>
    </row>
    <row r="83">
      <c r="A83" s="4">
        <f>IFERROR(__xludf.DUMMYFUNCTION("""COMPUTED_VALUE"""),45755.25272611112)</f>
        <v>45755.25273</v>
      </c>
      <c r="B83" s="3" t="str">
        <f>IFERROR(__xludf.DUMMYFUNCTION("""COMPUTED_VALUE"""),"MFHRO0002")</f>
        <v>MFHRO0002</v>
      </c>
      <c r="C83" s="3" t="str">
        <f>IFERROR(__xludf.DUMMYFUNCTION("""COMPUTED_VALUE"""),"Consumable")</f>
        <v>Consumable</v>
      </c>
      <c r="D83" s="3" t="str">
        <f>IFERROR(__xludf.DUMMYFUNCTION("""COMPUTED_VALUE"""),"-")</f>
        <v>-</v>
      </c>
      <c r="E83" s="3" t="str">
        <f>IFERROR(__xludf.DUMMYFUNCTION("""COMPUTED_VALUE"""),"General")</f>
        <v>General</v>
      </c>
      <c r="F83" s="3" t="str">
        <f>IFERROR(__xludf.DUMMYFUNCTION("""COMPUTED_VALUE"""),"STEKER 1 PHASE, BROCO")</f>
        <v>STEKER 1 PHASE, BROCO</v>
      </c>
      <c r="G83" s="3">
        <f>IFERROR(__xludf.DUMMYFUNCTION("""COMPUTED_VALUE"""),50.0)</f>
        <v>50</v>
      </c>
      <c r="H83" s="3" t="str">
        <f>IFERROR(__xludf.DUMMYFUNCTION("""COMPUTED_VALUE"""),"Pc")</f>
        <v>Pc</v>
      </c>
      <c r="I83" s="3" t="str">
        <f>IFERROR(__xludf.DUMMYFUNCTION("""COMPUTED_VALUE"""),"Blanketing Steker PR 121702318")</f>
        <v>Blanketing Steker PR 121702318</v>
      </c>
      <c r="J83" s="3" t="str">
        <f>IFERROR(__xludf.DUMMYFUNCTION("""COMPUTED_VALUE"""),"O-54014-00")</f>
        <v>O-54014-00</v>
      </c>
      <c r="K83" s="3" t="str">
        <f>IFERROR(__xludf.DUMMYFUNCTION("""COMPUTED_VALUE"""),"Approve")</f>
        <v>Approve</v>
      </c>
      <c r="L83" s="3" t="str">
        <f>IFERROR(__xludf.DUMMYFUNCTION("""COMPUTED_VALUE"""),"Normal")</f>
        <v>Normal</v>
      </c>
      <c r="M83" s="3" t="str">
        <f>IFERROR(__xludf.DUMMYFUNCTION("""COMPUTED_VALUE"""),"Non Urgent")</f>
        <v>Non Urgent</v>
      </c>
    </row>
    <row r="84">
      <c r="A84" s="4">
        <f>IFERROR(__xludf.DUMMYFUNCTION("""COMPUTED_VALUE"""),45755.253356273155)</f>
        <v>45755.25336</v>
      </c>
      <c r="B84" s="3" t="str">
        <f>IFERROR(__xludf.DUMMYFUNCTION("""COMPUTED_VALUE"""),"MFHRO0003")</f>
        <v>MFHRO0003</v>
      </c>
      <c r="C84" s="3" t="str">
        <f>IFERROR(__xludf.DUMMYFUNCTION("""COMPUTED_VALUE"""),"Consumable")</f>
        <v>Consumable</v>
      </c>
      <c r="D84" s="3" t="str">
        <f>IFERROR(__xludf.DUMMYFUNCTION("""COMPUTED_VALUE"""),"-")</f>
        <v>-</v>
      </c>
      <c r="E84" s="3" t="str">
        <f>IFERROR(__xludf.DUMMYFUNCTION("""COMPUTED_VALUE"""),"General")</f>
        <v>General</v>
      </c>
      <c r="F84" s="3" t="str">
        <f>IFERROR(__xludf.DUMMYFUNCTION("""COMPUTED_VALUE"""),"Thinner Super End/Impala @ 1 Liter")</f>
        <v>Thinner Super End/Impala @ 1 Liter</v>
      </c>
      <c r="G84" s="3">
        <f>IFERROR(__xludf.DUMMYFUNCTION("""COMPUTED_VALUE"""),10.0)</f>
        <v>10</v>
      </c>
      <c r="H84" s="3" t="str">
        <f>IFERROR(__xludf.DUMMYFUNCTION("""COMPUTED_VALUE"""),"Pc")</f>
        <v>Pc</v>
      </c>
      <c r="I84" s="3" t="str">
        <f>IFERROR(__xludf.DUMMYFUNCTION("""COMPUTED_VALUE"""),"Blanketing Thinner PR 121702319")</f>
        <v>Blanketing Thinner PR 121702319</v>
      </c>
      <c r="J84" s="3" t="str">
        <f>IFERROR(__xludf.DUMMYFUNCTION("""COMPUTED_VALUE"""),"Q-10128-00")</f>
        <v>Q-10128-00</v>
      </c>
      <c r="K84" s="3" t="str">
        <f>IFERROR(__xludf.DUMMYFUNCTION("""COMPUTED_VALUE"""),"Approve")</f>
        <v>Approve</v>
      </c>
      <c r="L84" s="3" t="str">
        <f>IFERROR(__xludf.DUMMYFUNCTION("""COMPUTED_VALUE"""),"Normal")</f>
        <v>Normal</v>
      </c>
      <c r="M84" s="3" t="str">
        <f>IFERROR(__xludf.DUMMYFUNCTION("""COMPUTED_VALUE"""),"Non Urgent")</f>
        <v>Non Urgent</v>
      </c>
    </row>
    <row r="85">
      <c r="A85" s="4">
        <f>IFERROR(__xludf.DUMMYFUNCTION("""COMPUTED_VALUE"""),45755.25370533565)</f>
        <v>45755.25371</v>
      </c>
      <c r="B85" s="3" t="str">
        <f>IFERROR(__xludf.DUMMYFUNCTION("""COMPUTED_VALUE"""),"MFHRO0004")</f>
        <v>MFHRO0004</v>
      </c>
      <c r="C85" s="3" t="str">
        <f>IFERROR(__xludf.DUMMYFUNCTION("""COMPUTED_VALUE"""),"Consumable")</f>
        <v>Consumable</v>
      </c>
      <c r="D85" s="3" t="str">
        <f>IFERROR(__xludf.DUMMYFUNCTION("""COMPUTED_VALUE"""),"-")</f>
        <v>-</v>
      </c>
      <c r="E85" s="3" t="str">
        <f>IFERROR(__xludf.DUMMYFUNCTION("""COMPUTED_VALUE"""),"General")</f>
        <v>General</v>
      </c>
      <c r="F85" s="3" t="str">
        <f>IFERROR(__xludf.DUMMYFUNCTION("""COMPUTED_VALUE"""),"Silicone Sealant, Silglaze, Type N10 Clear, pack size per pcs")</f>
        <v>Silicone Sealant, Silglaze, Type N10 Clear, pack size per pcs</v>
      </c>
      <c r="G85" s="3">
        <f>IFERROR(__xludf.DUMMYFUNCTION("""COMPUTED_VALUE"""),40.0)</f>
        <v>40</v>
      </c>
      <c r="H85" s="3" t="str">
        <f>IFERROR(__xludf.DUMMYFUNCTION("""COMPUTED_VALUE"""),"Pc")</f>
        <v>Pc</v>
      </c>
      <c r="I85" s="3" t="str">
        <f>IFERROR(__xludf.DUMMYFUNCTION("""COMPUTED_VALUE"""),"Blanketing Sealant Bening PR 121702320")</f>
        <v>Blanketing Sealant Bening PR 121702320</v>
      </c>
      <c r="J85" s="3" t="str">
        <f>IFERROR(__xludf.DUMMYFUNCTION("""COMPUTED_VALUE"""),"Q-60501-00")</f>
        <v>Q-60501-00</v>
      </c>
      <c r="K85" s="3" t="str">
        <f>IFERROR(__xludf.DUMMYFUNCTION("""COMPUTED_VALUE"""),"Approve")</f>
        <v>Approve</v>
      </c>
      <c r="L85" s="3" t="str">
        <f>IFERROR(__xludf.DUMMYFUNCTION("""COMPUTED_VALUE"""),"Normal")</f>
        <v>Normal</v>
      </c>
      <c r="M85" s="3" t="str">
        <f>IFERROR(__xludf.DUMMYFUNCTION("""COMPUTED_VALUE"""),"Non Urgent")</f>
        <v>Non Urgent</v>
      </c>
    </row>
    <row r="86">
      <c r="A86" s="4">
        <f>IFERROR(__xludf.DUMMYFUNCTION("""COMPUTED_VALUE"""),45755.254206631944)</f>
        <v>45755.25421</v>
      </c>
      <c r="B86" s="3" t="str">
        <f>IFERROR(__xludf.DUMMYFUNCTION("""COMPUTED_VALUE"""),"MFHRO0005")</f>
        <v>MFHRO0005</v>
      </c>
      <c r="C86" s="3" t="str">
        <f>IFERROR(__xludf.DUMMYFUNCTION("""COMPUTED_VALUE"""),"Consumable")</f>
        <v>Consumable</v>
      </c>
      <c r="D86" s="3" t="str">
        <f>IFERROR(__xludf.DUMMYFUNCTION("""COMPUTED_VALUE"""),"-")</f>
        <v>-</v>
      </c>
      <c r="E86" s="3" t="str">
        <f>IFERROR(__xludf.DUMMYFUNCTION("""COMPUTED_VALUE"""),"General")</f>
        <v>General</v>
      </c>
      <c r="F86" s="3" t="str">
        <f>IFERROR(__xludf.DUMMYFUNCTION("""COMPUTED_VALUE"""),"General - IsoLasi Kabel Hitam 33 (19mm x 20mm x 0.177mm); Scotch; -; 1 Pcs")</f>
        <v>General - IsoLasi Kabel Hitam 33 (19mm x 20mm x 0.177mm); Scotch; -; 1 Pcs</v>
      </c>
      <c r="G86" s="3">
        <f>IFERROR(__xludf.DUMMYFUNCTION("""COMPUTED_VALUE"""),10.0)</f>
        <v>10</v>
      </c>
      <c r="H86" s="3" t="str">
        <f>IFERROR(__xludf.DUMMYFUNCTION("""COMPUTED_VALUE"""),"Pc")</f>
        <v>Pc</v>
      </c>
      <c r="I86" s="3" t="str">
        <f>IFERROR(__xludf.DUMMYFUNCTION("""COMPUTED_VALUE"""),"Blanketing Isolasi item PR 121702321")</f>
        <v>Blanketing Isolasi item PR 121702321</v>
      </c>
      <c r="J86" s="3" t="str">
        <f>IFERROR(__xludf.DUMMYFUNCTION("""COMPUTED_VALUE"""),"P-51027-00")</f>
        <v>P-51027-00</v>
      </c>
      <c r="K86" s="3" t="str">
        <f>IFERROR(__xludf.DUMMYFUNCTION("""COMPUTED_VALUE"""),"Approve")</f>
        <v>Approve</v>
      </c>
      <c r="L86" s="3" t="str">
        <f>IFERROR(__xludf.DUMMYFUNCTION("""COMPUTED_VALUE"""),"Normal")</f>
        <v>Normal</v>
      </c>
      <c r="M86" s="3" t="str">
        <f>IFERROR(__xludf.DUMMYFUNCTION("""COMPUTED_VALUE"""),"Non Urgent")</f>
        <v>Non Urgent</v>
      </c>
    </row>
    <row r="87">
      <c r="A87" s="4">
        <f>IFERROR(__xludf.DUMMYFUNCTION("""COMPUTED_VALUE"""),45755.254629745374)</f>
        <v>45755.25463</v>
      </c>
      <c r="B87" s="3" t="str">
        <f>IFERROR(__xludf.DUMMYFUNCTION("""COMPUTED_VALUE"""),"MFHRO0006")</f>
        <v>MFHRO0006</v>
      </c>
      <c r="C87" s="3" t="str">
        <f>IFERROR(__xludf.DUMMYFUNCTION("""COMPUTED_VALUE"""),"Consumable")</f>
        <v>Consumable</v>
      </c>
      <c r="D87" s="3" t="str">
        <f>IFERROR(__xludf.DUMMYFUNCTION("""COMPUTED_VALUE"""),"-")</f>
        <v>-</v>
      </c>
      <c r="E87" s="3" t="str">
        <f>IFERROR(__xludf.DUMMYFUNCTION("""COMPUTED_VALUE"""),"General")</f>
        <v>General</v>
      </c>
      <c r="F87" s="3" t="str">
        <f>IFERROR(__xludf.DUMMYFUNCTION("""COMPUTED_VALUE"""),"Cable Ties, 200 x 4.8 mm; SIGMA; CS 200L; Putih;100 pcs/pack")</f>
        <v>Cable Ties, 200 x 4.8 mm; SIGMA; CS 200L; Putih;100 pcs/pack</v>
      </c>
      <c r="G87" s="3">
        <f>IFERROR(__xludf.DUMMYFUNCTION("""COMPUTED_VALUE"""),10.0)</f>
        <v>10</v>
      </c>
      <c r="H87" s="3" t="str">
        <f>IFERROR(__xludf.DUMMYFUNCTION("""COMPUTED_VALUE"""),"pc")</f>
        <v>pc</v>
      </c>
      <c r="I87" s="3" t="str">
        <f>IFERROR(__xludf.DUMMYFUNCTION("""COMPUTED_VALUE"""),"Blanketing Cable Ties CS200 PR 121702322")</f>
        <v>Blanketing Cable Ties CS200 PR 121702322</v>
      </c>
      <c r="J87" s="3" t="str">
        <f>IFERROR(__xludf.DUMMYFUNCTION("""COMPUTED_VALUE"""),"S-40645-00")</f>
        <v>S-40645-00</v>
      </c>
      <c r="K87" s="3" t="str">
        <f>IFERROR(__xludf.DUMMYFUNCTION("""COMPUTED_VALUE"""),"Approve")</f>
        <v>Approve</v>
      </c>
      <c r="L87" s="3" t="str">
        <f>IFERROR(__xludf.DUMMYFUNCTION("""COMPUTED_VALUE"""),"Normal")</f>
        <v>Normal</v>
      </c>
      <c r="M87" s="3" t="str">
        <f>IFERROR(__xludf.DUMMYFUNCTION("""COMPUTED_VALUE"""),"Non Urgent")</f>
        <v>Non Urgent</v>
      </c>
    </row>
    <row r="88">
      <c r="A88" s="4">
        <f>IFERROR(__xludf.DUMMYFUNCTION("""COMPUTED_VALUE"""),45755.25746793982)</f>
        <v>45755.25747</v>
      </c>
      <c r="B88" s="3" t="str">
        <f>IFERROR(__xludf.DUMMYFUNCTION("""COMPUTED_VALUE"""),"MFHRO0007")</f>
        <v>MFHRO0007</v>
      </c>
      <c r="C88" s="3" t="str">
        <f>IFERROR(__xludf.DUMMYFUNCTION("""COMPUTED_VALUE"""),"Consumable")</f>
        <v>Consumable</v>
      </c>
      <c r="D88" s="3" t="str">
        <f>IFERROR(__xludf.DUMMYFUNCTION("""COMPUTED_VALUE"""),"-")</f>
        <v>-</v>
      </c>
      <c r="E88" s="3" t="str">
        <f>IFERROR(__xludf.DUMMYFUNCTION("""COMPUTED_VALUE"""),"General")</f>
        <v>General</v>
      </c>
      <c r="F88" s="3" t="str">
        <f>IFERROR(__xludf.DUMMYFUNCTION("""COMPUTED_VALUE"""),"Robot Casepacker - Suction cup; VB17. single below; diameter Cup 17 mm; Vmeca; -; 1 Pc")</f>
        <v>Robot Casepacker - Suction cup; VB17. single below; diameter Cup 17 mm; Vmeca; -; 1 Pc</v>
      </c>
      <c r="G88" s="3">
        <f>IFERROR(__xludf.DUMMYFUNCTION("""COMPUTED_VALUE"""),20.0)</f>
        <v>20</v>
      </c>
      <c r="H88" s="3" t="str">
        <f>IFERROR(__xludf.DUMMYFUNCTION("""COMPUTED_VALUE"""),"pc")</f>
        <v>pc</v>
      </c>
      <c r="I88" s="3" t="str">
        <f>IFERROR(__xludf.DUMMYFUNCTION("""COMPUTED_VALUE"""),"Blanketing Suction Cup PR 121702328")</f>
        <v>Blanketing Suction Cup PR 121702328</v>
      </c>
      <c r="J88" s="3" t="str">
        <f>IFERROR(__xludf.DUMMYFUNCTION("""COMPUTED_VALUE"""),"O-18055-00")</f>
        <v>O-18055-00</v>
      </c>
      <c r="K88" s="3" t="str">
        <f>IFERROR(__xludf.DUMMYFUNCTION("""COMPUTED_VALUE"""),"Approve")</f>
        <v>Approve</v>
      </c>
      <c r="L88" s="3" t="str">
        <f>IFERROR(__xludf.DUMMYFUNCTION("""COMPUTED_VALUE"""),"Normal")</f>
        <v>Normal</v>
      </c>
      <c r="M88" s="3" t="str">
        <f>IFERROR(__xludf.DUMMYFUNCTION("""COMPUTED_VALUE"""),"Non Urgent")</f>
        <v>Non Urgent</v>
      </c>
    </row>
    <row r="89">
      <c r="A89" s="4">
        <f>IFERROR(__xludf.DUMMYFUNCTION("""COMPUTED_VALUE"""),45755.25936387731)</f>
        <v>45755.25936</v>
      </c>
      <c r="B89" s="3" t="str">
        <f>IFERROR(__xludf.DUMMYFUNCTION("""COMPUTED_VALUE"""),"MFHRO0008")</f>
        <v>MFHRO0008</v>
      </c>
      <c r="C89" s="3" t="str">
        <f>IFERROR(__xludf.DUMMYFUNCTION("""COMPUTED_VALUE"""),"Consumable")</f>
        <v>Consumable</v>
      </c>
      <c r="D89" s="3" t="str">
        <f>IFERROR(__xludf.DUMMYFUNCTION("""COMPUTED_VALUE"""),"-")</f>
        <v>-</v>
      </c>
      <c r="E89" s="3" t="str">
        <f>IFERROR(__xludf.DUMMYFUNCTION("""COMPUTED_VALUE"""),"General")</f>
        <v>General</v>
      </c>
      <c r="F89" s="3" t="str">
        <f>IFERROR(__xludf.DUMMYFUNCTION("""COMPUTED_VALUE"""),"Majun AA, No Brand, Budhi Supplies, pack size per kg")</f>
        <v>Majun AA, No Brand, Budhi Supplies, pack size per kg</v>
      </c>
      <c r="G89" s="3">
        <f>IFERROR(__xludf.DUMMYFUNCTION("""COMPUTED_VALUE"""),80.0)</f>
        <v>80</v>
      </c>
      <c r="H89" s="3" t="str">
        <f>IFERROR(__xludf.DUMMYFUNCTION("""COMPUTED_VALUE"""),"Kg")</f>
        <v>Kg</v>
      </c>
      <c r="I89" s="3" t="str">
        <f>IFERROR(__xludf.DUMMYFUNCTION("""COMPUTED_VALUE"""),"Blanketing Majun PR 121702333")</f>
        <v>Blanketing Majun PR 121702333</v>
      </c>
      <c r="J89" s="3" t="str">
        <f>IFERROR(__xludf.DUMMYFUNCTION("""COMPUTED_VALUE"""),"S-11400-00")</f>
        <v>S-11400-00</v>
      </c>
      <c r="K89" s="3" t="str">
        <f>IFERROR(__xludf.DUMMYFUNCTION("""COMPUTED_VALUE"""),"Approve")</f>
        <v>Approve</v>
      </c>
      <c r="L89" s="3" t="str">
        <f>IFERROR(__xludf.DUMMYFUNCTION("""COMPUTED_VALUE"""),"Normal")</f>
        <v>Normal</v>
      </c>
      <c r="M89" s="3" t="str">
        <f>IFERROR(__xludf.DUMMYFUNCTION("""COMPUTED_VALUE"""),"Non Urgent")</f>
        <v>Non Urgent</v>
      </c>
    </row>
    <row r="90">
      <c r="A90" s="4">
        <f>IFERROR(__xludf.DUMMYFUNCTION("""COMPUTED_VALUE"""),45755.26163431713)</f>
        <v>45755.26163</v>
      </c>
      <c r="B90" s="3" t="str">
        <f>IFERROR(__xludf.DUMMYFUNCTION("""COMPUTED_VALUE"""),"MFHRO0009")</f>
        <v>MFHRO0009</v>
      </c>
      <c r="C90" s="3" t="str">
        <f>IFERROR(__xludf.DUMMYFUNCTION("""COMPUTED_VALUE"""),"Consumable")</f>
        <v>Consumable</v>
      </c>
      <c r="D90" s="3" t="str">
        <f>IFERROR(__xludf.DUMMYFUNCTION("""COMPUTED_VALUE"""),"-")</f>
        <v>-</v>
      </c>
      <c r="E90" s="3" t="str">
        <f>IFERROR(__xludf.DUMMYFUNCTION("""COMPUTED_VALUE"""),"General")</f>
        <v>General</v>
      </c>
      <c r="F90" s="3" t="str">
        <f>IFERROR(__xludf.DUMMYFUNCTION("""COMPUTED_VALUE"""),"General - Pre Filter G4 2m x 20m x 2mm; No Brand; -; 1 Pc")</f>
        <v>General - Pre Filter G4 2m x 20m x 2mm; No Brand; -; 1 Pc</v>
      </c>
      <c r="G90" s="3">
        <f>IFERROR(__xludf.DUMMYFUNCTION("""COMPUTED_VALUE"""),1.0)</f>
        <v>1</v>
      </c>
      <c r="H90" s="3" t="str">
        <f>IFERROR(__xludf.DUMMYFUNCTION("""COMPUTED_VALUE"""),"Pc")</f>
        <v>Pc</v>
      </c>
      <c r="I90" s="3" t="str">
        <f>IFERROR(__xludf.DUMMYFUNCTION("""COMPUTED_VALUE"""),"Stok Media Pre filter PR 121702336")</f>
        <v>Stok Media Pre filter PR 121702336</v>
      </c>
      <c r="J90" s="3" t="str">
        <f>IFERROR(__xludf.DUMMYFUNCTION("""COMPUTED_VALUE"""),"P-17347-00")</f>
        <v>P-17347-00</v>
      </c>
      <c r="K90" s="3" t="str">
        <f>IFERROR(__xludf.DUMMYFUNCTION("""COMPUTED_VALUE"""),"Approve")</f>
        <v>Approve</v>
      </c>
      <c r="L90" s="3" t="str">
        <f>IFERROR(__xludf.DUMMYFUNCTION("""COMPUTED_VALUE"""),"Normal")</f>
        <v>Normal</v>
      </c>
      <c r="M90" s="3" t="str">
        <f>IFERROR(__xludf.DUMMYFUNCTION("""COMPUTED_VALUE"""),"Non Urgent")</f>
        <v>Non Urgent</v>
      </c>
    </row>
    <row r="91">
      <c r="A91" s="4">
        <f>IFERROR(__xludf.DUMMYFUNCTION("""COMPUTED_VALUE"""),45755.262467581015)</f>
        <v>45755.26247</v>
      </c>
      <c r="B91" s="3" t="str">
        <f>IFERROR(__xludf.DUMMYFUNCTION("""COMPUTED_VALUE"""),"MFHRO0010")</f>
        <v>MFHRO0010</v>
      </c>
      <c r="C91" s="3" t="str">
        <f>IFERROR(__xludf.DUMMYFUNCTION("""COMPUTED_VALUE"""),"Consumable")</f>
        <v>Consumable</v>
      </c>
      <c r="D91" s="3" t="str">
        <f>IFERROR(__xludf.DUMMYFUNCTION("""COMPUTED_VALUE"""),"-")</f>
        <v>-</v>
      </c>
      <c r="E91" s="3" t="str">
        <f>IFERROR(__xludf.DUMMYFUNCTION("""COMPUTED_VALUE"""),"General")</f>
        <v>General</v>
      </c>
      <c r="F91" s="3" t="str">
        <f>IFERROR(__xludf.DUMMYFUNCTION("""COMPUTED_VALUE"""),"Gas Argon (Ar); 6 M3; Refill; High Purity (HP); Purity ? 99.995%")</f>
        <v>Gas Argon (Ar); 6 M3; Refill; High Purity (HP); Purity ? 99.995%</v>
      </c>
      <c r="G91" s="3">
        <f>IFERROR(__xludf.DUMMYFUNCTION("""COMPUTED_VALUE"""),1.0)</f>
        <v>1</v>
      </c>
      <c r="H91" s="3" t="str">
        <f>IFERROR(__xludf.DUMMYFUNCTION("""COMPUTED_VALUE"""),"Tube")</f>
        <v>Tube</v>
      </c>
      <c r="I91" s="3" t="str">
        <f>IFERROR(__xludf.DUMMYFUNCTION("""COMPUTED_VALUE"""),"Stok gas Argon PR 121702337")</f>
        <v>Stok gas Argon PR 121702337</v>
      </c>
      <c r="J91" s="3" t="str">
        <f>IFERROR(__xludf.DUMMYFUNCTION("""COMPUTED_VALUE"""),"S-62036-00")</f>
        <v>S-62036-00</v>
      </c>
      <c r="K91" s="3" t="str">
        <f>IFERROR(__xludf.DUMMYFUNCTION("""COMPUTED_VALUE"""),"Approve")</f>
        <v>Approve</v>
      </c>
      <c r="L91" s="3" t="str">
        <f>IFERROR(__xludf.DUMMYFUNCTION("""COMPUTED_VALUE"""),"Normal")</f>
        <v>Normal</v>
      </c>
      <c r="M91" s="3" t="str">
        <f>IFERROR(__xludf.DUMMYFUNCTION("""COMPUTED_VALUE"""),"Non Urgent")</f>
        <v>Non Urgent</v>
      </c>
    </row>
    <row r="92">
      <c r="A92" s="4">
        <f>IFERROR(__xludf.DUMMYFUNCTION("""COMPUTED_VALUE"""),45755.33000243056)</f>
        <v>45755.33</v>
      </c>
      <c r="B92" s="3" t="str">
        <f>IFERROR(__xludf.DUMMYFUNCTION("""COMPUTED_VALUE"""),"MFHRO0011")</f>
        <v>MFHRO0011</v>
      </c>
      <c r="C92" s="3" t="str">
        <f>IFERROR(__xludf.DUMMYFUNCTION("""COMPUTED_VALUE"""),"MIn Stok")</f>
        <v>MIn Stok</v>
      </c>
      <c r="D92" s="3" t="str">
        <f>IFERROR(__xludf.DUMMYFUNCTION("""COMPUTED_VALUE"""),"-")</f>
        <v>-</v>
      </c>
      <c r="E92" s="3" t="str">
        <f>IFERROR(__xludf.DUMMYFUNCTION("""COMPUTED_VALUE"""),"Tunnel")</f>
        <v>Tunnel</v>
      </c>
      <c r="F92" s="3" t="str">
        <f>IFERROR(__xludf.DUMMYFUNCTION("""COMPUTED_VALUE"""),"Tunnel ST1L - Silicone Inflatable Gasket AIRMATIC AIR 1055 MVQ Centre length:1312 mm; ; ;")</f>
        <v>Tunnel ST1L - Silicone Inflatable Gasket AIRMATIC AIR 1055 MVQ Centre length:1312 mm; ; ;</v>
      </c>
      <c r="G92" s="3">
        <f>IFERROR(__xludf.DUMMYFUNCTION("""COMPUTED_VALUE"""),2.0)</f>
        <v>2</v>
      </c>
      <c r="H92" s="3" t="str">
        <f>IFERROR(__xludf.DUMMYFUNCTION("""COMPUTED_VALUE"""),"Pc")</f>
        <v>Pc</v>
      </c>
      <c r="I92" s="3" t="str">
        <f>IFERROR(__xludf.DUMMYFUNCTION("""COMPUTED_VALUE"""),"Min Stok Inflatable Gasket PR 121702440")</f>
        <v>Min Stok Inflatable Gasket PR 121702440</v>
      </c>
      <c r="J92" s="3" t="str">
        <f>IFERROR(__xludf.DUMMYFUNCTION("""COMPUTED_VALUE"""),"O-18347-00")</f>
        <v>O-18347-00</v>
      </c>
      <c r="K92" s="3" t="str">
        <f>IFERROR(__xludf.DUMMYFUNCTION("""COMPUTED_VALUE"""),"Approve")</f>
        <v>Approve</v>
      </c>
      <c r="L92" s="3" t="str">
        <f>IFERROR(__xludf.DUMMYFUNCTION("""COMPUTED_VALUE"""),"Normal")</f>
        <v>Normal</v>
      </c>
      <c r="M92" s="3" t="str">
        <f>IFERROR(__xludf.DUMMYFUNCTION("""COMPUTED_VALUE"""),"Non Urgent")</f>
        <v>Non Urgent</v>
      </c>
    </row>
    <row r="93">
      <c r="A93" s="4">
        <f>IFERROR(__xludf.DUMMYFUNCTION("""COMPUTED_VALUE"""),45755.33160991898)</f>
        <v>45755.33161</v>
      </c>
      <c r="B93" s="3" t="str">
        <f>IFERROR(__xludf.DUMMYFUNCTION("""COMPUTED_VALUE"""),"MFHRO0012")</f>
        <v>MFHRO0012</v>
      </c>
      <c r="C93" s="3" t="str">
        <f>IFERROR(__xludf.DUMMYFUNCTION("""COMPUTED_VALUE"""),"MIn Stok")</f>
        <v>MIn Stok</v>
      </c>
      <c r="D93" s="3" t="str">
        <f>IFERROR(__xludf.DUMMYFUNCTION("""COMPUTED_VALUE"""),"-")</f>
        <v>-</v>
      </c>
      <c r="E93" s="3" t="str">
        <f>IFERROR(__xludf.DUMMYFUNCTION("""COMPUTED_VALUE"""),"cRABS")</f>
        <v>cRABS</v>
      </c>
      <c r="F93" s="3" t="str">
        <f>IFERROR(__xludf.DUMMYFUNCTION("""COMPUTED_VALUE"""),"cRABS z064CR - Pressure Transmitter 0-500 Pa P-Sensor/PIZ (2 wires); Steriline; 20075; 1 pc")</f>
        <v>cRABS z064CR - Pressure Transmitter 0-500 Pa P-Sensor/PIZ (2 wires); Steriline; 20075; 1 pc</v>
      </c>
      <c r="G93" s="3">
        <f>IFERROR(__xludf.DUMMYFUNCTION("""COMPUTED_VALUE"""),1.0)</f>
        <v>1</v>
      </c>
      <c r="H93" s="3" t="str">
        <f>IFERROR(__xludf.DUMMYFUNCTION("""COMPUTED_VALUE"""),"Pc")</f>
        <v>Pc</v>
      </c>
      <c r="I93" s="3" t="str">
        <f>IFERROR(__xludf.DUMMYFUNCTION("""COMPUTED_VALUE"""),"Min Stok Pressure Transmitter PR 121702440")</f>
        <v>Min Stok Pressure Transmitter PR 121702440</v>
      </c>
      <c r="J93" s="3" t="str">
        <f>IFERROR(__xludf.DUMMYFUNCTION("""COMPUTED_VALUE"""),"O-53194-00")</f>
        <v>O-53194-00</v>
      </c>
      <c r="K93" s="3" t="str">
        <f>IFERROR(__xludf.DUMMYFUNCTION("""COMPUTED_VALUE"""),"Approve")</f>
        <v>Approve</v>
      </c>
      <c r="L93" s="3" t="str">
        <f>IFERROR(__xludf.DUMMYFUNCTION("""COMPUTED_VALUE"""),"Normal")</f>
        <v>Normal</v>
      </c>
      <c r="M93" s="3" t="str">
        <f>IFERROR(__xludf.DUMMYFUNCTION("""COMPUTED_VALUE"""),"Non Urgent")</f>
        <v>Non Urgent</v>
      </c>
    </row>
    <row r="94">
      <c r="A94" s="4">
        <f>IFERROR(__xludf.DUMMYFUNCTION("""COMPUTED_VALUE"""),45755.33226079861)</f>
        <v>45755.33226</v>
      </c>
      <c r="B94" s="3" t="str">
        <f>IFERROR(__xludf.DUMMYFUNCTION("""COMPUTED_VALUE"""),"MFHRO0013")</f>
        <v>MFHRO0013</v>
      </c>
      <c r="C94" s="3" t="str">
        <f>IFERROR(__xludf.DUMMYFUNCTION("""COMPUTED_VALUE"""),"MIn Stok")</f>
        <v>MIn Stok</v>
      </c>
      <c r="D94" s="3" t="str">
        <f>IFERROR(__xludf.DUMMYFUNCTION("""COMPUTED_VALUE"""),"-")</f>
        <v>-</v>
      </c>
      <c r="E94" s="3" t="str">
        <f>IFERROR(__xludf.DUMMYFUNCTION("""COMPUTED_VALUE"""),"Tunnel")</f>
        <v>Tunnel</v>
      </c>
      <c r="F94" s="3" t="str">
        <f>IFERROR(__xludf.DUMMYFUNCTION("""COMPUTED_VALUE"""),"Tunnel ST1L - Heating Element 75W-230Vac D 10mm L 120mm Gkass Fiber Cable 400C 2.5m; Steriline; 4462; 1 pc")</f>
        <v>Tunnel ST1L - Heating Element 75W-230Vac D 10mm L 120mm Gkass Fiber Cable 400C 2.5m; Steriline; 4462; 1 pc</v>
      </c>
      <c r="G94" s="3">
        <f>IFERROR(__xludf.DUMMYFUNCTION("""COMPUTED_VALUE"""),1.0)</f>
        <v>1</v>
      </c>
      <c r="H94" s="3" t="str">
        <f>IFERROR(__xludf.DUMMYFUNCTION("""COMPUTED_VALUE"""),"Pc")</f>
        <v>Pc</v>
      </c>
      <c r="I94" s="3" t="str">
        <f>IFERROR(__xludf.DUMMYFUNCTION("""COMPUTED_VALUE"""),"Min Stok Heater Tunnel PR 121702440")</f>
        <v>Min Stok Heater Tunnel PR 121702440</v>
      </c>
      <c r="J94" s="3" t="str">
        <f>IFERROR(__xludf.DUMMYFUNCTION("""COMPUTED_VALUE"""),"O-53196-00")</f>
        <v>O-53196-00</v>
      </c>
      <c r="K94" s="3" t="str">
        <f>IFERROR(__xludf.DUMMYFUNCTION("""COMPUTED_VALUE"""),"Approve")</f>
        <v>Approve</v>
      </c>
      <c r="L94" s="3" t="str">
        <f>IFERROR(__xludf.DUMMYFUNCTION("""COMPUTED_VALUE"""),"Normal")</f>
        <v>Normal</v>
      </c>
      <c r="M94" s="3" t="str">
        <f>IFERROR(__xludf.DUMMYFUNCTION("""COMPUTED_VALUE"""),"Non Urgent")</f>
        <v>Non Urgent</v>
      </c>
    </row>
    <row r="95">
      <c r="A95" s="4">
        <f>IFERROR(__xludf.DUMMYFUNCTION("""COMPUTED_VALUE"""),45755.333980474534)</f>
        <v>45755.33398</v>
      </c>
      <c r="B95" s="3" t="str">
        <f>IFERROR(__xludf.DUMMYFUNCTION("""COMPUTED_VALUE"""),"MFHRO0014")</f>
        <v>MFHRO0014</v>
      </c>
      <c r="C95" s="3" t="str">
        <f>IFERROR(__xludf.DUMMYFUNCTION("""COMPUTED_VALUE"""),"MIn Stok")</f>
        <v>MIn Stok</v>
      </c>
      <c r="D95" s="3" t="str">
        <f>IFERROR(__xludf.DUMMYFUNCTION("""COMPUTED_VALUE"""),"-")</f>
        <v>-</v>
      </c>
      <c r="E95" s="3" t="str">
        <f>IFERROR(__xludf.DUMMYFUNCTION("""COMPUTED_VALUE"""),"Tunnel")</f>
        <v>Tunnel</v>
      </c>
      <c r="F95" s="3" t="str">
        <f>IFERROR(__xludf.DUMMYFUNCTION("""COMPUTED_VALUE"""),"Tunnel ST1L - Heater for Tight Door 500W-230V Stainless H 60mm L 455mm T 5mm Cable L 2m; Steriline; 6763; 1 pc")</f>
        <v>Tunnel ST1L - Heater for Tight Door 500W-230V Stainless H 60mm L 455mm T 5mm Cable L 2m; Steriline; 6763; 1 pc</v>
      </c>
      <c r="G95" s="3">
        <f>IFERROR(__xludf.DUMMYFUNCTION("""COMPUTED_VALUE"""),1.0)</f>
        <v>1</v>
      </c>
      <c r="H95" s="3" t="str">
        <f>IFERROR(__xludf.DUMMYFUNCTION("""COMPUTED_VALUE"""),"Pc")</f>
        <v>Pc</v>
      </c>
      <c r="I95" s="3" t="str">
        <f>IFERROR(__xludf.DUMMYFUNCTION("""COMPUTED_VALUE"""),"Min Stok Heater Tunnel PR 121702440")</f>
        <v>Min Stok Heater Tunnel PR 121702440</v>
      </c>
      <c r="J95" s="3" t="str">
        <f>IFERROR(__xludf.DUMMYFUNCTION("""COMPUTED_VALUE"""),"O-53195-00")</f>
        <v>O-53195-00</v>
      </c>
      <c r="K95" s="3" t="str">
        <f>IFERROR(__xludf.DUMMYFUNCTION("""COMPUTED_VALUE"""),"Approve")</f>
        <v>Approve</v>
      </c>
      <c r="L95" s="3" t="str">
        <f>IFERROR(__xludf.DUMMYFUNCTION("""COMPUTED_VALUE"""),"Normal")</f>
        <v>Normal</v>
      </c>
      <c r="M95" s="3" t="str">
        <f>IFERROR(__xludf.DUMMYFUNCTION("""COMPUTED_VALUE"""),"Non Urgent")</f>
        <v>Non Urgent</v>
      </c>
    </row>
    <row r="96">
      <c r="A96" s="4">
        <f>IFERROR(__xludf.DUMMYFUNCTION("""COMPUTED_VALUE"""),45755.376629907405)</f>
        <v>45755.37663</v>
      </c>
      <c r="B96" s="3" t="str">
        <f>IFERROR(__xludf.DUMMYFUNCTION("""COMPUTED_VALUE"""),"MFHRO0015")</f>
        <v>MFHRO0015</v>
      </c>
      <c r="C96" s="3" t="str">
        <f>IFERROR(__xludf.DUMMYFUNCTION("""COMPUTED_VALUE"""),"MIn Stok")</f>
        <v>MIn Stok</v>
      </c>
      <c r="D96" s="3" t="str">
        <f>IFERROR(__xludf.DUMMYFUNCTION("""COMPUTED_VALUE"""),"-")</f>
        <v>-</v>
      </c>
      <c r="E96" s="3" t="str">
        <f>IFERROR(__xludf.DUMMYFUNCTION("""COMPUTED_VALUE"""),"Tunnel")</f>
        <v>Tunnel</v>
      </c>
      <c r="F96" s="3" t="str">
        <f>IFERROR(__xludf.DUMMYFUNCTION("""COMPUTED_VALUE"""),"Tunnel ST1L - Pressure Transmitter 0-250Pa output 4-20 P-Sensor/PIZ (2 Wires); Steriline; 12320; 1 pc")</f>
        <v>Tunnel ST1L - Pressure Transmitter 0-250Pa output 4-20 P-Sensor/PIZ (2 Wires); Steriline; 12320; 1 pc</v>
      </c>
      <c r="G96" s="3">
        <f>IFERROR(__xludf.DUMMYFUNCTION("""COMPUTED_VALUE"""),1.0)</f>
        <v>1</v>
      </c>
      <c r="H96" s="3" t="str">
        <f>IFERROR(__xludf.DUMMYFUNCTION("""COMPUTED_VALUE"""),"Pc")</f>
        <v>Pc</v>
      </c>
      <c r="I96" s="3" t="str">
        <f>IFERROR(__xludf.DUMMYFUNCTION("""COMPUTED_VALUE"""),"Min Stok Pressure Transmitter Tunnel PR 121702440")</f>
        <v>Min Stok Pressure Transmitter Tunnel PR 121702440</v>
      </c>
      <c r="J96" s="3" t="str">
        <f>IFERROR(__xludf.DUMMYFUNCTION("""COMPUTED_VALUE"""),"O-53197-00")</f>
        <v>O-53197-00</v>
      </c>
      <c r="K96" s="3" t="str">
        <f>IFERROR(__xludf.DUMMYFUNCTION("""COMPUTED_VALUE"""),"Approve")</f>
        <v>Approve</v>
      </c>
      <c r="L96" s="3" t="str">
        <f>IFERROR(__xludf.DUMMYFUNCTION("""COMPUTED_VALUE"""),"Normal")</f>
        <v>Normal</v>
      </c>
      <c r="M96" s="3" t="str">
        <f>IFERROR(__xludf.DUMMYFUNCTION("""COMPUTED_VALUE"""),"Non Urgent")</f>
        <v>Non Urgent</v>
      </c>
    </row>
    <row r="97">
      <c r="A97" s="4">
        <f>IFERROR(__xludf.DUMMYFUNCTION("""COMPUTED_VALUE"""),45755.378147881944)</f>
        <v>45755.37815</v>
      </c>
      <c r="B97" s="3" t="str">
        <f>IFERROR(__xludf.DUMMYFUNCTION("""COMPUTED_VALUE"""),"MFHRO0016")</f>
        <v>MFHRO0016</v>
      </c>
      <c r="C97" s="3" t="str">
        <f>IFERROR(__xludf.DUMMYFUNCTION("""COMPUTED_VALUE"""),"MIn Stok")</f>
        <v>MIn Stok</v>
      </c>
      <c r="D97" s="3" t="str">
        <f>IFERROR(__xludf.DUMMYFUNCTION("""COMPUTED_VALUE"""),"-")</f>
        <v>-</v>
      </c>
      <c r="E97" s="3" t="str">
        <f>IFERROR(__xludf.DUMMYFUNCTION("""COMPUTED_VALUE"""),"Tunnel")</f>
        <v>Tunnel</v>
      </c>
      <c r="F97" s="3" t="str">
        <f>IFERROR(__xludf.DUMMYFUNCTION("""COMPUTED_VALUE"""),"Tunnel ST1L - Pressure Transmitter 0-100Pa output 4-20 P-Sensor-PIZ (2 Wires); Steriline; 1667; 1 pc")</f>
        <v>Tunnel ST1L - Pressure Transmitter 0-100Pa output 4-20 P-Sensor-PIZ (2 Wires); Steriline; 1667; 1 pc</v>
      </c>
      <c r="G97" s="3">
        <f>IFERROR(__xludf.DUMMYFUNCTION("""COMPUTED_VALUE"""),1.0)</f>
        <v>1</v>
      </c>
      <c r="H97" s="3" t="str">
        <f>IFERROR(__xludf.DUMMYFUNCTION("""COMPUTED_VALUE"""),"Pc")</f>
        <v>Pc</v>
      </c>
      <c r="I97" s="3" t="str">
        <f>IFERROR(__xludf.DUMMYFUNCTION("""COMPUTED_VALUE"""),"Min Stok Pressure Transmitter Tunnel PR 121702440")</f>
        <v>Min Stok Pressure Transmitter Tunnel PR 121702440</v>
      </c>
      <c r="J97" s="3" t="str">
        <f>IFERROR(__xludf.DUMMYFUNCTION("""COMPUTED_VALUE"""),"O-53198-00")</f>
        <v>O-53198-00</v>
      </c>
      <c r="K97" s="3" t="str">
        <f>IFERROR(__xludf.DUMMYFUNCTION("""COMPUTED_VALUE"""),"Approve")</f>
        <v>Approve</v>
      </c>
      <c r="L97" s="3" t="str">
        <f>IFERROR(__xludf.DUMMYFUNCTION("""COMPUTED_VALUE"""),"Normal")</f>
        <v>Normal</v>
      </c>
      <c r="M97" s="3" t="str">
        <f>IFERROR(__xludf.DUMMYFUNCTION("""COMPUTED_VALUE"""),"Non Urgent")</f>
        <v>Non Urgent</v>
      </c>
    </row>
    <row r="98">
      <c r="A98" s="4">
        <f>IFERROR(__xludf.DUMMYFUNCTION("""COMPUTED_VALUE"""),45755.3786365162)</f>
        <v>45755.37864</v>
      </c>
      <c r="B98" s="3" t="str">
        <f>IFERROR(__xludf.DUMMYFUNCTION("""COMPUTED_VALUE"""),"MFHRO0017")</f>
        <v>MFHRO0017</v>
      </c>
      <c r="C98" s="3" t="str">
        <f>IFERROR(__xludf.DUMMYFUNCTION("""COMPUTED_VALUE"""),"MIn Stok")</f>
        <v>MIn Stok</v>
      </c>
      <c r="D98" s="3" t="str">
        <f>IFERROR(__xludf.DUMMYFUNCTION("""COMPUTED_VALUE"""),"-")</f>
        <v>-</v>
      </c>
      <c r="E98" s="3" t="str">
        <f>IFERROR(__xludf.DUMMYFUNCTION("""COMPUTED_VALUE"""),"Tunnel")</f>
        <v>Tunnel</v>
      </c>
      <c r="F98" s="3" t="str">
        <f>IFERROR(__xludf.DUMMYFUNCTION("""COMPUTED_VALUE"""),"Tunnel ST1L - Gear Motor N100/SO-UFR1 24VAC 50Hz Torque 4Nm Speed 2 U (R1:250; Steriline; 19474; 1 pc")</f>
        <v>Tunnel ST1L - Gear Motor N100/SO-UFR1 24VAC 50Hz Torque 4Nm Speed 2 U (R1:250; Steriline; 19474; 1 pc</v>
      </c>
      <c r="G98" s="3">
        <f>IFERROR(__xludf.DUMMYFUNCTION("""COMPUTED_VALUE"""),2.0)</f>
        <v>2</v>
      </c>
      <c r="H98" s="3" t="str">
        <f>IFERROR(__xludf.DUMMYFUNCTION("""COMPUTED_VALUE"""),"Pc")</f>
        <v>Pc</v>
      </c>
      <c r="I98" s="3" t="str">
        <f>IFERROR(__xludf.DUMMYFUNCTION("""COMPUTED_VALUE"""),"Min Stok Motor pintu Tunnel PR 121702440")</f>
        <v>Min Stok Motor pintu Tunnel PR 121702440</v>
      </c>
      <c r="J98" s="3" t="str">
        <f>IFERROR(__xludf.DUMMYFUNCTION("""COMPUTED_VALUE"""),"O-53199-00")</f>
        <v>O-53199-00</v>
      </c>
      <c r="K98" s="3" t="str">
        <f>IFERROR(__xludf.DUMMYFUNCTION("""COMPUTED_VALUE"""),"Approve")</f>
        <v>Approve</v>
      </c>
      <c r="L98" s="3" t="str">
        <f>IFERROR(__xludf.DUMMYFUNCTION("""COMPUTED_VALUE"""),"Normal")</f>
        <v>Normal</v>
      </c>
      <c r="M98" s="3" t="str">
        <f>IFERROR(__xludf.DUMMYFUNCTION("""COMPUTED_VALUE"""),"Non Urgent")</f>
        <v>Non Urgent</v>
      </c>
    </row>
    <row r="99">
      <c r="A99" s="4">
        <f>IFERROR(__xludf.DUMMYFUNCTION("""COMPUTED_VALUE"""),45755.38176986111)</f>
        <v>45755.38177</v>
      </c>
      <c r="B99" s="3" t="str">
        <f>IFERROR(__xludf.DUMMYFUNCTION("""COMPUTED_VALUE"""),"MFHRO0018")</f>
        <v>MFHRO0018</v>
      </c>
      <c r="C99" s="3" t="str">
        <f>IFERROR(__xludf.DUMMYFUNCTION("""COMPUTED_VALUE"""),"MIn Stok")</f>
        <v>MIn Stok</v>
      </c>
      <c r="D99" s="3" t="str">
        <f>IFERROR(__xludf.DUMMYFUNCTION("""COMPUTED_VALUE"""),"-")</f>
        <v>-</v>
      </c>
      <c r="E99" s="3" t="str">
        <f>IFERROR(__xludf.DUMMYFUNCTION("""COMPUTED_VALUE"""),"Tunnel")</f>
        <v>Tunnel</v>
      </c>
      <c r="F99" s="3" t="str">
        <f>IFERROR(__xludf.DUMMYFUNCTION("""COMPUTED_VALUE"""),"Tunnel ST1L - Gear Motor N100/So-UFR1 24Vac 50Hz 15Nm 0.5U/min (R1:1000) Metal Cover; Steriline; 19475; 1 pc")</f>
        <v>Tunnel ST1L - Gear Motor N100/So-UFR1 24Vac 50Hz 15Nm 0.5U/min (R1:1000) Metal Cover; Steriline; 19475; 1 pc</v>
      </c>
      <c r="G99" s="3">
        <f>IFERROR(__xludf.DUMMYFUNCTION("""COMPUTED_VALUE"""),1.0)</f>
        <v>1</v>
      </c>
      <c r="H99" s="3" t="str">
        <f>IFERROR(__xludf.DUMMYFUNCTION("""COMPUTED_VALUE"""),"Pc")</f>
        <v>Pc</v>
      </c>
      <c r="I99" s="3" t="str">
        <f>IFERROR(__xludf.DUMMYFUNCTION("""COMPUTED_VALUE"""),"Min Stok Motor pintu Tunnel PR 121702440")</f>
        <v>Min Stok Motor pintu Tunnel PR 121702440</v>
      </c>
      <c r="J99" s="3" t="str">
        <f>IFERROR(__xludf.DUMMYFUNCTION("""COMPUTED_VALUE"""),"O-53200-00")</f>
        <v>O-53200-00</v>
      </c>
      <c r="K99" s="3" t="str">
        <f>IFERROR(__xludf.DUMMYFUNCTION("""COMPUTED_VALUE"""),"Approve")</f>
        <v>Approve</v>
      </c>
      <c r="L99" s="3" t="str">
        <f>IFERROR(__xludf.DUMMYFUNCTION("""COMPUTED_VALUE"""),"Normal")</f>
        <v>Normal</v>
      </c>
      <c r="M99" s="3" t="str">
        <f>IFERROR(__xludf.DUMMYFUNCTION("""COMPUTED_VALUE"""),"Non Urgent")</f>
        <v>Non Urgent</v>
      </c>
    </row>
    <row r="100">
      <c r="A100" s="4">
        <f>IFERROR(__xludf.DUMMYFUNCTION("""COMPUTED_VALUE"""),45755.38263226852)</f>
        <v>45755.38263</v>
      </c>
      <c r="B100" s="3" t="str">
        <f>IFERROR(__xludf.DUMMYFUNCTION("""COMPUTED_VALUE"""),"MFHRO0019")</f>
        <v>MFHRO0019</v>
      </c>
      <c r="C100" s="3" t="str">
        <f>IFERROR(__xludf.DUMMYFUNCTION("""COMPUTED_VALUE"""),"Consumable")</f>
        <v>Consumable</v>
      </c>
      <c r="D100" s="3" t="str">
        <f>IFERROR(__xludf.DUMMYFUNCTION("""COMPUTED_VALUE"""),"-")</f>
        <v>-</v>
      </c>
      <c r="E100" s="3" t="str">
        <f>IFERROR(__xludf.DUMMYFUNCTION("""COMPUTED_VALUE"""),"General")</f>
        <v>General</v>
      </c>
      <c r="F100" s="3" t="str">
        <f>IFERROR(__xludf.DUMMYFUNCTION("""COMPUTED_VALUE"""),"EPDM Gasket for Ferrule dia. 1/2"" - P/N : -  pc")</f>
        <v>EPDM Gasket for Ferrule dia. 1/2" - P/N : -  pc</v>
      </c>
      <c r="G100" s="3">
        <f>IFERROR(__xludf.DUMMYFUNCTION("""COMPUTED_VALUE"""),50.0)</f>
        <v>50</v>
      </c>
      <c r="H100" s="3" t="str">
        <f>IFERROR(__xludf.DUMMYFUNCTION("""COMPUTED_VALUE"""),"Pc")</f>
        <v>Pc</v>
      </c>
      <c r="I100" s="3" t="str">
        <f>IFERROR(__xludf.DUMMYFUNCTION("""COMPUTED_VALUE"""),"Consumable Gasket Ferrule EPDM PR 121702442")</f>
        <v>Consumable Gasket Ferrule EPDM PR 121702442</v>
      </c>
      <c r="J100" s="3" t="str">
        <f>IFERROR(__xludf.DUMMYFUNCTION("""COMPUTED_VALUE"""),"O-14639-00")</f>
        <v>O-14639-00</v>
      </c>
      <c r="K100" s="3" t="str">
        <f>IFERROR(__xludf.DUMMYFUNCTION("""COMPUTED_VALUE"""),"Approve")</f>
        <v>Approve</v>
      </c>
      <c r="L100" s="3" t="str">
        <f>IFERROR(__xludf.DUMMYFUNCTION("""COMPUTED_VALUE"""),"Normal")</f>
        <v>Normal</v>
      </c>
      <c r="M100" s="3" t="str">
        <f>IFERROR(__xludf.DUMMYFUNCTION("""COMPUTED_VALUE"""),"Non Urgent")</f>
        <v>Non Urgent</v>
      </c>
    </row>
    <row r="101">
      <c r="A101" s="4">
        <f>IFERROR(__xludf.DUMMYFUNCTION("""COMPUTED_VALUE"""),45755.383381527776)</f>
        <v>45755.38338</v>
      </c>
      <c r="B101" s="3" t="str">
        <f>IFERROR(__xludf.DUMMYFUNCTION("""COMPUTED_VALUE"""),"MFHRO0020")</f>
        <v>MFHRO0020</v>
      </c>
      <c r="C101" s="3" t="str">
        <f>IFERROR(__xludf.DUMMYFUNCTION("""COMPUTED_VALUE"""),"Consumable")</f>
        <v>Consumable</v>
      </c>
      <c r="D101" s="3" t="str">
        <f>IFERROR(__xludf.DUMMYFUNCTION("""COMPUTED_VALUE"""),"-")</f>
        <v>-</v>
      </c>
      <c r="E101" s="3" t="str">
        <f>IFERROR(__xludf.DUMMYFUNCTION("""COMPUTED_VALUE"""),"General")</f>
        <v>General</v>
      </c>
      <c r="F101" s="3" t="str">
        <f>IFERROR(__xludf.DUMMYFUNCTION("""COMPUTED_VALUE"""),"General - Silicone Gasket for Ferrule dia. 1""; -; -; 1 Pc")</f>
        <v>General - Silicone Gasket for Ferrule dia. 1"; -; -; 1 Pc</v>
      </c>
      <c r="G101" s="3">
        <f>IFERROR(__xludf.DUMMYFUNCTION("""COMPUTED_VALUE"""),30.0)</f>
        <v>30</v>
      </c>
      <c r="H101" s="3" t="str">
        <f>IFERROR(__xludf.DUMMYFUNCTION("""COMPUTED_VALUE"""),"Pc")</f>
        <v>Pc</v>
      </c>
      <c r="I101" s="3" t="str">
        <f>IFERROR(__xludf.DUMMYFUNCTION("""COMPUTED_VALUE"""),"Consumable Gasket Silicone PR 121702442")</f>
        <v>Consumable Gasket Silicone PR 121702442</v>
      </c>
      <c r="J101" s="3" t="str">
        <f>IFERROR(__xludf.DUMMYFUNCTION("""COMPUTED_VALUE"""),"O-14641-00")</f>
        <v>O-14641-00</v>
      </c>
      <c r="K101" s="3" t="str">
        <f>IFERROR(__xludf.DUMMYFUNCTION("""COMPUTED_VALUE"""),"Approve")</f>
        <v>Approve</v>
      </c>
      <c r="L101" s="3" t="str">
        <f>IFERROR(__xludf.DUMMYFUNCTION("""COMPUTED_VALUE"""),"Normal")</f>
        <v>Normal</v>
      </c>
      <c r="M101" s="3" t="str">
        <f>IFERROR(__xludf.DUMMYFUNCTION("""COMPUTED_VALUE"""),"Non Urgent")</f>
        <v>Non Urgent</v>
      </c>
    </row>
    <row r="102">
      <c r="A102" s="4">
        <f>IFERROR(__xludf.DUMMYFUNCTION("""COMPUTED_VALUE"""),45755.38571625)</f>
        <v>45755.38572</v>
      </c>
      <c r="B102" s="3" t="str">
        <f>IFERROR(__xludf.DUMMYFUNCTION("""COMPUTED_VALUE"""),"MFHRO0021")</f>
        <v>MFHRO0021</v>
      </c>
      <c r="C102" s="3" t="str">
        <f>IFERROR(__xludf.DUMMYFUNCTION("""COMPUTED_VALUE"""),"Consumable")</f>
        <v>Consumable</v>
      </c>
      <c r="D102" s="3" t="str">
        <f>IFERROR(__xludf.DUMMYFUNCTION("""COMPUTED_VALUE"""),"-")</f>
        <v>-</v>
      </c>
      <c r="E102" s="3" t="str">
        <f>IFERROR(__xludf.DUMMYFUNCTION("""COMPUTED_VALUE"""),"General")</f>
        <v>General</v>
      </c>
      <c r="F102" s="3" t="str">
        <f>IFERROR(__xludf.DUMMYFUNCTION("""COMPUTED_VALUE"""),"Silicone gasket for ferrule dia 1 1/2inch Taiwan")</f>
        <v>Silicone gasket for ferrule dia 1 1/2inch Taiwan</v>
      </c>
      <c r="G102" s="3">
        <f>IFERROR(__xludf.DUMMYFUNCTION("""COMPUTED_VALUE"""),30.0)</f>
        <v>30</v>
      </c>
      <c r="H102" s="3" t="str">
        <f>IFERROR(__xludf.DUMMYFUNCTION("""COMPUTED_VALUE"""),"Pc")</f>
        <v>Pc</v>
      </c>
      <c r="I102" s="3" t="str">
        <f>IFERROR(__xludf.DUMMYFUNCTION("""COMPUTED_VALUE"""),"Consumable Gasket Silicone PR 121702442")</f>
        <v>Consumable Gasket Silicone PR 121702442</v>
      </c>
      <c r="J102" s="3" t="str">
        <f>IFERROR(__xludf.DUMMYFUNCTION("""COMPUTED_VALUE"""),"P-12763-00")</f>
        <v>P-12763-00</v>
      </c>
      <c r="K102" s="3" t="str">
        <f>IFERROR(__xludf.DUMMYFUNCTION("""COMPUTED_VALUE"""),"Approve")</f>
        <v>Approve</v>
      </c>
      <c r="L102" s="3" t="str">
        <f>IFERROR(__xludf.DUMMYFUNCTION("""COMPUTED_VALUE"""),"Normal")</f>
        <v>Normal</v>
      </c>
      <c r="M102" s="3" t="str">
        <f>IFERROR(__xludf.DUMMYFUNCTION("""COMPUTED_VALUE"""),"Non Urgent")</f>
        <v>Non Urgent</v>
      </c>
    </row>
    <row r="103">
      <c r="A103" s="4">
        <f>IFERROR(__xludf.DUMMYFUNCTION("""COMPUTED_VALUE"""),45755.386306203705)</f>
        <v>45755.38631</v>
      </c>
      <c r="B103" s="3" t="str">
        <f>IFERROR(__xludf.DUMMYFUNCTION("""COMPUTED_VALUE"""),"MFHRO0022")</f>
        <v>MFHRO0022</v>
      </c>
      <c r="C103" s="3" t="str">
        <f>IFERROR(__xludf.DUMMYFUNCTION("""COMPUTED_VALUE"""),"Consumable")</f>
        <v>Consumable</v>
      </c>
      <c r="D103" s="3" t="str">
        <f>IFERROR(__xludf.DUMMYFUNCTION("""COMPUTED_VALUE"""),"-")</f>
        <v>-</v>
      </c>
      <c r="E103" s="3" t="str">
        <f>IFERROR(__xludf.DUMMYFUNCTION("""COMPUTED_VALUE"""),"General")</f>
        <v>General</v>
      </c>
      <c r="F103" s="3" t="str">
        <f>IFERROR(__xludf.DUMMYFUNCTION("""COMPUTED_VALUE"""),"Silicone gasket for ferrule dia 2inch Taiwan")</f>
        <v>Silicone gasket for ferrule dia 2inch Taiwan</v>
      </c>
      <c r="G103" s="3">
        <f>IFERROR(__xludf.DUMMYFUNCTION("""COMPUTED_VALUE"""),20.0)</f>
        <v>20</v>
      </c>
      <c r="H103" s="3" t="str">
        <f>IFERROR(__xludf.DUMMYFUNCTION("""COMPUTED_VALUE"""),"Pc")</f>
        <v>Pc</v>
      </c>
      <c r="I103" s="3" t="str">
        <f>IFERROR(__xludf.DUMMYFUNCTION("""COMPUTED_VALUE"""),"Consumable Gasket Silicone PR 121702442")</f>
        <v>Consumable Gasket Silicone PR 121702442</v>
      </c>
      <c r="J103" s="3" t="str">
        <f>IFERROR(__xludf.DUMMYFUNCTION("""COMPUTED_VALUE"""),"P-12765-00")</f>
        <v>P-12765-00</v>
      </c>
      <c r="K103" s="3" t="str">
        <f>IFERROR(__xludf.DUMMYFUNCTION("""COMPUTED_VALUE"""),"Approve")</f>
        <v>Approve</v>
      </c>
      <c r="L103" s="3" t="str">
        <f>IFERROR(__xludf.DUMMYFUNCTION("""COMPUTED_VALUE"""),"Normal")</f>
        <v>Normal</v>
      </c>
      <c r="M103" s="3" t="str">
        <f>IFERROR(__xludf.DUMMYFUNCTION("""COMPUTED_VALUE"""),"Non Urgent")</f>
        <v>Non Urgent</v>
      </c>
    </row>
    <row r="104">
      <c r="A104" s="4">
        <f>IFERROR(__xludf.DUMMYFUNCTION("""COMPUTED_VALUE"""),45755.38758525463)</f>
        <v>45755.38759</v>
      </c>
      <c r="B104" s="3" t="str">
        <f>IFERROR(__xludf.DUMMYFUNCTION("""COMPUTED_VALUE"""),"MFHRO0023")</f>
        <v>MFHRO0023</v>
      </c>
      <c r="C104" s="3" t="str">
        <f>IFERROR(__xludf.DUMMYFUNCTION("""COMPUTED_VALUE"""),"Consumable")</f>
        <v>Consumable</v>
      </c>
      <c r="D104" s="3" t="str">
        <f>IFERROR(__xludf.DUMMYFUNCTION("""COMPUTED_VALUE"""),"-")</f>
        <v>-</v>
      </c>
      <c r="E104" s="3" t="str">
        <f>IFERROR(__xludf.DUMMYFUNCTION("""COMPUTED_VALUE"""),"General")</f>
        <v>General</v>
      </c>
      <c r="F104" s="3" t="str">
        <f>IFERROR(__xludf.DUMMYFUNCTION("""COMPUTED_VALUE"""),"General - Silicone Gasket for Ferrule dia. 2,5""; -; -; 1 Pc")</f>
        <v>General - Silicone Gasket for Ferrule dia. 2,5"; -; -; 1 Pc</v>
      </c>
      <c r="G104" s="3">
        <f>IFERROR(__xludf.DUMMYFUNCTION("""COMPUTED_VALUE"""),25.0)</f>
        <v>25</v>
      </c>
      <c r="H104" s="3" t="str">
        <f>IFERROR(__xludf.DUMMYFUNCTION("""COMPUTED_VALUE"""),"pc")</f>
        <v>pc</v>
      </c>
      <c r="I104" s="3" t="str">
        <f>IFERROR(__xludf.DUMMYFUNCTION("""COMPUTED_VALUE"""),"Consumable Gasket Silicone PR 121702442")</f>
        <v>Consumable Gasket Silicone PR 121702442</v>
      </c>
      <c r="J104" s="3" t="str">
        <f>IFERROR(__xludf.DUMMYFUNCTION("""COMPUTED_VALUE"""),"O-14642-00")</f>
        <v>O-14642-00</v>
      </c>
      <c r="K104" s="3" t="str">
        <f>IFERROR(__xludf.DUMMYFUNCTION("""COMPUTED_VALUE"""),"Approve")</f>
        <v>Approve</v>
      </c>
      <c r="L104" s="3" t="str">
        <f>IFERROR(__xludf.DUMMYFUNCTION("""COMPUTED_VALUE"""),"Normal")</f>
        <v>Normal</v>
      </c>
      <c r="M104" s="3" t="str">
        <f>IFERROR(__xludf.DUMMYFUNCTION("""COMPUTED_VALUE"""),"Non Urgent")</f>
        <v>Non Urgent</v>
      </c>
    </row>
    <row r="105">
      <c r="A105" s="4">
        <f>IFERROR(__xludf.DUMMYFUNCTION("""COMPUTED_VALUE"""),45755.389249432876)</f>
        <v>45755.38925</v>
      </c>
      <c r="B105" s="3" t="str">
        <f>IFERROR(__xludf.DUMMYFUNCTION("""COMPUTED_VALUE"""),"MFHRO0024")</f>
        <v>MFHRO0024</v>
      </c>
      <c r="C105" s="3" t="str">
        <f>IFERROR(__xludf.DUMMYFUNCTION("""COMPUTED_VALUE"""),"Consumable")</f>
        <v>Consumable</v>
      </c>
      <c r="D105" s="3" t="str">
        <f>IFERROR(__xludf.DUMMYFUNCTION("""COMPUTED_VALUE"""),"-")</f>
        <v>-</v>
      </c>
      <c r="E105" s="3" t="str">
        <f>IFERROR(__xludf.DUMMYFUNCTION("""COMPUTED_VALUE"""),"General")</f>
        <v>General</v>
      </c>
      <c r="F105" s="3" t="str">
        <f>IFERROR(__xludf.DUMMYFUNCTION("""COMPUTED_VALUE"""),"General - Silicone Gasket for Ferrule dia. 4""; -; -; 1 Pc")</f>
        <v>General - Silicone Gasket for Ferrule dia. 4"; -; -; 1 Pc</v>
      </c>
      <c r="G105" s="3">
        <f>IFERROR(__xludf.DUMMYFUNCTION("""COMPUTED_VALUE"""),10.0)</f>
        <v>10</v>
      </c>
      <c r="H105" s="3" t="str">
        <f>IFERROR(__xludf.DUMMYFUNCTION("""COMPUTED_VALUE"""),"pc")</f>
        <v>pc</v>
      </c>
      <c r="I105" s="3" t="str">
        <f>IFERROR(__xludf.DUMMYFUNCTION("""COMPUTED_VALUE"""),"Consumable Gasket Silicone PR 121702442")</f>
        <v>Consumable Gasket Silicone PR 121702442</v>
      </c>
      <c r="J105" s="3" t="str">
        <f>IFERROR(__xludf.DUMMYFUNCTION("""COMPUTED_VALUE"""),"O-14644-00")</f>
        <v>O-14644-00</v>
      </c>
      <c r="K105" s="3" t="str">
        <f>IFERROR(__xludf.DUMMYFUNCTION("""COMPUTED_VALUE"""),"Approve")</f>
        <v>Approve</v>
      </c>
      <c r="L105" s="3" t="str">
        <f>IFERROR(__xludf.DUMMYFUNCTION("""COMPUTED_VALUE"""),"Normal")</f>
        <v>Normal</v>
      </c>
      <c r="M105" s="3" t="str">
        <f>IFERROR(__xludf.DUMMYFUNCTION("""COMPUTED_VALUE"""),"Non Urgent")</f>
        <v>Non Urgent</v>
      </c>
    </row>
    <row r="106">
      <c r="A106" s="4">
        <f>IFERROR(__xludf.DUMMYFUNCTION("""COMPUTED_VALUE"""),45755.39053237268)</f>
        <v>45755.39053</v>
      </c>
      <c r="B106" s="3" t="str">
        <f>IFERROR(__xludf.DUMMYFUNCTION("""COMPUTED_VALUE"""),"MFHRO0025")</f>
        <v>MFHRO0025</v>
      </c>
      <c r="C106" s="3" t="str">
        <f>IFERROR(__xludf.DUMMYFUNCTION("""COMPUTED_VALUE"""),"Consumable")</f>
        <v>Consumable</v>
      </c>
      <c r="D106" s="3" t="str">
        <f>IFERROR(__xludf.DUMMYFUNCTION("""COMPUTED_VALUE"""),"-")</f>
        <v>-</v>
      </c>
      <c r="E106" s="3" t="str">
        <f>IFERROR(__xludf.DUMMYFUNCTION("""COMPUTED_VALUE"""),"General")</f>
        <v>General</v>
      </c>
      <c r="F106" s="3" t="str">
        <f>IFERROR(__xludf.DUMMYFUNCTION("""COMPUTED_VALUE"""),"EPDM Gasket for Ferrule dia. 3""; ; ;")</f>
        <v>EPDM Gasket for Ferrule dia. 3"; ; ;</v>
      </c>
      <c r="G106" s="3">
        <f>IFERROR(__xludf.DUMMYFUNCTION("""COMPUTED_VALUE"""),10.0)</f>
        <v>10</v>
      </c>
      <c r="H106" s="3" t="str">
        <f>IFERROR(__xludf.DUMMYFUNCTION("""COMPUTED_VALUE"""),"Pc")</f>
        <v>Pc</v>
      </c>
      <c r="I106" s="3" t="str">
        <f>IFERROR(__xludf.DUMMYFUNCTION("""COMPUTED_VALUE"""),"Consumable Gasket Ferrule EPDM PR 121702442")</f>
        <v>Consumable Gasket Ferrule EPDM PR 121702442</v>
      </c>
      <c r="J106" s="3" t="str">
        <f>IFERROR(__xludf.DUMMYFUNCTION("""COMPUTED_VALUE"""),"O-14643-00")</f>
        <v>O-14643-00</v>
      </c>
      <c r="K106" s="3" t="str">
        <f>IFERROR(__xludf.DUMMYFUNCTION("""COMPUTED_VALUE"""),"Approve")</f>
        <v>Approve</v>
      </c>
      <c r="L106" s="3" t="str">
        <f>IFERROR(__xludf.DUMMYFUNCTION("""COMPUTED_VALUE"""),"Normal")</f>
        <v>Normal</v>
      </c>
      <c r="M106" s="3" t="str">
        <f>IFERROR(__xludf.DUMMYFUNCTION("""COMPUTED_VALUE"""),"Non Urgent")</f>
        <v>Non Urgent</v>
      </c>
    </row>
    <row r="107">
      <c r="A107" s="4">
        <f>IFERROR(__xludf.DUMMYFUNCTION("""COMPUTED_VALUE"""),45755.39287927083)</f>
        <v>45755.39288</v>
      </c>
      <c r="B107" s="3" t="str">
        <f>IFERROR(__xludf.DUMMYFUNCTION("""COMPUTED_VALUE"""),"MFHRO0026")</f>
        <v>MFHRO0026</v>
      </c>
      <c r="C107" s="3" t="str">
        <f>IFERROR(__xludf.DUMMYFUNCTION("""COMPUTED_VALUE"""),"MIn Stok")</f>
        <v>MIn Stok</v>
      </c>
      <c r="D107" s="3" t="str">
        <f>IFERROR(__xludf.DUMMYFUNCTION("""COMPUTED_VALUE"""),"-")</f>
        <v>-</v>
      </c>
      <c r="E107" s="3" t="str">
        <f>IFERROR(__xludf.DUMMYFUNCTION("""COMPUTED_VALUE"""),"FD")</f>
        <v>FD</v>
      </c>
      <c r="F107" s="3" t="str">
        <f>IFERROR(__xludf.DUMMYFUNCTION("""COMPUTED_VALUE"""),"Freeze Dryer MBE1207 -  Orifice No. 03 068-2006; Danfoss; ;")</f>
        <v>Freeze Dryer MBE1207 -  Orifice No. 03 068-2006; Danfoss; ;</v>
      </c>
      <c r="G107" s="3">
        <f>IFERROR(__xludf.DUMMYFUNCTION("""COMPUTED_VALUE"""),4.0)</f>
        <v>4</v>
      </c>
      <c r="H107" s="3" t="str">
        <f>IFERROR(__xludf.DUMMYFUNCTION("""COMPUTED_VALUE"""),"Pc")</f>
        <v>Pc</v>
      </c>
      <c r="I107" s="3" t="str">
        <f>IFERROR(__xludf.DUMMYFUNCTION("""COMPUTED_VALUE"""),"Min Stok FD PR 121702446")</f>
        <v>Min Stok FD PR 121702446</v>
      </c>
      <c r="J107" s="3" t="str">
        <f>IFERROR(__xludf.DUMMYFUNCTION("""COMPUTED_VALUE"""),"O-19212-00")</f>
        <v>O-19212-00</v>
      </c>
      <c r="K107" s="3" t="str">
        <f>IFERROR(__xludf.DUMMYFUNCTION("""COMPUTED_VALUE"""),"Approve")</f>
        <v>Approve</v>
      </c>
      <c r="L107" s="3" t="str">
        <f>IFERROR(__xludf.DUMMYFUNCTION("""COMPUTED_VALUE"""),"Normal")</f>
        <v>Normal</v>
      </c>
      <c r="M107" s="3" t="str">
        <f>IFERROR(__xludf.DUMMYFUNCTION("""COMPUTED_VALUE"""),"Non Urgent")</f>
        <v>Non Urgent</v>
      </c>
    </row>
    <row r="108">
      <c r="A108" s="4">
        <f>IFERROR(__xludf.DUMMYFUNCTION("""COMPUTED_VALUE"""),45755.39597195602)</f>
        <v>45755.39597</v>
      </c>
      <c r="B108" s="3" t="str">
        <f>IFERROR(__xludf.DUMMYFUNCTION("""COMPUTED_VALUE"""),"MFHRO0027")</f>
        <v>MFHRO0027</v>
      </c>
      <c r="C108" s="3" t="str">
        <f>IFERROR(__xludf.DUMMYFUNCTION("""COMPUTED_VALUE"""),"MIn Stok")</f>
        <v>MIn Stok</v>
      </c>
      <c r="D108" s="3" t="str">
        <f>IFERROR(__xludf.DUMMYFUNCTION("""COMPUTED_VALUE"""),"-")</f>
        <v>-</v>
      </c>
      <c r="E108" s="3" t="str">
        <f>IFERROR(__xludf.DUMMYFUNCTION("""COMPUTED_VALUE"""),"FD")</f>
        <v>FD</v>
      </c>
      <c r="F108" s="3" t="str">
        <f>IFERROR(__xludf.DUMMYFUNCTION("""COMPUTED_VALUE"""),"FD Lyofast 10 - hydraulically Balanced Valve EB02-00595 Disused:CMB 20/T-N_FLUCOM Replaced by:M8596N; ; ;")</f>
        <v>FD Lyofast 10 - hydraulically Balanced Valve EB02-00595 Disused:CMB 20/T-N_FLUCOM Replaced by:M8596N; ; ;</v>
      </c>
      <c r="G108" s="3">
        <f>IFERROR(__xludf.DUMMYFUNCTION("""COMPUTED_VALUE"""),1.0)</f>
        <v>1</v>
      </c>
      <c r="H108" s="3" t="str">
        <f>IFERROR(__xludf.DUMMYFUNCTION("""COMPUTED_VALUE"""),"Pc")</f>
        <v>Pc</v>
      </c>
      <c r="I108" s="3" t="str">
        <f>IFERROR(__xludf.DUMMYFUNCTION("""COMPUTED_VALUE"""),"Min Stok FD PR 121702450")</f>
        <v>Min Stok FD PR 121702450</v>
      </c>
      <c r="J108" s="3" t="str">
        <f>IFERROR(__xludf.DUMMYFUNCTION("""COMPUTED_VALUE"""),"O-18560-00")</f>
        <v>O-18560-00</v>
      </c>
      <c r="K108" s="3" t="str">
        <f>IFERROR(__xludf.DUMMYFUNCTION("""COMPUTED_VALUE"""),"Approve")</f>
        <v>Approve</v>
      </c>
      <c r="L108" s="3" t="str">
        <f>IFERROR(__xludf.DUMMYFUNCTION("""COMPUTED_VALUE"""),"Normal")</f>
        <v>Normal</v>
      </c>
      <c r="M108" s="3" t="str">
        <f>IFERROR(__xludf.DUMMYFUNCTION("""COMPUTED_VALUE"""),"Non Urgent")</f>
        <v>Non Urgent</v>
      </c>
    </row>
    <row r="109">
      <c r="A109" s="4">
        <f>IFERROR(__xludf.DUMMYFUNCTION("""COMPUTED_VALUE"""),45755.39732106481)</f>
        <v>45755.39732</v>
      </c>
      <c r="B109" s="3" t="str">
        <f>IFERROR(__xludf.DUMMYFUNCTION("""COMPUTED_VALUE"""),"MFHRO0028")</f>
        <v>MFHRO0028</v>
      </c>
      <c r="C109" s="3" t="str">
        <f>IFERROR(__xludf.DUMMYFUNCTION("""COMPUTED_VALUE"""),"MIn Stok")</f>
        <v>MIn Stok</v>
      </c>
      <c r="D109" s="3" t="str">
        <f>IFERROR(__xludf.DUMMYFUNCTION("""COMPUTED_VALUE"""),"-")</f>
        <v>-</v>
      </c>
      <c r="E109" s="3" t="str">
        <f>IFERROR(__xludf.DUMMYFUNCTION("""COMPUTED_VALUE"""),"FD")</f>
        <v>FD</v>
      </c>
      <c r="F109" s="3" t="str">
        <f>IFERROR(__xludf.DUMMYFUNCTION("""COMPUTED_VALUE"""),"Freeze Dryer MBE1207 - SV169 MYCOM COMPLETE SOLENOLD VALVE, XOF-240V1 include valve body and coil P/; MAYEKAWA; ;")</f>
        <v>Freeze Dryer MBE1207 - SV169 MYCOM COMPLETE SOLENOLD VALVE, XOF-240V1 include valve body and coil P/; MAYEKAWA; ;</v>
      </c>
      <c r="G109" s="3">
        <f>IFERROR(__xludf.DUMMYFUNCTION("""COMPUTED_VALUE"""),2.0)</f>
        <v>2</v>
      </c>
      <c r="H109" s="3" t="str">
        <f>IFERROR(__xludf.DUMMYFUNCTION("""COMPUTED_VALUE"""),"Pc")</f>
        <v>Pc</v>
      </c>
      <c r="I109" s="3" t="str">
        <f>IFERROR(__xludf.DUMMYFUNCTION("""COMPUTED_VALUE"""),"Min Stok FD PR 121702450")</f>
        <v>Min Stok FD PR 121702450</v>
      </c>
      <c r="J109" s="3" t="str">
        <f>IFERROR(__xludf.DUMMYFUNCTION("""COMPUTED_VALUE"""),"O-52831-00")</f>
        <v>O-52831-00</v>
      </c>
      <c r="K109" s="3" t="str">
        <f>IFERROR(__xludf.DUMMYFUNCTION("""COMPUTED_VALUE"""),"Approve")</f>
        <v>Approve</v>
      </c>
      <c r="L109" s="3" t="str">
        <f>IFERROR(__xludf.DUMMYFUNCTION("""COMPUTED_VALUE"""),"Normal")</f>
        <v>Normal</v>
      </c>
      <c r="M109" s="3" t="str">
        <f>IFERROR(__xludf.DUMMYFUNCTION("""COMPUTED_VALUE"""),"Non Urgent")</f>
        <v>Non Urgent</v>
      </c>
    </row>
    <row r="110">
      <c r="A110" s="4">
        <f>IFERROR(__xludf.DUMMYFUNCTION("""COMPUTED_VALUE"""),45755.39801503473)</f>
        <v>45755.39802</v>
      </c>
      <c r="B110" s="3" t="str">
        <f>IFERROR(__xludf.DUMMYFUNCTION("""COMPUTED_VALUE"""),"MFHRO0029")</f>
        <v>MFHRO0029</v>
      </c>
      <c r="C110" s="3" t="str">
        <f>IFERROR(__xludf.DUMMYFUNCTION("""COMPUTED_VALUE"""),"MIn Stok")</f>
        <v>MIn Stok</v>
      </c>
      <c r="D110" s="3" t="str">
        <f>IFERROR(__xludf.DUMMYFUNCTION("""COMPUTED_VALUE"""),"-")</f>
        <v>-</v>
      </c>
      <c r="E110" s="3" t="str">
        <f>IFERROR(__xludf.DUMMYFUNCTION("""COMPUTED_VALUE"""),"FD")</f>
        <v>FD</v>
      </c>
      <c r="F110" s="3" t="str">
        <f>IFERROR(__xludf.DUMMYFUNCTION("""COMPUTED_VALUE"""),"Freeze Dryer MBE1207 - Valve Body S20 DN40 ANSI150 Flg BODY:CI DISC:316SS Mirror finish STEM 316SS P; ; ;")</f>
        <v>Freeze Dryer MBE1207 - Valve Body S20 DN40 ANSI150 Flg BODY:CI DISC:316SS Mirror finish STEM 316SS P; ; ;</v>
      </c>
      <c r="G110" s="3">
        <f>IFERROR(__xludf.DUMMYFUNCTION("""COMPUTED_VALUE"""),2.0)</f>
        <v>2</v>
      </c>
      <c r="H110" s="3" t="str">
        <f>IFERROR(__xludf.DUMMYFUNCTION("""COMPUTED_VALUE"""),"Pc")</f>
        <v>Pc</v>
      </c>
      <c r="I110" s="3" t="str">
        <f>IFERROR(__xludf.DUMMYFUNCTION("""COMPUTED_VALUE"""),"Min Stok FD PR 121702450")</f>
        <v>Min Stok FD PR 121702450</v>
      </c>
      <c r="J110" s="3" t="str">
        <f>IFERROR(__xludf.DUMMYFUNCTION("""COMPUTED_VALUE"""),"O-18914-00")</f>
        <v>O-18914-00</v>
      </c>
      <c r="K110" s="3" t="str">
        <f>IFERROR(__xludf.DUMMYFUNCTION("""COMPUTED_VALUE"""),"Approve")</f>
        <v>Approve</v>
      </c>
      <c r="L110" s="3" t="str">
        <f>IFERROR(__xludf.DUMMYFUNCTION("""COMPUTED_VALUE"""),"Normal")</f>
        <v>Normal</v>
      </c>
      <c r="M110" s="3" t="str">
        <f>IFERROR(__xludf.DUMMYFUNCTION("""COMPUTED_VALUE"""),"Non Urgent")</f>
        <v>Non Urgent</v>
      </c>
    </row>
    <row r="111">
      <c r="A111" s="4">
        <f>IFERROR(__xludf.DUMMYFUNCTION("""COMPUTED_VALUE"""),45755.3986628125)</f>
        <v>45755.39866</v>
      </c>
      <c r="B111" s="3" t="str">
        <f>IFERROR(__xludf.DUMMYFUNCTION("""COMPUTED_VALUE"""),"MFHRO0030")</f>
        <v>MFHRO0030</v>
      </c>
      <c r="C111" s="3" t="str">
        <f>IFERROR(__xludf.DUMMYFUNCTION("""COMPUTED_VALUE"""),"MIn Stok")</f>
        <v>MIn Stok</v>
      </c>
      <c r="D111" s="3" t="str">
        <f>IFERROR(__xludf.DUMMYFUNCTION("""COMPUTED_VALUE"""),"-")</f>
        <v>-</v>
      </c>
      <c r="E111" s="3" t="str">
        <f>IFERROR(__xludf.DUMMYFUNCTION("""COMPUTED_VALUE"""),"FD")</f>
        <v>FD</v>
      </c>
      <c r="F111" s="3" t="str">
        <f>IFERROR(__xludf.DUMMYFUNCTION("""COMPUTED_VALUE"""),"Clamp Vacuum KF16 Alumunium; ; ;")</f>
        <v>Clamp Vacuum KF16 Alumunium; ; ;</v>
      </c>
      <c r="G111" s="3">
        <f>IFERROR(__xludf.DUMMYFUNCTION("""COMPUTED_VALUE"""),10.0)</f>
        <v>10</v>
      </c>
      <c r="H111" s="3" t="str">
        <f>IFERROR(__xludf.DUMMYFUNCTION("""COMPUTED_VALUE"""),"Pc")</f>
        <v>Pc</v>
      </c>
      <c r="I111" s="3" t="str">
        <f>IFERROR(__xludf.DUMMYFUNCTION("""COMPUTED_VALUE"""),"Min Stok FD PR 121702452")</f>
        <v>Min Stok FD PR 121702452</v>
      </c>
      <c r="J111" s="3" t="str">
        <f>IFERROR(__xludf.DUMMYFUNCTION("""COMPUTED_VALUE"""),"O-19798-00")</f>
        <v>O-19798-00</v>
      </c>
      <c r="K111" s="3" t="str">
        <f>IFERROR(__xludf.DUMMYFUNCTION("""COMPUTED_VALUE"""),"Approve")</f>
        <v>Approve</v>
      </c>
      <c r="L111" s="3" t="str">
        <f>IFERROR(__xludf.DUMMYFUNCTION("""COMPUTED_VALUE"""),"Normal")</f>
        <v>Normal</v>
      </c>
      <c r="M111" s="3" t="str">
        <f>IFERROR(__xludf.DUMMYFUNCTION("""COMPUTED_VALUE"""),"Non Urgent")</f>
        <v>Non Urgent</v>
      </c>
    </row>
    <row r="112">
      <c r="A112" s="4">
        <f>IFERROR(__xludf.DUMMYFUNCTION("""COMPUTED_VALUE"""),45755.39978251157)</f>
        <v>45755.39978</v>
      </c>
      <c r="B112" s="3" t="str">
        <f>IFERROR(__xludf.DUMMYFUNCTION("""COMPUTED_VALUE"""),"MFHRO0031")</f>
        <v>MFHRO0031</v>
      </c>
      <c r="C112" s="3" t="str">
        <f>IFERROR(__xludf.DUMMYFUNCTION("""COMPUTED_VALUE"""),"Consumable")</f>
        <v>Consumable</v>
      </c>
      <c r="D112" s="3" t="str">
        <f>IFERROR(__xludf.DUMMYFUNCTION("""COMPUTED_VALUE"""),"-")</f>
        <v>-</v>
      </c>
      <c r="E112" s="3" t="str">
        <f>IFERROR(__xludf.DUMMYFUNCTION("""COMPUTED_VALUE"""),"PWG")</f>
        <v>PWG</v>
      </c>
      <c r="F112" s="3" t="str">
        <f>IFERROR(__xludf.DUMMYFUNCTION("""COMPUTED_VALUE"""),"Garam Kutreat RGN-9800F; ; ; 25Kg/zak")</f>
        <v>Garam Kutreat RGN-9800F; ; ; 25Kg/zak</v>
      </c>
      <c r="G112" s="3">
        <f>IFERROR(__xludf.DUMMYFUNCTION("""COMPUTED_VALUE"""),450.0)</f>
        <v>450</v>
      </c>
      <c r="H112" s="3" t="str">
        <f>IFERROR(__xludf.DUMMYFUNCTION("""COMPUTED_VALUE"""),"Kg")</f>
        <v>Kg</v>
      </c>
      <c r="I112" s="3" t="str">
        <f>IFERROR(__xludf.DUMMYFUNCTION("""COMPUTED_VALUE"""),"Blanketing Garam Semester 2 2025")</f>
        <v>Blanketing Garam Semester 2 2025</v>
      </c>
      <c r="J112" s="3" t="str">
        <f>IFERROR(__xludf.DUMMYFUNCTION("""COMPUTED_VALUE"""),"P-14424-00")</f>
        <v>P-14424-00</v>
      </c>
      <c r="K112" s="3" t="str">
        <f>IFERROR(__xludf.DUMMYFUNCTION("""COMPUTED_VALUE"""),"Approve")</f>
        <v>Approve</v>
      </c>
      <c r="L112" s="3" t="str">
        <f>IFERROR(__xludf.DUMMYFUNCTION("""COMPUTED_VALUE"""),"Normal")</f>
        <v>Normal</v>
      </c>
      <c r="M112" s="3" t="str">
        <f>IFERROR(__xludf.DUMMYFUNCTION("""COMPUTED_VALUE"""),"Non Urgent")</f>
        <v>Non Urgent</v>
      </c>
    </row>
    <row r="113">
      <c r="A113" s="4">
        <f>IFERROR(__xludf.DUMMYFUNCTION("""COMPUTED_VALUE"""),45755.40140925926)</f>
        <v>45755.40141</v>
      </c>
      <c r="B113" s="3" t="str">
        <f>IFERROR(__xludf.DUMMYFUNCTION("""COMPUTED_VALUE"""),"MFHRO0032")</f>
        <v>MFHRO0032</v>
      </c>
      <c r="C113" s="3" t="str">
        <f>IFERROR(__xludf.DUMMYFUNCTION("""COMPUTED_VALUE"""),"MIn Stok")</f>
        <v>MIn Stok</v>
      </c>
      <c r="D113" s="3" t="str">
        <f>IFERROR(__xludf.DUMMYFUNCTION("""COMPUTED_VALUE"""),"-")</f>
        <v>-</v>
      </c>
      <c r="E113" s="3" t="str">
        <f>IFERROR(__xludf.DUMMYFUNCTION("""COMPUTED_VALUE"""),"HPLC")</f>
        <v>HPLC</v>
      </c>
      <c r="F113" s="3" t="str">
        <f>IFERROR(__xludf.DUMMYFUNCTION("""COMPUTED_VALUE"""),"Acquity PDA/TUV 2489/2998 Perf Main Kit (lampu HPLC); Waters; P/N 201000281; 1 pc")</f>
        <v>Acquity PDA/TUV 2489/2998 Perf Main Kit (lampu HPLC); Waters; P/N 201000281; 1 pc</v>
      </c>
      <c r="G113" s="3">
        <f>IFERROR(__xludf.DUMMYFUNCTION("""COMPUTED_VALUE"""),6.0)</f>
        <v>6</v>
      </c>
      <c r="H113" s="3" t="str">
        <f>IFERROR(__xludf.DUMMYFUNCTION("""COMPUTED_VALUE"""),"Pc")</f>
        <v>Pc</v>
      </c>
      <c r="I113" s="3" t="str">
        <f>IFERROR(__xludf.DUMMYFUNCTION("""COMPUTED_VALUE"""),"Blanketing Lampu UV HPLC Semester 1 2025")</f>
        <v>Blanketing Lampu UV HPLC Semester 1 2025</v>
      </c>
      <c r="J113" s="3" t="str">
        <f>IFERROR(__xludf.DUMMYFUNCTION("""COMPUTED_VALUE"""),"T-20123-00")</f>
        <v>T-20123-00</v>
      </c>
      <c r="K113" s="3" t="str">
        <f>IFERROR(__xludf.DUMMYFUNCTION("""COMPUTED_VALUE"""),"Approve")</f>
        <v>Approve</v>
      </c>
      <c r="L113" s="3" t="str">
        <f>IFERROR(__xludf.DUMMYFUNCTION("""COMPUTED_VALUE"""),"Normal")</f>
        <v>Normal</v>
      </c>
      <c r="M113" s="3" t="str">
        <f>IFERROR(__xludf.DUMMYFUNCTION("""COMPUTED_VALUE"""),"Non Urgent")</f>
        <v>Non Urgent</v>
      </c>
    </row>
    <row r="114">
      <c r="A114" s="4">
        <f>IFERROR(__xludf.DUMMYFUNCTION("""COMPUTED_VALUE"""),45755.40190237269)</f>
        <v>45755.4019</v>
      </c>
      <c r="B114" s="3" t="str">
        <f>IFERROR(__xludf.DUMMYFUNCTION("""COMPUTED_VALUE"""),"MFHRO0033")</f>
        <v>MFHRO0033</v>
      </c>
      <c r="C114" s="3" t="str">
        <f>IFERROR(__xludf.DUMMYFUNCTION("""COMPUTED_VALUE"""),"MIn Stok")</f>
        <v>MIn Stok</v>
      </c>
      <c r="D114" s="3" t="str">
        <f>IFERROR(__xludf.DUMMYFUNCTION("""COMPUTED_VALUE"""),"-")</f>
        <v>-</v>
      </c>
      <c r="E114" s="3" t="str">
        <f>IFERROR(__xludf.DUMMYFUNCTION("""COMPUTED_VALUE"""),"Mixing")</f>
        <v>Mixing</v>
      </c>
      <c r="F114" s="3" t="str">
        <f>IFERROR(__xludf.DUMMYFUNCTION("""COMPUTED_VALUE"""),"Mixing Tank - Sensor RTD 2X 100 Ohm (Duplex) with Transmitter Dia 6x81mm Mat SUS316 Class A; Custom/Lokal; -; 1 Pc")</f>
        <v>Mixing Tank - Sensor RTD 2X 100 Ohm (Duplex) with Transmitter Dia 6x81mm Mat SUS316 Class A; Custom/Lokal; -; 1 Pc</v>
      </c>
      <c r="G114" s="3">
        <f>IFERROR(__xludf.DUMMYFUNCTION("""COMPUTED_VALUE"""),1.0)</f>
        <v>1</v>
      </c>
      <c r="H114" s="3" t="str">
        <f>IFERROR(__xludf.DUMMYFUNCTION("""COMPUTED_VALUE"""),"Pc")</f>
        <v>Pc</v>
      </c>
      <c r="I114" s="3" t="str">
        <f>IFERROR(__xludf.DUMMYFUNCTION("""COMPUTED_VALUE"""),"Min Stok Sensor RTD Mixinf")</f>
        <v>Min Stok Sensor RTD Mixinf</v>
      </c>
      <c r="J114" s="3" t="str">
        <f>IFERROR(__xludf.DUMMYFUNCTION("""COMPUTED_VALUE"""),"O-53218-00")</f>
        <v>O-53218-00</v>
      </c>
      <c r="K114" s="3" t="str">
        <f>IFERROR(__xludf.DUMMYFUNCTION("""COMPUTED_VALUE"""),"Approve")</f>
        <v>Approve</v>
      </c>
      <c r="L114" s="3" t="str">
        <f>IFERROR(__xludf.DUMMYFUNCTION("""COMPUTED_VALUE"""),"Normal")</f>
        <v>Normal</v>
      </c>
      <c r="M114" s="3" t="str">
        <f>IFERROR(__xludf.DUMMYFUNCTION("""COMPUTED_VALUE"""),"Non Urgent")</f>
        <v>Non Urgent</v>
      </c>
    </row>
    <row r="115">
      <c r="A115" s="4">
        <f>IFERROR(__xludf.DUMMYFUNCTION("""COMPUTED_VALUE"""),45755.445092685186)</f>
        <v>45755.44509</v>
      </c>
      <c r="B115" s="3" t="str">
        <f>IFERROR(__xludf.DUMMYFUNCTION("""COMPUTED_VALUE"""),"MFHRO0034")</f>
        <v>MFHRO0034</v>
      </c>
      <c r="C115" s="3" t="str">
        <f>IFERROR(__xludf.DUMMYFUNCTION("""COMPUTED_VALUE"""),"MIn Stok")</f>
        <v>MIn Stok</v>
      </c>
      <c r="D115" s="3" t="str">
        <f>IFERROR(__xludf.DUMMYFUNCTION("""COMPUTED_VALUE"""),"-")</f>
        <v>-</v>
      </c>
      <c r="E115" s="3" t="str">
        <f>IFERROR(__xludf.DUMMYFUNCTION("""COMPUTED_VALUE"""),"Building")</f>
        <v>Building</v>
      </c>
      <c r="F115" s="3" t="str">
        <f>IFERROR(__xludf.DUMMYFUNCTION("""COMPUTED_VALUE"""),"Magnetic door stopper; Dekson; Part No. MDS 889 SN;")</f>
        <v>Magnetic door stopper; Dekson; Part No. MDS 889 SN;</v>
      </c>
      <c r="G115" s="3">
        <f>IFERROR(__xludf.DUMMYFUNCTION("""COMPUTED_VALUE"""),35.0)</f>
        <v>35</v>
      </c>
      <c r="H115" s="3" t="str">
        <f>IFERROR(__xludf.DUMMYFUNCTION("""COMPUTED_VALUE"""),"Pc")</f>
        <v>Pc</v>
      </c>
      <c r="I115" s="3" t="str">
        <f>IFERROR(__xludf.DUMMYFUNCTION("""COMPUTED_VALUE"""),"Min Stok Door Stopper PR 1217024999")</f>
        <v>Min Stok Door Stopper PR 1217024999</v>
      </c>
      <c r="J115" s="3" t="str">
        <f>IFERROR(__xludf.DUMMYFUNCTION("""COMPUTED_VALUE"""),"Q-10460-00")</f>
        <v>Q-10460-00</v>
      </c>
      <c r="K115" s="3" t="str">
        <f>IFERROR(__xludf.DUMMYFUNCTION("""COMPUTED_VALUE"""),"Approve")</f>
        <v>Approve</v>
      </c>
      <c r="L115" s="3" t="str">
        <f>IFERROR(__xludf.DUMMYFUNCTION("""COMPUTED_VALUE"""),"Normal")</f>
        <v>Normal</v>
      </c>
      <c r="M115" s="3" t="str">
        <f>IFERROR(__xludf.DUMMYFUNCTION("""COMPUTED_VALUE"""),"Non Urgent")</f>
        <v>Non Urgent</v>
      </c>
    </row>
    <row r="116">
      <c r="A116" s="4">
        <f>IFERROR(__xludf.DUMMYFUNCTION("""COMPUTED_VALUE"""),45755.445092685186)</f>
        <v>45755.44509</v>
      </c>
      <c r="B116" s="3" t="str">
        <f>IFERROR(__xludf.DUMMYFUNCTION("""COMPUTED_VALUE"""),"MFHRO0035")</f>
        <v>MFHRO0035</v>
      </c>
      <c r="C116" s="3" t="str">
        <f>IFERROR(__xludf.DUMMYFUNCTION("""COMPUTED_VALUE"""),"Consumable")</f>
        <v>Consumable</v>
      </c>
      <c r="D116" s="3" t="str">
        <f>IFERROR(__xludf.DUMMYFUNCTION("""COMPUTED_VALUE"""),"-")</f>
        <v>-</v>
      </c>
      <c r="E116" s="3" t="str">
        <f>IFERROR(__xludf.DUMMYFUNCTION("""COMPUTED_VALUE"""),"Tabletting")</f>
        <v>Tabletting</v>
      </c>
      <c r="F116" s="3" t="str">
        <f>IFERROR(__xludf.DUMMYFUNCTION("""COMPUTED_VALUE"""),"Lubricant ? Food grade oil Viscolab 150 - Pc=Liter")</f>
        <v>Lubricant ? Food grade oil Viscolab 150 - Pc=Liter</v>
      </c>
      <c r="G116" s="3">
        <f>IFERROR(__xludf.DUMMYFUNCTION("""COMPUTED_VALUE"""),40.0)</f>
        <v>40</v>
      </c>
      <c r="H116" s="3" t="str">
        <f>IFERROR(__xludf.DUMMYFUNCTION("""COMPUTED_VALUE"""),"Pc")</f>
        <v>Pc</v>
      </c>
      <c r="I116" s="3" t="str">
        <f>IFERROR(__xludf.DUMMYFUNCTION("""COMPUTED_VALUE"""),"Consumable Oli Foodgrade Tabletting PR 121702518")</f>
        <v>Consumable Oli Foodgrade Tabletting PR 121702518</v>
      </c>
      <c r="J116" s="3" t="str">
        <f>IFERROR(__xludf.DUMMYFUNCTION("""COMPUTED_VALUE"""),"O-11356-00")</f>
        <v>O-11356-00</v>
      </c>
      <c r="K116" s="3" t="str">
        <f>IFERROR(__xludf.DUMMYFUNCTION("""COMPUTED_VALUE"""),"Approve")</f>
        <v>Approve</v>
      </c>
      <c r="L116" s="3" t="str">
        <f>IFERROR(__xludf.DUMMYFUNCTION("""COMPUTED_VALUE"""),"Normal")</f>
        <v>Normal</v>
      </c>
      <c r="M116" s="3" t="str">
        <f>IFERROR(__xludf.DUMMYFUNCTION("""COMPUTED_VALUE"""),"Non Urgent")</f>
        <v>Non Urgent</v>
      </c>
    </row>
    <row r="117">
      <c r="A117" s="4">
        <f>IFERROR(__xludf.DUMMYFUNCTION("""COMPUTED_VALUE"""),45755.445092685186)</f>
        <v>45755.44509</v>
      </c>
      <c r="B117" s="3" t="str">
        <f>IFERROR(__xludf.DUMMYFUNCTION("""COMPUTED_VALUE"""),"MFHRO0036")</f>
        <v>MFHRO0036</v>
      </c>
      <c r="C117" s="3" t="str">
        <f>IFERROR(__xludf.DUMMYFUNCTION("""COMPUTED_VALUE"""),"Consumable")</f>
        <v>Consumable</v>
      </c>
      <c r="D117" s="3" t="str">
        <f>IFERROR(__xludf.DUMMYFUNCTION("""COMPUTED_VALUE"""),"-")</f>
        <v>-</v>
      </c>
      <c r="E117" s="3" t="str">
        <f>IFERROR(__xludf.DUMMYFUNCTION("""COMPUTED_VALUE"""),"Tools")</f>
        <v>Tools</v>
      </c>
      <c r="F117" s="3" t="str">
        <f>IFERROR(__xludf.DUMMYFUNCTION("""COMPUTED_VALUE"""),"Bor Impact Drill GSB 600; Bosch; 06011A03K2; set")</f>
        <v>Bor Impact Drill GSB 600; Bosch; 06011A03K2; set</v>
      </c>
      <c r="G117" s="3">
        <f>IFERROR(__xludf.DUMMYFUNCTION("""COMPUTED_VALUE"""),1.0)</f>
        <v>1</v>
      </c>
      <c r="H117" s="3" t="str">
        <f>IFERROR(__xludf.DUMMYFUNCTION("""COMPUTED_VALUE"""),"Pc")</f>
        <v>Pc</v>
      </c>
      <c r="I117" s="3" t="str">
        <f>IFERROR(__xludf.DUMMYFUNCTION("""COMPUTED_VALUE"""),"Tools Eng PR 121702528")</f>
        <v>Tools Eng PR 121702528</v>
      </c>
      <c r="J117" s="3" t="str">
        <f>IFERROR(__xludf.DUMMYFUNCTION("""COMPUTED_VALUE"""),"Q-70158-00")</f>
        <v>Q-70158-00</v>
      </c>
      <c r="K117" s="3" t="str">
        <f>IFERROR(__xludf.DUMMYFUNCTION("""COMPUTED_VALUE"""),"Approve")</f>
        <v>Approve</v>
      </c>
      <c r="L117" s="3" t="str">
        <f>IFERROR(__xludf.DUMMYFUNCTION("""COMPUTED_VALUE"""),"Normal")</f>
        <v>Normal</v>
      </c>
      <c r="M117" s="3" t="str">
        <f>IFERROR(__xludf.DUMMYFUNCTION("""COMPUTED_VALUE"""),"Non Urgent")</f>
        <v>Non Urgent</v>
      </c>
    </row>
    <row r="118">
      <c r="A118" s="4">
        <f>IFERROR(__xludf.DUMMYFUNCTION("""COMPUTED_VALUE"""),45755.445092685186)</f>
        <v>45755.44509</v>
      </c>
      <c r="B118" s="3" t="str">
        <f>IFERROR(__xludf.DUMMYFUNCTION("""COMPUTED_VALUE"""),"MFHRO0037")</f>
        <v>MFHRO0037</v>
      </c>
      <c r="C118" s="3" t="str">
        <f>IFERROR(__xludf.DUMMYFUNCTION("""COMPUTED_VALUE"""),"Consumable")</f>
        <v>Consumable</v>
      </c>
      <c r="D118" s="3" t="str">
        <f>IFERROR(__xludf.DUMMYFUNCTION("""COMPUTED_VALUE"""),"-")</f>
        <v>-</v>
      </c>
      <c r="E118" s="3" t="str">
        <f>IFERROR(__xludf.DUMMYFUNCTION("""COMPUTED_VALUE"""),"cRABS")</f>
        <v>cRABS</v>
      </c>
      <c r="F118" s="3" t="str">
        <f>IFERROR(__xludf.DUMMYFUNCTION("""COMPUTED_VALUE"""),"Isolator Gloves E10330 Y 7 E4 4; 000156; Material : CSM; Shape : E10; Size : 7; Thickness (mm) : 4/1; ; ;")</f>
        <v>Isolator Gloves E10330 Y 7 E4 4; 000156; Material : CSM; Shape : E10; Size : 7; Thickness (mm) : 4/1; ; ;</v>
      </c>
      <c r="G118" s="3">
        <f>IFERROR(__xludf.DUMMYFUNCTION("""COMPUTED_VALUE"""),20.0)</f>
        <v>20</v>
      </c>
      <c r="H118" s="3" t="str">
        <f>IFERROR(__xludf.DUMMYFUNCTION("""COMPUTED_VALUE"""),"Pc")</f>
        <v>Pc</v>
      </c>
      <c r="I118" s="3" t="str">
        <f>IFERROR(__xludf.DUMMYFUNCTION("""COMPUTED_VALUE"""),"Consumable Gloves untuk cRABS PR 121702529")</f>
        <v>Consumable Gloves untuk cRABS PR 121702529</v>
      </c>
      <c r="J118" s="3" t="str">
        <f>IFERROR(__xludf.DUMMYFUNCTION("""COMPUTED_VALUE"""),"#N/A")</f>
        <v>#N/A</v>
      </c>
      <c r="K118" s="3" t="str">
        <f>IFERROR(__xludf.DUMMYFUNCTION("""COMPUTED_VALUE"""),"Approve")</f>
        <v>Approve</v>
      </c>
      <c r="L118" s="3" t="str">
        <f>IFERROR(__xludf.DUMMYFUNCTION("""COMPUTED_VALUE"""),"Normal")</f>
        <v>Normal</v>
      </c>
      <c r="M118" s="3" t="str">
        <f>IFERROR(__xludf.DUMMYFUNCTION("""COMPUTED_VALUE"""),"Non Urgent")</f>
        <v>Non Urgent</v>
      </c>
    </row>
    <row r="119">
      <c r="A119" s="4">
        <f>IFERROR(__xludf.DUMMYFUNCTION("""COMPUTED_VALUE"""),45755.44785783565)</f>
        <v>45755.44786</v>
      </c>
      <c r="B119" s="3" t="str">
        <f>IFERROR(__xludf.DUMMYFUNCTION("""COMPUTED_VALUE"""),"MFHRO0038")</f>
        <v>MFHRO0038</v>
      </c>
      <c r="C119" s="3" t="str">
        <f>IFERROR(__xludf.DUMMYFUNCTION("""COMPUTED_VALUE"""),"Consumable")</f>
        <v>Consumable</v>
      </c>
      <c r="D119" s="3" t="str">
        <f>IFERROR(__xludf.DUMMYFUNCTION("""COMPUTED_VALUE"""),"-")</f>
        <v>-</v>
      </c>
      <c r="E119" s="3" t="str">
        <f>IFERROR(__xludf.DUMMYFUNCTION("""COMPUTED_VALUE"""),"General")</f>
        <v>General</v>
      </c>
      <c r="F119" s="3" t="str">
        <f>IFERROR(__xludf.DUMMYFUNCTION("""COMPUTED_VALUE"""),"Container Box; Claris; ; - Container/Box Plastik claris 70 liter (77x42x32) Type 1022")</f>
        <v>Container Box; Claris; ; - Container/Box Plastik claris 70 liter (77x42x32) Type 1022</v>
      </c>
      <c r="G119" s="3">
        <f>IFERROR(__xludf.DUMMYFUNCTION("""COMPUTED_VALUE"""),5.0)</f>
        <v>5</v>
      </c>
      <c r="H119" s="3" t="str">
        <f>IFERROR(__xludf.DUMMYFUNCTION("""COMPUTED_VALUE"""),"Pc")</f>
        <v>Pc</v>
      </c>
      <c r="I119" s="3" t="str">
        <f>IFERROR(__xludf.DUMMYFUNCTION("""COMPUTED_VALUE"""),"Klaris untuk simpan plastik dan spare PR 121702553")</f>
        <v>Klaris untuk simpan plastik dan spare PR 121702553</v>
      </c>
      <c r="J119" s="3" t="str">
        <f>IFERROR(__xludf.DUMMYFUNCTION("""COMPUTED_VALUE"""),"#N/A")</f>
        <v>#N/A</v>
      </c>
      <c r="K119" s="3" t="str">
        <f>IFERROR(__xludf.DUMMYFUNCTION("""COMPUTED_VALUE"""),"Approve")</f>
        <v>Approve</v>
      </c>
      <c r="L119" s="3" t="str">
        <f>IFERROR(__xludf.DUMMYFUNCTION("""COMPUTED_VALUE"""),"Normal")</f>
        <v>Normal</v>
      </c>
      <c r="M119" s="3" t="str">
        <f>IFERROR(__xludf.DUMMYFUNCTION("""COMPUTED_VALUE"""),"Non Urgent")</f>
        <v>Non Urgent</v>
      </c>
    </row>
    <row r="120">
      <c r="A120" s="4">
        <f>IFERROR(__xludf.DUMMYFUNCTION("""COMPUTED_VALUE"""),45756.247224074075)</f>
        <v>45756.24722</v>
      </c>
      <c r="B120" s="3" t="str">
        <f>IFERROR(__xludf.DUMMYFUNCTION("""COMPUTED_VALUE"""),"MFHRO0039")</f>
        <v>MFHRO0039</v>
      </c>
      <c r="C120" s="3" t="str">
        <f>IFERROR(__xludf.DUMMYFUNCTION("""COMPUTED_VALUE"""),"Consumable")</f>
        <v>Consumable</v>
      </c>
      <c r="D120" s="3" t="str">
        <f>IFERROR(__xludf.DUMMYFUNCTION("""COMPUTED_VALUE"""),"-")</f>
        <v>-</v>
      </c>
      <c r="E120" s="3" t="str">
        <f>IFERROR(__xludf.DUMMYFUNCTION("""COMPUTED_VALUE"""),"cRABS")</f>
        <v>cRABS</v>
      </c>
      <c r="F120" s="3" t="str">
        <f>IFERROR(__xludf.DUMMYFUNCTION("""COMPUTED_VALUE"""),"General - Isolator Glove Smaller glove CSM  (AS : E10330 Y 7 E4); Austar; ; 1 Pc")</f>
        <v>General - Isolator Glove Smaller glove CSM  (AS : E10330 Y 7 E4); Austar; ; 1 Pc</v>
      </c>
      <c r="G120" s="3">
        <f>IFERROR(__xludf.DUMMYFUNCTION("""COMPUTED_VALUE"""),20.0)</f>
        <v>20</v>
      </c>
      <c r="H120" s="3" t="str">
        <f>IFERROR(__xludf.DUMMYFUNCTION("""COMPUTED_VALUE"""),"Pc")</f>
        <v>Pc</v>
      </c>
      <c r="I120" s="3" t="str">
        <f>IFERROR(__xludf.DUMMYFUNCTION("""COMPUTED_VALUE"""),"Glove cRABS ke Austar PR 121702579")</f>
        <v>Glove cRABS ke Austar PR 121702579</v>
      </c>
      <c r="J120" s="3" t="str">
        <f>IFERROR(__xludf.DUMMYFUNCTION("""COMPUTED_VALUE"""),"O-20487-00")</f>
        <v>O-20487-00</v>
      </c>
      <c r="K120" s="3" t="str">
        <f>IFERROR(__xludf.DUMMYFUNCTION("""COMPUTED_VALUE"""),"Approve")</f>
        <v>Approve</v>
      </c>
      <c r="L120" s="3" t="str">
        <f>IFERROR(__xludf.DUMMYFUNCTION("""COMPUTED_VALUE"""),"Normal")</f>
        <v>Normal</v>
      </c>
      <c r="M120" s="3" t="str">
        <f>IFERROR(__xludf.DUMMYFUNCTION("""COMPUTED_VALUE"""),"Non Urgent")</f>
        <v>Non Urgent</v>
      </c>
    </row>
    <row r="121">
      <c r="A121" s="4">
        <f>IFERROR(__xludf.DUMMYFUNCTION("""COMPUTED_VALUE"""),45756.24822056713)</f>
        <v>45756.24822</v>
      </c>
      <c r="B121" s="3" t="str">
        <f>IFERROR(__xludf.DUMMYFUNCTION("""COMPUTED_VALUE"""),"MFHRO0040")</f>
        <v>MFHRO0040</v>
      </c>
      <c r="C121" s="3" t="str">
        <f>IFERROR(__xludf.DUMMYFUNCTION("""COMPUTED_VALUE"""),"Consumable")</f>
        <v>Consumable</v>
      </c>
      <c r="D121" s="3" t="str">
        <f>IFERROR(__xludf.DUMMYFUNCTION("""COMPUTED_VALUE"""),"-")</f>
        <v>-</v>
      </c>
      <c r="E121" s="3" t="str">
        <f>IFERROR(__xludf.DUMMYFUNCTION("""COMPUTED_VALUE"""),"Workshop")</f>
        <v>Workshop</v>
      </c>
      <c r="F121" s="3" t="str">
        <f>IFERROR(__xludf.DUMMYFUNCTION("""COMPUTED_VALUE"""),"General - Tungsten Electrodes dia 1.6 mm; No Brand; -; 1 pc")</f>
        <v>General - Tungsten Electrodes dia 1.6 mm; No Brand; -; 1 pc</v>
      </c>
      <c r="G121" s="3">
        <f>IFERROR(__xludf.DUMMYFUNCTION("""COMPUTED_VALUE"""),2.0)</f>
        <v>2</v>
      </c>
      <c r="H121" s="3" t="str">
        <f>IFERROR(__xludf.DUMMYFUNCTION("""COMPUTED_VALUE"""),"Pc")</f>
        <v>Pc</v>
      </c>
      <c r="I121" s="3" t="str">
        <f>IFERROR(__xludf.DUMMYFUNCTION("""COMPUTED_VALUE"""),"Tungstenm untuk stok workshop")</f>
        <v>Tungstenm untuk stok workshop</v>
      </c>
      <c r="J121" s="3" t="str">
        <f>IFERROR(__xludf.DUMMYFUNCTION("""COMPUTED_VALUE"""),"P-12920-00")</f>
        <v>P-12920-00</v>
      </c>
      <c r="K121" s="3" t="str">
        <f>IFERROR(__xludf.DUMMYFUNCTION("""COMPUTED_VALUE"""),"Approve")</f>
        <v>Approve</v>
      </c>
      <c r="L121" s="3" t="str">
        <f>IFERROR(__xludf.DUMMYFUNCTION("""COMPUTED_VALUE"""),"Normal")</f>
        <v>Normal</v>
      </c>
      <c r="M121" s="3" t="str">
        <f>IFERROR(__xludf.DUMMYFUNCTION("""COMPUTED_VALUE"""),"Non Urgent")</f>
        <v>Non Urgent</v>
      </c>
    </row>
    <row r="122">
      <c r="A122" s="4">
        <f>IFERROR(__xludf.DUMMYFUNCTION("""COMPUTED_VALUE"""),45756.24866356482)</f>
        <v>45756.24866</v>
      </c>
      <c r="B122" s="3" t="str">
        <f>IFERROR(__xludf.DUMMYFUNCTION("""COMPUTED_VALUE"""),"MFHRO0041")</f>
        <v>MFHRO0041</v>
      </c>
      <c r="C122" s="3" t="str">
        <f>IFERROR(__xludf.DUMMYFUNCTION("""COMPUTED_VALUE"""),"Consumable")</f>
        <v>Consumable</v>
      </c>
      <c r="D122" s="3" t="str">
        <f>IFERROR(__xludf.DUMMYFUNCTION("""COMPUTED_VALUE"""),"-")</f>
        <v>-</v>
      </c>
      <c r="E122" s="3" t="str">
        <f>IFERROR(__xludf.DUMMYFUNCTION("""COMPUTED_VALUE"""),"Capping")</f>
        <v>Capping</v>
      </c>
      <c r="F122" s="3" t="str">
        <f>IFERROR(__xludf.DUMMYFUNCTION("""COMPUTED_VALUE"""),"General - Oring Silicone Merah 23x18x2.5 mm; -; -; 1 Pc")</f>
        <v>General - Oring Silicone Merah 23x18x2.5 mm; -; -; 1 Pc</v>
      </c>
      <c r="G122" s="3">
        <f>IFERROR(__xludf.DUMMYFUNCTION("""COMPUTED_VALUE"""),300.0)</f>
        <v>300</v>
      </c>
      <c r="H122" s="3" t="str">
        <f>IFERROR(__xludf.DUMMYFUNCTION("""COMPUTED_VALUE"""),"Pc")</f>
        <v>Pc</v>
      </c>
      <c r="I122" s="3" t="str">
        <f>IFERROR(__xludf.DUMMYFUNCTION("""COMPUTED_VALUE"""),"Blanketing Oring Capping 1 tahun 2025 PR 121702583")</f>
        <v>Blanketing Oring Capping 1 tahun 2025 PR 121702583</v>
      </c>
      <c r="J122" s="3" t="str">
        <f>IFERROR(__xludf.DUMMYFUNCTION("""COMPUTED_VALUE"""),"O-16647-00")</f>
        <v>O-16647-00</v>
      </c>
      <c r="K122" s="3" t="str">
        <f>IFERROR(__xludf.DUMMYFUNCTION("""COMPUTED_VALUE"""),"Approve")</f>
        <v>Approve</v>
      </c>
      <c r="L122" s="3" t="str">
        <f>IFERROR(__xludf.DUMMYFUNCTION("""COMPUTED_VALUE"""),"Normal")</f>
        <v>Normal</v>
      </c>
      <c r="M122" s="3" t="str">
        <f>IFERROR(__xludf.DUMMYFUNCTION("""COMPUTED_VALUE"""),"Non Urgent")</f>
        <v>Non Urgent</v>
      </c>
    </row>
    <row r="123">
      <c r="A123" s="4">
        <f>IFERROR(__xludf.DUMMYFUNCTION("""COMPUTED_VALUE"""),45756.25163817129)</f>
        <v>45756.25164</v>
      </c>
      <c r="B123" s="3" t="str">
        <f>IFERROR(__xludf.DUMMYFUNCTION("""COMPUTED_VALUE"""),"MFHRO0042")</f>
        <v>MFHRO0042</v>
      </c>
      <c r="C123" s="3" t="str">
        <f>IFERROR(__xludf.DUMMYFUNCTION("""COMPUTED_VALUE"""),"MIn Stok")</f>
        <v>MIn Stok</v>
      </c>
      <c r="D123" s="3" t="str">
        <f>IFERROR(__xludf.DUMMYFUNCTION("""COMPUTED_VALUE"""),"-")</f>
        <v>-</v>
      </c>
      <c r="E123" s="3" t="str">
        <f>IFERROR(__xludf.DUMMYFUNCTION("""COMPUTED_VALUE"""),"WWTP")</f>
        <v>WWTP</v>
      </c>
      <c r="F123" s="3" t="str">
        <f>IFERROR(__xludf.DUMMYFUNCTION("""COMPUTED_VALUE"""),"General - Gearbox, Ratio I=14.3x, Frame 071, DIM.25x50, Flange Mounted, Helical Gear; Motovario; HA42 F; 1 unit")</f>
        <v>General - Gearbox, Ratio I=14.3x, Frame 071, DIM.25x50, Flange Mounted, Helical Gear; Motovario; HA42 F; 1 unit</v>
      </c>
      <c r="G123" s="3">
        <f>IFERROR(__xludf.DUMMYFUNCTION("""COMPUTED_VALUE"""),1.0)</f>
        <v>1</v>
      </c>
      <c r="H123" s="3" t="str">
        <f>IFERROR(__xludf.DUMMYFUNCTION("""COMPUTED_VALUE"""),"Pc")</f>
        <v>Pc</v>
      </c>
      <c r="I123" s="3" t="str">
        <f>IFERROR(__xludf.DUMMYFUNCTION("""COMPUTED_VALUE"""),"Min Stok Mixer Tangki SMBS PR 121702588")</f>
        <v>Min Stok Mixer Tangki SMBS PR 121702588</v>
      </c>
      <c r="J123" s="3" t="str">
        <f>IFERROR(__xludf.DUMMYFUNCTION("""COMPUTED_VALUE"""),"P-53399-00")</f>
        <v>P-53399-00</v>
      </c>
      <c r="K123" s="3" t="str">
        <f>IFERROR(__xludf.DUMMYFUNCTION("""COMPUTED_VALUE"""),"Approve")</f>
        <v>Approve</v>
      </c>
      <c r="L123" s="3" t="str">
        <f>IFERROR(__xludf.DUMMYFUNCTION("""COMPUTED_VALUE"""),"Normal")</f>
        <v>Normal</v>
      </c>
      <c r="M123" s="3" t="str">
        <f>IFERROR(__xludf.DUMMYFUNCTION("""COMPUTED_VALUE"""),"Non Urgent")</f>
        <v>Non Urgent</v>
      </c>
    </row>
    <row r="124">
      <c r="A124" s="4">
        <f>IFERROR(__xludf.DUMMYFUNCTION("""COMPUTED_VALUE"""),45756.252202291675)</f>
        <v>45756.2522</v>
      </c>
      <c r="B124" s="3" t="str">
        <f>IFERROR(__xludf.DUMMYFUNCTION("""COMPUTED_VALUE"""),"MFHRO0043")</f>
        <v>MFHRO0043</v>
      </c>
      <c r="C124" s="3" t="str">
        <f>IFERROR(__xludf.DUMMYFUNCTION("""COMPUTED_VALUE"""),"MIn Stok")</f>
        <v>MIn Stok</v>
      </c>
      <c r="D124" s="3" t="str">
        <f>IFERROR(__xludf.DUMMYFUNCTION("""COMPUTED_VALUE"""),"-")</f>
        <v>-</v>
      </c>
      <c r="E124" s="3" t="str">
        <f>IFERROR(__xludf.DUMMYFUNCTION("""COMPUTED_VALUE"""),"WWTP")</f>
        <v>WWTP</v>
      </c>
      <c r="F124" s="3" t="str">
        <f>IFERROR(__xludf.DUMMYFUNCTION("""COMPUTED_VALUE"""),"General - Electric motor, 0.37 Kw, S1, 230-400V, 50 Hz, B5, ISOL.Class F, IP55 IE2; Motovario; TH 71B4; 1 unit")</f>
        <v>General - Electric motor, 0.37 Kw, S1, 230-400V, 50 Hz, B5, ISOL.Class F, IP55 IE2; Motovario; TH 71B4; 1 unit</v>
      </c>
      <c r="G124" s="3">
        <f>IFERROR(__xludf.DUMMYFUNCTION("""COMPUTED_VALUE"""),1.0)</f>
        <v>1</v>
      </c>
      <c r="H124" s="3" t="str">
        <f>IFERROR(__xludf.DUMMYFUNCTION("""COMPUTED_VALUE"""),"Pc")</f>
        <v>Pc</v>
      </c>
      <c r="I124" s="3" t="str">
        <f>IFERROR(__xludf.DUMMYFUNCTION("""COMPUTED_VALUE"""),"Min Stok Mixer Tangki SMBS PR 121702588")</f>
        <v>Min Stok Mixer Tangki SMBS PR 121702588</v>
      </c>
      <c r="J124" s="3" t="str">
        <f>IFERROR(__xludf.DUMMYFUNCTION("""COMPUTED_VALUE"""),"P-53398-00")</f>
        <v>P-53398-00</v>
      </c>
      <c r="K124" s="3" t="str">
        <f>IFERROR(__xludf.DUMMYFUNCTION("""COMPUTED_VALUE"""),"Approve")</f>
        <v>Approve</v>
      </c>
      <c r="L124" s="3" t="str">
        <f>IFERROR(__xludf.DUMMYFUNCTION("""COMPUTED_VALUE"""),"Normal")</f>
        <v>Normal</v>
      </c>
      <c r="M124" s="3" t="str">
        <f>IFERROR(__xludf.DUMMYFUNCTION("""COMPUTED_VALUE"""),"Non Urgent")</f>
        <v>Non Urgent</v>
      </c>
    </row>
    <row r="125">
      <c r="A125" s="4">
        <f>IFERROR(__xludf.DUMMYFUNCTION("""COMPUTED_VALUE"""),45756.25264371528)</f>
        <v>45756.25264</v>
      </c>
      <c r="B125" s="3" t="str">
        <f>IFERROR(__xludf.DUMMYFUNCTION("""COMPUTED_VALUE"""),"MFHRO0044")</f>
        <v>MFHRO0044</v>
      </c>
      <c r="C125" s="3" t="str">
        <f>IFERROR(__xludf.DUMMYFUNCTION("""COMPUTED_VALUE"""),"MIn Stok")</f>
        <v>MIn Stok</v>
      </c>
      <c r="D125" s="3" t="str">
        <f>IFERROR(__xludf.DUMMYFUNCTION("""COMPUTED_VALUE"""),"-")</f>
        <v>-</v>
      </c>
      <c r="E125" s="3" t="str">
        <f>IFERROR(__xludf.DUMMYFUNCTION("""COMPUTED_VALUE"""),"WWTP")</f>
        <v>WWTP</v>
      </c>
      <c r="F125" s="3" t="str">
        <f>IFERROR(__xludf.DUMMYFUNCTION("""COMPUTED_VALUE"""),"General - Gearbox, Ratio I=14.5, Frame 090, DIM. 30x60, Flange Mounted, Helical Gear; Motovario; HA52; 1 unit")</f>
        <v>General - Gearbox, Ratio I=14.5, Frame 090, DIM. 30x60, Flange Mounted, Helical Gear; Motovario; HA52; 1 unit</v>
      </c>
      <c r="G125" s="3">
        <f>IFERROR(__xludf.DUMMYFUNCTION("""COMPUTED_VALUE"""),2.0)</f>
        <v>2</v>
      </c>
      <c r="H125" s="3" t="str">
        <f>IFERROR(__xludf.DUMMYFUNCTION("""COMPUTED_VALUE"""),"Pc")</f>
        <v>Pc</v>
      </c>
      <c r="I125" s="3" t="str">
        <f>IFERROR(__xludf.DUMMYFUNCTION("""COMPUTED_VALUE"""),"Min Stok Mixer Tangki SMBS PR 121702588")</f>
        <v>Min Stok Mixer Tangki SMBS PR 121702588</v>
      </c>
      <c r="J125" s="3" t="str">
        <f>IFERROR(__xludf.DUMMYFUNCTION("""COMPUTED_VALUE"""),"P-53400-00")</f>
        <v>P-53400-00</v>
      </c>
      <c r="K125" s="3" t="str">
        <f>IFERROR(__xludf.DUMMYFUNCTION("""COMPUTED_VALUE"""),"Approve")</f>
        <v>Approve</v>
      </c>
      <c r="L125" s="3" t="str">
        <f>IFERROR(__xludf.DUMMYFUNCTION("""COMPUTED_VALUE"""),"Normal")</f>
        <v>Normal</v>
      </c>
      <c r="M125" s="3" t="str">
        <f>IFERROR(__xludf.DUMMYFUNCTION("""COMPUTED_VALUE"""),"Non Urgent")</f>
        <v>Non Urgent</v>
      </c>
    </row>
    <row r="126">
      <c r="A126" s="4">
        <f>IFERROR(__xludf.DUMMYFUNCTION("""COMPUTED_VALUE"""),45756.2529860301)</f>
        <v>45756.25299</v>
      </c>
      <c r="B126" s="3" t="str">
        <f>IFERROR(__xludf.DUMMYFUNCTION("""COMPUTED_VALUE"""),"MFHRO0045")</f>
        <v>MFHRO0045</v>
      </c>
      <c r="C126" s="3" t="str">
        <f>IFERROR(__xludf.DUMMYFUNCTION("""COMPUTED_VALUE"""),"MIn Stok")</f>
        <v>MIn Stok</v>
      </c>
      <c r="D126" s="3" t="str">
        <f>IFERROR(__xludf.DUMMYFUNCTION("""COMPUTED_VALUE"""),"-")</f>
        <v>-</v>
      </c>
      <c r="E126" s="3" t="str">
        <f>IFERROR(__xludf.DUMMYFUNCTION("""COMPUTED_VALUE"""),"WWTP")</f>
        <v>WWTP</v>
      </c>
      <c r="F126" s="3" t="str">
        <f>IFERROR(__xludf.DUMMYFUNCTION("""COMPUTED_VALUE"""),"General - Electric Motor, 1.5 KW, 230-400V, 50Hz, B5, ISOL.Class F, IP55, IE3; Motovario; TP 90L4; 1 unit")</f>
        <v>General - Electric Motor, 1.5 KW, 230-400V, 50Hz, B5, ISOL.Class F, IP55, IE3; Motovario; TP 90L4; 1 unit</v>
      </c>
      <c r="G126" s="3">
        <f>IFERROR(__xludf.DUMMYFUNCTION("""COMPUTED_VALUE"""),2.0)</f>
        <v>2</v>
      </c>
      <c r="H126" s="3" t="str">
        <f>IFERROR(__xludf.DUMMYFUNCTION("""COMPUTED_VALUE"""),"Pc")</f>
        <v>Pc</v>
      </c>
      <c r="I126" s="3" t="str">
        <f>IFERROR(__xludf.DUMMYFUNCTION("""COMPUTED_VALUE"""),"Min Stok Mixer Tangki SMBS PR 121702588")</f>
        <v>Min Stok Mixer Tangki SMBS PR 121702588</v>
      </c>
      <c r="J126" s="3" t="str">
        <f>IFERROR(__xludf.DUMMYFUNCTION("""COMPUTED_VALUE"""),"P-53401-00")</f>
        <v>P-53401-00</v>
      </c>
      <c r="K126" s="3" t="str">
        <f>IFERROR(__xludf.DUMMYFUNCTION("""COMPUTED_VALUE"""),"Approve")</f>
        <v>Approve</v>
      </c>
      <c r="L126" s="3" t="str">
        <f>IFERROR(__xludf.DUMMYFUNCTION("""COMPUTED_VALUE"""),"Normal")</f>
        <v>Normal</v>
      </c>
      <c r="M126" s="3" t="str">
        <f>IFERROR(__xludf.DUMMYFUNCTION("""COMPUTED_VALUE"""),"Non Urgent")</f>
        <v>Non Urgent</v>
      </c>
    </row>
    <row r="127">
      <c r="A127" s="4">
        <f>IFERROR(__xludf.DUMMYFUNCTION("""COMPUTED_VALUE"""),45757.675373240745)</f>
        <v>45757.67537</v>
      </c>
      <c r="B127" s="3" t="str">
        <f>IFERROR(__xludf.DUMMYFUNCTION("""COMPUTED_VALUE"""),"MOBRO0030")</f>
        <v>MOBRO0030</v>
      </c>
      <c r="C127" s="3" t="str">
        <f>IFERROR(__xludf.DUMMYFUNCTION("""COMPUTED_VALUE"""),"Consumable")</f>
        <v>Consumable</v>
      </c>
      <c r="D127" s="3" t="str">
        <f>IFERROR(__xludf.DUMMYFUNCTION("""COMPUTED_VALUE"""),"-")</f>
        <v>-</v>
      </c>
      <c r="E127" s="3" t="str">
        <f>IFERROR(__xludf.DUMMYFUNCTION("""COMPUTED_VALUE"""),"AHU")</f>
        <v>AHU</v>
      </c>
      <c r="F127" s="3" t="str">
        <f>IFERROR(__xludf.DUMMYFUNCTION("""COMPUTED_VALUE"""),"General - Pulser SCR Heater Controller Wall Mounted 0-10 VD DC; Regin; 240-X010; 1 unit")</f>
        <v>General - Pulser SCR Heater Controller Wall Mounted 0-10 VD DC; Regin; 240-X010; 1 unit</v>
      </c>
      <c r="G127" s="3">
        <f>IFERROR(__xludf.DUMMYFUNCTION("""COMPUTED_VALUE"""),4.0)</f>
        <v>4</v>
      </c>
      <c r="H127" s="3" t="str">
        <f>IFERROR(__xludf.DUMMYFUNCTION("""COMPUTED_VALUE"""),"Pcs")</f>
        <v>Pcs</v>
      </c>
      <c r="I127" s="3" t="str">
        <f>IFERROR(__xludf.DUMMYFUNCTION("""COMPUTED_VALUE"""),"Stok Habis")</f>
        <v>Stok Habis</v>
      </c>
      <c r="J127" s="3" t="str">
        <f>IFERROR(__xludf.DUMMYFUNCTION("""COMPUTED_VALUE"""),"P-13370-00")</f>
        <v>P-13370-00</v>
      </c>
      <c r="K127" s="3" t="str">
        <f>IFERROR(__xludf.DUMMYFUNCTION("""COMPUTED_VALUE"""),"Approve")</f>
        <v>Approve</v>
      </c>
      <c r="L127" s="3" t="str">
        <f>IFERROR(__xludf.DUMMYFUNCTION("""COMPUTED_VALUE"""),"Normal")</f>
        <v>Normal</v>
      </c>
      <c r="M127" s="3" t="str">
        <f>IFERROR(__xludf.DUMMYFUNCTION("""COMPUTED_VALUE"""),"Non Urgent")</f>
        <v>Non Urgent</v>
      </c>
    </row>
    <row r="128">
      <c r="A128" s="4">
        <f>IFERROR(__xludf.DUMMYFUNCTION("""COMPUTED_VALUE"""),45757.676482731484)</f>
        <v>45757.67648</v>
      </c>
      <c r="B128" s="3" t="str">
        <f>IFERROR(__xludf.DUMMYFUNCTION("""COMPUTED_VALUE"""),"MOBRO0031")</f>
        <v>MOBRO0031</v>
      </c>
      <c r="C128" s="3" t="str">
        <f>IFERROR(__xludf.DUMMYFUNCTION("""COMPUTED_VALUE"""),"Consumable")</f>
        <v>Consumable</v>
      </c>
      <c r="D128" s="3" t="str">
        <f>IFERROR(__xludf.DUMMYFUNCTION("""COMPUTED_VALUE"""),"-")</f>
        <v>-</v>
      </c>
      <c r="E128" s="3" t="str">
        <f>IFERROR(__xludf.DUMMYFUNCTION("""COMPUTED_VALUE"""),"WWTP")</f>
        <v>WWTP</v>
      </c>
      <c r="F128" s="3" t="str">
        <f>IFERROR(__xludf.DUMMYFUNCTION("""COMPUTED_VALUE"""),"Gelas Ukur 1000 ml Class A ; Brand : Iwaki ; CN : 3022-1000-N")</f>
        <v>Gelas Ukur 1000 ml Class A ; Brand : Iwaki ; CN : 3022-1000-N</v>
      </c>
      <c r="G128" s="3">
        <f>IFERROR(__xludf.DUMMYFUNCTION("""COMPUTED_VALUE"""),1.0)</f>
        <v>1</v>
      </c>
      <c r="H128" s="3" t="str">
        <f>IFERROR(__xludf.DUMMYFUNCTION("""COMPUTED_VALUE"""),"Pcs")</f>
        <v>Pcs</v>
      </c>
      <c r="I128" s="3" t="str">
        <f>IFERROR(__xludf.DUMMYFUNCTION("""COMPUTED_VALUE"""),"Spare")</f>
        <v>Spare</v>
      </c>
      <c r="J128" s="3" t="str">
        <f>IFERROR(__xludf.DUMMYFUNCTION("""COMPUTED_VALUE"""),"S-50264-00")</f>
        <v>S-50264-00</v>
      </c>
      <c r="K128" s="3" t="str">
        <f>IFERROR(__xludf.DUMMYFUNCTION("""COMPUTED_VALUE"""),"Approve")</f>
        <v>Approve</v>
      </c>
      <c r="L128" s="3" t="str">
        <f>IFERROR(__xludf.DUMMYFUNCTION("""COMPUTED_VALUE"""),"Normal")</f>
        <v>Normal</v>
      </c>
      <c r="M128" s="3" t="str">
        <f>IFERROR(__xludf.DUMMYFUNCTION("""COMPUTED_VALUE"""),"Non Urgent")</f>
        <v>Non Urgent</v>
      </c>
    </row>
    <row r="129">
      <c r="A129" s="4">
        <f>IFERROR(__xludf.DUMMYFUNCTION("""COMPUTED_VALUE"""),45761.670253518525)</f>
        <v>45761.67025</v>
      </c>
      <c r="B129" s="3" t="str">
        <f>IFERROR(__xludf.DUMMYFUNCTION("""COMPUTED_VALUE"""),"ROSRO0003")</f>
        <v>ROSRO0003</v>
      </c>
      <c r="C129" s="3" t="str">
        <f>IFERROR(__xludf.DUMMYFUNCTION("""COMPUTED_VALUE"""),"EJO")</f>
        <v>EJO</v>
      </c>
      <c r="D129" s="3" t="str">
        <f>IFERROR(__xludf.DUMMYFUNCTION("""COMPUTED_VALUE"""),"EJO/2025/04/57")</f>
        <v>EJO/2025/04/57</v>
      </c>
      <c r="E129" s="3" t="str">
        <f>IFERROR(__xludf.DUMMYFUNCTION("""COMPUTED_VALUE"""),"HPLC 1")</f>
        <v>HPLC 1</v>
      </c>
      <c r="F129" s="3" t="str">
        <f>IFERROR(__xludf.DUMMYFUNCTION("""COMPUTED_VALUE"""),"Heater/Cooler Engine 2690; Waters; 700001066;")</f>
        <v>Heater/Cooler Engine 2690; Waters; 700001066;</v>
      </c>
      <c r="G129" s="3">
        <f>IFERROR(__xludf.DUMMYFUNCTION("""COMPUTED_VALUE"""),1.0)</f>
        <v>1</v>
      </c>
      <c r="H129" s="3" t="str">
        <f>IFERROR(__xludf.DUMMYFUNCTION("""COMPUTED_VALUE"""),"Set")</f>
        <v>Set</v>
      </c>
      <c r="I129" s="3" t="str">
        <f>IFERROR(__xludf.DUMMYFUNCTION("""COMPUTED_VALUE"""),"Sample Cooler buat HPLC 1")</f>
        <v>Sample Cooler buat HPLC 1</v>
      </c>
      <c r="J129" s="3" t="str">
        <f>IFERROR(__xludf.DUMMYFUNCTION("""COMPUTED_VALUE"""),"T-20791-00")</f>
        <v>T-20791-00</v>
      </c>
      <c r="K129" s="3" t="str">
        <f>IFERROR(__xludf.DUMMYFUNCTION("""COMPUTED_VALUE"""),"Approve")</f>
        <v>Approve</v>
      </c>
      <c r="L129" s="3" t="str">
        <f>IFERROR(__xludf.DUMMYFUNCTION("""COMPUTED_VALUE"""),"Normal")</f>
        <v>Normal</v>
      </c>
      <c r="M129" s="3" t="str">
        <f>IFERROR(__xludf.DUMMYFUNCTION("""COMPUTED_VALUE"""),"Non Urgent")</f>
        <v>Non Urgent</v>
      </c>
    </row>
    <row r="130">
      <c r="A130" s="4">
        <f>IFERROR(__xludf.DUMMYFUNCTION("""COMPUTED_VALUE"""),45762.66750984953)</f>
        <v>45762.66751</v>
      </c>
      <c r="B130" s="3" t="str">
        <f>IFERROR(__xludf.DUMMYFUNCTION("""COMPUTED_VALUE"""),"RIARO0025")</f>
        <v>RIARO0025</v>
      </c>
      <c r="C130" s="3" t="str">
        <f>IFERROR(__xludf.DUMMYFUNCTION("""COMPUTED_VALUE"""),"EJO")</f>
        <v>EJO</v>
      </c>
      <c r="D130" s="3" t="str">
        <f>IFERROR(__xludf.DUMMYFUNCTION("""COMPUTED_VALUE"""),"EJO/2025/04/75")</f>
        <v>EJO/2025/04/75</v>
      </c>
      <c r="E130" s="3" t="str">
        <f>IFERROR(__xludf.DUMMYFUNCTION("""COMPUTED_VALUE"""),"B12")</f>
        <v>B12</v>
      </c>
      <c r="F130" s="3" t="str">
        <f>IFERROR(__xludf.DUMMYFUNCTION("""COMPUTED_VALUE"""),"General - Pulser SCR Heater Controller Wall Mounted 0-10 VD DC; Regin; 240-X010; 1 unit")</f>
        <v>General - Pulser SCR Heater Controller Wall Mounted 0-10 VD DC; Regin; 240-X010; 1 unit</v>
      </c>
      <c r="G130" s="3">
        <f>IFERROR(__xludf.DUMMYFUNCTION("""COMPUTED_VALUE"""),2.0)</f>
        <v>2</v>
      </c>
      <c r="H130" s="3" t="str">
        <f>IFERROR(__xludf.DUMMYFUNCTION("""COMPUTED_VALUE"""),"Pcs")</f>
        <v>Pcs</v>
      </c>
      <c r="I130" s="3" t="str">
        <f>IFERROR(__xludf.DUMMYFUNCTION("""COMPUTED_VALUE"""),"Untuk mengganti pada filling dan buffer")</f>
        <v>Untuk mengganti pada filling dan buffer</v>
      </c>
      <c r="J130" s="3" t="str">
        <f>IFERROR(__xludf.DUMMYFUNCTION("""COMPUTED_VALUE"""),"P-13370-00")</f>
        <v>P-13370-00</v>
      </c>
      <c r="K130" s="3" t="str">
        <f>IFERROR(__xludf.DUMMYFUNCTION("""COMPUTED_VALUE"""),"Approve")</f>
        <v>Approve</v>
      </c>
      <c r="L130" s="3" t="str">
        <f>IFERROR(__xludf.DUMMYFUNCTION("""COMPUTED_VALUE"""),"Normal")</f>
        <v>Normal</v>
      </c>
      <c r="M130" s="3" t="str">
        <f>IFERROR(__xludf.DUMMYFUNCTION("""COMPUTED_VALUE"""),"Non Urgent")</f>
        <v>Non Urgent</v>
      </c>
    </row>
    <row r="131">
      <c r="A131" s="4">
        <f>IFERROR(__xludf.DUMMYFUNCTION("""COMPUTED_VALUE"""),45762.66919855324)</f>
        <v>45762.6692</v>
      </c>
      <c r="B131" s="3" t="str">
        <f>IFERROR(__xludf.DUMMYFUNCTION("""COMPUTED_VALUE"""),"RIARO0026")</f>
        <v>RIARO0026</v>
      </c>
      <c r="C131" s="3" t="str">
        <f>IFERROR(__xludf.DUMMYFUNCTION("""COMPUTED_VALUE"""),"EJO")</f>
        <v>EJO</v>
      </c>
      <c r="D131" s="3" t="str">
        <f>IFERROR(__xludf.DUMMYFUNCTION("""COMPUTED_VALUE"""),"EJO/2025/04/76")</f>
        <v>EJO/2025/04/76</v>
      </c>
      <c r="E131" s="3" t="str">
        <f>IFERROR(__xludf.DUMMYFUNCTION("""COMPUTED_VALUE"""),"D13")</f>
        <v>D13</v>
      </c>
      <c r="F131" s="3" t="str">
        <f>IFERROR(__xludf.DUMMYFUNCTION("""COMPUTED_VALUE"""),"General - Pulser SCR Heater Controller Wall Mounted 0-10 VD DC; Regin; 240-X010; 1 unit")</f>
        <v>General - Pulser SCR Heater Controller Wall Mounted 0-10 VD DC; Regin; 240-X010; 1 unit</v>
      </c>
      <c r="G131" s="3">
        <f>IFERROR(__xludf.DUMMYFUNCTION("""COMPUTED_VALUE"""),2.0)</f>
        <v>2</v>
      </c>
      <c r="H131" s="3" t="str">
        <f>IFERROR(__xludf.DUMMYFUNCTION("""COMPUTED_VALUE"""),"Pcs")</f>
        <v>Pcs</v>
      </c>
      <c r="I131" s="3" t="str">
        <f>IFERROR(__xludf.DUMMYFUNCTION("""COMPUTED_VALUE"""),"Untuk mengganti pada Vial Washing Tunnel dan Washing")</f>
        <v>Untuk mengganti pada Vial Washing Tunnel dan Washing</v>
      </c>
      <c r="J131" s="3" t="str">
        <f>IFERROR(__xludf.DUMMYFUNCTION("""COMPUTED_VALUE"""),"P-13370-00")</f>
        <v>P-13370-00</v>
      </c>
      <c r="K131" s="3" t="str">
        <f>IFERROR(__xludf.DUMMYFUNCTION("""COMPUTED_VALUE"""),"Approve")</f>
        <v>Approve</v>
      </c>
      <c r="L131" s="3" t="str">
        <f>IFERROR(__xludf.DUMMYFUNCTION("""COMPUTED_VALUE"""),"Normal")</f>
        <v>Normal</v>
      </c>
      <c r="M131" s="3" t="str">
        <f>IFERROR(__xludf.DUMMYFUNCTION("""COMPUTED_VALUE"""),"Non Urgent")</f>
        <v>Non Urgent</v>
      </c>
    </row>
    <row r="132">
      <c r="A132" s="4">
        <f>IFERROR(__xludf.DUMMYFUNCTION("""COMPUTED_VALUE"""),45762.74859664352)</f>
        <v>45762.7486</v>
      </c>
      <c r="B132" s="3" t="str">
        <f>IFERROR(__xludf.DUMMYFUNCTION("""COMPUTED_VALUE"""),"RIARO0027")</f>
        <v>RIARO0027</v>
      </c>
      <c r="C132" s="3" t="str">
        <f>IFERROR(__xludf.DUMMYFUNCTION("""COMPUTED_VALUE"""),"EJO")</f>
        <v>EJO</v>
      </c>
      <c r="D132" s="3" t="str">
        <f>IFERROR(__xludf.DUMMYFUNCTION("""COMPUTED_VALUE"""),"EJO/2025/04/18")</f>
        <v>EJO/2025/04/18</v>
      </c>
      <c r="E132" s="3" t="str">
        <f>IFERROR(__xludf.DUMMYFUNCTION("""COMPUTED_VALUE"""),"All Room New")</f>
        <v>All Room New</v>
      </c>
      <c r="F132" s="3" t="str">
        <f>IFERROR(__xludf.DUMMYFUNCTION("""COMPUTED_VALUE"""),"Cable Temperature Sensor Silicone 1,5m PT1000 QAP2012.150")</f>
        <v>Cable Temperature Sensor Silicone 1,5m PT1000 QAP2012.150</v>
      </c>
      <c r="G132" s="3">
        <f>IFERROR(__xludf.DUMMYFUNCTION("""COMPUTED_VALUE"""),4.0)</f>
        <v>4</v>
      </c>
      <c r="H132" s="3" t="str">
        <f>IFERROR(__xludf.DUMMYFUNCTION("""COMPUTED_VALUE"""),"Pcs")</f>
        <v>Pcs</v>
      </c>
      <c r="I132" s="3" t="str">
        <f>IFERROR(__xludf.DUMMYFUNCTION("""COMPUTED_VALUE"""),"Untuk alarm system ruangan baru")</f>
        <v>Untuk alarm system ruangan baru</v>
      </c>
      <c r="J132" s="3" t="str">
        <f>IFERROR(__xludf.DUMMYFUNCTION("""COMPUTED_VALUE"""),"O-53032-00")</f>
        <v>O-53032-00</v>
      </c>
      <c r="K132" s="3" t="str">
        <f>IFERROR(__xludf.DUMMYFUNCTION("""COMPUTED_VALUE"""),"Approve")</f>
        <v>Approve</v>
      </c>
      <c r="L132" s="3" t="str">
        <f>IFERROR(__xludf.DUMMYFUNCTION("""COMPUTED_VALUE"""),"Normal")</f>
        <v>Normal</v>
      </c>
      <c r="M132" s="3" t="str">
        <f>IFERROR(__xludf.DUMMYFUNCTION("""COMPUTED_VALUE"""),"Non Urgent")</f>
        <v>Non Urgent</v>
      </c>
    </row>
    <row r="133">
      <c r="A133" s="4">
        <f>IFERROR(__xludf.DUMMYFUNCTION("""COMPUTED_VALUE"""),45762.96033415509)</f>
        <v>45762.96033</v>
      </c>
      <c r="B133" s="3" t="str">
        <f>IFERROR(__xludf.DUMMYFUNCTION("""COMPUTED_VALUE"""),"INNRO0002")</f>
        <v>INNRO0002</v>
      </c>
      <c r="C133" s="3" t="str">
        <f>IFERROR(__xludf.DUMMYFUNCTION("""COMPUTED_VALUE"""),"EJO")</f>
        <v>EJO</v>
      </c>
      <c r="D133" s="3" t="str">
        <f>IFERROR(__xludf.DUMMYFUNCTION("""COMPUTED_VALUE"""),"EJO/2025/03/146")</f>
        <v>EJO/2025/03/146</v>
      </c>
      <c r="E133" s="3" t="str">
        <f>IFERROR(__xludf.DUMMYFUNCTION("""COMPUTED_VALUE"""),"Autoclave Decontam")</f>
        <v>Autoclave Decontam</v>
      </c>
      <c r="F133" s="3" t="str">
        <f>IFERROR(__xludf.DUMMYFUNCTION("""COMPUTED_VALUE"""),"Autoclave Fedegari FVA2/A1 - Vacuum Compressor  2BV3 151-0GW02-1E; ELMO RIETSCHLE; ;")</f>
        <v>Autoclave Fedegari FVA2/A1 - Vacuum Compressor  2BV3 151-0GW02-1E; ELMO RIETSCHLE; ;</v>
      </c>
      <c r="G133" s="3">
        <f>IFERROR(__xludf.DUMMYFUNCTION("""COMPUTED_VALUE"""),1.0)</f>
        <v>1</v>
      </c>
      <c r="H133" s="3" t="str">
        <f>IFERROR(__xludf.DUMMYFUNCTION("""COMPUTED_VALUE"""),"Unit")</f>
        <v>Unit</v>
      </c>
      <c r="I133" s="3" t="str">
        <f>IFERROR(__xludf.DUMMYFUNCTION("""COMPUTED_VALUE"""),"Untuk vacuum pump Autoclave decontam ")</f>
        <v>Untuk vacuum pump Autoclave decontam </v>
      </c>
      <c r="J133" s="3" t="str">
        <f>IFERROR(__xludf.DUMMYFUNCTION("""COMPUTED_VALUE"""),"O-54161-00")</f>
        <v>O-54161-00</v>
      </c>
      <c r="K133" s="3" t="str">
        <f>IFERROR(__xludf.DUMMYFUNCTION("""COMPUTED_VALUE"""),"Approve")</f>
        <v>Approve</v>
      </c>
      <c r="L133" s="3" t="str">
        <f>IFERROR(__xludf.DUMMYFUNCTION("""COMPUTED_VALUE"""),"Normal")</f>
        <v>Normal</v>
      </c>
      <c r="M133" s="3" t="str">
        <f>IFERROR(__xludf.DUMMYFUNCTION("""COMPUTED_VALUE"""),"Non Urgent")</f>
        <v>Non Urgent</v>
      </c>
    </row>
    <row r="134">
      <c r="A134" s="4">
        <f>IFERROR(__xludf.DUMMYFUNCTION("""COMPUTED_VALUE"""),45763.662788657406)</f>
        <v>45763.66279</v>
      </c>
      <c r="B134" s="3" t="str">
        <f>IFERROR(__xludf.DUMMYFUNCTION("""COMPUTED_VALUE"""),"RIARO0028")</f>
        <v>RIARO0028</v>
      </c>
      <c r="C134" s="3" t="str">
        <f>IFERROR(__xludf.DUMMYFUNCTION("""COMPUTED_VALUE"""),"EJO")</f>
        <v>EJO</v>
      </c>
      <c r="D134" s="3" t="str">
        <f>IFERROR(__xludf.DUMMYFUNCTION("""COMPUTED_VALUE"""),"EJO/2024/12/155")</f>
        <v>EJO/2024/12/155</v>
      </c>
      <c r="E134" s="3" t="str">
        <f>IFERROR(__xludf.DUMMYFUNCTION("""COMPUTED_VALUE"""),"B12")</f>
        <v>B12</v>
      </c>
      <c r="F134" s="3" t="str">
        <f>IFERROR(__xludf.DUMMYFUNCTION("""COMPUTED_VALUE"""),"Electronic Valve Actuator ; Brand : Siemens ; P/N : SQS65 ; Pack Size : pcs")</f>
        <v>Electronic Valve Actuator ; Brand : Siemens ; P/N : SQS65 ; Pack Size : pcs</v>
      </c>
      <c r="G134" s="3">
        <f>IFERROR(__xludf.DUMMYFUNCTION("""COMPUTED_VALUE"""),2.0)</f>
        <v>2</v>
      </c>
      <c r="H134" s="3" t="str">
        <f>IFERROR(__xludf.DUMMYFUNCTION("""COMPUTED_VALUE"""),"Pcs")</f>
        <v>Pcs</v>
      </c>
      <c r="I134" s="3" t="str">
        <f>IFERROR(__xludf.DUMMYFUNCTION("""COMPUTED_VALUE"""),"Untuk ganti motorized hot water, 1 buat spare")</f>
        <v>Untuk ganti motorized hot water, 1 buat spare</v>
      </c>
      <c r="J134" s="3" t="str">
        <f>IFERROR(__xludf.DUMMYFUNCTION("""COMPUTED_VALUE"""),"P-13754-00")</f>
        <v>P-13754-00</v>
      </c>
      <c r="K134" s="3" t="str">
        <f>IFERROR(__xludf.DUMMYFUNCTION("""COMPUTED_VALUE"""),"Reject")</f>
        <v>Reject</v>
      </c>
      <c r="L134" s="3" t="str">
        <f>IFERROR(__xludf.DUMMYFUNCTION("""COMPUTED_VALUE"""),"Normal")</f>
        <v>Normal</v>
      </c>
      <c r="M134" s="3" t="str">
        <f>IFERROR(__xludf.DUMMYFUNCTION("""COMPUTED_VALUE"""),"Non Urgent")</f>
        <v>Non Urgent</v>
      </c>
    </row>
    <row r="135">
      <c r="A135" s="4">
        <f>IFERROR(__xludf.DUMMYFUNCTION("""COMPUTED_VALUE"""),45763.88987730324)</f>
        <v>45763.88988</v>
      </c>
      <c r="B135" s="3" t="str">
        <f>IFERROR(__xludf.DUMMYFUNCTION("""COMPUTED_VALUE"""),"MRNRO0012")</f>
        <v>MRNRO0012</v>
      </c>
      <c r="C135" s="3" t="str">
        <f>IFERROR(__xludf.DUMMYFUNCTION("""COMPUTED_VALUE"""),"MIn Stok")</f>
        <v>MIn Stok</v>
      </c>
      <c r="D135" s="3" t="str">
        <f>IFERROR(__xludf.DUMMYFUNCTION("""COMPUTED_VALUE"""),"-")</f>
        <v>-</v>
      </c>
      <c r="E135" s="3" t="str">
        <f>IFERROR(__xludf.DUMMYFUNCTION("""COMPUTED_VALUE"""),"Utility")</f>
        <v>Utility</v>
      </c>
      <c r="F135" s="3" t="str">
        <f>IFERROR(__xludf.DUMMYFUNCTION("""COMPUTED_VALUE"""),"General - Washable G4 Avg arrestance : 94%. Rec. Final resistance: 250 Pa. Size: 24"" x 24"" x 2""; IAF; ; pcs")</f>
        <v>General - Washable G4 Avg arrestance : 94%. Rec. Final resistance: 250 Pa. Size: 24" x 24" x 2"; IAF; ; pcs</v>
      </c>
      <c r="G135" s="3">
        <f>IFERROR(__xludf.DUMMYFUNCTION("""COMPUTED_VALUE"""),20.0)</f>
        <v>20</v>
      </c>
      <c r="H135" s="3" t="str">
        <f>IFERROR(__xludf.DUMMYFUNCTION("""COMPUTED_VALUE"""),"pcs")</f>
        <v>pcs</v>
      </c>
      <c r="I135" s="3" t="str">
        <f>IFERROR(__xludf.DUMMYFUNCTION("""COMPUTED_VALUE"""),"Buat backup penggantian ketika filter belum kering")</f>
        <v>Buat backup penggantian ketika filter belum kering</v>
      </c>
      <c r="J135" s="3" t="str">
        <f>IFERROR(__xludf.DUMMYFUNCTION("""COMPUTED_VALUE"""),"P-19028-00")</f>
        <v>P-19028-00</v>
      </c>
      <c r="K135" s="3" t="str">
        <f>IFERROR(__xludf.DUMMYFUNCTION("""COMPUTED_VALUE"""),"Approve")</f>
        <v>Approve</v>
      </c>
      <c r="L135" s="3" t="str">
        <f>IFERROR(__xludf.DUMMYFUNCTION("""COMPUTED_VALUE"""),"Normal")</f>
        <v>Normal</v>
      </c>
      <c r="M135" s="3" t="str">
        <f>IFERROR(__xludf.DUMMYFUNCTION("""COMPUTED_VALUE"""),"Non Urgent")</f>
        <v>Non Urgent</v>
      </c>
    </row>
    <row r="136">
      <c r="A136" s="4">
        <f>IFERROR(__xludf.DUMMYFUNCTION("""COMPUTED_VALUE"""),45763.88989003473)</f>
        <v>45763.88989</v>
      </c>
      <c r="B136" s="3" t="str">
        <f>IFERROR(__xludf.DUMMYFUNCTION("""COMPUTED_VALUE"""),"MRNRO0013")</f>
        <v>MRNRO0013</v>
      </c>
      <c r="C136" s="3" t="str">
        <f>IFERROR(__xludf.DUMMYFUNCTION("""COMPUTED_VALUE"""),"MIn Stok")</f>
        <v>MIn Stok</v>
      </c>
      <c r="D136" s="3" t="str">
        <f>IFERROR(__xludf.DUMMYFUNCTION("""COMPUTED_VALUE"""),"-")</f>
        <v>-</v>
      </c>
      <c r="E136" s="3" t="str">
        <f>IFERROR(__xludf.DUMMYFUNCTION("""COMPUTED_VALUE"""),"Utility")</f>
        <v>Utility</v>
      </c>
      <c r="F136" s="3" t="str">
        <f>IFERROR(__xludf.DUMMYFUNCTION("""COMPUTED_VALUE"""),"General - Washable G4 Avg arrestance : 94%. Rec. Final resistance: 250 Pa. Size: 12"" x 24"" x 2""; IAF; ; pcs")</f>
        <v>General - Washable G4 Avg arrestance : 94%. Rec. Final resistance: 250 Pa. Size: 12" x 24" x 2"; IAF; ; pcs</v>
      </c>
      <c r="G136" s="3">
        <f>IFERROR(__xludf.DUMMYFUNCTION("""COMPUTED_VALUE"""),10.0)</f>
        <v>10</v>
      </c>
      <c r="H136" s="3" t="str">
        <f>IFERROR(__xludf.DUMMYFUNCTION("""COMPUTED_VALUE"""),"pcs")</f>
        <v>pcs</v>
      </c>
      <c r="I136" s="3" t="str">
        <f>IFERROR(__xludf.DUMMYFUNCTION("""COMPUTED_VALUE"""),"Buat backup penggantian ketika filter belum kering")</f>
        <v>Buat backup penggantian ketika filter belum kering</v>
      </c>
      <c r="J136" s="3" t="str">
        <f>IFERROR(__xludf.DUMMYFUNCTION("""COMPUTED_VALUE"""),"P-19029-00")</f>
        <v>P-19029-00</v>
      </c>
      <c r="K136" s="3" t="str">
        <f>IFERROR(__xludf.DUMMYFUNCTION("""COMPUTED_VALUE"""),"Approve")</f>
        <v>Approve</v>
      </c>
      <c r="L136" s="3" t="str">
        <f>IFERROR(__xludf.DUMMYFUNCTION("""COMPUTED_VALUE"""),"Normal")</f>
        <v>Normal</v>
      </c>
      <c r="M136" s="3" t="str">
        <f>IFERROR(__xludf.DUMMYFUNCTION("""COMPUTED_VALUE"""),"Non Urgent")</f>
        <v>Non Urgent</v>
      </c>
    </row>
    <row r="137">
      <c r="A137" s="4">
        <f>IFERROR(__xludf.DUMMYFUNCTION("""COMPUTED_VALUE"""),45764.70053857639)</f>
        <v>45764.70054</v>
      </c>
      <c r="B137" s="3" t="str">
        <f>IFERROR(__xludf.DUMMYFUNCTION("""COMPUTED_VALUE"""),"MOBRO0032")</f>
        <v>MOBRO0032</v>
      </c>
      <c r="C137" s="3" t="str">
        <f>IFERROR(__xludf.DUMMYFUNCTION("""COMPUTED_VALUE"""),"EJO")</f>
        <v>EJO</v>
      </c>
      <c r="D137" s="3" t="str">
        <f>IFERROR(__xludf.DUMMYFUNCTION("""COMPUTED_VALUE"""),"EJO2025/04/86")</f>
        <v>EJO2025/04/86</v>
      </c>
      <c r="E137" s="3" t="str">
        <f>IFERROR(__xludf.DUMMYFUNCTION("""COMPUTED_VALUE"""),"AHU F3-6")</f>
        <v>AHU F3-6</v>
      </c>
      <c r="F137" s="3" t="str">
        <f>IFERROR(__xludf.DUMMYFUNCTION("""COMPUTED_VALUE"""),"HVAC - Pressure Flow Control MF PFC Ver.3 24 VAC/VDC 0 - 100 Pa Micatrone; ; ;")</f>
        <v>HVAC - Pressure Flow Control MF PFC Ver.3 24 VAC/VDC 0 - 100 Pa Micatrone; ; ;</v>
      </c>
      <c r="G137" s="3">
        <f>IFERROR(__xludf.DUMMYFUNCTION("""COMPUTED_VALUE"""),2.0)</f>
        <v>2</v>
      </c>
      <c r="H137" s="3" t="str">
        <f>IFERROR(__xludf.DUMMYFUNCTION("""COMPUTED_VALUE"""),"Pcs")</f>
        <v>Pcs</v>
      </c>
      <c r="I137" s="3" t="str">
        <f>IFERROR(__xludf.DUMMYFUNCTION("""COMPUTED_VALUE"""),"-")</f>
        <v>-</v>
      </c>
      <c r="J137" s="3" t="str">
        <f>IFERROR(__xludf.DUMMYFUNCTION("""COMPUTED_VALUE"""),"P-52369-00")</f>
        <v>P-52369-00</v>
      </c>
      <c r="K137" s="3" t="str">
        <f>IFERROR(__xludf.DUMMYFUNCTION("""COMPUTED_VALUE"""),"Approve")</f>
        <v>Approve</v>
      </c>
      <c r="L137" s="3" t="str">
        <f>IFERROR(__xludf.DUMMYFUNCTION("""COMPUTED_VALUE"""),"Normal")</f>
        <v>Normal</v>
      </c>
      <c r="M137" s="3" t="str">
        <f>IFERROR(__xludf.DUMMYFUNCTION("""COMPUTED_VALUE"""),"Non Urgent")</f>
        <v>Non Urgent</v>
      </c>
    </row>
    <row r="138">
      <c r="A138" s="4">
        <f>IFERROR(__xludf.DUMMYFUNCTION("""COMPUTED_VALUE"""),45764.894528379635)</f>
        <v>45764.89453</v>
      </c>
      <c r="B138" s="3" t="str">
        <f>IFERROR(__xludf.DUMMYFUNCTION("""COMPUTED_VALUE"""),"ANORO0005")</f>
        <v>ANORO0005</v>
      </c>
      <c r="C138" s="3" t="str">
        <f>IFERROR(__xludf.DUMMYFUNCTION("""COMPUTED_VALUE"""),"EJO")</f>
        <v>EJO</v>
      </c>
      <c r="D138" s="3" t="str">
        <f>IFERROR(__xludf.DUMMYFUNCTION("""COMPUTED_VALUE"""),"EJO/2025/03/88")</f>
        <v>EJO/2025/03/88</v>
      </c>
      <c r="E138" s="3" t="str">
        <f>IFERROR(__xludf.DUMMYFUNCTION("""COMPUTED_VALUE"""),"BSC")</f>
        <v>BSC</v>
      </c>
      <c r="F138" s="3" t="str">
        <f>IFERROR(__xludf.DUMMYFUNCTION("""COMPUTED_VALUE"""),"FESTO - QS-3/8-8 Push-In fitting p/n 153006")</f>
        <v>FESTO - QS-3/8-8 Push-In fitting p/n 153006</v>
      </c>
      <c r="G138" s="3">
        <f>IFERROR(__xludf.DUMMYFUNCTION("""COMPUTED_VALUE"""),10.0)</f>
        <v>10</v>
      </c>
      <c r="H138" s="3" t="str">
        <f>IFERROR(__xludf.DUMMYFUNCTION("""COMPUTED_VALUE"""),"PCS")</f>
        <v>PCS</v>
      </c>
      <c r="I138" s="3" t="str">
        <f>IFERROR(__xludf.DUMMYFUNCTION("""COMPUTED_VALUE"""),"untuk keperluan gsnti koneksi tubing di spray gun BSC")</f>
        <v>untuk keperluan gsnti koneksi tubing di spray gun BSC</v>
      </c>
      <c r="J138" s="3" t="str">
        <f>IFERROR(__xludf.DUMMYFUNCTION("""COMPUTED_VALUE"""),"P-12287-00")</f>
        <v>P-12287-00</v>
      </c>
      <c r="K138" s="3" t="str">
        <f>IFERROR(__xludf.DUMMYFUNCTION("""COMPUTED_VALUE"""),"Approve")</f>
        <v>Approve</v>
      </c>
      <c r="L138" s="3" t="str">
        <f>IFERROR(__xludf.DUMMYFUNCTION("""COMPUTED_VALUE"""),"Normal")</f>
        <v>Normal</v>
      </c>
      <c r="M138" s="3" t="str">
        <f>IFERROR(__xludf.DUMMYFUNCTION("""COMPUTED_VALUE"""),"Non Urgent")</f>
        <v>Non Urgent</v>
      </c>
    </row>
    <row r="139">
      <c r="A139" s="4">
        <f>IFERROR(__xludf.DUMMYFUNCTION("""COMPUTED_VALUE"""),45768.59221689814)</f>
        <v>45768.59222</v>
      </c>
      <c r="B139" s="3" t="str">
        <f>IFERROR(__xludf.DUMMYFUNCTION("""COMPUTED_VALUE"""),"RIARO0029")</f>
        <v>RIARO0029</v>
      </c>
      <c r="C139" s="3" t="str">
        <f>IFERROR(__xludf.DUMMYFUNCTION("""COMPUTED_VALUE"""),"Consumable")</f>
        <v>Consumable</v>
      </c>
      <c r="D139" s="3" t="str">
        <f>IFERROR(__xludf.DUMMYFUNCTION("""COMPUTED_VALUE"""),"-")</f>
        <v>-</v>
      </c>
      <c r="E139" s="3" t="str">
        <f>IFERROR(__xludf.DUMMYFUNCTION("""COMPUTED_VALUE"""),"PW SKID")</f>
        <v>PW SKID</v>
      </c>
      <c r="F139" s="3" t="str">
        <f>IFERROR(__xludf.DUMMYFUNCTION("""COMPUTED_VALUE"""),"Kit, membrane ozone 6510 METTLER TOLEDO INDONESIA, PT P/N : -  pc")</f>
        <v>Kit, membrane ozone 6510 METTLER TOLEDO INDONESIA, PT P/N : -  pc</v>
      </c>
      <c r="G139" s="3">
        <f>IFERROR(__xludf.DUMMYFUNCTION("""COMPUTED_VALUE"""),1.0)</f>
        <v>1</v>
      </c>
      <c r="H139" s="3" t="str">
        <f>IFERROR(__xludf.DUMMYFUNCTION("""COMPUTED_VALUE"""),"Set")</f>
        <v>Set</v>
      </c>
      <c r="I139" s="3" t="str">
        <f>IFERROR(__xludf.DUMMYFUNCTION("""COMPUTED_VALUE"""),"Untuk penggantian membran ozone pw skid, yg saat ini sudah expired, kebutuhan 1 tahun 1 set")</f>
        <v>Untuk penggantian membran ozone pw skid, yg saat ini sudah expired, kebutuhan 1 tahun 1 set</v>
      </c>
      <c r="J139" s="3" t="str">
        <f>IFERROR(__xludf.DUMMYFUNCTION("""COMPUTED_VALUE"""),"O-14594-00")</f>
        <v>O-14594-00</v>
      </c>
      <c r="K139" s="3" t="str">
        <f>IFERROR(__xludf.DUMMYFUNCTION("""COMPUTED_VALUE"""),"Approve")</f>
        <v>Approve</v>
      </c>
      <c r="L139" s="3" t="str">
        <f>IFERROR(__xludf.DUMMYFUNCTION("""COMPUTED_VALUE"""),"Normal")</f>
        <v>Normal</v>
      </c>
      <c r="M139" s="3" t="str">
        <f>IFERROR(__xludf.DUMMYFUNCTION("""COMPUTED_VALUE"""),"Non Urgent")</f>
        <v>Non Urgent</v>
      </c>
    </row>
    <row r="140">
      <c r="A140" s="4">
        <f>IFERROR(__xludf.DUMMYFUNCTION("""COMPUTED_VALUE"""),45771.33905258102)</f>
        <v>45771.33905</v>
      </c>
      <c r="B140" s="3" t="str">
        <f>IFERROR(__xludf.DUMMYFUNCTION("""COMPUTED_VALUE"""),"INNRO0003")</f>
        <v>INNRO0003</v>
      </c>
      <c r="C140" s="3" t="str">
        <f>IFERROR(__xludf.DUMMYFUNCTION("""COMPUTED_VALUE"""),"Consumable")</f>
        <v>Consumable</v>
      </c>
      <c r="D140" s="3" t="str">
        <f>IFERROR(__xludf.DUMMYFUNCTION("""COMPUTED_VALUE"""),"-")</f>
        <v>-</v>
      </c>
      <c r="E140" s="3" t="str">
        <f>IFERROR(__xludf.DUMMYFUNCTION("""COMPUTED_VALUE"""),"PMS")</f>
        <v>PMS</v>
      </c>
      <c r="F140" s="3" t="str">
        <f>IFERROR(__xludf.DUMMYFUNCTION("""COMPUTED_VALUE"""),"FESTO - Plastic tubing PUN-10x1,5-BL (Blue) p/n 159668; ; ;")</f>
        <v>FESTO - Plastic tubing PUN-10x1,5-BL (Blue) p/n 159668; ; ;</v>
      </c>
      <c r="G140" s="3">
        <f>IFERROR(__xludf.DUMMYFUNCTION("""COMPUTED_VALUE"""),150.0)</f>
        <v>150</v>
      </c>
      <c r="H140" s="3" t="str">
        <f>IFERROR(__xludf.DUMMYFUNCTION("""COMPUTED_VALUE"""),"meter")</f>
        <v>meter</v>
      </c>
      <c r="I140" s="3" t="str">
        <f>IFERROR(__xludf.DUMMYFUNCTION("""COMPUTED_VALUE"""),"Untuk pengganti tubing PMS sudah 5 tahun")</f>
        <v>Untuk pengganti tubing PMS sudah 5 tahun</v>
      </c>
      <c r="J140" s="3" t="str">
        <f>IFERROR(__xludf.DUMMYFUNCTION("""COMPUTED_VALUE"""),"P-15351-00")</f>
        <v>P-15351-00</v>
      </c>
      <c r="K140" s="3" t="str">
        <f>IFERROR(__xludf.DUMMYFUNCTION("""COMPUTED_VALUE"""),"Approve")</f>
        <v>Approve</v>
      </c>
      <c r="L140" s="3" t="str">
        <f>IFERROR(__xludf.DUMMYFUNCTION("""COMPUTED_VALUE"""),"Normal")</f>
        <v>Normal</v>
      </c>
      <c r="M140" s="3" t="str">
        <f>IFERROR(__xludf.DUMMYFUNCTION("""COMPUTED_VALUE"""),"Non Urgent")</f>
        <v>Non Urgent</v>
      </c>
    </row>
    <row r="141">
      <c r="A141" s="4">
        <f>IFERROR(__xludf.DUMMYFUNCTION("""COMPUTED_VALUE"""),45771.33991049769)</f>
        <v>45771.33991</v>
      </c>
      <c r="B141" s="3" t="str">
        <f>IFERROR(__xludf.DUMMYFUNCTION("""COMPUTED_VALUE"""),"INNRO0004")</f>
        <v>INNRO0004</v>
      </c>
      <c r="C141" s="3" t="str">
        <f>IFERROR(__xludf.DUMMYFUNCTION("""COMPUTED_VALUE"""),"Consumable")</f>
        <v>Consumable</v>
      </c>
      <c r="D141" s="3" t="str">
        <f>IFERROR(__xludf.DUMMYFUNCTION("""COMPUTED_VALUE"""),"-")</f>
        <v>-</v>
      </c>
      <c r="E141" s="3" t="str">
        <f>IFERROR(__xludf.DUMMYFUNCTION("""COMPUTED_VALUE"""),"Isolator Mixing")</f>
        <v>Isolator Mixing</v>
      </c>
      <c r="F141" s="3" t="str">
        <f>IFERROR(__xludf.DUMMYFUNCTION("""COMPUTED_VALUE"""),"General - Plastic Tubing, PUN-H-8X1,25-BL; Festo; 197385; 1 m")</f>
        <v>General - Plastic Tubing, PUN-H-8X1,25-BL; Festo; 197385; 1 m</v>
      </c>
      <c r="G141" s="3">
        <f>IFERROR(__xludf.DUMMYFUNCTION("""COMPUTED_VALUE"""),100.0)</f>
        <v>100</v>
      </c>
      <c r="H141" s="3" t="str">
        <f>IFERROR(__xludf.DUMMYFUNCTION("""COMPUTED_VALUE"""),"meter")</f>
        <v>meter</v>
      </c>
      <c r="I141" s="3" t="str">
        <f>IFERROR(__xludf.DUMMYFUNCTION("""COMPUTED_VALUE"""),"Untuk pengganti tubing Isolator Mixing")</f>
        <v>Untuk pengganti tubing Isolator Mixing</v>
      </c>
      <c r="J141" s="3" t="str">
        <f>IFERROR(__xludf.DUMMYFUNCTION("""COMPUTED_VALUE"""),"P-11431-00")</f>
        <v>P-11431-00</v>
      </c>
      <c r="K141" s="3" t="str">
        <f>IFERROR(__xludf.DUMMYFUNCTION("""COMPUTED_VALUE"""),"Approve")</f>
        <v>Approve</v>
      </c>
      <c r="L141" s="3" t="str">
        <f>IFERROR(__xludf.DUMMYFUNCTION("""COMPUTED_VALUE"""),"Normal")</f>
        <v>Normal</v>
      </c>
      <c r="M141" s="3" t="str">
        <f>IFERROR(__xludf.DUMMYFUNCTION("""COMPUTED_VALUE"""),"Non Urgent")</f>
        <v>Non Urgent</v>
      </c>
    </row>
    <row r="142">
      <c r="A142" s="4">
        <f>IFERROR(__xludf.DUMMYFUNCTION("""COMPUTED_VALUE"""),45771.65996020833)</f>
        <v>45771.65996</v>
      </c>
      <c r="B142" s="3" t="str">
        <f>IFERROR(__xludf.DUMMYFUNCTION("""COMPUTED_VALUE"""),"SFHRO0004")</f>
        <v>SFHRO0004</v>
      </c>
      <c r="C142" s="3" t="str">
        <f>IFERROR(__xludf.DUMMYFUNCTION("""COMPUTED_VALUE"""),"MIn Stok")</f>
        <v>MIn Stok</v>
      </c>
      <c r="D142" s="3" t="str">
        <f>IFERROR(__xludf.DUMMYFUNCTION("""COMPUTED_VALUE"""),"-")</f>
        <v>-</v>
      </c>
      <c r="E142" s="3" t="str">
        <f>IFERROR(__xludf.DUMMYFUNCTION("""COMPUTED_VALUE"""),"lantai 2")</f>
        <v>lantai 2</v>
      </c>
      <c r="F142" s="3" t="str">
        <f>IFERROR(__xludf.DUMMYFUNCTION("""COMPUTED_VALUE"""),"Kuas Cat Roller uk. 230 mm;No Brand;;pack size per set")</f>
        <v>Kuas Cat Roller uk. 230 mm;No Brand;;pack size per set</v>
      </c>
      <c r="G142" s="3">
        <f>IFERROR(__xludf.DUMMYFUNCTION("""COMPUTED_VALUE"""),20.0)</f>
        <v>20</v>
      </c>
      <c r="H142" s="3" t="str">
        <f>IFERROR(__xludf.DUMMYFUNCTION("""COMPUTED_VALUE"""),"pcs")</f>
        <v>pcs</v>
      </c>
      <c r="I142" s="3" t="str">
        <f>IFERROR(__xludf.DUMMYFUNCTION("""COMPUTED_VALUE"""),"-")</f>
        <v>-</v>
      </c>
      <c r="J142" s="3" t="str">
        <f>IFERROR(__xludf.DUMMYFUNCTION("""COMPUTED_VALUE"""),"Q-10154-00")</f>
        <v>Q-10154-00</v>
      </c>
      <c r="K142" s="3" t="str">
        <f>IFERROR(__xludf.DUMMYFUNCTION("""COMPUTED_VALUE"""),"Approve")</f>
        <v>Approve</v>
      </c>
      <c r="L142" s="3" t="str">
        <f>IFERROR(__xludf.DUMMYFUNCTION("""COMPUTED_VALUE"""),"Normal")</f>
        <v>Normal</v>
      </c>
      <c r="M142" s="3" t="str">
        <f>IFERROR(__xludf.DUMMYFUNCTION("""COMPUTED_VALUE"""),"Non Urgent")</f>
        <v>Non Urgent</v>
      </c>
    </row>
    <row r="143">
      <c r="A143" s="4">
        <f>IFERROR(__xludf.DUMMYFUNCTION("""COMPUTED_VALUE"""),45771.66250979166)</f>
        <v>45771.66251</v>
      </c>
      <c r="B143" s="3" t="str">
        <f>IFERROR(__xludf.DUMMYFUNCTION("""COMPUTED_VALUE"""),"SFHRO0005")</f>
        <v>SFHRO0005</v>
      </c>
      <c r="C143" s="3" t="str">
        <f>IFERROR(__xludf.DUMMYFUNCTION("""COMPUTED_VALUE"""),"MIn Stok")</f>
        <v>MIn Stok</v>
      </c>
      <c r="D143" s="3" t="str">
        <f>IFERROR(__xludf.DUMMYFUNCTION("""COMPUTED_VALUE"""),"-")</f>
        <v>-</v>
      </c>
      <c r="E143" s="3" t="str">
        <f>IFERROR(__xludf.DUMMYFUNCTION("""COMPUTED_VALUE"""),"lantai 2")</f>
        <v>lantai 2</v>
      </c>
      <c r="F143" s="3" t="str">
        <f>IFERROR(__xludf.DUMMYFUNCTION("""COMPUTED_VALUE"""),"Kuas 3 inch")</f>
        <v>Kuas 3 inch</v>
      </c>
      <c r="G143" s="3">
        <f>IFERROR(__xludf.DUMMYFUNCTION("""COMPUTED_VALUE"""),15.0)</f>
        <v>15</v>
      </c>
      <c r="H143" s="3" t="str">
        <f>IFERROR(__xludf.DUMMYFUNCTION("""COMPUTED_VALUE"""),"pcs")</f>
        <v>pcs</v>
      </c>
      <c r="I143" s="3" t="str">
        <f>IFERROR(__xludf.DUMMYFUNCTION("""COMPUTED_VALUE"""),"-")</f>
        <v>-</v>
      </c>
      <c r="J143" s="3" t="str">
        <f>IFERROR(__xludf.DUMMYFUNCTION("""COMPUTED_VALUE"""),"Q-10271-00")</f>
        <v>Q-10271-00</v>
      </c>
      <c r="K143" s="3" t="str">
        <f>IFERROR(__xludf.DUMMYFUNCTION("""COMPUTED_VALUE"""),"Approve")</f>
        <v>Approve</v>
      </c>
      <c r="L143" s="3" t="str">
        <f>IFERROR(__xludf.DUMMYFUNCTION("""COMPUTED_VALUE"""),"Normal")</f>
        <v>Normal</v>
      </c>
      <c r="M143" s="3" t="str">
        <f>IFERROR(__xludf.DUMMYFUNCTION("""COMPUTED_VALUE"""),"Non Urgent")</f>
        <v>Non Urgent</v>
      </c>
    </row>
    <row r="144">
      <c r="A144" s="4">
        <f>IFERROR(__xludf.DUMMYFUNCTION("""COMPUTED_VALUE"""),45771.938169664354)</f>
        <v>45771.93817</v>
      </c>
      <c r="B144" s="3" t="str">
        <f>IFERROR(__xludf.DUMMYFUNCTION("""COMPUTED_VALUE"""),"INNRO0001")</f>
        <v>INNRO0001</v>
      </c>
      <c r="C144" s="3" t="str">
        <f>IFERROR(__xludf.DUMMYFUNCTION("""COMPUTED_VALUE"""),"MIn Stok")</f>
        <v>MIn Stok</v>
      </c>
      <c r="D144" s="3" t="str">
        <f>IFERROR(__xludf.DUMMYFUNCTION("""COMPUTED_VALUE"""),"-")</f>
        <v>-</v>
      </c>
      <c r="E144" s="3" t="str">
        <f>IFERROR(__xludf.DUMMYFUNCTION("""COMPUTED_VALUE"""),"-")</f>
        <v>-</v>
      </c>
      <c r="F144" s="3" t="str">
        <f>IFERROR(__xludf.DUMMYFUNCTION("""COMPUTED_VALUE"""),"Deskripsi")</f>
        <v>Deskripsi</v>
      </c>
      <c r="G144" s="3"/>
      <c r="H144" s="3" t="str">
        <f>IFERROR(__xludf.DUMMYFUNCTION("""COMPUTED_VALUE"""),"-")</f>
        <v>-</v>
      </c>
      <c r="I144" s="3" t="str">
        <f>IFERROR(__xludf.DUMMYFUNCTION("""COMPUTED_VALUE"""),"-")</f>
        <v>-</v>
      </c>
      <c r="J144" s="3" t="str">
        <f>IFERROR(__xludf.DUMMYFUNCTION("""COMPUTED_VALUE"""),"Item Code")</f>
        <v>Item Code</v>
      </c>
      <c r="K144" s="3" t="str">
        <f>IFERROR(__xludf.DUMMYFUNCTION("""COMPUTED_VALUE"""),"Reject")</f>
        <v>Reject</v>
      </c>
      <c r="L144" s="3" t="str">
        <f>IFERROR(__xludf.DUMMYFUNCTION("""COMPUTED_VALUE"""),"Normal")</f>
        <v>Normal</v>
      </c>
      <c r="M144" s="3" t="str">
        <f>IFERROR(__xludf.DUMMYFUNCTION("""COMPUTED_VALUE"""),"Non Urgent")</f>
        <v>Non Urgent</v>
      </c>
    </row>
    <row r="145">
      <c r="A145" s="4">
        <f>IFERROR(__xludf.DUMMYFUNCTION("""COMPUTED_VALUE"""),45776.65775798611)</f>
        <v>45776.65776</v>
      </c>
      <c r="B145" s="3" t="str">
        <f>IFERROR(__xludf.DUMMYFUNCTION("""COMPUTED_VALUE"""),"RIARO0030")</f>
        <v>RIARO0030</v>
      </c>
      <c r="C145" s="3" t="str">
        <f>IFERROR(__xludf.DUMMYFUNCTION("""COMPUTED_VALUE"""),"EJO")</f>
        <v>EJO</v>
      </c>
      <c r="D145" s="3" t="str">
        <f>IFERROR(__xludf.DUMMYFUNCTION("""COMPUTED_VALUE"""),"EJO/2025/05/05")</f>
        <v>EJO/2025/05/05</v>
      </c>
      <c r="E145" s="3" t="str">
        <f>IFERROR(__xludf.DUMMYFUNCTION("""COMPUTED_VALUE"""),"Alarm System")</f>
        <v>Alarm System</v>
      </c>
      <c r="F145" s="3" t="str">
        <f>IFERROR(__xludf.DUMMYFUNCTION("""COMPUTED_VALUE"""),"General - Kabel Belden AWG 22 2 Pair; Belden; 8723; 305m/roll")</f>
        <v>General - Kabel Belden AWG 22 2 Pair; Belden; 8723; 305m/roll</v>
      </c>
      <c r="G145" s="3">
        <f>IFERROR(__xludf.DUMMYFUNCTION("""COMPUTED_VALUE"""),2.0)</f>
        <v>2</v>
      </c>
      <c r="H145" s="3" t="str">
        <f>IFERROR(__xludf.DUMMYFUNCTION("""COMPUTED_VALUE"""),"Roll")</f>
        <v>Roll</v>
      </c>
      <c r="I145" s="3" t="str">
        <f>IFERROR(__xludf.DUMMYFUNCTION("""COMPUTED_VALUE"""),"Buat alarm system HC baru stability, BOD 1,3,5, Refrigerator Micro")</f>
        <v>Buat alarm system HC baru stability, BOD 1,3,5, Refrigerator Micro</v>
      </c>
      <c r="J145" s="3" t="str">
        <f>IFERROR(__xludf.DUMMYFUNCTION("""COMPUTED_VALUE"""),"P-53133-00")</f>
        <v>P-53133-00</v>
      </c>
      <c r="K145" s="3" t="str">
        <f>IFERROR(__xludf.DUMMYFUNCTION("""COMPUTED_VALUE"""),"Approve")</f>
        <v>Approve</v>
      </c>
      <c r="L145" s="3" t="str">
        <f>IFERROR(__xludf.DUMMYFUNCTION("""COMPUTED_VALUE"""),"Normal")</f>
        <v>Normal</v>
      </c>
      <c r="M145" s="3" t="str">
        <f>IFERROR(__xludf.DUMMYFUNCTION("""COMPUTED_VALUE"""),"Non Urgent")</f>
        <v>Non Urgent</v>
      </c>
    </row>
    <row r="146">
      <c r="A146" s="4">
        <f>IFERROR(__xludf.DUMMYFUNCTION("""COMPUTED_VALUE"""),45776.65922327546)</f>
        <v>45776.65922</v>
      </c>
      <c r="B146" s="3" t="str">
        <f>IFERROR(__xludf.DUMMYFUNCTION("""COMPUTED_VALUE"""),"RIARO0031")</f>
        <v>RIARO0031</v>
      </c>
      <c r="C146" s="3" t="str">
        <f>IFERROR(__xludf.DUMMYFUNCTION("""COMPUTED_VALUE"""),"EJO")</f>
        <v>EJO</v>
      </c>
      <c r="D146" s="3" t="str">
        <f>IFERROR(__xludf.DUMMYFUNCTION("""COMPUTED_VALUE"""),"EJO/2025/05/05")</f>
        <v>EJO/2025/05/05</v>
      </c>
      <c r="E146" s="3" t="str">
        <f>IFERROR(__xludf.DUMMYFUNCTION("""COMPUTED_VALUE"""),"Alarm System")</f>
        <v>Alarm System</v>
      </c>
      <c r="F146" s="3" t="str">
        <f>IFERROR(__xludf.DUMMYFUNCTION("""COMPUTED_VALUE"""),"OMRON - Relay MY4Z 24VDC; ; ;")</f>
        <v>OMRON - Relay MY4Z 24VDC; ; ;</v>
      </c>
      <c r="G146" s="3">
        <f>IFERROR(__xludf.DUMMYFUNCTION("""COMPUTED_VALUE"""),4.0)</f>
        <v>4</v>
      </c>
      <c r="H146" s="3" t="str">
        <f>IFERROR(__xludf.DUMMYFUNCTION("""COMPUTED_VALUE"""),"Pcs")</f>
        <v>Pcs</v>
      </c>
      <c r="I146" s="3" t="str">
        <f>IFERROR(__xludf.DUMMYFUNCTION("""COMPUTED_VALUE"""),"Buat alarm system HC baru stability, BOD 1,3,5, Refrigerator Micro")</f>
        <v>Buat alarm system HC baru stability, BOD 1,3,5, Refrigerator Micro</v>
      </c>
      <c r="J146" s="3" t="str">
        <f>IFERROR(__xludf.DUMMYFUNCTION("""COMPUTED_VALUE"""),"O-51698-00")</f>
        <v>O-51698-00</v>
      </c>
      <c r="K146" s="3" t="str">
        <f>IFERROR(__xludf.DUMMYFUNCTION("""COMPUTED_VALUE"""),"Approve")</f>
        <v>Approve</v>
      </c>
      <c r="L146" s="3" t="str">
        <f>IFERROR(__xludf.DUMMYFUNCTION("""COMPUTED_VALUE"""),"Normal")</f>
        <v>Normal</v>
      </c>
      <c r="M146" s="3" t="str">
        <f>IFERROR(__xludf.DUMMYFUNCTION("""COMPUTED_VALUE"""),"Non Urgent")</f>
        <v>Non Urgent</v>
      </c>
    </row>
    <row r="147">
      <c r="A147" s="4">
        <f>IFERROR(__xludf.DUMMYFUNCTION("""COMPUTED_VALUE"""),45776.66004902778)</f>
        <v>45776.66005</v>
      </c>
      <c r="B147" s="3" t="str">
        <f>IFERROR(__xludf.DUMMYFUNCTION("""COMPUTED_VALUE"""),"RIARO0032")</f>
        <v>RIARO0032</v>
      </c>
      <c r="C147" s="3" t="str">
        <f>IFERROR(__xludf.DUMMYFUNCTION("""COMPUTED_VALUE"""),"EJO")</f>
        <v>EJO</v>
      </c>
      <c r="D147" s="3" t="str">
        <f>IFERROR(__xludf.DUMMYFUNCTION("""COMPUTED_VALUE"""),"EJO/2025/05/05")</f>
        <v>EJO/2025/05/05</v>
      </c>
      <c r="E147" s="3" t="str">
        <f>IFERROR(__xludf.DUMMYFUNCTION("""COMPUTED_VALUE"""),"Alarm System")</f>
        <v>Alarm System</v>
      </c>
      <c r="F147" s="3" t="str">
        <f>IFERROR(__xludf.DUMMYFUNCTION("""COMPUTED_VALUE"""),"General - Cable Ducting 25mm x 40mm; Lokal; -; 1 pcs")</f>
        <v>General - Cable Ducting 25mm x 40mm; Lokal; -; 1 pcs</v>
      </c>
      <c r="G147" s="3">
        <f>IFERROR(__xludf.DUMMYFUNCTION("""COMPUTED_VALUE"""),3.0)</f>
        <v>3</v>
      </c>
      <c r="H147" s="3" t="str">
        <f>IFERROR(__xludf.DUMMYFUNCTION("""COMPUTED_VALUE"""),"Btg")</f>
        <v>Btg</v>
      </c>
      <c r="I147" s="3" t="str">
        <f>IFERROR(__xludf.DUMMYFUNCTION("""COMPUTED_VALUE"""),"Buat alarm system HC baru stability, BOD 1,3,5, Refrigerator Micro")</f>
        <v>Buat alarm system HC baru stability, BOD 1,3,5, Refrigerator Micro</v>
      </c>
      <c r="J147" s="3" t="str">
        <f>IFERROR(__xludf.DUMMYFUNCTION("""COMPUTED_VALUE"""),"P-13429-00")</f>
        <v>P-13429-00</v>
      </c>
      <c r="K147" s="3" t="str">
        <f>IFERROR(__xludf.DUMMYFUNCTION("""COMPUTED_VALUE"""),"Approve")</f>
        <v>Approve</v>
      </c>
      <c r="L147" s="3" t="str">
        <f>IFERROR(__xludf.DUMMYFUNCTION("""COMPUTED_VALUE"""),"Normal")</f>
        <v>Normal</v>
      </c>
      <c r="M147" s="3" t="str">
        <f>IFERROR(__xludf.DUMMYFUNCTION("""COMPUTED_VALUE"""),"Non Urgent")</f>
        <v>Non Urgent</v>
      </c>
    </row>
    <row r="148">
      <c r="A148" s="4">
        <f>IFERROR(__xludf.DUMMYFUNCTION("""COMPUTED_VALUE"""),45779.6627975)</f>
        <v>45779.6628</v>
      </c>
      <c r="B148" s="3" t="str">
        <f>IFERROR(__xludf.DUMMYFUNCTION("""COMPUTED_VALUE"""),"MOBRO0033")</f>
        <v>MOBRO0033</v>
      </c>
      <c r="C148" s="3" t="str">
        <f>IFERROR(__xludf.DUMMYFUNCTION("""COMPUTED_VALUE"""),"MIn Stok")</f>
        <v>MIn Stok</v>
      </c>
      <c r="D148" s="3" t="str">
        <f>IFERROR(__xludf.DUMMYFUNCTION("""COMPUTED_VALUE"""),"-")</f>
        <v>-</v>
      </c>
      <c r="E148" s="3" t="str">
        <f>IFERROR(__xludf.DUMMYFUNCTION("""COMPUTED_VALUE"""),"N2 Generator")</f>
        <v>N2 Generator</v>
      </c>
      <c r="F148" s="3" t="str">
        <f>IFERROR(__xludf.DUMMYFUNCTION("""COMPUTED_VALUE"""),"General - Element Filter 1 micron; NXE-400-Z; -; 1 pc")</f>
        <v>General - Element Filter 1 micron; NXE-400-Z; -; 1 pc</v>
      </c>
      <c r="G148" s="3">
        <f>IFERROR(__xludf.DUMMYFUNCTION("""COMPUTED_VALUE"""),2.0)</f>
        <v>2</v>
      </c>
      <c r="H148" s="3" t="str">
        <f>IFERROR(__xludf.DUMMYFUNCTION("""COMPUTED_VALUE"""),"Pcs")</f>
        <v>Pcs</v>
      </c>
      <c r="I148" s="3" t="str">
        <f>IFERROR(__xludf.DUMMYFUNCTION("""COMPUTED_VALUE"""),"Urgent")</f>
        <v>Urgent</v>
      </c>
      <c r="J148" s="3" t="str">
        <f>IFERROR(__xludf.DUMMYFUNCTION("""COMPUTED_VALUE"""),"P-15052-00")</f>
        <v>P-15052-00</v>
      </c>
      <c r="K148" s="3" t="str">
        <f>IFERROR(__xludf.DUMMYFUNCTION("""COMPUTED_VALUE"""),"Approve")</f>
        <v>Approve</v>
      </c>
      <c r="L148" s="3" t="str">
        <f>IFERROR(__xludf.DUMMYFUNCTION("""COMPUTED_VALUE"""),"Normal")</f>
        <v>Normal</v>
      </c>
      <c r="M148" s="3" t="str">
        <f>IFERROR(__xludf.DUMMYFUNCTION("""COMPUTED_VALUE"""),"Non Urgent")</f>
        <v>Non Urgent</v>
      </c>
    </row>
    <row r="149">
      <c r="A149" s="4">
        <f>IFERROR(__xludf.DUMMYFUNCTION("""COMPUTED_VALUE"""),45779.67142309028)</f>
        <v>45779.67142</v>
      </c>
      <c r="B149" s="3" t="str">
        <f>IFERROR(__xludf.DUMMYFUNCTION("""COMPUTED_VALUE"""),"MOBRO0034")</f>
        <v>MOBRO0034</v>
      </c>
      <c r="C149" s="3" t="str">
        <f>IFERROR(__xludf.DUMMYFUNCTION("""COMPUTED_VALUE"""),"MIn Stok")</f>
        <v>MIn Stok</v>
      </c>
      <c r="D149" s="3" t="str">
        <f>IFERROR(__xludf.DUMMYFUNCTION("""COMPUTED_VALUE"""),"-")</f>
        <v>-</v>
      </c>
      <c r="E149" s="3" t="str">
        <f>IFERROR(__xludf.DUMMYFUNCTION("""COMPUTED_VALUE"""),"N2 Generator")</f>
        <v>N2 Generator</v>
      </c>
      <c r="F149" s="3" t="str">
        <f>IFERROR(__xludf.DUMMYFUNCTION("""COMPUTED_VALUE"""),"General - Element Filter 0.01 micron; NXE-400-X; -; 1 pc")</f>
        <v>General - Element Filter 0.01 micron; NXE-400-X; -; 1 pc</v>
      </c>
      <c r="G149" s="3">
        <f>IFERROR(__xludf.DUMMYFUNCTION("""COMPUTED_VALUE"""),2.0)</f>
        <v>2</v>
      </c>
      <c r="H149" s="3" t="str">
        <f>IFERROR(__xludf.DUMMYFUNCTION("""COMPUTED_VALUE"""),"Pcs")</f>
        <v>Pcs</v>
      </c>
      <c r="I149" s="3" t="str">
        <f>IFERROR(__xludf.DUMMYFUNCTION("""COMPUTED_VALUE"""),"Urgent")</f>
        <v>Urgent</v>
      </c>
      <c r="J149" s="3" t="str">
        <f>IFERROR(__xludf.DUMMYFUNCTION("""COMPUTED_VALUE"""),"P-15053-00")</f>
        <v>P-15053-00</v>
      </c>
      <c r="K149" s="3" t="str">
        <f>IFERROR(__xludf.DUMMYFUNCTION("""COMPUTED_VALUE"""),"Approve")</f>
        <v>Approve</v>
      </c>
      <c r="L149" s="3" t="str">
        <f>IFERROR(__xludf.DUMMYFUNCTION("""COMPUTED_VALUE"""),"Normal")</f>
        <v>Normal</v>
      </c>
      <c r="M149" s="3" t="str">
        <f>IFERROR(__xludf.DUMMYFUNCTION("""COMPUTED_VALUE"""),"Non Urgent")</f>
        <v>Non Urgent</v>
      </c>
    </row>
    <row r="150">
      <c r="A150" s="4">
        <f>IFERROR(__xludf.DUMMYFUNCTION("""COMPUTED_VALUE"""),45779.67310060185)</f>
        <v>45779.6731</v>
      </c>
      <c r="B150" s="3" t="str">
        <f>IFERROR(__xludf.DUMMYFUNCTION("""COMPUTED_VALUE"""),"MOBRO0035")</f>
        <v>MOBRO0035</v>
      </c>
      <c r="C150" s="3" t="str">
        <f>IFERROR(__xludf.DUMMYFUNCTION("""COMPUTED_VALUE"""),"MIn Stok")</f>
        <v>MIn Stok</v>
      </c>
      <c r="D150" s="3" t="str">
        <f>IFERROR(__xludf.DUMMYFUNCTION("""COMPUTED_VALUE"""),"-")</f>
        <v>-</v>
      </c>
      <c r="E150" s="3" t="str">
        <f>IFERROR(__xludf.DUMMYFUNCTION("""COMPUTED_VALUE"""),"N2 Generator")</f>
        <v>N2 Generator</v>
      </c>
      <c r="F150" s="3" t="str">
        <f>IFERROR(__xludf.DUMMYFUNCTION("""COMPUTED_VALUE"""),"General - Element Filter for N2; NEXUS; NXE-90-Z; 1 pc")</f>
        <v>General - Element Filter for N2; NEXUS; NXE-90-Z; 1 pc</v>
      </c>
      <c r="G150" s="3">
        <f>IFERROR(__xludf.DUMMYFUNCTION("""COMPUTED_VALUE"""),2.0)</f>
        <v>2</v>
      </c>
      <c r="H150" s="3" t="str">
        <f>IFERROR(__xludf.DUMMYFUNCTION("""COMPUTED_VALUE"""),"Pcs")</f>
        <v>Pcs</v>
      </c>
      <c r="I150" s="3" t="str">
        <f>IFERROR(__xludf.DUMMYFUNCTION("""COMPUTED_VALUE"""),"Urgent")</f>
        <v>Urgent</v>
      </c>
      <c r="J150" s="3" t="str">
        <f>IFERROR(__xludf.DUMMYFUNCTION("""COMPUTED_VALUE"""),"P-17062-00")</f>
        <v>P-17062-00</v>
      </c>
      <c r="K150" s="3" t="str">
        <f>IFERROR(__xludf.DUMMYFUNCTION("""COMPUTED_VALUE"""),"Approve")</f>
        <v>Approve</v>
      </c>
      <c r="L150" s="3" t="str">
        <f>IFERROR(__xludf.DUMMYFUNCTION("""COMPUTED_VALUE"""),"Normal")</f>
        <v>Normal</v>
      </c>
      <c r="M150" s="3" t="str">
        <f>IFERROR(__xludf.DUMMYFUNCTION("""COMPUTED_VALUE"""),"Non Urgent")</f>
        <v>Non Urgent</v>
      </c>
    </row>
    <row r="151">
      <c r="A151" s="4">
        <f>IFERROR(__xludf.DUMMYFUNCTION("""COMPUTED_VALUE"""),45782.40795569444)</f>
        <v>45782.40796</v>
      </c>
      <c r="B151" s="3" t="str">
        <f>IFERROR(__xludf.DUMMYFUNCTION("""COMPUTED_VALUE"""),"MOBRO0036")</f>
        <v>MOBRO0036</v>
      </c>
      <c r="C151" s="3" t="str">
        <f>IFERROR(__xludf.DUMMYFUNCTION("""COMPUTED_VALUE"""),"Consumable")</f>
        <v>Consumable</v>
      </c>
      <c r="D151" s="3" t="str">
        <f>IFERROR(__xludf.DUMMYFUNCTION("""COMPUTED_VALUE"""),"-")</f>
        <v>-</v>
      </c>
      <c r="E151" s="3" t="str">
        <f>IFERROR(__xludf.DUMMYFUNCTION("""COMPUTED_VALUE"""),"Transfer Pump B WWTP")</f>
        <v>Transfer Pump B WWTP</v>
      </c>
      <c r="F151" s="3" t="str">
        <f>IFERROR(__xludf.DUMMYFUNCTION("""COMPUTED_VALUE"""),"General - Clamp Selang, SS 1 1/4""; Tridon; -; 1 pcs")</f>
        <v>General - Clamp Selang, SS 1 1/4"; Tridon; -; 1 pcs</v>
      </c>
      <c r="G151" s="3">
        <f>IFERROR(__xludf.DUMMYFUNCTION("""COMPUTED_VALUE"""),20.0)</f>
        <v>20</v>
      </c>
      <c r="H151" s="3" t="str">
        <f>IFERROR(__xludf.DUMMYFUNCTION("""COMPUTED_VALUE"""),"Pcs")</f>
        <v>Pcs</v>
      </c>
      <c r="I151" s="3" t="str">
        <f>IFERROR(__xludf.DUMMYFUNCTION("""COMPUTED_VALUE"""),"Urgent  WWTP")</f>
        <v>Urgent  WWTP</v>
      </c>
      <c r="J151" s="3" t="str">
        <f>IFERROR(__xludf.DUMMYFUNCTION("""COMPUTED_VALUE"""),"P-12077-00")</f>
        <v>P-12077-00</v>
      </c>
      <c r="K151" s="3" t="str">
        <f>IFERROR(__xludf.DUMMYFUNCTION("""COMPUTED_VALUE"""),"Approve")</f>
        <v>Approve</v>
      </c>
      <c r="L151" s="3" t="str">
        <f>IFERROR(__xludf.DUMMYFUNCTION("""COMPUTED_VALUE"""),"Normal")</f>
        <v>Normal</v>
      </c>
      <c r="M151" s="3" t="str">
        <f>IFERROR(__xludf.DUMMYFUNCTION("""COMPUTED_VALUE"""),"Non Urgent")</f>
        <v>Non Urgent</v>
      </c>
    </row>
    <row r="152">
      <c r="A152" s="4">
        <f>IFERROR(__xludf.DUMMYFUNCTION("""COMPUTED_VALUE"""),45782.408972986115)</f>
        <v>45782.40897</v>
      </c>
      <c r="B152" s="3" t="str">
        <f>IFERROR(__xludf.DUMMYFUNCTION("""COMPUTED_VALUE"""),"MOBRO0037")</f>
        <v>MOBRO0037</v>
      </c>
      <c r="C152" s="3" t="str">
        <f>IFERROR(__xludf.DUMMYFUNCTION("""COMPUTED_VALUE"""),"Consumable")</f>
        <v>Consumable</v>
      </c>
      <c r="D152" s="3" t="str">
        <f>IFERROR(__xludf.DUMMYFUNCTION("""COMPUTED_VALUE"""),"-")</f>
        <v>-</v>
      </c>
      <c r="E152" s="3" t="str">
        <f>IFERROR(__xludf.DUMMYFUNCTION("""COMPUTED_VALUE"""),"Universal")</f>
        <v>Universal</v>
      </c>
      <c r="F152" s="3" t="str">
        <f>IFERROR(__xludf.DUMMYFUNCTION("""COMPUTED_VALUE"""),"General - Clamp Selang, SS, 3/4""; Tridon; -; 1 pcs")</f>
        <v>General - Clamp Selang, SS, 3/4"; Tridon; -; 1 pcs</v>
      </c>
      <c r="G152" s="3">
        <f>IFERROR(__xludf.DUMMYFUNCTION("""COMPUTED_VALUE"""),10.0)</f>
        <v>10</v>
      </c>
      <c r="H152" s="3" t="str">
        <f>IFERROR(__xludf.DUMMYFUNCTION("""COMPUTED_VALUE"""),"PCS")</f>
        <v>PCS</v>
      </c>
      <c r="I152" s="3" t="str">
        <f>IFERROR(__xludf.DUMMYFUNCTION("""COMPUTED_VALUE"""),"Stok Habis")</f>
        <v>Stok Habis</v>
      </c>
      <c r="J152" s="3" t="str">
        <f>IFERROR(__xludf.DUMMYFUNCTION("""COMPUTED_VALUE"""),"P-12082-00")</f>
        <v>P-12082-00</v>
      </c>
      <c r="K152" s="3" t="str">
        <f>IFERROR(__xludf.DUMMYFUNCTION("""COMPUTED_VALUE"""),"Approve")</f>
        <v>Approve</v>
      </c>
      <c r="L152" s="3" t="str">
        <f>IFERROR(__xludf.DUMMYFUNCTION("""COMPUTED_VALUE"""),"Normal")</f>
        <v>Normal</v>
      </c>
      <c r="M152" s="3" t="str">
        <f>IFERROR(__xludf.DUMMYFUNCTION("""COMPUTED_VALUE"""),"Non Urgent")</f>
        <v>Non Urgent</v>
      </c>
    </row>
    <row r="153">
      <c r="A153" s="4">
        <f>IFERROR(__xludf.DUMMYFUNCTION("""COMPUTED_VALUE"""),45782.409378530094)</f>
        <v>45782.40938</v>
      </c>
      <c r="B153" s="3" t="str">
        <f>IFERROR(__xludf.DUMMYFUNCTION("""COMPUTED_VALUE"""),"MOBRO0038")</f>
        <v>MOBRO0038</v>
      </c>
      <c r="C153" s="3" t="str">
        <f>IFERROR(__xludf.DUMMYFUNCTION("""COMPUTED_VALUE"""),"Consumable")</f>
        <v>Consumable</v>
      </c>
      <c r="D153" s="3" t="str">
        <f>IFERROR(__xludf.DUMMYFUNCTION("""COMPUTED_VALUE"""),"-")</f>
        <v>-</v>
      </c>
      <c r="E153" s="3" t="str">
        <f>IFERROR(__xludf.DUMMYFUNCTION("""COMPUTED_VALUE"""),"Universal")</f>
        <v>Universal</v>
      </c>
      <c r="F153" s="3" t="str">
        <f>IFERROR(__xludf.DUMMYFUNCTION("""COMPUTED_VALUE"""),"General - Clamp Selang, SS, 1/2""; Tridon; -; 1 pcs")</f>
        <v>General - Clamp Selang, SS, 1/2"; Tridon; -; 1 pcs</v>
      </c>
      <c r="G153" s="3">
        <f>IFERROR(__xludf.DUMMYFUNCTION("""COMPUTED_VALUE"""),10.0)</f>
        <v>10</v>
      </c>
      <c r="H153" s="3" t="str">
        <f>IFERROR(__xludf.DUMMYFUNCTION("""COMPUTED_VALUE"""),"Pcs")</f>
        <v>Pcs</v>
      </c>
      <c r="I153" s="3" t="str">
        <f>IFERROR(__xludf.DUMMYFUNCTION("""COMPUTED_VALUE"""),"Stok Habis")</f>
        <v>Stok Habis</v>
      </c>
      <c r="J153" s="3" t="str">
        <f>IFERROR(__xludf.DUMMYFUNCTION("""COMPUTED_VALUE"""),"P-12083-00")</f>
        <v>P-12083-00</v>
      </c>
      <c r="K153" s="3" t="str">
        <f>IFERROR(__xludf.DUMMYFUNCTION("""COMPUTED_VALUE"""),"Approve")</f>
        <v>Approve</v>
      </c>
      <c r="L153" s="3" t="str">
        <f>IFERROR(__xludf.DUMMYFUNCTION("""COMPUTED_VALUE"""),"Normal")</f>
        <v>Normal</v>
      </c>
      <c r="M153" s="3" t="str">
        <f>IFERROR(__xludf.DUMMYFUNCTION("""COMPUTED_VALUE"""),"Non Urgent")</f>
        <v>Non Urgent</v>
      </c>
    </row>
    <row r="154">
      <c r="A154" s="4">
        <f>IFERROR(__xludf.DUMMYFUNCTION("""COMPUTED_VALUE"""),45782.541633900466)</f>
        <v>45782.54163</v>
      </c>
      <c r="B154" s="3" t="str">
        <f>IFERROR(__xludf.DUMMYFUNCTION("""COMPUTED_VALUE"""),"MOBRO0039")</f>
        <v>MOBRO0039</v>
      </c>
      <c r="C154" s="3" t="str">
        <f>IFERROR(__xludf.DUMMYFUNCTION("""COMPUTED_VALUE"""),"Consumable")</f>
        <v>Consumable</v>
      </c>
      <c r="D154" s="3" t="str">
        <f>IFERROR(__xludf.DUMMYFUNCTION("""COMPUTED_VALUE"""),"-")</f>
        <v>-</v>
      </c>
      <c r="E154" s="3" t="str">
        <f>IFERROR(__xludf.DUMMYFUNCTION("""COMPUTED_VALUE"""),"AHU")</f>
        <v>AHU</v>
      </c>
      <c r="F154" s="3" t="str">
        <f>IFERROR(__xludf.DUMMYFUNCTION("""COMPUTED_VALUE"""),"General - Filter IAF MBV Series (Medium Filter), efficiency : 90-95 %, Size: 24 x 24 x 12 inch; IAF; -; 1 pcs")</f>
        <v>General - Filter IAF MBV Series (Medium Filter), efficiency : 90-95 %, Size: 24 x 24 x 12 inch; IAF; -; 1 pcs</v>
      </c>
      <c r="G154" s="3">
        <f>IFERROR(__xludf.DUMMYFUNCTION("""COMPUTED_VALUE"""),10.0)</f>
        <v>10</v>
      </c>
      <c r="H154" s="3" t="str">
        <f>IFERROR(__xludf.DUMMYFUNCTION("""COMPUTED_VALUE"""),"Pcs")</f>
        <v>Pcs</v>
      </c>
      <c r="I154" s="3" t="str">
        <f>IFERROR(__xludf.DUMMYFUNCTION("""COMPUTED_VALUE"""),"Spare")</f>
        <v>Spare</v>
      </c>
      <c r="J154" s="3" t="str">
        <f>IFERROR(__xludf.DUMMYFUNCTION("""COMPUTED_VALUE"""),"P-14457-00")</f>
        <v>P-14457-00</v>
      </c>
      <c r="K154" s="3" t="str">
        <f>IFERROR(__xludf.DUMMYFUNCTION("""COMPUTED_VALUE"""),"Approve")</f>
        <v>Approve</v>
      </c>
      <c r="L154" s="3" t="str">
        <f>IFERROR(__xludf.DUMMYFUNCTION("""COMPUTED_VALUE"""),"Normal")</f>
        <v>Normal</v>
      </c>
      <c r="M154" s="3" t="str">
        <f>IFERROR(__xludf.DUMMYFUNCTION("""COMPUTED_VALUE"""),"Non Urgent")</f>
        <v>Non Urgent</v>
      </c>
    </row>
    <row r="155">
      <c r="A155" s="4">
        <f>IFERROR(__xludf.DUMMYFUNCTION("""COMPUTED_VALUE"""),45782.54224638888)</f>
        <v>45782.54225</v>
      </c>
      <c r="B155" s="3" t="str">
        <f>IFERROR(__xludf.DUMMYFUNCTION("""COMPUTED_VALUE"""),"MOBRO0040")</f>
        <v>MOBRO0040</v>
      </c>
      <c r="C155" s="3" t="str">
        <f>IFERROR(__xludf.DUMMYFUNCTION("""COMPUTED_VALUE"""),"Consumable")</f>
        <v>Consumable</v>
      </c>
      <c r="D155" s="3" t="str">
        <f>IFERROR(__xludf.DUMMYFUNCTION("""COMPUTED_VALUE"""),"-")</f>
        <v>-</v>
      </c>
      <c r="E155" s="3" t="str">
        <f>IFERROR(__xludf.DUMMYFUNCTION("""COMPUTED_VALUE"""),"AHU")</f>
        <v>AHU</v>
      </c>
      <c r="F155" s="3" t="str">
        <f>IFERROR(__xludf.DUMMYFUNCTION("""COMPUTED_VALUE"""),"Filter IAF MBV Series (Medium Filter), efficiency : 90-95 %, Size: 12 x 24 x 12 inch; IAF; ;")</f>
        <v>Filter IAF MBV Series (Medium Filter), efficiency : 90-95 %, Size: 12 x 24 x 12 inch; IAF; ;</v>
      </c>
      <c r="G155" s="3">
        <f>IFERROR(__xludf.DUMMYFUNCTION("""COMPUTED_VALUE"""),10.0)</f>
        <v>10</v>
      </c>
      <c r="H155" s="3" t="str">
        <f>IFERROR(__xludf.DUMMYFUNCTION("""COMPUTED_VALUE"""),"Pcs")</f>
        <v>Pcs</v>
      </c>
      <c r="I155" s="3" t="str">
        <f>IFERROR(__xludf.DUMMYFUNCTION("""COMPUTED_VALUE"""),"Spare")</f>
        <v>Spare</v>
      </c>
      <c r="J155" s="3" t="str">
        <f>IFERROR(__xludf.DUMMYFUNCTION("""COMPUTED_VALUE"""),"P-14458-00")</f>
        <v>P-14458-00</v>
      </c>
      <c r="K155" s="3" t="str">
        <f>IFERROR(__xludf.DUMMYFUNCTION("""COMPUTED_VALUE"""),"Approve")</f>
        <v>Approve</v>
      </c>
      <c r="L155" s="3" t="str">
        <f>IFERROR(__xludf.DUMMYFUNCTION("""COMPUTED_VALUE"""),"Normal")</f>
        <v>Normal</v>
      </c>
      <c r="M155" s="3" t="str">
        <f>IFERROR(__xludf.DUMMYFUNCTION("""COMPUTED_VALUE"""),"Non Urgent")</f>
        <v>Non Urgent</v>
      </c>
    </row>
    <row r="156">
      <c r="A156" s="4">
        <f>IFERROR(__xludf.DUMMYFUNCTION("""COMPUTED_VALUE"""),45782.61139445602)</f>
        <v>45782.61139</v>
      </c>
      <c r="B156" s="3" t="str">
        <f>IFERROR(__xludf.DUMMYFUNCTION("""COMPUTED_VALUE"""),"MOBRO0041")</f>
        <v>MOBRO0041</v>
      </c>
      <c r="C156" s="3" t="str">
        <f>IFERROR(__xludf.DUMMYFUNCTION("""COMPUTED_VALUE"""),"MIn Stok")</f>
        <v>MIn Stok</v>
      </c>
      <c r="D156" s="3" t="str">
        <f>IFERROR(__xludf.DUMMYFUNCTION("""COMPUTED_VALUE"""),"-")</f>
        <v>-</v>
      </c>
      <c r="E156" s="3" t="str">
        <f>IFERROR(__xludf.DUMMYFUNCTION("""COMPUTED_VALUE"""),"AHU")</f>
        <v>AHU</v>
      </c>
      <c r="F156" s="3" t="str">
        <f>IFERROR(__xludf.DUMMYFUNCTION("""COMPUTED_VALUE"""),"General - Washable G4 Avg arrestance : 94%. Rec. Final resistance: 250 Pa. Size: 24"" x 24"" x 2""; IAF; ; pcs")</f>
        <v>General - Washable G4 Avg arrestance : 94%. Rec. Final resistance: 250 Pa. Size: 24" x 24" x 2"; IAF; ; pcs</v>
      </c>
      <c r="G156" s="3">
        <f>IFERROR(__xludf.DUMMYFUNCTION("""COMPUTED_VALUE"""),10.0)</f>
        <v>10</v>
      </c>
      <c r="H156" s="3" t="str">
        <f>IFERROR(__xludf.DUMMYFUNCTION("""COMPUTED_VALUE"""),"Pcs")</f>
        <v>Pcs</v>
      </c>
      <c r="I156" s="3" t="str">
        <f>IFERROR(__xludf.DUMMYFUNCTION("""COMPUTED_VALUE"""),"Ready Use penggantian AHU EFG kurang Karna banyak yng rusak")</f>
        <v>Ready Use penggantian AHU EFG kurang Karna banyak yng rusak</v>
      </c>
      <c r="J156" s="3" t="str">
        <f>IFERROR(__xludf.DUMMYFUNCTION("""COMPUTED_VALUE"""),"P-19028-00")</f>
        <v>P-19028-00</v>
      </c>
      <c r="K156" s="3" t="str">
        <f>IFERROR(__xludf.DUMMYFUNCTION("""COMPUTED_VALUE"""),"Approve")</f>
        <v>Approve</v>
      </c>
      <c r="L156" s="3" t="str">
        <f>IFERROR(__xludf.DUMMYFUNCTION("""COMPUTED_VALUE"""),"Normal")</f>
        <v>Normal</v>
      </c>
      <c r="M156" s="3" t="str">
        <f>IFERROR(__xludf.DUMMYFUNCTION("""COMPUTED_VALUE"""),"Non Urgent")</f>
        <v>Non Urgent</v>
      </c>
    </row>
    <row r="157">
      <c r="A157" s="4">
        <f>IFERROR(__xludf.DUMMYFUNCTION("""COMPUTED_VALUE"""),45782.6116896875)</f>
        <v>45782.61169</v>
      </c>
      <c r="B157" s="3" t="str">
        <f>IFERROR(__xludf.DUMMYFUNCTION("""COMPUTED_VALUE"""),"MOBRO0042")</f>
        <v>MOBRO0042</v>
      </c>
      <c r="C157" s="3" t="str">
        <f>IFERROR(__xludf.DUMMYFUNCTION("""COMPUTED_VALUE"""),"MIn Stok")</f>
        <v>MIn Stok</v>
      </c>
      <c r="D157" s="3" t="str">
        <f>IFERROR(__xludf.DUMMYFUNCTION("""COMPUTED_VALUE"""),"-")</f>
        <v>-</v>
      </c>
      <c r="E157" s="3" t="str">
        <f>IFERROR(__xludf.DUMMYFUNCTION("""COMPUTED_VALUE"""),"AHU")</f>
        <v>AHU</v>
      </c>
      <c r="F157" s="3" t="str">
        <f>IFERROR(__xludf.DUMMYFUNCTION("""COMPUTED_VALUE"""),"Pre Filter G4 size : 12X24X2")</f>
        <v>Pre Filter G4 size : 12X24X2</v>
      </c>
      <c r="G157" s="3">
        <f>IFERROR(__xludf.DUMMYFUNCTION("""COMPUTED_VALUE"""),10.0)</f>
        <v>10</v>
      </c>
      <c r="H157" s="3" t="str">
        <f>IFERROR(__xludf.DUMMYFUNCTION("""COMPUTED_VALUE"""),"Pcs")</f>
        <v>Pcs</v>
      </c>
      <c r="I157" s="3" t="str">
        <f>IFERROR(__xludf.DUMMYFUNCTION("""COMPUTED_VALUE"""),"Ready Use penggantian AHU EFG kurang Karna banyak yng rusak")</f>
        <v>Ready Use penggantian AHU EFG kurang Karna banyak yng rusak</v>
      </c>
      <c r="J157" s="3" t="str">
        <f>IFERROR(__xludf.DUMMYFUNCTION("""COMPUTED_VALUE"""),"P-10019-00")</f>
        <v>P-10019-00</v>
      </c>
      <c r="K157" s="3" t="str">
        <f>IFERROR(__xludf.DUMMYFUNCTION("""COMPUTED_VALUE"""),"Approve")</f>
        <v>Approve</v>
      </c>
      <c r="L157" s="3" t="str">
        <f>IFERROR(__xludf.DUMMYFUNCTION("""COMPUTED_VALUE"""),"Normal")</f>
        <v>Normal</v>
      </c>
      <c r="M157" s="3" t="str">
        <f>IFERROR(__xludf.DUMMYFUNCTION("""COMPUTED_VALUE"""),"Non Urgent")</f>
        <v>Non Urgent</v>
      </c>
    </row>
    <row r="158">
      <c r="A158" s="4">
        <f>IFERROR(__xludf.DUMMYFUNCTION("""COMPUTED_VALUE"""),45783.62674813657)</f>
        <v>45783.62675</v>
      </c>
      <c r="B158" s="3" t="str">
        <f>IFERROR(__xludf.DUMMYFUNCTION("""COMPUTED_VALUE"""),"MOBRO0043")</f>
        <v>MOBRO0043</v>
      </c>
      <c r="C158" s="3" t="str">
        <f>IFERROR(__xludf.DUMMYFUNCTION("""COMPUTED_VALUE"""),"EJO")</f>
        <v>EJO</v>
      </c>
      <c r="D158" s="3" t="str">
        <f>IFERROR(__xludf.DUMMYFUNCTION("""COMPUTED_VALUE"""),"2025/05/45")</f>
        <v>2025/05/45</v>
      </c>
      <c r="E158" s="3" t="str">
        <f>IFERROR(__xludf.DUMMYFUNCTION("""COMPUTED_VALUE"""),"EF Lt.4,")</f>
        <v>EF Lt.4,</v>
      </c>
      <c r="F158" s="3" t="str">
        <f>IFERROR(__xludf.DUMMYFUNCTION("""COMPUTED_VALUE"""),"SPA 1120 Brand : Optibelt / Bando Merah; Optibelt; ;")</f>
        <v>SPA 1120 Brand : Optibelt / Bando Merah; Optibelt; ;</v>
      </c>
      <c r="G158" s="3">
        <f>IFERROR(__xludf.DUMMYFUNCTION("""COMPUTED_VALUE"""),6.0)</f>
        <v>6</v>
      </c>
      <c r="H158" s="3" t="str">
        <f>IFERROR(__xludf.DUMMYFUNCTION("""COMPUTED_VALUE"""),"Pcs")</f>
        <v>Pcs</v>
      </c>
      <c r="I158" s="3" t="str">
        <f>IFERROR(__xludf.DUMMYFUNCTION("""COMPUTED_VALUE"""),"EJO")</f>
        <v>EJO</v>
      </c>
      <c r="J158" s="3" t="str">
        <f>IFERROR(__xludf.DUMMYFUNCTION("""COMPUTED_VALUE"""),"O-15489-00")</f>
        <v>O-15489-00</v>
      </c>
      <c r="K158" s="3" t="str">
        <f>IFERROR(__xludf.DUMMYFUNCTION("""COMPUTED_VALUE"""),"Approve")</f>
        <v>Approve</v>
      </c>
      <c r="L158" s="3" t="str">
        <f>IFERROR(__xludf.DUMMYFUNCTION("""COMPUTED_VALUE"""),"Normal")</f>
        <v>Normal</v>
      </c>
      <c r="M158" s="3" t="str">
        <f>IFERROR(__xludf.DUMMYFUNCTION("""COMPUTED_VALUE"""),"Non Urgent")</f>
        <v>Non Urgent</v>
      </c>
    </row>
    <row r="159">
      <c r="A159" s="4">
        <f>IFERROR(__xludf.DUMMYFUNCTION("""COMPUTED_VALUE"""),45783.952242708336)</f>
        <v>45783.95224</v>
      </c>
      <c r="B159" s="3" t="str">
        <f>IFERROR(__xludf.DUMMYFUNCTION("""COMPUTED_VALUE"""),"MRNRO0014")</f>
        <v>MRNRO0014</v>
      </c>
      <c r="C159" s="3" t="str">
        <f>IFERROR(__xludf.DUMMYFUNCTION("""COMPUTED_VALUE"""),"EJO")</f>
        <v>EJO</v>
      </c>
      <c r="D159" s="3" t="str">
        <f>IFERROR(__xludf.DUMMYFUNCTION("""COMPUTED_VALUE"""),"EJO/2025/05/04")</f>
        <v>EJO/2025/05/04</v>
      </c>
      <c r="E159" s="3" t="str">
        <f>IFERROR(__xludf.DUMMYFUNCTION("""COMPUTED_VALUE"""),"WWTP")</f>
        <v>WWTP</v>
      </c>
      <c r="F159" s="3" t="str">
        <f>IFERROR(__xludf.DUMMYFUNCTION("""COMPUTED_VALUE"""),"Gembok 40 mm;No Brand;;pack size per pcs")</f>
        <v>Gembok 40 mm;No Brand;;pack size per pcs</v>
      </c>
      <c r="G159" s="3">
        <f>IFERROR(__xludf.DUMMYFUNCTION("""COMPUTED_VALUE"""),3.0)</f>
        <v>3</v>
      </c>
      <c r="H159" s="3" t="str">
        <f>IFERROR(__xludf.DUMMYFUNCTION("""COMPUTED_VALUE"""),"pcs")</f>
        <v>pcs</v>
      </c>
      <c r="I159" s="3" t="str">
        <f>IFERROR(__xludf.DUMMYFUNCTION("""COMPUTED_VALUE"""),"buat mainhole")</f>
        <v>buat mainhole</v>
      </c>
      <c r="J159" s="3" t="str">
        <f>IFERROR(__xludf.DUMMYFUNCTION("""COMPUTED_VALUE"""),"Q-10859-00")</f>
        <v>Q-10859-00</v>
      </c>
      <c r="K159" s="3" t="str">
        <f>IFERROR(__xludf.DUMMYFUNCTION("""COMPUTED_VALUE"""),"Reject")</f>
        <v>Reject</v>
      </c>
      <c r="L159" s="3" t="str">
        <f>IFERROR(__xludf.DUMMYFUNCTION("""COMPUTED_VALUE"""),"Normal")</f>
        <v>Normal</v>
      </c>
      <c r="M159" s="3" t="str">
        <f>IFERROR(__xludf.DUMMYFUNCTION("""COMPUTED_VALUE"""),"Non Urgent")</f>
        <v>Non Urgent</v>
      </c>
    </row>
    <row r="160">
      <c r="A160" s="4">
        <f>IFERROR(__xludf.DUMMYFUNCTION("""COMPUTED_VALUE"""),45784.02340074074)</f>
        <v>45784.0234</v>
      </c>
      <c r="B160" s="3" t="str">
        <f>IFERROR(__xludf.DUMMYFUNCTION("""COMPUTED_VALUE"""),"SFHRO0006")</f>
        <v>SFHRO0006</v>
      </c>
      <c r="C160" s="3" t="str">
        <f>IFERROR(__xludf.DUMMYFUNCTION("""COMPUTED_VALUE"""),"MIn Stok")</f>
        <v>MIn Stok</v>
      </c>
      <c r="D160" s="3" t="str">
        <f>IFERROR(__xludf.DUMMYFUNCTION("""COMPUTED_VALUE"""),"-")</f>
        <v>-</v>
      </c>
      <c r="E160" s="3" t="str">
        <f>IFERROR(__xludf.DUMMYFUNCTION("""COMPUTED_VALUE"""),"lantai 2")</f>
        <v>lantai 2</v>
      </c>
      <c r="F160" s="3" t="str">
        <f>IFERROR(__xludf.DUMMYFUNCTION("""COMPUTED_VALUE"""),"Thinner Super End/Impala @ 1 Liter")</f>
        <v>Thinner Super End/Impala @ 1 Liter</v>
      </c>
      <c r="G160" s="3">
        <f>IFERROR(__xludf.DUMMYFUNCTION("""COMPUTED_VALUE"""),10.0)</f>
        <v>10</v>
      </c>
      <c r="H160" s="3" t="str">
        <f>IFERROR(__xludf.DUMMYFUNCTION("""COMPUTED_VALUE"""),"liter")</f>
        <v>liter</v>
      </c>
      <c r="I160" s="3" t="str">
        <f>IFERROR(__xludf.DUMMYFUNCTION("""COMPUTED_VALUE"""),"-")</f>
        <v>-</v>
      </c>
      <c r="J160" s="3" t="str">
        <f>IFERROR(__xludf.DUMMYFUNCTION("""COMPUTED_VALUE"""),"Q-10128-00")</f>
        <v>Q-10128-00</v>
      </c>
      <c r="K160" s="3" t="str">
        <f>IFERROR(__xludf.DUMMYFUNCTION("""COMPUTED_VALUE"""),"Approve")</f>
        <v>Approve</v>
      </c>
      <c r="L160" s="3" t="str">
        <f>IFERROR(__xludf.DUMMYFUNCTION("""COMPUTED_VALUE"""),"Normal")</f>
        <v>Normal</v>
      </c>
      <c r="M160" s="3" t="str">
        <f>IFERROR(__xludf.DUMMYFUNCTION("""COMPUTED_VALUE"""),"Non Urgent")</f>
        <v>Non Urgent</v>
      </c>
    </row>
    <row r="161">
      <c r="A161" s="4">
        <f>IFERROR(__xludf.DUMMYFUNCTION("""COMPUTED_VALUE"""),45787.48358777777)</f>
        <v>45787.48359</v>
      </c>
      <c r="B161" s="3" t="str">
        <f>IFERROR(__xludf.DUMMYFUNCTION("""COMPUTED_VALUE"""),"ROSRO0004")</f>
        <v>ROSRO0004</v>
      </c>
      <c r="C161" s="3" t="str">
        <f>IFERROR(__xludf.DUMMYFUNCTION("""COMPUTED_VALUE"""),"Consumable")</f>
        <v>Consumable</v>
      </c>
      <c r="D161" s="3" t="str">
        <f>IFERROR(__xludf.DUMMYFUNCTION("""COMPUTED_VALUE"""),"-")</f>
        <v>-</v>
      </c>
      <c r="E161" s="3" t="str">
        <f>IFERROR(__xludf.DUMMYFUNCTION("""COMPUTED_VALUE"""),"isolator Mixing")</f>
        <v>isolator Mixing</v>
      </c>
      <c r="F161" s="3" t="str">
        <f>IFERROR(__xludf.DUMMYFUNCTION("""COMPUTED_VALUE"""),"LAMPU SL 24 W  / 220-240 V / SPIRAL, PHILIPS")</f>
        <v>LAMPU SL 24 W  / 220-240 V / SPIRAL, PHILIPS</v>
      </c>
      <c r="G161" s="3">
        <f>IFERROR(__xludf.DUMMYFUNCTION("""COMPUTED_VALUE"""),10.0)</f>
        <v>10</v>
      </c>
      <c r="H161" s="3" t="str">
        <f>IFERROR(__xludf.DUMMYFUNCTION("""COMPUTED_VALUE"""),"set")</f>
        <v>set</v>
      </c>
      <c r="I161" s="3" t="str">
        <f>IFERROR(__xludf.DUMMYFUNCTION("""COMPUTED_VALUE"""),"-")</f>
        <v>-</v>
      </c>
      <c r="J161" s="3" t="str">
        <f>IFERROR(__xludf.DUMMYFUNCTION("""COMPUTED_VALUE"""),"O-54004-00")</f>
        <v>O-54004-00</v>
      </c>
      <c r="K161" s="3" t="str">
        <f>IFERROR(__xludf.DUMMYFUNCTION("""COMPUTED_VALUE"""),"Approve")</f>
        <v>Approve</v>
      </c>
      <c r="L161" s="3" t="str">
        <f>IFERROR(__xludf.DUMMYFUNCTION("""COMPUTED_VALUE"""),"Normal")</f>
        <v>Normal</v>
      </c>
      <c r="M161" s="3" t="str">
        <f>IFERROR(__xludf.DUMMYFUNCTION("""COMPUTED_VALUE"""),"Non Urgent")</f>
        <v>Non Urgent</v>
      </c>
    </row>
    <row r="162">
      <c r="A162" s="4">
        <f>IFERROR(__xludf.DUMMYFUNCTION("""COMPUTED_VALUE"""),45789.837983067126)</f>
        <v>45789.83798</v>
      </c>
      <c r="B162" s="3" t="str">
        <f>IFERROR(__xludf.DUMMYFUNCTION("""COMPUTED_VALUE"""),"MFHRO0046")</f>
        <v>MFHRO0046</v>
      </c>
      <c r="C162" s="3" t="str">
        <f>IFERROR(__xludf.DUMMYFUNCTION("""COMPUTED_VALUE"""),"Consumable")</f>
        <v>Consumable</v>
      </c>
      <c r="D162" s="3" t="str">
        <f>IFERROR(__xludf.DUMMYFUNCTION("""COMPUTED_VALUE"""),"-")</f>
        <v>-</v>
      </c>
      <c r="E162" s="3" t="str">
        <f>IFERROR(__xludf.DUMMYFUNCTION("""COMPUTED_VALUE"""),"General")</f>
        <v>General</v>
      </c>
      <c r="F162" s="3" t="str">
        <f>IFERROR(__xludf.DUMMYFUNCTION("""COMPUTED_VALUE"""),"Plastik Wrap Roll,  Size 50 x 200 cm x 17 micron")</f>
        <v>Plastik Wrap Roll,  Size 50 x 200 cm x 17 micron</v>
      </c>
      <c r="G162" s="3">
        <f>IFERROR(__xludf.DUMMYFUNCTION("""COMPUTED_VALUE"""),5.0)</f>
        <v>5</v>
      </c>
      <c r="H162" s="3" t="str">
        <f>IFERROR(__xludf.DUMMYFUNCTION("""COMPUTED_VALUE"""),"Pcs")</f>
        <v>Pcs</v>
      </c>
      <c r="I162" s="3" t="str">
        <f>IFERROR(__xludf.DUMMYFUNCTION("""COMPUTED_VALUE"""),"Min Stok Plastik Wrap 121702607")</f>
        <v>Min Stok Plastik Wrap 121702607</v>
      </c>
      <c r="J162" s="3" t="str">
        <f>IFERROR(__xludf.DUMMYFUNCTION("""COMPUTED_VALUE"""),"S-46129-00")</f>
        <v>S-46129-00</v>
      </c>
      <c r="K162" s="3" t="str">
        <f>IFERROR(__xludf.DUMMYFUNCTION("""COMPUTED_VALUE"""),"Approve")</f>
        <v>Approve</v>
      </c>
      <c r="L162" s="3" t="str">
        <f>IFERROR(__xludf.DUMMYFUNCTION("""COMPUTED_VALUE"""),"Normal")</f>
        <v>Normal</v>
      </c>
      <c r="M162" s="3" t="str">
        <f>IFERROR(__xludf.DUMMYFUNCTION("""COMPUTED_VALUE"""),"Non Urgent")</f>
        <v>Non Urgent</v>
      </c>
    </row>
    <row r="163">
      <c r="A163" s="4">
        <f>IFERROR(__xludf.DUMMYFUNCTION("""COMPUTED_VALUE"""),45789.837983067126)</f>
        <v>45789.83798</v>
      </c>
      <c r="B163" s="3" t="str">
        <f>IFERROR(__xludf.DUMMYFUNCTION("""COMPUTED_VALUE"""),"MFHRO0047")</f>
        <v>MFHRO0047</v>
      </c>
      <c r="C163" s="3" t="str">
        <f>IFERROR(__xludf.DUMMYFUNCTION("""COMPUTED_VALUE"""),"MIn Stok")</f>
        <v>MIn Stok</v>
      </c>
      <c r="D163" s="3" t="str">
        <f>IFERROR(__xludf.DUMMYFUNCTION("""COMPUTED_VALUE"""),"-")</f>
        <v>-</v>
      </c>
      <c r="E163" s="3" t="str">
        <f>IFERROR(__xludf.DUMMYFUNCTION("""COMPUTED_VALUE"""),"WWTP")</f>
        <v>WWTP</v>
      </c>
      <c r="F163" s="3" t="str">
        <f>IFERROR(__xludf.DUMMYFUNCTION("""COMPUTED_VALUE"""),"General - Set Gearbox Helical G3FS + Dinamo 0,5 HP Ratio 1:15 4 Pole, B5, 1 Phase; Yuema; -; 1 set")</f>
        <v>General - Set Gearbox Helical G3FS + Dinamo 0,5 HP Ratio 1:15 4 Pole, B5, 1 Phase; Yuema; -; 1 set</v>
      </c>
      <c r="G163" s="3">
        <f>IFERROR(__xludf.DUMMYFUNCTION("""COMPUTED_VALUE"""),1.0)</f>
        <v>1</v>
      </c>
      <c r="H163" s="3" t="str">
        <f>IFERROR(__xludf.DUMMYFUNCTION("""COMPUTED_VALUE"""),"Set")</f>
        <v>Set</v>
      </c>
      <c r="I163" s="3" t="str">
        <f>IFERROR(__xludf.DUMMYFUNCTION("""COMPUTED_VALUE"""),"Min Stok Mixer SMBS")</f>
        <v>Min Stok Mixer SMBS</v>
      </c>
      <c r="J163" s="3" t="str">
        <f>IFERROR(__xludf.DUMMYFUNCTION("""COMPUTED_VALUE"""),"P-53418-00")</f>
        <v>P-53418-00</v>
      </c>
      <c r="K163" s="3" t="str">
        <f>IFERROR(__xludf.DUMMYFUNCTION("""COMPUTED_VALUE"""),"Approve")</f>
        <v>Approve</v>
      </c>
      <c r="L163" s="3" t="str">
        <f>IFERROR(__xludf.DUMMYFUNCTION("""COMPUTED_VALUE"""),"Normal")</f>
        <v>Normal</v>
      </c>
      <c r="M163" s="3" t="str">
        <f>IFERROR(__xludf.DUMMYFUNCTION("""COMPUTED_VALUE"""),"Non Urgent")</f>
        <v>Non Urgent</v>
      </c>
    </row>
    <row r="164">
      <c r="A164" s="4">
        <f>IFERROR(__xludf.DUMMYFUNCTION("""COMPUTED_VALUE"""),45789.837983067126)</f>
        <v>45789.83798</v>
      </c>
      <c r="B164" s="3" t="str">
        <f>IFERROR(__xludf.DUMMYFUNCTION("""COMPUTED_VALUE"""),"MFHRO0048")</f>
        <v>MFHRO0048</v>
      </c>
      <c r="C164" s="3" t="str">
        <f>IFERROR(__xludf.DUMMYFUNCTION("""COMPUTED_VALUE"""),"MIn Stok")</f>
        <v>MIn Stok</v>
      </c>
      <c r="D164" s="3" t="str">
        <f>IFERROR(__xludf.DUMMYFUNCTION("""COMPUTED_VALUE"""),"-")</f>
        <v>-</v>
      </c>
      <c r="E164" s="3" t="str">
        <f>IFERROR(__xludf.DUMMYFUNCTION("""COMPUTED_VALUE"""),"Autoclave")</f>
        <v>Autoclave</v>
      </c>
      <c r="F164" s="3" t="str">
        <f>IFERROR(__xludf.DUMMYFUNCTION("""COMPUTED_VALUE"""),"Autoclave Fedegari Fva/A1 - Oring Viton OD. 15 mm, ID. 15 mm, Tebal 2 mm Custom/Lokal  -")</f>
        <v>Autoclave Fedegari Fva/A1 - Oring Viton OD. 15 mm, ID. 15 mm, Tebal 2 mm Custom/Lokal  -</v>
      </c>
      <c r="G164" s="3">
        <f>IFERROR(__xludf.DUMMYFUNCTION("""COMPUTED_VALUE"""),50.0)</f>
        <v>50</v>
      </c>
      <c r="H164" s="3" t="str">
        <f>IFERROR(__xludf.DUMMYFUNCTION("""COMPUTED_VALUE"""),"Pc")</f>
        <v>Pc</v>
      </c>
      <c r="I164" s="3" t="str">
        <f>IFERROR(__xludf.DUMMYFUNCTION("""COMPUTED_VALUE"""),"Min Stok Oring Autoclave 121702622")</f>
        <v>Min Stok Oring Autoclave 121702622</v>
      </c>
      <c r="J164" s="3" t="str">
        <f>IFERROR(__xludf.DUMMYFUNCTION("""COMPUTED_VALUE"""),"O-20297-00")</f>
        <v>O-20297-00</v>
      </c>
      <c r="K164" s="3" t="str">
        <f>IFERROR(__xludf.DUMMYFUNCTION("""COMPUTED_VALUE"""),"Approve")</f>
        <v>Approve</v>
      </c>
      <c r="L164" s="3" t="str">
        <f>IFERROR(__xludf.DUMMYFUNCTION("""COMPUTED_VALUE"""),"Normal")</f>
        <v>Normal</v>
      </c>
      <c r="M164" s="3" t="str">
        <f>IFERROR(__xludf.DUMMYFUNCTION("""COMPUTED_VALUE"""),"Non Urgent")</f>
        <v>Non Urgent</v>
      </c>
    </row>
    <row r="165">
      <c r="A165" s="4">
        <f>IFERROR(__xludf.DUMMYFUNCTION("""COMPUTED_VALUE"""),45789.837983067126)</f>
        <v>45789.83798</v>
      </c>
      <c r="B165" s="3" t="str">
        <f>IFERROR(__xludf.DUMMYFUNCTION("""COMPUTED_VALUE"""),"MFHRO0049")</f>
        <v>MFHRO0049</v>
      </c>
      <c r="C165" s="3" t="str">
        <f>IFERROR(__xludf.DUMMYFUNCTION("""COMPUTED_VALUE"""),"MIn Stok")</f>
        <v>MIn Stok</v>
      </c>
      <c r="D165" s="3" t="str">
        <f>IFERROR(__xludf.DUMMYFUNCTION("""COMPUTED_VALUE"""),"-")</f>
        <v>-</v>
      </c>
      <c r="E165" s="3" t="str">
        <f>IFERROR(__xludf.DUMMYFUNCTION("""COMPUTED_VALUE"""),"Mixing")</f>
        <v>Mixing</v>
      </c>
      <c r="F165" s="3" t="str">
        <f>IFERROR(__xludf.DUMMYFUNCTION("""COMPUTED_VALUE"""),"OMRON - Relay MY4Z 24VDC; ; ;")</f>
        <v>OMRON - Relay MY4Z 24VDC; ; ;</v>
      </c>
      <c r="G165" s="3">
        <f>IFERROR(__xludf.DUMMYFUNCTION("""COMPUTED_VALUE"""),15.0)</f>
        <v>15</v>
      </c>
      <c r="H165" s="3" t="str">
        <f>IFERROR(__xludf.DUMMYFUNCTION("""COMPUTED_VALUE"""),"Pcs")</f>
        <v>Pcs</v>
      </c>
      <c r="I165" s="3" t="str">
        <f>IFERROR(__xludf.DUMMYFUNCTION("""COMPUTED_VALUE"""),"Min Stok Relay Mixing 121702623")</f>
        <v>Min Stok Relay Mixing 121702623</v>
      </c>
      <c r="J165" s="3" t="str">
        <f>IFERROR(__xludf.DUMMYFUNCTION("""COMPUTED_VALUE"""),"O-51698-00")</f>
        <v>O-51698-00</v>
      </c>
      <c r="K165" s="3" t="str">
        <f>IFERROR(__xludf.DUMMYFUNCTION("""COMPUTED_VALUE"""),"Approve")</f>
        <v>Approve</v>
      </c>
      <c r="L165" s="3" t="str">
        <f>IFERROR(__xludf.DUMMYFUNCTION("""COMPUTED_VALUE"""),"Normal")</f>
        <v>Normal</v>
      </c>
      <c r="M165" s="3" t="str">
        <f>IFERROR(__xludf.DUMMYFUNCTION("""COMPUTED_VALUE"""),"Non Urgent")</f>
        <v>Non Urgent</v>
      </c>
    </row>
    <row r="166">
      <c r="A166" s="4">
        <f>IFERROR(__xludf.DUMMYFUNCTION("""COMPUTED_VALUE"""),45789.837983067126)</f>
        <v>45789.83798</v>
      </c>
      <c r="B166" s="3" t="str">
        <f>IFERROR(__xludf.DUMMYFUNCTION("""COMPUTED_VALUE"""),"MFHRO0050")</f>
        <v>MFHRO0050</v>
      </c>
      <c r="C166" s="3" t="str">
        <f>IFERROR(__xludf.DUMMYFUNCTION("""COMPUTED_VALUE"""),"MIn Stok")</f>
        <v>MIn Stok</v>
      </c>
      <c r="D166" s="3" t="str">
        <f>IFERROR(__xludf.DUMMYFUNCTION("""COMPUTED_VALUE"""),"-")</f>
        <v>-</v>
      </c>
      <c r="E166" s="3" t="str">
        <f>IFERROR(__xludf.DUMMYFUNCTION("""COMPUTED_VALUE"""),"Autoclave")</f>
        <v>Autoclave</v>
      </c>
      <c r="F166" s="3" t="str">
        <f>IFERROR(__xludf.DUMMYFUNCTION("""COMPUTED_VALUE"""),"Autoclave Fedegari FVA2/A1 NB2963AT - KIT Ricambi Valv. DN10 ON-OFF FEDEGARI ASIA PTE LTD P/N : KK000301 pc")</f>
        <v>Autoclave Fedegari FVA2/A1 NB2963AT - KIT Ricambi Valv. DN10 ON-OFF FEDEGARI ASIA PTE LTD P/N : KK000301 pc</v>
      </c>
      <c r="G166" s="3">
        <f>IFERROR(__xludf.DUMMYFUNCTION("""COMPUTED_VALUE"""),14.0)</f>
        <v>14</v>
      </c>
      <c r="H166" s="3" t="str">
        <f>IFERROR(__xludf.DUMMYFUNCTION("""COMPUTED_VALUE"""),"Pcs")</f>
        <v>Pcs</v>
      </c>
      <c r="I166" s="3" t="str">
        <f>IFERROR(__xludf.DUMMYFUNCTION("""COMPUTED_VALUE"""),"Min Stok Dot Autoclave 121702624")</f>
        <v>Min Stok Dot Autoclave 121702624</v>
      </c>
      <c r="J166" s="3" t="str">
        <f>IFERROR(__xludf.DUMMYFUNCTION("""COMPUTED_VALUE"""),"O-16731-00")</f>
        <v>O-16731-00</v>
      </c>
      <c r="K166" s="3" t="str">
        <f>IFERROR(__xludf.DUMMYFUNCTION("""COMPUTED_VALUE"""),"Approve")</f>
        <v>Approve</v>
      </c>
      <c r="L166" s="3" t="str">
        <f>IFERROR(__xludf.DUMMYFUNCTION("""COMPUTED_VALUE"""),"Normal")</f>
        <v>Normal</v>
      </c>
      <c r="M166" s="3" t="str">
        <f>IFERROR(__xludf.DUMMYFUNCTION("""COMPUTED_VALUE"""),"Non Urgent")</f>
        <v>Non Urgent</v>
      </c>
    </row>
    <row r="167">
      <c r="A167" s="4">
        <f>IFERROR(__xludf.DUMMYFUNCTION("""COMPUTED_VALUE"""),45789.837983067126)</f>
        <v>45789.83798</v>
      </c>
      <c r="B167" s="3" t="str">
        <f>IFERROR(__xludf.DUMMYFUNCTION("""COMPUTED_VALUE"""),"MFHRO0051")</f>
        <v>MFHRO0051</v>
      </c>
      <c r="C167" s="3" t="str">
        <f>IFERROR(__xludf.DUMMYFUNCTION("""COMPUTED_VALUE"""),"MIn Stok")</f>
        <v>MIn Stok</v>
      </c>
      <c r="D167" s="3" t="str">
        <f>IFERROR(__xludf.DUMMYFUNCTION("""COMPUTED_VALUE"""),"-")</f>
        <v>-</v>
      </c>
      <c r="E167" s="3" t="str">
        <f>IFERROR(__xludf.DUMMYFUNCTION("""COMPUTED_VALUE"""),"Autoclave")</f>
        <v>Autoclave</v>
      </c>
      <c r="F167" s="3" t="str">
        <f>IFERROR(__xludf.DUMMYFUNCTION("""COMPUTED_VALUE"""),"Fedegari FVA2/A1 - CLAMP DN34-DN35 (MICROCASTED); Code : GM100094; ; ;")</f>
        <v>Fedegari FVA2/A1 - CLAMP DN34-DN35 (MICROCASTED); Code : GM100094; ; ;</v>
      </c>
      <c r="G167" s="3">
        <f>IFERROR(__xludf.DUMMYFUNCTION("""COMPUTED_VALUE"""),1.0)</f>
        <v>1</v>
      </c>
      <c r="H167" s="3" t="str">
        <f>IFERROR(__xludf.DUMMYFUNCTION("""COMPUTED_VALUE"""),"Pcs")</f>
        <v>Pcs</v>
      </c>
      <c r="I167" s="3" t="str">
        <f>IFERROR(__xludf.DUMMYFUNCTION("""COMPUTED_VALUE"""),"Min Stock Clamp Autoclave 121702624")</f>
        <v>Min Stock Clamp Autoclave 121702624</v>
      </c>
      <c r="J167" s="3" t="str">
        <f>IFERROR(__xludf.DUMMYFUNCTION("""COMPUTED_VALUE"""),"O-15912-00")</f>
        <v>O-15912-00</v>
      </c>
      <c r="K167" s="3" t="str">
        <f>IFERROR(__xludf.DUMMYFUNCTION("""COMPUTED_VALUE"""),"Approve")</f>
        <v>Approve</v>
      </c>
      <c r="L167" s="3" t="str">
        <f>IFERROR(__xludf.DUMMYFUNCTION("""COMPUTED_VALUE"""),"Normal")</f>
        <v>Normal</v>
      </c>
      <c r="M167" s="3" t="str">
        <f>IFERROR(__xludf.DUMMYFUNCTION("""COMPUTED_VALUE"""),"Non Urgent")</f>
        <v>Non Urgent</v>
      </c>
    </row>
    <row r="168">
      <c r="A168" s="4">
        <f>IFERROR(__xludf.DUMMYFUNCTION("""COMPUTED_VALUE"""),45789.837983067126)</f>
        <v>45789.83798</v>
      </c>
      <c r="B168" s="3" t="str">
        <f>IFERROR(__xludf.DUMMYFUNCTION("""COMPUTED_VALUE"""),"MFHRO0052")</f>
        <v>MFHRO0052</v>
      </c>
      <c r="C168" s="3" t="str">
        <f>IFERROR(__xludf.DUMMYFUNCTION("""COMPUTED_VALUE"""),"MIn Stok")</f>
        <v>MIn Stok</v>
      </c>
      <c r="D168" s="3" t="str">
        <f>IFERROR(__xludf.DUMMYFUNCTION("""COMPUTED_VALUE"""),"-")</f>
        <v>-</v>
      </c>
      <c r="E168" s="3" t="str">
        <f>IFERROR(__xludf.DUMMYFUNCTION("""COMPUTED_VALUE"""),"Autoclave")</f>
        <v>Autoclave</v>
      </c>
      <c r="F168" s="3" t="str">
        <f>IFERROR(__xludf.DUMMYFUNCTION("""COMPUTED_VALUE"""),"Fedegari FVA2/A1 - DN16 ASTM CAP; Code : PM102747; ; ;")</f>
        <v>Fedegari FVA2/A1 - DN16 ASTM CAP; Code : PM102747; ; ;</v>
      </c>
      <c r="G168" s="3">
        <f>IFERROR(__xludf.DUMMYFUNCTION("""COMPUTED_VALUE"""),1.0)</f>
        <v>1</v>
      </c>
      <c r="H168" s="3" t="str">
        <f>IFERROR(__xludf.DUMMYFUNCTION("""COMPUTED_VALUE"""),"Unit")</f>
        <v>Unit</v>
      </c>
      <c r="I168" s="3" t="str">
        <f>IFERROR(__xludf.DUMMYFUNCTION("""COMPUTED_VALUE"""),"Min Stock Autoclave 121702624")</f>
        <v>Min Stock Autoclave 121702624</v>
      </c>
      <c r="J168" s="3" t="str">
        <f>IFERROR(__xludf.DUMMYFUNCTION("""COMPUTED_VALUE"""),"O-15915-00")</f>
        <v>O-15915-00</v>
      </c>
      <c r="K168" s="3" t="str">
        <f>IFERROR(__xludf.DUMMYFUNCTION("""COMPUTED_VALUE"""),"Approve")</f>
        <v>Approve</v>
      </c>
      <c r="L168" s="3" t="str">
        <f>IFERROR(__xludf.DUMMYFUNCTION("""COMPUTED_VALUE"""),"Normal")</f>
        <v>Normal</v>
      </c>
      <c r="M168" s="3" t="str">
        <f>IFERROR(__xludf.DUMMYFUNCTION("""COMPUTED_VALUE"""),"Non Urgent")</f>
        <v>Non Urgent</v>
      </c>
    </row>
    <row r="169">
      <c r="A169" s="4">
        <f>IFERROR(__xludf.DUMMYFUNCTION("""COMPUTED_VALUE"""),45789.837983067126)</f>
        <v>45789.83798</v>
      </c>
      <c r="B169" s="3" t="str">
        <f>IFERROR(__xludf.DUMMYFUNCTION("""COMPUTED_VALUE"""),"MFHRO0053")</f>
        <v>MFHRO0053</v>
      </c>
      <c r="C169" s="3" t="str">
        <f>IFERROR(__xludf.DUMMYFUNCTION("""COMPUTED_VALUE"""),"MIn Stok")</f>
        <v>MIn Stok</v>
      </c>
      <c r="D169" s="3" t="str">
        <f>IFERROR(__xludf.DUMMYFUNCTION("""COMPUTED_VALUE"""),"-")</f>
        <v>-</v>
      </c>
      <c r="E169" s="3" t="str">
        <f>IFERROR(__xludf.DUMMYFUNCTION("""COMPUTED_VALUE"""),"Autoclave")</f>
        <v>Autoclave</v>
      </c>
      <c r="F169" s="3" t="str">
        <f>IFERROR(__xludf.DUMMYFUNCTION("""COMPUTED_VALUE"""),"Fedegari FVA2/A1 S/N : NB2964AT - Cover Seal FVM-A/2 FOB2 (Code: PP600265); ; ;")</f>
        <v>Fedegari FVA2/A1 S/N : NB2964AT - Cover Seal FVM-A/2 FOB2 (Code: PP600265); ; ;</v>
      </c>
      <c r="G169" s="3">
        <f>IFERROR(__xludf.DUMMYFUNCTION("""COMPUTED_VALUE"""),1.0)</f>
        <v>1</v>
      </c>
      <c r="H169" s="3" t="str">
        <f>IFERROR(__xludf.DUMMYFUNCTION("""COMPUTED_VALUE"""),"Unit")</f>
        <v>Unit</v>
      </c>
      <c r="I169" s="3" t="str">
        <f>IFERROR(__xludf.DUMMYFUNCTION("""COMPUTED_VALUE"""),"Min Stock Autoclave 121702625")</f>
        <v>Min Stock Autoclave 121702625</v>
      </c>
      <c r="J169" s="3" t="str">
        <f>IFERROR(__xludf.DUMMYFUNCTION("""COMPUTED_VALUE"""),"P-15429-00")</f>
        <v>P-15429-00</v>
      </c>
      <c r="K169" s="3" t="str">
        <f>IFERROR(__xludf.DUMMYFUNCTION("""COMPUTED_VALUE"""),"Approve")</f>
        <v>Approve</v>
      </c>
      <c r="L169" s="3" t="str">
        <f>IFERROR(__xludf.DUMMYFUNCTION("""COMPUTED_VALUE"""),"Normal")</f>
        <v>Normal</v>
      </c>
      <c r="M169" s="3" t="str">
        <f>IFERROR(__xludf.DUMMYFUNCTION("""COMPUTED_VALUE"""),"Non Urgent")</f>
        <v>Non Urgent</v>
      </c>
    </row>
    <row r="170">
      <c r="A170" s="4">
        <f>IFERROR(__xludf.DUMMYFUNCTION("""COMPUTED_VALUE"""),45789.837983067126)</f>
        <v>45789.83798</v>
      </c>
      <c r="B170" s="3" t="str">
        <f>IFERROR(__xludf.DUMMYFUNCTION("""COMPUTED_VALUE"""),"MFHRO0054")</f>
        <v>MFHRO0054</v>
      </c>
      <c r="C170" s="3" t="str">
        <f>IFERROR(__xludf.DUMMYFUNCTION("""COMPUTED_VALUE"""),"MIn Stok")</f>
        <v>MIn Stok</v>
      </c>
      <c r="D170" s="3" t="str">
        <f>IFERROR(__xludf.DUMMYFUNCTION("""COMPUTED_VALUE"""),"-")</f>
        <v>-</v>
      </c>
      <c r="E170" s="3" t="str">
        <f>IFERROR(__xludf.DUMMYFUNCTION("""COMPUTED_VALUE"""),"Washing")</f>
        <v>Washing</v>
      </c>
      <c r="F170" s="3" t="str">
        <f>IFERROR(__xludf.DUMMYFUNCTION("""COMPUTED_VALUE"""),"Cylinder Compact ADNGF-16-15-P-A FESTO P/N : 554214 pc")</f>
        <v>Cylinder Compact ADNGF-16-15-P-A FESTO P/N : 554214 pc</v>
      </c>
      <c r="G170" s="3">
        <f>IFERROR(__xludf.DUMMYFUNCTION("""COMPUTED_VALUE"""),1.0)</f>
        <v>1</v>
      </c>
      <c r="H170" s="3" t="str">
        <f>IFERROR(__xludf.DUMMYFUNCTION("""COMPUTED_VALUE"""),"Unit")</f>
        <v>Unit</v>
      </c>
      <c r="I170" s="3" t="str">
        <f>IFERROR(__xludf.DUMMYFUNCTION("""COMPUTED_VALUE"""),"Min Stock Washing 121702626 - APPROVED")</f>
        <v>Min Stock Washing 121702626 - APPROVED</v>
      </c>
      <c r="J170" s="3" t="str">
        <f>IFERROR(__xludf.DUMMYFUNCTION("""COMPUTED_VALUE"""),"O-16658-00")</f>
        <v>O-16658-00</v>
      </c>
      <c r="K170" s="3" t="str">
        <f>IFERROR(__xludf.DUMMYFUNCTION("""COMPUTED_VALUE"""),"Approve")</f>
        <v>Approve</v>
      </c>
      <c r="L170" s="3" t="str">
        <f>IFERROR(__xludf.DUMMYFUNCTION("""COMPUTED_VALUE"""),"Normal")</f>
        <v>Normal</v>
      </c>
      <c r="M170" s="3" t="str">
        <f>IFERROR(__xludf.DUMMYFUNCTION("""COMPUTED_VALUE"""),"Non Urgent")</f>
        <v>Non Urgent</v>
      </c>
    </row>
    <row r="171">
      <c r="A171" s="4">
        <f>IFERROR(__xludf.DUMMYFUNCTION("""COMPUTED_VALUE"""),45789.837983067126)</f>
        <v>45789.83798</v>
      </c>
      <c r="B171" s="3" t="str">
        <f>IFERROR(__xludf.DUMMYFUNCTION("""COMPUTED_VALUE"""),"MFHRO0055")</f>
        <v>MFHRO0055</v>
      </c>
      <c r="C171" s="3" t="str">
        <f>IFERROR(__xludf.DUMMYFUNCTION("""COMPUTED_VALUE"""),"MIn Stok")</f>
        <v>MIn Stok</v>
      </c>
      <c r="D171" s="3" t="str">
        <f>IFERROR(__xludf.DUMMYFUNCTION("""COMPUTED_VALUE"""),"-")</f>
        <v>-</v>
      </c>
      <c r="E171" s="3" t="str">
        <f>IFERROR(__xludf.DUMMYFUNCTION("""COMPUTED_VALUE"""),"Autoclave")</f>
        <v>Autoclave</v>
      </c>
      <c r="F171" s="3" t="str">
        <f>IFERROR(__xludf.DUMMYFUNCTION("""COMPUTED_VALUE"""),"Gear Door Autoclave, HARRISA CIPTARINDO ENGINEERING, CV P/N : -  pc")</f>
        <v>Gear Door Autoclave, HARRISA CIPTARINDO ENGINEERING, CV P/N : -  pc</v>
      </c>
      <c r="G171" s="3">
        <f>IFERROR(__xludf.DUMMYFUNCTION("""COMPUTED_VALUE"""),2.0)</f>
        <v>2</v>
      </c>
      <c r="H171" s="3" t="str">
        <f>IFERROR(__xludf.DUMMYFUNCTION("""COMPUTED_VALUE"""),"Unit")</f>
        <v>Unit</v>
      </c>
      <c r="I171" s="3" t="str">
        <f>IFERROR(__xludf.DUMMYFUNCTION("""COMPUTED_VALUE"""),"Min Stock Autoclave 121702627 - APPROVED")</f>
        <v>Min Stock Autoclave 121702627 - APPROVED</v>
      </c>
      <c r="J171" s="3" t="str">
        <f>IFERROR(__xludf.DUMMYFUNCTION("""COMPUTED_VALUE"""),"O-17831-00")</f>
        <v>O-17831-00</v>
      </c>
      <c r="K171" s="3" t="str">
        <f>IFERROR(__xludf.DUMMYFUNCTION("""COMPUTED_VALUE"""),"Approve")</f>
        <v>Approve</v>
      </c>
      <c r="L171" s="3" t="str">
        <f>IFERROR(__xludf.DUMMYFUNCTION("""COMPUTED_VALUE"""),"Normal")</f>
        <v>Normal</v>
      </c>
      <c r="M171" s="3" t="str">
        <f>IFERROR(__xludf.DUMMYFUNCTION("""COMPUTED_VALUE"""),"Non Urgent")</f>
        <v>Non Urgent</v>
      </c>
    </row>
    <row r="172">
      <c r="A172" s="4">
        <f>IFERROR(__xludf.DUMMYFUNCTION("""COMPUTED_VALUE"""),45789.83834662037)</f>
        <v>45789.83835</v>
      </c>
      <c r="B172" s="3" t="str">
        <f>IFERROR(__xludf.DUMMYFUNCTION("""COMPUTED_VALUE"""),"MFHRO0056")</f>
        <v>MFHRO0056</v>
      </c>
      <c r="C172" s="3" t="str">
        <f>IFERROR(__xludf.DUMMYFUNCTION("""COMPUTED_VALUE"""),"MIn Stok")</f>
        <v>MIn Stok</v>
      </c>
      <c r="D172" s="3" t="str">
        <f>IFERROR(__xludf.DUMMYFUNCTION("""COMPUTED_VALUE"""),"-")</f>
        <v>-</v>
      </c>
      <c r="E172" s="3" t="str">
        <f>IFERROR(__xludf.DUMMYFUNCTION("""COMPUTED_VALUE"""),"Washing")</f>
        <v>Washing</v>
      </c>
      <c r="F172" s="3" t="str">
        <f>IFERROR(__xludf.DUMMYFUNCTION("""COMPUTED_VALUE"""),"Washing RAR4 - Pincers Jaws for Vial 20mL &amp; 25mL HARRISA CIPTARINDO ENGINEERING, CV. P/N : -  pc")</f>
        <v>Washing RAR4 - Pincers Jaws for Vial 20mL &amp; 25mL HARRISA CIPTARINDO ENGINEERING, CV. P/N : -  pc</v>
      </c>
      <c r="G172" s="3">
        <f>IFERROR(__xludf.DUMMYFUNCTION("""COMPUTED_VALUE"""),20.0)</f>
        <v>20</v>
      </c>
      <c r="H172" s="3" t="str">
        <f>IFERROR(__xludf.DUMMYFUNCTION("""COMPUTED_VALUE"""),"Pcs")</f>
        <v>Pcs</v>
      </c>
      <c r="I172" s="3" t="str">
        <f>IFERROR(__xludf.DUMMYFUNCTION("""COMPUTED_VALUE"""),"Min Stock Washing 121702627 - APPROVED")</f>
        <v>Min Stock Washing 121702627 - APPROVED</v>
      </c>
      <c r="J172" s="3" t="str">
        <f>IFERROR(__xludf.DUMMYFUNCTION("""COMPUTED_VALUE"""),"O-17069-00")</f>
        <v>O-17069-00</v>
      </c>
      <c r="K172" s="3" t="str">
        <f>IFERROR(__xludf.DUMMYFUNCTION("""COMPUTED_VALUE"""),"Approve")</f>
        <v>Approve</v>
      </c>
      <c r="L172" s="3" t="str">
        <f>IFERROR(__xludf.DUMMYFUNCTION("""COMPUTED_VALUE"""),"Normal")</f>
        <v>Normal</v>
      </c>
      <c r="M172" s="3" t="str">
        <f>IFERROR(__xludf.DUMMYFUNCTION("""COMPUTED_VALUE"""),"Non Urgent")</f>
        <v>Non Urgent</v>
      </c>
    </row>
    <row r="173">
      <c r="A173" s="4">
        <f>IFERROR(__xludf.DUMMYFUNCTION("""COMPUTED_VALUE"""),45789.840184733795)</f>
        <v>45789.84018</v>
      </c>
      <c r="B173" s="3" t="str">
        <f>IFERROR(__xludf.DUMMYFUNCTION("""COMPUTED_VALUE"""),"MFHRO0057")</f>
        <v>MFHRO0057</v>
      </c>
      <c r="C173" s="3" t="str">
        <f>IFERROR(__xludf.DUMMYFUNCTION("""COMPUTED_VALUE"""),"MIn Stok")</f>
        <v>MIn Stok</v>
      </c>
      <c r="D173" s="3" t="str">
        <f>IFERROR(__xludf.DUMMYFUNCTION("""COMPUTED_VALUE"""),"-")</f>
        <v>-</v>
      </c>
      <c r="E173" s="3" t="str">
        <f>IFERROR(__xludf.DUMMYFUNCTION("""COMPUTED_VALUE"""),"Mixing")</f>
        <v>Mixing</v>
      </c>
      <c r="F173" s="3" t="str">
        <f>IFERROR(__xludf.DUMMYFUNCTION("""COMPUTED_VALUE"""),"Mixer Male Bearing, GMP, pH Range: pH1  pH14, 1/pack; NovAseptic; ;")</f>
        <v>Mixer Male Bearing, GMP, pH Range: pH1  pH14, 1/pack; NovAseptic; ;</v>
      </c>
      <c r="G173" s="3">
        <f>IFERROR(__xludf.DUMMYFUNCTION("""COMPUTED_VALUE"""),1.0)</f>
        <v>1</v>
      </c>
      <c r="H173" s="3" t="str">
        <f>IFERROR(__xludf.DUMMYFUNCTION("""COMPUTED_VALUE"""),"Pcs")</f>
        <v>Pcs</v>
      </c>
      <c r="I173" s="3" t="str">
        <f>IFERROR(__xludf.DUMMYFUNCTION("""COMPUTED_VALUE"""),"Min Stock Mixing 121702628 - APPROVED")</f>
        <v>Min Stock Mixing 121702628 - APPROVED</v>
      </c>
      <c r="J173" s="3" t="str">
        <f>IFERROR(__xludf.DUMMYFUNCTION("""COMPUTED_VALUE"""),"O-17960-00")</f>
        <v>O-17960-00</v>
      </c>
      <c r="K173" s="3" t="str">
        <f>IFERROR(__xludf.DUMMYFUNCTION("""COMPUTED_VALUE"""),"Approve")</f>
        <v>Approve</v>
      </c>
      <c r="L173" s="3" t="str">
        <f>IFERROR(__xludf.DUMMYFUNCTION("""COMPUTED_VALUE"""),"Normal")</f>
        <v>Normal</v>
      </c>
      <c r="M173" s="3" t="str">
        <f>IFERROR(__xludf.DUMMYFUNCTION("""COMPUTED_VALUE"""),"Non Urgent")</f>
        <v>Non Urgent</v>
      </c>
    </row>
    <row r="174">
      <c r="A174" s="4">
        <f>IFERROR(__xludf.DUMMYFUNCTION("""COMPUTED_VALUE"""),45789.84082341435)</f>
        <v>45789.84082</v>
      </c>
      <c r="B174" s="3" t="str">
        <f>IFERROR(__xludf.DUMMYFUNCTION("""COMPUTED_VALUE"""),"MFHRO0058")</f>
        <v>MFHRO0058</v>
      </c>
      <c r="C174" s="3" t="str">
        <f>IFERROR(__xludf.DUMMYFUNCTION("""COMPUTED_VALUE"""),"MIn Stok")</f>
        <v>MIn Stok</v>
      </c>
      <c r="D174" s="3" t="str">
        <f>IFERROR(__xludf.DUMMYFUNCTION("""COMPUTED_VALUE"""),"-")</f>
        <v>-</v>
      </c>
      <c r="E174" s="3" t="str">
        <f>IFERROR(__xludf.DUMMYFUNCTION("""COMPUTED_VALUE"""),"FD")</f>
        <v>FD</v>
      </c>
      <c r="F174" s="3" t="str">
        <f>IFERROR(__xludf.DUMMYFUNCTION("""COMPUTED_VALUE"""),"Freeze Dryer MBE1207 - Slot Door Vacuum Gasket dia.12.7 P/N : EB41-00517; ; ;")</f>
        <v>Freeze Dryer MBE1207 - Slot Door Vacuum Gasket dia.12.7 P/N : EB41-00517; ; ;</v>
      </c>
      <c r="G174" s="3">
        <f>IFERROR(__xludf.DUMMYFUNCTION("""COMPUTED_VALUE"""),1.0)</f>
        <v>1</v>
      </c>
      <c r="H174" s="3" t="str">
        <f>IFERROR(__xludf.DUMMYFUNCTION("""COMPUTED_VALUE"""),"Pcs")</f>
        <v>Pcs</v>
      </c>
      <c r="I174" s="3" t="str">
        <f>IFERROR(__xludf.DUMMYFUNCTION("""COMPUTED_VALUE"""),"Min Stock FD 121702629 - APPROVED")</f>
        <v>Min Stock FD 121702629 - APPROVED</v>
      </c>
      <c r="J174" s="3" t="str">
        <f>IFERROR(__xludf.DUMMYFUNCTION("""COMPUTED_VALUE"""),"O-17995-00")</f>
        <v>O-17995-00</v>
      </c>
      <c r="K174" s="3" t="str">
        <f>IFERROR(__xludf.DUMMYFUNCTION("""COMPUTED_VALUE"""),"Reject")</f>
        <v>Reject</v>
      </c>
      <c r="L174" s="3" t="str">
        <f>IFERROR(__xludf.DUMMYFUNCTION("""COMPUTED_VALUE"""),"Normal")</f>
        <v>Normal</v>
      </c>
      <c r="M174" s="3" t="str">
        <f>IFERROR(__xludf.DUMMYFUNCTION("""COMPUTED_VALUE"""),"Non Urgent")</f>
        <v>Non Urgent</v>
      </c>
    </row>
    <row r="175">
      <c r="A175" s="4">
        <f>IFERROR(__xludf.DUMMYFUNCTION("""COMPUTED_VALUE"""),45789.84154332176)</f>
        <v>45789.84154</v>
      </c>
      <c r="B175" s="3" t="str">
        <f>IFERROR(__xludf.DUMMYFUNCTION("""COMPUTED_VALUE"""),"MFHRO0059")</f>
        <v>MFHRO0059</v>
      </c>
      <c r="C175" s="3" t="str">
        <f>IFERROR(__xludf.DUMMYFUNCTION("""COMPUTED_VALUE"""),"MIn Stok")</f>
        <v>MIn Stok</v>
      </c>
      <c r="D175" s="3" t="str">
        <f>IFERROR(__xludf.DUMMYFUNCTION("""COMPUTED_VALUE"""),"-")</f>
        <v>-</v>
      </c>
      <c r="E175" s="3" t="str">
        <f>IFERROR(__xludf.DUMMYFUNCTION("""COMPUTED_VALUE"""),"FD")</f>
        <v>FD</v>
      </c>
      <c r="F175" s="3" t="str">
        <f>IFERROR(__xludf.DUMMYFUNCTION("""COMPUTED_VALUE"""),"Freeze Dryer MBE1207 - Mechanical Positioner Switch 50-0406-12610-532 P/n: EB14-00072; BRAY; ;")</f>
        <v>Freeze Dryer MBE1207 - Mechanical Positioner Switch 50-0406-12610-532 P/n: EB14-00072; BRAY; ;</v>
      </c>
      <c r="G175" s="3">
        <f>IFERROR(__xludf.DUMMYFUNCTION("""COMPUTED_VALUE"""),1.0)</f>
        <v>1</v>
      </c>
      <c r="H175" s="3" t="str">
        <f>IFERROR(__xludf.DUMMYFUNCTION("""COMPUTED_VALUE"""),"Pcs")</f>
        <v>Pcs</v>
      </c>
      <c r="I175" s="3" t="str">
        <f>IFERROR(__xludf.DUMMYFUNCTION("""COMPUTED_VALUE"""),"Min Stock FD 121702629 - APPROVED")</f>
        <v>Min Stock FD 121702629 - APPROVED</v>
      </c>
      <c r="J175" s="3" t="str">
        <f>IFERROR(__xludf.DUMMYFUNCTION("""COMPUTED_VALUE"""),"O-52841-00")</f>
        <v>O-52841-00</v>
      </c>
      <c r="K175" s="3" t="str">
        <f>IFERROR(__xludf.DUMMYFUNCTION("""COMPUTED_VALUE"""),"Approve")</f>
        <v>Approve</v>
      </c>
      <c r="L175" s="3" t="str">
        <f>IFERROR(__xludf.DUMMYFUNCTION("""COMPUTED_VALUE"""),"Normal")</f>
        <v>Normal</v>
      </c>
      <c r="M175" s="3" t="str">
        <f>IFERROR(__xludf.DUMMYFUNCTION("""COMPUTED_VALUE"""),"Non Urgent")</f>
        <v>Non Urgent</v>
      </c>
    </row>
    <row r="176">
      <c r="A176" s="4">
        <f>IFERROR(__xludf.DUMMYFUNCTION("""COMPUTED_VALUE"""),45789.842138148146)</f>
        <v>45789.84214</v>
      </c>
      <c r="B176" s="3" t="str">
        <f>IFERROR(__xludf.DUMMYFUNCTION("""COMPUTED_VALUE"""),"MFHRO0060")</f>
        <v>MFHRO0060</v>
      </c>
      <c r="C176" s="3" t="str">
        <f>IFERROR(__xludf.DUMMYFUNCTION("""COMPUTED_VALUE"""),"MIn Stok")</f>
        <v>MIn Stok</v>
      </c>
      <c r="D176" s="3" t="str">
        <f>IFERROR(__xludf.DUMMYFUNCTION("""COMPUTED_VALUE"""),"-")</f>
        <v>-</v>
      </c>
      <c r="E176" s="3" t="str">
        <f>IFERROR(__xludf.DUMMYFUNCTION("""COMPUTED_VALUE"""),"Autoclave")</f>
        <v>Autoclave</v>
      </c>
      <c r="F176" s="3" t="str">
        <f>IFERROR(__xludf.DUMMYFUNCTION("""COMPUTED_VALUE"""),"Temperature Sensor PT100, 4 wire, class AA, Simplex, c/w 10m silicon cable RAC241-S-10-PN Radix; ; ;")</f>
        <v>Temperature Sensor PT100, 4 wire, class AA, Simplex, c/w 10m silicon cable RAC241-S-10-PN Radix; ; ;</v>
      </c>
      <c r="G176" s="3">
        <f>IFERROR(__xludf.DUMMYFUNCTION("""COMPUTED_VALUE"""),4.0)</f>
        <v>4</v>
      </c>
      <c r="H176" s="3" t="str">
        <f>IFERROR(__xludf.DUMMYFUNCTION("""COMPUTED_VALUE"""),"Pcs")</f>
        <v>Pcs</v>
      </c>
      <c r="I176" s="3" t="str">
        <f>IFERROR(__xludf.DUMMYFUNCTION("""COMPUTED_VALUE"""),"Min Stock Autoclave 121702630 - APPROVED")</f>
        <v>Min Stock Autoclave 121702630 - APPROVED</v>
      </c>
      <c r="J176" s="3" t="str">
        <f>IFERROR(__xludf.DUMMYFUNCTION("""COMPUTED_VALUE"""),"O-52278-00")</f>
        <v>O-52278-00</v>
      </c>
      <c r="K176" s="3" t="str">
        <f>IFERROR(__xludf.DUMMYFUNCTION("""COMPUTED_VALUE"""),"Reject")</f>
        <v>Reject</v>
      </c>
      <c r="L176" s="3" t="str">
        <f>IFERROR(__xludf.DUMMYFUNCTION("""COMPUTED_VALUE"""),"Normal")</f>
        <v>Normal</v>
      </c>
      <c r="M176" s="3" t="str">
        <f>IFERROR(__xludf.DUMMYFUNCTION("""COMPUTED_VALUE"""),"Non Urgent")</f>
        <v>Non Urgent</v>
      </c>
    </row>
    <row r="177">
      <c r="A177" s="4">
        <f>IFERROR(__xludf.DUMMYFUNCTION("""COMPUTED_VALUE"""),45789.84256149306)</f>
        <v>45789.84256</v>
      </c>
      <c r="B177" s="3" t="str">
        <f>IFERROR(__xludf.DUMMYFUNCTION("""COMPUTED_VALUE"""),"MFHRO0061")</f>
        <v>MFHRO0061</v>
      </c>
      <c r="C177" s="3" t="str">
        <f>IFERROR(__xludf.DUMMYFUNCTION("""COMPUTED_VALUE"""),"MIn Stok")</f>
        <v>MIn Stok</v>
      </c>
      <c r="D177" s="3" t="str">
        <f>IFERROR(__xludf.DUMMYFUNCTION("""COMPUTED_VALUE"""),"-")</f>
        <v>-</v>
      </c>
      <c r="E177" s="3" t="str">
        <f>IFERROR(__xludf.DUMMYFUNCTION("""COMPUTED_VALUE"""),"FD")</f>
        <v>FD</v>
      </c>
      <c r="F177" s="3" t="str">
        <f>IFERROR(__xludf.DUMMYFUNCTION("""COMPUTED_VALUE"""),"Freeze Dryer MBE1207 -  Orifice 04 for Expansi Valve TE5 067B2792; Danfoss; ;")</f>
        <v>Freeze Dryer MBE1207 -  Orifice 04 for Expansi Valve TE5 067B2792; Danfoss; ;</v>
      </c>
      <c r="G177" s="3">
        <f>IFERROR(__xludf.DUMMYFUNCTION("""COMPUTED_VALUE"""),1.0)</f>
        <v>1</v>
      </c>
      <c r="H177" s="3" t="str">
        <f>IFERROR(__xludf.DUMMYFUNCTION("""COMPUTED_VALUE"""),"Pcs")</f>
        <v>Pcs</v>
      </c>
      <c r="I177" s="3" t="str">
        <f>IFERROR(__xludf.DUMMYFUNCTION("""COMPUTED_VALUE"""),"Min Stock FD 121702631 - APPROVED")</f>
        <v>Min Stock FD 121702631 - APPROVED</v>
      </c>
      <c r="J177" s="3" t="str">
        <f>IFERROR(__xludf.DUMMYFUNCTION("""COMPUTED_VALUE"""),"O-19213-00")</f>
        <v>O-19213-00</v>
      </c>
      <c r="K177" s="3" t="str">
        <f>IFERROR(__xludf.DUMMYFUNCTION("""COMPUTED_VALUE"""),"Approve")</f>
        <v>Approve</v>
      </c>
      <c r="L177" s="3" t="str">
        <f>IFERROR(__xludf.DUMMYFUNCTION("""COMPUTED_VALUE"""),"Normal")</f>
        <v>Normal</v>
      </c>
      <c r="M177" s="3" t="str">
        <f>IFERROR(__xludf.DUMMYFUNCTION("""COMPUTED_VALUE"""),"Non Urgent")</f>
        <v>Non Urgent</v>
      </c>
    </row>
    <row r="178">
      <c r="A178" s="4">
        <f>IFERROR(__xludf.DUMMYFUNCTION("""COMPUTED_VALUE"""),45789.84305809028)</f>
        <v>45789.84306</v>
      </c>
      <c r="B178" s="3" t="str">
        <f>IFERROR(__xludf.DUMMYFUNCTION("""COMPUTED_VALUE"""),"MFHRO0062")</f>
        <v>MFHRO0062</v>
      </c>
      <c r="C178" s="3" t="str">
        <f>IFERROR(__xludf.DUMMYFUNCTION("""COMPUTED_VALUE"""),"MIn Stok")</f>
        <v>MIn Stok</v>
      </c>
      <c r="D178" s="3" t="str">
        <f>IFERROR(__xludf.DUMMYFUNCTION("""COMPUTED_VALUE"""),"-")</f>
        <v>-</v>
      </c>
      <c r="E178" s="3" t="str">
        <f>IFERROR(__xludf.DUMMYFUNCTION("""COMPUTED_VALUE"""),"FD")</f>
        <v>FD</v>
      </c>
      <c r="F178" s="3" t="str">
        <f>IFERROR(__xludf.DUMMYFUNCTION("""COMPUTED_VALUE"""),"Freeze Dryer MBE1207 - Expansi Valve TE 5 067B3343 R404A/R507; Danfoss; ;")</f>
        <v>Freeze Dryer MBE1207 - Expansi Valve TE 5 067B3343 R404A/R507; Danfoss; ;</v>
      </c>
      <c r="G178" s="3">
        <f>IFERROR(__xludf.DUMMYFUNCTION("""COMPUTED_VALUE"""),1.0)</f>
        <v>1</v>
      </c>
      <c r="H178" s="3" t="str">
        <f>IFERROR(__xludf.DUMMYFUNCTION("""COMPUTED_VALUE"""),"Pcs")</f>
        <v>Pcs</v>
      </c>
      <c r="I178" s="3" t="str">
        <f>IFERROR(__xludf.DUMMYFUNCTION("""COMPUTED_VALUE"""),"Min Stock FD 121702631 - APPROVED")</f>
        <v>Min Stock FD 121702631 - APPROVED</v>
      </c>
      <c r="J178" s="3" t="str">
        <f>IFERROR(__xludf.DUMMYFUNCTION("""COMPUTED_VALUE"""),"O-19214-00")</f>
        <v>O-19214-00</v>
      </c>
      <c r="K178" s="3" t="str">
        <f>IFERROR(__xludf.DUMMYFUNCTION("""COMPUTED_VALUE"""),"Approve")</f>
        <v>Approve</v>
      </c>
      <c r="L178" s="3" t="str">
        <f>IFERROR(__xludf.DUMMYFUNCTION("""COMPUTED_VALUE"""),"Normal")</f>
        <v>Normal</v>
      </c>
      <c r="M178" s="3" t="str">
        <f>IFERROR(__xludf.DUMMYFUNCTION("""COMPUTED_VALUE"""),"Non Urgent")</f>
        <v>Non Urgent</v>
      </c>
    </row>
    <row r="179">
      <c r="A179" s="4">
        <f>IFERROR(__xludf.DUMMYFUNCTION("""COMPUTED_VALUE"""),45789.843738773154)</f>
        <v>45789.84374</v>
      </c>
      <c r="B179" s="3" t="str">
        <f>IFERROR(__xludf.DUMMYFUNCTION("""COMPUTED_VALUE"""),"MFHRO0063")</f>
        <v>MFHRO0063</v>
      </c>
      <c r="C179" s="3" t="str">
        <f>IFERROR(__xludf.DUMMYFUNCTION("""COMPUTED_VALUE"""),"MIn Stok")</f>
        <v>MIn Stok</v>
      </c>
      <c r="D179" s="3" t="str">
        <f>IFERROR(__xludf.DUMMYFUNCTION("""COMPUTED_VALUE"""),"-")</f>
        <v>-</v>
      </c>
      <c r="E179" s="3" t="str">
        <f>IFERROR(__xludf.DUMMYFUNCTION("""COMPUTED_VALUE"""),"FD")</f>
        <v>FD</v>
      </c>
      <c r="F179" s="3" t="str">
        <f>IFERROR(__xludf.DUMMYFUNCTION("""COMPUTED_VALUE"""),"Freeze Dryer MBE1207 - Main Valve Bellow SUS316L ST105*75; ; ;")</f>
        <v>Freeze Dryer MBE1207 - Main Valve Bellow SUS316L ST105*75; ; ;</v>
      </c>
      <c r="G179" s="3">
        <f>IFERROR(__xludf.DUMMYFUNCTION("""COMPUTED_VALUE"""),1.0)</f>
        <v>1</v>
      </c>
      <c r="H179" s="3" t="str">
        <f>IFERROR(__xludf.DUMMYFUNCTION("""COMPUTED_VALUE"""),"Pcs")</f>
        <v>Pcs</v>
      </c>
      <c r="I179" s="3" t="str">
        <f>IFERROR(__xludf.DUMMYFUNCTION("""COMPUTED_VALUE"""),"Min Stock FD 121702632 - APPROVED")</f>
        <v>Min Stock FD 121702632 - APPROVED</v>
      </c>
      <c r="J179" s="3" t="str">
        <f>IFERROR(__xludf.DUMMYFUNCTION("""COMPUTED_VALUE"""),"O-17285-00")</f>
        <v>O-17285-00</v>
      </c>
      <c r="K179" s="3" t="str">
        <f>IFERROR(__xludf.DUMMYFUNCTION("""COMPUTED_VALUE"""),"Approve")</f>
        <v>Approve</v>
      </c>
      <c r="L179" s="3" t="str">
        <f>IFERROR(__xludf.DUMMYFUNCTION("""COMPUTED_VALUE"""),"Normal")</f>
        <v>Normal</v>
      </c>
      <c r="M179" s="3" t="str">
        <f>IFERROR(__xludf.DUMMYFUNCTION("""COMPUTED_VALUE"""),"Non Urgent")</f>
        <v>Non Urgent</v>
      </c>
    </row>
    <row r="180">
      <c r="A180" s="4">
        <f>IFERROR(__xludf.DUMMYFUNCTION("""COMPUTED_VALUE"""),45789.84422550926)</f>
        <v>45789.84423</v>
      </c>
      <c r="B180" s="3" t="str">
        <f>IFERROR(__xludf.DUMMYFUNCTION("""COMPUTED_VALUE"""),"MFHRO0064")</f>
        <v>MFHRO0064</v>
      </c>
      <c r="C180" s="3" t="str">
        <f>IFERROR(__xludf.DUMMYFUNCTION("""COMPUTED_VALUE"""),"MIn Stok")</f>
        <v>MIn Stok</v>
      </c>
      <c r="D180" s="3" t="str">
        <f>IFERROR(__xludf.DUMMYFUNCTION("""COMPUTED_VALUE"""),"-")</f>
        <v>-</v>
      </c>
      <c r="E180" s="3" t="str">
        <f>IFERROR(__xludf.DUMMYFUNCTION("""COMPUTED_VALUE"""),"FD")</f>
        <v>FD</v>
      </c>
      <c r="F180" s="3" t="str">
        <f>IFERROR(__xludf.DUMMYFUNCTION("""COMPUTED_VALUE"""),"Seal Ferrule EPDM 1.5"" (35 x 53 x 9)")</f>
        <v>Seal Ferrule EPDM 1.5" (35 x 53 x 9)</v>
      </c>
      <c r="G180" s="3">
        <f>IFERROR(__xludf.DUMMYFUNCTION("""COMPUTED_VALUE"""),40.0)</f>
        <v>40</v>
      </c>
      <c r="H180" s="3" t="str">
        <f>IFERROR(__xludf.DUMMYFUNCTION("""COMPUTED_VALUE"""),"Pcs")</f>
        <v>Pcs</v>
      </c>
      <c r="I180" s="3" t="str">
        <f>IFERROR(__xludf.DUMMYFUNCTION("""COMPUTED_VALUE"""),"Min Stock FD 121702633 - APPROVED")</f>
        <v>Min Stock FD 121702633 - APPROVED</v>
      </c>
      <c r="J180" s="3" t="str">
        <f>IFERROR(__xludf.DUMMYFUNCTION("""COMPUTED_VALUE"""),"P-11391-00")</f>
        <v>P-11391-00</v>
      </c>
      <c r="K180" s="3" t="str">
        <f>IFERROR(__xludf.DUMMYFUNCTION("""COMPUTED_VALUE"""),"Approve")</f>
        <v>Approve</v>
      </c>
      <c r="L180" s="3" t="str">
        <f>IFERROR(__xludf.DUMMYFUNCTION("""COMPUTED_VALUE"""),"Normal")</f>
        <v>Normal</v>
      </c>
      <c r="M180" s="3" t="str">
        <f>IFERROR(__xludf.DUMMYFUNCTION("""COMPUTED_VALUE"""),"Non Urgent")</f>
        <v>Non Urgent</v>
      </c>
    </row>
    <row r="181">
      <c r="A181" s="4">
        <f>IFERROR(__xludf.DUMMYFUNCTION("""COMPUTED_VALUE"""),45789.85141081018)</f>
        <v>45789.85141</v>
      </c>
      <c r="B181" s="3" t="str">
        <f>IFERROR(__xludf.DUMMYFUNCTION("""COMPUTED_VALUE"""),"MFHRO0065")</f>
        <v>MFHRO0065</v>
      </c>
      <c r="C181" s="3" t="str">
        <f>IFERROR(__xludf.DUMMYFUNCTION("""COMPUTED_VALUE"""),"MIn Stok")</f>
        <v>MIn Stok</v>
      </c>
      <c r="D181" s="3" t="str">
        <f>IFERROR(__xludf.DUMMYFUNCTION("""COMPUTED_VALUE"""),"-")</f>
        <v>-</v>
      </c>
      <c r="E181" s="3" t="str">
        <f>IFERROR(__xludf.DUMMYFUNCTION("""COMPUTED_VALUE"""),"FD")</f>
        <v>FD</v>
      </c>
      <c r="F181" s="3" t="str">
        <f>IFERROR(__xludf.DUMMYFUNCTION("""COMPUTED_VALUE"""),"Seal Ferrule EPDM 3""")</f>
        <v>Seal Ferrule EPDM 3"</v>
      </c>
      <c r="G181" s="3">
        <f>IFERROR(__xludf.DUMMYFUNCTION("""COMPUTED_VALUE"""),20.0)</f>
        <v>20</v>
      </c>
      <c r="H181" s="3" t="str">
        <f>IFERROR(__xludf.DUMMYFUNCTION("""COMPUTED_VALUE"""),"Pcs")</f>
        <v>Pcs</v>
      </c>
      <c r="I181" s="3" t="str">
        <f>IFERROR(__xludf.DUMMYFUNCTION("""COMPUTED_VALUE"""),"Min Stock FD 121702633 - APPROVED")</f>
        <v>Min Stock FD 121702633 - APPROVED</v>
      </c>
      <c r="J181" s="3" t="str">
        <f>IFERROR(__xludf.DUMMYFUNCTION("""COMPUTED_VALUE"""),"P-11393-00")</f>
        <v>P-11393-00</v>
      </c>
      <c r="K181" s="3" t="str">
        <f>IFERROR(__xludf.DUMMYFUNCTION("""COMPUTED_VALUE"""),"Approve")</f>
        <v>Approve</v>
      </c>
      <c r="L181" s="3" t="str">
        <f>IFERROR(__xludf.DUMMYFUNCTION("""COMPUTED_VALUE"""),"Normal")</f>
        <v>Normal</v>
      </c>
      <c r="M181" s="3" t="str">
        <f>IFERROR(__xludf.DUMMYFUNCTION("""COMPUTED_VALUE"""),"Non Urgent")</f>
        <v>Non Urgent</v>
      </c>
    </row>
    <row r="182">
      <c r="A182" s="4">
        <f>IFERROR(__xludf.DUMMYFUNCTION("""COMPUTED_VALUE"""),45789.85171077547)</f>
        <v>45789.85171</v>
      </c>
      <c r="B182" s="3" t="str">
        <f>IFERROR(__xludf.DUMMYFUNCTION("""COMPUTED_VALUE"""),"MFHRO0066")</f>
        <v>MFHRO0066</v>
      </c>
      <c r="C182" s="3" t="str">
        <f>IFERROR(__xludf.DUMMYFUNCTION("""COMPUTED_VALUE"""),"MIn Stok")</f>
        <v>MIn Stok</v>
      </c>
      <c r="D182" s="3" t="str">
        <f>IFERROR(__xludf.DUMMYFUNCTION("""COMPUTED_VALUE"""),"-")</f>
        <v>-</v>
      </c>
      <c r="E182" s="3" t="str">
        <f>IFERROR(__xludf.DUMMYFUNCTION("""COMPUTED_VALUE"""),"FD")</f>
        <v>FD</v>
      </c>
      <c r="F182" s="3" t="str">
        <f>IFERROR(__xludf.DUMMYFUNCTION("""COMPUTED_VALUE"""),"Heavy clamp ferrule 1 - 1 1/2 inch; SS304L;; ; ;")</f>
        <v>Heavy clamp ferrule 1 - 1 1/2 inch; SS304L;; ; ;</v>
      </c>
      <c r="G182" s="3">
        <f>IFERROR(__xludf.DUMMYFUNCTION("""COMPUTED_VALUE"""),10.0)</f>
        <v>10</v>
      </c>
      <c r="H182" s="3" t="str">
        <f>IFERROR(__xludf.DUMMYFUNCTION("""COMPUTED_VALUE"""),"Pcs")</f>
        <v>Pcs</v>
      </c>
      <c r="I182" s="3" t="str">
        <f>IFERROR(__xludf.DUMMYFUNCTION("""COMPUTED_VALUE"""),"Min Stock FD 121702633 - APPROVED")</f>
        <v>Min Stock FD 121702633 - APPROVED</v>
      </c>
      <c r="J182" s="3" t="str">
        <f>IFERROR(__xludf.DUMMYFUNCTION("""COMPUTED_VALUE"""),"P-18665-00")</f>
        <v>P-18665-00</v>
      </c>
      <c r="K182" s="3" t="str">
        <f>IFERROR(__xludf.DUMMYFUNCTION("""COMPUTED_VALUE"""),"Approve")</f>
        <v>Approve</v>
      </c>
      <c r="L182" s="3" t="str">
        <f>IFERROR(__xludf.DUMMYFUNCTION("""COMPUTED_VALUE"""),"Normal")</f>
        <v>Normal</v>
      </c>
      <c r="M182" s="3" t="str">
        <f>IFERROR(__xludf.DUMMYFUNCTION("""COMPUTED_VALUE"""),"Non Urgent")</f>
        <v>Non Urgent</v>
      </c>
    </row>
    <row r="183">
      <c r="A183" s="4">
        <f>IFERROR(__xludf.DUMMYFUNCTION("""COMPUTED_VALUE"""),45789.85941064815)</f>
        <v>45789.85941</v>
      </c>
      <c r="B183" s="3" t="str">
        <f>IFERROR(__xludf.DUMMYFUNCTION("""COMPUTED_VALUE"""),"MFHRO0067")</f>
        <v>MFHRO0067</v>
      </c>
      <c r="C183" s="3" t="str">
        <f>IFERROR(__xludf.DUMMYFUNCTION("""COMPUTED_VALUE"""),"MIn Stok")</f>
        <v>MIn Stok</v>
      </c>
      <c r="D183" s="3" t="str">
        <f>IFERROR(__xludf.DUMMYFUNCTION("""COMPUTED_VALUE"""),"-")</f>
        <v>-</v>
      </c>
      <c r="E183" s="3" t="str">
        <f>IFERROR(__xludf.DUMMYFUNCTION("""COMPUTED_VALUE"""),"Autoclave")</f>
        <v>Autoclave</v>
      </c>
      <c r="F183" s="3" t="str">
        <f>IFERROR(__xludf.DUMMYFUNCTION("""COMPUTED_VALUE"""),"Oring 2,5x6x11 mm, Material EPDM; ; ;")</f>
        <v>Oring 2,5x6x11 mm, Material EPDM; ; ;</v>
      </c>
      <c r="G183" s="3">
        <f>IFERROR(__xludf.DUMMYFUNCTION("""COMPUTED_VALUE"""),20.0)</f>
        <v>20</v>
      </c>
      <c r="H183" s="3" t="str">
        <f>IFERROR(__xludf.DUMMYFUNCTION("""COMPUTED_VALUE"""),"Pcs")</f>
        <v>Pcs</v>
      </c>
      <c r="I183" s="3" t="str">
        <f>IFERROR(__xludf.DUMMYFUNCTION("""COMPUTED_VALUE"""),"Min Stock Autoclave 121702634 - APPROVED")</f>
        <v>Min Stock Autoclave 121702634 - APPROVED</v>
      </c>
      <c r="J183" s="3" t="str">
        <f>IFERROR(__xludf.DUMMYFUNCTION("""COMPUTED_VALUE"""),"O-19339-00")</f>
        <v>O-19339-00</v>
      </c>
      <c r="K183" s="3" t="str">
        <f>IFERROR(__xludf.DUMMYFUNCTION("""COMPUTED_VALUE"""),"Approve")</f>
        <v>Approve</v>
      </c>
      <c r="L183" s="3" t="str">
        <f>IFERROR(__xludf.DUMMYFUNCTION("""COMPUTED_VALUE"""),"Normal")</f>
        <v>Normal</v>
      </c>
      <c r="M183" s="3" t="str">
        <f>IFERROR(__xludf.DUMMYFUNCTION("""COMPUTED_VALUE"""),"Non Urgent")</f>
        <v>Non Urgent</v>
      </c>
    </row>
    <row r="184">
      <c r="A184" s="4">
        <f>IFERROR(__xludf.DUMMYFUNCTION("""COMPUTED_VALUE"""),45789.86337534722)</f>
        <v>45789.86338</v>
      </c>
      <c r="B184" s="3" t="str">
        <f>IFERROR(__xludf.DUMMYFUNCTION("""COMPUTED_VALUE"""),"MFHRO0068")</f>
        <v>MFHRO0068</v>
      </c>
      <c r="C184" s="3" t="str">
        <f>IFERROR(__xludf.DUMMYFUNCTION("""COMPUTED_VALUE"""),"MIn Stok")</f>
        <v>MIn Stok</v>
      </c>
      <c r="D184" s="3" t="str">
        <f>IFERROR(__xludf.DUMMYFUNCTION("""COMPUTED_VALUE"""),"-")</f>
        <v>-</v>
      </c>
      <c r="E184" s="3" t="str">
        <f>IFERROR(__xludf.DUMMYFUNCTION("""COMPUTED_VALUE"""),"Autoclave")</f>
        <v>Autoclave</v>
      </c>
      <c r="F184" s="3" t="str">
        <f>IFERROR(__xludf.DUMMYFUNCTION("""COMPUTED_VALUE"""),"O-ring Epdm 9 x 4 x 2,5 mm ; Brand : - ; P/N : - ; Pack Size : pcs")</f>
        <v>O-ring Epdm 9 x 4 x 2,5 mm ; Brand : - ; P/N : - ; Pack Size : pcs</v>
      </c>
      <c r="G184" s="3">
        <f>IFERROR(__xludf.DUMMYFUNCTION("""COMPUTED_VALUE"""),20.0)</f>
        <v>20</v>
      </c>
      <c r="H184" s="3" t="str">
        <f>IFERROR(__xludf.DUMMYFUNCTION("""COMPUTED_VALUE"""),"Pcs")</f>
        <v>Pcs</v>
      </c>
      <c r="I184" s="3" t="str">
        <f>IFERROR(__xludf.DUMMYFUNCTION("""COMPUTED_VALUE"""),"Min Stock Autoclave 121702635 - APPROVED")</f>
        <v>Min Stock Autoclave 121702635 - APPROVED</v>
      </c>
      <c r="J184" s="3" t="str">
        <f>IFERROR(__xludf.DUMMYFUNCTION("""COMPUTED_VALUE"""),"P-17272-00")</f>
        <v>P-17272-00</v>
      </c>
      <c r="K184" s="3" t="str">
        <f>IFERROR(__xludf.DUMMYFUNCTION("""COMPUTED_VALUE"""),"Approve")</f>
        <v>Approve</v>
      </c>
      <c r="L184" s="3" t="str">
        <f>IFERROR(__xludf.DUMMYFUNCTION("""COMPUTED_VALUE"""),"Normal")</f>
        <v>Normal</v>
      </c>
      <c r="M184" s="3" t="str">
        <f>IFERROR(__xludf.DUMMYFUNCTION("""COMPUTED_VALUE"""),"Non Urgent")</f>
        <v>Non Urgent</v>
      </c>
    </row>
    <row r="185">
      <c r="A185" s="4">
        <f>IFERROR(__xludf.DUMMYFUNCTION("""COMPUTED_VALUE"""),45789.86337534722)</f>
        <v>45789.86338</v>
      </c>
      <c r="B185" s="3" t="str">
        <f>IFERROR(__xludf.DUMMYFUNCTION("""COMPUTED_VALUE"""),"MFHRO0069")</f>
        <v>MFHRO0069</v>
      </c>
      <c r="C185" s="3" t="str">
        <f>IFERROR(__xludf.DUMMYFUNCTION("""COMPUTED_VALUE"""),"MIn Stok")</f>
        <v>MIn Stok</v>
      </c>
      <c r="D185" s="3" t="str">
        <f>IFERROR(__xludf.DUMMYFUNCTION("""COMPUTED_VALUE"""),"-")</f>
        <v>-</v>
      </c>
      <c r="E185" s="3" t="str">
        <f>IFERROR(__xludf.DUMMYFUNCTION("""COMPUTED_VALUE"""),"Autoclave")</f>
        <v>Autoclave</v>
      </c>
      <c r="F185" s="3" t="str">
        <f>IFERROR(__xludf.DUMMYFUNCTION("""COMPUTED_VALUE"""),"O-ring Epdm 9 x 5 x 2 mm ; Brand : - ; P/N : - ; Pack Size : pcs")</f>
        <v>O-ring Epdm 9 x 5 x 2 mm ; Brand : - ; P/N : - ; Pack Size : pcs</v>
      </c>
      <c r="G185" s="3">
        <f>IFERROR(__xludf.DUMMYFUNCTION("""COMPUTED_VALUE"""),20.0)</f>
        <v>20</v>
      </c>
      <c r="H185" s="3" t="str">
        <f>IFERROR(__xludf.DUMMYFUNCTION("""COMPUTED_VALUE"""),"Pcs")</f>
        <v>Pcs</v>
      </c>
      <c r="I185" s="3" t="str">
        <f>IFERROR(__xludf.DUMMYFUNCTION("""COMPUTED_VALUE"""),"Min Stock Autoclave 121702635 - APPROVED")</f>
        <v>Min Stock Autoclave 121702635 - APPROVED</v>
      </c>
      <c r="J185" s="3" t="str">
        <f>IFERROR(__xludf.DUMMYFUNCTION("""COMPUTED_VALUE"""),"P-17273-00")</f>
        <v>P-17273-00</v>
      </c>
      <c r="K185" s="3" t="str">
        <f>IFERROR(__xludf.DUMMYFUNCTION("""COMPUTED_VALUE"""),"Approve")</f>
        <v>Approve</v>
      </c>
      <c r="L185" s="3" t="str">
        <f>IFERROR(__xludf.DUMMYFUNCTION("""COMPUTED_VALUE"""),"Normal")</f>
        <v>Normal</v>
      </c>
      <c r="M185" s="3" t="str">
        <f>IFERROR(__xludf.DUMMYFUNCTION("""COMPUTED_VALUE"""),"Non Urgent")</f>
        <v>Non Urgent</v>
      </c>
    </row>
    <row r="186">
      <c r="A186" s="4">
        <f>IFERROR(__xludf.DUMMYFUNCTION("""COMPUTED_VALUE"""),45789.86337534722)</f>
        <v>45789.86338</v>
      </c>
      <c r="B186" s="3" t="str">
        <f>IFERROR(__xludf.DUMMYFUNCTION("""COMPUTED_VALUE"""),"MFHRO0070")</f>
        <v>MFHRO0070</v>
      </c>
      <c r="C186" s="3" t="str">
        <f>IFERROR(__xludf.DUMMYFUNCTION("""COMPUTED_VALUE"""),"MIn Stok")</f>
        <v>MIn Stok</v>
      </c>
      <c r="D186" s="3" t="str">
        <f>IFERROR(__xludf.DUMMYFUNCTION("""COMPUTED_VALUE"""),"-")</f>
        <v>-</v>
      </c>
      <c r="E186" s="3" t="str">
        <f>IFERROR(__xludf.DUMMYFUNCTION("""COMPUTED_VALUE"""),"Autoclave")</f>
        <v>Autoclave</v>
      </c>
      <c r="F186" s="3" t="str">
        <f>IFERROR(__xludf.DUMMYFUNCTION("""COMPUTED_VALUE"""),"O-ring EPDM 41.5 x 35 x 3.5 mm ; Brand : - ; P/N : - ; Pack Size : pcs")</f>
        <v>O-ring EPDM 41.5 x 35 x 3.5 mm ; Brand : - ; P/N : - ; Pack Size : pcs</v>
      </c>
      <c r="G186" s="3">
        <f>IFERROR(__xludf.DUMMYFUNCTION("""COMPUTED_VALUE"""),20.0)</f>
        <v>20</v>
      </c>
      <c r="H186" s="3" t="str">
        <f>IFERROR(__xludf.DUMMYFUNCTION("""COMPUTED_VALUE"""),"Pcs")</f>
        <v>Pcs</v>
      </c>
      <c r="I186" s="3" t="str">
        <f>IFERROR(__xludf.DUMMYFUNCTION("""COMPUTED_VALUE"""),"Min Stock Autoclave 121702635 - APPROVED")</f>
        <v>Min Stock Autoclave 121702635 - APPROVED</v>
      </c>
      <c r="J186" s="3" t="str">
        <f>IFERROR(__xludf.DUMMYFUNCTION("""COMPUTED_VALUE"""),"P-17359-00")</f>
        <v>P-17359-00</v>
      </c>
      <c r="K186" s="3" t="str">
        <f>IFERROR(__xludf.DUMMYFUNCTION("""COMPUTED_VALUE"""),"Approve")</f>
        <v>Approve</v>
      </c>
      <c r="L186" s="3" t="str">
        <f>IFERROR(__xludf.DUMMYFUNCTION("""COMPUTED_VALUE"""),"Normal")</f>
        <v>Normal</v>
      </c>
      <c r="M186" s="3" t="str">
        <f>IFERROR(__xludf.DUMMYFUNCTION("""COMPUTED_VALUE"""),"Non Urgent")</f>
        <v>Non Urgent</v>
      </c>
    </row>
    <row r="187">
      <c r="A187" s="4">
        <f>IFERROR(__xludf.DUMMYFUNCTION("""COMPUTED_VALUE"""),45789.86394336806)</f>
        <v>45789.86394</v>
      </c>
      <c r="B187" s="3" t="str">
        <f>IFERROR(__xludf.DUMMYFUNCTION("""COMPUTED_VALUE"""),"MFHRO0071")</f>
        <v>MFHRO0071</v>
      </c>
      <c r="C187" s="3" t="str">
        <f>IFERROR(__xludf.DUMMYFUNCTION("""COMPUTED_VALUE"""),"MIn Stok")</f>
        <v>MIn Stok</v>
      </c>
      <c r="D187" s="3" t="str">
        <f>IFERROR(__xludf.DUMMYFUNCTION("""COMPUTED_VALUE"""),"-")</f>
        <v>-</v>
      </c>
      <c r="E187" s="3" t="str">
        <f>IFERROR(__xludf.DUMMYFUNCTION("""COMPUTED_VALUE"""),"Autoclave")</f>
        <v>Autoclave</v>
      </c>
      <c r="F187" s="3" t="str">
        <f>IFERROR(__xludf.DUMMYFUNCTION("""COMPUTED_VALUE"""),"General - O-ring EPDM 15 x 9 x 3 mm; No Brand; -; 1 pc")</f>
        <v>General - O-ring EPDM 15 x 9 x 3 mm; No Brand; -; 1 pc</v>
      </c>
      <c r="G187" s="3">
        <f>IFERROR(__xludf.DUMMYFUNCTION("""COMPUTED_VALUE"""),20.0)</f>
        <v>20</v>
      </c>
      <c r="H187" s="3" t="str">
        <f>IFERROR(__xludf.DUMMYFUNCTION("""COMPUTED_VALUE"""),"Pcs")</f>
        <v>Pcs</v>
      </c>
      <c r="I187" s="3" t="str">
        <f>IFERROR(__xludf.DUMMYFUNCTION("""COMPUTED_VALUE"""),"Min Stock Autoclave 121702635 - APPROVED")</f>
        <v>Min Stock Autoclave 121702635 - APPROVED</v>
      </c>
      <c r="J187" s="3" t="str">
        <f>IFERROR(__xludf.DUMMYFUNCTION("""COMPUTED_VALUE"""),"P-17361-00")</f>
        <v>P-17361-00</v>
      </c>
      <c r="K187" s="3" t="str">
        <f>IFERROR(__xludf.DUMMYFUNCTION("""COMPUTED_VALUE"""),"Approve")</f>
        <v>Approve</v>
      </c>
      <c r="L187" s="3" t="str">
        <f>IFERROR(__xludf.DUMMYFUNCTION("""COMPUTED_VALUE"""),"Normal")</f>
        <v>Normal</v>
      </c>
      <c r="M187" s="3" t="str">
        <f>IFERROR(__xludf.DUMMYFUNCTION("""COMPUTED_VALUE"""),"Non Urgent")</f>
        <v>Non Urgent</v>
      </c>
    </row>
    <row r="188">
      <c r="A188" s="4">
        <f>IFERROR(__xludf.DUMMYFUNCTION("""COMPUTED_VALUE"""),45789.863949074075)</f>
        <v>45789.86395</v>
      </c>
      <c r="B188" s="3" t="str">
        <f>IFERROR(__xludf.DUMMYFUNCTION("""COMPUTED_VALUE"""),"MFHRO0072")</f>
        <v>MFHRO0072</v>
      </c>
      <c r="C188" s="3" t="str">
        <f>IFERROR(__xludf.DUMMYFUNCTION("""COMPUTED_VALUE"""),"MIn Stok")</f>
        <v>MIn Stok</v>
      </c>
      <c r="D188" s="3" t="str">
        <f>IFERROR(__xludf.DUMMYFUNCTION("""COMPUTED_VALUE"""),"-")</f>
        <v>-</v>
      </c>
      <c r="E188" s="3" t="str">
        <f>IFERROR(__xludf.DUMMYFUNCTION("""COMPUTED_VALUE"""),"Helium Leak Detector")</f>
        <v>Helium Leak Detector</v>
      </c>
      <c r="F188" s="3" t="str">
        <f>IFERROR(__xludf.DUMMYFUNCTION("""COMPUTED_VALUE"""),"General - PVC Hose cpl., DN25 ISO-KF, 2000 mm; Inficon; 211-412; 1 pc")</f>
        <v>General - PVC Hose cpl., DN25 ISO-KF, 2000 mm; Inficon; 211-412; 1 pc</v>
      </c>
      <c r="G188" s="3">
        <f>IFERROR(__xludf.DUMMYFUNCTION("""COMPUTED_VALUE"""),1.0)</f>
        <v>1</v>
      </c>
      <c r="H188" s="3" t="str">
        <f>IFERROR(__xludf.DUMMYFUNCTION("""COMPUTED_VALUE"""),"Pcs")</f>
        <v>Pcs</v>
      </c>
      <c r="I188" s="3" t="str">
        <f>IFERROR(__xludf.DUMMYFUNCTION("""COMPUTED_VALUE"""),"Aksesoris Helium Leak Tester 121702637 - APPROVED")</f>
        <v>Aksesoris Helium Leak Tester 121702637 - APPROVED</v>
      </c>
      <c r="J188" s="3" t="str">
        <f>IFERROR(__xludf.DUMMYFUNCTION("""COMPUTED_VALUE"""),"P-19779-00")</f>
        <v>P-19779-00</v>
      </c>
      <c r="K188" s="3" t="str">
        <f>IFERROR(__xludf.DUMMYFUNCTION("""COMPUTED_VALUE"""),"Approve")</f>
        <v>Approve</v>
      </c>
      <c r="L188" s="3" t="str">
        <f>IFERROR(__xludf.DUMMYFUNCTION("""COMPUTED_VALUE"""),"Normal")</f>
        <v>Normal</v>
      </c>
      <c r="M188" s="3" t="str">
        <f>IFERROR(__xludf.DUMMYFUNCTION("""COMPUTED_VALUE"""),"Non Urgent")</f>
        <v>Non Urgent</v>
      </c>
    </row>
    <row r="189">
      <c r="A189" s="4">
        <f>IFERROR(__xludf.DUMMYFUNCTION("""COMPUTED_VALUE"""),45789.86544498843)</f>
        <v>45789.86544</v>
      </c>
      <c r="B189" s="3" t="str">
        <f>IFERROR(__xludf.DUMMYFUNCTION("""COMPUTED_VALUE"""),"MFHRO0073")</f>
        <v>MFHRO0073</v>
      </c>
      <c r="C189" s="3" t="str">
        <f>IFERROR(__xludf.DUMMYFUNCTION("""COMPUTED_VALUE"""),"MIn Stok")</f>
        <v>MIn Stok</v>
      </c>
      <c r="D189" s="3" t="str">
        <f>IFERROR(__xludf.DUMMYFUNCTION("""COMPUTED_VALUE"""),"-")</f>
        <v>-</v>
      </c>
      <c r="E189" s="3" t="str">
        <f>IFERROR(__xludf.DUMMYFUNCTION("""COMPUTED_VALUE"""),"Mixing")</f>
        <v>Mixing</v>
      </c>
      <c r="F189" s="3" t="str">
        <f>IFERROR(__xludf.DUMMYFUNCTION("""COMPUTED_VALUE"""),"Mixing Tank Adam - Corong Mesin 10x1.5 inch Mat. SS 316; Custom/Lokal; -; 1 Pc")</f>
        <v>Mixing Tank Adam - Corong Mesin 10x1.5 inch Mat. SS 316; Custom/Lokal; -; 1 Pc</v>
      </c>
      <c r="G189" s="3">
        <f>IFERROR(__xludf.DUMMYFUNCTION("""COMPUTED_VALUE"""),1.0)</f>
        <v>1</v>
      </c>
      <c r="H189" s="3" t="str">
        <f>IFERROR(__xludf.DUMMYFUNCTION("""COMPUTED_VALUE"""),"Pcs")</f>
        <v>Pcs</v>
      </c>
      <c r="I189" s="3" t="str">
        <f>IFERROR(__xludf.DUMMYFUNCTION("""COMPUTED_VALUE"""),"Buat baru corong mixing 121702645 - APPROVED")</f>
        <v>Buat baru corong mixing 121702645 - APPROVED</v>
      </c>
      <c r="J189" s="3" t="str">
        <f>IFERROR(__xludf.DUMMYFUNCTION("""COMPUTED_VALUE"""),"O-20504-00")</f>
        <v>O-20504-00</v>
      </c>
      <c r="K189" s="3" t="str">
        <f>IFERROR(__xludf.DUMMYFUNCTION("""COMPUTED_VALUE"""),"Approve")</f>
        <v>Approve</v>
      </c>
      <c r="L189" s="3" t="str">
        <f>IFERROR(__xludf.DUMMYFUNCTION("""COMPUTED_VALUE"""),"Normal")</f>
        <v>Normal</v>
      </c>
      <c r="M189" s="3" t="str">
        <f>IFERROR(__xludf.DUMMYFUNCTION("""COMPUTED_VALUE"""),"Non Urgent")</f>
        <v>Non Urgent</v>
      </c>
    </row>
    <row r="190">
      <c r="A190" s="4">
        <f>IFERROR(__xludf.DUMMYFUNCTION("""COMPUTED_VALUE"""),45789.86848793981)</f>
        <v>45789.86849</v>
      </c>
      <c r="B190" s="3" t="str">
        <f>IFERROR(__xludf.DUMMYFUNCTION("""COMPUTED_VALUE"""),"MFHRO0074")</f>
        <v>MFHRO0074</v>
      </c>
      <c r="C190" s="3" t="str">
        <f>IFERROR(__xludf.DUMMYFUNCTION("""COMPUTED_VALUE"""),"Consumable")</f>
        <v>Consumable</v>
      </c>
      <c r="D190" s="3" t="str">
        <f>IFERROR(__xludf.DUMMYFUNCTION("""COMPUTED_VALUE"""),"-")</f>
        <v>-</v>
      </c>
      <c r="E190" s="3" t="str">
        <f>IFERROR(__xludf.DUMMYFUNCTION("""COMPUTED_VALUE"""),"General")</f>
        <v>General</v>
      </c>
      <c r="F190" s="3" t="str">
        <f>IFERROR(__xludf.DUMMYFUNCTION("""COMPUTED_VALUE"""),"Cellotape / Lakban Kertas 1 inch warna Putih ; No Brand ; pack size per pcs")</f>
        <v>Cellotape / Lakban Kertas 1 inch warna Putih ; No Brand ; pack size per pcs</v>
      </c>
      <c r="G190" s="3">
        <f>IFERROR(__xludf.DUMMYFUNCTION("""COMPUTED_VALUE"""),80.0)</f>
        <v>80</v>
      </c>
      <c r="H190" s="3" t="str">
        <f>IFERROR(__xludf.DUMMYFUNCTION("""COMPUTED_VALUE"""),"Pcs")</f>
        <v>Pcs</v>
      </c>
      <c r="I190" s="3" t="str">
        <f>IFERROR(__xludf.DUMMYFUNCTION("""COMPUTED_VALUE"""),"Blanket Plakban Kertas Semester 2 121702671 - APPROVED")</f>
        <v>Blanket Plakban Kertas Semester 2 121702671 - APPROVED</v>
      </c>
      <c r="J190" s="3" t="str">
        <f>IFERROR(__xludf.DUMMYFUNCTION("""COMPUTED_VALUE"""),"T-80109-00")</f>
        <v>T-80109-00</v>
      </c>
      <c r="K190" s="3" t="str">
        <f>IFERROR(__xludf.DUMMYFUNCTION("""COMPUTED_VALUE"""),"Approve")</f>
        <v>Approve</v>
      </c>
      <c r="L190" s="3" t="str">
        <f>IFERROR(__xludf.DUMMYFUNCTION("""COMPUTED_VALUE"""),"Normal")</f>
        <v>Normal</v>
      </c>
      <c r="M190" s="3" t="str">
        <f>IFERROR(__xludf.DUMMYFUNCTION("""COMPUTED_VALUE"""),"Non Urgent")</f>
        <v>Non Urgent</v>
      </c>
    </row>
    <row r="191">
      <c r="A191" s="4">
        <f>IFERROR(__xludf.DUMMYFUNCTION("""COMPUTED_VALUE"""),45790.30020331018)</f>
        <v>45790.3002</v>
      </c>
      <c r="B191" s="3" t="str">
        <f>IFERROR(__xludf.DUMMYFUNCTION("""COMPUTED_VALUE"""),"RIARO0033")</f>
        <v>RIARO0033</v>
      </c>
      <c r="C191" s="3" t="str">
        <f>IFERROR(__xludf.DUMMYFUNCTION("""COMPUTED_VALUE"""),"MIn Stok")</f>
        <v>MIn Stok</v>
      </c>
      <c r="D191" s="3" t="str">
        <f>IFERROR(__xludf.DUMMYFUNCTION("""COMPUTED_VALUE"""),"-")</f>
        <v>-</v>
      </c>
      <c r="E191" s="3" t="str">
        <f>IFERROR(__xludf.DUMMYFUNCTION("""COMPUTED_VALUE"""),"Alarm WWTP")</f>
        <v>Alarm WWTP</v>
      </c>
      <c r="F191" s="3" t="str">
        <f>IFERROR(__xludf.DUMMYFUNCTION("""COMPUTED_VALUE"""),"Buzzer Electronic Siren PW-235; TAB; ;")</f>
        <v>Buzzer Electronic Siren PW-235; TAB; ;</v>
      </c>
      <c r="G191" s="3">
        <f>IFERROR(__xludf.DUMMYFUNCTION("""COMPUTED_VALUE"""),2.0)</f>
        <v>2</v>
      </c>
      <c r="H191" s="3" t="str">
        <f>IFERROR(__xludf.DUMMYFUNCTION("""COMPUTED_VALUE"""),"Pcs")</f>
        <v>Pcs</v>
      </c>
      <c r="I191" s="3" t="str">
        <f>IFERROR(__xludf.DUMMYFUNCTION("""COMPUTED_VALUE"""),"Buat sirine WWTP, tak buat  min stok aja ya soalnya no ejo blm ada")</f>
        <v>Buat sirine WWTP, tak buat  min stok aja ya soalnya no ejo blm ada</v>
      </c>
      <c r="J191" s="3" t="str">
        <f>IFERROR(__xludf.DUMMYFUNCTION("""COMPUTED_VALUE"""),"P-52665-00")</f>
        <v>P-52665-00</v>
      </c>
      <c r="K191" s="3" t="str">
        <f>IFERROR(__xludf.DUMMYFUNCTION("""COMPUTED_VALUE"""),"Approve")</f>
        <v>Approve</v>
      </c>
      <c r="L191" s="3" t="str">
        <f>IFERROR(__xludf.DUMMYFUNCTION("""COMPUTED_VALUE"""),"Normal")</f>
        <v>Normal</v>
      </c>
      <c r="M191" s="3" t="str">
        <f>IFERROR(__xludf.DUMMYFUNCTION("""COMPUTED_VALUE"""),"Non Urgent")</f>
        <v>Non Urgent</v>
      </c>
    </row>
    <row r="192">
      <c r="A192" s="4">
        <f>IFERROR(__xludf.DUMMYFUNCTION("""COMPUTED_VALUE"""),45790.64214047454)</f>
        <v>45790.64214</v>
      </c>
      <c r="B192" s="3" t="str">
        <f>IFERROR(__xludf.DUMMYFUNCTION("""COMPUTED_VALUE"""),"RIARO0034")</f>
        <v>RIARO0034</v>
      </c>
      <c r="C192" s="3" t="str">
        <f>IFERROR(__xludf.DUMMYFUNCTION("""COMPUTED_VALUE"""),"EJO")</f>
        <v>EJO</v>
      </c>
      <c r="D192" s="3" t="str">
        <f>IFERROR(__xludf.DUMMYFUNCTION("""COMPUTED_VALUE"""),"EJO/2025/05/44")</f>
        <v>EJO/2025/05/44</v>
      </c>
      <c r="E192" s="3" t="str">
        <f>IFERROR(__xludf.DUMMYFUNCTION("""COMPUTED_VALUE"""),"EF C1-41")</f>
        <v>EF C1-41</v>
      </c>
      <c r="F192" s="3" t="str">
        <f>IFERROR(__xludf.DUMMYFUNCTION("""COMPUTED_VALUE"""),"Inverter - HVAC Drives FC-102P4K0T4E20H3XGXXXXSXXXXAXBXCXXXXDX; 4 kw 3x380 Vac;; Danfoss; ;")</f>
        <v>Inverter - HVAC Drives FC-102P4K0T4E20H3XGXXXXSXXXXAXBXCXXXXDX; 4 kw 3x380 Vac;; Danfoss; ;</v>
      </c>
      <c r="G192" s="3">
        <f>IFERROR(__xludf.DUMMYFUNCTION("""COMPUTED_VALUE"""),2.0)</f>
        <v>2</v>
      </c>
      <c r="H192" s="3" t="str">
        <f>IFERROR(__xludf.DUMMYFUNCTION("""COMPUTED_VALUE"""),"Pcs")</f>
        <v>Pcs</v>
      </c>
      <c r="I192" s="3" t="str">
        <f>IFERROR(__xludf.DUMMYFUNCTION("""COMPUTED_VALUE"""),"satu buat spare satu buat ganti")</f>
        <v>satu buat spare satu buat ganti</v>
      </c>
      <c r="J192" s="3" t="str">
        <f>IFERROR(__xludf.DUMMYFUNCTION("""COMPUTED_VALUE"""),"P-52708-00")</f>
        <v>P-52708-00</v>
      </c>
      <c r="K192" s="3" t="str">
        <f>IFERROR(__xludf.DUMMYFUNCTION("""COMPUTED_VALUE"""),"Approve")</f>
        <v>Approve</v>
      </c>
      <c r="L192" s="3" t="str">
        <f>IFERROR(__xludf.DUMMYFUNCTION("""COMPUTED_VALUE"""),"Normal")</f>
        <v>Normal</v>
      </c>
      <c r="M192" s="3" t="str">
        <f>IFERROR(__xludf.DUMMYFUNCTION("""COMPUTED_VALUE"""),"Non Urgent")</f>
        <v>Non Urgent</v>
      </c>
    </row>
    <row r="193">
      <c r="A193" s="4">
        <f>IFERROR(__xludf.DUMMYFUNCTION("""COMPUTED_VALUE"""),45790.831966944446)</f>
        <v>45790.83197</v>
      </c>
      <c r="B193" s="3" t="str">
        <f>IFERROR(__xludf.DUMMYFUNCTION("""COMPUTED_VALUE"""),"MFHRO0075")</f>
        <v>MFHRO0075</v>
      </c>
      <c r="C193" s="3" t="str">
        <f>IFERROR(__xludf.DUMMYFUNCTION("""COMPUTED_VALUE"""),"Consumable")</f>
        <v>Consumable</v>
      </c>
      <c r="D193" s="3" t="str">
        <f>IFERROR(__xludf.DUMMYFUNCTION("""COMPUTED_VALUE"""),"-")</f>
        <v>-</v>
      </c>
      <c r="E193" s="3" t="str">
        <f>IFERROR(__xludf.DUMMYFUNCTION("""COMPUTED_VALUE"""),"WWTP")</f>
        <v>WWTP</v>
      </c>
      <c r="F193" s="3" t="str">
        <f>IFERROR(__xludf.DUMMYFUNCTION("""COMPUTED_VALUE"""),"Chemical - Sodium Hiphoclorite; No Brand; -; 1 Liter")</f>
        <v>Chemical - Sodium Hiphoclorite; No Brand; -; 1 Liter</v>
      </c>
      <c r="G193" s="3">
        <f>IFERROR(__xludf.DUMMYFUNCTION("""COMPUTED_VALUE"""),1260.0)</f>
        <v>1260</v>
      </c>
      <c r="H193" s="3" t="str">
        <f>IFERROR(__xludf.DUMMYFUNCTION("""COMPUTED_VALUE"""),"Liter")</f>
        <v>Liter</v>
      </c>
      <c r="I193" s="3" t="str">
        <f>IFERROR(__xludf.DUMMYFUNCTION("""COMPUTED_VALUE"""),"Blanket NaOCl Semester 2 121702680 - APPROVED")</f>
        <v>Blanket NaOCl Semester 2 121702680 - APPROVED</v>
      </c>
      <c r="J193" s="3" t="str">
        <f>IFERROR(__xludf.DUMMYFUNCTION("""COMPUTED_VALUE"""),"P-17645-00")</f>
        <v>P-17645-00</v>
      </c>
      <c r="K193" s="3" t="str">
        <f>IFERROR(__xludf.DUMMYFUNCTION("""COMPUTED_VALUE"""),"Approve")</f>
        <v>Approve</v>
      </c>
      <c r="L193" s="3" t="str">
        <f>IFERROR(__xludf.DUMMYFUNCTION("""COMPUTED_VALUE"""),"Normal")</f>
        <v>Normal</v>
      </c>
      <c r="M193" s="3" t="str">
        <f>IFERROR(__xludf.DUMMYFUNCTION("""COMPUTED_VALUE"""),"Non Urgent")</f>
        <v>Non Urgent</v>
      </c>
    </row>
    <row r="194">
      <c r="A194" s="4">
        <f>IFERROR(__xludf.DUMMYFUNCTION("""COMPUTED_VALUE"""),45790.83309118056)</f>
        <v>45790.83309</v>
      </c>
      <c r="B194" s="3" t="str">
        <f>IFERROR(__xludf.DUMMYFUNCTION("""COMPUTED_VALUE"""),"MFHRO0076")</f>
        <v>MFHRO0076</v>
      </c>
      <c r="C194" s="3" t="str">
        <f>IFERROR(__xludf.DUMMYFUNCTION("""COMPUTED_VALUE"""),"Consumable")</f>
        <v>Consumable</v>
      </c>
      <c r="D194" s="3" t="str">
        <f>IFERROR(__xludf.DUMMYFUNCTION("""COMPUTED_VALUE"""),"-")</f>
        <v>-</v>
      </c>
      <c r="E194" s="3" t="str">
        <f>IFERROR(__xludf.DUMMYFUNCTION("""COMPUTED_VALUE"""),"General")</f>
        <v>General</v>
      </c>
      <c r="F194" s="3" t="str">
        <f>IFERROR(__xludf.DUMMYFUNCTION("""COMPUTED_VALUE"""),"Pneumatic  Fitting - QS 10-8 / PN : 153039 / Festo")</f>
        <v>Pneumatic  Fitting - QS 10-8 / PN : 153039 / Festo</v>
      </c>
      <c r="G194" s="3">
        <f>IFERROR(__xludf.DUMMYFUNCTION("""COMPUTED_VALUE"""),8.0)</f>
        <v>8</v>
      </c>
      <c r="H194" s="3" t="str">
        <f>IFERROR(__xludf.DUMMYFUNCTION("""COMPUTED_VALUE"""),"Pcs")</f>
        <v>Pcs</v>
      </c>
      <c r="I194" s="3" t="str">
        <f>IFERROR(__xludf.DUMMYFUNCTION("""COMPUTED_VALUE"""),"Untuk stok konektor pneumatik 121702694 - APPROVED")</f>
        <v>Untuk stok konektor pneumatik 121702694 - APPROVED</v>
      </c>
      <c r="J194" s="3" t="str">
        <f>IFERROR(__xludf.DUMMYFUNCTION("""COMPUTED_VALUE"""),"P-11175-00")</f>
        <v>P-11175-00</v>
      </c>
      <c r="K194" s="3" t="str">
        <f>IFERROR(__xludf.DUMMYFUNCTION("""COMPUTED_VALUE"""),"Approve")</f>
        <v>Approve</v>
      </c>
      <c r="L194" s="3" t="str">
        <f>IFERROR(__xludf.DUMMYFUNCTION("""COMPUTED_VALUE"""),"Normal")</f>
        <v>Normal</v>
      </c>
      <c r="M194" s="3" t="str">
        <f>IFERROR(__xludf.DUMMYFUNCTION("""COMPUTED_VALUE"""),"Non Urgent")</f>
        <v>Non Urgent</v>
      </c>
    </row>
    <row r="195">
      <c r="A195" s="4">
        <f>IFERROR(__xludf.DUMMYFUNCTION("""COMPUTED_VALUE"""),45790.84259637731)</f>
        <v>45790.8426</v>
      </c>
      <c r="B195" s="3" t="str">
        <f>IFERROR(__xludf.DUMMYFUNCTION("""COMPUTED_VALUE"""),"MFHRO0077")</f>
        <v>MFHRO0077</v>
      </c>
      <c r="C195" s="3" t="str">
        <f>IFERROR(__xludf.DUMMYFUNCTION("""COMPUTED_VALUE"""),"MIn Stok")</f>
        <v>MIn Stok</v>
      </c>
      <c r="D195" s="3" t="str">
        <f>IFERROR(__xludf.DUMMYFUNCTION("""COMPUTED_VALUE"""),"-")</f>
        <v>-</v>
      </c>
      <c r="E195" s="3" t="str">
        <f>IFERROR(__xludf.DUMMYFUNCTION("""COMPUTED_VALUE"""),"General")</f>
        <v>General</v>
      </c>
      <c r="F195" s="3" t="str">
        <f>IFERROR(__xludf.DUMMYFUNCTION("""COMPUTED_VALUE"""),"General - Capacitor, 5 uF, 500 V, 50/60 Hz; No Brand; -; 1 pcs")</f>
        <v>General - Capacitor, 5 uF, 500 V, 50/60 Hz; No Brand; -; 1 pcs</v>
      </c>
      <c r="G195" s="3">
        <f>IFERROR(__xludf.DUMMYFUNCTION("""COMPUTED_VALUE"""),5.0)</f>
        <v>5</v>
      </c>
      <c r="H195" s="3" t="str">
        <f>IFERROR(__xludf.DUMMYFUNCTION("""COMPUTED_VALUE"""),"Pcs")</f>
        <v>Pcs</v>
      </c>
      <c r="I195" s="3" t="str">
        <f>IFERROR(__xludf.DUMMYFUNCTION("""COMPUTED_VALUE"""),"Min Stok Kapasitor untuk AC 121702700 - APPROVED")</f>
        <v>Min Stok Kapasitor untuk AC 121702700 - APPROVED</v>
      </c>
      <c r="J195" s="3" t="str">
        <f>IFERROR(__xludf.DUMMYFUNCTION("""COMPUTED_VALUE"""),"P-52110-00")</f>
        <v>P-52110-00</v>
      </c>
      <c r="K195" s="3" t="str">
        <f>IFERROR(__xludf.DUMMYFUNCTION("""COMPUTED_VALUE"""),"Approve")</f>
        <v>Approve</v>
      </c>
      <c r="L195" s="3" t="str">
        <f>IFERROR(__xludf.DUMMYFUNCTION("""COMPUTED_VALUE"""),"Normal")</f>
        <v>Normal</v>
      </c>
      <c r="M195" s="3" t="str">
        <f>IFERROR(__xludf.DUMMYFUNCTION("""COMPUTED_VALUE"""),"Non Urgent")</f>
        <v>Non Urgent</v>
      </c>
    </row>
    <row r="196">
      <c r="A196" s="4">
        <f>IFERROR(__xludf.DUMMYFUNCTION("""COMPUTED_VALUE"""),45790.84392987269)</f>
        <v>45790.84393</v>
      </c>
      <c r="B196" s="3" t="str">
        <f>IFERROR(__xludf.DUMMYFUNCTION("""COMPUTED_VALUE"""),"MFHRO0078")</f>
        <v>MFHRO0078</v>
      </c>
      <c r="C196" s="3" t="str">
        <f>IFERROR(__xludf.DUMMYFUNCTION("""COMPUTED_VALUE"""),"Consumable")</f>
        <v>Consumable</v>
      </c>
      <c r="D196" s="3" t="str">
        <f>IFERROR(__xludf.DUMMYFUNCTION("""COMPUTED_VALUE"""),"-")</f>
        <v>-</v>
      </c>
      <c r="E196" s="3" t="str">
        <f>IFERROR(__xludf.DUMMYFUNCTION("""COMPUTED_VALUE"""),"ATK")</f>
        <v>ATK</v>
      </c>
      <c r="F196" s="3" t="str">
        <f>IFERROR(__xludf.DUMMYFUNCTION("""COMPUTED_VALUE"""),"Tinta HP 955 Black; HP; N9H85A;")</f>
        <v>Tinta HP 955 Black; HP; N9H85A;</v>
      </c>
      <c r="G196" s="3">
        <f>IFERROR(__xludf.DUMMYFUNCTION("""COMPUTED_VALUE"""),2.0)</f>
        <v>2</v>
      </c>
      <c r="H196" s="3" t="str">
        <f>IFERROR(__xludf.DUMMYFUNCTION("""COMPUTED_VALUE"""),"Pcs")</f>
        <v>Pcs</v>
      </c>
      <c r="I196" s="3" t="str">
        <f>IFERROR(__xludf.DUMMYFUNCTION("""COMPUTED_VALUE"""),"Request MAP untuk printer ENG 121702703 - APPROVED")</f>
        <v>Request MAP untuk printer ENG 121702703 - APPROVED</v>
      </c>
      <c r="J196" s="3" t="str">
        <f>IFERROR(__xludf.DUMMYFUNCTION("""COMPUTED_VALUE"""),"T-80708-00")</f>
        <v>T-80708-00</v>
      </c>
      <c r="K196" s="3" t="str">
        <f>IFERROR(__xludf.DUMMYFUNCTION("""COMPUTED_VALUE"""),"Approve")</f>
        <v>Approve</v>
      </c>
      <c r="L196" s="3" t="str">
        <f>IFERROR(__xludf.DUMMYFUNCTION("""COMPUTED_VALUE"""),"Normal")</f>
        <v>Normal</v>
      </c>
      <c r="M196" s="3" t="str">
        <f>IFERROR(__xludf.DUMMYFUNCTION("""COMPUTED_VALUE"""),"Non Urgent")</f>
        <v>Non Urgent</v>
      </c>
    </row>
    <row r="197">
      <c r="A197" s="4">
        <f>IFERROR(__xludf.DUMMYFUNCTION("""COMPUTED_VALUE"""),45790.84500601852)</f>
        <v>45790.84501</v>
      </c>
      <c r="B197" s="3" t="str">
        <f>IFERROR(__xludf.DUMMYFUNCTION("""COMPUTED_VALUE"""),"MFHRO0079")</f>
        <v>MFHRO0079</v>
      </c>
      <c r="C197" s="3" t="str">
        <f>IFERROR(__xludf.DUMMYFUNCTION("""COMPUTED_VALUE"""),"Consumable")</f>
        <v>Consumable</v>
      </c>
      <c r="D197" s="3" t="str">
        <f>IFERROR(__xludf.DUMMYFUNCTION("""COMPUTED_VALUE"""),"-")</f>
        <v>-</v>
      </c>
      <c r="E197" s="3" t="str">
        <f>IFERROR(__xludf.DUMMYFUNCTION("""COMPUTED_VALUE"""),"ATK")</f>
        <v>ATK</v>
      </c>
      <c r="F197" s="3" t="str">
        <f>IFERROR(__xludf.DUMMYFUNCTION("""COMPUTED_VALUE"""),"Tinta HP 955 Cyan; HP; H9H73A;")</f>
        <v>Tinta HP 955 Cyan; HP; H9H73A;</v>
      </c>
      <c r="G197" s="3">
        <f>IFERROR(__xludf.DUMMYFUNCTION("""COMPUTED_VALUE"""),1.0)</f>
        <v>1</v>
      </c>
      <c r="H197" s="3" t="str">
        <f>IFERROR(__xludf.DUMMYFUNCTION("""COMPUTED_VALUE"""),"Pcs")</f>
        <v>Pcs</v>
      </c>
      <c r="I197" s="3" t="str">
        <f>IFERROR(__xludf.DUMMYFUNCTION("""COMPUTED_VALUE"""),"Request MAP untuk printer ENG 121702703 - APPROVED")</f>
        <v>Request MAP untuk printer ENG 121702703 - APPROVED</v>
      </c>
      <c r="J197" s="3" t="str">
        <f>IFERROR(__xludf.DUMMYFUNCTION("""COMPUTED_VALUE"""),"T-80709-00")</f>
        <v>T-80709-00</v>
      </c>
      <c r="K197" s="3" t="str">
        <f>IFERROR(__xludf.DUMMYFUNCTION("""COMPUTED_VALUE"""),"Approve")</f>
        <v>Approve</v>
      </c>
      <c r="L197" s="3" t="str">
        <f>IFERROR(__xludf.DUMMYFUNCTION("""COMPUTED_VALUE"""),"Normal")</f>
        <v>Normal</v>
      </c>
      <c r="M197" s="3" t="str">
        <f>IFERROR(__xludf.DUMMYFUNCTION("""COMPUTED_VALUE"""),"Non Urgent")</f>
        <v>Non Urgent</v>
      </c>
    </row>
    <row r="198">
      <c r="A198" s="4">
        <f>IFERROR(__xludf.DUMMYFUNCTION("""COMPUTED_VALUE"""),45790.84538503472)</f>
        <v>45790.84539</v>
      </c>
      <c r="B198" s="3" t="str">
        <f>IFERROR(__xludf.DUMMYFUNCTION("""COMPUTED_VALUE"""),"MFHRO0080")</f>
        <v>MFHRO0080</v>
      </c>
      <c r="C198" s="3" t="str">
        <f>IFERROR(__xludf.DUMMYFUNCTION("""COMPUTED_VALUE"""),"Consumable")</f>
        <v>Consumable</v>
      </c>
      <c r="D198" s="3" t="str">
        <f>IFERROR(__xludf.DUMMYFUNCTION("""COMPUTED_VALUE"""),"-")</f>
        <v>-</v>
      </c>
      <c r="E198" s="3" t="str">
        <f>IFERROR(__xludf.DUMMYFUNCTION("""COMPUTED_VALUE"""),"ATK")</f>
        <v>ATK</v>
      </c>
      <c r="F198" s="3" t="str">
        <f>IFERROR(__xludf.DUMMYFUNCTION("""COMPUTED_VALUE"""),"Tinta HP 955 Magenta; HP; N9H77A;")</f>
        <v>Tinta HP 955 Magenta; HP; N9H77A;</v>
      </c>
      <c r="G198" s="3">
        <f>IFERROR(__xludf.DUMMYFUNCTION("""COMPUTED_VALUE"""),1.0)</f>
        <v>1</v>
      </c>
      <c r="H198" s="3" t="str">
        <f>IFERROR(__xludf.DUMMYFUNCTION("""COMPUTED_VALUE"""),"Pcs")</f>
        <v>Pcs</v>
      </c>
      <c r="I198" s="3" t="str">
        <f>IFERROR(__xludf.DUMMYFUNCTION("""COMPUTED_VALUE"""),"Request MAP untuk printer ENG 121702703 - APPROVED")</f>
        <v>Request MAP untuk printer ENG 121702703 - APPROVED</v>
      </c>
      <c r="J198" s="3" t="str">
        <f>IFERROR(__xludf.DUMMYFUNCTION("""COMPUTED_VALUE"""),"T-80710-00")</f>
        <v>T-80710-00</v>
      </c>
      <c r="K198" s="3" t="str">
        <f>IFERROR(__xludf.DUMMYFUNCTION("""COMPUTED_VALUE"""),"Approve")</f>
        <v>Approve</v>
      </c>
      <c r="L198" s="3" t="str">
        <f>IFERROR(__xludf.DUMMYFUNCTION("""COMPUTED_VALUE"""),"Normal")</f>
        <v>Normal</v>
      </c>
      <c r="M198" s="3" t="str">
        <f>IFERROR(__xludf.DUMMYFUNCTION("""COMPUTED_VALUE"""),"Non Urgent")</f>
        <v>Non Urgent</v>
      </c>
    </row>
    <row r="199">
      <c r="A199" s="4">
        <f>IFERROR(__xludf.DUMMYFUNCTION("""COMPUTED_VALUE"""),45790.8469003125)</f>
        <v>45790.8469</v>
      </c>
      <c r="B199" s="3" t="str">
        <f>IFERROR(__xludf.DUMMYFUNCTION("""COMPUTED_VALUE"""),"MFHRO0081")</f>
        <v>MFHRO0081</v>
      </c>
      <c r="C199" s="3" t="str">
        <f>IFERROR(__xludf.DUMMYFUNCTION("""COMPUTED_VALUE"""),"Consumable")</f>
        <v>Consumable</v>
      </c>
      <c r="D199" s="3" t="str">
        <f>IFERROR(__xludf.DUMMYFUNCTION("""COMPUTED_VALUE"""),"-")</f>
        <v>-</v>
      </c>
      <c r="E199" s="3" t="str">
        <f>IFERROR(__xludf.DUMMYFUNCTION("""COMPUTED_VALUE"""),"ATK")</f>
        <v>ATK</v>
      </c>
      <c r="F199" s="3" t="str">
        <f>IFERROR(__xludf.DUMMYFUNCTION("""COMPUTED_VALUE"""),"Tinta HP 955 Yellow; HP; N9H81A;")</f>
        <v>Tinta HP 955 Yellow; HP; N9H81A;</v>
      </c>
      <c r="G199" s="3">
        <f>IFERROR(__xludf.DUMMYFUNCTION("""COMPUTED_VALUE"""),1.0)</f>
        <v>1</v>
      </c>
      <c r="H199" s="3" t="str">
        <f>IFERROR(__xludf.DUMMYFUNCTION("""COMPUTED_VALUE"""),"Pcs")</f>
        <v>Pcs</v>
      </c>
      <c r="I199" s="3" t="str">
        <f>IFERROR(__xludf.DUMMYFUNCTION("""COMPUTED_VALUE"""),"Request MAP untuk printer ENG 121702703 - APPROVED")</f>
        <v>Request MAP untuk printer ENG 121702703 - APPROVED</v>
      </c>
      <c r="J199" s="3" t="str">
        <f>IFERROR(__xludf.DUMMYFUNCTION("""COMPUTED_VALUE"""),"T-80711-00")</f>
        <v>T-80711-00</v>
      </c>
      <c r="K199" s="3" t="str">
        <f>IFERROR(__xludf.DUMMYFUNCTION("""COMPUTED_VALUE"""),"Approve")</f>
        <v>Approve</v>
      </c>
      <c r="L199" s="3" t="str">
        <f>IFERROR(__xludf.DUMMYFUNCTION("""COMPUTED_VALUE"""),"Normal")</f>
        <v>Normal</v>
      </c>
      <c r="M199" s="3" t="str">
        <f>IFERROR(__xludf.DUMMYFUNCTION("""COMPUTED_VALUE"""),"Non Urgent")</f>
        <v>Non Urgent</v>
      </c>
    </row>
    <row r="200">
      <c r="A200" s="4">
        <f>IFERROR(__xludf.DUMMYFUNCTION("""COMPUTED_VALUE"""),45790.84723920139)</f>
        <v>45790.84724</v>
      </c>
      <c r="B200" s="3" t="str">
        <f>IFERROR(__xludf.DUMMYFUNCTION("""COMPUTED_VALUE"""),"MFHRO0082")</f>
        <v>MFHRO0082</v>
      </c>
      <c r="C200" s="3" t="str">
        <f>IFERROR(__xludf.DUMMYFUNCTION("""COMPUTED_VALUE"""),"Consumable")</f>
        <v>Consumable</v>
      </c>
      <c r="D200" s="3" t="str">
        <f>IFERROR(__xludf.DUMMYFUNCTION("""COMPUTED_VALUE"""),"-")</f>
        <v>-</v>
      </c>
      <c r="E200" s="3" t="str">
        <f>IFERROR(__xludf.DUMMYFUNCTION("""COMPUTED_VALUE"""),"ATK")</f>
        <v>ATK</v>
      </c>
      <c r="F200" s="3" t="str">
        <f>IFERROR(__xludf.DUMMYFUNCTION("""COMPUTED_VALUE"""),"Kertas HVS Putih A4 70 gram;")</f>
        <v>Kertas HVS Putih A4 70 gram;</v>
      </c>
      <c r="G200" s="3">
        <f>IFERROR(__xludf.DUMMYFUNCTION("""COMPUTED_VALUE"""),10.0)</f>
        <v>10</v>
      </c>
      <c r="H200" s="3" t="str">
        <f>IFERROR(__xludf.DUMMYFUNCTION("""COMPUTED_VALUE"""),"Rim")</f>
        <v>Rim</v>
      </c>
      <c r="I200" s="3" t="str">
        <f>IFERROR(__xludf.DUMMYFUNCTION("""COMPUTED_VALUE"""),"Request MAP untuk printer ENG 121702703 - APPROVED")</f>
        <v>Request MAP untuk printer ENG 121702703 - APPROVED</v>
      </c>
      <c r="J200" s="3" t="str">
        <f>IFERROR(__xludf.DUMMYFUNCTION("""COMPUTED_VALUE"""),"T-80635-00")</f>
        <v>T-80635-00</v>
      </c>
      <c r="K200" s="3" t="str">
        <f>IFERROR(__xludf.DUMMYFUNCTION("""COMPUTED_VALUE"""),"Approve")</f>
        <v>Approve</v>
      </c>
      <c r="L200" s="3" t="str">
        <f>IFERROR(__xludf.DUMMYFUNCTION("""COMPUTED_VALUE"""),"Normal")</f>
        <v>Normal</v>
      </c>
      <c r="M200" s="3" t="str">
        <f>IFERROR(__xludf.DUMMYFUNCTION("""COMPUTED_VALUE"""),"Non Urgent")</f>
        <v>Non Urgent</v>
      </c>
    </row>
    <row r="201">
      <c r="A201" s="4">
        <f>IFERROR(__xludf.DUMMYFUNCTION("""COMPUTED_VALUE"""),45790.866575706015)</f>
        <v>45790.86658</v>
      </c>
      <c r="B201" s="3" t="str">
        <f>IFERROR(__xludf.DUMMYFUNCTION("""COMPUTED_VALUE"""),"MFHRO0083")</f>
        <v>MFHRO0083</v>
      </c>
      <c r="C201" s="3" t="str">
        <f>IFERROR(__xludf.DUMMYFUNCTION("""COMPUTED_VALUE"""),"MIn Stok")</f>
        <v>MIn Stok</v>
      </c>
      <c r="D201" s="3" t="str">
        <f>IFERROR(__xludf.DUMMYFUNCTION("""COMPUTED_VALUE"""),"-")</f>
        <v>-</v>
      </c>
      <c r="E201" s="3" t="str">
        <f>IFERROR(__xludf.DUMMYFUNCTION("""COMPUTED_VALUE"""),"Hot Water")</f>
        <v>Hot Water</v>
      </c>
      <c r="F201" s="3" t="str">
        <f>IFERROR(__xludf.DUMMYFUNCTION("""COMPUTED_VALUE"""),"General - Fuse Keramik Double 160A 690VAC Bussman FEE160")</f>
        <v>General - Fuse Keramik Double 160A 690VAC Bussman FEE160</v>
      </c>
      <c r="G201" s="3">
        <f>IFERROR(__xludf.DUMMYFUNCTION("""COMPUTED_VALUE"""),6.0)</f>
        <v>6</v>
      </c>
      <c r="H201" s="3" t="str">
        <f>IFERROR(__xludf.DUMMYFUNCTION("""COMPUTED_VALUE"""),"Pcs")</f>
        <v>Pcs</v>
      </c>
      <c r="I201" s="3" t="str">
        <f>IFERROR(__xludf.DUMMYFUNCTION("""COMPUTED_VALUE"""),"Min Stok Fuse untuk Hot Water 121702727 - APPROVED")</f>
        <v>Min Stok Fuse untuk Hot Water 121702727 - APPROVED</v>
      </c>
      <c r="J201" s="3" t="str">
        <f>IFERROR(__xludf.DUMMYFUNCTION("""COMPUTED_VALUE"""),"P-53055-00")</f>
        <v>P-53055-00</v>
      </c>
      <c r="K201" s="3" t="str">
        <f>IFERROR(__xludf.DUMMYFUNCTION("""COMPUTED_VALUE"""),"Approve")</f>
        <v>Approve</v>
      </c>
      <c r="L201" s="3" t="str">
        <f>IFERROR(__xludf.DUMMYFUNCTION("""COMPUTED_VALUE"""),"Normal")</f>
        <v>Normal</v>
      </c>
      <c r="M201" s="3" t="str">
        <f>IFERROR(__xludf.DUMMYFUNCTION("""COMPUTED_VALUE"""),"Non Urgent")</f>
        <v>Non Urgent</v>
      </c>
    </row>
    <row r="202">
      <c r="A202" s="4">
        <f>IFERROR(__xludf.DUMMYFUNCTION("""COMPUTED_VALUE"""),45790.95244760417)</f>
        <v>45790.95245</v>
      </c>
      <c r="B202" s="3" t="str">
        <f>IFERROR(__xludf.DUMMYFUNCTION("""COMPUTED_VALUE"""),"MRNRO0015")</f>
        <v>MRNRO0015</v>
      </c>
      <c r="C202" s="3" t="str">
        <f>IFERROR(__xludf.DUMMYFUNCTION("""COMPUTED_VALUE"""),"MIn Stok")</f>
        <v>MIn Stok</v>
      </c>
      <c r="D202" s="3" t="str">
        <f>IFERROR(__xludf.DUMMYFUNCTION("""COMPUTED_VALUE"""),"-")</f>
        <v>-</v>
      </c>
      <c r="E202" s="3" t="str">
        <f>IFERROR(__xludf.DUMMYFUNCTION("""COMPUTED_VALUE"""),"Building")</f>
        <v>Building</v>
      </c>
      <c r="F202" s="3" t="str">
        <f>IFERROR(__xludf.DUMMYFUNCTION("""COMPUTED_VALUE"""),"Cat Weathershield Day Break;Dulux;Type 40544M Day Break;pack size per 20L pail")</f>
        <v>Cat Weathershield Day Break;Dulux;Type 40544M Day Break;pack size per 20L pail</v>
      </c>
      <c r="G202" s="3">
        <f>IFERROR(__xludf.DUMMYFUNCTION("""COMPUTED_VALUE"""),2.0)</f>
        <v>2</v>
      </c>
      <c r="H202" s="3" t="str">
        <f>IFERROR(__xludf.DUMMYFUNCTION("""COMPUTED_VALUE"""),"Pail")</f>
        <v>Pail</v>
      </c>
      <c r="I202" s="3" t="str">
        <f>IFERROR(__xludf.DUMMYFUNCTION("""COMPUTED_VALUE"""),"Buat dinding luar")</f>
        <v>Buat dinding luar</v>
      </c>
      <c r="J202" s="3" t="str">
        <f>IFERROR(__xludf.DUMMYFUNCTION("""COMPUTED_VALUE"""),"Q-90767-00")</f>
        <v>Q-90767-00</v>
      </c>
      <c r="K202" s="3" t="str">
        <f>IFERROR(__xludf.DUMMYFUNCTION("""COMPUTED_VALUE"""),"Approve")</f>
        <v>Approve</v>
      </c>
      <c r="L202" s="3" t="str">
        <f>IFERROR(__xludf.DUMMYFUNCTION("""COMPUTED_VALUE"""),"Normal")</f>
        <v>Normal</v>
      </c>
      <c r="M202" s="3" t="str">
        <f>IFERROR(__xludf.DUMMYFUNCTION("""COMPUTED_VALUE"""),"Non Urgent")</f>
        <v>Non Urgent</v>
      </c>
    </row>
    <row r="203">
      <c r="A203" s="4">
        <f>IFERROR(__xludf.DUMMYFUNCTION("""COMPUTED_VALUE"""),45790.9537302199)</f>
        <v>45790.95373</v>
      </c>
      <c r="B203" s="3" t="str">
        <f>IFERROR(__xludf.DUMMYFUNCTION("""COMPUTED_VALUE"""),"MRNRO0016")</f>
        <v>MRNRO0016</v>
      </c>
      <c r="C203" s="3" t="str">
        <f>IFERROR(__xludf.DUMMYFUNCTION("""COMPUTED_VALUE"""),"MIn Stok")</f>
        <v>MIn Stok</v>
      </c>
      <c r="D203" s="3" t="str">
        <f>IFERROR(__xludf.DUMMYFUNCTION("""COMPUTED_VALUE"""),"-")</f>
        <v>-</v>
      </c>
      <c r="E203" s="3" t="str">
        <f>IFERROR(__xludf.DUMMYFUNCTION("""COMPUTED_VALUE"""),"workshop")</f>
        <v>workshop</v>
      </c>
      <c r="F203" s="3" t="str">
        <f>IFERROR(__xludf.DUMMYFUNCTION("""COMPUTED_VALUE"""),"General - Tungsten Electrodes dia 1.6 mm; No Brand; -; 1 pc")</f>
        <v>General - Tungsten Electrodes dia 1.6 mm; No Brand; -; 1 pc</v>
      </c>
      <c r="G203" s="3">
        <f>IFERROR(__xludf.DUMMYFUNCTION("""COMPUTED_VALUE"""),1.0)</f>
        <v>1</v>
      </c>
      <c r="H203" s="3" t="str">
        <f>IFERROR(__xludf.DUMMYFUNCTION("""COMPUTED_VALUE"""),"pack")</f>
        <v>pack</v>
      </c>
      <c r="I203" s="3" t="str">
        <f>IFERROR(__xludf.DUMMYFUNCTION("""COMPUTED_VALUE"""),"buat mesin las")</f>
        <v>buat mesin las</v>
      </c>
      <c r="J203" s="3" t="str">
        <f>IFERROR(__xludf.DUMMYFUNCTION("""COMPUTED_VALUE"""),"P-12920-00")</f>
        <v>P-12920-00</v>
      </c>
      <c r="K203" s="3" t="str">
        <f>IFERROR(__xludf.DUMMYFUNCTION("""COMPUTED_VALUE"""),"Approve")</f>
        <v>Approve</v>
      </c>
      <c r="L203" s="3" t="str">
        <f>IFERROR(__xludf.DUMMYFUNCTION("""COMPUTED_VALUE"""),"Normal")</f>
        <v>Normal</v>
      </c>
      <c r="M203" s="3" t="str">
        <f>IFERROR(__xludf.DUMMYFUNCTION("""COMPUTED_VALUE"""),"Non Urgent")</f>
        <v>Non Urgent</v>
      </c>
    </row>
    <row r="204">
      <c r="A204" s="4">
        <f>IFERROR(__xludf.DUMMYFUNCTION("""COMPUTED_VALUE"""),45790.95895934027)</f>
        <v>45790.95896</v>
      </c>
      <c r="B204" s="3" t="str">
        <f>IFERROR(__xludf.DUMMYFUNCTION("""COMPUTED_VALUE"""),"MRNRO0017")</f>
        <v>MRNRO0017</v>
      </c>
      <c r="C204" s="3" t="str">
        <f>IFERROR(__xludf.DUMMYFUNCTION("""COMPUTED_VALUE"""),"MIn Stok")</f>
        <v>MIn Stok</v>
      </c>
      <c r="D204" s="3" t="str">
        <f>IFERROR(__xludf.DUMMYFUNCTION("""COMPUTED_VALUE"""),"-")</f>
        <v>-</v>
      </c>
      <c r="E204" s="3" t="str">
        <f>IFERROR(__xludf.DUMMYFUNCTION("""COMPUTED_VALUE"""),"AHU")</f>
        <v>AHU</v>
      </c>
      <c r="F204" s="3" t="str">
        <f>IFERROR(__xludf.DUMMYFUNCTION("""COMPUTED_VALUE"""),"LEM ISOLASI, ARMAFLEX, 1 CAN")</f>
        <v>LEM ISOLASI, ARMAFLEX, 1 CAN</v>
      </c>
      <c r="G204" s="3">
        <f>IFERROR(__xludf.DUMMYFUNCTION("""COMPUTED_VALUE"""),3.0)</f>
        <v>3</v>
      </c>
      <c r="H204" s="3" t="str">
        <f>IFERROR(__xludf.DUMMYFUNCTION("""COMPUTED_VALUE"""),"klg")</f>
        <v>klg</v>
      </c>
      <c r="I204" s="3" t="str">
        <f>IFERROR(__xludf.DUMMYFUNCTION("""COMPUTED_VALUE"""),"buat jacketing pipa chiller")</f>
        <v>buat jacketing pipa chiller</v>
      </c>
      <c r="J204" s="3" t="str">
        <f>IFERROR(__xludf.DUMMYFUNCTION("""COMPUTED_VALUE"""),"P-15858-00")</f>
        <v>P-15858-00</v>
      </c>
      <c r="K204" s="3" t="str">
        <f>IFERROR(__xludf.DUMMYFUNCTION("""COMPUTED_VALUE"""),"Approve")</f>
        <v>Approve</v>
      </c>
      <c r="L204" s="3" t="str">
        <f>IFERROR(__xludf.DUMMYFUNCTION("""COMPUTED_VALUE"""),"Normal")</f>
        <v>Normal</v>
      </c>
      <c r="M204" s="3" t="str">
        <f>IFERROR(__xludf.DUMMYFUNCTION("""COMPUTED_VALUE"""),"Non Urgent")</f>
        <v>Non Urgent</v>
      </c>
    </row>
    <row r="205">
      <c r="A205" s="4">
        <f>IFERROR(__xludf.DUMMYFUNCTION("""COMPUTED_VALUE"""),45790.972168576394)</f>
        <v>45790.97217</v>
      </c>
      <c r="B205" s="3" t="str">
        <f>IFERROR(__xludf.DUMMYFUNCTION("""COMPUTED_VALUE"""),"MRNRO0018")</f>
        <v>MRNRO0018</v>
      </c>
      <c r="C205" s="3" t="str">
        <f>IFERROR(__xludf.DUMMYFUNCTION("""COMPUTED_VALUE"""),"EJO")</f>
        <v>EJO</v>
      </c>
      <c r="D205" s="3" t="str">
        <f>IFERROR(__xludf.DUMMYFUNCTION("""COMPUTED_VALUE"""),"EJO/2025/04/56")</f>
        <v>EJO/2025/04/56</v>
      </c>
      <c r="E205" s="3" t="str">
        <f>IFERROR(__xludf.DUMMYFUNCTION("""COMPUTED_VALUE"""),"WWTP")</f>
        <v>WWTP</v>
      </c>
      <c r="F205" s="3" t="str">
        <f>IFERROR(__xludf.DUMMYFUNCTION("""COMPUTED_VALUE"""),"Ball Valve PVC 1""")</f>
        <v>Ball Valve PVC 1"</v>
      </c>
      <c r="G205" s="3">
        <f>IFERROR(__xludf.DUMMYFUNCTION("""COMPUTED_VALUE"""),2.0)</f>
        <v>2</v>
      </c>
      <c r="H205" s="3" t="str">
        <f>IFERROR(__xludf.DUMMYFUNCTION("""COMPUTED_VALUE"""),"pcs")</f>
        <v>pcs</v>
      </c>
      <c r="I205" s="3" t="str">
        <f>IFERROR(__xludf.DUMMYFUNCTION("""COMPUTED_VALUE"""),"Buat pipa FW")</f>
        <v>Buat pipa FW</v>
      </c>
      <c r="J205" s="3" t="str">
        <f>IFERROR(__xludf.DUMMYFUNCTION("""COMPUTED_VALUE"""),"P-10390-00")</f>
        <v>P-10390-00</v>
      </c>
      <c r="K205" s="3" t="str">
        <f>IFERROR(__xludf.DUMMYFUNCTION("""COMPUTED_VALUE"""),"Approve")</f>
        <v>Approve</v>
      </c>
      <c r="L205" s="3" t="str">
        <f>IFERROR(__xludf.DUMMYFUNCTION("""COMPUTED_VALUE"""),"Normal")</f>
        <v>Normal</v>
      </c>
      <c r="M205" s="3" t="str">
        <f>IFERROR(__xludf.DUMMYFUNCTION("""COMPUTED_VALUE"""),"Non Urgent")</f>
        <v>Non Urgent</v>
      </c>
    </row>
    <row r="206">
      <c r="A206" s="4">
        <f>IFERROR(__xludf.DUMMYFUNCTION("""COMPUTED_VALUE"""),45790.9826665162)</f>
        <v>45790.98267</v>
      </c>
      <c r="B206" s="3" t="str">
        <f>IFERROR(__xludf.DUMMYFUNCTION("""COMPUTED_VALUE"""),"MRNRO0019")</f>
        <v>MRNRO0019</v>
      </c>
      <c r="C206" s="3" t="str">
        <f>IFERROR(__xludf.DUMMYFUNCTION("""COMPUTED_VALUE"""),"MIn Stok")</f>
        <v>MIn Stok</v>
      </c>
      <c r="D206" s="3" t="str">
        <f>IFERROR(__xludf.DUMMYFUNCTION("""COMPUTED_VALUE"""),"-")</f>
        <v>-</v>
      </c>
      <c r="E206" s="3" t="str">
        <f>IFERROR(__xludf.DUMMYFUNCTION("""COMPUTED_VALUE"""),"Flange")</f>
        <v>Flange</v>
      </c>
      <c r="F206" s="3" t="str">
        <f>IFERROR(__xludf.DUMMYFUNCTION("""COMPUTED_VALUE"""),"LIQUID GASKET, THREE BOND")</f>
        <v>LIQUID GASKET, THREE BOND</v>
      </c>
      <c r="G206" s="3">
        <f>IFERROR(__xludf.DUMMYFUNCTION("""COMPUTED_VALUE"""),2.0)</f>
        <v>2</v>
      </c>
      <c r="H206" s="3" t="str">
        <f>IFERROR(__xludf.DUMMYFUNCTION("""COMPUTED_VALUE"""),"pcs")</f>
        <v>pcs</v>
      </c>
      <c r="I206" s="3" t="str">
        <f>IFERROR(__xludf.DUMMYFUNCTION("""COMPUTED_VALUE"""),"Buat flange pipa")</f>
        <v>Buat flange pipa</v>
      </c>
      <c r="J206" s="3" t="str">
        <f>IFERROR(__xludf.DUMMYFUNCTION("""COMPUTED_VALUE"""),"P-15861-00")</f>
        <v>P-15861-00</v>
      </c>
      <c r="K206" s="3" t="str">
        <f>IFERROR(__xludf.DUMMYFUNCTION("""COMPUTED_VALUE"""),"Approve")</f>
        <v>Approve</v>
      </c>
      <c r="L206" s="3" t="str">
        <f>IFERROR(__xludf.DUMMYFUNCTION("""COMPUTED_VALUE"""),"Normal")</f>
        <v>Normal</v>
      </c>
      <c r="M206" s="3" t="str">
        <f>IFERROR(__xludf.DUMMYFUNCTION("""COMPUTED_VALUE"""),"Non Urgent")</f>
        <v>Non Urgent</v>
      </c>
    </row>
    <row r="207">
      <c r="A207" s="4">
        <f>IFERROR(__xludf.DUMMYFUNCTION("""COMPUTED_VALUE"""),45790.984676249995)</f>
        <v>45790.98468</v>
      </c>
      <c r="B207" s="3" t="str">
        <f>IFERROR(__xludf.DUMMYFUNCTION("""COMPUTED_VALUE"""),"MRNRO0020")</f>
        <v>MRNRO0020</v>
      </c>
      <c r="C207" s="3" t="str">
        <f>IFERROR(__xludf.DUMMYFUNCTION("""COMPUTED_VALUE"""),"MIn Stok")</f>
        <v>MIn Stok</v>
      </c>
      <c r="D207" s="3" t="str">
        <f>IFERROR(__xludf.DUMMYFUNCTION("""COMPUTED_VALUE"""),"-")</f>
        <v>-</v>
      </c>
      <c r="E207" s="3" t="str">
        <f>IFERROR(__xludf.DUMMYFUNCTION("""COMPUTED_VALUE"""),"Dinding")</f>
        <v>Dinding</v>
      </c>
      <c r="F207" s="3" t="str">
        <f>IFERROR(__xludf.DUMMYFUNCTION("""COMPUTED_VALUE"""),"Fisher S 8 (1 box : 100 pcs)")</f>
        <v>Fisher S 8 (1 box : 100 pcs)</v>
      </c>
      <c r="G207" s="3">
        <f>IFERROR(__xludf.DUMMYFUNCTION("""COMPUTED_VALUE"""),2.0)</f>
        <v>2</v>
      </c>
      <c r="H207" s="3" t="str">
        <f>IFERROR(__xludf.DUMMYFUNCTION("""COMPUTED_VALUE"""),"box")</f>
        <v>box</v>
      </c>
      <c r="I207" s="3" t="str">
        <f>IFERROR(__xludf.DUMMYFUNCTION("""COMPUTED_VALUE"""),"Buat gantungan")</f>
        <v>Buat gantungan</v>
      </c>
      <c r="J207" s="3" t="str">
        <f>IFERROR(__xludf.DUMMYFUNCTION("""COMPUTED_VALUE"""),"P-16308-00")</f>
        <v>P-16308-00</v>
      </c>
      <c r="K207" s="3" t="str">
        <f>IFERROR(__xludf.DUMMYFUNCTION("""COMPUTED_VALUE"""),"Approve")</f>
        <v>Approve</v>
      </c>
      <c r="L207" s="3" t="str">
        <f>IFERROR(__xludf.DUMMYFUNCTION("""COMPUTED_VALUE"""),"Normal")</f>
        <v>Normal</v>
      </c>
      <c r="M207" s="3" t="str">
        <f>IFERROR(__xludf.DUMMYFUNCTION("""COMPUTED_VALUE"""),"Non Urgent")</f>
        <v>Non Urgent</v>
      </c>
    </row>
    <row r="208">
      <c r="A208" s="4">
        <f>IFERROR(__xludf.DUMMYFUNCTION("""COMPUTED_VALUE"""),45791.39606186342)</f>
        <v>45791.39606</v>
      </c>
      <c r="B208" s="3" t="str">
        <f>IFERROR(__xludf.DUMMYFUNCTION("""COMPUTED_VALUE"""),"ROSRO0005")</f>
        <v>ROSRO0005</v>
      </c>
      <c r="C208" s="3" t="str">
        <f>IFERROR(__xludf.DUMMYFUNCTION("""COMPUTED_VALUE"""),"Consumable")</f>
        <v>Consumable</v>
      </c>
      <c r="D208" s="3" t="str">
        <f>IFERROR(__xludf.DUMMYFUNCTION("""COMPUTED_VALUE"""),"-")</f>
        <v>-</v>
      </c>
      <c r="E208" s="3" t="str">
        <f>IFERROR(__xludf.DUMMYFUNCTION("""COMPUTED_VALUE"""),"Washing")</f>
        <v>Washing</v>
      </c>
      <c r="F208" s="3" t="str">
        <f>IFERROR(__xludf.DUMMYFUNCTION("""COMPUTED_VALUE"""),"Black arm system for Rotating pincer pneumatic cylinder SINAR MUTIARA CAKRABUANA, PT C/N : 33661 pc")</f>
        <v>Black arm system for Rotating pincer pneumatic cylinder SINAR MUTIARA CAKRABUANA, PT C/N : 33661 pc</v>
      </c>
      <c r="G208" s="3">
        <f>IFERROR(__xludf.DUMMYFUNCTION("""COMPUTED_VALUE"""),5.0)</f>
        <v>5</v>
      </c>
      <c r="H208" s="3" t="str">
        <f>IFERROR(__xludf.DUMMYFUNCTION("""COMPUTED_VALUE"""),"set")</f>
        <v>set</v>
      </c>
      <c r="I208" s="3" t="str">
        <f>IFERROR(__xludf.DUMMYFUNCTION("""COMPUTED_VALUE"""),"-")</f>
        <v>-</v>
      </c>
      <c r="J208" s="3" t="str">
        <f>IFERROR(__xludf.DUMMYFUNCTION("""COMPUTED_VALUE"""),"O-14616-00")</f>
        <v>O-14616-00</v>
      </c>
      <c r="K208" s="3" t="str">
        <f>IFERROR(__xludf.DUMMYFUNCTION("""COMPUTED_VALUE"""),"Reject")</f>
        <v>Reject</v>
      </c>
      <c r="L208" s="3" t="str">
        <f>IFERROR(__xludf.DUMMYFUNCTION("""COMPUTED_VALUE"""),"Normal")</f>
        <v>Normal</v>
      </c>
      <c r="M208" s="3" t="str">
        <f>IFERROR(__xludf.DUMMYFUNCTION("""COMPUTED_VALUE"""),"Non Urgent")</f>
        <v>Non Urgent</v>
      </c>
    </row>
    <row r="209">
      <c r="A209" s="4">
        <f>IFERROR(__xludf.DUMMYFUNCTION("""COMPUTED_VALUE"""),45791.396829548605)</f>
        <v>45791.39683</v>
      </c>
      <c r="B209" s="3" t="str">
        <f>IFERROR(__xludf.DUMMYFUNCTION("""COMPUTED_VALUE"""),"ROSRO0006")</f>
        <v>ROSRO0006</v>
      </c>
      <c r="C209" s="3" t="str">
        <f>IFERROR(__xludf.DUMMYFUNCTION("""COMPUTED_VALUE"""),"Consumable")</f>
        <v>Consumable</v>
      </c>
      <c r="D209" s="3" t="str">
        <f>IFERROR(__xludf.DUMMYFUNCTION("""COMPUTED_VALUE"""),"-")</f>
        <v>-</v>
      </c>
      <c r="E209" s="3" t="str">
        <f>IFERROR(__xludf.DUMMYFUNCTION("""COMPUTED_VALUE"""),"Washing")</f>
        <v>Washing</v>
      </c>
      <c r="F209" s="3" t="str">
        <f>IFERROR(__xludf.DUMMYFUNCTION("""COMPUTED_VALUE"""),"General - Pneumatic pincher silicone cover sleeve c/n 15927; SMC; MHZJ2-J20S; 1 Pc")</f>
        <v>General - Pneumatic pincher silicone cover sleeve c/n 15927; SMC; MHZJ2-J20S; 1 Pc</v>
      </c>
      <c r="G209" s="3">
        <f>IFERROR(__xludf.DUMMYFUNCTION("""COMPUTED_VALUE"""),20.0)</f>
        <v>20</v>
      </c>
      <c r="H209" s="3" t="str">
        <f>IFERROR(__xludf.DUMMYFUNCTION("""COMPUTED_VALUE"""),"pcs")</f>
        <v>pcs</v>
      </c>
      <c r="I209" s="3" t="str">
        <f>IFERROR(__xludf.DUMMYFUNCTION("""COMPUTED_VALUE"""),"-")</f>
        <v>-</v>
      </c>
      <c r="J209" s="3" t="str">
        <f>IFERROR(__xludf.DUMMYFUNCTION("""COMPUTED_VALUE"""),"O-14618-00")</f>
        <v>O-14618-00</v>
      </c>
      <c r="K209" s="3" t="str">
        <f>IFERROR(__xludf.DUMMYFUNCTION("""COMPUTED_VALUE"""),"Approve")</f>
        <v>Approve</v>
      </c>
      <c r="L209" s="3" t="str">
        <f>IFERROR(__xludf.DUMMYFUNCTION("""COMPUTED_VALUE"""),"Normal")</f>
        <v>Normal</v>
      </c>
      <c r="M209" s="3" t="str">
        <f>IFERROR(__xludf.DUMMYFUNCTION("""COMPUTED_VALUE"""),"Non Urgent")</f>
        <v>Non Urgent</v>
      </c>
    </row>
    <row r="210">
      <c r="A210" s="4">
        <f>IFERROR(__xludf.DUMMYFUNCTION("""COMPUTED_VALUE"""),45792.364852453706)</f>
        <v>45792.36485</v>
      </c>
      <c r="B210" s="3" t="str">
        <f>IFERROR(__xludf.DUMMYFUNCTION("""COMPUTED_VALUE"""),"RIARO0035")</f>
        <v>RIARO0035</v>
      </c>
      <c r="C210" s="3" t="str">
        <f>IFERROR(__xludf.DUMMYFUNCTION("""COMPUTED_VALUE"""),"EJO")</f>
        <v>EJO</v>
      </c>
      <c r="D210" s="3" t="str">
        <f>IFERROR(__xludf.DUMMYFUNCTION("""COMPUTED_VALUE"""),"EJO/2025/04/18")</f>
        <v>EJO/2025/04/18</v>
      </c>
      <c r="E210" s="3" t="str">
        <f>IFERROR(__xludf.DUMMYFUNCTION("""COMPUTED_VALUE"""),"CC API,Bulk Storage")</f>
        <v>CC API,Bulk Storage</v>
      </c>
      <c r="F210" s="3" t="str">
        <f>IFERROR(__xludf.DUMMYFUNCTION("""COMPUTED_VALUE"""),"Digital Temperature Switch Type : TS2-021; Voltage : 230 VAC; Brand: Dwyer; ;")</f>
        <v>Digital Temperature Switch Type : TS2-021; Voltage : 230 VAC; Brand: Dwyer; ;</v>
      </c>
      <c r="G210" s="3">
        <f>IFERROR(__xludf.DUMMYFUNCTION("""COMPUTED_VALUE"""),5.0)</f>
        <v>5</v>
      </c>
      <c r="H210" s="3" t="str">
        <f>IFERROR(__xludf.DUMMYFUNCTION("""COMPUTED_VALUE"""),"Pcs")</f>
        <v>Pcs</v>
      </c>
      <c r="I210" s="3" t="str">
        <f>IFERROR(__xludf.DUMMYFUNCTION("""COMPUTED_VALUE"""),"Buat CC API dan Bulk ya Love Controll (REJECT BY MFH KARENA PR DI REJECT PAK KRIS)")</f>
        <v>Buat CC API dan Bulk ya Love Controll (REJECT BY MFH KARENA PR DI REJECT PAK KRIS)</v>
      </c>
      <c r="J210" s="3" t="str">
        <f>IFERROR(__xludf.DUMMYFUNCTION("""COMPUTED_VALUE"""),"P-51781-00")</f>
        <v>P-51781-00</v>
      </c>
      <c r="K210" s="3" t="str">
        <f>IFERROR(__xludf.DUMMYFUNCTION("""COMPUTED_VALUE"""),"Reject")</f>
        <v>Reject</v>
      </c>
      <c r="L210" s="3" t="str">
        <f>IFERROR(__xludf.DUMMYFUNCTION("""COMPUTED_VALUE"""),"Normal")</f>
        <v>Normal</v>
      </c>
      <c r="M210" s="3" t="str">
        <f>IFERROR(__xludf.DUMMYFUNCTION("""COMPUTED_VALUE"""),"Non Urgent")</f>
        <v>Non Urgent</v>
      </c>
    </row>
    <row r="211">
      <c r="A211" s="4">
        <f>IFERROR(__xludf.DUMMYFUNCTION("""COMPUTED_VALUE"""),45798.48967328704)</f>
        <v>45798.48967</v>
      </c>
      <c r="B211" s="3" t="str">
        <f>IFERROR(__xludf.DUMMYFUNCTION("""COMPUTED_VALUE"""),"RIARO0036")</f>
        <v>RIARO0036</v>
      </c>
      <c r="C211" s="3" t="str">
        <f>IFERROR(__xludf.DUMMYFUNCTION("""COMPUTED_VALUE"""),"Consumable")</f>
        <v>Consumable</v>
      </c>
      <c r="D211" s="3" t="str">
        <f>IFERROR(__xludf.DUMMYFUNCTION("""COMPUTED_VALUE"""),"-")</f>
        <v>-</v>
      </c>
      <c r="E211" s="3" t="str">
        <f>IFERROR(__xludf.DUMMYFUNCTION("""COMPUTED_VALUE"""),"Alarm System")</f>
        <v>Alarm System</v>
      </c>
      <c r="F211" s="3" t="str">
        <f>IFERROR(__xludf.DUMMYFUNCTION("""COMPUTED_VALUE"""),"Temperature Controller - TK4S- 24RN 100-240 VAC AUTONICS; ; ;")</f>
        <v>Temperature Controller - TK4S- 24RN 100-240 VAC AUTONICS; ; ;</v>
      </c>
      <c r="G211" s="3">
        <f>IFERROR(__xludf.DUMMYFUNCTION("""COMPUTED_VALUE"""),3.0)</f>
        <v>3</v>
      </c>
      <c r="H211" s="3" t="str">
        <f>IFERROR(__xludf.DUMMYFUNCTION("""COMPUTED_VALUE"""),"Pcs")</f>
        <v>Pcs</v>
      </c>
      <c r="I211" s="3" t="str">
        <f>IFERROR(__xludf.DUMMYFUNCTION("""COMPUTED_VALUE"""),"Buat alarm system rak wh, bulk 2, qc storage")</f>
        <v>Buat alarm system rak wh, bulk 2, qc storage</v>
      </c>
      <c r="J211" s="3" t="str">
        <f>IFERROR(__xludf.DUMMYFUNCTION("""COMPUTED_VALUE"""),"O-52859-00")</f>
        <v>O-52859-00</v>
      </c>
      <c r="K211" s="3" t="str">
        <f>IFERROR(__xludf.DUMMYFUNCTION("""COMPUTED_VALUE"""),"Approve")</f>
        <v>Approve</v>
      </c>
      <c r="L211" s="3" t="str">
        <f>IFERROR(__xludf.DUMMYFUNCTION("""COMPUTED_VALUE"""),"Normal")</f>
        <v>Normal</v>
      </c>
      <c r="M211" s="3" t="str">
        <f>IFERROR(__xludf.DUMMYFUNCTION("""COMPUTED_VALUE"""),"Non Urgent")</f>
        <v>Non Urgent</v>
      </c>
    </row>
    <row r="212">
      <c r="A212" s="4">
        <f>IFERROR(__xludf.DUMMYFUNCTION("""COMPUTED_VALUE"""),45800.69458466435)</f>
        <v>45800.69458</v>
      </c>
      <c r="B212" s="3" t="str">
        <f>IFERROR(__xludf.DUMMYFUNCTION("""COMPUTED_VALUE"""),"RIARO0037")</f>
        <v>RIARO0037</v>
      </c>
      <c r="C212" s="3" t="str">
        <f>IFERROR(__xludf.DUMMYFUNCTION("""COMPUTED_VALUE"""),"MIn Stok")</f>
        <v>MIn Stok</v>
      </c>
      <c r="D212" s="3" t="str">
        <f>IFERROR(__xludf.DUMMYFUNCTION("""COMPUTED_VALUE"""),"-")</f>
        <v>-</v>
      </c>
      <c r="E212" s="3" t="str">
        <f>IFERROR(__xludf.DUMMYFUNCTION("""COMPUTED_VALUE"""),"Alarm System")</f>
        <v>Alarm System</v>
      </c>
      <c r="F212" s="3" t="str">
        <f>IFERROR(__xludf.DUMMYFUNCTION("""COMPUTED_VALUE"""),"Timer + Socket Omron 43BA-A8 220 VAC; ; ;")</f>
        <v>Timer + Socket Omron 43BA-A8 220 VAC; ; ;</v>
      </c>
      <c r="G212" s="3">
        <f>IFERROR(__xludf.DUMMYFUNCTION("""COMPUTED_VALUE"""),5.0)</f>
        <v>5</v>
      </c>
      <c r="H212" s="3" t="str">
        <f>IFERROR(__xludf.DUMMYFUNCTION("""COMPUTED_VALUE"""),"Set")</f>
        <v>Set</v>
      </c>
      <c r="I212" s="3" t="str">
        <f>IFERROR(__xludf.DUMMYFUNCTION("""COMPUTED_VALUE"""),"Ini konsumable ya, sama ini buat wicc wip")</f>
        <v>Ini konsumable ya, sama ini buat wicc wip</v>
      </c>
      <c r="J212" s="3" t="str">
        <f>IFERROR(__xludf.DUMMYFUNCTION("""COMPUTED_VALUE"""),"P-51740-00")</f>
        <v>P-51740-00</v>
      </c>
      <c r="K212" s="3" t="str">
        <f>IFERROR(__xludf.DUMMYFUNCTION("""COMPUTED_VALUE"""),"Approve")</f>
        <v>Approve</v>
      </c>
      <c r="L212" s="3" t="str">
        <f>IFERROR(__xludf.DUMMYFUNCTION("""COMPUTED_VALUE"""),"Normal")</f>
        <v>Normal</v>
      </c>
      <c r="M212" s="3" t="str">
        <f>IFERROR(__xludf.DUMMYFUNCTION("""COMPUTED_VALUE"""),"Non Urgent")</f>
        <v>Non Urgent</v>
      </c>
    </row>
    <row r="213">
      <c r="A213" s="4">
        <f>IFERROR(__xludf.DUMMYFUNCTION("""COMPUTED_VALUE"""),45802.55794943286)</f>
        <v>45802.55795</v>
      </c>
      <c r="B213" s="3" t="str">
        <f>IFERROR(__xludf.DUMMYFUNCTION("""COMPUTED_VALUE"""),"MFHRO0084")</f>
        <v>MFHRO0084</v>
      </c>
      <c r="C213" s="3" t="str">
        <f>IFERROR(__xludf.DUMMYFUNCTION("""COMPUTED_VALUE"""),"Consumable")</f>
        <v>Consumable</v>
      </c>
      <c r="D213" s="3" t="str">
        <f>IFERROR(__xludf.DUMMYFUNCTION("""COMPUTED_VALUE"""),"-")</f>
        <v>-</v>
      </c>
      <c r="E213" s="3" t="str">
        <f>IFERROR(__xludf.DUMMYFUNCTION("""COMPUTED_VALUE"""),"Tools")</f>
        <v>Tools</v>
      </c>
      <c r="F213" s="3" t="str">
        <f>IFERROR(__xludf.DUMMYFUNCTION("""COMPUTED_VALUE"""),"Driver / Bor Cordless Impact Drill Baterai 18V; Bosch; GSB183-LI; per set (Bor dan 1 x baterai GBA 18V 2.0Ah)")</f>
        <v>Driver / Bor Cordless Impact Drill Baterai 18V; Bosch; GSB183-LI; per set (Bor dan 1 x baterai GBA 18V 2.0Ah)</v>
      </c>
      <c r="G213" s="3">
        <f>IFERROR(__xludf.DUMMYFUNCTION("""COMPUTED_VALUE"""),1.0)</f>
        <v>1</v>
      </c>
      <c r="H213" s="3" t="str">
        <f>IFERROR(__xludf.DUMMYFUNCTION("""COMPUTED_VALUE"""),"Unt")</f>
        <v>Unt</v>
      </c>
      <c r="I213" s="3" t="str">
        <f>IFERROR(__xludf.DUMMYFUNCTION("""COMPUTED_VALUE"""),"Untuk Tools Engineering 121702528 - APPROVED")</f>
        <v>Untuk Tools Engineering 121702528 - APPROVED</v>
      </c>
      <c r="J213" s="3" t="str">
        <f>IFERROR(__xludf.DUMMYFUNCTION("""COMPUTED_VALUE"""),"Q-70156-00")</f>
        <v>Q-70156-00</v>
      </c>
      <c r="K213" s="3" t="str">
        <f>IFERROR(__xludf.DUMMYFUNCTION("""COMPUTED_VALUE"""),"Approve")</f>
        <v>Approve</v>
      </c>
      <c r="L213" s="3" t="str">
        <f>IFERROR(__xludf.DUMMYFUNCTION("""COMPUTED_VALUE"""),"Normal")</f>
        <v>Normal</v>
      </c>
      <c r="M213" s="3" t="str">
        <f>IFERROR(__xludf.DUMMYFUNCTION("""COMPUTED_VALUE"""),"Non Urgent")</f>
        <v>Non Urgent</v>
      </c>
    </row>
    <row r="214">
      <c r="A214" s="4">
        <f>IFERROR(__xludf.DUMMYFUNCTION("""COMPUTED_VALUE"""),45802.56100476852)</f>
        <v>45802.561</v>
      </c>
      <c r="B214" s="3" t="str">
        <f>IFERROR(__xludf.DUMMYFUNCTION("""COMPUTED_VALUE"""),"MFHRO0085")</f>
        <v>MFHRO0085</v>
      </c>
      <c r="C214" s="3" t="str">
        <f>IFERROR(__xludf.DUMMYFUNCTION("""COMPUTED_VALUE"""),"Consumable")</f>
        <v>Consumable</v>
      </c>
      <c r="D214" s="3" t="str">
        <f>IFERROR(__xludf.DUMMYFUNCTION("""COMPUTED_VALUE"""),"-")</f>
        <v>-</v>
      </c>
      <c r="E214" s="3" t="str">
        <f>IFERROR(__xludf.DUMMYFUNCTION("""COMPUTED_VALUE"""),"General")</f>
        <v>General</v>
      </c>
      <c r="F214" s="3" t="str">
        <f>IFERROR(__xludf.DUMMYFUNCTION("""COMPUTED_VALUE"""),"Silicone Sealant High Temp Red; ; ;")</f>
        <v>Silicone Sealant High Temp Red; ; ;</v>
      </c>
      <c r="G214" s="3">
        <f>IFERROR(__xludf.DUMMYFUNCTION("""COMPUTED_VALUE"""),5.0)</f>
        <v>5</v>
      </c>
      <c r="H214" s="3" t="str">
        <f>IFERROR(__xludf.DUMMYFUNCTION("""COMPUTED_VALUE"""),"Pcs")</f>
        <v>Pcs</v>
      </c>
      <c r="I214" s="3" t="str">
        <f>IFERROR(__xludf.DUMMYFUNCTION("""COMPUTED_VALUE"""),"Untuk Consumable ENG 121702560 - APPROVED")</f>
        <v>Untuk Consumable ENG 121702560 - APPROVED</v>
      </c>
      <c r="J214" s="3" t="str">
        <f>IFERROR(__xludf.DUMMYFUNCTION("""COMPUTED_VALUE"""),"P-13383-00")</f>
        <v>P-13383-00</v>
      </c>
      <c r="K214" s="3" t="str">
        <f>IFERROR(__xludf.DUMMYFUNCTION("""COMPUTED_VALUE"""),"Approve")</f>
        <v>Approve</v>
      </c>
      <c r="L214" s="3" t="str">
        <f>IFERROR(__xludf.DUMMYFUNCTION("""COMPUTED_VALUE"""),"Normal")</f>
        <v>Normal</v>
      </c>
      <c r="M214" s="3" t="str">
        <f>IFERROR(__xludf.DUMMYFUNCTION("""COMPUTED_VALUE"""),"Non Urgent")</f>
        <v>Non Urgent</v>
      </c>
    </row>
    <row r="215">
      <c r="A215" s="4">
        <f>IFERROR(__xludf.DUMMYFUNCTION("""COMPUTED_VALUE"""),45802.56372157407)</f>
        <v>45802.56372</v>
      </c>
      <c r="B215" s="3" t="str">
        <f>IFERROR(__xludf.DUMMYFUNCTION("""COMPUTED_VALUE"""),"MFHRO0086")</f>
        <v>MFHRO0086</v>
      </c>
      <c r="C215" s="3" t="str">
        <f>IFERROR(__xludf.DUMMYFUNCTION("""COMPUTED_VALUE"""),"Consumable")</f>
        <v>Consumable</v>
      </c>
      <c r="D215" s="3" t="str">
        <f>IFERROR(__xludf.DUMMYFUNCTION("""COMPUTED_VALUE"""),"-")</f>
        <v>-</v>
      </c>
      <c r="E215" s="3" t="str">
        <f>IFERROR(__xludf.DUMMYFUNCTION("""COMPUTED_VALUE"""),"General")</f>
        <v>General</v>
      </c>
      <c r="F215" s="3" t="str">
        <f>IFERROR(__xludf.DUMMYFUNCTION("""COMPUTED_VALUE"""),"Cleaner - Contact Cleaner CRC CO 2016; No Brand; -; 500ml/Botol")</f>
        <v>Cleaner - Contact Cleaner CRC CO 2016; No Brand; -; 500ml/Botol</v>
      </c>
      <c r="G215" s="3">
        <f>IFERROR(__xludf.DUMMYFUNCTION("""COMPUTED_VALUE"""),3.0)</f>
        <v>3</v>
      </c>
      <c r="H215" s="3" t="str">
        <f>IFERROR(__xludf.DUMMYFUNCTION("""COMPUTED_VALUE"""),"pcs")</f>
        <v>pcs</v>
      </c>
      <c r="I215" s="3" t="str">
        <f>IFERROR(__xludf.DUMMYFUNCTION("""COMPUTED_VALUE"""),"Untuk Consumable ENG 121702560 - APPROVED")</f>
        <v>Untuk Consumable ENG 121702560 - APPROVED</v>
      </c>
      <c r="J215" s="3" t="str">
        <f>IFERROR(__xludf.DUMMYFUNCTION("""COMPUTED_VALUE"""),"P-10726-00")</f>
        <v>P-10726-00</v>
      </c>
      <c r="K215" s="3" t="str">
        <f>IFERROR(__xludf.DUMMYFUNCTION("""COMPUTED_VALUE"""),"Approve")</f>
        <v>Approve</v>
      </c>
      <c r="L215" s="3" t="str">
        <f>IFERROR(__xludf.DUMMYFUNCTION("""COMPUTED_VALUE"""),"Normal")</f>
        <v>Normal</v>
      </c>
      <c r="M215" s="3" t="str">
        <f>IFERROR(__xludf.DUMMYFUNCTION("""COMPUTED_VALUE"""),"Non Urgent")</f>
        <v>Non Urgent</v>
      </c>
    </row>
    <row r="216">
      <c r="A216" s="4">
        <f>IFERROR(__xludf.DUMMYFUNCTION("""COMPUTED_VALUE"""),45802.57701783565)</f>
        <v>45802.57702</v>
      </c>
      <c r="B216" s="3" t="str">
        <f>IFERROR(__xludf.DUMMYFUNCTION("""COMPUTED_VALUE"""),"MFHRO0087")</f>
        <v>MFHRO0087</v>
      </c>
      <c r="C216" s="3" t="str">
        <f>IFERROR(__xludf.DUMMYFUNCTION("""COMPUTED_VALUE"""),"MIn Stok")</f>
        <v>MIn Stok</v>
      </c>
      <c r="D216" s="3" t="str">
        <f>IFERROR(__xludf.DUMMYFUNCTION("""COMPUTED_VALUE"""),"-")</f>
        <v>-</v>
      </c>
      <c r="E216" s="3" t="str">
        <f>IFERROR(__xludf.DUMMYFUNCTION("""COMPUTED_VALUE"""),"General")</f>
        <v>General</v>
      </c>
      <c r="F216" s="3" t="str">
        <f>IFERROR(__xludf.DUMMYFUNCTION("""COMPUTED_VALUE"""),"General - Seal Ferrule Teflon 1 1/2inch; No Brand; -; 1 pcs")</f>
        <v>General - Seal Ferrule Teflon 1 1/2inch; No Brand; -; 1 pcs</v>
      </c>
      <c r="G216" s="3">
        <f>IFERROR(__xludf.DUMMYFUNCTION("""COMPUTED_VALUE"""),5.0)</f>
        <v>5</v>
      </c>
      <c r="H216" s="3" t="str">
        <f>IFERROR(__xludf.DUMMYFUNCTION("""COMPUTED_VALUE"""),"Pcs")</f>
        <v>Pcs</v>
      </c>
      <c r="I216" s="3" t="str">
        <f>IFERROR(__xludf.DUMMYFUNCTION("""COMPUTED_VALUE"""),"Min Stok Gasket Teflon 1,5 inch 121702566 - APPROVED")</f>
        <v>Min Stok Gasket Teflon 1,5 inch 121702566 - APPROVED</v>
      </c>
      <c r="J216" s="3" t="str">
        <f>IFERROR(__xludf.DUMMYFUNCTION("""COMPUTED_VALUE"""),"P-11404-00")</f>
        <v>P-11404-00</v>
      </c>
      <c r="K216" s="3" t="str">
        <f>IFERROR(__xludf.DUMMYFUNCTION("""COMPUTED_VALUE"""),"Approve")</f>
        <v>Approve</v>
      </c>
      <c r="L216" s="3" t="str">
        <f>IFERROR(__xludf.DUMMYFUNCTION("""COMPUTED_VALUE"""),"Normal")</f>
        <v>Normal</v>
      </c>
      <c r="M216" s="3" t="str">
        <f>IFERROR(__xludf.DUMMYFUNCTION("""COMPUTED_VALUE"""),"Non Urgent")</f>
        <v>Non Urgent</v>
      </c>
    </row>
    <row r="217">
      <c r="A217" s="4">
        <f>IFERROR(__xludf.DUMMYFUNCTION("""COMPUTED_VALUE"""),45802.57812733796)</f>
        <v>45802.57813</v>
      </c>
      <c r="B217" s="3" t="str">
        <f>IFERROR(__xludf.DUMMYFUNCTION("""COMPUTED_VALUE"""),"MFHRO0088")</f>
        <v>MFHRO0088</v>
      </c>
      <c r="C217" s="3" t="str">
        <f>IFERROR(__xludf.DUMMYFUNCTION("""COMPUTED_VALUE"""),"MIn Stok")</f>
        <v>MIn Stok</v>
      </c>
      <c r="D217" s="3" t="str">
        <f>IFERROR(__xludf.DUMMYFUNCTION("""COMPUTED_VALUE"""),"-")</f>
        <v>-</v>
      </c>
      <c r="E217" s="3" t="str">
        <f>IFERROR(__xludf.DUMMYFUNCTION("""COMPUTED_VALUE"""),"General")</f>
        <v>General</v>
      </c>
      <c r="F217" s="3" t="str">
        <f>IFERROR(__xludf.DUMMYFUNCTION("""COMPUTED_VALUE"""),"General - Seal Ferrule Teflon 1inch; No Brand; -; 1 pcs")</f>
        <v>General - Seal Ferrule Teflon 1inch; No Brand; -; 1 pcs</v>
      </c>
      <c r="G217" s="3">
        <f>IFERROR(__xludf.DUMMYFUNCTION("""COMPUTED_VALUE"""),5.0)</f>
        <v>5</v>
      </c>
      <c r="H217" s="3" t="str">
        <f>IFERROR(__xludf.DUMMYFUNCTION("""COMPUTED_VALUE"""),"Pcs")</f>
        <v>Pcs</v>
      </c>
      <c r="I217" s="3" t="str">
        <f>IFERROR(__xludf.DUMMYFUNCTION("""COMPUTED_VALUE"""),"Min Stok Gasket Teflon 1 inch 121702566 - APPROVED")</f>
        <v>Min Stok Gasket Teflon 1 inch 121702566 - APPROVED</v>
      </c>
      <c r="J217" s="3" t="str">
        <f>IFERROR(__xludf.DUMMYFUNCTION("""COMPUTED_VALUE"""),"P-11405-00")</f>
        <v>P-11405-00</v>
      </c>
      <c r="K217" s="3" t="str">
        <f>IFERROR(__xludf.DUMMYFUNCTION("""COMPUTED_VALUE"""),"Approve")</f>
        <v>Approve</v>
      </c>
      <c r="L217" s="3" t="str">
        <f>IFERROR(__xludf.DUMMYFUNCTION("""COMPUTED_VALUE"""),"Normal")</f>
        <v>Normal</v>
      </c>
      <c r="M217" s="3" t="str">
        <f>IFERROR(__xludf.DUMMYFUNCTION("""COMPUTED_VALUE"""),"Non Urgent")</f>
        <v>Non Urgent</v>
      </c>
    </row>
    <row r="218">
      <c r="A218" s="4">
        <f>IFERROR(__xludf.DUMMYFUNCTION("""COMPUTED_VALUE"""),45802.57867606482)</f>
        <v>45802.57868</v>
      </c>
      <c r="B218" s="3" t="str">
        <f>IFERROR(__xludf.DUMMYFUNCTION("""COMPUTED_VALUE"""),"MFHRO0089")</f>
        <v>MFHRO0089</v>
      </c>
      <c r="C218" s="3" t="str">
        <f>IFERROR(__xludf.DUMMYFUNCTION("""COMPUTED_VALUE"""),"MIn Stok")</f>
        <v>MIn Stok</v>
      </c>
      <c r="D218" s="3" t="str">
        <f>IFERROR(__xludf.DUMMYFUNCTION("""COMPUTED_VALUE"""),"-")</f>
        <v>-</v>
      </c>
      <c r="E218" s="3" t="str">
        <f>IFERROR(__xludf.DUMMYFUNCTION("""COMPUTED_VALUE"""),"General")</f>
        <v>General</v>
      </c>
      <c r="F218" s="3" t="str">
        <f>IFERROR(__xludf.DUMMYFUNCTION("""COMPUTED_VALUE"""),"General - Seal Ferrule Teflon 3/4inch; No Brand; -; 1 pcs")</f>
        <v>General - Seal Ferrule Teflon 3/4inch; No Brand; -; 1 pcs</v>
      </c>
      <c r="G218" s="3">
        <f>IFERROR(__xludf.DUMMYFUNCTION("""COMPUTED_VALUE"""),10.0)</f>
        <v>10</v>
      </c>
      <c r="H218" s="3" t="str">
        <f>IFERROR(__xludf.DUMMYFUNCTION("""COMPUTED_VALUE"""),"Pcs")</f>
        <v>Pcs</v>
      </c>
      <c r="I218" s="3" t="str">
        <f>IFERROR(__xludf.DUMMYFUNCTION("""COMPUTED_VALUE"""),"Min Stok Gasket Teflon 3/4 inch 121702566 - APPROVED")</f>
        <v>Min Stok Gasket Teflon 3/4 inch 121702566 - APPROVED</v>
      </c>
      <c r="J218" s="3" t="str">
        <f>IFERROR(__xludf.DUMMYFUNCTION("""COMPUTED_VALUE"""),"P-14980-00")</f>
        <v>P-14980-00</v>
      </c>
      <c r="K218" s="3" t="str">
        <f>IFERROR(__xludf.DUMMYFUNCTION("""COMPUTED_VALUE"""),"Approve")</f>
        <v>Approve</v>
      </c>
      <c r="L218" s="3" t="str">
        <f>IFERROR(__xludf.DUMMYFUNCTION("""COMPUTED_VALUE"""),"Normal")</f>
        <v>Normal</v>
      </c>
      <c r="M218" s="3" t="str">
        <f>IFERROR(__xludf.DUMMYFUNCTION("""COMPUTED_VALUE"""),"Non Urgent")</f>
        <v>Non Urgent</v>
      </c>
    </row>
    <row r="219">
      <c r="A219" s="4">
        <f>IFERROR(__xludf.DUMMYFUNCTION("""COMPUTED_VALUE"""),45802.57990893518)</f>
        <v>45802.57991</v>
      </c>
      <c r="B219" s="3" t="str">
        <f>IFERROR(__xludf.DUMMYFUNCTION("""COMPUTED_VALUE"""),"MFHRO0090")</f>
        <v>MFHRO0090</v>
      </c>
      <c r="C219" s="3" t="str">
        <f>IFERROR(__xludf.DUMMYFUNCTION("""COMPUTED_VALUE"""),"MIn Stok")</f>
        <v>MIn Stok</v>
      </c>
      <c r="D219" s="3" t="str">
        <f>IFERROR(__xludf.DUMMYFUNCTION("""COMPUTED_VALUE"""),"-")</f>
        <v>-</v>
      </c>
      <c r="E219" s="3" t="str">
        <f>IFERROR(__xludf.DUMMYFUNCTION("""COMPUTED_VALUE"""),"Helium Leak Detector")</f>
        <v>Helium Leak Detector</v>
      </c>
      <c r="F219" s="3" t="str">
        <f>IFERROR(__xludf.DUMMYFUNCTION("""COMPUTED_VALUE"""),"General - Air Gun 10 Inch; Tekiro; -; 1 pc")</f>
        <v>General - Air Gun 10 Inch; Tekiro; -; 1 pc</v>
      </c>
      <c r="G219" s="3">
        <f>IFERROR(__xludf.DUMMYFUNCTION("""COMPUTED_VALUE"""),1.0)</f>
        <v>1</v>
      </c>
      <c r="H219" s="3" t="str">
        <f>IFERROR(__xludf.DUMMYFUNCTION("""COMPUTED_VALUE"""),"Pcs")</f>
        <v>Pcs</v>
      </c>
      <c r="I219" s="3" t="str">
        <f>IFERROR(__xludf.DUMMYFUNCTION("""COMPUTED_VALUE"""),"Aksesoris Helium Leak Tester 121702637 - APPROVED")</f>
        <v>Aksesoris Helium Leak Tester 121702637 - APPROVED</v>
      </c>
      <c r="J219" s="3" t="str">
        <f>IFERROR(__xludf.DUMMYFUNCTION("""COMPUTED_VALUE"""),"P-19623-00")</f>
        <v>P-19623-00</v>
      </c>
      <c r="K219" s="3" t="str">
        <f>IFERROR(__xludf.DUMMYFUNCTION("""COMPUTED_VALUE"""),"Approve")</f>
        <v>Approve</v>
      </c>
      <c r="L219" s="3" t="str">
        <f>IFERROR(__xludf.DUMMYFUNCTION("""COMPUTED_VALUE"""),"Normal")</f>
        <v>Normal</v>
      </c>
      <c r="M219" s="3" t="str">
        <f>IFERROR(__xludf.DUMMYFUNCTION("""COMPUTED_VALUE"""),"Non Urgent")</f>
        <v>Non Urgent</v>
      </c>
    </row>
    <row r="220">
      <c r="A220" s="4">
        <f>IFERROR(__xludf.DUMMYFUNCTION("""COMPUTED_VALUE"""),45802.58307324074)</f>
        <v>45802.58307</v>
      </c>
      <c r="B220" s="3" t="str">
        <f>IFERROR(__xludf.DUMMYFUNCTION("""COMPUTED_VALUE"""),"MFHRO0091")</f>
        <v>MFHRO0091</v>
      </c>
      <c r="C220" s="3" t="str">
        <f>IFERROR(__xludf.DUMMYFUNCTION("""COMPUTED_VALUE"""),"MIn Stok")</f>
        <v>MIn Stok</v>
      </c>
      <c r="D220" s="3" t="str">
        <f>IFERROR(__xludf.DUMMYFUNCTION("""COMPUTED_VALUE"""),"-")</f>
        <v>-</v>
      </c>
      <c r="E220" s="3" t="str">
        <f>IFERROR(__xludf.DUMMYFUNCTION("""COMPUTED_VALUE"""),"Helium Leak Detector")</f>
        <v>Helium Leak Detector</v>
      </c>
      <c r="F220" s="3" t="str">
        <f>IFERROR(__xludf.DUMMYFUNCTION("""COMPUTED_VALUE"""),"General - Recoil Spiral Hose dia. 5 x 8mm x 12 meter; No Brand; -; 1 pc")</f>
        <v>General - Recoil Spiral Hose dia. 5 x 8mm x 12 meter; No Brand; -; 1 pc</v>
      </c>
      <c r="G220" s="3">
        <f>IFERROR(__xludf.DUMMYFUNCTION("""COMPUTED_VALUE"""),1.0)</f>
        <v>1</v>
      </c>
      <c r="H220" s="3" t="str">
        <f>IFERROR(__xludf.DUMMYFUNCTION("""COMPUTED_VALUE"""),"Pcs")</f>
        <v>Pcs</v>
      </c>
      <c r="I220" s="3" t="str">
        <f>IFERROR(__xludf.DUMMYFUNCTION("""COMPUTED_VALUE"""),"Aksesoris Helium Leak Tester 121702637 - APPROVED")</f>
        <v>Aksesoris Helium Leak Tester 121702637 - APPROVED</v>
      </c>
      <c r="J220" s="3" t="str">
        <f>IFERROR(__xludf.DUMMYFUNCTION("""COMPUTED_VALUE"""),"P-19637-00")</f>
        <v>P-19637-00</v>
      </c>
      <c r="K220" s="3" t="str">
        <f>IFERROR(__xludf.DUMMYFUNCTION("""COMPUTED_VALUE"""),"Approve")</f>
        <v>Approve</v>
      </c>
      <c r="L220" s="3" t="str">
        <f>IFERROR(__xludf.DUMMYFUNCTION("""COMPUTED_VALUE"""),"Normal")</f>
        <v>Normal</v>
      </c>
      <c r="M220" s="3" t="str">
        <f>IFERROR(__xludf.DUMMYFUNCTION("""COMPUTED_VALUE"""),"Non Urgent")</f>
        <v>Non Urgent</v>
      </c>
    </row>
    <row r="221">
      <c r="A221" s="4">
        <f>IFERROR(__xludf.DUMMYFUNCTION("""COMPUTED_VALUE"""),45802.59393755787)</f>
        <v>45802.59394</v>
      </c>
      <c r="B221" s="3" t="str">
        <f>IFERROR(__xludf.DUMMYFUNCTION("""COMPUTED_VALUE"""),"MFHRO0092")</f>
        <v>MFHRO0092</v>
      </c>
      <c r="C221" s="3" t="str">
        <f>IFERROR(__xludf.DUMMYFUNCTION("""COMPUTED_VALUE"""),"MIn Stok")</f>
        <v>MIn Stok</v>
      </c>
      <c r="D221" s="3" t="str">
        <f>IFERROR(__xludf.DUMMYFUNCTION("""COMPUTED_VALUE"""),"-")</f>
        <v>-</v>
      </c>
      <c r="E221" s="3" t="str">
        <f>IFERROR(__xludf.DUMMYFUNCTION("""COMPUTED_VALUE"""),"Sparepart")</f>
        <v>Sparepart</v>
      </c>
      <c r="F221" s="3" t="str">
        <f>IFERROR(__xludf.DUMMYFUNCTION("""COMPUTED_VALUE"""),"Racking")</f>
        <v>Racking</v>
      </c>
      <c r="G221" s="3">
        <f>IFERROR(__xludf.DUMMYFUNCTION("""COMPUTED_VALUE"""),1.0)</f>
        <v>1</v>
      </c>
      <c r="H221" s="3" t="str">
        <f>IFERROR(__xludf.DUMMYFUNCTION("""COMPUTED_VALUE"""),"Set")</f>
        <v>Set</v>
      </c>
      <c r="I221" s="3" t="str">
        <f>IFERROR(__xludf.DUMMYFUNCTION("""COMPUTED_VALUE"""),"Untuk rak Sparepart 121702692 - APPROVED")</f>
        <v>Untuk rak Sparepart 121702692 - APPROVED</v>
      </c>
      <c r="J221" s="3" t="str">
        <f>IFERROR(__xludf.DUMMYFUNCTION("""COMPUTED_VALUE"""),"R-22006-00")</f>
        <v>R-22006-00</v>
      </c>
      <c r="K221" s="3" t="str">
        <f>IFERROR(__xludf.DUMMYFUNCTION("""COMPUTED_VALUE"""),"Approve")</f>
        <v>Approve</v>
      </c>
      <c r="L221" s="3" t="str">
        <f>IFERROR(__xludf.DUMMYFUNCTION("""COMPUTED_VALUE"""),"Normal")</f>
        <v>Normal</v>
      </c>
      <c r="M221" s="3" t="str">
        <f>IFERROR(__xludf.DUMMYFUNCTION("""COMPUTED_VALUE"""),"Non Urgent")</f>
        <v>Non Urgent</v>
      </c>
    </row>
    <row r="222">
      <c r="A222" s="4">
        <f>IFERROR(__xludf.DUMMYFUNCTION("""COMPUTED_VALUE"""),45802.60101275463)</f>
        <v>45802.60101</v>
      </c>
      <c r="B222" s="3" t="str">
        <f>IFERROR(__xludf.DUMMYFUNCTION("""COMPUTED_VALUE"""),"MFHRO0093")</f>
        <v>MFHRO0093</v>
      </c>
      <c r="C222" s="3" t="str">
        <f>IFERROR(__xludf.DUMMYFUNCTION("""COMPUTED_VALUE"""),"MIn Stok")</f>
        <v>MIn Stok</v>
      </c>
      <c r="D222" s="3" t="str">
        <f>IFERROR(__xludf.DUMMYFUNCTION("""COMPUTED_VALUE"""),"-")</f>
        <v>-</v>
      </c>
      <c r="E222" s="3" t="str">
        <f>IFERROR(__xludf.DUMMYFUNCTION("""COMPUTED_VALUE"""),"General")</f>
        <v>General</v>
      </c>
      <c r="F222" s="3" t="str">
        <f>IFERROR(__xludf.DUMMYFUNCTION("""COMPUTED_VALUE"""),"General - Power Supply SPA-050-24VDC; Autonics; -; 1 pc")</f>
        <v>General - Power Supply SPA-050-24VDC; Autonics; -; 1 pc</v>
      </c>
      <c r="G222" s="3">
        <f>IFERROR(__xludf.DUMMYFUNCTION("""COMPUTED_VALUE"""),3.0)</f>
        <v>3</v>
      </c>
      <c r="H222" s="3" t="str">
        <f>IFERROR(__xludf.DUMMYFUNCTION("""COMPUTED_VALUE"""),"Pcs")</f>
        <v>Pcs</v>
      </c>
      <c r="I222" s="3" t="str">
        <f>IFERROR(__xludf.DUMMYFUNCTION("""COMPUTED_VALUE"""),"Min Stok 121702728 - APPROVED")</f>
        <v>Min Stok 121702728 - APPROVED</v>
      </c>
      <c r="J222" s="3" t="str">
        <f>IFERROR(__xludf.DUMMYFUNCTION("""COMPUTED_VALUE"""),"P-51889-00")</f>
        <v>P-51889-00</v>
      </c>
      <c r="K222" s="3" t="str">
        <f>IFERROR(__xludf.DUMMYFUNCTION("""COMPUTED_VALUE"""),"Approve")</f>
        <v>Approve</v>
      </c>
      <c r="L222" s="3" t="str">
        <f>IFERROR(__xludf.DUMMYFUNCTION("""COMPUTED_VALUE"""),"Normal")</f>
        <v>Normal</v>
      </c>
      <c r="M222" s="3" t="str">
        <f>IFERROR(__xludf.DUMMYFUNCTION("""COMPUTED_VALUE"""),"Non Urgent")</f>
        <v>Non Urgent</v>
      </c>
    </row>
    <row r="223">
      <c r="A223" s="4">
        <f>IFERROR(__xludf.DUMMYFUNCTION("""COMPUTED_VALUE"""),45802.605427546296)</f>
        <v>45802.60543</v>
      </c>
      <c r="B223" s="3" t="str">
        <f>IFERROR(__xludf.DUMMYFUNCTION("""COMPUTED_VALUE"""),"MFHRO0094")</f>
        <v>MFHRO0094</v>
      </c>
      <c r="C223" s="3" t="str">
        <f>IFERROR(__xludf.DUMMYFUNCTION("""COMPUTED_VALUE"""),"Consumable")</f>
        <v>Consumable</v>
      </c>
      <c r="D223" s="3" t="str">
        <f>IFERROR(__xludf.DUMMYFUNCTION("""COMPUTED_VALUE"""),"-")</f>
        <v>-</v>
      </c>
      <c r="E223" s="3" t="str">
        <f>IFERROR(__xludf.DUMMYFUNCTION("""COMPUTED_VALUE"""),"General")</f>
        <v>General</v>
      </c>
      <c r="F223" s="3" t="str">
        <f>IFERROR(__xludf.DUMMYFUNCTION("""COMPUTED_VALUE"""),"General - Lem PLastic Steel Epoxy + Hardener 5 menit; Dextone; -; 1 set")</f>
        <v>General - Lem PLastic Steel Epoxy + Hardener 5 menit; Dextone; -; 1 set</v>
      </c>
      <c r="G223" s="3">
        <f>IFERROR(__xludf.DUMMYFUNCTION("""COMPUTED_VALUE"""),6.0)</f>
        <v>6</v>
      </c>
      <c r="H223" s="3" t="str">
        <f>IFERROR(__xludf.DUMMYFUNCTION("""COMPUTED_VALUE"""),"Pcs")</f>
        <v>Pcs</v>
      </c>
      <c r="I223" s="3" t="str">
        <f>IFERROR(__xludf.DUMMYFUNCTION("""COMPUTED_VALUE"""),"Min Stok Dextone 121702738 - APPROVED")</f>
        <v>Min Stok Dextone 121702738 - APPROVED</v>
      </c>
      <c r="J223" s="3" t="str">
        <f>IFERROR(__xludf.DUMMYFUNCTION("""COMPUTED_VALUE"""),"P-16474-00")</f>
        <v>P-16474-00</v>
      </c>
      <c r="K223" s="3" t="str">
        <f>IFERROR(__xludf.DUMMYFUNCTION("""COMPUTED_VALUE"""),"Approve")</f>
        <v>Approve</v>
      </c>
      <c r="L223" s="3" t="str">
        <f>IFERROR(__xludf.DUMMYFUNCTION("""COMPUTED_VALUE"""),"Normal")</f>
        <v>Normal</v>
      </c>
      <c r="M223" s="3" t="str">
        <f>IFERROR(__xludf.DUMMYFUNCTION("""COMPUTED_VALUE"""),"Non Urgent")</f>
        <v>Non Urgent</v>
      </c>
    </row>
    <row r="224">
      <c r="A224" s="4">
        <f>IFERROR(__xludf.DUMMYFUNCTION("""COMPUTED_VALUE"""),45802.60699534722)</f>
        <v>45802.607</v>
      </c>
      <c r="B224" s="3" t="str">
        <f>IFERROR(__xludf.DUMMYFUNCTION("""COMPUTED_VALUE"""),"MFHRO0095")</f>
        <v>MFHRO0095</v>
      </c>
      <c r="C224" s="3" t="str">
        <f>IFERROR(__xludf.DUMMYFUNCTION("""COMPUTED_VALUE"""),"MIn Stok")</f>
        <v>MIn Stok</v>
      </c>
      <c r="D224" s="3" t="str">
        <f>IFERROR(__xludf.DUMMYFUNCTION("""COMPUTED_VALUE"""),"-")</f>
        <v>-</v>
      </c>
      <c r="E224" s="3" t="str">
        <f>IFERROR(__xludf.DUMMYFUNCTION("""COMPUTED_VALUE"""),"Hot Water")</f>
        <v>Hot Water</v>
      </c>
      <c r="F224" s="3" t="str">
        <f>IFERROR(__xludf.DUMMYFUNCTION("""COMPUTED_VALUE"""),"General - Water Heater Immersion 9 Element Dia 11,2 x 1800 mm, 60 KW 380V, SUS316; Custom; -; 1 pc")</f>
        <v>General - Water Heater Immersion 9 Element Dia 11,2 x 1800 mm, 60 KW 380V, SUS316; Custom; -; 1 pc</v>
      </c>
      <c r="G224" s="3">
        <f>IFERROR(__xludf.DUMMYFUNCTION("""COMPUTED_VALUE"""),1.0)</f>
        <v>1</v>
      </c>
      <c r="H224" s="3" t="str">
        <f>IFERROR(__xludf.DUMMYFUNCTION("""COMPUTED_VALUE"""),"Unt")</f>
        <v>Unt</v>
      </c>
      <c r="I224" s="3" t="str">
        <f>IFERROR(__xludf.DUMMYFUNCTION("""COMPUTED_VALUE"""),"Heatert Hot Water 121702739 - APPROVED")</f>
        <v>Heatert Hot Water 121702739 - APPROVED</v>
      </c>
      <c r="J224" s="3" t="str">
        <f>IFERROR(__xludf.DUMMYFUNCTION("""COMPUTED_VALUE"""),"P-54269-00")</f>
        <v>P-54269-00</v>
      </c>
      <c r="K224" s="3" t="str">
        <f>IFERROR(__xludf.DUMMYFUNCTION("""COMPUTED_VALUE"""),"Approve")</f>
        <v>Approve</v>
      </c>
      <c r="L224" s="3" t="str">
        <f>IFERROR(__xludf.DUMMYFUNCTION("""COMPUTED_VALUE"""),"Normal")</f>
        <v>Normal</v>
      </c>
      <c r="M224" s="3" t="str">
        <f>IFERROR(__xludf.DUMMYFUNCTION("""COMPUTED_VALUE"""),"Non Urgent")</f>
        <v>Non Urgent</v>
      </c>
    </row>
    <row r="225">
      <c r="A225" s="4">
        <f>IFERROR(__xludf.DUMMYFUNCTION("""COMPUTED_VALUE"""),45802.60812542824)</f>
        <v>45802.60813</v>
      </c>
      <c r="B225" s="3" t="str">
        <f>IFERROR(__xludf.DUMMYFUNCTION("""COMPUTED_VALUE"""),"MFHRO0096")</f>
        <v>MFHRO0096</v>
      </c>
      <c r="C225" s="3" t="str">
        <f>IFERROR(__xludf.DUMMYFUNCTION("""COMPUTED_VALUE"""),"MIn Stok")</f>
        <v>MIn Stok</v>
      </c>
      <c r="D225" s="3" t="str">
        <f>IFERROR(__xludf.DUMMYFUNCTION("""COMPUTED_VALUE"""),"-")</f>
        <v>-</v>
      </c>
      <c r="E225" s="3" t="str">
        <f>IFERROR(__xludf.DUMMYFUNCTION("""COMPUTED_VALUE"""),"Mixing")</f>
        <v>Mixing</v>
      </c>
      <c r="F225" s="3" t="str">
        <f>IFERROR(__xludf.DUMMYFUNCTION("""COMPUTED_VALUE"""),"General - Sensor PH Meter Type : InPro3250/120/PT1000; Mettler Toledo; 52002548; 1 Pc")</f>
        <v>General - Sensor PH Meter Type : InPro3250/120/PT1000; Mettler Toledo; 52002548; 1 Pc</v>
      </c>
      <c r="G225" s="3">
        <f>IFERROR(__xludf.DUMMYFUNCTION("""COMPUTED_VALUE"""),1.0)</f>
        <v>1</v>
      </c>
      <c r="H225" s="3" t="str">
        <f>IFERROR(__xludf.DUMMYFUNCTION("""COMPUTED_VALUE"""),"Pcs")</f>
        <v>Pcs</v>
      </c>
      <c r="I225" s="3" t="str">
        <f>IFERROR(__xludf.DUMMYFUNCTION("""COMPUTED_VALUE"""),"Sensor PH untuk Mixing 121702746 - APPROVED")</f>
        <v>Sensor PH untuk Mixing 121702746 - APPROVED</v>
      </c>
      <c r="J225" s="3" t="str">
        <f>IFERROR(__xludf.DUMMYFUNCTION("""COMPUTED_VALUE"""),"O-52530-00")</f>
        <v>O-52530-00</v>
      </c>
      <c r="K225" s="3" t="str">
        <f>IFERROR(__xludf.DUMMYFUNCTION("""COMPUTED_VALUE"""),"Approve")</f>
        <v>Approve</v>
      </c>
      <c r="L225" s="3" t="str">
        <f>IFERROR(__xludf.DUMMYFUNCTION("""COMPUTED_VALUE"""),"Normal")</f>
        <v>Normal</v>
      </c>
      <c r="M225" s="3" t="str">
        <f>IFERROR(__xludf.DUMMYFUNCTION("""COMPUTED_VALUE"""),"Non Urgent")</f>
        <v>Non Urgent</v>
      </c>
    </row>
    <row r="226">
      <c r="A226" s="4">
        <f>IFERROR(__xludf.DUMMYFUNCTION("""COMPUTED_VALUE"""),45802.60982866898)</f>
        <v>45802.60983</v>
      </c>
      <c r="B226" s="3" t="str">
        <f>IFERROR(__xludf.DUMMYFUNCTION("""COMPUTED_VALUE"""),"MFHRO0097")</f>
        <v>MFHRO0097</v>
      </c>
      <c r="C226" s="3" t="str">
        <f>IFERROR(__xludf.DUMMYFUNCTION("""COMPUTED_VALUE"""),"Consumable")</f>
        <v>Consumable</v>
      </c>
      <c r="D226" s="3" t="str">
        <f>IFERROR(__xludf.DUMMYFUNCTION("""COMPUTED_VALUE"""),"-")</f>
        <v>-</v>
      </c>
      <c r="E226" s="3" t="str">
        <f>IFERROR(__xludf.DUMMYFUNCTION("""COMPUTED_VALUE"""),"General")</f>
        <v>General</v>
      </c>
      <c r="F226" s="3" t="str">
        <f>IFERROR(__xludf.DUMMYFUNCTION("""COMPUTED_VALUE"""),"General - Contact cleaner WD 40; No Brand; -; 382gr/can")</f>
        <v>General - Contact cleaner WD 40; No Brand; -; 382gr/can</v>
      </c>
      <c r="G226" s="3">
        <f>IFERROR(__xludf.DUMMYFUNCTION("""COMPUTED_VALUE"""),5.0)</f>
        <v>5</v>
      </c>
      <c r="H226" s="3" t="str">
        <f>IFERROR(__xludf.DUMMYFUNCTION("""COMPUTED_VALUE"""),"Pcs")</f>
        <v>Pcs</v>
      </c>
      <c r="I226" s="3" t="str">
        <f>IFERROR(__xludf.DUMMYFUNCTION("""COMPUTED_VALUE"""),"Untuk Consumable ENG 121702560 - APPROVED")</f>
        <v>Untuk Consumable ENG 121702560 - APPROVED</v>
      </c>
      <c r="J226" s="3" t="str">
        <f>IFERROR(__xludf.DUMMYFUNCTION("""COMPUTED_VALUE"""),"P-10729-00")</f>
        <v>P-10729-00</v>
      </c>
      <c r="K226" s="3" t="str">
        <f>IFERROR(__xludf.DUMMYFUNCTION("""COMPUTED_VALUE"""),"Approve")</f>
        <v>Approve</v>
      </c>
      <c r="L226" s="3" t="str">
        <f>IFERROR(__xludf.DUMMYFUNCTION("""COMPUTED_VALUE"""),"Normal")</f>
        <v>Normal</v>
      </c>
      <c r="M226" s="3" t="str">
        <f>IFERROR(__xludf.DUMMYFUNCTION("""COMPUTED_VALUE"""),"Non Urgent")</f>
        <v>Non Urgent</v>
      </c>
    </row>
    <row r="227">
      <c r="A227" s="4">
        <f>IFERROR(__xludf.DUMMYFUNCTION("""COMPUTED_VALUE"""),45802.61179489584)</f>
        <v>45802.61179</v>
      </c>
      <c r="B227" s="3" t="str">
        <f>IFERROR(__xludf.DUMMYFUNCTION("""COMPUTED_VALUE"""),"MFHRO0098")</f>
        <v>MFHRO0098</v>
      </c>
      <c r="C227" s="3" t="str">
        <f>IFERROR(__xludf.DUMMYFUNCTION("""COMPUTED_VALUE"""),"MIn Stok")</f>
        <v>MIn Stok</v>
      </c>
      <c r="D227" s="3" t="str">
        <f>IFERROR(__xludf.DUMMYFUNCTION("""COMPUTED_VALUE"""),"-")</f>
        <v>-</v>
      </c>
      <c r="E227" s="3" t="str">
        <f>IFERROR(__xludf.DUMMYFUNCTION("""COMPUTED_VALUE"""),"Office")</f>
        <v>Office</v>
      </c>
      <c r="F227" s="3" t="str">
        <f>IFERROR(__xludf.DUMMYFUNCTION("""COMPUTED_VALUE"""),"Ladder with Cushion Foam 4 Step BLKYS2462P; Krisbow; 294499;")</f>
        <v>Ladder with Cushion Foam 4 Step BLKYS2462P; Krisbow; 294499;</v>
      </c>
      <c r="G227" s="3">
        <f>IFERROR(__xludf.DUMMYFUNCTION("""COMPUTED_VALUE"""),1.0)</f>
        <v>1</v>
      </c>
      <c r="H227" s="3" t="str">
        <f>IFERROR(__xludf.DUMMYFUNCTION("""COMPUTED_VALUE"""),"pcs")</f>
        <v>pcs</v>
      </c>
      <c r="I227" s="3" t="str">
        <f>IFERROR(__xludf.DUMMYFUNCTION("""COMPUTED_VALUE"""),"Untuk tangga ofice 121702748 - APPROVED")</f>
        <v>Untuk tangga ofice 121702748 - APPROVED</v>
      </c>
      <c r="J227" s="3" t="str">
        <f>IFERROR(__xludf.DUMMYFUNCTION("""COMPUTED_VALUE"""),"S-46550-00")</f>
        <v>S-46550-00</v>
      </c>
      <c r="K227" s="3" t="str">
        <f>IFERROR(__xludf.DUMMYFUNCTION("""COMPUTED_VALUE"""),"Approve")</f>
        <v>Approve</v>
      </c>
      <c r="L227" s="3" t="str">
        <f>IFERROR(__xludf.DUMMYFUNCTION("""COMPUTED_VALUE"""),"Normal")</f>
        <v>Normal</v>
      </c>
      <c r="M227" s="3" t="str">
        <f>IFERROR(__xludf.DUMMYFUNCTION("""COMPUTED_VALUE"""),"Non Urgent")</f>
        <v>Non Urgent</v>
      </c>
    </row>
    <row r="228">
      <c r="A228" s="4">
        <f>IFERROR(__xludf.DUMMYFUNCTION("""COMPUTED_VALUE"""),45802.61272883102)</f>
        <v>45802.61273</v>
      </c>
      <c r="B228" s="3" t="str">
        <f>IFERROR(__xludf.DUMMYFUNCTION("""COMPUTED_VALUE"""),"MFHRO0099")</f>
        <v>MFHRO0099</v>
      </c>
      <c r="C228" s="3" t="str">
        <f>IFERROR(__xludf.DUMMYFUNCTION("""COMPUTED_VALUE"""),"MIn Stok")</f>
        <v>MIn Stok</v>
      </c>
      <c r="D228" s="3" t="str">
        <f>IFERROR(__xludf.DUMMYFUNCTION("""COMPUTED_VALUE"""),"-")</f>
        <v>-</v>
      </c>
      <c r="E228" s="3" t="str">
        <f>IFERROR(__xludf.DUMMYFUNCTION("""COMPUTED_VALUE"""),"HPLC")</f>
        <v>HPLC</v>
      </c>
      <c r="F228" s="3" t="str">
        <f>IFERROR(__xludf.DUMMYFUNCTION("""COMPUTED_VALUE"""),"Kit, Performance PLUS seal pack rebuild; Waters; 700011783; 1 pieces / pack")</f>
        <v>Kit, Performance PLUS seal pack rebuild; Waters; 700011783; 1 pieces / pack</v>
      </c>
      <c r="G228" s="3">
        <f>IFERROR(__xludf.DUMMYFUNCTION("""COMPUTED_VALUE"""),1.0)</f>
        <v>1</v>
      </c>
      <c r="H228" s="3" t="str">
        <f>IFERROR(__xludf.DUMMYFUNCTION("""COMPUTED_VALUE"""),"Pcs")</f>
        <v>Pcs</v>
      </c>
      <c r="I228" s="3" t="str">
        <f>IFERROR(__xludf.DUMMYFUNCTION("""COMPUTED_VALUE"""),"Untuk HPLC 121702750 - APPROVED")</f>
        <v>Untuk HPLC 121702750 - APPROVED</v>
      </c>
      <c r="J228" s="3" t="str">
        <f>IFERROR(__xludf.DUMMYFUNCTION("""COMPUTED_VALUE"""),"T-20591-00")</f>
        <v>T-20591-00</v>
      </c>
      <c r="K228" s="3" t="str">
        <f>IFERROR(__xludf.DUMMYFUNCTION("""COMPUTED_VALUE"""),"Approve")</f>
        <v>Approve</v>
      </c>
      <c r="L228" s="3" t="str">
        <f>IFERROR(__xludf.DUMMYFUNCTION("""COMPUTED_VALUE"""),"Normal")</f>
        <v>Normal</v>
      </c>
      <c r="M228" s="3" t="str">
        <f>IFERROR(__xludf.DUMMYFUNCTION("""COMPUTED_VALUE"""),"Non Urgent")</f>
        <v>Non Urgent</v>
      </c>
    </row>
    <row r="229">
      <c r="A229" s="4">
        <f>IFERROR(__xludf.DUMMYFUNCTION("""COMPUTED_VALUE"""),45803.68384538195)</f>
        <v>45803.68385</v>
      </c>
      <c r="B229" s="3" t="str">
        <f>IFERROR(__xludf.DUMMYFUNCTION("""COMPUTED_VALUE"""),"MOBRO0044")</f>
        <v>MOBRO0044</v>
      </c>
      <c r="C229" s="3" t="str">
        <f>IFERROR(__xludf.DUMMYFUNCTION("""COMPUTED_VALUE"""),"EJO")</f>
        <v>EJO</v>
      </c>
      <c r="D229" s="3" t="str">
        <f>IFERROR(__xludf.DUMMYFUNCTION("""COMPUTED_VALUE"""),"EJO/2025/02/57")</f>
        <v>EJO/2025/02/57</v>
      </c>
      <c r="E229" s="3" t="str">
        <f>IFERROR(__xludf.DUMMYFUNCTION("""COMPUTED_VALUE"""),"PSG")</f>
        <v>PSG</v>
      </c>
      <c r="F229" s="3" t="str">
        <f>IFERROR(__xludf.DUMMYFUNCTION("""COMPUTED_VALUE"""),"Gland Packing Teflon PTFE 6x6; ; ;")</f>
        <v>Gland Packing Teflon PTFE 6x6; ; ;</v>
      </c>
      <c r="G229" s="3">
        <f>IFERROR(__xludf.DUMMYFUNCTION("""COMPUTED_VALUE"""),5.0)</f>
        <v>5</v>
      </c>
      <c r="H229" s="3" t="str">
        <f>IFERROR(__xludf.DUMMYFUNCTION("""COMPUTED_VALUE"""),"Meter")</f>
        <v>Meter</v>
      </c>
      <c r="I229" s="3" t="str">
        <f>IFERROR(__xludf.DUMMYFUNCTION("""COMPUTED_VALUE"""),"EJO")</f>
        <v>EJO</v>
      </c>
      <c r="J229" s="3" t="str">
        <f>IFERROR(__xludf.DUMMYFUNCTION("""COMPUTED_VALUE"""),"P-18834-00")</f>
        <v>P-18834-00</v>
      </c>
      <c r="K229" s="3" t="str">
        <f>IFERROR(__xludf.DUMMYFUNCTION("""COMPUTED_VALUE"""),"Approve")</f>
        <v>Approve</v>
      </c>
      <c r="L229" s="3" t="str">
        <f>IFERROR(__xludf.DUMMYFUNCTION("""COMPUTED_VALUE"""),"Normal")</f>
        <v>Normal</v>
      </c>
      <c r="M229" s="3" t="str">
        <f>IFERROR(__xludf.DUMMYFUNCTION("""COMPUTED_VALUE"""),"Non Urgent")</f>
        <v>Non Urgent</v>
      </c>
    </row>
    <row r="230">
      <c r="A230" s="4">
        <f>IFERROR(__xludf.DUMMYFUNCTION("""COMPUTED_VALUE"""),45803.68504069444)</f>
        <v>45803.68504</v>
      </c>
      <c r="B230" s="3" t="str">
        <f>IFERROR(__xludf.DUMMYFUNCTION("""COMPUTED_VALUE"""),"SFHRO0007")</f>
        <v>SFHRO0007</v>
      </c>
      <c r="C230" s="3" t="str">
        <f>IFERROR(__xludf.DUMMYFUNCTION("""COMPUTED_VALUE"""),"EJO")</f>
        <v>EJO</v>
      </c>
      <c r="D230" s="3" t="str">
        <f>IFERROR(__xludf.DUMMYFUNCTION("""COMPUTED_VALUE"""),"EJO/2025/05/64")</f>
        <v>EJO/2025/05/64</v>
      </c>
      <c r="E230" s="3" t="str">
        <f>IFERROR(__xludf.DUMMYFUNCTION("""COMPUTED_VALUE"""),"lantai 2")</f>
        <v>lantai 2</v>
      </c>
      <c r="F230" s="3" t="str">
        <f>IFERROR(__xludf.DUMMYFUNCTION("""COMPUTED_VALUE"""),"Cat Dustproof Propan Decor DAE 550 Peacock Blue; ; ; - TEAL-5412")</f>
        <v>Cat Dustproof Propan Decor DAE 550 Peacock Blue; ; ; - TEAL-5412</v>
      </c>
      <c r="G230" s="3">
        <f>IFERROR(__xludf.DUMMYFUNCTION("""COMPUTED_VALUE"""),4.0)</f>
        <v>4</v>
      </c>
      <c r="H230" s="3" t="str">
        <f>IFERROR(__xludf.DUMMYFUNCTION("""COMPUTED_VALUE"""),"pel")</f>
        <v>pel</v>
      </c>
      <c r="I230" s="3" t="str">
        <f>IFERROR(__xludf.DUMMYFUNCTION("""COMPUTED_VALUE"""),"-")</f>
        <v>-</v>
      </c>
      <c r="J230" s="3" t="str">
        <f>IFERROR(__xludf.DUMMYFUNCTION("""COMPUTED_VALUE"""),"Q-10526-00")</f>
        <v>Q-10526-00</v>
      </c>
      <c r="K230" s="3" t="str">
        <f>IFERROR(__xludf.DUMMYFUNCTION("""COMPUTED_VALUE"""),"Approve")</f>
        <v>Approve</v>
      </c>
      <c r="L230" s="3" t="str">
        <f>IFERROR(__xludf.DUMMYFUNCTION("""COMPUTED_VALUE"""),"Normal")</f>
        <v>Normal</v>
      </c>
      <c r="M230" s="3" t="str">
        <f>IFERROR(__xludf.DUMMYFUNCTION("""COMPUTED_VALUE"""),"Non Urgent")</f>
        <v>Non Urgent</v>
      </c>
    </row>
    <row r="231">
      <c r="A231" s="4">
        <f>IFERROR(__xludf.DUMMYFUNCTION("""COMPUTED_VALUE"""),45804.027452222224)</f>
        <v>45804.02745</v>
      </c>
      <c r="B231" s="3" t="str">
        <f>IFERROR(__xludf.DUMMYFUNCTION("""COMPUTED_VALUE"""),"INNRO0005")</f>
        <v>INNRO0005</v>
      </c>
      <c r="C231" s="3" t="str">
        <f>IFERROR(__xludf.DUMMYFUNCTION("""COMPUTED_VALUE"""),"MIn Stok")</f>
        <v>MIn Stok</v>
      </c>
      <c r="D231" s="3" t="str">
        <f>IFERROR(__xludf.DUMMYFUNCTION("""COMPUTED_VALUE"""),"-")</f>
        <v>-</v>
      </c>
      <c r="E231" s="3" t="str">
        <f>IFERROR(__xludf.DUMMYFUNCTION("""COMPUTED_VALUE"""),"Autoclave Terminal")</f>
        <v>Autoclave Terminal</v>
      </c>
      <c r="F231" s="3" t="str">
        <f>IFERROR(__xludf.DUMMYFUNCTION("""COMPUTED_VALUE"""),"Safety Sensor GG505S GIGA-4015-US; IFM; ;")</f>
        <v>Safety Sensor GG505S GIGA-4015-US; IFM; ;</v>
      </c>
      <c r="G231" s="3">
        <f>IFERROR(__xludf.DUMMYFUNCTION("""COMPUTED_VALUE"""),2.0)</f>
        <v>2</v>
      </c>
      <c r="H231" s="3" t="str">
        <f>IFERROR(__xludf.DUMMYFUNCTION("""COMPUTED_VALUE"""),"pcs")</f>
        <v>pcs</v>
      </c>
      <c r="I231" s="3" t="str">
        <f>IFERROR(__xludf.DUMMYFUNCTION("""COMPUTED_VALUE"""),"Untuk Stock mesin Autoclave")</f>
        <v>Untuk Stock mesin Autoclave</v>
      </c>
      <c r="J231" s="3" t="str">
        <f>IFERROR(__xludf.DUMMYFUNCTION("""COMPUTED_VALUE"""),"O-52854-00")</f>
        <v>O-52854-00</v>
      </c>
      <c r="K231" s="3" t="str">
        <f>IFERROR(__xludf.DUMMYFUNCTION("""COMPUTED_VALUE"""),"Approve")</f>
        <v>Approve</v>
      </c>
      <c r="L231" s="3" t="str">
        <f>IFERROR(__xludf.DUMMYFUNCTION("""COMPUTED_VALUE"""),"Normal")</f>
        <v>Normal</v>
      </c>
      <c r="M231" s="3" t="str">
        <f>IFERROR(__xludf.DUMMYFUNCTION("""COMPUTED_VALUE"""),"Non Urgent")</f>
        <v>Non Urgent</v>
      </c>
    </row>
    <row r="232">
      <c r="A232" s="4">
        <f>IFERROR(__xludf.DUMMYFUNCTION("""COMPUTED_VALUE"""),45805.977569641196)</f>
        <v>45805.97757</v>
      </c>
      <c r="B232" s="3" t="str">
        <f>IFERROR(__xludf.DUMMYFUNCTION("""COMPUTED_VALUE"""),"RIARO0038")</f>
        <v>RIARO0038</v>
      </c>
      <c r="C232" s="3" t="str">
        <f>IFERROR(__xludf.DUMMYFUNCTION("""COMPUTED_VALUE"""),"MIn Stok")</f>
        <v>MIn Stok</v>
      </c>
      <c r="D232" s="3" t="str">
        <f>IFERROR(__xludf.DUMMYFUNCTION("""COMPUTED_VALUE"""),"-")</f>
        <v>-</v>
      </c>
      <c r="E232" s="3" t="str">
        <f>IFERROR(__xludf.DUMMYFUNCTION("""COMPUTED_VALUE"""),"WWTP")</f>
        <v>WWTP</v>
      </c>
      <c r="F232" s="3" t="str">
        <f>IFERROR(__xludf.DUMMYFUNCTION("""COMPUTED_VALUE"""),"General - Pelampung Air Radar Float Switch 2m; No Brand; -; 1 Pc")</f>
        <v>General - Pelampung Air Radar Float Switch 2m; No Brand; -; 1 Pc</v>
      </c>
      <c r="G232" s="3">
        <f>IFERROR(__xludf.DUMMYFUNCTION("""COMPUTED_VALUE"""),3.0)</f>
        <v>3</v>
      </c>
      <c r="H232" s="3" t="str">
        <f>IFERROR(__xludf.DUMMYFUNCTION("""COMPUTED_VALUE"""),"Pcs")</f>
        <v>Pcs</v>
      </c>
      <c r="I232" s="3" t="str">
        <f>IFERROR(__xludf.DUMMYFUNCTION("""COMPUTED_VALUE"""),"Untuk Alarm WWTP ")</f>
        <v>Untuk Alarm WWTP </v>
      </c>
      <c r="J232" s="3" t="str">
        <f>IFERROR(__xludf.DUMMYFUNCTION("""COMPUTED_VALUE"""),"P-52664-00")</f>
        <v>P-52664-00</v>
      </c>
      <c r="K232" s="3" t="str">
        <f>IFERROR(__xludf.DUMMYFUNCTION("""COMPUTED_VALUE"""),"Approve")</f>
        <v>Approve</v>
      </c>
      <c r="L232" s="3" t="str">
        <f>IFERROR(__xludf.DUMMYFUNCTION("""COMPUTED_VALUE"""),"Normal")</f>
        <v>Normal</v>
      </c>
      <c r="M232" s="3" t="str">
        <f>IFERROR(__xludf.DUMMYFUNCTION("""COMPUTED_VALUE"""),"Non Urgent")</f>
        <v>Non Urgent</v>
      </c>
    </row>
    <row r="233">
      <c r="A233" s="4">
        <f>IFERROR(__xludf.DUMMYFUNCTION("""COMPUTED_VALUE"""),45810.59131561343)</f>
        <v>45810.59132</v>
      </c>
      <c r="B233" s="3" t="str">
        <f>IFERROR(__xludf.DUMMYFUNCTION("""COMPUTED_VALUE"""),"ROSRO0007")</f>
        <v>ROSRO0007</v>
      </c>
      <c r="C233" s="3" t="str">
        <f>IFERROR(__xludf.DUMMYFUNCTION("""COMPUTED_VALUE"""),"Consumable")</f>
        <v>Consumable</v>
      </c>
      <c r="D233" s="3" t="str">
        <f>IFERROR(__xludf.DUMMYFUNCTION("""COMPUTED_VALUE"""),"-")</f>
        <v>-</v>
      </c>
      <c r="E233" s="3" t="str">
        <f>IFERROR(__xludf.DUMMYFUNCTION("""COMPUTED_VALUE"""),"Sensor DO mixning")</f>
        <v>Sensor DO mixning</v>
      </c>
      <c r="F233" s="3" t="str">
        <f>IFERROR(__xludf.DUMMYFUNCTION("""COMPUTED_VALUE"""),"General - Opto CapBT02T Operating Range 8 ppb - 60% O2 Sat P/N 30018857, Measured Pressure Resistance : 0-6 bar; Mettler Toledo; 30018857; 1 Pc")</f>
        <v>General - Opto CapBT02T Operating Range 8 ppb - 60% O2 Sat P/N 30018857, Measured Pressure Resistance : 0-6 bar; Mettler Toledo; 30018857; 1 Pc</v>
      </c>
      <c r="G233" s="3">
        <f>IFERROR(__xludf.DUMMYFUNCTION("""COMPUTED_VALUE"""),1.0)</f>
        <v>1</v>
      </c>
      <c r="H233" s="3" t="str">
        <f>IFERROR(__xludf.DUMMYFUNCTION("""COMPUTED_VALUE"""),"pcs")</f>
        <v>pcs</v>
      </c>
      <c r="I233" s="3" t="str">
        <f>IFERROR(__xludf.DUMMYFUNCTION("""COMPUTED_VALUE"""),"stok Sparepart")</f>
        <v>stok Sparepart</v>
      </c>
      <c r="J233" s="3" t="str">
        <f>IFERROR(__xludf.DUMMYFUNCTION("""COMPUTED_VALUE"""),"O-50827-00")</f>
        <v>O-50827-00</v>
      </c>
      <c r="K233" s="3" t="str">
        <f>IFERROR(__xludf.DUMMYFUNCTION("""COMPUTED_VALUE"""),"Approve")</f>
        <v>Approve</v>
      </c>
      <c r="L233" s="3" t="str">
        <f>IFERROR(__xludf.DUMMYFUNCTION("""COMPUTED_VALUE"""),"Normal")</f>
        <v>Normal</v>
      </c>
      <c r="M233" s="3" t="str">
        <f>IFERROR(__xludf.DUMMYFUNCTION("""COMPUTED_VALUE"""),"Non Urgent")</f>
        <v>Non Urgent</v>
      </c>
    </row>
    <row r="234">
      <c r="A234" s="4">
        <f>IFERROR(__xludf.DUMMYFUNCTION("""COMPUTED_VALUE"""),45810.6580507176)</f>
        <v>45810.65805</v>
      </c>
      <c r="B234" s="3" t="str">
        <f>IFERROR(__xludf.DUMMYFUNCTION("""COMPUTED_VALUE"""),"INNRO0006")</f>
        <v>INNRO0006</v>
      </c>
      <c r="C234" s="3" t="str">
        <f>IFERROR(__xludf.DUMMYFUNCTION("""COMPUTED_VALUE"""),"EJO")</f>
        <v>EJO</v>
      </c>
      <c r="D234" s="3" t="str">
        <f>IFERROR(__xludf.DUMMYFUNCTION("""COMPUTED_VALUE"""),"EJO/2025/06/29")</f>
        <v>EJO/2025/06/29</v>
      </c>
      <c r="E234" s="3" t="str">
        <f>IFERROR(__xludf.DUMMYFUNCTION("""COMPUTED_VALUE"""),"FD IMA")</f>
        <v>FD IMA</v>
      </c>
      <c r="F234" s="3" t="str">
        <f>IFERROR(__xludf.DUMMYFUNCTION("""COMPUTED_VALUE"""),"Shelf Bellows; Freeze Dryer MBE1207; P/N FB1207-05-70-0 R0.0; pack size per unit")</f>
        <v>Shelf Bellows; Freeze Dryer MBE1207; P/N FB1207-05-70-0 R0.0; pack size per unit</v>
      </c>
      <c r="G234" s="3">
        <f>IFERROR(__xludf.DUMMYFUNCTION("""COMPUTED_VALUE"""),1.0)</f>
        <v>1</v>
      </c>
      <c r="H234" s="3" t="str">
        <f>IFERROR(__xludf.DUMMYFUNCTION("""COMPUTED_VALUE"""),"Unit")</f>
        <v>Unit</v>
      </c>
      <c r="I234" s="3" t="str">
        <f>IFERROR(__xludf.DUMMYFUNCTION("""COMPUTED_VALUE"""),"Untuk Shelf Bellow")</f>
        <v>Untuk Shelf Bellow</v>
      </c>
      <c r="J234" s="3" t="str">
        <f>IFERROR(__xludf.DUMMYFUNCTION("""COMPUTED_VALUE"""),"O-54119-00")</f>
        <v>O-54119-00</v>
      </c>
      <c r="K234" s="3" t="str">
        <f>IFERROR(__xludf.DUMMYFUNCTION("""COMPUTED_VALUE"""),"Approve")</f>
        <v>Approve</v>
      </c>
      <c r="L234" s="3" t="str">
        <f>IFERROR(__xludf.DUMMYFUNCTION("""COMPUTED_VALUE"""),"Normal")</f>
        <v>Normal</v>
      </c>
      <c r="M234" s="3" t="str">
        <f>IFERROR(__xludf.DUMMYFUNCTION("""COMPUTED_VALUE"""),"Non Urgent")</f>
        <v>Non Urgent</v>
      </c>
    </row>
    <row r="235">
      <c r="A235" s="4">
        <f>IFERROR(__xludf.DUMMYFUNCTION("""COMPUTED_VALUE"""),45810.65986186342)</f>
        <v>45810.65986</v>
      </c>
      <c r="B235" s="3" t="str">
        <f>IFERROR(__xludf.DUMMYFUNCTION("""COMPUTED_VALUE"""),"INNRO0007")</f>
        <v>INNRO0007</v>
      </c>
      <c r="C235" s="3" t="str">
        <f>IFERROR(__xludf.DUMMYFUNCTION("""COMPUTED_VALUE"""),"EJO")</f>
        <v>EJO</v>
      </c>
      <c r="D235" s="3" t="str">
        <f>IFERROR(__xludf.DUMMYFUNCTION("""COMPUTED_VALUE"""),"EJO/2025/06/29")</f>
        <v>EJO/2025/06/29</v>
      </c>
      <c r="E235" s="3" t="str">
        <f>IFERROR(__xludf.DUMMYFUNCTION("""COMPUTED_VALUE"""),"FD IMA")</f>
        <v>FD IMA</v>
      </c>
      <c r="F235" s="3" t="str">
        <f>IFERROR(__xludf.DUMMYFUNCTION("""COMPUTED_VALUE"""),"Freeze Dryer MBE1207 - Complete O-ring/Gasket for shelves below; ; 345x5.3;132x5.3;106x5.3;8x1.8;180x3.55;")</f>
        <v>Freeze Dryer MBE1207 - Complete O-ring/Gasket for shelves below; ; 345x5.3;132x5.3;106x5.3;8x1.8;180x3.55;</v>
      </c>
      <c r="G235" s="3">
        <f>IFERROR(__xludf.DUMMYFUNCTION("""COMPUTED_VALUE"""),1.0)</f>
        <v>1</v>
      </c>
      <c r="H235" s="3" t="str">
        <f>IFERROR(__xludf.DUMMYFUNCTION("""COMPUTED_VALUE"""),"Set")</f>
        <v>Set</v>
      </c>
      <c r="I235" s="3" t="str">
        <f>IFERROR(__xludf.DUMMYFUNCTION("""COMPUTED_VALUE"""),"Untuk Shelf Bellow (REJECT BY MFH KARENA ITEM DI BREAKDOWN, TIDAK SET LAGI, DAN SUDAH PR BY MIN STOCK)")</f>
        <v>Untuk Shelf Bellow (REJECT BY MFH KARENA ITEM DI BREAKDOWN, TIDAK SET LAGI, DAN SUDAH PR BY MIN STOCK)</v>
      </c>
      <c r="J235" s="3" t="str">
        <f>IFERROR(__xludf.DUMMYFUNCTION("""COMPUTED_VALUE"""),"O-16149-00")</f>
        <v>O-16149-00</v>
      </c>
      <c r="K235" s="3" t="str">
        <f>IFERROR(__xludf.DUMMYFUNCTION("""COMPUTED_VALUE"""),"Reject")</f>
        <v>Reject</v>
      </c>
      <c r="L235" s="3" t="str">
        <f>IFERROR(__xludf.DUMMYFUNCTION("""COMPUTED_VALUE"""),"Normal")</f>
        <v>Normal</v>
      </c>
      <c r="M235" s="3" t="str">
        <f>IFERROR(__xludf.DUMMYFUNCTION("""COMPUTED_VALUE"""),"Non Urgent")</f>
        <v>Non Urgent</v>
      </c>
    </row>
    <row r="236">
      <c r="A236" s="4">
        <f>IFERROR(__xludf.DUMMYFUNCTION("""COMPUTED_VALUE"""),45812.63591305556)</f>
        <v>45812.63591</v>
      </c>
      <c r="B236" s="3" t="str">
        <f>IFERROR(__xludf.DUMMYFUNCTION("""COMPUTED_VALUE"""),"SFHRO0008")</f>
        <v>SFHRO0008</v>
      </c>
      <c r="C236" s="3" t="str">
        <f>IFERROR(__xludf.DUMMYFUNCTION("""COMPUTED_VALUE"""),"Consumable")</f>
        <v>Consumable</v>
      </c>
      <c r="D236" s="3" t="str">
        <f>IFERROR(__xludf.DUMMYFUNCTION("""COMPUTED_VALUE"""),"-")</f>
        <v>-</v>
      </c>
      <c r="E236" s="3" t="str">
        <f>IFERROR(__xludf.DUMMYFUNCTION("""COMPUTED_VALUE"""),"lantai 2")</f>
        <v>lantai 2</v>
      </c>
      <c r="F236" s="3" t="str">
        <f>IFERROR(__xludf.DUMMYFUNCTION("""COMPUTED_VALUE"""),"Lem PVC Isarplas 300 gr/kaleng")</f>
        <v>Lem PVC Isarplas 300 gr/kaleng</v>
      </c>
      <c r="G236" s="3">
        <f>IFERROR(__xludf.DUMMYFUNCTION("""COMPUTED_VALUE"""),3.0)</f>
        <v>3</v>
      </c>
      <c r="H236" s="3" t="str">
        <f>IFERROR(__xludf.DUMMYFUNCTION("""COMPUTED_VALUE"""),"kaleng")</f>
        <v>kaleng</v>
      </c>
      <c r="I236" s="3" t="str">
        <f>IFERROR(__xludf.DUMMYFUNCTION("""COMPUTED_VALUE"""),"-")</f>
        <v>-</v>
      </c>
      <c r="J236" s="3" t="str">
        <f>IFERROR(__xludf.DUMMYFUNCTION("""COMPUTED_VALUE"""),"P-12470-00")</f>
        <v>P-12470-00</v>
      </c>
      <c r="K236" s="3" t="str">
        <f>IFERROR(__xludf.DUMMYFUNCTION("""COMPUTED_VALUE"""),"Approve")</f>
        <v>Approve</v>
      </c>
      <c r="L236" s="3" t="str">
        <f>IFERROR(__xludf.DUMMYFUNCTION("""COMPUTED_VALUE"""),"Normal")</f>
        <v>Normal</v>
      </c>
      <c r="M236" s="3" t="str">
        <f>IFERROR(__xludf.DUMMYFUNCTION("""COMPUTED_VALUE"""),"Non Urgent")</f>
        <v>Non Urgent</v>
      </c>
    </row>
    <row r="237">
      <c r="A237" s="4">
        <f>IFERROR(__xludf.DUMMYFUNCTION("""COMPUTED_VALUE"""),45812.637380775464)</f>
        <v>45812.63738</v>
      </c>
      <c r="B237" s="3" t="str">
        <f>IFERROR(__xludf.DUMMYFUNCTION("""COMPUTED_VALUE"""),"SFHRO0009")</f>
        <v>SFHRO0009</v>
      </c>
      <c r="C237" s="3" t="str">
        <f>IFERROR(__xludf.DUMMYFUNCTION("""COMPUTED_VALUE"""),"Consumable")</f>
        <v>Consumable</v>
      </c>
      <c r="D237" s="3" t="str">
        <f>IFERROR(__xludf.DUMMYFUNCTION("""COMPUTED_VALUE"""),"-")</f>
        <v>-</v>
      </c>
      <c r="E237" s="3" t="str">
        <f>IFERROR(__xludf.DUMMYFUNCTION("""COMPUTED_VALUE"""),"lantai 2")</f>
        <v>lantai 2</v>
      </c>
      <c r="F237" s="3" t="str">
        <f>IFERROR(__xludf.DUMMYFUNCTION("""COMPUTED_VALUE"""),"General - Ampelas P500; EAGLE; -; 1 pcs")</f>
        <v>General - Ampelas P500; EAGLE; -; 1 pcs</v>
      </c>
      <c r="G237" s="3">
        <f>IFERROR(__xludf.DUMMYFUNCTION("""COMPUTED_VALUE"""),20.0)</f>
        <v>20</v>
      </c>
      <c r="H237" s="3" t="str">
        <f>IFERROR(__xludf.DUMMYFUNCTION("""COMPUTED_VALUE"""),"lembar")</f>
        <v>lembar</v>
      </c>
      <c r="I237" s="3" t="str">
        <f>IFERROR(__xludf.DUMMYFUNCTION("""COMPUTED_VALUE"""),"-")</f>
        <v>-</v>
      </c>
      <c r="J237" s="3" t="str">
        <f>IFERROR(__xludf.DUMMYFUNCTION("""COMPUTED_VALUE"""),"P-15852-00")</f>
        <v>P-15852-00</v>
      </c>
      <c r="K237" s="3" t="str">
        <f>IFERROR(__xludf.DUMMYFUNCTION("""COMPUTED_VALUE"""),"Approve")</f>
        <v>Approve</v>
      </c>
      <c r="L237" s="3" t="str">
        <f>IFERROR(__xludf.DUMMYFUNCTION("""COMPUTED_VALUE"""),"Normal")</f>
        <v>Normal</v>
      </c>
      <c r="M237" s="3" t="str">
        <f>IFERROR(__xludf.DUMMYFUNCTION("""COMPUTED_VALUE"""),"Non Urgent")</f>
        <v>Non Urgent</v>
      </c>
    </row>
    <row r="238">
      <c r="A238" s="4">
        <f>IFERROR(__xludf.DUMMYFUNCTION("""COMPUTED_VALUE"""),45812.659267581024)</f>
        <v>45812.65927</v>
      </c>
      <c r="B238" s="3" t="str">
        <f>IFERROR(__xludf.DUMMYFUNCTION("""COMPUTED_VALUE"""),"MOBRO0045")</f>
        <v>MOBRO0045</v>
      </c>
      <c r="C238" s="3" t="str">
        <f>IFERROR(__xludf.DUMMYFUNCTION("""COMPUTED_VALUE"""),"MIn Stok")</f>
        <v>MIn Stok</v>
      </c>
      <c r="D238" s="3" t="str">
        <f>IFERROR(__xludf.DUMMYFUNCTION("""COMPUTED_VALUE"""),"-")</f>
        <v>-</v>
      </c>
      <c r="E238" s="3" t="str">
        <f>IFERROR(__xludf.DUMMYFUNCTION("""COMPUTED_VALUE"""),"Pneumatic Fitting")</f>
        <v>Pneumatic Fitting</v>
      </c>
      <c r="F238" s="3" t="str">
        <f>IFERROR(__xludf.DUMMYFUNCTION("""COMPUTED_VALUE"""),"General - Push-in Connector, QS-8-6; Festo; 153038; 1 pcs")</f>
        <v>General - Push-in Connector, QS-8-6; Festo; 153038; 1 pcs</v>
      </c>
      <c r="G238" s="3">
        <f>IFERROR(__xludf.DUMMYFUNCTION("""COMPUTED_VALUE"""),10.0)</f>
        <v>10</v>
      </c>
      <c r="H238" s="3" t="str">
        <f>IFERROR(__xludf.DUMMYFUNCTION("""COMPUTED_VALUE"""),"Pcs")</f>
        <v>Pcs</v>
      </c>
      <c r="I238" s="3" t="str">
        <f>IFERROR(__xludf.DUMMYFUNCTION("""COMPUTED_VALUE"""),"Sering Terpakai")</f>
        <v>Sering Terpakai</v>
      </c>
      <c r="J238" s="3" t="str">
        <f>IFERROR(__xludf.DUMMYFUNCTION("""COMPUTED_VALUE"""),"P-11185-00")</f>
        <v>P-11185-00</v>
      </c>
      <c r="K238" s="3" t="str">
        <f>IFERROR(__xludf.DUMMYFUNCTION("""COMPUTED_VALUE"""),"Approve")</f>
        <v>Approve</v>
      </c>
      <c r="L238" s="3" t="str">
        <f>IFERROR(__xludf.DUMMYFUNCTION("""COMPUTED_VALUE"""),"Normal")</f>
        <v>Normal</v>
      </c>
      <c r="M238" s="3" t="str">
        <f>IFERROR(__xludf.DUMMYFUNCTION("""COMPUTED_VALUE"""),"Non Urgent")</f>
        <v>Non Urgent</v>
      </c>
    </row>
    <row r="239">
      <c r="A239" s="4">
        <f>IFERROR(__xludf.DUMMYFUNCTION("""COMPUTED_VALUE"""),45812.66128638889)</f>
        <v>45812.66129</v>
      </c>
      <c r="B239" s="3" t="str">
        <f>IFERROR(__xludf.DUMMYFUNCTION("""COMPUTED_VALUE"""),"MOBRO0046")</f>
        <v>MOBRO0046</v>
      </c>
      <c r="C239" s="3" t="str">
        <f>IFERROR(__xludf.DUMMYFUNCTION("""COMPUTED_VALUE"""),"MIn Stok")</f>
        <v>MIn Stok</v>
      </c>
      <c r="D239" s="3" t="str">
        <f>IFERROR(__xludf.DUMMYFUNCTION("""COMPUTED_VALUE"""),"-")</f>
        <v>-</v>
      </c>
      <c r="E239" s="3" t="str">
        <f>IFERROR(__xludf.DUMMYFUNCTION("""COMPUTED_VALUE"""),"Pneumatic Fitting")</f>
        <v>Pneumatic Fitting</v>
      </c>
      <c r="F239" s="3" t="str">
        <f>IFERROR(__xludf.DUMMYFUNCTION("""COMPUTED_VALUE"""),"Pneumatic  Fitting - QS 10-8 / PN : 153039 / Festo")</f>
        <v>Pneumatic  Fitting - QS 10-8 / PN : 153039 / Festo</v>
      </c>
      <c r="G239" s="3">
        <f>IFERROR(__xludf.DUMMYFUNCTION("""COMPUTED_VALUE"""),10.0)</f>
        <v>10</v>
      </c>
      <c r="H239" s="3" t="str">
        <f>IFERROR(__xludf.DUMMYFUNCTION("""COMPUTED_VALUE"""),"Pcs")</f>
        <v>Pcs</v>
      </c>
      <c r="I239" s="3" t="str">
        <f>IFERROR(__xludf.DUMMYFUNCTION("""COMPUTED_VALUE"""),"Sering Terpakai")</f>
        <v>Sering Terpakai</v>
      </c>
      <c r="J239" s="3" t="str">
        <f>IFERROR(__xludf.DUMMYFUNCTION("""COMPUTED_VALUE"""),"P-11175-00")</f>
        <v>P-11175-00</v>
      </c>
      <c r="K239" s="3" t="str">
        <f>IFERROR(__xludf.DUMMYFUNCTION("""COMPUTED_VALUE"""),"Approve")</f>
        <v>Approve</v>
      </c>
      <c r="L239" s="3" t="str">
        <f>IFERROR(__xludf.DUMMYFUNCTION("""COMPUTED_VALUE"""),"Normal")</f>
        <v>Normal</v>
      </c>
      <c r="M239" s="3" t="str">
        <f>IFERROR(__xludf.DUMMYFUNCTION("""COMPUTED_VALUE"""),"Non Urgent")</f>
        <v>Non Urgent</v>
      </c>
    </row>
    <row r="240">
      <c r="A240" s="4">
        <f>IFERROR(__xludf.DUMMYFUNCTION("""COMPUTED_VALUE"""),45812.66136907408)</f>
        <v>45812.66137</v>
      </c>
      <c r="B240" s="3" t="str">
        <f>IFERROR(__xludf.DUMMYFUNCTION("""COMPUTED_VALUE"""),"MOBRO0047")</f>
        <v>MOBRO0047</v>
      </c>
      <c r="C240" s="3" t="str">
        <f>IFERROR(__xludf.DUMMYFUNCTION("""COMPUTED_VALUE"""),"MIn Stok")</f>
        <v>MIn Stok</v>
      </c>
      <c r="D240" s="3" t="str">
        <f>IFERROR(__xludf.DUMMYFUNCTION("""COMPUTED_VALUE"""),"-")</f>
        <v>-</v>
      </c>
      <c r="E240" s="3" t="str">
        <f>IFERROR(__xludf.DUMMYFUNCTION("""COMPUTED_VALUE"""),"Pneumatic Fitting")</f>
        <v>Pneumatic Fitting</v>
      </c>
      <c r="F240" s="3" t="str">
        <f>IFERROR(__xludf.DUMMYFUNCTION("""COMPUTED_VALUE"""),"FESTO - QS-12-10 Push in Connector p/n: 153040")</f>
        <v>FESTO - QS-12-10 Push in Connector p/n: 153040</v>
      </c>
      <c r="G240" s="3">
        <f>IFERROR(__xludf.DUMMYFUNCTION("""COMPUTED_VALUE"""),6.0)</f>
        <v>6</v>
      </c>
      <c r="H240" s="3" t="str">
        <f>IFERROR(__xludf.DUMMYFUNCTION("""COMPUTED_VALUE"""),"Pcs")</f>
        <v>Pcs</v>
      </c>
      <c r="I240" s="3" t="str">
        <f>IFERROR(__xludf.DUMMYFUNCTION("""COMPUTED_VALUE"""),"Sering Terpakai")</f>
        <v>Sering Terpakai</v>
      </c>
      <c r="J240" s="3" t="str">
        <f>IFERROR(__xludf.DUMMYFUNCTION("""COMPUTED_VALUE"""),"P-12282-00")</f>
        <v>P-12282-00</v>
      </c>
      <c r="K240" s="3" t="str">
        <f>IFERROR(__xludf.DUMMYFUNCTION("""COMPUTED_VALUE"""),"Approve")</f>
        <v>Approve</v>
      </c>
      <c r="L240" s="3" t="str">
        <f>IFERROR(__xludf.DUMMYFUNCTION("""COMPUTED_VALUE"""),"Normal")</f>
        <v>Normal</v>
      </c>
      <c r="M240" s="3" t="str">
        <f>IFERROR(__xludf.DUMMYFUNCTION("""COMPUTED_VALUE"""),"Non Urgent")</f>
        <v>Non Urgent</v>
      </c>
    </row>
    <row r="241">
      <c r="A241" s="4">
        <f>IFERROR(__xludf.DUMMYFUNCTION("""COMPUTED_VALUE"""),45812.66628575231)</f>
        <v>45812.66629</v>
      </c>
      <c r="B241" s="3" t="str">
        <f>IFERROR(__xludf.DUMMYFUNCTION("""COMPUTED_VALUE"""),"MOBRO0048")</f>
        <v>MOBRO0048</v>
      </c>
      <c r="C241" s="3" t="str">
        <f>IFERROR(__xludf.DUMMYFUNCTION("""COMPUTED_VALUE"""),"MIn Stok")</f>
        <v>MIn Stok</v>
      </c>
      <c r="D241" s="3" t="str">
        <f>IFERROR(__xludf.DUMMYFUNCTION("""COMPUTED_VALUE"""),"-")</f>
        <v>-</v>
      </c>
      <c r="E241" s="3" t="str">
        <f>IFERROR(__xludf.DUMMYFUNCTION("""COMPUTED_VALUE"""),"Fitting PVC")</f>
        <v>Fitting PVC</v>
      </c>
      <c r="F241" s="3" t="str">
        <f>IFERROR(__xludf.DUMMYFUNCTION("""COMPUTED_VALUE"""),"General - Reducer, PVC, 1"" x 1/2""; Rucika; -; 1 pcs")</f>
        <v>General - Reducer, PVC, 1" x 1/2"; Rucika; -; 1 pcs</v>
      </c>
      <c r="G241" s="3">
        <f>IFERROR(__xludf.DUMMYFUNCTION("""COMPUTED_VALUE"""),6.0)</f>
        <v>6</v>
      </c>
      <c r="H241" s="3" t="str">
        <f>IFERROR(__xludf.DUMMYFUNCTION("""COMPUTED_VALUE"""),"Pcs")</f>
        <v>Pcs</v>
      </c>
      <c r="I241" s="3" t="str">
        <f>IFERROR(__xludf.DUMMYFUNCTION("""COMPUTED_VALUE"""),"Sering Terpakai")</f>
        <v>Sering Terpakai</v>
      </c>
      <c r="J241" s="3" t="str">
        <f>IFERROR(__xludf.DUMMYFUNCTION("""COMPUTED_VALUE"""),"P-10874-00")</f>
        <v>P-10874-00</v>
      </c>
      <c r="K241" s="3" t="str">
        <f>IFERROR(__xludf.DUMMYFUNCTION("""COMPUTED_VALUE"""),"Approve")</f>
        <v>Approve</v>
      </c>
      <c r="L241" s="3" t="str">
        <f>IFERROR(__xludf.DUMMYFUNCTION("""COMPUTED_VALUE"""),"Normal")</f>
        <v>Normal</v>
      </c>
      <c r="M241" s="3" t="str">
        <f>IFERROR(__xludf.DUMMYFUNCTION("""COMPUTED_VALUE"""),"Non Urgent")</f>
        <v>Non Urgent</v>
      </c>
    </row>
    <row r="242">
      <c r="A242" s="4">
        <f>IFERROR(__xludf.DUMMYFUNCTION("""COMPUTED_VALUE"""),45812.667465590275)</f>
        <v>45812.66747</v>
      </c>
      <c r="B242" s="3" t="str">
        <f>IFERROR(__xludf.DUMMYFUNCTION("""COMPUTED_VALUE"""),"MOBRO0049")</f>
        <v>MOBRO0049</v>
      </c>
      <c r="C242" s="3" t="str">
        <f>IFERROR(__xludf.DUMMYFUNCTION("""COMPUTED_VALUE"""),"MIn Stok")</f>
        <v>MIn Stok</v>
      </c>
      <c r="D242" s="3" t="str">
        <f>IFERROR(__xludf.DUMMYFUNCTION("""COMPUTED_VALUE"""),"-")</f>
        <v>-</v>
      </c>
      <c r="E242" s="3" t="str">
        <f>IFERROR(__xludf.DUMMYFUNCTION("""COMPUTED_VALUE"""),"Fitting PVC")</f>
        <v>Fitting PVC</v>
      </c>
      <c r="F242" s="3" t="str">
        <f>IFERROR(__xludf.DUMMYFUNCTION("""COMPUTED_VALUE"""),"RUCIKA - Pipa PVC aw dia 1/2 inch Warna Abu-Abu")</f>
        <v>RUCIKA - Pipa PVC aw dia 1/2 inch Warna Abu-Abu</v>
      </c>
      <c r="G242" s="3">
        <f>IFERROR(__xludf.DUMMYFUNCTION("""COMPUTED_VALUE"""),6.0)</f>
        <v>6</v>
      </c>
      <c r="H242" s="3" t="str">
        <f>IFERROR(__xludf.DUMMYFUNCTION("""COMPUTED_VALUE"""),"Pcs")</f>
        <v>Pcs</v>
      </c>
      <c r="I242" s="3" t="str">
        <f>IFERROR(__xludf.DUMMYFUNCTION("""COMPUTED_VALUE"""),"Sudah Terpakai")</f>
        <v>Sudah Terpakai</v>
      </c>
      <c r="J242" s="3" t="str">
        <f>IFERROR(__xludf.DUMMYFUNCTION("""COMPUTED_VALUE"""),"P-12750-00")</f>
        <v>P-12750-00</v>
      </c>
      <c r="K242" s="3" t="str">
        <f>IFERROR(__xludf.DUMMYFUNCTION("""COMPUTED_VALUE"""),"Approve")</f>
        <v>Approve</v>
      </c>
      <c r="L242" s="3" t="str">
        <f>IFERROR(__xludf.DUMMYFUNCTION("""COMPUTED_VALUE"""),"Normal")</f>
        <v>Normal</v>
      </c>
      <c r="M242" s="3" t="str">
        <f>IFERROR(__xludf.DUMMYFUNCTION("""COMPUTED_VALUE"""),"Non Urgent")</f>
        <v>Non Urgent</v>
      </c>
    </row>
    <row r="243">
      <c r="A243" s="4">
        <f>IFERROR(__xludf.DUMMYFUNCTION("""COMPUTED_VALUE"""),45817.69481939815)</f>
        <v>45817.69482</v>
      </c>
      <c r="B243" s="3" t="str">
        <f>IFERROR(__xludf.DUMMYFUNCTION("""COMPUTED_VALUE"""),"MOBRO0050")</f>
        <v>MOBRO0050</v>
      </c>
      <c r="C243" s="3" t="str">
        <f>IFERROR(__xludf.DUMMYFUNCTION("""COMPUTED_VALUE"""),"EJO")</f>
        <v>EJO</v>
      </c>
      <c r="D243" s="3" t="str">
        <f>IFERROR(__xludf.DUMMYFUNCTION("""COMPUTED_VALUE"""),"-")</f>
        <v>-</v>
      </c>
      <c r="E243" s="3" t="str">
        <f>IFERROR(__xludf.DUMMYFUNCTION("""COMPUTED_VALUE"""),"PSG")</f>
        <v>PSG</v>
      </c>
      <c r="F243" s="3" t="str">
        <f>IFERROR(__xludf.DUMMYFUNCTION("""COMPUTED_VALUE"""),"PRESSURE SWITCH DANFOSS, DANFOSS, KP35")</f>
        <v>PRESSURE SWITCH DANFOSS, DANFOSS, KP35</v>
      </c>
      <c r="G243" s="3">
        <f>IFERROR(__xludf.DUMMYFUNCTION("""COMPUTED_VALUE"""),2.0)</f>
        <v>2</v>
      </c>
      <c r="H243" s="3" t="str">
        <f>IFERROR(__xludf.DUMMYFUNCTION("""COMPUTED_VALUE"""),"Pcs")</f>
        <v>Pcs</v>
      </c>
      <c r="I243" s="3" t="str">
        <f>IFERROR(__xludf.DUMMYFUNCTION("""COMPUTED_VALUE"""),"EJO")</f>
        <v>EJO</v>
      </c>
      <c r="J243" s="3" t="str">
        <f>IFERROR(__xludf.DUMMYFUNCTION("""COMPUTED_VALUE"""),"P-15863-00")</f>
        <v>P-15863-00</v>
      </c>
      <c r="K243" s="3" t="str">
        <f>IFERROR(__xludf.DUMMYFUNCTION("""COMPUTED_VALUE"""),"Approve")</f>
        <v>Approve</v>
      </c>
      <c r="L243" s="3" t="str">
        <f>IFERROR(__xludf.DUMMYFUNCTION("""COMPUTED_VALUE"""),"Normal")</f>
        <v>Normal</v>
      </c>
      <c r="M243" s="3" t="str">
        <f>IFERROR(__xludf.DUMMYFUNCTION("""COMPUTED_VALUE"""),"Non Urgent")</f>
        <v>Non Urgent</v>
      </c>
    </row>
    <row r="244">
      <c r="A244" s="4">
        <f>IFERROR(__xludf.DUMMYFUNCTION("""COMPUTED_VALUE"""),45819.63492790509)</f>
        <v>45819.63493</v>
      </c>
      <c r="B244" s="3" t="str">
        <f>IFERROR(__xludf.DUMMYFUNCTION("""COMPUTED_VALUE"""),"ROSRO0008")</f>
        <v>ROSRO0008</v>
      </c>
      <c r="C244" s="3" t="str">
        <f>IFERROR(__xludf.DUMMYFUNCTION("""COMPUTED_VALUE"""),"Consumable")</f>
        <v>Consumable</v>
      </c>
      <c r="D244" s="3" t="str">
        <f>IFERROR(__xludf.DUMMYFUNCTION("""COMPUTED_VALUE"""),"-")</f>
        <v>-</v>
      </c>
      <c r="E244" s="3" t="str">
        <f>IFERROR(__xludf.DUMMYFUNCTION("""COMPUTED_VALUE"""),"Las Asetilin ")</f>
        <v>Las Asetilin </v>
      </c>
      <c r="F244" s="3" t="str">
        <f>IFERROR(__xludf.DUMMYFUNCTION("""COMPUTED_VALUE"""),"General - Kawat Las Tembaga Dia  = 3,2  X 450 mm; Harris; -; 1 Pc")</f>
        <v>General - Kawat Las Tembaga Dia  = 3,2  X 450 mm; Harris; -; 1 Pc</v>
      </c>
      <c r="G244" s="3">
        <f>IFERROR(__xludf.DUMMYFUNCTION("""COMPUTED_VALUE"""),50.0)</f>
        <v>50</v>
      </c>
      <c r="H244" s="3" t="str">
        <f>IFERROR(__xludf.DUMMYFUNCTION("""COMPUTED_VALUE"""),"pcs")</f>
        <v>pcs</v>
      </c>
      <c r="I244" s="3" t="str">
        <f>IFERROR(__xludf.DUMMYFUNCTION("""COMPUTED_VALUE"""),"stok sparepart ")</f>
        <v>stok sparepart </v>
      </c>
      <c r="J244" s="3" t="str">
        <f>IFERROR(__xludf.DUMMYFUNCTION("""COMPUTED_VALUE"""),"P-10958-00")</f>
        <v>P-10958-00</v>
      </c>
      <c r="K244" s="3" t="str">
        <f>IFERROR(__xludf.DUMMYFUNCTION("""COMPUTED_VALUE"""),"Approve")</f>
        <v>Approve</v>
      </c>
      <c r="L244" s="3" t="str">
        <f>IFERROR(__xludf.DUMMYFUNCTION("""COMPUTED_VALUE"""),"Normal")</f>
        <v>Normal</v>
      </c>
      <c r="M244" s="3" t="str">
        <f>IFERROR(__xludf.DUMMYFUNCTION("""COMPUTED_VALUE"""),"Non Urgent")</f>
        <v>Non Urgent</v>
      </c>
    </row>
    <row r="245">
      <c r="A245" s="4">
        <f>IFERROR(__xludf.DUMMYFUNCTION("""COMPUTED_VALUE"""),45824.678208240744)</f>
        <v>45824.67821</v>
      </c>
      <c r="B245" s="3" t="str">
        <f>IFERROR(__xludf.DUMMYFUNCTION("""COMPUTED_VALUE"""),"MOBRO0051")</f>
        <v>MOBRO0051</v>
      </c>
      <c r="C245" s="3" t="str">
        <f>IFERROR(__xludf.DUMMYFUNCTION("""COMPUTED_VALUE"""),"MIn Stok")</f>
        <v>MIn Stok</v>
      </c>
      <c r="D245" s="3" t="str">
        <f>IFERROR(__xludf.DUMMYFUNCTION("""COMPUTED_VALUE"""),"-")</f>
        <v>-</v>
      </c>
      <c r="E245" s="3" t="str">
        <f>IFERROR(__xludf.DUMMYFUNCTION("""COMPUTED_VALUE"""),"Plumbing")</f>
        <v>Plumbing</v>
      </c>
      <c r="F245" s="3" t="str">
        <f>IFERROR(__xludf.DUMMYFUNCTION("""COMPUTED_VALUE"""),"Fitting PVC - Elbow PVC 1""")</f>
        <v>Fitting PVC - Elbow PVC 1"</v>
      </c>
      <c r="G245" s="3">
        <f>IFERROR(__xludf.DUMMYFUNCTION("""COMPUTED_VALUE"""),17.0)</f>
        <v>17</v>
      </c>
      <c r="H245" s="3" t="str">
        <f>IFERROR(__xludf.DUMMYFUNCTION("""COMPUTED_VALUE"""),"Pcs")</f>
        <v>Pcs</v>
      </c>
      <c r="I245" s="3" t="str">
        <f>IFERROR(__xludf.DUMMYFUNCTION("""COMPUTED_VALUE"""),"Stok habis buat Scaling HE Mixing")</f>
        <v>Stok habis buat Scaling HE Mixing</v>
      </c>
      <c r="J245" s="3" t="str">
        <f>IFERROR(__xludf.DUMMYFUNCTION("""COMPUTED_VALUE"""),"P-10860-00")</f>
        <v>P-10860-00</v>
      </c>
      <c r="K245" s="3" t="str">
        <f>IFERROR(__xludf.DUMMYFUNCTION("""COMPUTED_VALUE"""),"Approve")</f>
        <v>Approve</v>
      </c>
      <c r="L245" s="3" t="str">
        <f>IFERROR(__xludf.DUMMYFUNCTION("""COMPUTED_VALUE"""),"Normal")</f>
        <v>Normal</v>
      </c>
      <c r="M245" s="3" t="str">
        <f>IFERROR(__xludf.DUMMYFUNCTION("""COMPUTED_VALUE"""),"Non Urgent")</f>
        <v>Non Urgent</v>
      </c>
    </row>
    <row r="246">
      <c r="A246" s="4">
        <f>IFERROR(__xludf.DUMMYFUNCTION("""COMPUTED_VALUE"""),45824.679419583335)</f>
        <v>45824.67942</v>
      </c>
      <c r="B246" s="3" t="str">
        <f>IFERROR(__xludf.DUMMYFUNCTION("""COMPUTED_VALUE"""),"MOBRO0052")</f>
        <v>MOBRO0052</v>
      </c>
      <c r="C246" s="3" t="str">
        <f>IFERROR(__xludf.DUMMYFUNCTION("""COMPUTED_VALUE"""),"MIn Stok")</f>
        <v>MIn Stok</v>
      </c>
      <c r="D246" s="3" t="str">
        <f>IFERROR(__xludf.DUMMYFUNCTION("""COMPUTED_VALUE"""),"-")</f>
        <v>-</v>
      </c>
      <c r="E246" s="3" t="str">
        <f>IFERROR(__xludf.DUMMYFUNCTION("""COMPUTED_VALUE"""),"Plumbing")</f>
        <v>Plumbing</v>
      </c>
      <c r="F246" s="3" t="str">
        <f>IFERROR(__xludf.DUMMYFUNCTION("""COMPUTED_VALUE"""),"Water Mur PVC dia 1inch")</f>
        <v>Water Mur PVC dia 1inch</v>
      </c>
      <c r="G246" s="3">
        <f>IFERROR(__xludf.DUMMYFUNCTION("""COMPUTED_VALUE"""),6.0)</f>
        <v>6</v>
      </c>
      <c r="H246" s="3" t="str">
        <f>IFERROR(__xludf.DUMMYFUNCTION("""COMPUTED_VALUE"""),"Pcs")</f>
        <v>Pcs</v>
      </c>
      <c r="I246" s="3" t="str">
        <f>IFERROR(__xludf.DUMMYFUNCTION("""COMPUTED_VALUE"""),"Stok habis buat Scaling HE Mixing")</f>
        <v>Stok habis buat Scaling HE Mixing</v>
      </c>
      <c r="J246" s="3" t="str">
        <f>IFERROR(__xludf.DUMMYFUNCTION("""COMPUTED_VALUE"""),"P-12942-00")</f>
        <v>P-12942-00</v>
      </c>
      <c r="K246" s="3" t="str">
        <f>IFERROR(__xludf.DUMMYFUNCTION("""COMPUTED_VALUE"""),"Approve")</f>
        <v>Approve</v>
      </c>
      <c r="L246" s="3" t="str">
        <f>IFERROR(__xludf.DUMMYFUNCTION("""COMPUTED_VALUE"""),"Normal")</f>
        <v>Normal</v>
      </c>
      <c r="M246" s="3" t="str">
        <f>IFERROR(__xludf.DUMMYFUNCTION("""COMPUTED_VALUE"""),"Non Urgent")</f>
        <v>Non Urgent</v>
      </c>
    </row>
    <row r="247">
      <c r="A247" s="4">
        <f>IFERROR(__xludf.DUMMYFUNCTION("""COMPUTED_VALUE"""),45824.67994685185)</f>
        <v>45824.67995</v>
      </c>
      <c r="B247" s="3" t="str">
        <f>IFERROR(__xludf.DUMMYFUNCTION("""COMPUTED_VALUE"""),"MOBRO0053")</f>
        <v>MOBRO0053</v>
      </c>
      <c r="C247" s="3" t="str">
        <f>IFERROR(__xludf.DUMMYFUNCTION("""COMPUTED_VALUE"""),"MIn Stok")</f>
        <v>MIn Stok</v>
      </c>
      <c r="D247" s="3" t="str">
        <f>IFERROR(__xludf.DUMMYFUNCTION("""COMPUTED_VALUE"""),"-")</f>
        <v>-</v>
      </c>
      <c r="E247" s="3" t="str">
        <f>IFERROR(__xludf.DUMMYFUNCTION("""COMPUTED_VALUE"""),"Plumbing")</f>
        <v>Plumbing</v>
      </c>
      <c r="F247" s="3" t="str">
        <f>IFERROR(__xludf.DUMMYFUNCTION("""COMPUTED_VALUE"""),"RUCIKA - Pipa PVC AW dia 1 inch Warna Abu-Abu")</f>
        <v>RUCIKA - Pipa PVC AW dia 1 inch Warna Abu-Abu</v>
      </c>
      <c r="G247" s="3">
        <f>IFERROR(__xludf.DUMMYFUNCTION("""COMPUTED_VALUE"""),6.0)</f>
        <v>6</v>
      </c>
      <c r="H247" s="3" t="str">
        <f>IFERROR(__xludf.DUMMYFUNCTION("""COMPUTED_VALUE"""),"Pcs")</f>
        <v>Pcs</v>
      </c>
      <c r="I247" s="3" t="str">
        <f>IFERROR(__xludf.DUMMYFUNCTION("""COMPUTED_VALUE"""),"Stok habis buat Scaling HE Mixing")</f>
        <v>Stok habis buat Scaling HE Mixing</v>
      </c>
      <c r="J247" s="3" t="str">
        <f>IFERROR(__xludf.DUMMYFUNCTION("""COMPUTED_VALUE"""),"P-12749-00")</f>
        <v>P-12749-00</v>
      </c>
      <c r="K247" s="3" t="str">
        <f>IFERROR(__xludf.DUMMYFUNCTION("""COMPUTED_VALUE"""),"Approve")</f>
        <v>Approve</v>
      </c>
      <c r="L247" s="3" t="str">
        <f>IFERROR(__xludf.DUMMYFUNCTION("""COMPUTED_VALUE"""),"Normal")</f>
        <v>Normal</v>
      </c>
      <c r="M247" s="3" t="str">
        <f>IFERROR(__xludf.DUMMYFUNCTION("""COMPUTED_VALUE"""),"Non Urgent")</f>
        <v>Non Urgent</v>
      </c>
    </row>
    <row r="248">
      <c r="A248" s="4">
        <f>IFERROR(__xludf.DUMMYFUNCTION("""COMPUTED_VALUE"""),45824.68404150463)</f>
        <v>45824.68404</v>
      </c>
      <c r="B248" s="3" t="str">
        <f>IFERROR(__xludf.DUMMYFUNCTION("""COMPUTED_VALUE"""),"MOBRO0054")</f>
        <v>MOBRO0054</v>
      </c>
      <c r="C248" s="3" t="str">
        <f>IFERROR(__xludf.DUMMYFUNCTION("""COMPUTED_VALUE"""),"MIn Stok")</f>
        <v>MIn Stok</v>
      </c>
      <c r="D248" s="3" t="str">
        <f>IFERROR(__xludf.DUMMYFUNCTION("""COMPUTED_VALUE"""),"-")</f>
        <v>-</v>
      </c>
      <c r="E248" s="3" t="str">
        <f>IFERROR(__xludf.DUMMYFUNCTION("""COMPUTED_VALUE"""),"Support Part")</f>
        <v>Support Part</v>
      </c>
      <c r="F248" s="3" t="str">
        <f>IFERROR(__xludf.DUMMYFUNCTION("""COMPUTED_VALUE"""),"Container Box; Claris; ;")</f>
        <v>Container Box; Claris; ;</v>
      </c>
      <c r="G248" s="3">
        <f>IFERROR(__xludf.DUMMYFUNCTION("""COMPUTED_VALUE"""),2.0)</f>
        <v>2</v>
      </c>
      <c r="H248" s="3" t="str">
        <f>IFERROR(__xludf.DUMMYFUNCTION("""COMPUTED_VALUE"""),"Pcs")</f>
        <v>Pcs</v>
      </c>
      <c r="I248" s="3" t="str">
        <f>IFERROR(__xludf.DUMMYFUNCTION("""COMPUTED_VALUE"""),"Buat Scaling HE Mixing")</f>
        <v>Buat Scaling HE Mixing</v>
      </c>
      <c r="J248" s="3" t="str">
        <f>IFERROR(__xludf.DUMMYFUNCTION("""COMPUTED_VALUE"""),"S-40586-00")</f>
        <v>S-40586-00</v>
      </c>
      <c r="K248" s="3" t="str">
        <f>IFERROR(__xludf.DUMMYFUNCTION("""COMPUTED_VALUE"""),"Approve")</f>
        <v>Approve</v>
      </c>
      <c r="L248" s="3" t="str">
        <f>IFERROR(__xludf.DUMMYFUNCTION("""COMPUTED_VALUE"""),"Normal")</f>
        <v>Normal</v>
      </c>
      <c r="M248" s="3" t="str">
        <f>IFERROR(__xludf.DUMMYFUNCTION("""COMPUTED_VALUE"""),"Non Urgent")</f>
        <v>Non Urgent</v>
      </c>
    </row>
    <row r="249">
      <c r="A249" s="4">
        <f>IFERROR(__xludf.DUMMYFUNCTION("""COMPUTED_VALUE"""),45824.713355023145)</f>
        <v>45824.71336</v>
      </c>
      <c r="B249" s="3" t="str">
        <f>IFERROR(__xludf.DUMMYFUNCTION("""COMPUTED_VALUE"""),"SFHRO0010")</f>
        <v>SFHRO0010</v>
      </c>
      <c r="C249" s="3" t="str">
        <f>IFERROR(__xludf.DUMMYFUNCTION("""COMPUTED_VALUE"""),"MIn Stok")</f>
        <v>MIn Stok</v>
      </c>
      <c r="D249" s="3" t="str">
        <f>IFERROR(__xludf.DUMMYFUNCTION("""COMPUTED_VALUE"""),"-")</f>
        <v>-</v>
      </c>
      <c r="E249" s="3" t="str">
        <f>IFERROR(__xludf.DUMMYFUNCTION("""COMPUTED_VALUE"""),"lantai 2")</f>
        <v>lantai 2</v>
      </c>
      <c r="F249" s="3" t="str">
        <f>IFERROR(__xludf.DUMMYFUNCTION("""COMPUTED_VALUE"""),"General - Chemical Cleaning; Kuclean; AC 101; 1 PL = 25 Kg")</f>
        <v>General - Chemical Cleaning; Kuclean; AC 101; 1 PL = 25 Kg</v>
      </c>
      <c r="G249" s="3">
        <f>IFERROR(__xludf.DUMMYFUNCTION("""COMPUTED_VALUE"""),25.0)</f>
        <v>25</v>
      </c>
      <c r="H249" s="3" t="str">
        <f>IFERROR(__xludf.DUMMYFUNCTION("""COMPUTED_VALUE"""),"jerigen")</f>
        <v>jerigen</v>
      </c>
      <c r="I249" s="3" t="str">
        <f>IFERROR(__xludf.DUMMYFUNCTION("""COMPUTED_VALUE"""),"-")</f>
        <v>-</v>
      </c>
      <c r="J249" s="3" t="str">
        <f>IFERROR(__xludf.DUMMYFUNCTION("""COMPUTED_VALUE"""),"P-19434-00")</f>
        <v>P-19434-00</v>
      </c>
      <c r="K249" s="3" t="str">
        <f>IFERROR(__xludf.DUMMYFUNCTION("""COMPUTED_VALUE"""),"Approve")</f>
        <v>Approve</v>
      </c>
      <c r="L249" s="3" t="str">
        <f>IFERROR(__xludf.DUMMYFUNCTION("""COMPUTED_VALUE"""),"Normal")</f>
        <v>Normal</v>
      </c>
      <c r="M249" s="3" t="str">
        <f>IFERROR(__xludf.DUMMYFUNCTION("""COMPUTED_VALUE"""),"Non Urgent")</f>
        <v>Non Urgent</v>
      </c>
    </row>
    <row r="250">
      <c r="A250" s="4">
        <f>IFERROR(__xludf.DUMMYFUNCTION("""COMPUTED_VALUE"""),45825.50367079861)</f>
        <v>45825.50367</v>
      </c>
      <c r="B250" s="3" t="str">
        <f>IFERROR(__xludf.DUMMYFUNCTION("""COMPUTED_VALUE"""),"RIARO0039")</f>
        <v>RIARO0039</v>
      </c>
      <c r="C250" s="3" t="str">
        <f>IFERROR(__xludf.DUMMYFUNCTION("""COMPUTED_VALUE"""),"MIn Stok")</f>
        <v>MIn Stok</v>
      </c>
      <c r="D250" s="3" t="str">
        <f>IFERROR(__xludf.DUMMYFUNCTION("""COMPUTED_VALUE"""),"-")</f>
        <v>-</v>
      </c>
      <c r="E250" s="3" t="str">
        <f>IFERROR(__xludf.DUMMYFUNCTION("""COMPUTED_VALUE"""),"Water System")</f>
        <v>Water System</v>
      </c>
      <c r="F250" s="3" t="str">
        <f>IFERROR(__xludf.DUMMYFUNCTION("""COMPUTED_VALUE"""),"General - Emflon PFR membrane filter cartridge, 0.2 um sterilizing grade, 5-inch length, double-o-ring (silicone) with bayonet lock and flat end; Pall; AB05PFR2PVH4; 1 pcs")</f>
        <v>General - Emflon PFR membrane filter cartridge, 0.2 um sterilizing grade, 5-inch length, double-o-ring (silicone) with bayonet lock and flat end; Pall; AB05PFR2PVH4; 1 pcs</v>
      </c>
      <c r="G250" s="3">
        <f>IFERROR(__xludf.DUMMYFUNCTION("""COMPUTED_VALUE"""),2.0)</f>
        <v>2</v>
      </c>
      <c r="H250" s="3" t="str">
        <f>IFERROR(__xludf.DUMMYFUNCTION("""COMPUTED_VALUE"""),"Pcs")</f>
        <v>Pcs</v>
      </c>
      <c r="I250" s="3" t="str">
        <f>IFERROR(__xludf.DUMMYFUNCTION("""COMPUTED_VALUE"""),"Vent Filter")</f>
        <v>Vent Filter</v>
      </c>
      <c r="J250" s="3" t="str">
        <f>IFERROR(__xludf.DUMMYFUNCTION("""COMPUTED_VALUE"""),"O-12868-00")</f>
        <v>O-12868-00</v>
      </c>
      <c r="K250" s="3" t="str">
        <f>IFERROR(__xludf.DUMMYFUNCTION("""COMPUTED_VALUE"""),"Approve")</f>
        <v>Approve</v>
      </c>
      <c r="L250" s="3" t="str">
        <f>IFERROR(__xludf.DUMMYFUNCTION("""COMPUTED_VALUE"""),"Normal")</f>
        <v>Normal</v>
      </c>
      <c r="M250" s="3" t="str">
        <f>IFERROR(__xludf.DUMMYFUNCTION("""COMPUTED_VALUE"""),"Non Urgent")</f>
        <v>Non Urgent</v>
      </c>
    </row>
    <row r="251">
      <c r="A251" s="4">
        <f>IFERROR(__xludf.DUMMYFUNCTION("""COMPUTED_VALUE"""),45825.504116909724)</f>
        <v>45825.50412</v>
      </c>
      <c r="B251" s="3" t="str">
        <f>IFERROR(__xludf.DUMMYFUNCTION("""COMPUTED_VALUE"""),"RIARO0040")</f>
        <v>RIARO0040</v>
      </c>
      <c r="C251" s="3" t="str">
        <f>IFERROR(__xludf.DUMMYFUNCTION("""COMPUTED_VALUE"""),"MIn Stok")</f>
        <v>MIn Stok</v>
      </c>
      <c r="D251" s="3" t="str">
        <f>IFERROR(__xludf.DUMMYFUNCTION("""COMPUTED_VALUE"""),"-")</f>
        <v>-</v>
      </c>
      <c r="E251" s="3" t="str">
        <f>IFERROR(__xludf.DUMMYFUNCTION("""COMPUTED_VALUE"""),"Water System")</f>
        <v>Water System</v>
      </c>
      <c r="F251" s="3" t="str">
        <f>IFERROR(__xludf.DUMMYFUNCTION("""COMPUTED_VALUE"""),"PALL - AB1PFR7PVH4, 0.2 um; ; ;")</f>
        <v>PALL - AB1PFR7PVH4, 0.2 um; ; ;</v>
      </c>
      <c r="G251" s="3">
        <f>IFERROR(__xludf.DUMMYFUNCTION("""COMPUTED_VALUE"""),2.0)</f>
        <v>2</v>
      </c>
      <c r="H251" s="3" t="str">
        <f>IFERROR(__xludf.DUMMYFUNCTION("""COMPUTED_VALUE"""),"Pcs")</f>
        <v>Pcs</v>
      </c>
      <c r="I251" s="3" t="str">
        <f>IFERROR(__xludf.DUMMYFUNCTION("""COMPUTED_VALUE"""),"Vent Filter")</f>
        <v>Vent Filter</v>
      </c>
      <c r="J251" s="3" t="str">
        <f>IFERROR(__xludf.DUMMYFUNCTION("""COMPUTED_VALUE"""),"P-17390-00")</f>
        <v>P-17390-00</v>
      </c>
      <c r="K251" s="3" t="str">
        <f>IFERROR(__xludf.DUMMYFUNCTION("""COMPUTED_VALUE"""),"Approve")</f>
        <v>Approve</v>
      </c>
      <c r="L251" s="3" t="str">
        <f>IFERROR(__xludf.DUMMYFUNCTION("""COMPUTED_VALUE"""),"Normal")</f>
        <v>Normal</v>
      </c>
      <c r="M251" s="3" t="str">
        <f>IFERROR(__xludf.DUMMYFUNCTION("""COMPUTED_VALUE"""),"Non Urgent")</f>
        <v>Non Urgent</v>
      </c>
    </row>
    <row r="252">
      <c r="A252" s="4">
        <f>IFERROR(__xludf.DUMMYFUNCTION("""COMPUTED_VALUE"""),45825.51416234954)</f>
        <v>45825.51416</v>
      </c>
      <c r="B252" s="3" t="str">
        <f>IFERROR(__xludf.DUMMYFUNCTION("""COMPUTED_VALUE"""),"RIARO0041")</f>
        <v>RIARO0041</v>
      </c>
      <c r="C252" s="3" t="str">
        <f>IFERROR(__xludf.DUMMYFUNCTION("""COMPUTED_VALUE"""),"MIn Stok")</f>
        <v>MIn Stok</v>
      </c>
      <c r="D252" s="3" t="str">
        <f>IFERROR(__xludf.DUMMYFUNCTION("""COMPUTED_VALUE"""),"-")</f>
        <v>-</v>
      </c>
      <c r="E252" s="3" t="str">
        <f>IFERROR(__xludf.DUMMYFUNCTION("""COMPUTED_VALUE"""),"Water System")</f>
        <v>Water System</v>
      </c>
      <c r="F252" s="3" t="str">
        <f>IFERROR(__xludf.DUMMYFUNCTION("""COMPUTED_VALUE"""),"IMA F200 Filling Machine - Pall Mini Kleenpak Capsules with Supor EKV Membrane, Filter Capsule 4,1""/0,2 um/0,02 m2/Hydrophilic PVDF/code2/0,25-0,5"" hose barb; Pall; KA02DFLP8G; 1 pcs")</f>
        <v>IMA F200 Filling Machine - Pall Mini Kleenpak Capsules with Supor EKV Membrane, Filter Capsule 4,1"/0,2 um/0,02 m2/Hydrophilic PVDF/code2/0,25-0,5" hose barb; Pall; KA02DFLP8G; 1 pcs</v>
      </c>
      <c r="G252" s="3">
        <f>IFERROR(__xludf.DUMMYFUNCTION("""COMPUTED_VALUE"""),2.0)</f>
        <v>2</v>
      </c>
      <c r="H252" s="3" t="str">
        <f>IFERROR(__xludf.DUMMYFUNCTION("""COMPUTED_VALUE"""),"Pcs")</f>
        <v>Pcs</v>
      </c>
      <c r="I252" s="3" t="str">
        <f>IFERROR(__xludf.DUMMYFUNCTION("""COMPUTED_VALUE"""),"Vent Filter")</f>
        <v>Vent Filter</v>
      </c>
      <c r="J252" s="3" t="str">
        <f>IFERROR(__xludf.DUMMYFUNCTION("""COMPUTED_VALUE"""),"O-11287-00")</f>
        <v>O-11287-00</v>
      </c>
      <c r="K252" s="3" t="str">
        <f>IFERROR(__xludf.DUMMYFUNCTION("""COMPUTED_VALUE"""),"Approve")</f>
        <v>Approve</v>
      </c>
      <c r="L252" s="3" t="str">
        <f>IFERROR(__xludf.DUMMYFUNCTION("""COMPUTED_VALUE"""),"Normal")</f>
        <v>Normal</v>
      </c>
      <c r="M252" s="3" t="str">
        <f>IFERROR(__xludf.DUMMYFUNCTION("""COMPUTED_VALUE"""),"Non Urgent")</f>
        <v>Non Urgent</v>
      </c>
    </row>
    <row r="253">
      <c r="A253" s="4">
        <f>IFERROR(__xludf.DUMMYFUNCTION("""COMPUTED_VALUE"""),45825.51444255788)</f>
        <v>45825.51444</v>
      </c>
      <c r="B253" s="3" t="str">
        <f>IFERROR(__xludf.DUMMYFUNCTION("""COMPUTED_VALUE"""),"RIARO0042")</f>
        <v>RIARO0042</v>
      </c>
      <c r="C253" s="3" t="str">
        <f>IFERROR(__xludf.DUMMYFUNCTION("""COMPUTED_VALUE"""),"MIn Stok")</f>
        <v>MIn Stok</v>
      </c>
      <c r="D253" s="3" t="str">
        <f>IFERROR(__xludf.DUMMYFUNCTION("""COMPUTED_VALUE"""),"-")</f>
        <v>-</v>
      </c>
      <c r="E253" s="3" t="str">
        <f>IFERROR(__xludf.DUMMYFUNCTION("""COMPUTED_VALUE"""),"Water System")</f>
        <v>Water System</v>
      </c>
      <c r="F253" s="3" t="str">
        <f>IFERROR(__xludf.DUMMYFUNCTION("""COMPUTED_VALUE"""),"AUTOCLAVE Lab Mikro - PALL Emflon Filter 0,2um p/n C3PFRP1")</f>
        <v>AUTOCLAVE Lab Mikro - PALL Emflon Filter 0,2um p/n C3PFRP1</v>
      </c>
      <c r="G253" s="3">
        <f>IFERROR(__xludf.DUMMYFUNCTION("""COMPUTED_VALUE"""),2.0)</f>
        <v>2</v>
      </c>
      <c r="H253" s="3" t="str">
        <f>IFERROR(__xludf.DUMMYFUNCTION("""COMPUTED_VALUE"""),"Pcs")</f>
        <v>Pcs</v>
      </c>
      <c r="I253" s="3" t="str">
        <f>IFERROR(__xludf.DUMMYFUNCTION("""COMPUTED_VALUE"""),"Vent Filter")</f>
        <v>Vent Filter</v>
      </c>
      <c r="J253" s="3" t="str">
        <f>IFERROR(__xludf.DUMMYFUNCTION("""COMPUTED_VALUE"""),"O-13062-00")</f>
        <v>O-13062-00</v>
      </c>
      <c r="K253" s="3" t="str">
        <f>IFERROR(__xludf.DUMMYFUNCTION("""COMPUTED_VALUE"""),"Approve")</f>
        <v>Approve</v>
      </c>
      <c r="L253" s="3" t="str">
        <f>IFERROR(__xludf.DUMMYFUNCTION("""COMPUTED_VALUE"""),"Normal")</f>
        <v>Normal</v>
      </c>
      <c r="M253" s="3" t="str">
        <f>IFERROR(__xludf.DUMMYFUNCTION("""COMPUTED_VALUE"""),"Non Urgent")</f>
        <v>Non Urgent</v>
      </c>
    </row>
    <row r="254">
      <c r="A254" s="4">
        <f>IFERROR(__xludf.DUMMYFUNCTION("""COMPUTED_VALUE"""),45833.13751090277)</f>
        <v>45833.13751</v>
      </c>
      <c r="B254" s="3" t="str">
        <f>IFERROR(__xludf.DUMMYFUNCTION("""COMPUTED_VALUE"""),"MRNRO0021")</f>
        <v>MRNRO0021</v>
      </c>
      <c r="C254" s="3" t="str">
        <f>IFERROR(__xludf.DUMMYFUNCTION("""COMPUTED_VALUE"""),"EJO")</f>
        <v>EJO</v>
      </c>
      <c r="D254" s="3" t="str">
        <f>IFERROR(__xludf.DUMMYFUNCTION("""COMPUTED_VALUE"""),"EJO/2025/06/162")</f>
        <v>EJO/2025/06/162</v>
      </c>
      <c r="E254" s="3" t="str">
        <f>IFERROR(__xludf.DUMMYFUNCTION("""COMPUTED_VALUE"""),"wwtp")</f>
        <v>wwtp</v>
      </c>
      <c r="F254" s="3" t="str">
        <f>IFERROR(__xludf.DUMMYFUNCTION("""COMPUTED_VALUE"""),"Water Mur PVC dia 1inch")</f>
        <v>Water Mur PVC dia 1inch</v>
      </c>
      <c r="G254" s="3">
        <f>IFERROR(__xludf.DUMMYFUNCTION("""COMPUTED_VALUE"""),5.0)</f>
        <v>5</v>
      </c>
      <c r="H254" s="3" t="str">
        <f>IFERROR(__xludf.DUMMYFUNCTION("""COMPUTED_VALUE"""),"pcs")</f>
        <v>pcs</v>
      </c>
      <c r="I254" s="3" t="str">
        <f>IFERROR(__xludf.DUMMYFUNCTION("""COMPUTED_VALUE"""),"buat pipa bocor")</f>
        <v>buat pipa bocor</v>
      </c>
      <c r="J254" s="3" t="str">
        <f>IFERROR(__xludf.DUMMYFUNCTION("""COMPUTED_VALUE"""),"P-12942-00")</f>
        <v>P-12942-00</v>
      </c>
      <c r="K254" s="3" t="str">
        <f>IFERROR(__xludf.DUMMYFUNCTION("""COMPUTED_VALUE"""),"Approve")</f>
        <v>Approve</v>
      </c>
      <c r="L254" s="3" t="str">
        <f>IFERROR(__xludf.DUMMYFUNCTION("""COMPUTED_VALUE"""),"Normal")</f>
        <v>Normal</v>
      </c>
      <c r="M254" s="3" t="str">
        <f>IFERROR(__xludf.DUMMYFUNCTION("""COMPUTED_VALUE"""),"Non Urgent")</f>
        <v>Non Urgent</v>
      </c>
    </row>
    <row r="255">
      <c r="A255" s="4">
        <f>IFERROR(__xludf.DUMMYFUNCTION("""COMPUTED_VALUE"""),45833.138484780095)</f>
        <v>45833.13848</v>
      </c>
      <c r="B255" s="3" t="str">
        <f>IFERROR(__xludf.DUMMYFUNCTION("""COMPUTED_VALUE"""),"MRNRO0022")</f>
        <v>MRNRO0022</v>
      </c>
      <c r="C255" s="3" t="str">
        <f>IFERROR(__xludf.DUMMYFUNCTION("""COMPUTED_VALUE"""),"EJO")</f>
        <v>EJO</v>
      </c>
      <c r="D255" s="3" t="str">
        <f>IFERROR(__xludf.DUMMYFUNCTION("""COMPUTED_VALUE"""),"EJO/2025/06/163")</f>
        <v>EJO/2025/06/163</v>
      </c>
      <c r="E255" s="3" t="str">
        <f>IFERROR(__xludf.DUMMYFUNCTION("""COMPUTED_VALUE"""),"wwtp")</f>
        <v>wwtp</v>
      </c>
      <c r="F255" s="3" t="str">
        <f>IFERROR(__xludf.DUMMYFUNCTION("""COMPUTED_VALUE"""),"Ball Valve PVC 1""")</f>
        <v>Ball Valve PVC 1"</v>
      </c>
      <c r="G255" s="3">
        <f>IFERROR(__xludf.DUMMYFUNCTION("""COMPUTED_VALUE"""),5.0)</f>
        <v>5</v>
      </c>
      <c r="H255" s="3" t="str">
        <f>IFERROR(__xludf.DUMMYFUNCTION("""COMPUTED_VALUE"""),"pcs")</f>
        <v>pcs</v>
      </c>
      <c r="I255" s="3" t="str">
        <f>IFERROR(__xludf.DUMMYFUNCTION("""COMPUTED_VALUE"""),"buat pipa bocor")</f>
        <v>buat pipa bocor</v>
      </c>
      <c r="J255" s="3" t="str">
        <f>IFERROR(__xludf.DUMMYFUNCTION("""COMPUTED_VALUE"""),"P-10390-00")</f>
        <v>P-10390-00</v>
      </c>
      <c r="K255" s="3" t="str">
        <f>IFERROR(__xludf.DUMMYFUNCTION("""COMPUTED_VALUE"""),"Approve")</f>
        <v>Approve</v>
      </c>
      <c r="L255" s="3" t="str">
        <f>IFERROR(__xludf.DUMMYFUNCTION("""COMPUTED_VALUE"""),"Normal")</f>
        <v>Normal</v>
      </c>
      <c r="M255" s="3" t="str">
        <f>IFERROR(__xludf.DUMMYFUNCTION("""COMPUTED_VALUE"""),"Non Urgent")</f>
        <v>Non Urgent</v>
      </c>
    </row>
    <row r="256">
      <c r="A256" s="4">
        <f>IFERROR(__xludf.DUMMYFUNCTION("""COMPUTED_VALUE"""),45833.139160694445)</f>
        <v>45833.13916</v>
      </c>
      <c r="B256" s="3" t="str">
        <f>IFERROR(__xludf.DUMMYFUNCTION("""COMPUTED_VALUE"""),"MRNRO0023")</f>
        <v>MRNRO0023</v>
      </c>
      <c r="C256" s="3" t="str">
        <f>IFERROR(__xludf.DUMMYFUNCTION("""COMPUTED_VALUE"""),"EJO")</f>
        <v>EJO</v>
      </c>
      <c r="D256" s="3" t="str">
        <f>IFERROR(__xludf.DUMMYFUNCTION("""COMPUTED_VALUE"""),"EJO/2025/06/164")</f>
        <v>EJO/2025/06/164</v>
      </c>
      <c r="E256" s="3" t="str">
        <f>IFERROR(__xludf.DUMMYFUNCTION("""COMPUTED_VALUE"""),"wwtp")</f>
        <v>wwtp</v>
      </c>
      <c r="F256" s="3" t="str">
        <f>IFERROR(__xludf.DUMMYFUNCTION("""COMPUTED_VALUE"""),"General - Clamp Selang, SS 1 1/4""; Tridon; -; 1 pcs")</f>
        <v>General - Clamp Selang, SS 1 1/4"; Tridon; -; 1 pcs</v>
      </c>
      <c r="G256" s="3">
        <f>IFERROR(__xludf.DUMMYFUNCTION("""COMPUTED_VALUE"""),5.0)</f>
        <v>5</v>
      </c>
      <c r="H256" s="3" t="str">
        <f>IFERROR(__xludf.DUMMYFUNCTION("""COMPUTED_VALUE"""),"pcs")</f>
        <v>pcs</v>
      </c>
      <c r="I256" s="3" t="str">
        <f>IFERROR(__xludf.DUMMYFUNCTION("""COMPUTED_VALUE"""),"buat pipa bocor")</f>
        <v>buat pipa bocor</v>
      </c>
      <c r="J256" s="3" t="str">
        <f>IFERROR(__xludf.DUMMYFUNCTION("""COMPUTED_VALUE"""),"P-12077-00")</f>
        <v>P-12077-00</v>
      </c>
      <c r="K256" s="3" t="str">
        <f>IFERROR(__xludf.DUMMYFUNCTION("""COMPUTED_VALUE"""),"Approve")</f>
        <v>Approve</v>
      </c>
      <c r="L256" s="3" t="str">
        <f>IFERROR(__xludf.DUMMYFUNCTION("""COMPUTED_VALUE"""),"Normal")</f>
        <v>Normal</v>
      </c>
      <c r="M256" s="3" t="str">
        <f>IFERROR(__xludf.DUMMYFUNCTION("""COMPUTED_VALUE"""),"Non Urgent")</f>
        <v>Non Urgent</v>
      </c>
    </row>
    <row r="257">
      <c r="A257" s="4">
        <f>IFERROR(__xludf.DUMMYFUNCTION("""COMPUTED_VALUE"""),45834.858387569446)</f>
        <v>45834.85839</v>
      </c>
      <c r="B257" s="3" t="str">
        <f>IFERROR(__xludf.DUMMYFUNCTION("""COMPUTED_VALUE"""),"MFHRO0100")</f>
        <v>MFHRO0100</v>
      </c>
      <c r="C257" s="3" t="str">
        <f>IFERROR(__xludf.DUMMYFUNCTION("""COMPUTED_VALUE"""),"Consumable")</f>
        <v>Consumable</v>
      </c>
      <c r="D257" s="3" t="str">
        <f>IFERROR(__xludf.DUMMYFUNCTION("""COMPUTED_VALUE"""),"-")</f>
        <v>-</v>
      </c>
      <c r="E257" s="3" t="str">
        <f>IFERROR(__xludf.DUMMYFUNCTION("""COMPUTED_VALUE"""),"General")</f>
        <v>General</v>
      </c>
      <c r="F257" s="3" t="str">
        <f>IFERROR(__xludf.DUMMYFUNCTION("""COMPUTED_VALUE"""),"Cleaner Stainless Stell &amp; Polish; 3M; ;")</f>
        <v>Cleaner Stainless Stell &amp; Polish; 3M; ;</v>
      </c>
      <c r="G257" s="3">
        <f>IFERROR(__xludf.DUMMYFUNCTION("""COMPUTED_VALUE"""),2.0)</f>
        <v>2</v>
      </c>
      <c r="H257" s="3" t="str">
        <f>IFERROR(__xludf.DUMMYFUNCTION("""COMPUTED_VALUE"""),"Can")</f>
        <v>Can</v>
      </c>
      <c r="I257" s="3" t="str">
        <f>IFERROR(__xludf.DUMMYFUNCTION("""COMPUTED_VALUE"""),"Untuk Consumable ENG 121702257 1878")</f>
        <v>Untuk Consumable ENG 121702257 1878</v>
      </c>
      <c r="J257" s="3" t="str">
        <f>IFERROR(__xludf.DUMMYFUNCTION("""COMPUTED_VALUE"""),"P-17830-00")</f>
        <v>P-17830-00</v>
      </c>
      <c r="K257" s="3" t="str">
        <f>IFERROR(__xludf.DUMMYFUNCTION("""COMPUTED_VALUE"""),"Approve")</f>
        <v>Approve</v>
      </c>
      <c r="L257" s="3" t="str">
        <f>IFERROR(__xludf.DUMMYFUNCTION("""COMPUTED_VALUE"""),"Normal")</f>
        <v>Normal</v>
      </c>
      <c r="M257" s="3" t="str">
        <f>IFERROR(__xludf.DUMMYFUNCTION("""COMPUTED_VALUE"""),"Non Urgent")</f>
        <v>Non Urgent</v>
      </c>
    </row>
    <row r="258">
      <c r="A258" s="4">
        <f>IFERROR(__xludf.DUMMYFUNCTION("""COMPUTED_VALUE"""),45834.858387569446)</f>
        <v>45834.85839</v>
      </c>
      <c r="B258" s="3" t="str">
        <f>IFERROR(__xludf.DUMMYFUNCTION("""COMPUTED_VALUE"""),"MFHRO0101")</f>
        <v>MFHRO0101</v>
      </c>
      <c r="C258" s="3" t="str">
        <f>IFERROR(__xludf.DUMMYFUNCTION("""COMPUTED_VALUE"""),"Consumable")</f>
        <v>Consumable</v>
      </c>
      <c r="D258" s="3" t="str">
        <f>IFERROR(__xludf.DUMMYFUNCTION("""COMPUTED_VALUE"""),"-")</f>
        <v>-</v>
      </c>
      <c r="E258" s="3" t="str">
        <f>IFERROR(__xludf.DUMMYFUNCTION("""COMPUTED_VALUE"""),"Building")</f>
        <v>Building</v>
      </c>
      <c r="F258" s="3" t="str">
        <f>IFERROR(__xludf.DUMMYFUNCTION("""COMPUTED_VALUE"""),"Lampu PLC 13watt/E27 Putih; Phillips; ;")</f>
        <v>Lampu PLC 13watt/E27 Putih; Phillips; ;</v>
      </c>
      <c r="G258" s="3">
        <f>IFERROR(__xludf.DUMMYFUNCTION("""COMPUTED_VALUE"""),15.0)</f>
        <v>15</v>
      </c>
      <c r="H258" s="3" t="str">
        <f>IFERROR(__xludf.DUMMYFUNCTION("""COMPUTED_VALUE"""),"Pieces")</f>
        <v>Pieces</v>
      </c>
      <c r="I258" s="3" t="str">
        <f>IFERROR(__xludf.DUMMYFUNCTION("""COMPUTED_VALUE"""),"Untuk Consumable ENG 121702306 1911")</f>
        <v>Untuk Consumable ENG 121702306 1911</v>
      </c>
      <c r="J258" s="3" t="str">
        <f>IFERROR(__xludf.DUMMYFUNCTION("""COMPUTED_VALUE"""),"P-53102-00")</f>
        <v>P-53102-00</v>
      </c>
      <c r="K258" s="3" t="str">
        <f>IFERROR(__xludf.DUMMYFUNCTION("""COMPUTED_VALUE"""),"Approve")</f>
        <v>Approve</v>
      </c>
      <c r="L258" s="3" t="str">
        <f>IFERROR(__xludf.DUMMYFUNCTION("""COMPUTED_VALUE"""),"Normal")</f>
        <v>Normal</v>
      </c>
      <c r="M258" s="3" t="str">
        <f>IFERROR(__xludf.DUMMYFUNCTION("""COMPUTED_VALUE"""),"Non Urgent")</f>
        <v>Non Urgent</v>
      </c>
    </row>
    <row r="259">
      <c r="A259" s="4">
        <f>IFERROR(__xludf.DUMMYFUNCTION("""COMPUTED_VALUE"""),45834.858387569446)</f>
        <v>45834.85839</v>
      </c>
      <c r="B259" s="3" t="str">
        <f>IFERROR(__xludf.DUMMYFUNCTION("""COMPUTED_VALUE"""),"MFHRO0102")</f>
        <v>MFHRO0102</v>
      </c>
      <c r="C259" s="3" t="str">
        <f>IFERROR(__xludf.DUMMYFUNCTION("""COMPUTED_VALUE"""),"MIn Stok")</f>
        <v>MIn Stok</v>
      </c>
      <c r="D259" s="3" t="str">
        <f>IFERROR(__xludf.DUMMYFUNCTION("""COMPUTED_VALUE"""),"-")</f>
        <v>-</v>
      </c>
      <c r="E259" s="3" t="str">
        <f>IFERROR(__xludf.DUMMYFUNCTION("""COMPUTED_VALUE"""),"cRABS")</f>
        <v>cRABS</v>
      </c>
      <c r="F259" s="3" t="str">
        <f>IFERROR(__xludf.DUMMYFUNCTION("""COMPUTED_VALUE"""),"General - Isolator Glove Smaller glove CSM  (AS : E10330 Y 7 E4); Austar; ; 1 Pc")</f>
        <v>General - Isolator Glove Smaller glove CSM  (AS : E10330 Y 7 E4); Austar; ; 1 Pc</v>
      </c>
      <c r="G259" s="3">
        <f>IFERROR(__xludf.DUMMYFUNCTION("""COMPUTED_VALUE"""),20.0)</f>
        <v>20</v>
      </c>
      <c r="H259" s="3" t="str">
        <f>IFERROR(__xludf.DUMMYFUNCTION("""COMPUTED_VALUE"""),"Pieces")</f>
        <v>Pieces</v>
      </c>
      <c r="I259" s="3" t="str">
        <f>IFERROR(__xludf.DUMMYFUNCTION("""COMPUTED_VALUE"""),"Untuk cRABS 121702579 2149")</f>
        <v>Untuk cRABS 121702579 2149</v>
      </c>
      <c r="J259" s="3" t="str">
        <f>IFERROR(__xludf.DUMMYFUNCTION("""COMPUTED_VALUE"""),"O-20487-00")</f>
        <v>O-20487-00</v>
      </c>
      <c r="K259" s="3" t="str">
        <f>IFERROR(__xludf.DUMMYFUNCTION("""COMPUTED_VALUE"""),"Approve")</f>
        <v>Approve</v>
      </c>
      <c r="L259" s="3" t="str">
        <f>IFERROR(__xludf.DUMMYFUNCTION("""COMPUTED_VALUE"""),"Normal")</f>
        <v>Normal</v>
      </c>
      <c r="M259" s="3" t="str">
        <f>IFERROR(__xludf.DUMMYFUNCTION("""COMPUTED_VALUE"""),"Non Urgent")</f>
        <v>Non Urgent</v>
      </c>
    </row>
    <row r="260">
      <c r="A260" s="4">
        <f>IFERROR(__xludf.DUMMYFUNCTION("""COMPUTED_VALUE"""),45834.858387569446)</f>
        <v>45834.85839</v>
      </c>
      <c r="B260" s="3" t="str">
        <f>IFERROR(__xludf.DUMMYFUNCTION("""COMPUTED_VALUE"""),"MFHRO0103")</f>
        <v>MFHRO0103</v>
      </c>
      <c r="C260" s="3" t="str">
        <f>IFERROR(__xludf.DUMMYFUNCTION("""COMPUTED_VALUE"""),"MIn Stok")</f>
        <v>MIn Stok</v>
      </c>
      <c r="D260" s="3" t="str">
        <f>IFERROR(__xludf.DUMMYFUNCTION("""COMPUTED_VALUE"""),"-")</f>
        <v>-</v>
      </c>
      <c r="E260" s="3" t="str">
        <f>IFERROR(__xludf.DUMMYFUNCTION("""COMPUTED_VALUE"""),"Capping")</f>
        <v>Capping</v>
      </c>
      <c r="F260" s="3" t="str">
        <f>IFERROR(__xludf.DUMMYFUNCTION("""COMPUTED_VALUE"""),"General - Oring Silicone Merah 23x18x2.5 mm; -; -; 1 Pc")</f>
        <v>General - Oring Silicone Merah 23x18x2.5 mm; -; -; 1 Pc</v>
      </c>
      <c r="G260" s="3">
        <f>IFERROR(__xludf.DUMMYFUNCTION("""COMPUTED_VALUE"""),150.0)</f>
        <v>150</v>
      </c>
      <c r="H260" s="3" t="str">
        <f>IFERROR(__xludf.DUMMYFUNCTION("""COMPUTED_VALUE"""),"Pieces")</f>
        <v>Pieces</v>
      </c>
      <c r="I260" s="3" t="str">
        <f>IFERROR(__xludf.DUMMYFUNCTION("""COMPUTED_VALUE"""),"Untuk Capping 121702583 2152")</f>
        <v>Untuk Capping 121702583 2152</v>
      </c>
      <c r="J260" s="3" t="str">
        <f>IFERROR(__xludf.DUMMYFUNCTION("""COMPUTED_VALUE"""),"O-16647-00")</f>
        <v>O-16647-00</v>
      </c>
      <c r="K260" s="3" t="str">
        <f>IFERROR(__xludf.DUMMYFUNCTION("""COMPUTED_VALUE"""),"Approve")</f>
        <v>Approve</v>
      </c>
      <c r="L260" s="3" t="str">
        <f>IFERROR(__xludf.DUMMYFUNCTION("""COMPUTED_VALUE"""),"Normal")</f>
        <v>Normal</v>
      </c>
      <c r="M260" s="3" t="str">
        <f>IFERROR(__xludf.DUMMYFUNCTION("""COMPUTED_VALUE"""),"Non Urgent")</f>
        <v>Non Urgent</v>
      </c>
    </row>
    <row r="261">
      <c r="A261" s="4">
        <f>IFERROR(__xludf.DUMMYFUNCTION("""COMPUTED_VALUE"""),45834.858387569446)</f>
        <v>45834.85839</v>
      </c>
      <c r="B261" s="3" t="str">
        <f>IFERROR(__xludf.DUMMYFUNCTION("""COMPUTED_VALUE"""),"MFHRO0104")</f>
        <v>MFHRO0104</v>
      </c>
      <c r="C261" s="3" t="str">
        <f>IFERROR(__xludf.DUMMYFUNCTION("""COMPUTED_VALUE"""),"Consumable")</f>
        <v>Consumable</v>
      </c>
      <c r="D261" s="3" t="str">
        <f>IFERROR(__xludf.DUMMYFUNCTION("""COMPUTED_VALUE"""),"-")</f>
        <v>-</v>
      </c>
      <c r="E261" s="3" t="str">
        <f>IFERROR(__xludf.DUMMYFUNCTION("""COMPUTED_VALUE"""),"General")</f>
        <v>General</v>
      </c>
      <c r="F261" s="3" t="str">
        <f>IFERROR(__xludf.DUMMYFUNCTION("""COMPUTED_VALUE"""),"General - Push-in Connector, QS-8; Festo; 153033; 1 pcs")</f>
        <v>General - Push-in Connector, QS-8; Festo; 153033; 1 pcs</v>
      </c>
      <c r="G261" s="3">
        <f>IFERROR(__xludf.DUMMYFUNCTION("""COMPUTED_VALUE"""),10.0)</f>
        <v>10</v>
      </c>
      <c r="H261" s="3" t="str">
        <f>IFERROR(__xludf.DUMMYFUNCTION("""COMPUTED_VALUE"""),"Pieces")</f>
        <v>Pieces</v>
      </c>
      <c r="I261" s="3" t="str">
        <f>IFERROR(__xludf.DUMMYFUNCTION("""COMPUTED_VALUE"""),"Untuk Consumable ENG 121702776 2307")</f>
        <v>Untuk Consumable ENG 121702776 2307</v>
      </c>
      <c r="J261" s="3" t="str">
        <f>IFERROR(__xludf.DUMMYFUNCTION("""COMPUTED_VALUE"""),"P-11184-00")</f>
        <v>P-11184-00</v>
      </c>
      <c r="K261" s="3" t="str">
        <f>IFERROR(__xludf.DUMMYFUNCTION("""COMPUTED_VALUE"""),"Approve")</f>
        <v>Approve</v>
      </c>
      <c r="L261" s="3" t="str">
        <f>IFERROR(__xludf.DUMMYFUNCTION("""COMPUTED_VALUE"""),"Normal")</f>
        <v>Normal</v>
      </c>
      <c r="M261" s="3" t="str">
        <f>IFERROR(__xludf.DUMMYFUNCTION("""COMPUTED_VALUE"""),"Non Urgent")</f>
        <v>Non Urgent</v>
      </c>
    </row>
    <row r="262">
      <c r="A262" s="4">
        <f>IFERROR(__xludf.DUMMYFUNCTION("""COMPUTED_VALUE"""),45834.858387569446)</f>
        <v>45834.85839</v>
      </c>
      <c r="B262" s="3" t="str">
        <f>IFERROR(__xludf.DUMMYFUNCTION("""COMPUTED_VALUE"""),"MFHRO0105")</f>
        <v>MFHRO0105</v>
      </c>
      <c r="C262" s="3" t="str">
        <f>IFERROR(__xludf.DUMMYFUNCTION("""COMPUTED_VALUE"""),"Consumable")</f>
        <v>Consumable</v>
      </c>
      <c r="D262" s="3" t="str">
        <f>IFERROR(__xludf.DUMMYFUNCTION("""COMPUTED_VALUE"""),"-")</f>
        <v>-</v>
      </c>
      <c r="E262" s="3" t="str">
        <f>IFERROR(__xludf.DUMMYFUNCTION("""COMPUTED_VALUE"""),"General")</f>
        <v>General</v>
      </c>
      <c r="F262" s="3" t="str">
        <f>IFERROR(__xludf.DUMMYFUNCTION("""COMPUTED_VALUE"""),"General - Push-in Connector, QS-8-6; Festo; 153038; 1 pcs")</f>
        <v>General - Push-in Connector, QS-8-6; Festo; 153038; 1 pcs</v>
      </c>
      <c r="G262" s="3">
        <f>IFERROR(__xludf.DUMMYFUNCTION("""COMPUTED_VALUE"""),4.0)</f>
        <v>4</v>
      </c>
      <c r="H262" s="3" t="str">
        <f>IFERROR(__xludf.DUMMYFUNCTION("""COMPUTED_VALUE"""),"Pieces")</f>
        <v>Pieces</v>
      </c>
      <c r="I262" s="3" t="str">
        <f>IFERROR(__xludf.DUMMYFUNCTION("""COMPUTED_VALUE"""),"Untuk Consumable ENG 121702776 2308")</f>
        <v>Untuk Consumable ENG 121702776 2308</v>
      </c>
      <c r="J262" s="3" t="str">
        <f>IFERROR(__xludf.DUMMYFUNCTION("""COMPUTED_VALUE"""),"P-11185-00")</f>
        <v>P-11185-00</v>
      </c>
      <c r="K262" s="3" t="str">
        <f>IFERROR(__xludf.DUMMYFUNCTION("""COMPUTED_VALUE"""),"Approve")</f>
        <v>Approve</v>
      </c>
      <c r="L262" s="3" t="str">
        <f>IFERROR(__xludf.DUMMYFUNCTION("""COMPUTED_VALUE"""),"Normal")</f>
        <v>Normal</v>
      </c>
      <c r="M262" s="3" t="str">
        <f>IFERROR(__xludf.DUMMYFUNCTION("""COMPUTED_VALUE"""),"Non Urgent")</f>
        <v>Non Urgent</v>
      </c>
    </row>
    <row r="263">
      <c r="A263" s="4">
        <f>IFERROR(__xludf.DUMMYFUNCTION("""COMPUTED_VALUE"""),45834.858387569446)</f>
        <v>45834.85839</v>
      </c>
      <c r="B263" s="3" t="str">
        <f>IFERROR(__xludf.DUMMYFUNCTION("""COMPUTED_VALUE"""),"MFHRO0106")</f>
        <v>MFHRO0106</v>
      </c>
      <c r="C263" s="3" t="str">
        <f>IFERROR(__xludf.DUMMYFUNCTION("""COMPUTED_VALUE"""),"MIn Stok")</f>
        <v>MIn Stok</v>
      </c>
      <c r="D263" s="3" t="str">
        <f>IFERROR(__xludf.DUMMYFUNCTION("""COMPUTED_VALUE"""),"-")</f>
        <v>-</v>
      </c>
      <c r="E263" s="3" t="str">
        <f>IFERROR(__xludf.DUMMYFUNCTION("""COMPUTED_VALUE"""),"Building")</f>
        <v>Building</v>
      </c>
      <c r="F263" s="3" t="str">
        <f>IFERROR(__xludf.DUMMYFUNCTION("""COMPUTED_VALUE"""),"Handle Pintu Bulat, Elbow Press Lock; Meroni; N13NE TB127;")</f>
        <v>Handle Pintu Bulat, Elbow Press Lock; Meroni; N13NE TB127;</v>
      </c>
      <c r="G263" s="3">
        <f>IFERROR(__xludf.DUMMYFUNCTION("""COMPUTED_VALUE"""),5.0)</f>
        <v>5</v>
      </c>
      <c r="H263" s="3" t="str">
        <f>IFERROR(__xludf.DUMMYFUNCTION("""COMPUTED_VALUE"""),"Pieces")</f>
        <v>Pieces</v>
      </c>
      <c r="I263" s="3" t="str">
        <f>IFERROR(__xludf.DUMMYFUNCTION("""COMPUTED_VALUE"""),"Untuk Handle Pintu Produksi 121702115 1812")</f>
        <v>Untuk Handle Pintu Produksi 121702115 1812</v>
      </c>
      <c r="J263" s="3" t="str">
        <f>IFERROR(__xludf.DUMMYFUNCTION("""COMPUTED_VALUE"""),"Q-60401-00")</f>
        <v>Q-60401-00</v>
      </c>
      <c r="K263" s="3" t="str">
        <f>IFERROR(__xludf.DUMMYFUNCTION("""COMPUTED_VALUE"""),"Approve")</f>
        <v>Approve</v>
      </c>
      <c r="L263" s="3" t="str">
        <f>IFERROR(__xludf.DUMMYFUNCTION("""COMPUTED_VALUE"""),"Normal")</f>
        <v>Normal</v>
      </c>
      <c r="M263" s="3" t="str">
        <f>IFERROR(__xludf.DUMMYFUNCTION("""COMPUTED_VALUE"""),"Non Urgent")</f>
        <v>Non Urgent</v>
      </c>
    </row>
    <row r="264">
      <c r="A264" s="4">
        <f>IFERROR(__xludf.DUMMYFUNCTION("""COMPUTED_VALUE"""),45834.858387569446)</f>
        <v>45834.85839</v>
      </c>
      <c r="B264" s="3" t="str">
        <f>IFERROR(__xludf.DUMMYFUNCTION("""COMPUTED_VALUE"""),"MFHRO0107")</f>
        <v>MFHRO0107</v>
      </c>
      <c r="C264" s="3" t="str">
        <f>IFERROR(__xludf.DUMMYFUNCTION("""COMPUTED_VALUE"""),"Consumable")</f>
        <v>Consumable</v>
      </c>
      <c r="D264" s="3" t="str">
        <f>IFERROR(__xludf.DUMMYFUNCTION("""COMPUTED_VALUE"""),"-")</f>
        <v>-</v>
      </c>
      <c r="E264" s="3" t="str">
        <f>IFERROR(__xludf.DUMMYFUNCTION("""COMPUTED_VALUE"""),"HPLC")</f>
        <v>HPLC</v>
      </c>
      <c r="F264" s="3" t="str">
        <f>IFERROR(__xludf.DUMMYFUNCTION("""COMPUTED_VALUE"""),"Acquity PDA/TUV 2489/2998 Perf Main Kit (lampu HPLC); Waters; P/N 201000281; 1 pc")</f>
        <v>Acquity PDA/TUV 2489/2998 Perf Main Kit (lampu HPLC); Waters; P/N 201000281; 1 pc</v>
      </c>
      <c r="G264" s="3">
        <f>IFERROR(__xludf.DUMMYFUNCTION("""COMPUTED_VALUE"""),2.0)</f>
        <v>2</v>
      </c>
      <c r="H264" s="3" t="str">
        <f>IFERROR(__xludf.DUMMYFUNCTION("""COMPUTED_VALUE"""),"Pieces")</f>
        <v>Pieces</v>
      </c>
      <c r="I264" s="3" t="str">
        <f>IFERROR(__xludf.DUMMYFUNCTION("""COMPUTED_VALUE"""),"Untuk UV HPLC kurang 121702780 2315")</f>
        <v>Untuk UV HPLC kurang 121702780 2315</v>
      </c>
      <c r="J264" s="3" t="str">
        <f>IFERROR(__xludf.DUMMYFUNCTION("""COMPUTED_VALUE"""),"T-20123-00")</f>
        <v>T-20123-00</v>
      </c>
      <c r="K264" s="3" t="str">
        <f>IFERROR(__xludf.DUMMYFUNCTION("""COMPUTED_VALUE"""),"Approve")</f>
        <v>Approve</v>
      </c>
      <c r="L264" s="3" t="str">
        <f>IFERROR(__xludf.DUMMYFUNCTION("""COMPUTED_VALUE"""),"Normal")</f>
        <v>Normal</v>
      </c>
      <c r="M264" s="3" t="str">
        <f>IFERROR(__xludf.DUMMYFUNCTION("""COMPUTED_VALUE"""),"Non Urgent")</f>
        <v>Non Urgent</v>
      </c>
    </row>
    <row r="265">
      <c r="A265" s="4">
        <f>IFERROR(__xludf.DUMMYFUNCTION("""COMPUTED_VALUE"""),45834.858387569446)</f>
        <v>45834.85839</v>
      </c>
      <c r="B265" s="3" t="str">
        <f>IFERROR(__xludf.DUMMYFUNCTION("""COMPUTED_VALUE"""),"MFHRO0108")</f>
        <v>MFHRO0108</v>
      </c>
      <c r="C265" s="3" t="str">
        <f>IFERROR(__xludf.DUMMYFUNCTION("""COMPUTED_VALUE"""),"Consumable")</f>
        <v>Consumable</v>
      </c>
      <c r="D265" s="3" t="str">
        <f>IFERROR(__xludf.DUMMYFUNCTION("""COMPUTED_VALUE"""),"-")</f>
        <v>-</v>
      </c>
      <c r="E265" s="3" t="str">
        <f>IFERROR(__xludf.DUMMYFUNCTION("""COMPUTED_VALUE"""),"General")</f>
        <v>General</v>
      </c>
      <c r="F265" s="3" t="str">
        <f>IFERROR(__xludf.DUMMYFUNCTION("""COMPUTED_VALUE"""),"General - Silicone Gasket for Ferrule dia. 3/4""; -; -; 1 Pc")</f>
        <v>General - Silicone Gasket for Ferrule dia. 3/4"; -; -; 1 Pc</v>
      </c>
      <c r="G265" s="3">
        <f>IFERROR(__xludf.DUMMYFUNCTION("""COMPUTED_VALUE"""),20.0)</f>
        <v>20</v>
      </c>
      <c r="H265" s="3" t="str">
        <f>IFERROR(__xludf.DUMMYFUNCTION("""COMPUTED_VALUE"""),"Pieces")</f>
        <v>Pieces</v>
      </c>
      <c r="I265" s="3" t="str">
        <f>IFERROR(__xludf.DUMMYFUNCTION("""COMPUTED_VALUE"""),"Untuk Consumble ENG 121702794 2338")</f>
        <v>Untuk Consumble ENG 121702794 2338</v>
      </c>
      <c r="J265" s="3" t="str">
        <f>IFERROR(__xludf.DUMMYFUNCTION("""COMPUTED_VALUE"""),"O-14640-00")</f>
        <v>O-14640-00</v>
      </c>
      <c r="K265" s="3" t="str">
        <f>IFERROR(__xludf.DUMMYFUNCTION("""COMPUTED_VALUE"""),"Approve")</f>
        <v>Approve</v>
      </c>
      <c r="L265" s="3" t="str">
        <f>IFERROR(__xludf.DUMMYFUNCTION("""COMPUTED_VALUE"""),"Normal")</f>
        <v>Normal</v>
      </c>
      <c r="M265" s="3" t="str">
        <f>IFERROR(__xludf.DUMMYFUNCTION("""COMPUTED_VALUE"""),"Non Urgent")</f>
        <v>Non Urgent</v>
      </c>
    </row>
    <row r="266">
      <c r="A266" s="4">
        <f>IFERROR(__xludf.DUMMYFUNCTION("""COMPUTED_VALUE"""),45834.858387569446)</f>
        <v>45834.85839</v>
      </c>
      <c r="B266" s="3" t="str">
        <f>IFERROR(__xludf.DUMMYFUNCTION("""COMPUTED_VALUE"""),"MFHRO0109")</f>
        <v>MFHRO0109</v>
      </c>
      <c r="C266" s="3" t="str">
        <f>IFERROR(__xludf.DUMMYFUNCTION("""COMPUTED_VALUE"""),"Consumable")</f>
        <v>Consumable</v>
      </c>
      <c r="D266" s="3" t="str">
        <f>IFERROR(__xludf.DUMMYFUNCTION("""COMPUTED_VALUE"""),"-")</f>
        <v>-</v>
      </c>
      <c r="E266" s="3" t="str">
        <f>IFERROR(__xludf.DUMMYFUNCTION("""COMPUTED_VALUE"""),"PWG")</f>
        <v>PWG</v>
      </c>
      <c r="F266" s="3" t="str">
        <f>IFERROR(__xludf.DUMMYFUNCTION("""COMPUTED_VALUE"""),"General - Water Hardness Test Kit; No Brand; -; 1 Pc")</f>
        <v>General - Water Hardness Test Kit; No Brand; -; 1 Pc</v>
      </c>
      <c r="G266" s="3">
        <f>IFERROR(__xludf.DUMMYFUNCTION("""COMPUTED_VALUE"""),3.0)</f>
        <v>3</v>
      </c>
      <c r="H266" s="3" t="str">
        <f>IFERROR(__xludf.DUMMYFUNCTION("""COMPUTED_VALUE"""),"Box")</f>
        <v>Box</v>
      </c>
      <c r="I266" s="3" t="str">
        <f>IFERROR(__xludf.DUMMYFUNCTION("""COMPUTED_VALUE"""),"Untuk PWG habis stok 121702813 2348")</f>
        <v>Untuk PWG habis stok 121702813 2348</v>
      </c>
      <c r="J266" s="3" t="str">
        <f>IFERROR(__xludf.DUMMYFUNCTION("""COMPUTED_VALUE"""),"P-15938-00")</f>
        <v>P-15938-00</v>
      </c>
      <c r="K266" s="3" t="str">
        <f>IFERROR(__xludf.DUMMYFUNCTION("""COMPUTED_VALUE"""),"Approve")</f>
        <v>Approve</v>
      </c>
      <c r="L266" s="3" t="str">
        <f>IFERROR(__xludf.DUMMYFUNCTION("""COMPUTED_VALUE"""),"Normal")</f>
        <v>Normal</v>
      </c>
      <c r="M266" s="3" t="str">
        <f>IFERROR(__xludf.DUMMYFUNCTION("""COMPUTED_VALUE"""),"Non Urgent")</f>
        <v>Non Urgent</v>
      </c>
    </row>
    <row r="267">
      <c r="A267" s="4">
        <f>IFERROR(__xludf.DUMMYFUNCTION("""COMPUTED_VALUE"""),45834.858387569446)</f>
        <v>45834.85839</v>
      </c>
      <c r="B267" s="3" t="str">
        <f>IFERROR(__xludf.DUMMYFUNCTION("""COMPUTED_VALUE"""),"MFHRO0110")</f>
        <v>MFHRO0110</v>
      </c>
      <c r="C267" s="3" t="str">
        <f>IFERROR(__xludf.DUMMYFUNCTION("""COMPUTED_VALUE"""),"Consumable")</f>
        <v>Consumable</v>
      </c>
      <c r="D267" s="3" t="str">
        <f>IFERROR(__xludf.DUMMYFUNCTION("""COMPUTED_VALUE"""),"-")</f>
        <v>-</v>
      </c>
      <c r="E267" s="3" t="str">
        <f>IFERROR(__xludf.DUMMYFUNCTION("""COMPUTED_VALUE"""),"General")</f>
        <v>General</v>
      </c>
      <c r="F267" s="3" t="str">
        <f>IFERROR(__xludf.DUMMYFUNCTION("""COMPUTED_VALUE"""),"General - Ampelas P500; EAGLE; -; 1 pcs")</f>
        <v>General - Ampelas P500; EAGLE; -; 1 pcs</v>
      </c>
      <c r="G267" s="3">
        <f>IFERROR(__xludf.DUMMYFUNCTION("""COMPUTED_VALUE"""),30.0)</f>
        <v>30</v>
      </c>
      <c r="H267" s="3" t="str">
        <f>IFERROR(__xludf.DUMMYFUNCTION("""COMPUTED_VALUE"""),"Pieces")</f>
        <v>Pieces</v>
      </c>
      <c r="I267" s="3" t="str">
        <f>IFERROR(__xludf.DUMMYFUNCTION("""COMPUTED_VALUE"""),"Untuk Consumable ENG 121702813 2349")</f>
        <v>Untuk Consumable ENG 121702813 2349</v>
      </c>
      <c r="J267" s="3" t="str">
        <f>IFERROR(__xludf.DUMMYFUNCTION("""COMPUTED_VALUE"""),"P-15852-00")</f>
        <v>P-15852-00</v>
      </c>
      <c r="K267" s="3" t="str">
        <f>IFERROR(__xludf.DUMMYFUNCTION("""COMPUTED_VALUE"""),"Approve")</f>
        <v>Approve</v>
      </c>
      <c r="L267" s="3" t="str">
        <f>IFERROR(__xludf.DUMMYFUNCTION("""COMPUTED_VALUE"""),"Normal")</f>
        <v>Normal</v>
      </c>
      <c r="M267" s="3" t="str">
        <f>IFERROR(__xludf.DUMMYFUNCTION("""COMPUTED_VALUE"""),"Non Urgent")</f>
        <v>Non Urgent</v>
      </c>
    </row>
    <row r="268">
      <c r="A268" s="4">
        <f>IFERROR(__xludf.DUMMYFUNCTION("""COMPUTED_VALUE"""),45834.858387569446)</f>
        <v>45834.85839</v>
      </c>
      <c r="B268" s="3" t="str">
        <f>IFERROR(__xludf.DUMMYFUNCTION("""COMPUTED_VALUE"""),"MFHRO0111")</f>
        <v>MFHRO0111</v>
      </c>
      <c r="C268" s="3" t="str">
        <f>IFERROR(__xludf.DUMMYFUNCTION("""COMPUTED_VALUE"""),"MIn Stok")</f>
        <v>MIn Stok</v>
      </c>
      <c r="D268" s="3" t="str">
        <f>IFERROR(__xludf.DUMMYFUNCTION("""COMPUTED_VALUE"""),"-")</f>
        <v>-</v>
      </c>
      <c r="E268" s="3" t="str">
        <f>IFERROR(__xludf.DUMMYFUNCTION("""COMPUTED_VALUE"""),"Lift")</f>
        <v>Lift</v>
      </c>
      <c r="F268" s="3" t="str">
        <f>IFERROR(__xludf.DUMMYFUNCTION("""COMPUTED_VALUE"""),"SCHINDLER ELEVATOR - Interphone; Schindler; -; 1 pc")</f>
        <v>SCHINDLER ELEVATOR - Interphone; Schindler; -; 1 pc</v>
      </c>
      <c r="G268" s="3">
        <f>IFERROR(__xludf.DUMMYFUNCTION("""COMPUTED_VALUE"""),1.0)</f>
        <v>1</v>
      </c>
      <c r="H268" s="3" t="str">
        <f>IFERROR(__xludf.DUMMYFUNCTION("""COMPUTED_VALUE"""),"Pieces")</f>
        <v>Pieces</v>
      </c>
      <c r="I268" s="3" t="str">
        <f>IFERROR(__xludf.DUMMYFUNCTION("""COMPUTED_VALUE"""),"Untuk Perbaikan Lift 121702833 2366")</f>
        <v>Untuk Perbaikan Lift 121702833 2366</v>
      </c>
      <c r="J268" s="3" t="str">
        <f>IFERROR(__xludf.DUMMYFUNCTION("""COMPUTED_VALUE"""),"P-54284-00")</f>
        <v>P-54284-00</v>
      </c>
      <c r="K268" s="3" t="str">
        <f>IFERROR(__xludf.DUMMYFUNCTION("""COMPUTED_VALUE"""),"Approve")</f>
        <v>Approve</v>
      </c>
      <c r="L268" s="3" t="str">
        <f>IFERROR(__xludf.DUMMYFUNCTION("""COMPUTED_VALUE"""),"Normal")</f>
        <v>Normal</v>
      </c>
      <c r="M268" s="3" t="str">
        <f>IFERROR(__xludf.DUMMYFUNCTION("""COMPUTED_VALUE"""),"Non Urgent")</f>
        <v>Non Urgent</v>
      </c>
    </row>
    <row r="269">
      <c r="A269" s="4">
        <f>IFERROR(__xludf.DUMMYFUNCTION("""COMPUTED_VALUE"""),45834.858387569446)</f>
        <v>45834.85839</v>
      </c>
      <c r="B269" s="3" t="str">
        <f>IFERROR(__xludf.DUMMYFUNCTION("""COMPUTED_VALUE"""),"MFHRO0112")</f>
        <v>MFHRO0112</v>
      </c>
      <c r="C269" s="3" t="str">
        <f>IFERROR(__xludf.DUMMYFUNCTION("""COMPUTED_VALUE"""),"MIn Stok")</f>
        <v>MIn Stok</v>
      </c>
      <c r="D269" s="3" t="str">
        <f>IFERROR(__xludf.DUMMYFUNCTION("""COMPUTED_VALUE"""),"-")</f>
        <v>-</v>
      </c>
      <c r="E269" s="3" t="str">
        <f>IFERROR(__xludf.DUMMYFUNCTION("""COMPUTED_VALUE"""),"Lift")</f>
        <v>Lift</v>
      </c>
      <c r="F269" s="3" t="str">
        <f>IFERROR(__xludf.DUMMYFUNCTION("""COMPUTED_VALUE"""),"SCHINDLER ELEVATOR - Door Shoe; ; ;")</f>
        <v>SCHINDLER ELEVATOR - Door Shoe; ; ;</v>
      </c>
      <c r="G269" s="3">
        <f>IFERROR(__xludf.DUMMYFUNCTION("""COMPUTED_VALUE"""),4.0)</f>
        <v>4</v>
      </c>
      <c r="H269" s="3" t="str">
        <f>IFERROR(__xludf.DUMMYFUNCTION("""COMPUTED_VALUE"""),"Pieces")</f>
        <v>Pieces</v>
      </c>
      <c r="I269" s="3" t="str">
        <f>IFERROR(__xludf.DUMMYFUNCTION("""COMPUTED_VALUE"""),"Untuk Perbaikan Lift 121702833 2367")</f>
        <v>Untuk Perbaikan Lift 121702833 2367</v>
      </c>
      <c r="J269" s="3" t="str">
        <f>IFERROR(__xludf.DUMMYFUNCTION("""COMPUTED_VALUE"""),"P-17899-00")</f>
        <v>P-17899-00</v>
      </c>
      <c r="K269" s="3" t="str">
        <f>IFERROR(__xludf.DUMMYFUNCTION("""COMPUTED_VALUE"""),"Approve")</f>
        <v>Approve</v>
      </c>
      <c r="L269" s="3" t="str">
        <f>IFERROR(__xludf.DUMMYFUNCTION("""COMPUTED_VALUE"""),"Normal")</f>
        <v>Normal</v>
      </c>
      <c r="M269" s="3" t="str">
        <f>IFERROR(__xludf.DUMMYFUNCTION("""COMPUTED_VALUE"""),"Non Urgent")</f>
        <v>Non Urgent</v>
      </c>
    </row>
    <row r="270">
      <c r="A270" s="4">
        <f>IFERROR(__xludf.DUMMYFUNCTION("""COMPUTED_VALUE"""),45834.858387569446)</f>
        <v>45834.85839</v>
      </c>
      <c r="B270" s="3" t="str">
        <f>IFERROR(__xludf.DUMMYFUNCTION("""COMPUTED_VALUE"""),"MFHRO0113")</f>
        <v>MFHRO0113</v>
      </c>
      <c r="C270" s="3" t="str">
        <f>IFERROR(__xludf.DUMMYFUNCTION("""COMPUTED_VALUE"""),"MIn Stok")</f>
        <v>MIn Stok</v>
      </c>
      <c r="D270" s="3" t="str">
        <f>IFERROR(__xludf.DUMMYFUNCTION("""COMPUTED_VALUE"""),"-")</f>
        <v>-</v>
      </c>
      <c r="E270" s="3" t="str">
        <f>IFERROR(__xludf.DUMMYFUNCTION("""COMPUTED_VALUE"""),"Lift")</f>
        <v>Lift</v>
      </c>
      <c r="F270" s="3" t="str">
        <f>IFERROR(__xludf.DUMMYFUNCTION("""COMPUTED_VALUE"""),"SCHINDLER ELEVATOR - Ceiling Lamp Cover; ; ;")</f>
        <v>SCHINDLER ELEVATOR - Ceiling Lamp Cover; ; ;</v>
      </c>
      <c r="G270" s="3">
        <f>IFERROR(__xludf.DUMMYFUNCTION("""COMPUTED_VALUE"""),1.0)</f>
        <v>1</v>
      </c>
      <c r="H270" s="3" t="str">
        <f>IFERROR(__xludf.DUMMYFUNCTION("""COMPUTED_VALUE"""),"Pieces")</f>
        <v>Pieces</v>
      </c>
      <c r="I270" s="3" t="str">
        <f>IFERROR(__xludf.DUMMYFUNCTION("""COMPUTED_VALUE"""),"Untuk Perbaikan Lift 121702833 2368")</f>
        <v>Untuk Perbaikan Lift 121702833 2368</v>
      </c>
      <c r="J270" s="3" t="str">
        <f>IFERROR(__xludf.DUMMYFUNCTION("""COMPUTED_VALUE"""),"Q-10949-00")</f>
        <v>Q-10949-00</v>
      </c>
      <c r="K270" s="3" t="str">
        <f>IFERROR(__xludf.DUMMYFUNCTION("""COMPUTED_VALUE"""),"Approve")</f>
        <v>Approve</v>
      </c>
      <c r="L270" s="3" t="str">
        <f>IFERROR(__xludf.DUMMYFUNCTION("""COMPUTED_VALUE"""),"Normal")</f>
        <v>Normal</v>
      </c>
      <c r="M270" s="3" t="str">
        <f>IFERROR(__xludf.DUMMYFUNCTION("""COMPUTED_VALUE"""),"Non Urgent")</f>
        <v>Non Urgent</v>
      </c>
    </row>
    <row r="271">
      <c r="A271" s="4">
        <f>IFERROR(__xludf.DUMMYFUNCTION("""COMPUTED_VALUE"""),45834.858387569446)</f>
        <v>45834.85839</v>
      </c>
      <c r="B271" s="3" t="str">
        <f>IFERROR(__xludf.DUMMYFUNCTION("""COMPUTED_VALUE"""),"MFHRO0114")</f>
        <v>MFHRO0114</v>
      </c>
      <c r="C271" s="3" t="str">
        <f>IFERROR(__xludf.DUMMYFUNCTION("""COMPUTED_VALUE"""),"MIn Stok")</f>
        <v>MIn Stok</v>
      </c>
      <c r="D271" s="3" t="str">
        <f>IFERROR(__xludf.DUMMYFUNCTION("""COMPUTED_VALUE"""),"-")</f>
        <v>-</v>
      </c>
      <c r="E271" s="3" t="str">
        <f>IFERROR(__xludf.DUMMYFUNCTION("""COMPUTED_VALUE"""),"Lift")</f>
        <v>Lift</v>
      </c>
      <c r="F271" s="3" t="str">
        <f>IFERROR(__xludf.DUMMYFUNCTION("""COMPUTED_VALUE"""),"PCBA LIFT SCOPCA 5.Q;Schindler Elevator;;pack size per unit")</f>
        <v>PCBA LIFT SCOPCA 5.Q;Schindler Elevator;;pack size per unit</v>
      </c>
      <c r="G271" s="3">
        <f>IFERROR(__xludf.DUMMYFUNCTION("""COMPUTED_VALUE"""),1.0)</f>
        <v>1</v>
      </c>
      <c r="H271" s="3" t="str">
        <f>IFERROR(__xludf.DUMMYFUNCTION("""COMPUTED_VALUE"""),"Unit")</f>
        <v>Unit</v>
      </c>
      <c r="I271" s="3" t="str">
        <f>IFERROR(__xludf.DUMMYFUNCTION("""COMPUTED_VALUE"""),"Untuk Perbaikan Lift 121702833 2369")</f>
        <v>Untuk Perbaikan Lift 121702833 2369</v>
      </c>
      <c r="J271" s="3" t="str">
        <f>IFERROR(__xludf.DUMMYFUNCTION("""COMPUTED_VALUE"""),"Q-54157-00")</f>
        <v>Q-54157-00</v>
      </c>
      <c r="K271" s="3" t="str">
        <f>IFERROR(__xludf.DUMMYFUNCTION("""COMPUTED_VALUE"""),"Approve")</f>
        <v>Approve</v>
      </c>
      <c r="L271" s="3" t="str">
        <f>IFERROR(__xludf.DUMMYFUNCTION("""COMPUTED_VALUE"""),"Normal")</f>
        <v>Normal</v>
      </c>
      <c r="M271" s="3" t="str">
        <f>IFERROR(__xludf.DUMMYFUNCTION("""COMPUTED_VALUE"""),"Non Urgent")</f>
        <v>Non Urgent</v>
      </c>
    </row>
    <row r="272">
      <c r="A272" s="4">
        <f>IFERROR(__xludf.DUMMYFUNCTION("""COMPUTED_VALUE"""),45834.858387569446)</f>
        <v>45834.85839</v>
      </c>
      <c r="B272" s="3" t="str">
        <f>IFERROR(__xludf.DUMMYFUNCTION("""COMPUTED_VALUE"""),"MFHRO0115")</f>
        <v>MFHRO0115</v>
      </c>
      <c r="C272" s="3" t="str">
        <f>IFERROR(__xludf.DUMMYFUNCTION("""COMPUTED_VALUE"""),"MIn Stok")</f>
        <v>MIn Stok</v>
      </c>
      <c r="D272" s="3" t="str">
        <f>IFERROR(__xludf.DUMMYFUNCTION("""COMPUTED_VALUE"""),"-")</f>
        <v>-</v>
      </c>
      <c r="E272" s="3" t="str">
        <f>IFERROR(__xludf.DUMMYFUNCTION("""COMPUTED_VALUE"""),"HPLC")</f>
        <v>HPLC</v>
      </c>
      <c r="F272" s="3" t="str">
        <f>IFERROR(__xludf.DUMMYFUNCTION("""COMPUTED_VALUE"""),"PerformancePlus Check Valve Cartridge; Waters; p/n 700002399;")</f>
        <v>PerformancePlus Check Valve Cartridge; Waters; p/n 700002399;</v>
      </c>
      <c r="G272" s="3">
        <f>IFERROR(__xludf.DUMMYFUNCTION("""COMPUTED_VALUE"""),7.0)</f>
        <v>7</v>
      </c>
      <c r="H272" s="3" t="str">
        <f>IFERROR(__xludf.DUMMYFUNCTION("""COMPUTED_VALUE"""),"Pieces")</f>
        <v>Pieces</v>
      </c>
      <c r="I272" s="3" t="str">
        <f>IFERROR(__xludf.DUMMYFUNCTION("""COMPUTED_VALUE"""),"Untuk HPLC 121702762 2297")</f>
        <v>Untuk HPLC 121702762 2297</v>
      </c>
      <c r="J272" s="3" t="str">
        <f>IFERROR(__xludf.DUMMYFUNCTION("""COMPUTED_VALUE"""),"T-20055-00")</f>
        <v>T-20055-00</v>
      </c>
      <c r="K272" s="3" t="str">
        <f>IFERROR(__xludf.DUMMYFUNCTION("""COMPUTED_VALUE"""),"Approve")</f>
        <v>Approve</v>
      </c>
      <c r="L272" s="3" t="str">
        <f>IFERROR(__xludf.DUMMYFUNCTION("""COMPUTED_VALUE"""),"Normal")</f>
        <v>Normal</v>
      </c>
      <c r="M272" s="3" t="str">
        <f>IFERROR(__xludf.DUMMYFUNCTION("""COMPUTED_VALUE"""),"Non Urgent")</f>
        <v>Non Urgent</v>
      </c>
    </row>
    <row r="273">
      <c r="A273" s="4">
        <f>IFERROR(__xludf.DUMMYFUNCTION("""COMPUTED_VALUE"""),45834.858387569446)</f>
        <v>45834.85839</v>
      </c>
      <c r="B273" s="3" t="str">
        <f>IFERROR(__xludf.DUMMYFUNCTION("""COMPUTED_VALUE"""),"MFHRO0116")</f>
        <v>MFHRO0116</v>
      </c>
      <c r="C273" s="3" t="str">
        <f>IFERROR(__xludf.DUMMYFUNCTION("""COMPUTED_VALUE"""),"MIn Stok")</f>
        <v>MIn Stok</v>
      </c>
      <c r="D273" s="3" t="str">
        <f>IFERROR(__xludf.DUMMYFUNCTION("""COMPUTED_VALUE"""),"-")</f>
        <v>-</v>
      </c>
      <c r="E273" s="3" t="str">
        <f>IFERROR(__xludf.DUMMYFUNCTION("""COMPUTED_VALUE"""),"Capping")</f>
        <v>Capping</v>
      </c>
      <c r="F273" s="3" t="str">
        <f>IFERROR(__xludf.DUMMYFUNCTION("""COMPUTED_VALUE"""),"General - Main Motor Caping; Bonfiglioli; BE80B4; 1 Unit")</f>
        <v>General - Main Motor Caping; Bonfiglioli; BE80B4; 1 Unit</v>
      </c>
      <c r="G273" s="3">
        <f>IFERROR(__xludf.DUMMYFUNCTION("""COMPUTED_VALUE"""),1.0)</f>
        <v>1</v>
      </c>
      <c r="H273" s="3" t="str">
        <f>IFERROR(__xludf.DUMMYFUNCTION("""COMPUTED_VALUE"""),"Unit")</f>
        <v>Unit</v>
      </c>
      <c r="I273" s="3" t="str">
        <f>IFERROR(__xludf.DUMMYFUNCTION("""COMPUTED_VALUE"""),"Untuk Capping 121702834 2370")</f>
        <v>Untuk Capping 121702834 2370</v>
      </c>
      <c r="J273" s="3" t="str">
        <f>IFERROR(__xludf.DUMMYFUNCTION("""COMPUTED_VALUE"""),"O-20500-00")</f>
        <v>O-20500-00</v>
      </c>
      <c r="K273" s="3" t="str">
        <f>IFERROR(__xludf.DUMMYFUNCTION("""COMPUTED_VALUE"""),"Approve")</f>
        <v>Approve</v>
      </c>
      <c r="L273" s="3" t="str">
        <f>IFERROR(__xludf.DUMMYFUNCTION("""COMPUTED_VALUE"""),"Normal")</f>
        <v>Normal</v>
      </c>
      <c r="M273" s="3" t="str">
        <f>IFERROR(__xludf.DUMMYFUNCTION("""COMPUTED_VALUE"""),"Non Urgent")</f>
        <v>Non Urgent</v>
      </c>
    </row>
    <row r="274">
      <c r="A274" s="4">
        <f>IFERROR(__xludf.DUMMYFUNCTION("""COMPUTED_VALUE"""),45834.858387569446)</f>
        <v>45834.85839</v>
      </c>
      <c r="B274" s="3" t="str">
        <f>IFERROR(__xludf.DUMMYFUNCTION("""COMPUTED_VALUE"""),"MFHRO0117")</f>
        <v>MFHRO0117</v>
      </c>
      <c r="C274" s="3" t="str">
        <f>IFERROR(__xludf.DUMMYFUNCTION("""COMPUTED_VALUE"""),"MIn Stok")</f>
        <v>MIn Stok</v>
      </c>
      <c r="D274" s="3" t="str">
        <f>IFERROR(__xludf.DUMMYFUNCTION("""COMPUTED_VALUE"""),"-")</f>
        <v>-</v>
      </c>
      <c r="E274" s="3" t="str">
        <f>IFERROR(__xludf.DUMMYFUNCTION("""COMPUTED_VALUE"""),"Washing")</f>
        <v>Washing</v>
      </c>
      <c r="F274" s="3" t="str">
        <f>IFERROR(__xludf.DUMMYFUNCTION("""COMPUTED_VALUE"""),"General - Gearbox Washing; Bonfiglioli; VF44 A 60 B5 B3; 1 Unit")</f>
        <v>General - Gearbox Washing; Bonfiglioli; VF44 A 60 B5 B3; 1 Unit</v>
      </c>
      <c r="G274" s="3">
        <f>IFERROR(__xludf.DUMMYFUNCTION("""COMPUTED_VALUE"""),1.0)</f>
        <v>1</v>
      </c>
      <c r="H274" s="3" t="str">
        <f>IFERROR(__xludf.DUMMYFUNCTION("""COMPUTED_VALUE"""),"Unit")</f>
        <v>Unit</v>
      </c>
      <c r="I274" s="3" t="str">
        <f>IFERROR(__xludf.DUMMYFUNCTION("""COMPUTED_VALUE"""),"Untuk Washing 121702834 2371")</f>
        <v>Untuk Washing 121702834 2371</v>
      </c>
      <c r="J274" s="3" t="str">
        <f>IFERROR(__xludf.DUMMYFUNCTION("""COMPUTED_VALUE"""),"O-20501-00")</f>
        <v>O-20501-00</v>
      </c>
      <c r="K274" s="3" t="str">
        <f>IFERROR(__xludf.DUMMYFUNCTION("""COMPUTED_VALUE"""),"Approve")</f>
        <v>Approve</v>
      </c>
      <c r="L274" s="3" t="str">
        <f>IFERROR(__xludf.DUMMYFUNCTION("""COMPUTED_VALUE"""),"Normal")</f>
        <v>Normal</v>
      </c>
      <c r="M274" s="3" t="str">
        <f>IFERROR(__xludf.DUMMYFUNCTION("""COMPUTED_VALUE"""),"Non Urgent")</f>
        <v>Non Urgent</v>
      </c>
    </row>
    <row r="275">
      <c r="A275" s="4">
        <f>IFERROR(__xludf.DUMMYFUNCTION("""COMPUTED_VALUE"""),45834.858387569446)</f>
        <v>45834.85839</v>
      </c>
      <c r="B275" s="3" t="str">
        <f>IFERROR(__xludf.DUMMYFUNCTION("""COMPUTED_VALUE"""),"MFHRO0118")</f>
        <v>MFHRO0118</v>
      </c>
      <c r="C275" s="3" t="str">
        <f>IFERROR(__xludf.DUMMYFUNCTION("""COMPUTED_VALUE"""),"MIn Stok")</f>
        <v>MIn Stok</v>
      </c>
      <c r="D275" s="3" t="str">
        <f>IFERROR(__xludf.DUMMYFUNCTION("""COMPUTED_VALUE"""),"-")</f>
        <v>-</v>
      </c>
      <c r="E275" s="3" t="str">
        <f>IFERROR(__xludf.DUMMYFUNCTION("""COMPUTED_VALUE"""),"Capping")</f>
        <v>Capping</v>
      </c>
      <c r="F275" s="3" t="str">
        <f>IFERROR(__xludf.DUMMYFUNCTION("""COMPUTED_VALUE"""),"General - Gearbox Naik Turun Turet; Bonfiglioli; VF30 P 7 B3; 1 Pc")</f>
        <v>General - Gearbox Naik Turun Turet; Bonfiglioli; VF30 P 7 B3; 1 Pc</v>
      </c>
      <c r="G275" s="3">
        <f>IFERROR(__xludf.DUMMYFUNCTION("""COMPUTED_VALUE"""),1.0)</f>
        <v>1</v>
      </c>
      <c r="H275" s="3" t="str">
        <f>IFERROR(__xludf.DUMMYFUNCTION("""COMPUTED_VALUE"""),"Pieces")</f>
        <v>Pieces</v>
      </c>
      <c r="I275" s="3" t="str">
        <f>IFERROR(__xludf.DUMMYFUNCTION("""COMPUTED_VALUE"""),"Untuk Capping 121702834 2372")</f>
        <v>Untuk Capping 121702834 2372</v>
      </c>
      <c r="J275" s="3" t="str">
        <f>IFERROR(__xludf.DUMMYFUNCTION("""COMPUTED_VALUE"""),"O-20498-00")</f>
        <v>O-20498-00</v>
      </c>
      <c r="K275" s="3" t="str">
        <f>IFERROR(__xludf.DUMMYFUNCTION("""COMPUTED_VALUE"""),"Approve")</f>
        <v>Approve</v>
      </c>
      <c r="L275" s="3" t="str">
        <f>IFERROR(__xludf.DUMMYFUNCTION("""COMPUTED_VALUE"""),"Normal")</f>
        <v>Normal</v>
      </c>
      <c r="M275" s="3" t="str">
        <f>IFERROR(__xludf.DUMMYFUNCTION("""COMPUTED_VALUE"""),"Non Urgent")</f>
        <v>Non Urgent</v>
      </c>
    </row>
    <row r="276">
      <c r="A276" s="4">
        <f>IFERROR(__xludf.DUMMYFUNCTION("""COMPUTED_VALUE"""),45834.858387569446)</f>
        <v>45834.85839</v>
      </c>
      <c r="B276" s="3" t="str">
        <f>IFERROR(__xludf.DUMMYFUNCTION("""COMPUTED_VALUE"""),"MFHRO0119")</f>
        <v>MFHRO0119</v>
      </c>
      <c r="C276" s="3" t="str">
        <f>IFERROR(__xludf.DUMMYFUNCTION("""COMPUTED_VALUE"""),"MIn Stok")</f>
        <v>MIn Stok</v>
      </c>
      <c r="D276" s="3" t="str">
        <f>IFERROR(__xludf.DUMMYFUNCTION("""COMPUTED_VALUE"""),"-")</f>
        <v>-</v>
      </c>
      <c r="E276" s="3" t="str">
        <f>IFERROR(__xludf.DUMMYFUNCTION("""COMPUTED_VALUE"""),"Capping")</f>
        <v>Capping</v>
      </c>
      <c r="F276" s="3" t="str">
        <f>IFERROR(__xludf.DUMMYFUNCTION("""COMPUTED_VALUE"""),"General - Gearbox Caps Chute; Bonfiglioli; VF44 P 7 B3; 1 Pc")</f>
        <v>General - Gearbox Caps Chute; Bonfiglioli; VF44 P 7 B3; 1 Pc</v>
      </c>
      <c r="G276" s="3">
        <f>IFERROR(__xludf.DUMMYFUNCTION("""COMPUTED_VALUE"""),1.0)</f>
        <v>1</v>
      </c>
      <c r="H276" s="3" t="str">
        <f>IFERROR(__xludf.DUMMYFUNCTION("""COMPUTED_VALUE"""),"Pieces")</f>
        <v>Pieces</v>
      </c>
      <c r="I276" s="3" t="str">
        <f>IFERROR(__xludf.DUMMYFUNCTION("""COMPUTED_VALUE"""),"Untuk Capping 121702834 2373")</f>
        <v>Untuk Capping 121702834 2373</v>
      </c>
      <c r="J276" s="3" t="str">
        <f>IFERROR(__xludf.DUMMYFUNCTION("""COMPUTED_VALUE"""),"O-20499-00")</f>
        <v>O-20499-00</v>
      </c>
      <c r="K276" s="3" t="str">
        <f>IFERROR(__xludf.DUMMYFUNCTION("""COMPUTED_VALUE"""),"Approve")</f>
        <v>Approve</v>
      </c>
      <c r="L276" s="3" t="str">
        <f>IFERROR(__xludf.DUMMYFUNCTION("""COMPUTED_VALUE"""),"Normal")</f>
        <v>Normal</v>
      </c>
      <c r="M276" s="3" t="str">
        <f>IFERROR(__xludf.DUMMYFUNCTION("""COMPUTED_VALUE"""),"Non Urgent")</f>
        <v>Non Urgent</v>
      </c>
    </row>
    <row r="277">
      <c r="A277" s="4">
        <f>IFERROR(__xludf.DUMMYFUNCTION("""COMPUTED_VALUE"""),45834.858387569446)</f>
        <v>45834.85839</v>
      </c>
      <c r="B277" s="3" t="str">
        <f>IFERROR(__xludf.DUMMYFUNCTION("""COMPUTED_VALUE"""),"MFHRO0120")</f>
        <v>MFHRO0120</v>
      </c>
      <c r="C277" s="3" t="str">
        <f>IFERROR(__xludf.DUMMYFUNCTION("""COMPUTED_VALUE"""),"MIn Stok")</f>
        <v>MIn Stok</v>
      </c>
      <c r="D277" s="3" t="str">
        <f>IFERROR(__xludf.DUMMYFUNCTION("""COMPUTED_VALUE"""),"-")</f>
        <v>-</v>
      </c>
      <c r="E277" s="3" t="str">
        <f>IFERROR(__xludf.DUMMYFUNCTION("""COMPUTED_VALUE"""),"Capping")</f>
        <v>Capping</v>
      </c>
      <c r="F277" s="3" t="str">
        <f>IFERROR(__xludf.DUMMYFUNCTION("""COMPUTED_VALUE"""),"General - Gear Motor Infeed Caping; Bonfiglioli; VF30 P 20 P63 + BN63B 4; 1 Unit")</f>
        <v>General - Gear Motor Infeed Caping; Bonfiglioli; VF30 P 20 P63 + BN63B 4; 1 Unit</v>
      </c>
      <c r="G277" s="3">
        <f>IFERROR(__xludf.DUMMYFUNCTION("""COMPUTED_VALUE"""),1.0)</f>
        <v>1</v>
      </c>
      <c r="H277" s="3" t="str">
        <f>IFERROR(__xludf.DUMMYFUNCTION("""COMPUTED_VALUE"""),"Unit")</f>
        <v>Unit</v>
      </c>
      <c r="I277" s="3" t="str">
        <f>IFERROR(__xludf.DUMMYFUNCTION("""COMPUTED_VALUE"""),"Untuk Capping 121702834 2374")</f>
        <v>Untuk Capping 121702834 2374</v>
      </c>
      <c r="J277" s="3" t="str">
        <f>IFERROR(__xludf.DUMMYFUNCTION("""COMPUTED_VALUE"""),"O-20502-00")</f>
        <v>O-20502-00</v>
      </c>
      <c r="K277" s="3" t="str">
        <f>IFERROR(__xludf.DUMMYFUNCTION("""COMPUTED_VALUE"""),"Approve")</f>
        <v>Approve</v>
      </c>
      <c r="L277" s="3" t="str">
        <f>IFERROR(__xludf.DUMMYFUNCTION("""COMPUTED_VALUE"""),"Normal")</f>
        <v>Normal</v>
      </c>
      <c r="M277" s="3" t="str">
        <f>IFERROR(__xludf.DUMMYFUNCTION("""COMPUTED_VALUE"""),"Non Urgent")</f>
        <v>Non Urgent</v>
      </c>
    </row>
    <row r="278">
      <c r="A278" s="4">
        <f>IFERROR(__xludf.DUMMYFUNCTION("""COMPUTED_VALUE"""),45834.858387569446)</f>
        <v>45834.85839</v>
      </c>
      <c r="B278" s="3" t="str">
        <f>IFERROR(__xludf.DUMMYFUNCTION("""COMPUTED_VALUE"""),"MFHRO0121")</f>
        <v>MFHRO0121</v>
      </c>
      <c r="C278" s="3" t="str">
        <f>IFERROR(__xludf.DUMMYFUNCTION("""COMPUTED_VALUE"""),"MIn Stok")</f>
        <v>MIn Stok</v>
      </c>
      <c r="D278" s="3" t="str">
        <f>IFERROR(__xludf.DUMMYFUNCTION("""COMPUTED_VALUE"""),"-")</f>
        <v>-</v>
      </c>
      <c r="E278" s="3" t="str">
        <f>IFERROR(__xludf.DUMMYFUNCTION("""COMPUTED_VALUE"""),"Washing")</f>
        <v>Washing</v>
      </c>
      <c r="F278" s="3" t="str">
        <f>IFERROR(__xludf.DUMMYFUNCTION("""COMPUTED_VALUE"""),"General - Gear Motor Rotary Tabel Washing; Bonfiglioli; VFR44 P 230 S44 B3 + BN44B 4; 1 Unit")</f>
        <v>General - Gear Motor Rotary Tabel Washing; Bonfiglioli; VFR44 P 230 S44 B3 + BN44B 4; 1 Unit</v>
      </c>
      <c r="G278" s="3">
        <f>IFERROR(__xludf.DUMMYFUNCTION("""COMPUTED_VALUE"""),1.0)</f>
        <v>1</v>
      </c>
      <c r="H278" s="3" t="str">
        <f>IFERROR(__xludf.DUMMYFUNCTION("""COMPUTED_VALUE"""),"Unit")</f>
        <v>Unit</v>
      </c>
      <c r="I278" s="3" t="str">
        <f>IFERROR(__xludf.DUMMYFUNCTION("""COMPUTED_VALUE"""),"Untuk Washing 121702834 2375")</f>
        <v>Untuk Washing 121702834 2375</v>
      </c>
      <c r="J278" s="3" t="str">
        <f>IFERROR(__xludf.DUMMYFUNCTION("""COMPUTED_VALUE"""),"O-20503-00")</f>
        <v>O-20503-00</v>
      </c>
      <c r="K278" s="3" t="str">
        <f>IFERROR(__xludf.DUMMYFUNCTION("""COMPUTED_VALUE"""),"Approve")</f>
        <v>Approve</v>
      </c>
      <c r="L278" s="3" t="str">
        <f>IFERROR(__xludf.DUMMYFUNCTION("""COMPUTED_VALUE"""),"Normal")</f>
        <v>Normal</v>
      </c>
      <c r="M278" s="3" t="str">
        <f>IFERROR(__xludf.DUMMYFUNCTION("""COMPUTED_VALUE"""),"Non Urgent")</f>
        <v>Non Urgent</v>
      </c>
    </row>
    <row r="279">
      <c r="A279" s="4">
        <f>IFERROR(__xludf.DUMMYFUNCTION("""COMPUTED_VALUE"""),45841.40424186342)</f>
        <v>45841.40424</v>
      </c>
      <c r="B279" s="3" t="str">
        <f>IFERROR(__xludf.DUMMYFUNCTION("""COMPUTED_VALUE"""),"ANORO0006")</f>
        <v>ANORO0006</v>
      </c>
      <c r="C279" s="3" t="str">
        <f>IFERROR(__xludf.DUMMYFUNCTION("""COMPUTED_VALUE"""),"Consumable")</f>
        <v>Consumable</v>
      </c>
      <c r="D279" s="3" t="str">
        <f>IFERROR(__xludf.DUMMYFUNCTION("""COMPUTED_VALUE"""),"-")</f>
        <v>-</v>
      </c>
      <c r="E279" s="3" t="str">
        <f>IFERROR(__xludf.DUMMYFUNCTION("""COMPUTED_VALUE"""),"gerinda duduk")</f>
        <v>gerinda duduk</v>
      </c>
      <c r="F279" s="3" t="str">
        <f>IFERROR(__xludf.DUMMYFUNCTION("""COMPUTED_VALUE"""),"Cutting Wheel 14"" nippon resibon; ; ;")</f>
        <v>Cutting Wheel 14" nippon resibon; ; ;</v>
      </c>
      <c r="G279" s="3">
        <f>IFERROR(__xludf.DUMMYFUNCTION("""COMPUTED_VALUE"""),5.0)</f>
        <v>5</v>
      </c>
      <c r="H279" s="3" t="str">
        <f>IFERROR(__xludf.DUMMYFUNCTION("""COMPUTED_VALUE"""),"PCS")</f>
        <v>PCS</v>
      </c>
      <c r="I279" s="3" t="str">
        <f>IFERROR(__xludf.DUMMYFUNCTION("""COMPUTED_VALUE"""),"untuk keperluan memeotong plat plat")</f>
        <v>untuk keperluan memeotong plat plat</v>
      </c>
      <c r="J279" s="3" t="str">
        <f>IFERROR(__xludf.DUMMYFUNCTION("""COMPUTED_VALUE"""),"P-13365-00")</f>
        <v>P-13365-00</v>
      </c>
      <c r="K279" s="3" t="str">
        <f>IFERROR(__xludf.DUMMYFUNCTION("""COMPUTED_VALUE"""),"Approve")</f>
        <v>Approve</v>
      </c>
      <c r="L279" s="3" t="str">
        <f>IFERROR(__xludf.DUMMYFUNCTION("""COMPUTED_VALUE"""),"Normal")</f>
        <v>Normal</v>
      </c>
      <c r="M279" s="3" t="str">
        <f>IFERROR(__xludf.DUMMYFUNCTION("""COMPUTED_VALUE"""),"Non Urgent")</f>
        <v>Non Urgent</v>
      </c>
    </row>
    <row r="280">
      <c r="A280" s="4">
        <f>IFERROR(__xludf.DUMMYFUNCTION("""COMPUTED_VALUE"""),45841.63937402778)</f>
        <v>45841.63937</v>
      </c>
      <c r="B280" s="3" t="str">
        <f>IFERROR(__xludf.DUMMYFUNCTION("""COMPUTED_VALUE"""),"ROSRO0009")</f>
        <v>ROSRO0009</v>
      </c>
      <c r="C280" s="3" t="str">
        <f>IFERROR(__xludf.DUMMYFUNCTION("""COMPUTED_VALUE"""),"Consumable")</f>
        <v>Consumable</v>
      </c>
      <c r="D280" s="3" t="str">
        <f>IFERROR(__xludf.DUMMYFUNCTION("""COMPUTED_VALUE"""),"-")</f>
        <v>-</v>
      </c>
      <c r="E280" s="3" t="str">
        <f>IFERROR(__xludf.DUMMYFUNCTION("""COMPUTED_VALUE"""),"tunnel")</f>
        <v>tunnel</v>
      </c>
      <c r="F280" s="3" t="str">
        <f>IFERROR(__xludf.DUMMYFUNCTION("""COMPUTED_VALUE"""),"Tunnel ST1L - Potentiometer Model 10K 3turns P/n: 3757; ; ;")</f>
        <v>Tunnel ST1L - Potentiometer Model 10K 3turns P/n: 3757; ; ;</v>
      </c>
      <c r="G280" s="3">
        <f>IFERROR(__xludf.DUMMYFUNCTION("""COMPUTED_VALUE"""),5.0)</f>
        <v>5</v>
      </c>
      <c r="H280" s="3" t="str">
        <f>IFERROR(__xludf.DUMMYFUNCTION("""COMPUTED_VALUE"""),"pcs")</f>
        <v>pcs</v>
      </c>
      <c r="I280" s="3" t="str">
        <f>IFERROR(__xludf.DUMMYFUNCTION("""COMPUTED_VALUE"""),"stok sparepart ")</f>
        <v>stok sparepart </v>
      </c>
      <c r="J280" s="3" t="str">
        <f>IFERROR(__xludf.DUMMYFUNCTION("""COMPUTED_VALUE"""),"O-16943-00")</f>
        <v>O-16943-00</v>
      </c>
      <c r="K280" s="3" t="str">
        <f>IFERROR(__xludf.DUMMYFUNCTION("""COMPUTED_VALUE"""),"Approve")</f>
        <v>Approve</v>
      </c>
      <c r="L280" s="3" t="str">
        <f>IFERROR(__xludf.DUMMYFUNCTION("""COMPUTED_VALUE"""),"Normal")</f>
        <v>Normal</v>
      </c>
      <c r="M280" s="3" t="str">
        <f>IFERROR(__xludf.DUMMYFUNCTION("""COMPUTED_VALUE"""),"Non Urgent")</f>
        <v>Non Urgent</v>
      </c>
    </row>
    <row r="281">
      <c r="A281" s="4">
        <f>IFERROR(__xludf.DUMMYFUNCTION("""COMPUTED_VALUE"""),45845.63556138889)</f>
        <v>45845.63556</v>
      </c>
      <c r="B281" s="3" t="str">
        <f>IFERROR(__xludf.DUMMYFUNCTION("""COMPUTED_VALUE"""),"RIARO0043")</f>
        <v>RIARO0043</v>
      </c>
      <c r="C281" s="3" t="str">
        <f>IFERROR(__xludf.DUMMYFUNCTION("""COMPUTED_VALUE"""),"MIn Stok")</f>
        <v>MIn Stok</v>
      </c>
      <c r="D281" s="3" t="str">
        <f>IFERROR(__xludf.DUMMYFUNCTION("""COMPUTED_VALUE"""),"-")</f>
        <v>-</v>
      </c>
      <c r="E281" s="3" t="str">
        <f>IFERROR(__xludf.DUMMYFUNCTION("""COMPUTED_VALUE"""),"Water System ")</f>
        <v>Water System </v>
      </c>
      <c r="F281" s="3" t="str">
        <f>IFERROR(__xludf.DUMMYFUNCTION("""COMPUTED_VALUE"""),"Sodium metabisulfit")</f>
        <v>Sodium metabisulfit</v>
      </c>
      <c r="G281" s="3">
        <f>IFERROR(__xludf.DUMMYFUNCTION("""COMPUTED_VALUE"""),5.0)</f>
        <v>5</v>
      </c>
      <c r="H281" s="3" t="str">
        <f>IFERROR(__xludf.DUMMYFUNCTION("""COMPUTED_VALUE"""),"Sak")</f>
        <v>Sak</v>
      </c>
      <c r="I281" s="3" t="str">
        <f>IFERROR(__xludf.DUMMYFUNCTION("""COMPUTED_VALUE"""),"Untuk WWTP dan PWG urgent ya sudah habis")</f>
        <v>Untuk WWTP dan PWG urgent ya sudah habis</v>
      </c>
      <c r="J281" s="3" t="str">
        <f>IFERROR(__xludf.DUMMYFUNCTION("""COMPUTED_VALUE"""),"P-12830-00")</f>
        <v>P-12830-00</v>
      </c>
      <c r="K281" s="3" t="str">
        <f>IFERROR(__xludf.DUMMYFUNCTION("""COMPUTED_VALUE"""),"Approve")</f>
        <v>Approve</v>
      </c>
      <c r="L281" s="3" t="str">
        <f>IFERROR(__xludf.DUMMYFUNCTION("""COMPUTED_VALUE"""),"Normal")</f>
        <v>Normal</v>
      </c>
      <c r="M281" s="3" t="str">
        <f>IFERROR(__xludf.DUMMYFUNCTION("""COMPUTED_VALUE"""),"Non Urgent")</f>
        <v>Non Urgent</v>
      </c>
    </row>
    <row r="282">
      <c r="A282" s="4">
        <f>IFERROR(__xludf.DUMMYFUNCTION("""COMPUTED_VALUE"""),45846.572498090274)</f>
        <v>45846.5725</v>
      </c>
      <c r="B282" s="3" t="str">
        <f>IFERROR(__xludf.DUMMYFUNCTION("""COMPUTED_VALUE"""),"ROSRO0010")</f>
        <v>ROSRO0010</v>
      </c>
      <c r="C282" s="3" t="str">
        <f>IFERROR(__xludf.DUMMYFUNCTION("""COMPUTED_VALUE"""),"Consumable")</f>
        <v>Consumable</v>
      </c>
      <c r="D282" s="3" t="str">
        <f>IFERROR(__xludf.DUMMYFUNCTION("""COMPUTED_VALUE"""),"-")</f>
        <v>-</v>
      </c>
      <c r="E282" s="3" t="str">
        <f>IFERROR(__xludf.DUMMYFUNCTION("""COMPUTED_VALUE"""),"Capping ")</f>
        <v>Capping </v>
      </c>
      <c r="F282" s="3" t="str">
        <f>IFERROR(__xludf.DUMMYFUNCTION("""COMPUTED_VALUE"""),"Bearing 6000 2RS H SKF")</f>
        <v>Bearing 6000 2RS H SKF</v>
      </c>
      <c r="G282" s="3">
        <f>IFERROR(__xludf.DUMMYFUNCTION("""COMPUTED_VALUE"""),30.0)</f>
        <v>30</v>
      </c>
      <c r="H282" s="3" t="str">
        <f>IFERROR(__xludf.DUMMYFUNCTION("""COMPUTED_VALUE"""),"pcs")</f>
        <v>pcs</v>
      </c>
      <c r="I282" s="3" t="str">
        <f>IFERROR(__xludf.DUMMYFUNCTION("""COMPUTED_VALUE"""),"Stok Sparepart 
Bearing base plate ")</f>
        <v>Stok Sparepart 
Bearing base plate </v>
      </c>
      <c r="J282" s="3" t="str">
        <f>IFERROR(__xludf.DUMMYFUNCTION("""COMPUTED_VALUE"""),"P-10564-00")</f>
        <v>P-10564-00</v>
      </c>
      <c r="K282" s="3" t="str">
        <f>IFERROR(__xludf.DUMMYFUNCTION("""COMPUTED_VALUE"""),"Approve")</f>
        <v>Approve</v>
      </c>
      <c r="L282" s="3" t="str">
        <f>IFERROR(__xludf.DUMMYFUNCTION("""COMPUTED_VALUE"""),"Normal")</f>
        <v>Normal</v>
      </c>
      <c r="M282" s="3" t="str">
        <f>IFERROR(__xludf.DUMMYFUNCTION("""COMPUTED_VALUE"""),"Non Urgent")</f>
        <v>Non Urgent</v>
      </c>
    </row>
    <row r="283">
      <c r="A283" s="4">
        <f>IFERROR(__xludf.DUMMYFUNCTION("""COMPUTED_VALUE"""),45852.66715339121)</f>
        <v>45852.66715</v>
      </c>
      <c r="B283" s="3" t="str">
        <f>IFERROR(__xludf.DUMMYFUNCTION("""COMPUTED_VALUE"""),"RIARO0044")</f>
        <v>RIARO0044</v>
      </c>
      <c r="C283" s="3" t="str">
        <f>IFERROR(__xludf.DUMMYFUNCTION("""COMPUTED_VALUE"""),"MIn Stok")</f>
        <v>MIn Stok</v>
      </c>
      <c r="D283" s="3" t="str">
        <f>IFERROR(__xludf.DUMMYFUNCTION("""COMPUTED_VALUE"""),"-")</f>
        <v>-</v>
      </c>
      <c r="E283" s="3" t="str">
        <f>IFERROR(__xludf.DUMMYFUNCTION("""COMPUTED_VALUE"""),"Alarm System")</f>
        <v>Alarm System</v>
      </c>
      <c r="F283" s="3" t="str">
        <f>IFERROR(__xludf.DUMMYFUNCTION("""COMPUTED_VALUE"""),"General - Kabel Belden AWG 22 2 Pair; Belden; 8723; 305m/roll")</f>
        <v>General - Kabel Belden AWG 22 2 Pair; Belden; 8723; 305m/roll</v>
      </c>
      <c r="G283" s="3">
        <f>IFERROR(__xludf.DUMMYFUNCTION("""COMPUTED_VALUE"""),4.0)</f>
        <v>4</v>
      </c>
      <c r="H283" s="3" t="str">
        <f>IFERROR(__xludf.DUMMYFUNCTION("""COMPUTED_VALUE"""),"Roll")</f>
        <v>Roll</v>
      </c>
      <c r="I283" s="3" t="str">
        <f>IFERROR(__xludf.DUMMYFUNCTION("""COMPUTED_VALUE"""),"Alarm untuk API, Raw Material, Intermediate1 &amp; 2 OSD, Beli yang 2 kabel 100 meteran ya")</f>
        <v>Alarm untuk API, Raw Material, Intermediate1 &amp; 2 OSD, Beli yang 2 kabel 100 meteran ya</v>
      </c>
      <c r="J283" s="3" t="str">
        <f>IFERROR(__xludf.DUMMYFUNCTION("""COMPUTED_VALUE"""),"P-53133-00")</f>
        <v>P-53133-00</v>
      </c>
      <c r="K283" s="3" t="str">
        <f>IFERROR(__xludf.DUMMYFUNCTION("""COMPUTED_VALUE"""),"Approve")</f>
        <v>Approve</v>
      </c>
      <c r="L283" s="3" t="str">
        <f>IFERROR(__xludf.DUMMYFUNCTION("""COMPUTED_VALUE"""),"Normal")</f>
        <v>Normal</v>
      </c>
      <c r="M283" s="3" t="str">
        <f>IFERROR(__xludf.DUMMYFUNCTION("""COMPUTED_VALUE"""),"Non Urgent")</f>
        <v>Non Urgent</v>
      </c>
    </row>
    <row r="284">
      <c r="A284" s="4">
        <f>IFERROR(__xludf.DUMMYFUNCTION("""COMPUTED_VALUE"""),45852.671271284715)</f>
        <v>45852.67127</v>
      </c>
      <c r="B284" s="3" t="str">
        <f>IFERROR(__xludf.DUMMYFUNCTION("""COMPUTED_VALUE"""),"RIARO0045")</f>
        <v>RIARO0045</v>
      </c>
      <c r="C284" s="3" t="str">
        <f>IFERROR(__xludf.DUMMYFUNCTION("""COMPUTED_VALUE"""),"MIn Stok")</f>
        <v>MIn Stok</v>
      </c>
      <c r="D284" s="3" t="str">
        <f>IFERROR(__xludf.DUMMYFUNCTION("""COMPUTED_VALUE"""),"-")</f>
        <v>-</v>
      </c>
      <c r="E284" s="3" t="str">
        <f>IFERROR(__xludf.DUMMYFUNCTION("""COMPUTED_VALUE"""),"Alarm System")</f>
        <v>Alarm System</v>
      </c>
      <c r="F284" s="3" t="str">
        <f>IFERROR(__xludf.DUMMYFUNCTION("""COMPUTED_VALUE"""),"Temperature Controller - TK4S- 24RN 100-240 VAC AUTONICS; ; ;")</f>
        <v>Temperature Controller - TK4S- 24RN 100-240 VAC AUTONICS; ; ;</v>
      </c>
      <c r="G284" s="3">
        <f>IFERROR(__xludf.DUMMYFUNCTION("""COMPUTED_VALUE"""),4.0)</f>
        <v>4</v>
      </c>
      <c r="H284" s="3" t="str">
        <f>IFERROR(__xludf.DUMMYFUNCTION("""COMPUTED_VALUE"""),"Pcs")</f>
        <v>Pcs</v>
      </c>
      <c r="I284" s="3" t="str">
        <f>IFERROR(__xludf.DUMMYFUNCTION("""COMPUTED_VALUE"""),"Alarm untuk API, Raw Material, Intermediate1 &amp; 2 OSD, Beli yang 2 kabel 100 meteran ya")</f>
        <v>Alarm untuk API, Raw Material, Intermediate1 &amp; 2 OSD, Beli yang 2 kabel 100 meteran ya</v>
      </c>
      <c r="J284" s="3" t="str">
        <f>IFERROR(__xludf.DUMMYFUNCTION("""COMPUTED_VALUE"""),"O-52859-00")</f>
        <v>O-52859-00</v>
      </c>
      <c r="K284" s="3" t="str">
        <f>IFERROR(__xludf.DUMMYFUNCTION("""COMPUTED_VALUE"""),"Approve")</f>
        <v>Approve</v>
      </c>
      <c r="L284" s="3" t="str">
        <f>IFERROR(__xludf.DUMMYFUNCTION("""COMPUTED_VALUE"""),"Normal")</f>
        <v>Normal</v>
      </c>
      <c r="M284" s="3" t="str">
        <f>IFERROR(__xludf.DUMMYFUNCTION("""COMPUTED_VALUE"""),"Non Urgent")</f>
        <v>Non Urgent</v>
      </c>
    </row>
    <row r="285">
      <c r="A285" s="4">
        <f>IFERROR(__xludf.DUMMYFUNCTION("""COMPUTED_VALUE"""),45852.67165508102)</f>
        <v>45852.67166</v>
      </c>
      <c r="B285" s="3" t="str">
        <f>IFERROR(__xludf.DUMMYFUNCTION("""COMPUTED_VALUE"""),"RIARO0046")</f>
        <v>RIARO0046</v>
      </c>
      <c r="C285" s="3" t="str">
        <f>IFERROR(__xludf.DUMMYFUNCTION("""COMPUTED_VALUE"""),"MIn Stok")</f>
        <v>MIn Stok</v>
      </c>
      <c r="D285" s="3" t="str">
        <f>IFERROR(__xludf.DUMMYFUNCTION("""COMPUTED_VALUE"""),"-")</f>
        <v>-</v>
      </c>
      <c r="E285" s="3" t="str">
        <f>IFERROR(__xludf.DUMMYFUNCTION("""COMPUTED_VALUE"""),"Alarm System")</f>
        <v>Alarm System</v>
      </c>
      <c r="F285" s="3" t="str">
        <f>IFERROR(__xludf.DUMMYFUNCTION("""COMPUTED_VALUE"""),"Junction Box Plastik 12x12x10 cm; ; ;")</f>
        <v>Junction Box Plastik 12x12x10 cm; ; ;</v>
      </c>
      <c r="G285" s="3">
        <f>IFERROR(__xludf.DUMMYFUNCTION("""COMPUTED_VALUE"""),4.0)</f>
        <v>4</v>
      </c>
      <c r="H285" s="3" t="str">
        <f>IFERROR(__xludf.DUMMYFUNCTION("""COMPUTED_VALUE"""),"Pcs")</f>
        <v>Pcs</v>
      </c>
      <c r="I285" s="3" t="str">
        <f>IFERROR(__xludf.DUMMYFUNCTION("""COMPUTED_VALUE"""),"Alarm untuk API, Raw Material, Intermediate1 &amp; 2 OSD, Beli yang 2 kabel 100 meteran ya")</f>
        <v>Alarm untuk API, Raw Material, Intermediate1 &amp; 2 OSD, Beli yang 2 kabel 100 meteran ya</v>
      </c>
      <c r="J285" s="3" t="str">
        <f>IFERROR(__xludf.DUMMYFUNCTION("""COMPUTED_VALUE"""),"Q-10510-00")</f>
        <v>Q-10510-00</v>
      </c>
      <c r="K285" s="3" t="str">
        <f>IFERROR(__xludf.DUMMYFUNCTION("""COMPUTED_VALUE"""),"Approve")</f>
        <v>Approve</v>
      </c>
      <c r="L285" s="3" t="str">
        <f>IFERROR(__xludf.DUMMYFUNCTION("""COMPUTED_VALUE"""),"Normal")</f>
        <v>Normal</v>
      </c>
      <c r="M285" s="3" t="str">
        <f>IFERROR(__xludf.DUMMYFUNCTION("""COMPUTED_VALUE"""),"Non Urgent")</f>
        <v>Non Urgent</v>
      </c>
    </row>
    <row r="286">
      <c r="A286" s="4">
        <f>IFERROR(__xludf.DUMMYFUNCTION("""COMPUTED_VALUE"""),45853.663975891206)</f>
        <v>45853.66398</v>
      </c>
      <c r="B286" s="3" t="str">
        <f>IFERROR(__xludf.DUMMYFUNCTION("""COMPUTED_VALUE"""),"RIARO0047")</f>
        <v>RIARO0047</v>
      </c>
      <c r="C286" s="3" t="str">
        <f>IFERROR(__xludf.DUMMYFUNCTION("""COMPUTED_VALUE"""),"EJO")</f>
        <v>EJO</v>
      </c>
      <c r="D286" s="3" t="str">
        <f>IFERROR(__xludf.DUMMYFUNCTION("""COMPUTED_VALUE"""),"EJO/2025/07/109")</f>
        <v>EJO/2025/07/109</v>
      </c>
      <c r="E286" s="3" t="str">
        <f>IFERROR(__xludf.DUMMYFUNCTION("""COMPUTED_VALUE"""),"AHU D3-1")</f>
        <v>AHU D3-1</v>
      </c>
      <c r="F286" s="3" t="str">
        <f>IFERROR(__xludf.DUMMYFUNCTION("""COMPUTED_VALUE"""),"General - Pulser SCR Heater Controller Wall Mounted 0-10 VD DC; Regin; 240-X010; 1 unit")</f>
        <v>General - Pulser SCR Heater Controller Wall Mounted 0-10 VD DC; Regin; 240-X010; 1 unit</v>
      </c>
      <c r="G286" s="3">
        <f>IFERROR(__xludf.DUMMYFUNCTION("""COMPUTED_VALUE"""),5.0)</f>
        <v>5</v>
      </c>
      <c r="H286" s="3" t="str">
        <f>IFERROR(__xludf.DUMMYFUNCTION("""COMPUTED_VALUE"""),"Pcs")</f>
        <v>Pcs</v>
      </c>
      <c r="I286" s="3" t="str">
        <f>IFERROR(__xludf.DUMMYFUNCTION("""COMPUTED_VALUE"""),"Buat D31")</f>
        <v>Buat D31</v>
      </c>
      <c r="J286" s="3" t="str">
        <f>IFERROR(__xludf.DUMMYFUNCTION("""COMPUTED_VALUE"""),"P-13370-00")</f>
        <v>P-13370-00</v>
      </c>
      <c r="K286" s="3" t="str">
        <f>IFERROR(__xludf.DUMMYFUNCTION("""COMPUTED_VALUE"""),"Approve")</f>
        <v>Approve</v>
      </c>
      <c r="L286" s="3" t="str">
        <f>IFERROR(__xludf.DUMMYFUNCTION("""COMPUTED_VALUE"""),"Normal")</f>
        <v>Normal</v>
      </c>
      <c r="M286" s="3" t="str">
        <f>IFERROR(__xludf.DUMMYFUNCTION("""COMPUTED_VALUE"""),"Non Urgent")</f>
        <v>Non Urgent</v>
      </c>
    </row>
    <row r="287">
      <c r="A287" s="4">
        <f>IFERROR(__xludf.DUMMYFUNCTION("""COMPUTED_VALUE"""),45854.74795689815)</f>
        <v>45854.74796</v>
      </c>
      <c r="B287" s="3" t="str">
        <f>IFERROR(__xludf.DUMMYFUNCTION("""COMPUTED_VALUE"""),"SFHRO0011")</f>
        <v>SFHRO0011</v>
      </c>
      <c r="C287" s="3" t="str">
        <f>IFERROR(__xludf.DUMMYFUNCTION("""COMPUTED_VALUE"""),"MIn Stok")</f>
        <v>MIn Stok</v>
      </c>
      <c r="D287" s="3" t="str">
        <f>IFERROR(__xludf.DUMMYFUNCTION("""COMPUTED_VALUE"""),"-")</f>
        <v>-</v>
      </c>
      <c r="E287" s="3" t="str">
        <f>IFERROR(__xludf.DUMMYFUNCTION("""COMPUTED_VALUE"""),"lantai 2")</f>
        <v>lantai 2</v>
      </c>
      <c r="F287" s="3" t="str">
        <f>IFERROR(__xludf.DUMMYFUNCTION("""COMPUTED_VALUE"""),"Multipox MX-98-2K SB White;Propan;Type White;pack size per 20 kg pail")</f>
        <v>Multipox MX-98-2K SB White;Propan;Type White;pack size per 20 kg pail</v>
      </c>
      <c r="G287" s="3">
        <f>IFERROR(__xludf.DUMMYFUNCTION("""COMPUTED_VALUE"""),20.0)</f>
        <v>20</v>
      </c>
      <c r="H287" s="3" t="str">
        <f>IFERROR(__xludf.DUMMYFUNCTION("""COMPUTED_VALUE"""),"pel")</f>
        <v>pel</v>
      </c>
      <c r="I287" s="3" t="str">
        <f>IFERROR(__xludf.DUMMYFUNCTION("""COMPUTED_VALUE"""),"-")</f>
        <v>-</v>
      </c>
      <c r="J287" s="3" t="str">
        <f>IFERROR(__xludf.DUMMYFUNCTION("""COMPUTED_VALUE"""),"Q-10805-00")</f>
        <v>Q-10805-00</v>
      </c>
      <c r="K287" s="3" t="str">
        <f>IFERROR(__xludf.DUMMYFUNCTION("""COMPUTED_VALUE"""),"Approve")</f>
        <v>Approve</v>
      </c>
      <c r="L287" s="3" t="str">
        <f>IFERROR(__xludf.DUMMYFUNCTION("""COMPUTED_VALUE"""),"Normal")</f>
        <v>Normal</v>
      </c>
      <c r="M287" s="3" t="str">
        <f>IFERROR(__xludf.DUMMYFUNCTION("""COMPUTED_VALUE"""),"Non Urgent")</f>
        <v>Non Urgent</v>
      </c>
    </row>
    <row r="288">
      <c r="A288" s="4">
        <f>IFERROR(__xludf.DUMMYFUNCTION("""COMPUTED_VALUE"""),45855.74678824074)</f>
        <v>45855.74679</v>
      </c>
      <c r="B288" s="3" t="str">
        <f>IFERROR(__xludf.DUMMYFUNCTION("""COMPUTED_VALUE"""),"NDSRO0004")</f>
        <v>NDSRO0004</v>
      </c>
      <c r="C288" s="3" t="str">
        <f>IFERROR(__xludf.DUMMYFUNCTION("""COMPUTED_VALUE"""),"MIn Stok")</f>
        <v>MIn Stok</v>
      </c>
      <c r="D288" s="3" t="str">
        <f>IFERROR(__xludf.DUMMYFUNCTION("""COMPUTED_VALUE"""),"-")</f>
        <v>-</v>
      </c>
      <c r="E288" s="3" t="str">
        <f>IFERROR(__xludf.DUMMYFUNCTION("""COMPUTED_VALUE"""),"MS 30")</f>
        <v>MS 30</v>
      </c>
      <c r="F288" s="3" t="str">
        <f>IFERROR(__xludf.DUMMYFUNCTION("""COMPUTED_VALUE"""),"Battery 12V 18AH merk LONG")</f>
        <v>Battery 12V 18AH merk LONG</v>
      </c>
      <c r="G288" s="3">
        <f>IFERROR(__xludf.DUMMYFUNCTION("""COMPUTED_VALUE"""),3.0)</f>
        <v>3</v>
      </c>
      <c r="H288" s="3" t="str">
        <f>IFERROR(__xludf.DUMMYFUNCTION("""COMPUTED_VALUE"""),"Pcs")</f>
        <v>Pcs</v>
      </c>
      <c r="I288" s="3" t="str">
        <f>IFERROR(__xludf.DUMMYFUNCTION("""COMPUTED_VALUE"""),"-")</f>
        <v>-</v>
      </c>
      <c r="J288" s="3" t="str">
        <f>IFERROR(__xludf.DUMMYFUNCTION("""COMPUTED_VALUE"""),"P-50781-00")</f>
        <v>P-50781-00</v>
      </c>
      <c r="K288" s="3" t="str">
        <f>IFERROR(__xludf.DUMMYFUNCTION("""COMPUTED_VALUE"""),"Approve")</f>
        <v>Approve</v>
      </c>
      <c r="L288" s="3" t="str">
        <f>IFERROR(__xludf.DUMMYFUNCTION("""COMPUTED_VALUE"""),"Normal")</f>
        <v>Normal</v>
      </c>
      <c r="M288" s="3" t="str">
        <f>IFERROR(__xludf.DUMMYFUNCTION("""COMPUTED_VALUE"""),"Non Urgent")</f>
        <v>Non Urgent</v>
      </c>
    </row>
    <row r="289">
      <c r="A289" s="4">
        <f>IFERROR(__xludf.DUMMYFUNCTION("""COMPUTED_VALUE"""),45860.369664363425)</f>
        <v>45860.36966</v>
      </c>
      <c r="B289" s="3" t="str">
        <f>IFERROR(__xludf.DUMMYFUNCTION("""COMPUTED_VALUE"""),"ANORO0007")</f>
        <v>ANORO0007</v>
      </c>
      <c r="C289" s="3" t="str">
        <f>IFERROR(__xludf.DUMMYFUNCTION("""COMPUTED_VALUE"""),"Consumable")</f>
        <v>Consumable</v>
      </c>
      <c r="D289" s="3" t="str">
        <f>IFERROR(__xludf.DUMMYFUNCTION("""COMPUTED_VALUE"""),"-")</f>
        <v>-</v>
      </c>
      <c r="E289" s="3" t="str">
        <f>IFERROR(__xludf.DUMMYFUNCTION("""COMPUTED_VALUE"""),"Passbox")</f>
        <v>Passbox</v>
      </c>
      <c r="F289" s="3" t="str">
        <f>IFERROR(__xludf.DUMMYFUNCTION("""COMPUTED_VALUE"""),"Limit Switch LX19-001  250 VAC; ; ;")</f>
        <v>Limit Switch LX19-001  250 VAC; ; ;</v>
      </c>
      <c r="G289" s="3">
        <f>IFERROR(__xludf.DUMMYFUNCTION("""COMPUTED_VALUE"""),5.0)</f>
        <v>5</v>
      </c>
      <c r="H289" s="3" t="str">
        <f>IFERROR(__xludf.DUMMYFUNCTION("""COMPUTED_VALUE"""),"PCS")</f>
        <v>PCS</v>
      </c>
      <c r="I289" s="3" t="str">
        <f>IFERROR(__xludf.DUMMYFUNCTION("""COMPUTED_VALUE"""),"untuk spare jika ada yang rusak")</f>
        <v>untuk spare jika ada yang rusak</v>
      </c>
      <c r="J289" s="3" t="str">
        <f>IFERROR(__xludf.DUMMYFUNCTION("""COMPUTED_VALUE"""),"P-52569-00")</f>
        <v>P-52569-00</v>
      </c>
      <c r="K289" s="3" t="str">
        <f>IFERROR(__xludf.DUMMYFUNCTION("""COMPUTED_VALUE"""),"Approve")</f>
        <v>Approve</v>
      </c>
      <c r="L289" s="3" t="str">
        <f>IFERROR(__xludf.DUMMYFUNCTION("""COMPUTED_VALUE"""),"Normal")</f>
        <v>Normal</v>
      </c>
      <c r="M289" s="3" t="str">
        <f>IFERROR(__xludf.DUMMYFUNCTION("""COMPUTED_VALUE"""),"Non Urgent")</f>
        <v>Non Urgent</v>
      </c>
    </row>
    <row r="290">
      <c r="A290" s="4">
        <f>IFERROR(__xludf.DUMMYFUNCTION("""COMPUTED_VALUE"""),45860.49651092592)</f>
        <v>45860.49651</v>
      </c>
      <c r="B290" s="3" t="str">
        <f>IFERROR(__xludf.DUMMYFUNCTION("""COMPUTED_VALUE"""),"SFHRO0012")</f>
        <v>SFHRO0012</v>
      </c>
      <c r="C290" s="3" t="str">
        <f>IFERROR(__xludf.DUMMYFUNCTION("""COMPUTED_VALUE"""),"MIn Stok")</f>
        <v>MIn Stok</v>
      </c>
      <c r="D290" s="3" t="str">
        <f>IFERROR(__xludf.DUMMYFUNCTION("""COMPUTED_VALUE"""),"-")</f>
        <v>-</v>
      </c>
      <c r="E290" s="3" t="str">
        <f>IFERROR(__xludf.DUMMYFUNCTION("""COMPUTED_VALUE"""),"lantai 2")</f>
        <v>lantai 2</v>
      </c>
      <c r="F290" s="3" t="str">
        <f>IFERROR(__xludf.DUMMYFUNCTION("""COMPUTED_VALUE"""),"Cat Durogloss DR-2000; Propan; Type Spiders Web 90YY 73/040; 0,9 L/can")</f>
        <v>Cat Durogloss DR-2000; Propan; Type Spiders Web 90YY 73/040; 0,9 L/can</v>
      </c>
      <c r="G290" s="3">
        <f>IFERROR(__xludf.DUMMYFUNCTION("""COMPUTED_VALUE"""),1.0)</f>
        <v>1</v>
      </c>
      <c r="H290" s="3" t="str">
        <f>IFERROR(__xludf.DUMMYFUNCTION("""COMPUTED_VALUE"""),"pel")</f>
        <v>pel</v>
      </c>
      <c r="I290" s="3" t="str">
        <f>IFERROR(__xludf.DUMMYFUNCTION("""COMPUTED_VALUE"""),"-")</f>
        <v>-</v>
      </c>
      <c r="J290" s="3" t="str">
        <f>IFERROR(__xludf.DUMMYFUNCTION("""COMPUTED_VALUE"""),"Q-60405-00")</f>
        <v>Q-60405-00</v>
      </c>
      <c r="K290" s="3" t="str">
        <f>IFERROR(__xludf.DUMMYFUNCTION("""COMPUTED_VALUE"""),"Approve")</f>
        <v>Approve</v>
      </c>
      <c r="L290" s="3" t="str">
        <f>IFERROR(__xludf.DUMMYFUNCTION("""COMPUTED_VALUE"""),"Normal")</f>
        <v>Normal</v>
      </c>
      <c r="M290" s="3" t="str">
        <f>IFERROR(__xludf.DUMMYFUNCTION("""COMPUTED_VALUE"""),"Non Urgent")</f>
        <v>Non Urgent</v>
      </c>
    </row>
    <row r="291">
      <c r="A291" s="4">
        <f>IFERROR(__xludf.DUMMYFUNCTION("""COMPUTED_VALUE"""),45860.668564224536)</f>
        <v>45860.66856</v>
      </c>
      <c r="B291" s="3" t="str">
        <f>IFERROR(__xludf.DUMMYFUNCTION("""COMPUTED_VALUE"""),"MOBRO0055")</f>
        <v>MOBRO0055</v>
      </c>
      <c r="C291" s="3" t="str">
        <f>IFERROR(__xludf.DUMMYFUNCTION("""COMPUTED_VALUE"""),"MIn Stok")</f>
        <v>MIn Stok</v>
      </c>
      <c r="D291" s="3" t="str">
        <f>IFERROR(__xludf.DUMMYFUNCTION("""COMPUTED_VALUE"""),"-")</f>
        <v>-</v>
      </c>
      <c r="E291" s="3" t="str">
        <f>IFERROR(__xludf.DUMMYFUNCTION("""COMPUTED_VALUE"""),"AHU")</f>
        <v>AHU</v>
      </c>
      <c r="F291" s="3" t="str">
        <f>IFERROR(__xludf.DUMMYFUNCTION("""COMPUTED_VALUE"""),"Room Air Temp. &amp; RH Sensor, P/N. QFA2060D; ; ;")</f>
        <v>Room Air Temp. &amp; RH Sensor, P/N. QFA2060D; ; ;</v>
      </c>
      <c r="G291" s="3">
        <f>IFERROR(__xludf.DUMMYFUNCTION("""COMPUTED_VALUE"""),2.0)</f>
        <v>2</v>
      </c>
      <c r="H291" s="3" t="str">
        <f>IFERROR(__xludf.DUMMYFUNCTION("""COMPUTED_VALUE"""),"Pcs")</f>
        <v>Pcs</v>
      </c>
      <c r="I291" s="3" t="str">
        <f>IFERROR(__xludf.DUMMYFUNCTION("""COMPUTED_VALUE"""),"D3-1")</f>
        <v>D3-1</v>
      </c>
      <c r="J291" s="3" t="str">
        <f>IFERROR(__xludf.DUMMYFUNCTION("""COMPUTED_VALUE"""),"P-15002-00")</f>
        <v>P-15002-00</v>
      </c>
      <c r="K291" s="3" t="str">
        <f>IFERROR(__xludf.DUMMYFUNCTION("""COMPUTED_VALUE"""),"Approve")</f>
        <v>Approve</v>
      </c>
      <c r="L291" s="3" t="str">
        <f>IFERROR(__xludf.DUMMYFUNCTION("""COMPUTED_VALUE"""),"Normal")</f>
        <v>Normal</v>
      </c>
      <c r="M291" s="3" t="str">
        <f>IFERROR(__xludf.DUMMYFUNCTION("""COMPUTED_VALUE"""),"Non Urgent")</f>
        <v>Non Urgent</v>
      </c>
    </row>
    <row r="292">
      <c r="A292" s="4">
        <f>IFERROR(__xludf.DUMMYFUNCTION("""COMPUTED_VALUE"""),45861.33548637732)</f>
        <v>45861.33549</v>
      </c>
      <c r="B292" s="3" t="str">
        <f>IFERROR(__xludf.DUMMYFUNCTION("""COMPUTED_VALUE"""),"ANORO0008")</f>
        <v>ANORO0008</v>
      </c>
      <c r="C292" s="3" t="str">
        <f>IFERROR(__xludf.DUMMYFUNCTION("""COMPUTED_VALUE"""),"Consumable")</f>
        <v>Consumable</v>
      </c>
      <c r="D292" s="3" t="str">
        <f>IFERROR(__xludf.DUMMYFUNCTION("""COMPUTED_VALUE"""),"-")</f>
        <v>-</v>
      </c>
      <c r="E292" s="3" t="str">
        <f>IFERROR(__xludf.DUMMYFUNCTION("""COMPUTED_VALUE"""),"HPLC")</f>
        <v>HPLC</v>
      </c>
      <c r="F292" s="3" t="str">
        <f>IFERROR(__xludf.DUMMYFUNCTION("""COMPUTED_VALUE"""),"Performance Plus Check Valve Housing; Waters; 700002332;")</f>
        <v>Performance Plus Check Valve Housing; Waters; 700002332;</v>
      </c>
      <c r="G292" s="3">
        <f>IFERROR(__xludf.DUMMYFUNCTION("""COMPUTED_VALUE"""),3.0)</f>
        <v>3</v>
      </c>
      <c r="H292" s="3" t="str">
        <f>IFERROR(__xludf.DUMMYFUNCTION("""COMPUTED_VALUE"""),"PCS")</f>
        <v>PCS</v>
      </c>
      <c r="I292" s="3" t="str">
        <f>IFERROR(__xludf.DUMMYFUNCTION("""COMPUTED_VALUE"""),"untuk spare jika ada yang rusak")</f>
        <v>untuk spare jika ada yang rusak</v>
      </c>
      <c r="J292" s="3" t="str">
        <f>IFERROR(__xludf.DUMMYFUNCTION("""COMPUTED_VALUE"""),"T-20725-00")</f>
        <v>T-20725-00</v>
      </c>
      <c r="K292" s="3" t="str">
        <f>IFERROR(__xludf.DUMMYFUNCTION("""COMPUTED_VALUE"""),"Approve")</f>
        <v>Approve</v>
      </c>
      <c r="L292" s="3" t="str">
        <f>IFERROR(__xludf.DUMMYFUNCTION("""COMPUTED_VALUE"""),"Normal")</f>
        <v>Normal</v>
      </c>
      <c r="M292" s="3" t="str">
        <f>IFERROR(__xludf.DUMMYFUNCTION("""COMPUTED_VALUE"""),"Non Urgent")</f>
        <v>Non Urgent</v>
      </c>
    </row>
    <row r="293">
      <c r="A293" s="4">
        <f>IFERROR(__xludf.DUMMYFUNCTION("""COMPUTED_VALUE"""),45865.63214635417)</f>
        <v>45865.63215</v>
      </c>
      <c r="B293" s="3" t="str">
        <f>IFERROR(__xludf.DUMMYFUNCTION("""COMPUTED_VALUE"""),"MRNRO0024")</f>
        <v>MRNRO0024</v>
      </c>
      <c r="C293" s="3" t="str">
        <f>IFERROR(__xludf.DUMMYFUNCTION("""COMPUTED_VALUE"""),"EJO")</f>
        <v>EJO</v>
      </c>
      <c r="D293" s="3" t="str">
        <f>IFERROR(__xludf.DUMMYFUNCTION("""COMPUTED_VALUE"""),"EJO/2025/07/42")</f>
        <v>EJO/2025/07/42</v>
      </c>
      <c r="E293" s="3" t="str">
        <f>IFERROR(__xludf.DUMMYFUNCTION("""COMPUTED_VALUE"""),"Ruang GC lab")</f>
        <v>Ruang GC lab</v>
      </c>
      <c r="F293" s="3" t="str">
        <f>IFERROR(__xludf.DUMMYFUNCTION("""COMPUTED_VALUE"""),"Pneumatic  Fitting - QS 10-8 / PN : 153039 / Festo")</f>
        <v>Pneumatic  Fitting - QS 10-8 / PN : 153039 / Festo</v>
      </c>
      <c r="G293" s="3">
        <f>IFERROR(__xludf.DUMMYFUNCTION("""COMPUTED_VALUE"""),8.0)</f>
        <v>8</v>
      </c>
      <c r="H293" s="3" t="str">
        <f>IFERROR(__xludf.DUMMYFUNCTION("""COMPUTED_VALUE"""),"pcs")</f>
        <v>pcs</v>
      </c>
      <c r="I293" s="3" t="str">
        <f>IFERROR(__xludf.DUMMYFUNCTION("""COMPUTED_VALUE"""),"Buat modifikasi gas N2 dan HE")</f>
        <v>Buat modifikasi gas N2 dan HE</v>
      </c>
      <c r="J293" s="3" t="str">
        <f>IFERROR(__xludf.DUMMYFUNCTION("""COMPUTED_VALUE"""),"P-11175-00")</f>
        <v>P-11175-00</v>
      </c>
      <c r="K293" s="3" t="str">
        <f>IFERROR(__xludf.DUMMYFUNCTION("""COMPUTED_VALUE"""),"Reject")</f>
        <v>Reject</v>
      </c>
      <c r="L293" s="3" t="str">
        <f>IFERROR(__xludf.DUMMYFUNCTION("""COMPUTED_VALUE"""),"Normal")</f>
        <v>Normal</v>
      </c>
      <c r="M293" s="3" t="str">
        <f>IFERROR(__xludf.DUMMYFUNCTION("""COMPUTED_VALUE"""),"Non Urgent")</f>
        <v>Non Urgent</v>
      </c>
    </row>
    <row r="294">
      <c r="A294" s="4">
        <f>IFERROR(__xludf.DUMMYFUNCTION("""COMPUTED_VALUE"""),45865.63214635417)</f>
        <v>45865.63215</v>
      </c>
      <c r="B294" s="3" t="str">
        <f>IFERROR(__xludf.DUMMYFUNCTION("""COMPUTED_VALUE"""),"MRNRO0025")</f>
        <v>MRNRO0025</v>
      </c>
      <c r="C294" s="3" t="str">
        <f>IFERROR(__xludf.DUMMYFUNCTION("""COMPUTED_VALUE"""),"EJO")</f>
        <v>EJO</v>
      </c>
      <c r="D294" s="3" t="str">
        <f>IFERROR(__xludf.DUMMYFUNCTION("""COMPUTED_VALUE"""),"EJO/2025/07/42")</f>
        <v>EJO/2025/07/42</v>
      </c>
      <c r="E294" s="3" t="str">
        <f>IFERROR(__xludf.DUMMYFUNCTION("""COMPUTED_VALUE"""),"Ruang GC lab")</f>
        <v>Ruang GC lab</v>
      </c>
      <c r="F294" s="3" t="str">
        <f>IFERROR(__xludf.DUMMYFUNCTION("""COMPUTED_VALUE"""),"General - Push-in Fitting, QS-1/4-6; Festo; 153003; 1 pcs")</f>
        <v>General - Push-in Fitting, QS-1/4-6; Festo; 153003; 1 pcs</v>
      </c>
      <c r="G294" s="3">
        <f>IFERROR(__xludf.DUMMYFUNCTION("""COMPUTED_VALUE"""),8.0)</f>
        <v>8</v>
      </c>
      <c r="H294" s="3" t="str">
        <f>IFERROR(__xludf.DUMMYFUNCTION("""COMPUTED_VALUE"""),"pcs")</f>
        <v>pcs</v>
      </c>
      <c r="I294" s="3" t="str">
        <f>IFERROR(__xludf.DUMMYFUNCTION("""COMPUTED_VALUE"""),"Buat modifikasi gas N2 dan HE")</f>
        <v>Buat modifikasi gas N2 dan HE</v>
      </c>
      <c r="J294" s="3" t="str">
        <f>IFERROR(__xludf.DUMMYFUNCTION("""COMPUTED_VALUE"""),"P-11169-00")</f>
        <v>P-11169-00</v>
      </c>
      <c r="K294" s="3" t="str">
        <f>IFERROR(__xludf.DUMMYFUNCTION("""COMPUTED_VALUE"""),"Approve")</f>
        <v>Approve</v>
      </c>
      <c r="L294" s="3" t="str">
        <f>IFERROR(__xludf.DUMMYFUNCTION("""COMPUTED_VALUE"""),"Normal")</f>
        <v>Normal</v>
      </c>
      <c r="M294" s="3" t="str">
        <f>IFERROR(__xludf.DUMMYFUNCTION("""COMPUTED_VALUE"""),"Non Urgent")</f>
        <v>Non Urgent</v>
      </c>
    </row>
    <row r="295">
      <c r="A295" s="4">
        <f>IFERROR(__xludf.DUMMYFUNCTION("""COMPUTED_VALUE"""),45865.633823854165)</f>
        <v>45865.63382</v>
      </c>
      <c r="B295" s="3" t="str">
        <f>IFERROR(__xludf.DUMMYFUNCTION("""COMPUTED_VALUE"""),"MRNRO0026")</f>
        <v>MRNRO0026</v>
      </c>
      <c r="C295" s="3" t="str">
        <f>IFERROR(__xludf.DUMMYFUNCTION("""COMPUTED_VALUE"""),"EJO")</f>
        <v>EJO</v>
      </c>
      <c r="D295" s="3" t="str">
        <f>IFERROR(__xludf.DUMMYFUNCTION("""COMPUTED_VALUE"""),"EJO/2025/07/42")</f>
        <v>EJO/2025/07/42</v>
      </c>
      <c r="E295" s="3" t="str">
        <f>IFERROR(__xludf.DUMMYFUNCTION("""COMPUTED_VALUE"""),"Ruang GC lab")</f>
        <v>Ruang GC lab</v>
      </c>
      <c r="F295" s="3" t="str">
        <f>IFERROR(__xludf.DUMMYFUNCTION("""COMPUTED_VALUE"""),"General - Panel Box Uk. 20 x 30 x 15cm; No Brand; -; 1 pc")</f>
        <v>General - Panel Box Uk. 20 x 30 x 15cm; No Brand; -; 1 pc</v>
      </c>
      <c r="G295" s="3">
        <f>IFERROR(__xludf.DUMMYFUNCTION("""COMPUTED_VALUE"""),1.0)</f>
        <v>1</v>
      </c>
      <c r="H295" s="3" t="str">
        <f>IFERROR(__xludf.DUMMYFUNCTION("""COMPUTED_VALUE"""),"pcs")</f>
        <v>pcs</v>
      </c>
      <c r="I295" s="3" t="str">
        <f>IFERROR(__xludf.DUMMYFUNCTION("""COMPUTED_VALUE"""),"Buat modifikasi gas N2 dan HE")</f>
        <v>Buat modifikasi gas N2 dan HE</v>
      </c>
      <c r="J295" s="3" t="str">
        <f>IFERROR(__xludf.DUMMYFUNCTION("""COMPUTED_VALUE"""),"P-51793-00")</f>
        <v>P-51793-00</v>
      </c>
      <c r="K295" s="3" t="str">
        <f>IFERROR(__xludf.DUMMYFUNCTION("""COMPUTED_VALUE"""),"Approve")</f>
        <v>Approve</v>
      </c>
      <c r="L295" s="3" t="str">
        <f>IFERROR(__xludf.DUMMYFUNCTION("""COMPUTED_VALUE"""),"Normal")</f>
        <v>Normal</v>
      </c>
      <c r="M295" s="3" t="str">
        <f>IFERROR(__xludf.DUMMYFUNCTION("""COMPUTED_VALUE"""),"Non Urgent")</f>
        <v>Non Urgent</v>
      </c>
    </row>
    <row r="296">
      <c r="A296" s="4">
        <f>IFERROR(__xludf.DUMMYFUNCTION("""COMPUTED_VALUE"""),45865.641474814816)</f>
        <v>45865.64147</v>
      </c>
      <c r="B296" s="3" t="str">
        <f>IFERROR(__xludf.DUMMYFUNCTION("""COMPUTED_VALUE"""),"MRNRO0027")</f>
        <v>MRNRO0027</v>
      </c>
      <c r="C296" s="3" t="str">
        <f>IFERROR(__xludf.DUMMYFUNCTION("""COMPUTED_VALUE"""),"EJO")</f>
        <v>EJO</v>
      </c>
      <c r="D296" s="3" t="str">
        <f>IFERROR(__xludf.DUMMYFUNCTION("""COMPUTED_VALUE"""),"EJO/2025/07/42")</f>
        <v>EJO/2025/07/42</v>
      </c>
      <c r="E296" s="3" t="str">
        <f>IFERROR(__xludf.DUMMYFUNCTION("""COMPUTED_VALUE"""),"Ruang GC lab")</f>
        <v>Ruang GC lab</v>
      </c>
      <c r="F296" s="3" t="str">
        <f>IFERROR(__xludf.DUMMYFUNCTION("""COMPUTED_VALUE"""),"Pilot Lamps / Green / 220 VAC / AD22-22DS / AXLE")</f>
        <v>Pilot Lamps / Green / 220 VAC / AD22-22DS / AXLE</v>
      </c>
      <c r="G296" s="3">
        <f>IFERROR(__xludf.DUMMYFUNCTION("""COMPUTED_VALUE"""),5.0)</f>
        <v>5</v>
      </c>
      <c r="H296" s="3" t="str">
        <f>IFERROR(__xludf.DUMMYFUNCTION("""COMPUTED_VALUE"""),"pcs")</f>
        <v>pcs</v>
      </c>
      <c r="I296" s="3" t="str">
        <f>IFERROR(__xludf.DUMMYFUNCTION("""COMPUTED_VALUE"""),"Buat modifikasi gas N2 dan HE")</f>
        <v>Buat modifikasi gas N2 dan HE</v>
      </c>
      <c r="J296" s="3" t="str">
        <f>IFERROR(__xludf.DUMMYFUNCTION("""COMPUTED_VALUE"""),"P-50426-00")</f>
        <v>P-50426-00</v>
      </c>
      <c r="K296" s="3" t="str">
        <f>IFERROR(__xludf.DUMMYFUNCTION("""COMPUTED_VALUE"""),"Approve")</f>
        <v>Approve</v>
      </c>
      <c r="L296" s="3" t="str">
        <f>IFERROR(__xludf.DUMMYFUNCTION("""COMPUTED_VALUE"""),"Normal")</f>
        <v>Normal</v>
      </c>
      <c r="M296" s="3" t="str">
        <f>IFERROR(__xludf.DUMMYFUNCTION("""COMPUTED_VALUE"""),"Non Urgent")</f>
        <v>Non Urgent</v>
      </c>
    </row>
    <row r="297">
      <c r="A297" s="4">
        <f>IFERROR(__xludf.DUMMYFUNCTION("""COMPUTED_VALUE"""),45865.641474814816)</f>
        <v>45865.64147</v>
      </c>
      <c r="B297" s="3" t="str">
        <f>IFERROR(__xludf.DUMMYFUNCTION("""COMPUTED_VALUE"""),"MRNRO0028")</f>
        <v>MRNRO0028</v>
      </c>
      <c r="C297" s="3" t="str">
        <f>IFERROR(__xludf.DUMMYFUNCTION("""COMPUTED_VALUE"""),"EJO")</f>
        <v>EJO</v>
      </c>
      <c r="D297" s="3" t="str">
        <f>IFERROR(__xludf.DUMMYFUNCTION("""COMPUTED_VALUE"""),"EJO/2025/07/44")</f>
        <v>EJO/2025/07/44</v>
      </c>
      <c r="E297" s="3" t="str">
        <f>IFERROR(__xludf.DUMMYFUNCTION("""COMPUTED_VALUE"""),"Ruang GC lab")</f>
        <v>Ruang GC lab</v>
      </c>
      <c r="F297" s="3" t="str">
        <f>IFERROR(__xludf.DUMMYFUNCTION("""COMPUTED_VALUE"""),"Pilot Lamps / Red / 24 VDC / AD22-221DSI / AXLE")</f>
        <v>Pilot Lamps / Red / 24 VDC / AD22-221DSI / AXLE</v>
      </c>
      <c r="G297" s="3">
        <f>IFERROR(__xludf.DUMMYFUNCTION("""COMPUTED_VALUE"""),5.0)</f>
        <v>5</v>
      </c>
      <c r="H297" s="3" t="str">
        <f>IFERROR(__xludf.DUMMYFUNCTION("""COMPUTED_VALUE"""),"pcs")</f>
        <v>pcs</v>
      </c>
      <c r="I297" s="3" t="str">
        <f>IFERROR(__xludf.DUMMYFUNCTION("""COMPUTED_VALUE"""),"Buat modifikasi gas N2 dan HE")</f>
        <v>Buat modifikasi gas N2 dan HE</v>
      </c>
      <c r="J297" s="3" t="str">
        <f>IFERROR(__xludf.DUMMYFUNCTION("""COMPUTED_VALUE"""),"P-50430-00")</f>
        <v>P-50430-00</v>
      </c>
      <c r="K297" s="3" t="str">
        <f>IFERROR(__xludf.DUMMYFUNCTION("""COMPUTED_VALUE"""),"Approve")</f>
        <v>Approve</v>
      </c>
      <c r="L297" s="3" t="str">
        <f>IFERROR(__xludf.DUMMYFUNCTION("""COMPUTED_VALUE"""),"Normal")</f>
        <v>Normal</v>
      </c>
      <c r="M297" s="3" t="str">
        <f>IFERROR(__xludf.DUMMYFUNCTION("""COMPUTED_VALUE"""),"Non Urgent")</f>
        <v>Non Urgent</v>
      </c>
    </row>
    <row r="298">
      <c r="A298" s="4">
        <f>IFERROR(__xludf.DUMMYFUNCTION("""COMPUTED_VALUE"""),45865.64966880787)</f>
        <v>45865.64967</v>
      </c>
      <c r="B298" s="3" t="str">
        <f>IFERROR(__xludf.DUMMYFUNCTION("""COMPUTED_VALUE"""),"MFHRO0122")</f>
        <v>MFHRO0122</v>
      </c>
      <c r="C298" s="3" t="str">
        <f>IFERROR(__xludf.DUMMYFUNCTION("""COMPUTED_VALUE"""),"MIn Stok")</f>
        <v>MIn Stok</v>
      </c>
      <c r="D298" s="3" t="str">
        <f>IFERROR(__xludf.DUMMYFUNCTION("""COMPUTED_VALUE"""),"-")</f>
        <v>-</v>
      </c>
      <c r="E298" s="3" t="str">
        <f>IFERROR(__xludf.DUMMYFUNCTION("""COMPUTED_VALUE"""),"Lab")</f>
        <v>Lab</v>
      </c>
      <c r="F298" s="3" t="str">
        <f>IFERROR(__xludf.DUMMYFUNCTION("""COMPUTED_VALUE"""),"Inlet liner, Ultra Inert, split, low pressure drop, glass wool; Agilent; Part No. 5190-2295; 1/pk")</f>
        <v>Inlet liner, Ultra Inert, split, low pressure drop, glass wool; Agilent; Part No. 5190-2295; 1/pk</v>
      </c>
      <c r="G298" s="3">
        <f>IFERROR(__xludf.DUMMYFUNCTION("""COMPUTED_VALUE"""),2.0)</f>
        <v>2</v>
      </c>
      <c r="H298" s="3" t="str">
        <f>IFERROR(__xludf.DUMMYFUNCTION("""COMPUTED_VALUE"""),"Pieces")</f>
        <v>Pieces</v>
      </c>
      <c r="I298" s="3" t="str">
        <f>IFERROR(__xludf.DUMMYFUNCTION("""COMPUTED_VALUE"""),"Untuk Lab 121702839 2378")</f>
        <v>Untuk Lab 121702839 2378</v>
      </c>
      <c r="J298" s="3" t="str">
        <f>IFERROR(__xludf.DUMMYFUNCTION("""COMPUTED_VALUE"""),"T-20320-00")</f>
        <v>T-20320-00</v>
      </c>
      <c r="K298" s="3" t="str">
        <f>IFERROR(__xludf.DUMMYFUNCTION("""COMPUTED_VALUE"""),"Approve")</f>
        <v>Approve</v>
      </c>
      <c r="L298" s="3" t="str">
        <f>IFERROR(__xludf.DUMMYFUNCTION("""COMPUTED_VALUE"""),"Normal")</f>
        <v>Normal</v>
      </c>
      <c r="M298" s="3" t="str">
        <f>IFERROR(__xludf.DUMMYFUNCTION("""COMPUTED_VALUE"""),"Non Urgent")</f>
        <v>Non Urgent</v>
      </c>
    </row>
    <row r="299">
      <c r="A299" s="4">
        <f>IFERROR(__xludf.DUMMYFUNCTION("""COMPUTED_VALUE"""),45865.64966880787)</f>
        <v>45865.64967</v>
      </c>
      <c r="B299" s="3" t="str">
        <f>IFERROR(__xludf.DUMMYFUNCTION("""COMPUTED_VALUE"""),"MFHRO0123")</f>
        <v>MFHRO0123</v>
      </c>
      <c r="C299" s="3" t="str">
        <f>IFERROR(__xludf.DUMMYFUNCTION("""COMPUTED_VALUE"""),"MIn Stok")</f>
        <v>MIn Stok</v>
      </c>
      <c r="D299" s="3" t="str">
        <f>IFERROR(__xludf.DUMMYFUNCTION("""COMPUTED_VALUE"""),"-")</f>
        <v>-</v>
      </c>
      <c r="E299" s="3" t="str">
        <f>IFERROR(__xludf.DUMMYFUNCTION("""COMPUTED_VALUE"""),"Lab")</f>
        <v>Lab</v>
      </c>
      <c r="F299" s="3" t="str">
        <f>IFERROR(__xludf.DUMMYFUNCTION("""COMPUTED_VALUE"""),"Septum Bleed/Temp Opt. Non-Stick 11 mm Septa ; Agilent; Part No. 5183-4757; 50/pk")</f>
        <v>Septum Bleed/Temp Opt. Non-Stick 11 mm Septa ; Agilent; Part No. 5183-4757; 50/pk</v>
      </c>
      <c r="G299" s="3">
        <f>IFERROR(__xludf.DUMMYFUNCTION("""COMPUTED_VALUE"""),1.0)</f>
        <v>1</v>
      </c>
      <c r="H299" s="3" t="str">
        <f>IFERROR(__xludf.DUMMYFUNCTION("""COMPUTED_VALUE"""),"Pack")</f>
        <v>Pack</v>
      </c>
      <c r="I299" s="3" t="str">
        <f>IFERROR(__xludf.DUMMYFUNCTION("""COMPUTED_VALUE"""),"Untuk Lab 121702839 2379")</f>
        <v>Untuk Lab 121702839 2379</v>
      </c>
      <c r="J299" s="3" t="str">
        <f>IFERROR(__xludf.DUMMYFUNCTION("""COMPUTED_VALUE"""),"T-20287-00")</f>
        <v>T-20287-00</v>
      </c>
      <c r="K299" s="3" t="str">
        <f>IFERROR(__xludf.DUMMYFUNCTION("""COMPUTED_VALUE"""),"Approve")</f>
        <v>Approve</v>
      </c>
      <c r="L299" s="3" t="str">
        <f>IFERROR(__xludf.DUMMYFUNCTION("""COMPUTED_VALUE"""),"Normal")</f>
        <v>Normal</v>
      </c>
      <c r="M299" s="3" t="str">
        <f>IFERROR(__xludf.DUMMYFUNCTION("""COMPUTED_VALUE"""),"Non Urgent")</f>
        <v>Non Urgent</v>
      </c>
    </row>
    <row r="300">
      <c r="A300" s="4">
        <f>IFERROR(__xludf.DUMMYFUNCTION("""COMPUTED_VALUE"""),45865.64966880787)</f>
        <v>45865.64967</v>
      </c>
      <c r="B300" s="3" t="str">
        <f>IFERROR(__xludf.DUMMYFUNCTION("""COMPUTED_VALUE"""),"MFHRO0124")</f>
        <v>MFHRO0124</v>
      </c>
      <c r="C300" s="3" t="str">
        <f>IFERROR(__xludf.DUMMYFUNCTION("""COMPUTED_VALUE"""),"Consumable")</f>
        <v>Consumable</v>
      </c>
      <c r="D300" s="3" t="str">
        <f>IFERROR(__xludf.DUMMYFUNCTION("""COMPUTED_VALUE"""),"-")</f>
        <v>-</v>
      </c>
      <c r="E300" s="3" t="str">
        <f>IFERROR(__xludf.DUMMYFUNCTION("""COMPUTED_VALUE"""),"General")</f>
        <v>General</v>
      </c>
      <c r="F300" s="3" t="str">
        <f>IFERROR(__xludf.DUMMYFUNCTION("""COMPUTED_VALUE"""),"Isolasi AC- Sansui")</f>
        <v>Isolasi AC- Sansui</v>
      </c>
      <c r="G300" s="3">
        <f>IFERROR(__xludf.DUMMYFUNCTION("""COMPUTED_VALUE"""),15.0)</f>
        <v>15</v>
      </c>
      <c r="H300" s="3" t="str">
        <f>IFERROR(__xludf.DUMMYFUNCTION("""COMPUTED_VALUE"""),"Pieces")</f>
        <v>Pieces</v>
      </c>
      <c r="I300" s="3" t="str">
        <f>IFERROR(__xludf.DUMMYFUNCTION("""COMPUTED_VALUE"""),"Consumable 121702899 2451")</f>
        <v>Consumable 121702899 2451</v>
      </c>
      <c r="J300" s="3" t="str">
        <f>IFERROR(__xludf.DUMMYFUNCTION("""COMPUTED_VALUE"""),"P-12433-00")</f>
        <v>P-12433-00</v>
      </c>
      <c r="K300" s="3" t="str">
        <f>IFERROR(__xludf.DUMMYFUNCTION("""COMPUTED_VALUE"""),"Approve")</f>
        <v>Approve</v>
      </c>
      <c r="L300" s="3" t="str">
        <f>IFERROR(__xludf.DUMMYFUNCTION("""COMPUTED_VALUE"""),"Normal")</f>
        <v>Normal</v>
      </c>
      <c r="M300" s="3" t="str">
        <f>IFERROR(__xludf.DUMMYFUNCTION("""COMPUTED_VALUE"""),"Non Urgent")</f>
        <v>Non Urgent</v>
      </c>
    </row>
    <row r="301">
      <c r="A301" s="4">
        <f>IFERROR(__xludf.DUMMYFUNCTION("""COMPUTED_VALUE"""),45865.64966880787)</f>
        <v>45865.64967</v>
      </c>
      <c r="B301" s="3" t="str">
        <f>IFERROR(__xludf.DUMMYFUNCTION("""COMPUTED_VALUE"""),"MFHRO0125")</f>
        <v>MFHRO0125</v>
      </c>
      <c r="C301" s="3" t="str">
        <f>IFERROR(__xludf.DUMMYFUNCTION("""COMPUTED_VALUE"""),"Consumable")</f>
        <v>Consumable</v>
      </c>
      <c r="D301" s="3" t="str">
        <f>IFERROR(__xludf.DUMMYFUNCTION("""COMPUTED_VALUE"""),"-")</f>
        <v>-</v>
      </c>
      <c r="E301" s="3" t="str">
        <f>IFERROR(__xludf.DUMMYFUNCTION("""COMPUTED_VALUE"""),"General")</f>
        <v>General</v>
      </c>
      <c r="F301" s="3" t="str">
        <f>IFERROR(__xludf.DUMMYFUNCTION("""COMPUTED_VALUE"""),"Pneumatic  Fitting - QS 10-8 / PN : 153039 / Festo")</f>
        <v>Pneumatic  Fitting - QS 10-8 / PN : 153039 / Festo</v>
      </c>
      <c r="G301" s="3">
        <f>IFERROR(__xludf.DUMMYFUNCTION("""COMPUTED_VALUE"""),10.0)</f>
        <v>10</v>
      </c>
      <c r="H301" s="3" t="str">
        <f>IFERROR(__xludf.DUMMYFUNCTION("""COMPUTED_VALUE"""),"Pieces")</f>
        <v>Pieces</v>
      </c>
      <c r="I301" s="3" t="str">
        <f>IFERROR(__xludf.DUMMYFUNCTION("""COMPUTED_VALUE"""),"Consumable 121702903 2453")</f>
        <v>Consumable 121702903 2453</v>
      </c>
      <c r="J301" s="3" t="str">
        <f>IFERROR(__xludf.DUMMYFUNCTION("""COMPUTED_VALUE"""),"P-11175-00")</f>
        <v>P-11175-00</v>
      </c>
      <c r="K301" s="3" t="str">
        <f>IFERROR(__xludf.DUMMYFUNCTION("""COMPUTED_VALUE"""),"Approve")</f>
        <v>Approve</v>
      </c>
      <c r="L301" s="3" t="str">
        <f>IFERROR(__xludf.DUMMYFUNCTION("""COMPUTED_VALUE"""),"Normal")</f>
        <v>Normal</v>
      </c>
      <c r="M301" s="3" t="str">
        <f>IFERROR(__xludf.DUMMYFUNCTION("""COMPUTED_VALUE"""),"Non Urgent")</f>
        <v>Non Urgent</v>
      </c>
    </row>
    <row r="302">
      <c r="A302" s="4">
        <f>IFERROR(__xludf.DUMMYFUNCTION("""COMPUTED_VALUE"""),45865.64966880787)</f>
        <v>45865.64967</v>
      </c>
      <c r="B302" s="3" t="str">
        <f>IFERROR(__xludf.DUMMYFUNCTION("""COMPUTED_VALUE"""),"MFHRO0126")</f>
        <v>MFHRO0126</v>
      </c>
      <c r="C302" s="3" t="str">
        <f>IFERROR(__xludf.DUMMYFUNCTION("""COMPUTED_VALUE"""),"MIn Stok")</f>
        <v>MIn Stok</v>
      </c>
      <c r="D302" s="3" t="str">
        <f>IFERROR(__xludf.DUMMYFUNCTION("""COMPUTED_VALUE"""),"-")</f>
        <v>-</v>
      </c>
      <c r="E302" s="3" t="str">
        <f>IFERROR(__xludf.DUMMYFUNCTION("""COMPUTED_VALUE"""),"AHU")</f>
        <v>AHU</v>
      </c>
      <c r="F302" s="3" t="str">
        <f>IFERROR(__xludf.DUMMYFUNCTION("""COMPUTED_VALUE"""),"General - Flexible Ducting Pipa Alumunium 4inch; No Brand; -; 1 pc")</f>
        <v>General - Flexible Ducting Pipa Alumunium 4inch; No Brand; -; 1 pc</v>
      </c>
      <c r="G302" s="3">
        <f>IFERROR(__xludf.DUMMYFUNCTION("""COMPUTED_VALUE"""),3.0)</f>
        <v>3</v>
      </c>
      <c r="H302" s="3" t="str">
        <f>IFERROR(__xludf.DUMMYFUNCTION("""COMPUTED_VALUE"""),"Pieces")</f>
        <v>Pieces</v>
      </c>
      <c r="I302" s="3" t="str">
        <f>IFERROR(__xludf.DUMMYFUNCTION("""COMPUTED_VALUE"""),"Untuk Loker Sepatu 121702907 2460")</f>
        <v>Untuk Loker Sepatu 121702907 2460</v>
      </c>
      <c r="J302" s="3" t="str">
        <f>IFERROR(__xludf.DUMMYFUNCTION("""COMPUTED_VALUE"""),"P-19877-00")</f>
        <v>P-19877-00</v>
      </c>
      <c r="K302" s="3" t="str">
        <f>IFERROR(__xludf.DUMMYFUNCTION("""COMPUTED_VALUE"""),"Approve")</f>
        <v>Approve</v>
      </c>
      <c r="L302" s="3" t="str">
        <f>IFERROR(__xludf.DUMMYFUNCTION("""COMPUTED_VALUE"""),"Normal")</f>
        <v>Normal</v>
      </c>
      <c r="M302" s="3" t="str">
        <f>IFERROR(__xludf.DUMMYFUNCTION("""COMPUTED_VALUE"""),"Non Urgent")</f>
        <v>Non Urgent</v>
      </c>
    </row>
    <row r="303">
      <c r="A303" s="4">
        <f>IFERROR(__xludf.DUMMYFUNCTION("""COMPUTED_VALUE"""),45865.64966880787)</f>
        <v>45865.64967</v>
      </c>
      <c r="B303" s="3" t="str">
        <f>IFERROR(__xludf.DUMMYFUNCTION("""COMPUTED_VALUE"""),"MFHRO0127")</f>
        <v>MFHRO0127</v>
      </c>
      <c r="C303" s="3" t="str">
        <f>IFERROR(__xludf.DUMMYFUNCTION("""COMPUTED_VALUE"""),"MIn Stok")</f>
        <v>MIn Stok</v>
      </c>
      <c r="D303" s="3" t="str">
        <f>IFERROR(__xludf.DUMMYFUNCTION("""COMPUTED_VALUE"""),"-")</f>
        <v>-</v>
      </c>
      <c r="E303" s="3" t="str">
        <f>IFERROR(__xludf.DUMMYFUNCTION("""COMPUTED_VALUE"""),"Washbay")</f>
        <v>Washbay</v>
      </c>
      <c r="F303" s="3" t="str">
        <f>IFERROR(__xludf.DUMMYFUNCTION("""COMPUTED_VALUE"""),"Button Box 3 hole dia 22 mm; ; ;")</f>
        <v>Button Box 3 hole dia 22 mm; ; ;</v>
      </c>
      <c r="G303" s="3">
        <f>IFERROR(__xludf.DUMMYFUNCTION("""COMPUTED_VALUE"""),1.0)</f>
        <v>1</v>
      </c>
      <c r="H303" s="3" t="str">
        <f>IFERROR(__xludf.DUMMYFUNCTION("""COMPUTED_VALUE"""),"Pieces")</f>
        <v>Pieces</v>
      </c>
      <c r="I303" s="3" t="str">
        <f>IFERROR(__xludf.DUMMYFUNCTION("""COMPUTED_VALUE"""),"Untuk Washbay 121702911 2473")</f>
        <v>Untuk Washbay 121702911 2473</v>
      </c>
      <c r="J303" s="3" t="str">
        <f>IFERROR(__xludf.DUMMYFUNCTION("""COMPUTED_VALUE"""),"P-51840-00")</f>
        <v>P-51840-00</v>
      </c>
      <c r="K303" s="3" t="str">
        <f>IFERROR(__xludf.DUMMYFUNCTION("""COMPUTED_VALUE"""),"Approve")</f>
        <v>Approve</v>
      </c>
      <c r="L303" s="3" t="str">
        <f>IFERROR(__xludf.DUMMYFUNCTION("""COMPUTED_VALUE"""),"Normal")</f>
        <v>Normal</v>
      </c>
      <c r="M303" s="3" t="str">
        <f>IFERROR(__xludf.DUMMYFUNCTION("""COMPUTED_VALUE"""),"Non Urgent")</f>
        <v>Non Urgent</v>
      </c>
    </row>
    <row r="304">
      <c r="A304" s="4">
        <f>IFERROR(__xludf.DUMMYFUNCTION("""COMPUTED_VALUE"""),45865.64966880787)</f>
        <v>45865.64967</v>
      </c>
      <c r="B304" s="3" t="str">
        <f>IFERROR(__xludf.DUMMYFUNCTION("""COMPUTED_VALUE"""),"MFHRO0128")</f>
        <v>MFHRO0128</v>
      </c>
      <c r="C304" s="3" t="str">
        <f>IFERROR(__xludf.DUMMYFUNCTION("""COMPUTED_VALUE"""),"MIn Stok")</f>
        <v>MIn Stok</v>
      </c>
      <c r="D304" s="3" t="str">
        <f>IFERROR(__xludf.DUMMYFUNCTION("""COMPUTED_VALUE"""),"-")</f>
        <v>-</v>
      </c>
      <c r="E304" s="3" t="str">
        <f>IFERROR(__xludf.DUMMYFUNCTION("""COMPUTED_VALUE"""),"Washbay")</f>
        <v>Washbay</v>
      </c>
      <c r="F304" s="3" t="str">
        <f>IFERROR(__xludf.DUMMYFUNCTION("""COMPUTED_VALUE"""),"General - Plug Silincer 1/4inch; No Brand; -; 1 pc")</f>
        <v>General - Plug Silincer 1/4inch; No Brand; -; 1 pc</v>
      </c>
      <c r="G304" s="3">
        <f>IFERROR(__xludf.DUMMYFUNCTION("""COMPUTED_VALUE"""),1.0)</f>
        <v>1</v>
      </c>
      <c r="H304" s="3" t="str">
        <f>IFERROR(__xludf.DUMMYFUNCTION("""COMPUTED_VALUE"""),"Pieces")</f>
        <v>Pieces</v>
      </c>
      <c r="I304" s="3" t="str">
        <f>IFERROR(__xludf.DUMMYFUNCTION("""COMPUTED_VALUE"""),"Untuk Washbay 121702911 2474")</f>
        <v>Untuk Washbay 121702911 2474</v>
      </c>
      <c r="J304" s="3" t="str">
        <f>IFERROR(__xludf.DUMMYFUNCTION("""COMPUTED_VALUE"""),"P-19892-00")</f>
        <v>P-19892-00</v>
      </c>
      <c r="K304" s="3" t="str">
        <f>IFERROR(__xludf.DUMMYFUNCTION("""COMPUTED_VALUE"""),"Approve")</f>
        <v>Approve</v>
      </c>
      <c r="L304" s="3" t="str">
        <f>IFERROR(__xludf.DUMMYFUNCTION("""COMPUTED_VALUE"""),"Normal")</f>
        <v>Normal</v>
      </c>
      <c r="M304" s="3" t="str">
        <f>IFERROR(__xludf.DUMMYFUNCTION("""COMPUTED_VALUE"""),"Non Urgent")</f>
        <v>Non Urgent</v>
      </c>
    </row>
    <row r="305">
      <c r="A305" s="4">
        <f>IFERROR(__xludf.DUMMYFUNCTION("""COMPUTED_VALUE"""),45865.64966880787)</f>
        <v>45865.64967</v>
      </c>
      <c r="B305" s="3" t="str">
        <f>IFERROR(__xludf.DUMMYFUNCTION("""COMPUTED_VALUE"""),"MFHRO0129")</f>
        <v>MFHRO0129</v>
      </c>
      <c r="C305" s="3" t="str">
        <f>IFERROR(__xludf.DUMMYFUNCTION("""COMPUTED_VALUE"""),"MIn Stok")</f>
        <v>MIn Stok</v>
      </c>
      <c r="D305" s="3" t="str">
        <f>IFERROR(__xludf.DUMMYFUNCTION("""COMPUTED_VALUE"""),"-")</f>
        <v>-</v>
      </c>
      <c r="E305" s="3" t="str">
        <f>IFERROR(__xludf.DUMMYFUNCTION("""COMPUTED_VALUE"""),"Washbay")</f>
        <v>Washbay</v>
      </c>
      <c r="F305" s="3" t="str">
        <f>IFERROR(__xludf.DUMMYFUNCTION("""COMPUTED_VALUE"""),"Selenoid Valve  4V210-08 24 VDC; ; ;")</f>
        <v>Selenoid Valve  4V210-08 24 VDC; ; ;</v>
      </c>
      <c r="G305" s="3">
        <f>IFERROR(__xludf.DUMMYFUNCTION("""COMPUTED_VALUE"""),1.0)</f>
        <v>1</v>
      </c>
      <c r="H305" s="3" t="str">
        <f>IFERROR(__xludf.DUMMYFUNCTION("""COMPUTED_VALUE"""),"Pieces")</f>
        <v>Pieces</v>
      </c>
      <c r="I305" s="3" t="str">
        <f>IFERROR(__xludf.DUMMYFUNCTION("""COMPUTED_VALUE"""),"Untuk Washbay 121702911 2475")</f>
        <v>Untuk Washbay 121702911 2475</v>
      </c>
      <c r="J305" s="3" t="str">
        <f>IFERROR(__xludf.DUMMYFUNCTION("""COMPUTED_VALUE"""),"P-13558-00")</f>
        <v>P-13558-00</v>
      </c>
      <c r="K305" s="3" t="str">
        <f>IFERROR(__xludf.DUMMYFUNCTION("""COMPUTED_VALUE"""),"Approve")</f>
        <v>Approve</v>
      </c>
      <c r="L305" s="3" t="str">
        <f>IFERROR(__xludf.DUMMYFUNCTION("""COMPUTED_VALUE"""),"Normal")</f>
        <v>Normal</v>
      </c>
      <c r="M305" s="3" t="str">
        <f>IFERROR(__xludf.DUMMYFUNCTION("""COMPUTED_VALUE"""),"Non Urgent")</f>
        <v>Non Urgent</v>
      </c>
    </row>
    <row r="306">
      <c r="A306" s="4">
        <f>IFERROR(__xludf.DUMMYFUNCTION("""COMPUTED_VALUE"""),45865.64966880787)</f>
        <v>45865.64967</v>
      </c>
      <c r="B306" s="3" t="str">
        <f>IFERROR(__xludf.DUMMYFUNCTION("""COMPUTED_VALUE"""),"MFHRO0130")</f>
        <v>MFHRO0130</v>
      </c>
      <c r="C306" s="3" t="str">
        <f>IFERROR(__xludf.DUMMYFUNCTION("""COMPUTED_VALUE"""),"MIn Stok")</f>
        <v>MIn Stok</v>
      </c>
      <c r="D306" s="3" t="str">
        <f>IFERROR(__xludf.DUMMYFUNCTION("""COMPUTED_VALUE"""),"-")</f>
        <v>-</v>
      </c>
      <c r="E306" s="3" t="str">
        <f>IFERROR(__xludf.DUMMYFUNCTION("""COMPUTED_VALUE"""),"Washbay")</f>
        <v>Washbay</v>
      </c>
      <c r="F306" s="3" t="str">
        <f>IFERROR(__xludf.DUMMYFUNCTION("""COMPUTED_VALUE"""),"General - Selenoid 1/8inch, 24VDC; Airtac; 4V210-06; 1 pc")</f>
        <v>General - Selenoid 1/8inch, 24VDC; Airtac; 4V210-06; 1 pc</v>
      </c>
      <c r="G306" s="3">
        <f>IFERROR(__xludf.DUMMYFUNCTION("""COMPUTED_VALUE"""),3.0)</f>
        <v>3</v>
      </c>
      <c r="H306" s="3" t="str">
        <f>IFERROR(__xludf.DUMMYFUNCTION("""COMPUTED_VALUE"""),"Pieces")</f>
        <v>Pieces</v>
      </c>
      <c r="I306" s="3" t="str">
        <f>IFERROR(__xludf.DUMMYFUNCTION("""COMPUTED_VALUE"""),"Untuk Washbay 121702911 2476")</f>
        <v>Untuk Washbay 121702911 2476</v>
      </c>
      <c r="J306" s="3" t="str">
        <f>IFERROR(__xludf.DUMMYFUNCTION("""COMPUTED_VALUE"""),"P-54311-00")</f>
        <v>P-54311-00</v>
      </c>
      <c r="K306" s="3" t="str">
        <f>IFERROR(__xludf.DUMMYFUNCTION("""COMPUTED_VALUE"""),"Approve")</f>
        <v>Approve</v>
      </c>
      <c r="L306" s="3" t="str">
        <f>IFERROR(__xludf.DUMMYFUNCTION("""COMPUTED_VALUE"""),"Normal")</f>
        <v>Normal</v>
      </c>
      <c r="M306" s="3" t="str">
        <f>IFERROR(__xludf.DUMMYFUNCTION("""COMPUTED_VALUE"""),"Non Urgent")</f>
        <v>Non Urgent</v>
      </c>
    </row>
    <row r="307">
      <c r="A307" s="4">
        <f>IFERROR(__xludf.DUMMYFUNCTION("""COMPUTED_VALUE"""),45865.64966880787)</f>
        <v>45865.64967</v>
      </c>
      <c r="B307" s="3" t="str">
        <f>IFERROR(__xludf.DUMMYFUNCTION("""COMPUTED_VALUE"""),"MFHRO0131")</f>
        <v>MFHRO0131</v>
      </c>
      <c r="C307" s="3" t="str">
        <f>IFERROR(__xludf.DUMMYFUNCTION("""COMPUTED_VALUE"""),"MIn Stok")</f>
        <v>MIn Stok</v>
      </c>
      <c r="D307" s="3" t="str">
        <f>IFERROR(__xludf.DUMMYFUNCTION("""COMPUTED_VALUE"""),"-")</f>
        <v>-</v>
      </c>
      <c r="E307" s="3" t="str">
        <f>IFERROR(__xludf.DUMMYFUNCTION("""COMPUTED_VALUE"""),"Washbay")</f>
        <v>Washbay</v>
      </c>
      <c r="F307" s="3" t="str">
        <f>IFERROR(__xludf.DUMMYFUNCTION("""COMPUTED_VALUE"""),"General - Fitting QS 1/8 x 6mm; EMC; -; 1 pc")</f>
        <v>General - Fitting QS 1/8 x 6mm; EMC; -; 1 pc</v>
      </c>
      <c r="G307" s="3">
        <f>IFERROR(__xludf.DUMMYFUNCTION("""COMPUTED_VALUE"""),10.0)</f>
        <v>10</v>
      </c>
      <c r="H307" s="3" t="str">
        <f>IFERROR(__xludf.DUMMYFUNCTION("""COMPUTED_VALUE"""),"Pieces")</f>
        <v>Pieces</v>
      </c>
      <c r="I307" s="3" t="str">
        <f>IFERROR(__xludf.DUMMYFUNCTION("""COMPUTED_VALUE"""),"Untuk Washbay 121702911 2477")</f>
        <v>Untuk Washbay 121702911 2477</v>
      </c>
      <c r="J307" s="3" t="str">
        <f>IFERROR(__xludf.DUMMYFUNCTION("""COMPUTED_VALUE"""),"P-19894-00")</f>
        <v>P-19894-00</v>
      </c>
      <c r="K307" s="3" t="str">
        <f>IFERROR(__xludf.DUMMYFUNCTION("""COMPUTED_VALUE"""),"Approve")</f>
        <v>Approve</v>
      </c>
      <c r="L307" s="3" t="str">
        <f>IFERROR(__xludf.DUMMYFUNCTION("""COMPUTED_VALUE"""),"Normal")</f>
        <v>Normal</v>
      </c>
      <c r="M307" s="3" t="str">
        <f>IFERROR(__xludf.DUMMYFUNCTION("""COMPUTED_VALUE"""),"Non Urgent")</f>
        <v>Non Urgent</v>
      </c>
    </row>
    <row r="308">
      <c r="A308" s="4">
        <f>IFERROR(__xludf.DUMMYFUNCTION("""COMPUTED_VALUE"""),45865.64966880787)</f>
        <v>45865.64967</v>
      </c>
      <c r="B308" s="3" t="str">
        <f>IFERROR(__xludf.DUMMYFUNCTION("""COMPUTED_VALUE"""),"MFHRO0132")</f>
        <v>MFHRO0132</v>
      </c>
      <c r="C308" s="3" t="str">
        <f>IFERROR(__xludf.DUMMYFUNCTION("""COMPUTED_VALUE"""),"MIn Stok")</f>
        <v>MIn Stok</v>
      </c>
      <c r="D308" s="3" t="str">
        <f>IFERROR(__xludf.DUMMYFUNCTION("""COMPUTED_VALUE"""),"-")</f>
        <v>-</v>
      </c>
      <c r="E308" s="3" t="str">
        <f>IFERROR(__xludf.DUMMYFUNCTION("""COMPUTED_VALUE"""),"Washbay")</f>
        <v>Washbay</v>
      </c>
      <c r="F308" s="3" t="str">
        <f>IFERROR(__xludf.DUMMYFUNCTION("""COMPUTED_VALUE"""),"General - Plug Silincer 1/8inch SS304; No Brand; -; 1 pc")</f>
        <v>General - Plug Silincer 1/8inch SS304; No Brand; -; 1 pc</v>
      </c>
      <c r="G308" s="3">
        <f>IFERROR(__xludf.DUMMYFUNCTION("""COMPUTED_VALUE"""),3.0)</f>
        <v>3</v>
      </c>
      <c r="H308" s="3" t="str">
        <f>IFERROR(__xludf.DUMMYFUNCTION("""COMPUTED_VALUE"""),"Pieces")</f>
        <v>Pieces</v>
      </c>
      <c r="I308" s="3" t="str">
        <f>IFERROR(__xludf.DUMMYFUNCTION("""COMPUTED_VALUE"""),"Untuk Washbay 121702911 2478")</f>
        <v>Untuk Washbay 121702911 2478</v>
      </c>
      <c r="J308" s="3" t="str">
        <f>IFERROR(__xludf.DUMMYFUNCTION("""COMPUTED_VALUE"""),"P-19893-00")</f>
        <v>P-19893-00</v>
      </c>
      <c r="K308" s="3" t="str">
        <f>IFERROR(__xludf.DUMMYFUNCTION("""COMPUTED_VALUE"""),"Approve")</f>
        <v>Approve</v>
      </c>
      <c r="L308" s="3" t="str">
        <f>IFERROR(__xludf.DUMMYFUNCTION("""COMPUTED_VALUE"""),"Normal")</f>
        <v>Normal</v>
      </c>
      <c r="M308" s="3" t="str">
        <f>IFERROR(__xludf.DUMMYFUNCTION("""COMPUTED_VALUE"""),"Non Urgent")</f>
        <v>Non Urgent</v>
      </c>
    </row>
    <row r="309">
      <c r="A309" s="4">
        <f>IFERROR(__xludf.DUMMYFUNCTION("""COMPUTED_VALUE"""),45865.64966880787)</f>
        <v>45865.64967</v>
      </c>
      <c r="B309" s="3" t="str">
        <f>IFERROR(__xludf.DUMMYFUNCTION("""COMPUTED_VALUE"""),"MFHRO0133")</f>
        <v>MFHRO0133</v>
      </c>
      <c r="C309" s="3" t="str">
        <f>IFERROR(__xludf.DUMMYFUNCTION("""COMPUTED_VALUE"""),"Consumable")</f>
        <v>Consumable</v>
      </c>
      <c r="D309" s="3" t="str">
        <f>IFERROR(__xludf.DUMMYFUNCTION("""COMPUTED_VALUE"""),"-")</f>
        <v>-</v>
      </c>
      <c r="E309" s="3" t="str">
        <f>IFERROR(__xludf.DUMMYFUNCTION("""COMPUTED_VALUE"""),"Washbay")</f>
        <v>Washbay</v>
      </c>
      <c r="F309" s="3" t="str">
        <f>IFERROR(__xludf.DUMMYFUNCTION("""COMPUTED_VALUE"""),"General - Double Tape 1"" Merah; 3M; -; 1 Pc")</f>
        <v>General - Double Tape 1" Merah; 3M; -; 1 Pc</v>
      </c>
      <c r="G309" s="3">
        <f>IFERROR(__xludf.DUMMYFUNCTION("""COMPUTED_VALUE"""),1.0)</f>
        <v>1</v>
      </c>
      <c r="H309" s="3" t="str">
        <f>IFERROR(__xludf.DUMMYFUNCTION("""COMPUTED_VALUE"""),"Pieces")</f>
        <v>Pieces</v>
      </c>
      <c r="I309" s="3" t="str">
        <f>IFERROR(__xludf.DUMMYFUNCTION("""COMPUTED_VALUE"""),"Untuk Washbay 121702911 2479")</f>
        <v>Untuk Washbay 121702911 2479</v>
      </c>
      <c r="J309" s="3" t="str">
        <f>IFERROR(__xludf.DUMMYFUNCTION("""COMPUTED_VALUE"""),"O-15931-00")</f>
        <v>O-15931-00</v>
      </c>
      <c r="K309" s="3" t="str">
        <f>IFERROR(__xludf.DUMMYFUNCTION("""COMPUTED_VALUE"""),"Approve")</f>
        <v>Approve</v>
      </c>
      <c r="L309" s="3" t="str">
        <f>IFERROR(__xludf.DUMMYFUNCTION("""COMPUTED_VALUE"""),"Normal")</f>
        <v>Normal</v>
      </c>
      <c r="M309" s="3" t="str">
        <f>IFERROR(__xludf.DUMMYFUNCTION("""COMPUTED_VALUE"""),"Non Urgent")</f>
        <v>Non Urgent</v>
      </c>
    </row>
    <row r="310">
      <c r="A310" s="4">
        <f>IFERROR(__xludf.DUMMYFUNCTION("""COMPUTED_VALUE"""),45865.64966880787)</f>
        <v>45865.64967</v>
      </c>
      <c r="B310" s="3" t="str">
        <f>IFERROR(__xludf.DUMMYFUNCTION("""COMPUTED_VALUE"""),"MFHRO0134")</f>
        <v>MFHRO0134</v>
      </c>
      <c r="C310" s="3" t="str">
        <f>IFERROR(__xludf.DUMMYFUNCTION("""COMPUTED_VALUE"""),"MIn Stok")</f>
        <v>MIn Stok</v>
      </c>
      <c r="D310" s="3" t="str">
        <f>IFERROR(__xludf.DUMMYFUNCTION("""COMPUTED_VALUE"""),"-")</f>
        <v>-</v>
      </c>
      <c r="E310" s="3" t="str">
        <f>IFERROR(__xludf.DUMMYFUNCTION("""COMPUTED_VALUE"""),"Washbay")</f>
        <v>Washbay</v>
      </c>
      <c r="F310" s="3" t="str">
        <f>IFERROR(__xludf.DUMMYFUNCTION("""COMPUTED_VALUE"""),"General - Baut M4 x 60mm + Mur + Ring; No Brand; -; 1 pc")</f>
        <v>General - Baut M4 x 60mm + Mur + Ring; No Brand; -; 1 pc</v>
      </c>
      <c r="G310" s="3">
        <f>IFERROR(__xludf.DUMMYFUNCTION("""COMPUTED_VALUE"""),8.0)</f>
        <v>8</v>
      </c>
      <c r="H310" s="3" t="str">
        <f>IFERROR(__xludf.DUMMYFUNCTION("""COMPUTED_VALUE"""),"Pieces")</f>
        <v>Pieces</v>
      </c>
      <c r="I310" s="3" t="str">
        <f>IFERROR(__xludf.DUMMYFUNCTION("""COMPUTED_VALUE"""),"Untuk Washbay 121702911 2480")</f>
        <v>Untuk Washbay 121702911 2480</v>
      </c>
      <c r="J310" s="3" t="str">
        <f>IFERROR(__xludf.DUMMYFUNCTION("""COMPUTED_VALUE"""),"P-19895-00")</f>
        <v>P-19895-00</v>
      </c>
      <c r="K310" s="3" t="str">
        <f>IFERROR(__xludf.DUMMYFUNCTION("""COMPUTED_VALUE"""),"Approve")</f>
        <v>Approve</v>
      </c>
      <c r="L310" s="3" t="str">
        <f>IFERROR(__xludf.DUMMYFUNCTION("""COMPUTED_VALUE"""),"Normal")</f>
        <v>Normal</v>
      </c>
      <c r="M310" s="3" t="str">
        <f>IFERROR(__xludf.DUMMYFUNCTION("""COMPUTED_VALUE"""),"Non Urgent")</f>
        <v>Non Urgent</v>
      </c>
    </row>
    <row r="311">
      <c r="A311" s="4">
        <f>IFERROR(__xludf.DUMMYFUNCTION("""COMPUTED_VALUE"""),45865.64966880787)</f>
        <v>45865.64967</v>
      </c>
      <c r="B311" s="3" t="str">
        <f>IFERROR(__xludf.DUMMYFUNCTION("""COMPUTED_VALUE"""),"MFHRO0135")</f>
        <v>MFHRO0135</v>
      </c>
      <c r="C311" s="3" t="str">
        <f>IFERROR(__xludf.DUMMYFUNCTION("""COMPUTED_VALUE"""),"MIn Stok")</f>
        <v>MIn Stok</v>
      </c>
      <c r="D311" s="3" t="str">
        <f>IFERROR(__xludf.DUMMYFUNCTION("""COMPUTED_VALUE"""),"-")</f>
        <v>-</v>
      </c>
      <c r="E311" s="3" t="str">
        <f>IFERROR(__xludf.DUMMYFUNCTION("""COMPUTED_VALUE"""),"Washbay")</f>
        <v>Washbay</v>
      </c>
      <c r="F311" s="3" t="str">
        <f>IFERROR(__xludf.DUMMYFUNCTION("""COMPUTED_VALUE"""),"Pilot Lamps / Green / 220 VAC / AD22-22DS / AXLE")</f>
        <v>Pilot Lamps / Green / 220 VAC / AD22-22DS / AXLE</v>
      </c>
      <c r="G311" s="3">
        <f>IFERROR(__xludf.DUMMYFUNCTION("""COMPUTED_VALUE"""),2.0)</f>
        <v>2</v>
      </c>
      <c r="H311" s="3" t="str">
        <f>IFERROR(__xludf.DUMMYFUNCTION("""COMPUTED_VALUE"""),"Pieces")</f>
        <v>Pieces</v>
      </c>
      <c r="I311" s="3" t="str">
        <f>IFERROR(__xludf.DUMMYFUNCTION("""COMPUTED_VALUE"""),"Untuk Washbay 121702911 2481")</f>
        <v>Untuk Washbay 121702911 2481</v>
      </c>
      <c r="J311" s="3" t="str">
        <f>IFERROR(__xludf.DUMMYFUNCTION("""COMPUTED_VALUE"""),"P-50426-00")</f>
        <v>P-50426-00</v>
      </c>
      <c r="K311" s="3" t="str">
        <f>IFERROR(__xludf.DUMMYFUNCTION("""COMPUTED_VALUE"""),"Approve")</f>
        <v>Approve</v>
      </c>
      <c r="L311" s="3" t="str">
        <f>IFERROR(__xludf.DUMMYFUNCTION("""COMPUTED_VALUE"""),"Normal")</f>
        <v>Normal</v>
      </c>
      <c r="M311" s="3" t="str">
        <f>IFERROR(__xludf.DUMMYFUNCTION("""COMPUTED_VALUE"""),"Non Urgent")</f>
        <v>Non Urgent</v>
      </c>
    </row>
    <row r="312">
      <c r="A312" s="4">
        <f>IFERROR(__xludf.DUMMYFUNCTION("""COMPUTED_VALUE"""),45865.64966880787)</f>
        <v>45865.64967</v>
      </c>
      <c r="B312" s="3" t="str">
        <f>IFERROR(__xludf.DUMMYFUNCTION("""COMPUTED_VALUE"""),"MFHRO0136")</f>
        <v>MFHRO0136</v>
      </c>
      <c r="C312" s="3" t="str">
        <f>IFERROR(__xludf.DUMMYFUNCTION("""COMPUTED_VALUE"""),"MIn Stok")</f>
        <v>MIn Stok</v>
      </c>
      <c r="D312" s="3" t="str">
        <f>IFERROR(__xludf.DUMMYFUNCTION("""COMPUTED_VALUE"""),"-")</f>
        <v>-</v>
      </c>
      <c r="E312" s="3" t="str">
        <f>IFERROR(__xludf.DUMMYFUNCTION("""COMPUTED_VALUE"""),"Washbay")</f>
        <v>Washbay</v>
      </c>
      <c r="F312" s="3" t="str">
        <f>IFERROR(__xludf.DUMMYFUNCTION("""COMPUTED_VALUE"""),"General - Terminal Block, 4 Pin; No Brand; -; 1 pcs")</f>
        <v>General - Terminal Block, 4 Pin; No Brand; -; 1 pcs</v>
      </c>
      <c r="G312" s="3">
        <f>IFERROR(__xludf.DUMMYFUNCTION("""COMPUTED_VALUE"""),4.0)</f>
        <v>4</v>
      </c>
      <c r="H312" s="3" t="str">
        <f>IFERROR(__xludf.DUMMYFUNCTION("""COMPUTED_VALUE"""),"Pieces")</f>
        <v>Pieces</v>
      </c>
      <c r="I312" s="3" t="str">
        <f>IFERROR(__xludf.DUMMYFUNCTION("""COMPUTED_VALUE"""),"Untuk Washbay 121702911 2482")</f>
        <v>Untuk Washbay 121702911 2482</v>
      </c>
      <c r="J312" s="3" t="str">
        <f>IFERROR(__xludf.DUMMYFUNCTION("""COMPUTED_VALUE"""),"P-51706-00")</f>
        <v>P-51706-00</v>
      </c>
      <c r="K312" s="3" t="str">
        <f>IFERROR(__xludf.DUMMYFUNCTION("""COMPUTED_VALUE"""),"Approve")</f>
        <v>Approve</v>
      </c>
      <c r="L312" s="3" t="str">
        <f>IFERROR(__xludf.DUMMYFUNCTION("""COMPUTED_VALUE"""),"Normal")</f>
        <v>Normal</v>
      </c>
      <c r="M312" s="3" t="str">
        <f>IFERROR(__xludf.DUMMYFUNCTION("""COMPUTED_VALUE"""),"Non Urgent")</f>
        <v>Non Urgent</v>
      </c>
    </row>
    <row r="313">
      <c r="A313" s="4">
        <f>IFERROR(__xludf.DUMMYFUNCTION("""COMPUTED_VALUE"""),45865.64966880787)</f>
        <v>45865.64967</v>
      </c>
      <c r="B313" s="3" t="str">
        <f>IFERROR(__xludf.DUMMYFUNCTION("""COMPUTED_VALUE"""),"MFHRO0137")</f>
        <v>MFHRO0137</v>
      </c>
      <c r="C313" s="3" t="str">
        <f>IFERROR(__xludf.DUMMYFUNCTION("""COMPUTED_VALUE"""),"MIn Stok")</f>
        <v>MIn Stok</v>
      </c>
      <c r="D313" s="3" t="str">
        <f>IFERROR(__xludf.DUMMYFUNCTION("""COMPUTED_VALUE"""),"-")</f>
        <v>-</v>
      </c>
      <c r="E313" s="3" t="str">
        <f>IFERROR(__xludf.DUMMYFUNCTION("""COMPUTED_VALUE"""),"Washbay")</f>
        <v>Washbay</v>
      </c>
      <c r="F313" s="3" t="str">
        <f>IFERROR(__xludf.DUMMYFUNCTION("""COMPUTED_VALUE"""),"General - Kabel NYAF 1 x 1.5 Hitam; Supreme; -; 50m/roll")</f>
        <v>General - Kabel NYAF 1 x 1.5 Hitam; Supreme; -; 50m/roll</v>
      </c>
      <c r="G313" s="3">
        <f>IFERROR(__xludf.DUMMYFUNCTION("""COMPUTED_VALUE"""),50.0)</f>
        <v>50</v>
      </c>
      <c r="H313" s="3" t="str">
        <f>IFERROR(__xludf.DUMMYFUNCTION("""COMPUTED_VALUE"""),"Pieces")</f>
        <v>Pieces</v>
      </c>
      <c r="I313" s="3" t="str">
        <f>IFERROR(__xludf.DUMMYFUNCTION("""COMPUTED_VALUE"""),"Untuk Washbay 121702911 2483")</f>
        <v>Untuk Washbay 121702911 2483</v>
      </c>
      <c r="J313" s="3" t="str">
        <f>IFERROR(__xludf.DUMMYFUNCTION("""COMPUTED_VALUE"""),"P-50277-00")</f>
        <v>P-50277-00</v>
      </c>
      <c r="K313" s="3" t="str">
        <f>IFERROR(__xludf.DUMMYFUNCTION("""COMPUTED_VALUE"""),"Approve")</f>
        <v>Approve</v>
      </c>
      <c r="L313" s="3" t="str">
        <f>IFERROR(__xludf.DUMMYFUNCTION("""COMPUTED_VALUE"""),"Normal")</f>
        <v>Normal</v>
      </c>
      <c r="M313" s="3" t="str">
        <f>IFERROR(__xludf.DUMMYFUNCTION("""COMPUTED_VALUE"""),"Non Urgent")</f>
        <v>Non Urgent</v>
      </c>
    </row>
    <row r="314">
      <c r="A314" s="4">
        <f>IFERROR(__xludf.DUMMYFUNCTION("""COMPUTED_VALUE"""),45865.64966880787)</f>
        <v>45865.64967</v>
      </c>
      <c r="B314" s="3" t="str">
        <f>IFERROR(__xludf.DUMMYFUNCTION("""COMPUTED_VALUE"""),"MFHRO0138")</f>
        <v>MFHRO0138</v>
      </c>
      <c r="C314" s="3" t="str">
        <f>IFERROR(__xludf.DUMMYFUNCTION("""COMPUTED_VALUE"""),"Consumable")</f>
        <v>Consumable</v>
      </c>
      <c r="D314" s="3" t="str">
        <f>IFERROR(__xludf.DUMMYFUNCTION("""COMPUTED_VALUE"""),"-")</f>
        <v>-</v>
      </c>
      <c r="E314" s="3" t="str">
        <f>IFERROR(__xludf.DUMMYFUNCTION("""COMPUTED_VALUE"""),"General")</f>
        <v>General</v>
      </c>
      <c r="F314" s="3" t="str">
        <f>IFERROR(__xludf.DUMMYFUNCTION("""COMPUTED_VALUE"""),"General - Seal Tape 1inch; ONDA; -; 1 Pcs")</f>
        <v>General - Seal Tape 1inch; ONDA; -; 1 Pcs</v>
      </c>
      <c r="G314" s="3">
        <f>IFERROR(__xludf.DUMMYFUNCTION("""COMPUTED_VALUE"""),30.0)</f>
        <v>30</v>
      </c>
      <c r="H314" s="3" t="str">
        <f>IFERROR(__xludf.DUMMYFUNCTION("""COMPUTED_VALUE"""),"Pieces")</f>
        <v>Pieces</v>
      </c>
      <c r="I314" s="3" t="str">
        <f>IFERROR(__xludf.DUMMYFUNCTION("""COMPUTED_VALUE"""),"Consumable 121702920 2490")</f>
        <v>Consumable 121702920 2490</v>
      </c>
      <c r="J314" s="3" t="str">
        <f>IFERROR(__xludf.DUMMYFUNCTION("""COMPUTED_VALUE"""),"P-10945-00")</f>
        <v>P-10945-00</v>
      </c>
      <c r="K314" s="3" t="str">
        <f>IFERROR(__xludf.DUMMYFUNCTION("""COMPUTED_VALUE"""),"Approve")</f>
        <v>Approve</v>
      </c>
      <c r="L314" s="3" t="str">
        <f>IFERROR(__xludf.DUMMYFUNCTION("""COMPUTED_VALUE"""),"Normal")</f>
        <v>Normal</v>
      </c>
      <c r="M314" s="3" t="str">
        <f>IFERROR(__xludf.DUMMYFUNCTION("""COMPUTED_VALUE"""),"Non Urgent")</f>
        <v>Non Urgent</v>
      </c>
    </row>
    <row r="315">
      <c r="A315" s="4">
        <f>IFERROR(__xludf.DUMMYFUNCTION("""COMPUTED_VALUE"""),45865.64966880787)</f>
        <v>45865.64967</v>
      </c>
      <c r="B315" s="3" t="str">
        <f>IFERROR(__xludf.DUMMYFUNCTION("""COMPUTED_VALUE"""),"MFHRO0139")</f>
        <v>MFHRO0139</v>
      </c>
      <c r="C315" s="3" t="str">
        <f>IFERROR(__xludf.DUMMYFUNCTION("""COMPUTED_VALUE"""),"MIn Stok")</f>
        <v>MIn Stok</v>
      </c>
      <c r="D315" s="3" t="str">
        <f>IFERROR(__xludf.DUMMYFUNCTION("""COMPUTED_VALUE"""),"-")</f>
        <v>-</v>
      </c>
      <c r="E315" s="3" t="str">
        <f>IFERROR(__xludf.DUMMYFUNCTION("""COMPUTED_VALUE"""),"Tunnel")</f>
        <v>Tunnel</v>
      </c>
      <c r="F315" s="3" t="str">
        <f>IFERROR(__xludf.DUMMYFUNCTION("""COMPUTED_VALUE"""),"Tunnel ST1L - Junction (15x15mm L=23,5mm) CA system Tight Door; ; ;")</f>
        <v>Tunnel ST1L - Junction (15x15mm L=23,5mm) CA system Tight Door; ; ;</v>
      </c>
      <c r="G315" s="3">
        <f>IFERROR(__xludf.DUMMYFUNCTION("""COMPUTED_VALUE"""),2.0)</f>
        <v>2</v>
      </c>
      <c r="H315" s="3" t="str">
        <f>IFERROR(__xludf.DUMMYFUNCTION("""COMPUTED_VALUE"""),"Pieces")</f>
        <v>Pieces</v>
      </c>
      <c r="I315" s="3" t="str">
        <f>IFERROR(__xludf.DUMMYFUNCTION("""COMPUTED_VALUE"""),"Untuk Tunnel 121702876 2425")</f>
        <v>Untuk Tunnel 121702876 2425</v>
      </c>
      <c r="J315" s="3" t="str">
        <f>IFERROR(__xludf.DUMMYFUNCTION("""COMPUTED_VALUE"""),"O-18346-00")</f>
        <v>O-18346-00</v>
      </c>
      <c r="K315" s="3" t="str">
        <f>IFERROR(__xludf.DUMMYFUNCTION("""COMPUTED_VALUE"""),"Approve")</f>
        <v>Approve</v>
      </c>
      <c r="L315" s="3" t="str">
        <f>IFERROR(__xludf.DUMMYFUNCTION("""COMPUTED_VALUE"""),"Normal")</f>
        <v>Normal</v>
      </c>
      <c r="M315" s="3" t="str">
        <f>IFERROR(__xludf.DUMMYFUNCTION("""COMPUTED_VALUE"""),"Non Urgent")</f>
        <v>Non Urgent</v>
      </c>
    </row>
    <row r="316">
      <c r="A316" s="4">
        <f>IFERROR(__xludf.DUMMYFUNCTION("""COMPUTED_VALUE"""),45865.64966880787)</f>
        <v>45865.64967</v>
      </c>
      <c r="B316" s="3" t="str">
        <f>IFERROR(__xludf.DUMMYFUNCTION("""COMPUTED_VALUE"""),"MFHRO0140")</f>
        <v>MFHRO0140</v>
      </c>
      <c r="C316" s="3" t="str">
        <f>IFERROR(__xludf.DUMMYFUNCTION("""COMPUTED_VALUE"""),"MIn Stok")</f>
        <v>MIn Stok</v>
      </c>
      <c r="D316" s="3" t="str">
        <f>IFERROR(__xludf.DUMMYFUNCTION("""COMPUTED_VALUE"""),"-")</f>
        <v>-</v>
      </c>
      <c r="E316" s="3" t="str">
        <f>IFERROR(__xludf.DUMMYFUNCTION("""COMPUTED_VALUE"""),"Tunnel")</f>
        <v>Tunnel</v>
      </c>
      <c r="F316" s="3" t="str">
        <f>IFERROR(__xludf.DUMMYFUNCTION("""COMPUTED_VALUE"""),"Tunnel ST1L - Connections AISI 304 - 1/8 Inch for Tunnel Inflatable Gasket Substitution Dia. Tube 6; ; ;")</f>
        <v>Tunnel ST1L - Connections AISI 304 - 1/8 Inch for Tunnel Inflatable Gasket Substitution Dia. Tube 6; ; ;</v>
      </c>
      <c r="G316" s="3">
        <f>IFERROR(__xludf.DUMMYFUNCTION("""COMPUTED_VALUE"""),2.0)</f>
        <v>2</v>
      </c>
      <c r="H316" s="3" t="str">
        <f>IFERROR(__xludf.DUMMYFUNCTION("""COMPUTED_VALUE"""),"Pieces")</f>
        <v>Pieces</v>
      </c>
      <c r="I316" s="3" t="str">
        <f>IFERROR(__xludf.DUMMYFUNCTION("""COMPUTED_VALUE"""),"Untuk Tunnel 121702876 2426")</f>
        <v>Untuk Tunnel 121702876 2426</v>
      </c>
      <c r="J316" s="3" t="str">
        <f>IFERROR(__xludf.DUMMYFUNCTION("""COMPUTED_VALUE"""),"O-18348-00")</f>
        <v>O-18348-00</v>
      </c>
      <c r="K316" s="3" t="str">
        <f>IFERROR(__xludf.DUMMYFUNCTION("""COMPUTED_VALUE"""),"Approve")</f>
        <v>Approve</v>
      </c>
      <c r="L316" s="3" t="str">
        <f>IFERROR(__xludf.DUMMYFUNCTION("""COMPUTED_VALUE"""),"Normal")</f>
        <v>Normal</v>
      </c>
      <c r="M316" s="3" t="str">
        <f>IFERROR(__xludf.DUMMYFUNCTION("""COMPUTED_VALUE"""),"Non Urgent")</f>
        <v>Non Urgent</v>
      </c>
    </row>
    <row r="317">
      <c r="A317" s="4">
        <f>IFERROR(__xludf.DUMMYFUNCTION("""COMPUTED_VALUE"""),45865.64966880787)</f>
        <v>45865.64967</v>
      </c>
      <c r="B317" s="3" t="str">
        <f>IFERROR(__xludf.DUMMYFUNCTION("""COMPUTED_VALUE"""),"MFHRO0141")</f>
        <v>MFHRO0141</v>
      </c>
      <c r="C317" s="3" t="str">
        <f>IFERROR(__xludf.DUMMYFUNCTION("""COMPUTED_VALUE"""),"MIn Stok")</f>
        <v>MIn Stok</v>
      </c>
      <c r="D317" s="3" t="str">
        <f>IFERROR(__xludf.DUMMYFUNCTION("""COMPUTED_VALUE"""),"-")</f>
        <v>-</v>
      </c>
      <c r="E317" s="3" t="str">
        <f>IFERROR(__xludf.DUMMYFUNCTION("""COMPUTED_VALUE"""),"Filling")</f>
        <v>Filling</v>
      </c>
      <c r="F317" s="3" t="str">
        <f>IFERROR(__xludf.DUMMYFUNCTION("""COMPUTED_VALUE"""),"Filling VFM100 - Cable 3g 1.5mq JZ-500; Steriline; 1111907; 1 Pc")</f>
        <v>Filling VFM100 - Cable 3g 1.5mq JZ-500; Steriline; 1111907; 1 Pc</v>
      </c>
      <c r="G317" s="3">
        <f>IFERROR(__xludf.DUMMYFUNCTION("""COMPUTED_VALUE"""),1.0)</f>
        <v>1</v>
      </c>
      <c r="H317" s="3" t="str">
        <f>IFERROR(__xludf.DUMMYFUNCTION("""COMPUTED_VALUE"""),"Pieces")</f>
        <v>Pieces</v>
      </c>
      <c r="I317" s="3" t="str">
        <f>IFERROR(__xludf.DUMMYFUNCTION("""COMPUTED_VALUE"""),"Untuk Filling 121702876 2428")</f>
        <v>Untuk Filling 121702876 2428</v>
      </c>
      <c r="J317" s="3" t="str">
        <f>IFERROR(__xludf.DUMMYFUNCTION("""COMPUTED_VALUE"""),"O-53319-00")</f>
        <v>O-53319-00</v>
      </c>
      <c r="K317" s="3" t="str">
        <f>IFERROR(__xludf.DUMMYFUNCTION("""COMPUTED_VALUE"""),"Approve")</f>
        <v>Approve</v>
      </c>
      <c r="L317" s="3" t="str">
        <f>IFERROR(__xludf.DUMMYFUNCTION("""COMPUTED_VALUE"""),"Normal")</f>
        <v>Normal</v>
      </c>
      <c r="M317" s="3" t="str">
        <f>IFERROR(__xludf.DUMMYFUNCTION("""COMPUTED_VALUE"""),"Non Urgent")</f>
        <v>Non Urgent</v>
      </c>
    </row>
    <row r="318">
      <c r="A318" s="4">
        <f>IFERROR(__xludf.DUMMYFUNCTION("""COMPUTED_VALUE"""),45865.64966880787)</f>
        <v>45865.64967</v>
      </c>
      <c r="B318" s="3" t="str">
        <f>IFERROR(__xludf.DUMMYFUNCTION("""COMPUTED_VALUE"""),"MFHRO0142")</f>
        <v>MFHRO0142</v>
      </c>
      <c r="C318" s="3" t="str">
        <f>IFERROR(__xludf.DUMMYFUNCTION("""COMPUTED_VALUE"""),"MIn Stok")</f>
        <v>MIn Stok</v>
      </c>
      <c r="D318" s="3" t="str">
        <f>IFERROR(__xludf.DUMMYFUNCTION("""COMPUTED_VALUE"""),"-")</f>
        <v>-</v>
      </c>
      <c r="E318" s="3" t="str">
        <f>IFERROR(__xludf.DUMMYFUNCTION("""COMPUTED_VALUE"""),"Filling")</f>
        <v>Filling</v>
      </c>
      <c r="F318" s="3" t="str">
        <f>IFERROR(__xludf.DUMMYFUNCTION("""COMPUTED_VALUE"""),"Packing &amp; Other Charges; ; ;")</f>
        <v>Packing &amp; Other Charges; ; ;</v>
      </c>
      <c r="G318" s="3">
        <f>IFERROR(__xludf.DUMMYFUNCTION("""COMPUTED_VALUE"""),1.0)</f>
        <v>1</v>
      </c>
      <c r="H318" s="3" t="str">
        <f>IFERROR(__xludf.DUMMYFUNCTION("""COMPUTED_VALUE"""),"Lot")</f>
        <v>Lot</v>
      </c>
      <c r="I318" s="3" t="str">
        <f>IFERROR(__xludf.DUMMYFUNCTION("""COMPUTED_VALUE"""),"Untuk Pengiriman Steriline 121702876 2429")</f>
        <v>Untuk Pengiriman Steriline 121702876 2429</v>
      </c>
      <c r="J318" s="3" t="str">
        <f>IFERROR(__xludf.DUMMYFUNCTION("""COMPUTED_VALUE"""),"S-44000-00")</f>
        <v>S-44000-00</v>
      </c>
      <c r="K318" s="3" t="str">
        <f>IFERROR(__xludf.DUMMYFUNCTION("""COMPUTED_VALUE"""),"Approve")</f>
        <v>Approve</v>
      </c>
      <c r="L318" s="3" t="str">
        <f>IFERROR(__xludf.DUMMYFUNCTION("""COMPUTED_VALUE"""),"Normal")</f>
        <v>Normal</v>
      </c>
      <c r="M318" s="3" t="str">
        <f>IFERROR(__xludf.DUMMYFUNCTION("""COMPUTED_VALUE"""),"Non Urgent")</f>
        <v>Non Urgent</v>
      </c>
    </row>
    <row r="319">
      <c r="A319" s="4">
        <f>IFERROR(__xludf.DUMMYFUNCTION("""COMPUTED_VALUE"""),45865.64966880787)</f>
        <v>45865.64967</v>
      </c>
      <c r="B319" s="3" t="str">
        <f>IFERROR(__xludf.DUMMYFUNCTION("""COMPUTED_VALUE"""),"MFHRO0143")</f>
        <v>MFHRO0143</v>
      </c>
      <c r="C319" s="3" t="str">
        <f>IFERROR(__xludf.DUMMYFUNCTION("""COMPUTED_VALUE"""),"Consumable")</f>
        <v>Consumable</v>
      </c>
      <c r="D319" s="3" t="str">
        <f>IFERROR(__xludf.DUMMYFUNCTION("""COMPUTED_VALUE"""),"-")</f>
        <v>-</v>
      </c>
      <c r="E319" s="3" t="str">
        <f>IFERROR(__xludf.DUMMYFUNCTION("""COMPUTED_VALUE"""),"General")</f>
        <v>General</v>
      </c>
      <c r="F319" s="3" t="str">
        <f>IFERROR(__xludf.DUMMYFUNCTION("""COMPUTED_VALUE"""),"General - Adhesive Tape -; Nippon; ASF-110FR; 1 pc")</f>
        <v>General - Adhesive Tape -; Nippon; ASF-110FR; 1 pc</v>
      </c>
      <c r="G319" s="3">
        <f>IFERROR(__xludf.DUMMYFUNCTION("""COMPUTED_VALUE"""),4.0)</f>
        <v>4</v>
      </c>
      <c r="H319" s="3" t="str">
        <f>IFERROR(__xludf.DUMMYFUNCTION("""COMPUTED_VALUE"""),"Pieces")</f>
        <v>Pieces</v>
      </c>
      <c r="I319" s="3" t="str">
        <f>IFERROR(__xludf.DUMMYFUNCTION("""COMPUTED_VALUE"""),"Consumable 121702942 2509")</f>
        <v>Consumable 121702942 2509</v>
      </c>
      <c r="J319" s="3" t="str">
        <f>IFERROR(__xludf.DUMMYFUNCTION("""COMPUTED_VALUE"""),"P-12994-00")</f>
        <v>P-12994-00</v>
      </c>
      <c r="K319" s="3" t="str">
        <f>IFERROR(__xludf.DUMMYFUNCTION("""COMPUTED_VALUE"""),"Approve")</f>
        <v>Approve</v>
      </c>
      <c r="L319" s="3" t="str">
        <f>IFERROR(__xludf.DUMMYFUNCTION("""COMPUTED_VALUE"""),"Normal")</f>
        <v>Normal</v>
      </c>
      <c r="M319" s="3" t="str">
        <f>IFERROR(__xludf.DUMMYFUNCTION("""COMPUTED_VALUE"""),"Non Urgent")</f>
        <v>Non Urgent</v>
      </c>
    </row>
    <row r="320">
      <c r="A320" s="4">
        <f>IFERROR(__xludf.DUMMYFUNCTION("""COMPUTED_VALUE"""),45865.64966880787)</f>
        <v>45865.64967</v>
      </c>
      <c r="B320" s="3" t="str">
        <f>IFERROR(__xludf.DUMMYFUNCTION("""COMPUTED_VALUE"""),"MFHRO0144")</f>
        <v>MFHRO0144</v>
      </c>
      <c r="C320" s="3" t="str">
        <f>IFERROR(__xludf.DUMMYFUNCTION("""COMPUTED_VALUE"""),"Consumable")</f>
        <v>Consumable</v>
      </c>
      <c r="D320" s="3" t="str">
        <f>IFERROR(__xludf.DUMMYFUNCTION("""COMPUTED_VALUE"""),"-")</f>
        <v>-</v>
      </c>
      <c r="E320" s="3" t="str">
        <f>IFERROR(__xludf.DUMMYFUNCTION("""COMPUTED_VALUE"""),"General")</f>
        <v>General</v>
      </c>
      <c r="F320" s="3" t="str">
        <f>IFERROR(__xludf.DUMMYFUNCTION("""COMPUTED_VALUE"""),"Gas Argon (Ar); 1.5 M3; Refill;  Industrial Grade; Purity ? 99.95%")</f>
        <v>Gas Argon (Ar); 1.5 M3; Refill;  Industrial Grade; Purity ? 99.95%</v>
      </c>
      <c r="G320" s="3">
        <f>IFERROR(__xludf.DUMMYFUNCTION("""COMPUTED_VALUE"""),1.0)</f>
        <v>1</v>
      </c>
      <c r="H320" s="3" t="str">
        <f>IFERROR(__xludf.DUMMYFUNCTION("""COMPUTED_VALUE"""),"Tube")</f>
        <v>Tube</v>
      </c>
      <c r="I320" s="3" t="str">
        <f>IFERROR(__xludf.DUMMYFUNCTION("""COMPUTED_VALUE"""),"Consumable 121702943 2510")</f>
        <v>Consumable 121702943 2510</v>
      </c>
      <c r="J320" s="3" t="str">
        <f>IFERROR(__xludf.DUMMYFUNCTION("""COMPUTED_VALUE"""),"S-62032-00")</f>
        <v>S-62032-00</v>
      </c>
      <c r="K320" s="3" t="str">
        <f>IFERROR(__xludf.DUMMYFUNCTION("""COMPUTED_VALUE"""),"Approve")</f>
        <v>Approve</v>
      </c>
      <c r="L320" s="3" t="str">
        <f>IFERROR(__xludf.DUMMYFUNCTION("""COMPUTED_VALUE"""),"Normal")</f>
        <v>Normal</v>
      </c>
      <c r="M320" s="3" t="str">
        <f>IFERROR(__xludf.DUMMYFUNCTION("""COMPUTED_VALUE"""),"Non Urgent")</f>
        <v>Non Urgent</v>
      </c>
    </row>
    <row r="321">
      <c r="A321" s="4">
        <f>IFERROR(__xludf.DUMMYFUNCTION("""COMPUTED_VALUE"""),45865.64966880787)</f>
        <v>45865.64967</v>
      </c>
      <c r="B321" s="3" t="str">
        <f>IFERROR(__xludf.DUMMYFUNCTION("""COMPUTED_VALUE"""),"MFHRO0145")</f>
        <v>MFHRO0145</v>
      </c>
      <c r="C321" s="3" t="str">
        <f>IFERROR(__xludf.DUMMYFUNCTION("""COMPUTED_VALUE"""),"MIn Stok")</f>
        <v>MIn Stok</v>
      </c>
      <c r="D321" s="3" t="str">
        <f>IFERROR(__xludf.DUMMYFUNCTION("""COMPUTED_VALUE"""),"-")</f>
        <v>-</v>
      </c>
      <c r="E321" s="3" t="str">
        <f>IFERROR(__xludf.DUMMYFUNCTION("""COMPUTED_VALUE"""),"HLD")</f>
        <v>HLD</v>
      </c>
      <c r="F321" s="3" t="str">
        <f>IFERROR(__xludf.DUMMYFUNCTION("""COMPUTED_VALUE"""),"General - Vacuum Ferrule KF25; No Brand; -; 1 pc")</f>
        <v>General - Vacuum Ferrule KF25; No Brand; -; 1 pc</v>
      </c>
      <c r="G321" s="3">
        <f>IFERROR(__xludf.DUMMYFUNCTION("""COMPUTED_VALUE"""),4.0)</f>
        <v>4</v>
      </c>
      <c r="H321" s="3" t="str">
        <f>IFERROR(__xludf.DUMMYFUNCTION("""COMPUTED_VALUE"""),"Pieces")</f>
        <v>Pieces</v>
      </c>
      <c r="I321" s="3" t="str">
        <f>IFERROR(__xludf.DUMMYFUNCTION("""COMPUTED_VALUE"""),"Untuk HLD 121702944 2512")</f>
        <v>Untuk HLD 121702944 2512</v>
      </c>
      <c r="J321" s="3" t="str">
        <f>IFERROR(__xludf.DUMMYFUNCTION("""COMPUTED_VALUE"""),"P-19957-00")</f>
        <v>P-19957-00</v>
      </c>
      <c r="K321" s="3" t="str">
        <f>IFERROR(__xludf.DUMMYFUNCTION("""COMPUTED_VALUE"""),"Approve")</f>
        <v>Approve</v>
      </c>
      <c r="L321" s="3" t="str">
        <f>IFERROR(__xludf.DUMMYFUNCTION("""COMPUTED_VALUE"""),"Normal")</f>
        <v>Normal</v>
      </c>
      <c r="M321" s="3" t="str">
        <f>IFERROR(__xludf.DUMMYFUNCTION("""COMPUTED_VALUE"""),"Non Urgent")</f>
        <v>Non Urgent</v>
      </c>
    </row>
    <row r="322">
      <c r="A322" s="4">
        <f>IFERROR(__xludf.DUMMYFUNCTION("""COMPUTED_VALUE"""),45865.64966880787)</f>
        <v>45865.64967</v>
      </c>
      <c r="B322" s="3" t="str">
        <f>IFERROR(__xludf.DUMMYFUNCTION("""COMPUTED_VALUE"""),"MFHRO0146")</f>
        <v>MFHRO0146</v>
      </c>
      <c r="C322" s="3" t="str">
        <f>IFERROR(__xludf.DUMMYFUNCTION("""COMPUTED_VALUE"""),"MIn Stok")</f>
        <v>MIn Stok</v>
      </c>
      <c r="D322" s="3" t="str">
        <f>IFERROR(__xludf.DUMMYFUNCTION("""COMPUTED_VALUE"""),"-")</f>
        <v>-</v>
      </c>
      <c r="E322" s="3" t="str">
        <f>IFERROR(__xludf.DUMMYFUNCTION("""COMPUTED_VALUE"""),"HLD")</f>
        <v>HLD</v>
      </c>
      <c r="F322" s="3" t="str">
        <f>IFERROR(__xludf.DUMMYFUNCTION("""COMPUTED_VALUE"""),"General - Vacuum Ferrule KF16; No Brand; -; 1 pc")</f>
        <v>General - Vacuum Ferrule KF16; No Brand; -; 1 pc</v>
      </c>
      <c r="G322" s="3">
        <f>IFERROR(__xludf.DUMMYFUNCTION("""COMPUTED_VALUE"""),4.0)</f>
        <v>4</v>
      </c>
      <c r="H322" s="3" t="str">
        <f>IFERROR(__xludf.DUMMYFUNCTION("""COMPUTED_VALUE"""),"Pieces")</f>
        <v>Pieces</v>
      </c>
      <c r="I322" s="3" t="str">
        <f>IFERROR(__xludf.DUMMYFUNCTION("""COMPUTED_VALUE"""),"Untuk HLD 121702944 2513")</f>
        <v>Untuk HLD 121702944 2513</v>
      </c>
      <c r="J322" s="3" t="str">
        <f>IFERROR(__xludf.DUMMYFUNCTION("""COMPUTED_VALUE"""),"P-19958-00")</f>
        <v>P-19958-00</v>
      </c>
      <c r="K322" s="3" t="str">
        <f>IFERROR(__xludf.DUMMYFUNCTION("""COMPUTED_VALUE"""),"Approve")</f>
        <v>Approve</v>
      </c>
      <c r="L322" s="3" t="str">
        <f>IFERROR(__xludf.DUMMYFUNCTION("""COMPUTED_VALUE"""),"Normal")</f>
        <v>Normal</v>
      </c>
      <c r="M322" s="3" t="str">
        <f>IFERROR(__xludf.DUMMYFUNCTION("""COMPUTED_VALUE"""),"Non Urgent")</f>
        <v>Non Urgent</v>
      </c>
    </row>
    <row r="323">
      <c r="A323" s="4">
        <f>IFERROR(__xludf.DUMMYFUNCTION("""COMPUTED_VALUE"""),45865.64966880787)</f>
        <v>45865.64967</v>
      </c>
      <c r="B323" s="3" t="str">
        <f>IFERROR(__xludf.DUMMYFUNCTION("""COMPUTED_VALUE"""),"MFHRO0147")</f>
        <v>MFHRO0147</v>
      </c>
      <c r="C323" s="3" t="str">
        <f>IFERROR(__xludf.DUMMYFUNCTION("""COMPUTED_VALUE"""),"MIn Stok")</f>
        <v>MIn Stok</v>
      </c>
      <c r="D323" s="3" t="str">
        <f>IFERROR(__xludf.DUMMYFUNCTION("""COMPUTED_VALUE"""),"-")</f>
        <v>-</v>
      </c>
      <c r="E323" s="3" t="str">
        <f>IFERROR(__xludf.DUMMYFUNCTION("""COMPUTED_VALUE"""),"HLD")</f>
        <v>HLD</v>
      </c>
      <c r="F323" s="3" t="str">
        <f>IFERROR(__xludf.DUMMYFUNCTION("""COMPUTED_VALUE"""),"General - Quick Coupler 3/8inch to Female Drat Dalam 3/8inch; No Brand; -; 1 pc")</f>
        <v>General - Quick Coupler 3/8inch to Female Drat Dalam 3/8inch; No Brand; -; 1 pc</v>
      </c>
      <c r="G323" s="3">
        <f>IFERROR(__xludf.DUMMYFUNCTION("""COMPUTED_VALUE"""),1.0)</f>
        <v>1</v>
      </c>
      <c r="H323" s="3" t="str">
        <f>IFERROR(__xludf.DUMMYFUNCTION("""COMPUTED_VALUE"""),"Pieces")</f>
        <v>Pieces</v>
      </c>
      <c r="I323" s="3" t="str">
        <f>IFERROR(__xludf.DUMMYFUNCTION("""COMPUTED_VALUE"""),"Untuk HLD 121702944 2514")</f>
        <v>Untuk HLD 121702944 2514</v>
      </c>
      <c r="J323" s="3" t="str">
        <f>IFERROR(__xludf.DUMMYFUNCTION("""COMPUTED_VALUE"""),"P-19896-00")</f>
        <v>P-19896-00</v>
      </c>
      <c r="K323" s="3" t="str">
        <f>IFERROR(__xludf.DUMMYFUNCTION("""COMPUTED_VALUE"""),"Approve")</f>
        <v>Approve</v>
      </c>
      <c r="L323" s="3" t="str">
        <f>IFERROR(__xludf.DUMMYFUNCTION("""COMPUTED_VALUE"""),"Normal")</f>
        <v>Normal</v>
      </c>
      <c r="M323" s="3" t="str">
        <f>IFERROR(__xludf.DUMMYFUNCTION("""COMPUTED_VALUE"""),"Non Urgent")</f>
        <v>Non Urgent</v>
      </c>
    </row>
    <row r="324">
      <c r="A324" s="4">
        <f>IFERROR(__xludf.DUMMYFUNCTION("""COMPUTED_VALUE"""),45865.64966880787)</f>
        <v>45865.64967</v>
      </c>
      <c r="B324" s="3" t="str">
        <f>IFERROR(__xludf.DUMMYFUNCTION("""COMPUTED_VALUE"""),"MFHRO0148")</f>
        <v>MFHRO0148</v>
      </c>
      <c r="C324" s="3" t="str">
        <f>IFERROR(__xludf.DUMMYFUNCTION("""COMPUTED_VALUE"""),"MIn Stok")</f>
        <v>MIn Stok</v>
      </c>
      <c r="D324" s="3" t="str">
        <f>IFERROR(__xludf.DUMMYFUNCTION("""COMPUTED_VALUE"""),"-")</f>
        <v>-</v>
      </c>
      <c r="E324" s="3" t="str">
        <f>IFERROR(__xludf.DUMMYFUNCTION("""COMPUTED_VALUE"""),"HLD")</f>
        <v>HLD</v>
      </c>
      <c r="F324" s="3" t="str">
        <f>IFERROR(__xludf.DUMMYFUNCTION("""COMPUTED_VALUE"""),"General - Quick Coupler 3/8inch to Male Drat Luar 1/4inch; No Brand; -;  1 pc")</f>
        <v>General - Quick Coupler 3/8inch to Male Drat Luar 1/4inch; No Brand; -;  1 pc</v>
      </c>
      <c r="G324" s="3">
        <f>IFERROR(__xludf.DUMMYFUNCTION("""COMPUTED_VALUE"""),1.0)</f>
        <v>1</v>
      </c>
      <c r="H324" s="3" t="str">
        <f>IFERROR(__xludf.DUMMYFUNCTION("""COMPUTED_VALUE"""),"Pieces")</f>
        <v>Pieces</v>
      </c>
      <c r="I324" s="3" t="str">
        <f>IFERROR(__xludf.DUMMYFUNCTION("""COMPUTED_VALUE"""),"Untuk HLD 121702944 2515")</f>
        <v>Untuk HLD 121702944 2515</v>
      </c>
      <c r="J324" s="3" t="str">
        <f>IFERROR(__xludf.DUMMYFUNCTION("""COMPUTED_VALUE"""),"P-19897-00")</f>
        <v>P-19897-00</v>
      </c>
      <c r="K324" s="3" t="str">
        <f>IFERROR(__xludf.DUMMYFUNCTION("""COMPUTED_VALUE"""),"Approve")</f>
        <v>Approve</v>
      </c>
      <c r="L324" s="3" t="str">
        <f>IFERROR(__xludf.DUMMYFUNCTION("""COMPUTED_VALUE"""),"Normal")</f>
        <v>Normal</v>
      </c>
      <c r="M324" s="3" t="str">
        <f>IFERROR(__xludf.DUMMYFUNCTION("""COMPUTED_VALUE"""),"Non Urgent")</f>
        <v>Non Urgent</v>
      </c>
    </row>
    <row r="325">
      <c r="A325" s="4">
        <f>IFERROR(__xludf.DUMMYFUNCTION("""COMPUTED_VALUE"""),45865.64966880787)</f>
        <v>45865.64967</v>
      </c>
      <c r="B325" s="3" t="str">
        <f>IFERROR(__xludf.DUMMYFUNCTION("""COMPUTED_VALUE"""),"MFHRO0149")</f>
        <v>MFHRO0149</v>
      </c>
      <c r="C325" s="3" t="str">
        <f>IFERROR(__xludf.DUMMYFUNCTION("""COMPUTED_VALUE"""),"MIn Stok")</f>
        <v>MIn Stok</v>
      </c>
      <c r="D325" s="3" t="str">
        <f>IFERROR(__xludf.DUMMYFUNCTION("""COMPUTED_VALUE"""),"-")</f>
        <v>-</v>
      </c>
      <c r="E325" s="3" t="str">
        <f>IFERROR(__xludf.DUMMYFUNCTION("""COMPUTED_VALUE"""),"HLD")</f>
        <v>HLD</v>
      </c>
      <c r="F325" s="3" t="str">
        <f>IFERROR(__xludf.DUMMYFUNCTION("""COMPUTED_VALUE"""),"General - Reducer SS316 Sanitary dia. 1inch x 3/4inch; No Brand; -; 1 pc")</f>
        <v>General - Reducer SS316 Sanitary dia. 1inch x 3/4inch; No Brand; -; 1 pc</v>
      </c>
      <c r="G325" s="3">
        <f>IFERROR(__xludf.DUMMYFUNCTION("""COMPUTED_VALUE"""),2.0)</f>
        <v>2</v>
      </c>
      <c r="H325" s="3" t="str">
        <f>IFERROR(__xludf.DUMMYFUNCTION("""COMPUTED_VALUE"""),"Pieces")</f>
        <v>Pieces</v>
      </c>
      <c r="I325" s="3" t="str">
        <f>IFERROR(__xludf.DUMMYFUNCTION("""COMPUTED_VALUE"""),"Untuk HLD 121702944 2516")</f>
        <v>Untuk HLD 121702944 2516</v>
      </c>
      <c r="J325" s="3" t="str">
        <f>IFERROR(__xludf.DUMMYFUNCTION("""COMPUTED_VALUE"""),"P-14995-00")</f>
        <v>P-14995-00</v>
      </c>
      <c r="K325" s="3" t="str">
        <f>IFERROR(__xludf.DUMMYFUNCTION("""COMPUTED_VALUE"""),"Approve")</f>
        <v>Approve</v>
      </c>
      <c r="L325" s="3" t="str">
        <f>IFERROR(__xludf.DUMMYFUNCTION("""COMPUTED_VALUE"""),"Normal")</f>
        <v>Normal</v>
      </c>
      <c r="M325" s="3" t="str">
        <f>IFERROR(__xludf.DUMMYFUNCTION("""COMPUTED_VALUE"""),"Non Urgent")</f>
        <v>Non Urgent</v>
      </c>
    </row>
    <row r="326">
      <c r="A326" s="4">
        <f>IFERROR(__xludf.DUMMYFUNCTION("""COMPUTED_VALUE"""),45865.64966880787)</f>
        <v>45865.64967</v>
      </c>
      <c r="B326" s="3" t="str">
        <f>IFERROR(__xludf.DUMMYFUNCTION("""COMPUTED_VALUE"""),"MFHRO0150")</f>
        <v>MFHRO0150</v>
      </c>
      <c r="C326" s="3" t="str">
        <f>IFERROR(__xludf.DUMMYFUNCTION("""COMPUTED_VALUE"""),"MIn Stok")</f>
        <v>MIn Stok</v>
      </c>
      <c r="D326" s="3" t="str">
        <f>IFERROR(__xludf.DUMMYFUNCTION("""COMPUTED_VALUE"""),"-")</f>
        <v>-</v>
      </c>
      <c r="E326" s="3" t="str">
        <f>IFERROR(__xludf.DUMMYFUNCTION("""COMPUTED_VALUE"""),"HLD")</f>
        <v>HLD</v>
      </c>
      <c r="F326" s="3" t="str">
        <f>IFERROR(__xludf.DUMMYFUNCTION("""COMPUTED_VALUE"""),"General - Clamp Selang, SS, 1""; Tridon; -; 1 pcs")</f>
        <v>General - Clamp Selang, SS, 1"; Tridon; -; 1 pcs</v>
      </c>
      <c r="G326" s="3">
        <f>IFERROR(__xludf.DUMMYFUNCTION("""COMPUTED_VALUE"""),10.0)</f>
        <v>10</v>
      </c>
      <c r="H326" s="3" t="str">
        <f>IFERROR(__xludf.DUMMYFUNCTION("""COMPUTED_VALUE"""),"Pieces")</f>
        <v>Pieces</v>
      </c>
      <c r="I326" s="3" t="str">
        <f>IFERROR(__xludf.DUMMYFUNCTION("""COMPUTED_VALUE"""),"Untuk HLD 121702944 2517")</f>
        <v>Untuk HLD 121702944 2517</v>
      </c>
      <c r="J326" s="3" t="str">
        <f>IFERROR(__xludf.DUMMYFUNCTION("""COMPUTED_VALUE"""),"P-12080-00")</f>
        <v>P-12080-00</v>
      </c>
      <c r="K326" s="3" t="str">
        <f>IFERROR(__xludf.DUMMYFUNCTION("""COMPUTED_VALUE"""),"Approve")</f>
        <v>Approve</v>
      </c>
      <c r="L326" s="3" t="str">
        <f>IFERROR(__xludf.DUMMYFUNCTION("""COMPUTED_VALUE"""),"Normal")</f>
        <v>Normal</v>
      </c>
      <c r="M326" s="3" t="str">
        <f>IFERROR(__xludf.DUMMYFUNCTION("""COMPUTED_VALUE"""),"Non Urgent")</f>
        <v>Non Urgent</v>
      </c>
    </row>
    <row r="327">
      <c r="A327" s="4">
        <f>IFERROR(__xludf.DUMMYFUNCTION("""COMPUTED_VALUE"""),45865.64966880787)</f>
        <v>45865.64967</v>
      </c>
      <c r="B327" s="3" t="str">
        <f>IFERROR(__xludf.DUMMYFUNCTION("""COMPUTED_VALUE"""),"MFHRO0151")</f>
        <v>MFHRO0151</v>
      </c>
      <c r="C327" s="3" t="str">
        <f>IFERROR(__xludf.DUMMYFUNCTION("""COMPUTED_VALUE"""),"MIn Stok")</f>
        <v>MIn Stok</v>
      </c>
      <c r="D327" s="3" t="str">
        <f>IFERROR(__xludf.DUMMYFUNCTION("""COMPUTED_VALUE"""),"-")</f>
        <v>-</v>
      </c>
      <c r="E327" s="3" t="str">
        <f>IFERROR(__xludf.DUMMYFUNCTION("""COMPUTED_VALUE"""),"HLD")</f>
        <v>HLD</v>
      </c>
      <c r="F327" s="3" t="str">
        <f>IFERROR(__xludf.DUMMYFUNCTION("""COMPUTED_VALUE"""),"Selang TS-25 (25x33) TOYOX P/N : -  pc")</f>
        <v>Selang TS-25 (25x33) TOYOX P/N : -  pc</v>
      </c>
      <c r="G327" s="3">
        <f>IFERROR(__xludf.DUMMYFUNCTION("""COMPUTED_VALUE"""),5.0)</f>
        <v>5</v>
      </c>
      <c r="H327" s="3" t="str">
        <f>IFERROR(__xludf.DUMMYFUNCTION("""COMPUTED_VALUE"""),"Pieces")</f>
        <v>Pieces</v>
      </c>
      <c r="I327" s="3" t="str">
        <f>IFERROR(__xludf.DUMMYFUNCTION("""COMPUTED_VALUE"""),"Untuk HLD 121702944 2518")</f>
        <v>Untuk HLD 121702944 2518</v>
      </c>
      <c r="J327" s="3" t="str">
        <f>IFERROR(__xludf.DUMMYFUNCTION("""COMPUTED_VALUE"""),"O-14099-00")</f>
        <v>O-14099-00</v>
      </c>
      <c r="K327" s="3" t="str">
        <f>IFERROR(__xludf.DUMMYFUNCTION("""COMPUTED_VALUE"""),"Approve")</f>
        <v>Approve</v>
      </c>
      <c r="L327" s="3" t="str">
        <f>IFERROR(__xludf.DUMMYFUNCTION("""COMPUTED_VALUE"""),"Normal")</f>
        <v>Normal</v>
      </c>
      <c r="M327" s="3" t="str">
        <f>IFERROR(__xludf.DUMMYFUNCTION("""COMPUTED_VALUE"""),"Non Urgent")</f>
        <v>Non Urgent</v>
      </c>
    </row>
    <row r="328">
      <c r="A328" s="4">
        <f>IFERROR(__xludf.DUMMYFUNCTION("""COMPUTED_VALUE"""),45865.64966880787)</f>
        <v>45865.64967</v>
      </c>
      <c r="B328" s="3" t="str">
        <f>IFERROR(__xludf.DUMMYFUNCTION("""COMPUTED_VALUE"""),"MFHRO0152")</f>
        <v>MFHRO0152</v>
      </c>
      <c r="C328" s="3" t="str">
        <f>IFERROR(__xludf.DUMMYFUNCTION("""COMPUTED_VALUE"""),"MIn Stok")</f>
        <v>MIn Stok</v>
      </c>
      <c r="D328" s="3" t="str">
        <f>IFERROR(__xludf.DUMMYFUNCTION("""COMPUTED_VALUE"""),"-")</f>
        <v>-</v>
      </c>
      <c r="E328" s="3" t="str">
        <f>IFERROR(__xludf.DUMMYFUNCTION("""COMPUTED_VALUE"""),"BSC")</f>
        <v>BSC</v>
      </c>
      <c r="F328" s="3" t="str">
        <f>IFERROR(__xludf.DUMMYFUNCTION("""COMPUTED_VALUE"""),"Bio Safety Cabinet - Cover Cable Instrument 1 Ukuran 0.8x1200x2400mm, Mat Plat SS304 0.33 lbr; Custom/Lokal; -; 1 Unit")</f>
        <v>Bio Safety Cabinet - Cover Cable Instrument 1 Ukuran 0.8x1200x2400mm, Mat Plat SS304 0.33 lbr; Custom/Lokal; -; 1 Unit</v>
      </c>
      <c r="G328" s="3">
        <f>IFERROR(__xludf.DUMMYFUNCTION("""COMPUTED_VALUE"""),1.0)</f>
        <v>1</v>
      </c>
      <c r="H328" s="3" t="str">
        <f>IFERROR(__xludf.DUMMYFUNCTION("""COMPUTED_VALUE"""),"Unit")</f>
        <v>Unit</v>
      </c>
      <c r="I328" s="3" t="str">
        <f>IFERROR(__xludf.DUMMYFUNCTION("""COMPUTED_VALUE"""),"Untuk BSC 121702954 2528")</f>
        <v>Untuk BSC 121702954 2528</v>
      </c>
      <c r="J328" s="3" t="str">
        <f>IFERROR(__xludf.DUMMYFUNCTION("""COMPUTED_VALUE"""),"O-20841-00")</f>
        <v>O-20841-00</v>
      </c>
      <c r="K328" s="3" t="str">
        <f>IFERROR(__xludf.DUMMYFUNCTION("""COMPUTED_VALUE"""),"Approve")</f>
        <v>Approve</v>
      </c>
      <c r="L328" s="3" t="str">
        <f>IFERROR(__xludf.DUMMYFUNCTION("""COMPUTED_VALUE"""),"Normal")</f>
        <v>Normal</v>
      </c>
      <c r="M328" s="3" t="str">
        <f>IFERROR(__xludf.DUMMYFUNCTION("""COMPUTED_VALUE"""),"Non Urgent")</f>
        <v>Non Urgent</v>
      </c>
    </row>
    <row r="329">
      <c r="A329" s="4">
        <f>IFERROR(__xludf.DUMMYFUNCTION("""COMPUTED_VALUE"""),45865.64966880787)</f>
        <v>45865.64967</v>
      </c>
      <c r="B329" s="3" t="str">
        <f>IFERROR(__xludf.DUMMYFUNCTION("""COMPUTED_VALUE"""),"MFHRO0153")</f>
        <v>MFHRO0153</v>
      </c>
      <c r="C329" s="3" t="str">
        <f>IFERROR(__xludf.DUMMYFUNCTION("""COMPUTED_VALUE"""),"MIn Stok")</f>
        <v>MIn Stok</v>
      </c>
      <c r="D329" s="3" t="str">
        <f>IFERROR(__xludf.DUMMYFUNCTION("""COMPUTED_VALUE"""),"-")</f>
        <v>-</v>
      </c>
      <c r="E329" s="3" t="str">
        <f>IFERROR(__xludf.DUMMYFUNCTION("""COMPUTED_VALUE"""),"BSC")</f>
        <v>BSC</v>
      </c>
      <c r="F329" s="3" t="str">
        <f>IFERROR(__xludf.DUMMYFUNCTION("""COMPUTED_VALUE"""),"Bio Safety Cabinet - Cover Cable Instrument 2 Ukuran 0.8x1200x2400mm, Mat Plat SS304 0.42 lbr; Custom/Lokal; -; 1 Unit")</f>
        <v>Bio Safety Cabinet - Cover Cable Instrument 2 Ukuran 0.8x1200x2400mm, Mat Plat SS304 0.42 lbr; Custom/Lokal; -; 1 Unit</v>
      </c>
      <c r="G329" s="3">
        <f>IFERROR(__xludf.DUMMYFUNCTION("""COMPUTED_VALUE"""),1.0)</f>
        <v>1</v>
      </c>
      <c r="H329" s="3" t="str">
        <f>IFERROR(__xludf.DUMMYFUNCTION("""COMPUTED_VALUE"""),"Unit")</f>
        <v>Unit</v>
      </c>
      <c r="I329" s="3" t="str">
        <f>IFERROR(__xludf.DUMMYFUNCTION("""COMPUTED_VALUE"""),"Untuk BSC 121702954 2529")</f>
        <v>Untuk BSC 121702954 2529</v>
      </c>
      <c r="J329" s="3" t="str">
        <f>IFERROR(__xludf.DUMMYFUNCTION("""COMPUTED_VALUE"""),"O-20842-00")</f>
        <v>O-20842-00</v>
      </c>
      <c r="K329" s="3" t="str">
        <f>IFERROR(__xludf.DUMMYFUNCTION("""COMPUTED_VALUE"""),"Approve")</f>
        <v>Approve</v>
      </c>
      <c r="L329" s="3" t="str">
        <f>IFERROR(__xludf.DUMMYFUNCTION("""COMPUTED_VALUE"""),"Normal")</f>
        <v>Normal</v>
      </c>
      <c r="M329" s="3" t="str">
        <f>IFERROR(__xludf.DUMMYFUNCTION("""COMPUTED_VALUE"""),"Non Urgent")</f>
        <v>Non Urgent</v>
      </c>
    </row>
    <row r="330">
      <c r="A330" s="4">
        <f>IFERROR(__xludf.DUMMYFUNCTION("""COMPUTED_VALUE"""),45865.64966880787)</f>
        <v>45865.64967</v>
      </c>
      <c r="B330" s="3" t="str">
        <f>IFERROR(__xludf.DUMMYFUNCTION("""COMPUTED_VALUE"""),"MFHRO0154")</f>
        <v>MFHRO0154</v>
      </c>
      <c r="C330" s="3" t="str">
        <f>IFERROR(__xludf.DUMMYFUNCTION("""COMPUTED_VALUE"""),"MIn Stok")</f>
        <v>MIn Stok</v>
      </c>
      <c r="D330" s="3" t="str">
        <f>IFERROR(__xludf.DUMMYFUNCTION("""COMPUTED_VALUE"""),"-")</f>
        <v>-</v>
      </c>
      <c r="E330" s="3" t="str">
        <f>IFERROR(__xludf.DUMMYFUNCTION("""COMPUTED_VALUE"""),"BSC")</f>
        <v>BSC</v>
      </c>
      <c r="F330" s="3" t="str">
        <f>IFERROR(__xludf.DUMMYFUNCTION("""COMPUTED_VALUE"""),"Bio Safety Cabinet - Cover Cable Instrument 3 Ukuran 0.8x1200x2400mm, Mat Plat SS304 0.67 lbr; Custom/Lokal; -; 1 Unit")</f>
        <v>Bio Safety Cabinet - Cover Cable Instrument 3 Ukuran 0.8x1200x2400mm, Mat Plat SS304 0.67 lbr; Custom/Lokal; -; 1 Unit</v>
      </c>
      <c r="G330" s="3">
        <f>IFERROR(__xludf.DUMMYFUNCTION("""COMPUTED_VALUE"""),1.0)</f>
        <v>1</v>
      </c>
      <c r="H330" s="3" t="str">
        <f>IFERROR(__xludf.DUMMYFUNCTION("""COMPUTED_VALUE"""),"Unit")</f>
        <v>Unit</v>
      </c>
      <c r="I330" s="3" t="str">
        <f>IFERROR(__xludf.DUMMYFUNCTION("""COMPUTED_VALUE"""),"Untuk BSC 121702954 2530")</f>
        <v>Untuk BSC 121702954 2530</v>
      </c>
      <c r="J330" s="3" t="str">
        <f>IFERROR(__xludf.DUMMYFUNCTION("""COMPUTED_VALUE"""),"O-20843-00")</f>
        <v>O-20843-00</v>
      </c>
      <c r="K330" s="3" t="str">
        <f>IFERROR(__xludf.DUMMYFUNCTION("""COMPUTED_VALUE"""),"Approve")</f>
        <v>Approve</v>
      </c>
      <c r="L330" s="3" t="str">
        <f>IFERROR(__xludf.DUMMYFUNCTION("""COMPUTED_VALUE"""),"Normal")</f>
        <v>Normal</v>
      </c>
      <c r="M330" s="3" t="str">
        <f>IFERROR(__xludf.DUMMYFUNCTION("""COMPUTED_VALUE"""),"Non Urgent")</f>
        <v>Non Urgent</v>
      </c>
    </row>
    <row r="331">
      <c r="A331" s="4">
        <f>IFERROR(__xludf.DUMMYFUNCTION("""COMPUTED_VALUE"""),45865.64966880787)</f>
        <v>45865.64967</v>
      </c>
      <c r="B331" s="3" t="str">
        <f>IFERROR(__xludf.DUMMYFUNCTION("""COMPUTED_VALUE"""),"MFHRO0155")</f>
        <v>MFHRO0155</v>
      </c>
      <c r="C331" s="3" t="str">
        <f>IFERROR(__xludf.DUMMYFUNCTION("""COMPUTED_VALUE"""),"MIn Stok")</f>
        <v>MIn Stok</v>
      </c>
      <c r="D331" s="3" t="str">
        <f>IFERROR(__xludf.DUMMYFUNCTION("""COMPUTED_VALUE"""),"-")</f>
        <v>-</v>
      </c>
      <c r="E331" s="3" t="str">
        <f>IFERROR(__xludf.DUMMYFUNCTION("""COMPUTED_VALUE"""),"FD")</f>
        <v>FD</v>
      </c>
      <c r="F331" s="3" t="str">
        <f>IFERROR(__xludf.DUMMYFUNCTION("""COMPUTED_VALUE"""),"Freeze Dryer MBE1207 - Condenser Drain Steam Trap TD600 1 inch NPT; WATSON; EB14-00117; 1 Pc")</f>
        <v>Freeze Dryer MBE1207 - Condenser Drain Steam Trap TD600 1 inch NPT; WATSON; EB14-00117; 1 Pc</v>
      </c>
      <c r="G331" s="3">
        <f>IFERROR(__xludf.DUMMYFUNCTION("""COMPUTED_VALUE"""),2.0)</f>
        <v>2</v>
      </c>
      <c r="H331" s="3" t="str">
        <f>IFERROR(__xludf.DUMMYFUNCTION("""COMPUTED_VALUE"""),"Pieces")</f>
        <v>Pieces</v>
      </c>
      <c r="I331" s="3" t="str">
        <f>IFERROR(__xludf.DUMMYFUNCTION("""COMPUTED_VALUE"""),"Min Stok FD 121702956 2534")</f>
        <v>Min Stok FD 121702956 2534</v>
      </c>
      <c r="J331" s="3" t="str">
        <f>IFERROR(__xludf.DUMMYFUNCTION("""COMPUTED_VALUE"""),"O-53337-00")</f>
        <v>O-53337-00</v>
      </c>
      <c r="K331" s="3" t="str">
        <f>IFERROR(__xludf.DUMMYFUNCTION("""COMPUTED_VALUE"""),"Approve")</f>
        <v>Approve</v>
      </c>
      <c r="L331" s="3" t="str">
        <f>IFERROR(__xludf.DUMMYFUNCTION("""COMPUTED_VALUE"""),"Normal")</f>
        <v>Normal</v>
      </c>
      <c r="M331" s="3" t="str">
        <f>IFERROR(__xludf.DUMMYFUNCTION("""COMPUTED_VALUE"""),"Non Urgent")</f>
        <v>Non Urgent</v>
      </c>
    </row>
    <row r="332">
      <c r="A332" s="4">
        <f>IFERROR(__xludf.DUMMYFUNCTION("""COMPUTED_VALUE"""),45865.64966880787)</f>
        <v>45865.64967</v>
      </c>
      <c r="B332" s="3" t="str">
        <f>IFERROR(__xludf.DUMMYFUNCTION("""COMPUTED_VALUE"""),"MFHRO0156")</f>
        <v>MFHRO0156</v>
      </c>
      <c r="C332" s="3" t="str">
        <f>IFERROR(__xludf.DUMMYFUNCTION("""COMPUTED_VALUE"""),"Consumable")</f>
        <v>Consumable</v>
      </c>
      <c r="D332" s="3" t="str">
        <f>IFERROR(__xludf.DUMMYFUNCTION("""COMPUTED_VALUE"""),"-")</f>
        <v>-</v>
      </c>
      <c r="E332" s="3" t="str">
        <f>IFERROR(__xludf.DUMMYFUNCTION("""COMPUTED_VALUE"""),"General")</f>
        <v>General</v>
      </c>
      <c r="F332" s="3" t="str">
        <f>IFERROR(__xludf.DUMMYFUNCTION("""COMPUTED_VALUE"""),"Ballast Electronic EB-C 228 TL5, 2x28W; Phillips; ;")</f>
        <v>Ballast Electronic EB-C 228 TL5, 2x28W; Phillips; ;</v>
      </c>
      <c r="G332" s="3">
        <f>IFERROR(__xludf.DUMMYFUNCTION("""COMPUTED_VALUE"""),10.0)</f>
        <v>10</v>
      </c>
      <c r="H332" s="3" t="str">
        <f>IFERROR(__xludf.DUMMYFUNCTION("""COMPUTED_VALUE"""),"Pieces")</f>
        <v>Pieces</v>
      </c>
      <c r="I332" s="3" t="str">
        <f>IFERROR(__xludf.DUMMYFUNCTION("""COMPUTED_VALUE"""),"Consumable 121702966 2540")</f>
        <v>Consumable 121702966 2540</v>
      </c>
      <c r="J332" s="3" t="str">
        <f>IFERROR(__xludf.DUMMYFUNCTION("""COMPUTED_VALUE"""),"P-53169-00")</f>
        <v>P-53169-00</v>
      </c>
      <c r="K332" s="3" t="str">
        <f>IFERROR(__xludf.DUMMYFUNCTION("""COMPUTED_VALUE"""),"Approve")</f>
        <v>Approve</v>
      </c>
      <c r="L332" s="3" t="str">
        <f>IFERROR(__xludf.DUMMYFUNCTION("""COMPUTED_VALUE"""),"Normal")</f>
        <v>Normal</v>
      </c>
      <c r="M332" s="3" t="str">
        <f>IFERROR(__xludf.DUMMYFUNCTION("""COMPUTED_VALUE"""),"Non Urgent")</f>
        <v>Non Urgent</v>
      </c>
    </row>
    <row r="333">
      <c r="A333" s="4">
        <f>IFERROR(__xludf.DUMMYFUNCTION("""COMPUTED_VALUE"""),45865.64966880787)</f>
        <v>45865.64967</v>
      </c>
      <c r="B333" s="3" t="str">
        <f>IFERROR(__xludf.DUMMYFUNCTION("""COMPUTED_VALUE"""),"MFHRO0157")</f>
        <v>MFHRO0157</v>
      </c>
      <c r="C333" s="3" t="str">
        <f>IFERROR(__xludf.DUMMYFUNCTION("""COMPUTED_VALUE"""),"Consumable")</f>
        <v>Consumable</v>
      </c>
      <c r="D333" s="3" t="str">
        <f>IFERROR(__xludf.DUMMYFUNCTION("""COMPUTED_VALUE"""),"-")</f>
        <v>-</v>
      </c>
      <c r="E333" s="3" t="str">
        <f>IFERROR(__xludf.DUMMYFUNCTION("""COMPUTED_VALUE"""),"General")</f>
        <v>General</v>
      </c>
      <c r="F333" s="3" t="str">
        <f>IFERROR(__xludf.DUMMYFUNCTION("""COMPUTED_VALUE"""),"Sodium metabisulfit")</f>
        <v>Sodium metabisulfit</v>
      </c>
      <c r="G333" s="3">
        <f>IFERROR(__xludf.DUMMYFUNCTION("""COMPUTED_VALUE"""),3.0)</f>
        <v>3</v>
      </c>
      <c r="H333" s="3" t="str">
        <f>IFERROR(__xludf.DUMMYFUNCTION("""COMPUTED_VALUE"""),"Pieces")</f>
        <v>Pieces</v>
      </c>
      <c r="I333" s="3" t="str">
        <f>IFERROR(__xludf.DUMMYFUNCTION("""COMPUTED_VALUE"""),"Consumable PWG 121702976 2551")</f>
        <v>Consumable PWG 121702976 2551</v>
      </c>
      <c r="J333" s="3" t="str">
        <f>IFERROR(__xludf.DUMMYFUNCTION("""COMPUTED_VALUE"""),"P-12830-00")</f>
        <v>P-12830-00</v>
      </c>
      <c r="K333" s="3" t="str">
        <f>IFERROR(__xludf.DUMMYFUNCTION("""COMPUTED_VALUE"""),"Approve")</f>
        <v>Approve</v>
      </c>
      <c r="L333" s="3" t="str">
        <f>IFERROR(__xludf.DUMMYFUNCTION("""COMPUTED_VALUE"""),"Normal")</f>
        <v>Normal</v>
      </c>
      <c r="M333" s="3" t="str">
        <f>IFERROR(__xludf.DUMMYFUNCTION("""COMPUTED_VALUE"""),"Non Urgent")</f>
        <v>Non Urgent</v>
      </c>
    </row>
    <row r="334">
      <c r="A334" s="4">
        <f>IFERROR(__xludf.DUMMYFUNCTION("""COMPUTED_VALUE"""),45865.64966880787)</f>
        <v>45865.64967</v>
      </c>
      <c r="B334" s="3" t="str">
        <f>IFERROR(__xludf.DUMMYFUNCTION("""COMPUTED_VALUE"""),"MFHRO0158")</f>
        <v>MFHRO0158</v>
      </c>
      <c r="C334" s="3" t="str">
        <f>IFERROR(__xludf.DUMMYFUNCTION("""COMPUTED_VALUE"""),"Consumable")</f>
        <v>Consumable</v>
      </c>
      <c r="D334" s="3" t="str">
        <f>IFERROR(__xludf.DUMMYFUNCTION("""COMPUTED_VALUE"""),"-")</f>
        <v>-</v>
      </c>
      <c r="E334" s="3" t="str">
        <f>IFERROR(__xludf.DUMMYFUNCTION("""COMPUTED_VALUE"""),"FD")</f>
        <v>FD</v>
      </c>
      <c r="F334" s="3" t="str">
        <f>IFERROR(__xludf.DUMMYFUNCTION("""COMPUTED_VALUE"""),"General - Freon R507; Chemours; -; 1 pcs")</f>
        <v>General - Freon R507; Chemours; -; 1 pcs</v>
      </c>
      <c r="G334" s="3">
        <f>IFERROR(__xludf.DUMMYFUNCTION("""COMPUTED_VALUE"""),2.0)</f>
        <v>2</v>
      </c>
      <c r="H334" s="3" t="str">
        <f>IFERROR(__xludf.DUMMYFUNCTION("""COMPUTED_VALUE"""),"Can")</f>
        <v>Can</v>
      </c>
      <c r="I334" s="3" t="str">
        <f>IFERROR(__xludf.DUMMYFUNCTION("""COMPUTED_VALUE"""),"Min Stok FD 121702979 2555")</f>
        <v>Min Stok FD 121702979 2555</v>
      </c>
      <c r="J334" s="3" t="str">
        <f>IFERROR(__xludf.DUMMYFUNCTION("""COMPUTED_VALUE"""),"P-18725-00")</f>
        <v>P-18725-00</v>
      </c>
      <c r="K334" s="3" t="str">
        <f>IFERROR(__xludf.DUMMYFUNCTION("""COMPUTED_VALUE"""),"Approve")</f>
        <v>Approve</v>
      </c>
      <c r="L334" s="3" t="str">
        <f>IFERROR(__xludf.DUMMYFUNCTION("""COMPUTED_VALUE"""),"Normal")</f>
        <v>Normal</v>
      </c>
      <c r="M334" s="3" t="str">
        <f>IFERROR(__xludf.DUMMYFUNCTION("""COMPUTED_VALUE"""),"Non Urgent")</f>
        <v>Non Urgent</v>
      </c>
    </row>
    <row r="335">
      <c r="A335" s="4">
        <f>IFERROR(__xludf.DUMMYFUNCTION("""COMPUTED_VALUE"""),45865.64966880787)</f>
        <v>45865.64967</v>
      </c>
      <c r="B335" s="3" t="str">
        <f>IFERROR(__xludf.DUMMYFUNCTION("""COMPUTED_VALUE"""),"MFHRO0159")</f>
        <v>MFHRO0159</v>
      </c>
      <c r="C335" s="3" t="str">
        <f>IFERROR(__xludf.DUMMYFUNCTION("""COMPUTED_VALUE"""),"MIn Stok")</f>
        <v>MIn Stok</v>
      </c>
      <c r="D335" s="3" t="str">
        <f>IFERROR(__xludf.DUMMYFUNCTION("""COMPUTED_VALUE"""),"-")</f>
        <v>-</v>
      </c>
      <c r="E335" s="3" t="str">
        <f>IFERROR(__xludf.DUMMYFUNCTION("""COMPUTED_VALUE"""),"FD")</f>
        <v>FD</v>
      </c>
      <c r="F335" s="3" t="str">
        <f>IFERROR(__xludf.DUMMYFUNCTION("""COMPUTED_VALUE"""),"O-RING 345X5.30; Freeze Dryer MBE1207; P/N EB41-00320; pack size per pc")</f>
        <v>O-RING 345X5.30; Freeze Dryer MBE1207; P/N EB41-00320; pack size per pc</v>
      </c>
      <c r="G335" s="3">
        <f>IFERROR(__xludf.DUMMYFUNCTION("""COMPUTED_VALUE"""),5.0)</f>
        <v>5</v>
      </c>
      <c r="H335" s="3" t="str">
        <f>IFERROR(__xludf.DUMMYFUNCTION("""COMPUTED_VALUE"""),"Pieces")</f>
        <v>Pieces</v>
      </c>
      <c r="I335" s="3" t="str">
        <f>IFERROR(__xludf.DUMMYFUNCTION("""COMPUTED_VALUE"""),"Min Stok FD 121702980 2556")</f>
        <v>Min Stok FD 121702980 2556</v>
      </c>
      <c r="J335" s="3" t="str">
        <f>IFERROR(__xludf.DUMMYFUNCTION("""COMPUTED_VALUE"""),"O-54124-00")</f>
        <v>O-54124-00</v>
      </c>
      <c r="K335" s="3" t="str">
        <f>IFERROR(__xludf.DUMMYFUNCTION("""COMPUTED_VALUE"""),"Approve")</f>
        <v>Approve</v>
      </c>
      <c r="L335" s="3" t="str">
        <f>IFERROR(__xludf.DUMMYFUNCTION("""COMPUTED_VALUE"""),"Normal")</f>
        <v>Normal</v>
      </c>
      <c r="M335" s="3" t="str">
        <f>IFERROR(__xludf.DUMMYFUNCTION("""COMPUTED_VALUE"""),"Non Urgent")</f>
        <v>Non Urgent</v>
      </c>
    </row>
    <row r="336">
      <c r="A336" s="4">
        <f>IFERROR(__xludf.DUMMYFUNCTION("""COMPUTED_VALUE"""),45865.64966880787)</f>
        <v>45865.64967</v>
      </c>
      <c r="B336" s="3" t="str">
        <f>IFERROR(__xludf.DUMMYFUNCTION("""COMPUTED_VALUE"""),"MFHRO0160")</f>
        <v>MFHRO0160</v>
      </c>
      <c r="C336" s="3" t="str">
        <f>IFERROR(__xludf.DUMMYFUNCTION("""COMPUTED_VALUE"""),"MIn Stok")</f>
        <v>MIn Stok</v>
      </c>
      <c r="D336" s="3" t="str">
        <f>IFERROR(__xludf.DUMMYFUNCTION("""COMPUTED_VALUE"""),"-")</f>
        <v>-</v>
      </c>
      <c r="E336" s="3" t="str">
        <f>IFERROR(__xludf.DUMMYFUNCTION("""COMPUTED_VALUE"""),"FD")</f>
        <v>FD</v>
      </c>
      <c r="F336" s="3" t="str">
        <f>IFERROR(__xludf.DUMMYFUNCTION("""COMPUTED_VALUE"""),"Freeze Dryer MBE1207 - Silicone O-ring 243x5.3 for main valve bellows; ; EB41-00314;")</f>
        <v>Freeze Dryer MBE1207 - Silicone O-ring 243x5.3 for main valve bellows; ; EB41-00314;</v>
      </c>
      <c r="G336" s="3">
        <f>IFERROR(__xludf.DUMMYFUNCTION("""COMPUTED_VALUE"""),5.0)</f>
        <v>5</v>
      </c>
      <c r="H336" s="3" t="str">
        <f>IFERROR(__xludf.DUMMYFUNCTION("""COMPUTED_VALUE"""),"Pieces")</f>
        <v>Pieces</v>
      </c>
      <c r="I336" s="3" t="str">
        <f>IFERROR(__xludf.DUMMYFUNCTION("""COMPUTED_VALUE"""),"Min Stok FD 121702980 2557")</f>
        <v>Min Stok FD 121702980 2557</v>
      </c>
      <c r="J336" s="3" t="str">
        <f>IFERROR(__xludf.DUMMYFUNCTION("""COMPUTED_VALUE"""),"O-19777-00")</f>
        <v>O-19777-00</v>
      </c>
      <c r="K336" s="3" t="str">
        <f>IFERROR(__xludf.DUMMYFUNCTION("""COMPUTED_VALUE"""),"Approve")</f>
        <v>Approve</v>
      </c>
      <c r="L336" s="3" t="str">
        <f>IFERROR(__xludf.DUMMYFUNCTION("""COMPUTED_VALUE"""),"Normal")</f>
        <v>Normal</v>
      </c>
      <c r="M336" s="3" t="str">
        <f>IFERROR(__xludf.DUMMYFUNCTION("""COMPUTED_VALUE"""),"Non Urgent")</f>
        <v>Non Urgent</v>
      </c>
    </row>
    <row r="337">
      <c r="A337" s="4">
        <f>IFERROR(__xludf.DUMMYFUNCTION("""COMPUTED_VALUE"""),45865.64966880787)</f>
        <v>45865.64967</v>
      </c>
      <c r="B337" s="3" t="str">
        <f>IFERROR(__xludf.DUMMYFUNCTION("""COMPUTED_VALUE"""),"MFHRO0161")</f>
        <v>MFHRO0161</v>
      </c>
      <c r="C337" s="3" t="str">
        <f>IFERROR(__xludf.DUMMYFUNCTION("""COMPUTED_VALUE"""),"MIn Stok")</f>
        <v>MIn Stok</v>
      </c>
      <c r="D337" s="3" t="str">
        <f>IFERROR(__xludf.DUMMYFUNCTION("""COMPUTED_VALUE"""),"-")</f>
        <v>-</v>
      </c>
      <c r="E337" s="3" t="str">
        <f>IFERROR(__xludf.DUMMYFUNCTION("""COMPUTED_VALUE"""),"FD")</f>
        <v>FD</v>
      </c>
      <c r="F337" s="3" t="str">
        <f>IFERROR(__xludf.DUMMYFUNCTION("""COMPUTED_VALUE"""),"O-RING 132X5.30; Freeze Dryer MBE1207; P/N EB41-00298; pack size per pc")</f>
        <v>O-RING 132X5.30; Freeze Dryer MBE1207; P/N EB41-00298; pack size per pc</v>
      </c>
      <c r="G337" s="3">
        <f>IFERROR(__xludf.DUMMYFUNCTION("""COMPUTED_VALUE"""),5.0)</f>
        <v>5</v>
      </c>
      <c r="H337" s="3" t="str">
        <f>IFERROR(__xludf.DUMMYFUNCTION("""COMPUTED_VALUE"""),"Pieces")</f>
        <v>Pieces</v>
      </c>
      <c r="I337" s="3" t="str">
        <f>IFERROR(__xludf.DUMMYFUNCTION("""COMPUTED_VALUE"""),"Min Stok FD 121702980 2558")</f>
        <v>Min Stok FD 121702980 2558</v>
      </c>
      <c r="J337" s="3" t="str">
        <f>IFERROR(__xludf.DUMMYFUNCTION("""COMPUTED_VALUE"""),"O-54123-00")</f>
        <v>O-54123-00</v>
      </c>
      <c r="K337" s="3" t="str">
        <f>IFERROR(__xludf.DUMMYFUNCTION("""COMPUTED_VALUE"""),"Approve")</f>
        <v>Approve</v>
      </c>
      <c r="L337" s="3" t="str">
        <f>IFERROR(__xludf.DUMMYFUNCTION("""COMPUTED_VALUE"""),"Normal")</f>
        <v>Normal</v>
      </c>
      <c r="M337" s="3" t="str">
        <f>IFERROR(__xludf.DUMMYFUNCTION("""COMPUTED_VALUE"""),"Non Urgent")</f>
        <v>Non Urgent</v>
      </c>
    </row>
    <row r="338">
      <c r="A338" s="4">
        <f>IFERROR(__xludf.DUMMYFUNCTION("""COMPUTED_VALUE"""),45865.64966880787)</f>
        <v>45865.64967</v>
      </c>
      <c r="B338" s="3" t="str">
        <f>IFERROR(__xludf.DUMMYFUNCTION("""COMPUTED_VALUE"""),"MFHRO0162")</f>
        <v>MFHRO0162</v>
      </c>
      <c r="C338" s="3" t="str">
        <f>IFERROR(__xludf.DUMMYFUNCTION("""COMPUTED_VALUE"""),"MIn Stok")</f>
        <v>MIn Stok</v>
      </c>
      <c r="D338" s="3" t="str">
        <f>IFERROR(__xludf.DUMMYFUNCTION("""COMPUTED_VALUE"""),"-")</f>
        <v>-</v>
      </c>
      <c r="E338" s="3" t="str">
        <f>IFERROR(__xludf.DUMMYFUNCTION("""COMPUTED_VALUE"""),"FD")</f>
        <v>FD</v>
      </c>
      <c r="F338" s="3" t="str">
        <f>IFERROR(__xludf.DUMMYFUNCTION("""COMPUTED_VALUE"""),"O-RING 132X5.30; Freeze Dryer MBE1207; P/N EB41-00298; pack size per pc")</f>
        <v>O-RING 132X5.30; Freeze Dryer MBE1207; P/N EB41-00298; pack size per pc</v>
      </c>
      <c r="G338" s="3">
        <f>IFERROR(__xludf.DUMMYFUNCTION("""COMPUTED_VALUE"""),5.0)</f>
        <v>5</v>
      </c>
      <c r="H338" s="3" t="str">
        <f>IFERROR(__xludf.DUMMYFUNCTION("""COMPUTED_VALUE"""),"Pieces")</f>
        <v>Pieces</v>
      </c>
      <c r="I338" s="3" t="str">
        <f>IFERROR(__xludf.DUMMYFUNCTION("""COMPUTED_VALUE"""),"Min Stok FD 121702980 2559")</f>
        <v>Min Stok FD 121702980 2559</v>
      </c>
      <c r="J338" s="3" t="str">
        <f>IFERROR(__xludf.DUMMYFUNCTION("""COMPUTED_VALUE"""),"O-54123-00")</f>
        <v>O-54123-00</v>
      </c>
      <c r="K338" s="3" t="str">
        <f>IFERROR(__xludf.DUMMYFUNCTION("""COMPUTED_VALUE"""),"Approve")</f>
        <v>Approve</v>
      </c>
      <c r="L338" s="3" t="str">
        <f>IFERROR(__xludf.DUMMYFUNCTION("""COMPUTED_VALUE"""),"Normal")</f>
        <v>Normal</v>
      </c>
      <c r="M338" s="3" t="str">
        <f>IFERROR(__xludf.DUMMYFUNCTION("""COMPUTED_VALUE"""),"Non Urgent")</f>
        <v>Non Urgent</v>
      </c>
    </row>
    <row r="339">
      <c r="A339" s="4">
        <f>IFERROR(__xludf.DUMMYFUNCTION("""COMPUTED_VALUE"""),45865.64966880787)</f>
        <v>45865.64967</v>
      </c>
      <c r="B339" s="3" t="str">
        <f>IFERROR(__xludf.DUMMYFUNCTION("""COMPUTED_VALUE"""),"MFHRO0163")</f>
        <v>MFHRO0163</v>
      </c>
      <c r="C339" s="3" t="str">
        <f>IFERROR(__xludf.DUMMYFUNCTION("""COMPUTED_VALUE"""),"MIn Stok")</f>
        <v>MIn Stok</v>
      </c>
      <c r="D339" s="3" t="str">
        <f>IFERROR(__xludf.DUMMYFUNCTION("""COMPUTED_VALUE"""),"-")</f>
        <v>-</v>
      </c>
      <c r="E339" s="3" t="str">
        <f>IFERROR(__xludf.DUMMYFUNCTION("""COMPUTED_VALUE"""),"FD")</f>
        <v>FD</v>
      </c>
      <c r="F339" s="3" t="str">
        <f>IFERROR(__xludf.DUMMYFUNCTION("""COMPUTED_VALUE"""),"O-RING 180X3.55; Freeze Dryer MBE1207; P/N EB41-00357; pack size per pc")</f>
        <v>O-RING 180X3.55; Freeze Dryer MBE1207; P/N EB41-00357; pack size per pc</v>
      </c>
      <c r="G339" s="3">
        <f>IFERROR(__xludf.DUMMYFUNCTION("""COMPUTED_VALUE"""),5.0)</f>
        <v>5</v>
      </c>
      <c r="H339" s="3" t="str">
        <f>IFERROR(__xludf.DUMMYFUNCTION("""COMPUTED_VALUE"""),"Pieces")</f>
        <v>Pieces</v>
      </c>
      <c r="I339" s="3" t="str">
        <f>IFERROR(__xludf.DUMMYFUNCTION("""COMPUTED_VALUE"""),"Min Stok FD 121702980 2560")</f>
        <v>Min Stok FD 121702980 2560</v>
      </c>
      <c r="J339" s="3" t="str">
        <f>IFERROR(__xludf.DUMMYFUNCTION("""COMPUTED_VALUE"""),"O-54121-00")</f>
        <v>O-54121-00</v>
      </c>
      <c r="K339" s="3" t="str">
        <f>IFERROR(__xludf.DUMMYFUNCTION("""COMPUTED_VALUE"""),"Approve")</f>
        <v>Approve</v>
      </c>
      <c r="L339" s="3" t="str">
        <f>IFERROR(__xludf.DUMMYFUNCTION("""COMPUTED_VALUE"""),"Normal")</f>
        <v>Normal</v>
      </c>
      <c r="M339" s="3" t="str">
        <f>IFERROR(__xludf.DUMMYFUNCTION("""COMPUTED_VALUE"""),"Non Urgent")</f>
        <v>Non Urgent</v>
      </c>
    </row>
    <row r="340">
      <c r="A340" s="4">
        <f>IFERROR(__xludf.DUMMYFUNCTION("""COMPUTED_VALUE"""),45865.64966880787)</f>
        <v>45865.64967</v>
      </c>
      <c r="B340" s="3" t="str">
        <f>IFERROR(__xludf.DUMMYFUNCTION("""COMPUTED_VALUE"""),"MFHRO0164")</f>
        <v>MFHRO0164</v>
      </c>
      <c r="C340" s="3" t="str">
        <f>IFERROR(__xludf.DUMMYFUNCTION("""COMPUTED_VALUE"""),"MIn Stok")</f>
        <v>MIn Stok</v>
      </c>
      <c r="D340" s="3" t="str">
        <f>IFERROR(__xludf.DUMMYFUNCTION("""COMPUTED_VALUE"""),"-")</f>
        <v>-</v>
      </c>
      <c r="E340" s="3" t="str">
        <f>IFERROR(__xludf.DUMMYFUNCTION("""COMPUTED_VALUE"""),"FD")</f>
        <v>FD</v>
      </c>
      <c r="F340" s="3" t="str">
        <f>IFERROR(__xludf.DUMMYFUNCTION("""COMPUTED_VALUE"""),"O-RING 8X1.8; Freeze Dryer MBE1207; P/N EB41-00336; pack size per pc")</f>
        <v>O-RING 8X1.8; Freeze Dryer MBE1207; P/N EB41-00336; pack size per pc</v>
      </c>
      <c r="G340" s="3">
        <f>IFERROR(__xludf.DUMMYFUNCTION("""COMPUTED_VALUE"""),20.0)</f>
        <v>20</v>
      </c>
      <c r="H340" s="3" t="str">
        <f>IFERROR(__xludf.DUMMYFUNCTION("""COMPUTED_VALUE"""),"Pieces")</f>
        <v>Pieces</v>
      </c>
      <c r="I340" s="3" t="str">
        <f>IFERROR(__xludf.DUMMYFUNCTION("""COMPUTED_VALUE"""),"Min Stok FD 121702980 2561")</f>
        <v>Min Stok FD 121702980 2561</v>
      </c>
      <c r="J340" s="3" t="str">
        <f>IFERROR(__xludf.DUMMYFUNCTION("""COMPUTED_VALUE"""),"O-54120-00")</f>
        <v>O-54120-00</v>
      </c>
      <c r="K340" s="3" t="str">
        <f>IFERROR(__xludf.DUMMYFUNCTION("""COMPUTED_VALUE"""),"Approve")</f>
        <v>Approve</v>
      </c>
      <c r="L340" s="3" t="str">
        <f>IFERROR(__xludf.DUMMYFUNCTION("""COMPUTED_VALUE"""),"Normal")</f>
        <v>Normal</v>
      </c>
      <c r="M340" s="3" t="str">
        <f>IFERROR(__xludf.DUMMYFUNCTION("""COMPUTED_VALUE"""),"Non Urgent")</f>
        <v>Non Urgent</v>
      </c>
    </row>
    <row r="341">
      <c r="A341" s="4">
        <f>IFERROR(__xludf.DUMMYFUNCTION("""COMPUTED_VALUE"""),45865.64966880787)</f>
        <v>45865.64967</v>
      </c>
      <c r="B341" s="3" t="str">
        <f>IFERROR(__xludf.DUMMYFUNCTION("""COMPUTED_VALUE"""),"MFHRO0165")</f>
        <v>MFHRO0165</v>
      </c>
      <c r="C341" s="3" t="str">
        <f>IFERROR(__xludf.DUMMYFUNCTION("""COMPUTED_VALUE"""),"MIn Stok")</f>
        <v>MIn Stok</v>
      </c>
      <c r="D341" s="3" t="str">
        <f>IFERROR(__xludf.DUMMYFUNCTION("""COMPUTED_VALUE"""),"-")</f>
        <v>-</v>
      </c>
      <c r="E341" s="3" t="str">
        <f>IFERROR(__xludf.DUMMYFUNCTION("""COMPUTED_VALUE"""),"FD")</f>
        <v>FD</v>
      </c>
      <c r="F341" s="3" t="str">
        <f>IFERROR(__xludf.DUMMYFUNCTION("""COMPUTED_VALUE"""),"Freeze Dryer MBE1207 - Gasket Slot Door Silicone dia 13 mm; ; ;")</f>
        <v>Freeze Dryer MBE1207 - Gasket Slot Door Silicone dia 13 mm; ; ;</v>
      </c>
      <c r="G341" s="3">
        <f>IFERROR(__xludf.DUMMYFUNCTION("""COMPUTED_VALUE"""),8.0)</f>
        <v>8</v>
      </c>
      <c r="H341" s="3" t="str">
        <f>IFERROR(__xludf.DUMMYFUNCTION("""COMPUTED_VALUE"""),"Meter")</f>
        <v>Meter</v>
      </c>
      <c r="I341" s="3" t="str">
        <f>IFERROR(__xludf.DUMMYFUNCTION("""COMPUTED_VALUE"""),"Min Stok FD 121702981 2562")</f>
        <v>Min Stok FD 121702981 2562</v>
      </c>
      <c r="J341" s="3" t="str">
        <f>IFERROR(__xludf.DUMMYFUNCTION("""COMPUTED_VALUE"""),"P-18667-00")</f>
        <v>P-18667-00</v>
      </c>
      <c r="K341" s="3" t="str">
        <f>IFERROR(__xludf.DUMMYFUNCTION("""COMPUTED_VALUE"""),"Approve")</f>
        <v>Approve</v>
      </c>
      <c r="L341" s="3" t="str">
        <f>IFERROR(__xludf.DUMMYFUNCTION("""COMPUTED_VALUE"""),"Normal")</f>
        <v>Normal</v>
      </c>
      <c r="M341" s="3" t="str">
        <f>IFERROR(__xludf.DUMMYFUNCTION("""COMPUTED_VALUE"""),"Non Urgent")</f>
        <v>Non Urgent</v>
      </c>
    </row>
    <row r="342">
      <c r="A342" s="4">
        <f>IFERROR(__xludf.DUMMYFUNCTION("""COMPUTED_VALUE"""),45865.64966880787)</f>
        <v>45865.64967</v>
      </c>
      <c r="B342" s="3" t="str">
        <f>IFERROR(__xludf.DUMMYFUNCTION("""COMPUTED_VALUE"""),"MFHRO0166")</f>
        <v>MFHRO0166</v>
      </c>
      <c r="C342" s="3" t="str">
        <f>IFERROR(__xludf.DUMMYFUNCTION("""COMPUTED_VALUE"""),"MIn Stok")</f>
        <v>MIn Stok</v>
      </c>
      <c r="D342" s="3" t="str">
        <f>IFERROR(__xludf.DUMMYFUNCTION("""COMPUTED_VALUE"""),"-")</f>
        <v>-</v>
      </c>
      <c r="E342" s="3" t="str">
        <f>IFERROR(__xludf.DUMMYFUNCTION("""COMPUTED_VALUE"""),"General")</f>
        <v>General</v>
      </c>
      <c r="F342" s="3" t="str">
        <f>IFERROR(__xludf.DUMMYFUNCTION("""COMPUTED_VALUE"""),"Water Mur PVC dia 1inch")</f>
        <v>Water Mur PVC dia 1inch</v>
      </c>
      <c r="G342" s="3">
        <f>IFERROR(__xludf.DUMMYFUNCTION("""COMPUTED_VALUE"""),5.0)</f>
        <v>5</v>
      </c>
      <c r="H342" s="3" t="str">
        <f>IFERROR(__xludf.DUMMYFUNCTION("""COMPUTED_VALUE"""),"Pieces")</f>
        <v>Pieces</v>
      </c>
      <c r="I342" s="3" t="str">
        <f>IFERROR(__xludf.DUMMYFUNCTION("""COMPUTED_VALUE"""),"Consumable 121702969 2545")</f>
        <v>Consumable 121702969 2545</v>
      </c>
      <c r="J342" s="3" t="str">
        <f>IFERROR(__xludf.DUMMYFUNCTION("""COMPUTED_VALUE"""),"P-12942-00")</f>
        <v>P-12942-00</v>
      </c>
      <c r="K342" s="3" t="str">
        <f>IFERROR(__xludf.DUMMYFUNCTION("""COMPUTED_VALUE"""),"Approve")</f>
        <v>Approve</v>
      </c>
      <c r="L342" s="3" t="str">
        <f>IFERROR(__xludf.DUMMYFUNCTION("""COMPUTED_VALUE"""),"Normal")</f>
        <v>Normal</v>
      </c>
      <c r="M342" s="3" t="str">
        <f>IFERROR(__xludf.DUMMYFUNCTION("""COMPUTED_VALUE"""),"Non Urgent")</f>
        <v>Non Urgent</v>
      </c>
    </row>
    <row r="343">
      <c r="A343" s="4">
        <f>IFERROR(__xludf.DUMMYFUNCTION("""COMPUTED_VALUE"""),45865.64966880787)</f>
        <v>45865.64967</v>
      </c>
      <c r="B343" s="3" t="str">
        <f>IFERROR(__xludf.DUMMYFUNCTION("""COMPUTED_VALUE"""),"MFHRO0167")</f>
        <v>MFHRO0167</v>
      </c>
      <c r="C343" s="3" t="str">
        <f>IFERROR(__xludf.DUMMYFUNCTION("""COMPUTED_VALUE"""),"MIn Stok")</f>
        <v>MIn Stok</v>
      </c>
      <c r="D343" s="3" t="str">
        <f>IFERROR(__xludf.DUMMYFUNCTION("""COMPUTED_VALUE"""),"-")</f>
        <v>-</v>
      </c>
      <c r="E343" s="3" t="str">
        <f>IFERROR(__xludf.DUMMYFUNCTION("""COMPUTED_VALUE"""),"Building")</f>
        <v>Building</v>
      </c>
      <c r="F343" s="3" t="str">
        <f>IFERROR(__xludf.DUMMYFUNCTION("""COMPUTED_VALUE"""),"Cat Decor Acrylic Enamel DAE - 550 / Solvent Based; Propan; TEAL 5412 - Warna Biru; pack size 20 liter per pail")</f>
        <v>Cat Decor Acrylic Enamel DAE - 550 / Solvent Based; Propan; TEAL 5412 - Warna Biru; pack size 20 liter per pail</v>
      </c>
      <c r="G343" s="3">
        <f>IFERROR(__xludf.DUMMYFUNCTION("""COMPUTED_VALUE"""),4.0)</f>
        <v>4</v>
      </c>
      <c r="H343" s="3" t="str">
        <f>IFERROR(__xludf.DUMMYFUNCTION("""COMPUTED_VALUE"""),"Pail")</f>
        <v>Pail</v>
      </c>
      <c r="I343" s="3" t="str">
        <f>IFERROR(__xludf.DUMMYFUNCTION("""COMPUTED_VALUE"""),"Untuk Builfing 121702965 2539")</f>
        <v>Untuk Builfing 121702965 2539</v>
      </c>
      <c r="J343" s="3" t="str">
        <f>IFERROR(__xludf.DUMMYFUNCTION("""COMPUTED_VALUE"""),"Q-60328-00")</f>
        <v>Q-60328-00</v>
      </c>
      <c r="K343" s="3" t="str">
        <f>IFERROR(__xludf.DUMMYFUNCTION("""COMPUTED_VALUE"""),"Approve")</f>
        <v>Approve</v>
      </c>
      <c r="L343" s="3" t="str">
        <f>IFERROR(__xludf.DUMMYFUNCTION("""COMPUTED_VALUE"""),"Normal")</f>
        <v>Normal</v>
      </c>
      <c r="M343" s="3" t="str">
        <f>IFERROR(__xludf.DUMMYFUNCTION("""COMPUTED_VALUE"""),"Non Urgent")</f>
        <v>Non Urgent</v>
      </c>
    </row>
    <row r="344">
      <c r="A344" s="4">
        <f>IFERROR(__xludf.DUMMYFUNCTION("""COMPUTED_VALUE"""),45865.64966880787)</f>
        <v>45865.64967</v>
      </c>
      <c r="B344" s="3" t="str">
        <f>IFERROR(__xludf.DUMMYFUNCTION("""COMPUTED_VALUE"""),"MFHRO0168")</f>
        <v>MFHRO0168</v>
      </c>
      <c r="C344" s="3" t="str">
        <f>IFERROR(__xludf.DUMMYFUNCTION("""COMPUTED_VALUE"""),"MIn Stok")</f>
        <v>MIn Stok</v>
      </c>
      <c r="D344" s="3" t="str">
        <f>IFERROR(__xludf.DUMMYFUNCTION("""COMPUTED_VALUE"""),"-")</f>
        <v>-</v>
      </c>
      <c r="E344" s="3" t="str">
        <f>IFERROR(__xludf.DUMMYFUNCTION("""COMPUTED_VALUE"""),"Washing")</f>
        <v>Washing</v>
      </c>
      <c r="F344" s="3" t="str">
        <f>IFERROR(__xludf.DUMMYFUNCTION("""COMPUTED_VALUE"""),"General - Directional Valve Pin Lock; SMC; VHL210W-02; 1 pc")</f>
        <v>General - Directional Valve Pin Lock; SMC; VHL210W-02; 1 pc</v>
      </c>
      <c r="G344" s="3">
        <f>IFERROR(__xludf.DUMMYFUNCTION("""COMPUTED_VALUE"""),1.0)</f>
        <v>1</v>
      </c>
      <c r="H344" s="3" t="str">
        <f>IFERROR(__xludf.DUMMYFUNCTION("""COMPUTED_VALUE"""),"Pieces")</f>
        <v>Pieces</v>
      </c>
      <c r="I344" s="3" t="str">
        <f>IFERROR(__xludf.DUMMYFUNCTION("""COMPUTED_VALUE"""),"Untuk Washing 121702975 2547")</f>
        <v>Untuk Washing 121702975 2547</v>
      </c>
      <c r="J344" s="3" t="str">
        <f>IFERROR(__xludf.DUMMYFUNCTION("""COMPUTED_VALUE"""),"P-19950-00")</f>
        <v>P-19950-00</v>
      </c>
      <c r="K344" s="3" t="str">
        <f>IFERROR(__xludf.DUMMYFUNCTION("""COMPUTED_VALUE"""),"Approve")</f>
        <v>Approve</v>
      </c>
      <c r="L344" s="3" t="str">
        <f>IFERROR(__xludf.DUMMYFUNCTION("""COMPUTED_VALUE"""),"Normal")</f>
        <v>Normal</v>
      </c>
      <c r="M344" s="3" t="str">
        <f>IFERROR(__xludf.DUMMYFUNCTION("""COMPUTED_VALUE"""),"Non Urgent")</f>
        <v>Non Urgent</v>
      </c>
    </row>
    <row r="345">
      <c r="A345" s="4">
        <f>IFERROR(__xludf.DUMMYFUNCTION("""COMPUTED_VALUE"""),45865.64966880787)</f>
        <v>45865.64967</v>
      </c>
      <c r="B345" s="3" t="str">
        <f>IFERROR(__xludf.DUMMYFUNCTION("""COMPUTED_VALUE"""),"MFHRO0169")</f>
        <v>MFHRO0169</v>
      </c>
      <c r="C345" s="3" t="str">
        <f>IFERROR(__xludf.DUMMYFUNCTION("""COMPUTED_VALUE"""),"MIn Stok")</f>
        <v>MIn Stok</v>
      </c>
      <c r="D345" s="3" t="str">
        <f>IFERROR(__xludf.DUMMYFUNCTION("""COMPUTED_VALUE"""),"-")</f>
        <v>-</v>
      </c>
      <c r="E345" s="3" t="str">
        <f>IFERROR(__xludf.DUMMYFUNCTION("""COMPUTED_VALUE"""),"Washing")</f>
        <v>Washing</v>
      </c>
      <c r="F345" s="3" t="str">
        <f>IFERROR(__xludf.DUMMYFUNCTION("""COMPUTED_VALUE"""),"General - Check Valve SMC; -; AKH08A-025; 1 pc")</f>
        <v>General - Check Valve SMC; -; AKH08A-025; 1 pc</v>
      </c>
      <c r="G345" s="3">
        <f>IFERROR(__xludf.DUMMYFUNCTION("""COMPUTED_VALUE"""),2.0)</f>
        <v>2</v>
      </c>
      <c r="H345" s="3" t="str">
        <f>IFERROR(__xludf.DUMMYFUNCTION("""COMPUTED_VALUE"""),"Pieces")</f>
        <v>Pieces</v>
      </c>
      <c r="I345" s="3" t="str">
        <f>IFERROR(__xludf.DUMMYFUNCTION("""COMPUTED_VALUE"""),"Untuk Washing 121702975 2548")</f>
        <v>Untuk Washing 121702975 2548</v>
      </c>
      <c r="J345" s="3" t="str">
        <f>IFERROR(__xludf.DUMMYFUNCTION("""COMPUTED_VALUE"""),"P-19951-00")</f>
        <v>P-19951-00</v>
      </c>
      <c r="K345" s="3" t="str">
        <f>IFERROR(__xludf.DUMMYFUNCTION("""COMPUTED_VALUE"""),"Approve")</f>
        <v>Approve</v>
      </c>
      <c r="L345" s="3" t="str">
        <f>IFERROR(__xludf.DUMMYFUNCTION("""COMPUTED_VALUE"""),"Normal")</f>
        <v>Normal</v>
      </c>
      <c r="M345" s="3" t="str">
        <f>IFERROR(__xludf.DUMMYFUNCTION("""COMPUTED_VALUE"""),"Non Urgent")</f>
        <v>Non Urgent</v>
      </c>
    </row>
    <row r="346">
      <c r="A346" s="4">
        <f>IFERROR(__xludf.DUMMYFUNCTION("""COMPUTED_VALUE"""),45865.64966880787)</f>
        <v>45865.64967</v>
      </c>
      <c r="B346" s="3" t="str">
        <f>IFERROR(__xludf.DUMMYFUNCTION("""COMPUTED_VALUE"""),"MFHRO0170")</f>
        <v>MFHRO0170</v>
      </c>
      <c r="C346" s="3" t="str">
        <f>IFERROR(__xludf.DUMMYFUNCTION("""COMPUTED_VALUE"""),"MIn Stok")</f>
        <v>MIn Stok</v>
      </c>
      <c r="D346" s="3" t="str">
        <f>IFERROR(__xludf.DUMMYFUNCTION("""COMPUTED_VALUE"""),"-")</f>
        <v>-</v>
      </c>
      <c r="E346" s="3" t="str">
        <f>IFERROR(__xludf.DUMMYFUNCTION("""COMPUTED_VALUE"""),"Washing")</f>
        <v>Washing</v>
      </c>
      <c r="F346" s="3" t="str">
        <f>IFERROR(__xludf.DUMMYFUNCTION("""COMPUTED_VALUE"""),"General - Fitting SMC; SMC; KQ2U08-00A; 1 pc")</f>
        <v>General - Fitting SMC; SMC; KQ2U08-00A; 1 pc</v>
      </c>
      <c r="G346" s="3">
        <f>IFERROR(__xludf.DUMMYFUNCTION("""COMPUTED_VALUE"""),2.0)</f>
        <v>2</v>
      </c>
      <c r="H346" s="3" t="str">
        <f>IFERROR(__xludf.DUMMYFUNCTION("""COMPUTED_VALUE"""),"Pieces")</f>
        <v>Pieces</v>
      </c>
      <c r="I346" s="3" t="str">
        <f>IFERROR(__xludf.DUMMYFUNCTION("""COMPUTED_VALUE"""),"Untuk Washing 121702975 2549")</f>
        <v>Untuk Washing 121702975 2549</v>
      </c>
      <c r="J346" s="3" t="str">
        <f>IFERROR(__xludf.DUMMYFUNCTION("""COMPUTED_VALUE"""),"P-19952-00")</f>
        <v>P-19952-00</v>
      </c>
      <c r="K346" s="3" t="str">
        <f>IFERROR(__xludf.DUMMYFUNCTION("""COMPUTED_VALUE"""),"Approve")</f>
        <v>Approve</v>
      </c>
      <c r="L346" s="3" t="str">
        <f>IFERROR(__xludf.DUMMYFUNCTION("""COMPUTED_VALUE"""),"Normal")</f>
        <v>Normal</v>
      </c>
      <c r="M346" s="3" t="str">
        <f>IFERROR(__xludf.DUMMYFUNCTION("""COMPUTED_VALUE"""),"Non Urgent")</f>
        <v>Non Urgent</v>
      </c>
    </row>
    <row r="347">
      <c r="A347" s="4">
        <f>IFERROR(__xludf.DUMMYFUNCTION("""COMPUTED_VALUE"""),45865.64966880787)</f>
        <v>45865.64967</v>
      </c>
      <c r="B347" s="3" t="str">
        <f>IFERROR(__xludf.DUMMYFUNCTION("""COMPUTED_VALUE"""),"MFHRO0171")</f>
        <v>MFHRO0171</v>
      </c>
      <c r="C347" s="3" t="str">
        <f>IFERROR(__xludf.DUMMYFUNCTION("""COMPUTED_VALUE"""),"MIn Stok")</f>
        <v>MIn Stok</v>
      </c>
      <c r="D347" s="3" t="str">
        <f>IFERROR(__xludf.DUMMYFUNCTION("""COMPUTED_VALUE"""),"-")</f>
        <v>-</v>
      </c>
      <c r="E347" s="3" t="str">
        <f>IFERROR(__xludf.DUMMYFUNCTION("""COMPUTED_VALUE"""),"Washing")</f>
        <v>Washing</v>
      </c>
      <c r="F347" s="3" t="str">
        <f>IFERROR(__xludf.DUMMYFUNCTION("""COMPUTED_VALUE"""),"General - Plug 1/4inch; SMC; -; 1 pc")</f>
        <v>General - Plug 1/4inch; SMC; -; 1 pc</v>
      </c>
      <c r="G347" s="3">
        <f>IFERROR(__xludf.DUMMYFUNCTION("""COMPUTED_VALUE"""),1.0)</f>
        <v>1</v>
      </c>
      <c r="H347" s="3" t="str">
        <f>IFERROR(__xludf.DUMMYFUNCTION("""COMPUTED_VALUE"""),"Pieces")</f>
        <v>Pieces</v>
      </c>
      <c r="I347" s="3" t="str">
        <f>IFERROR(__xludf.DUMMYFUNCTION("""COMPUTED_VALUE"""),"Untuk Washing 121702975 2550")</f>
        <v>Untuk Washing 121702975 2550</v>
      </c>
      <c r="J347" s="3" t="str">
        <f>IFERROR(__xludf.DUMMYFUNCTION("""COMPUTED_VALUE"""),"P-19953-00")</f>
        <v>P-19953-00</v>
      </c>
      <c r="K347" s="3" t="str">
        <f>IFERROR(__xludf.DUMMYFUNCTION("""COMPUTED_VALUE"""),"Approve")</f>
        <v>Approve</v>
      </c>
      <c r="L347" s="3" t="str">
        <f>IFERROR(__xludf.DUMMYFUNCTION("""COMPUTED_VALUE"""),"Normal")</f>
        <v>Normal</v>
      </c>
      <c r="M347" s="3" t="str">
        <f>IFERROR(__xludf.DUMMYFUNCTION("""COMPUTED_VALUE"""),"Non Urgent")</f>
        <v>Non Urgent</v>
      </c>
    </row>
    <row r="348">
      <c r="A348" s="4">
        <f>IFERROR(__xludf.DUMMYFUNCTION("""COMPUTED_VALUE"""),45865.64966880787)</f>
        <v>45865.64967</v>
      </c>
      <c r="B348" s="3" t="str">
        <f>IFERROR(__xludf.DUMMYFUNCTION("""COMPUTED_VALUE"""),"MFHRO0172")</f>
        <v>MFHRO0172</v>
      </c>
      <c r="C348" s="3" t="str">
        <f>IFERROR(__xludf.DUMMYFUNCTION("""COMPUTED_VALUE"""),"MIn Stok")</f>
        <v>MIn Stok</v>
      </c>
      <c r="D348" s="3" t="str">
        <f>IFERROR(__xludf.DUMMYFUNCTION("""COMPUTED_VALUE"""),"-")</f>
        <v>-</v>
      </c>
      <c r="E348" s="3" t="str">
        <f>IFERROR(__xludf.DUMMYFUNCTION("""COMPUTED_VALUE"""),"Washbay")</f>
        <v>Washbay</v>
      </c>
      <c r="F348" s="3" t="str">
        <f>IFERROR(__xludf.DUMMYFUNCTION("""COMPUTED_VALUE"""),"SCHNEIDER - MCB 4A 1Phase; ; ;")</f>
        <v>SCHNEIDER - MCB 4A 1Phase; ; ;</v>
      </c>
      <c r="G348" s="3">
        <f>IFERROR(__xludf.DUMMYFUNCTION("""COMPUTED_VALUE"""),3.0)</f>
        <v>3</v>
      </c>
      <c r="H348" s="3" t="str">
        <f>IFERROR(__xludf.DUMMYFUNCTION("""COMPUTED_VALUE"""),"Pieces")</f>
        <v>Pieces</v>
      </c>
      <c r="I348" s="3" t="str">
        <f>IFERROR(__xludf.DUMMYFUNCTION("""COMPUTED_VALUE"""),"Untuk Washbay 121702985 2566")</f>
        <v>Untuk Washbay 121702985 2566</v>
      </c>
      <c r="J348" s="3" t="str">
        <f>IFERROR(__xludf.DUMMYFUNCTION("""COMPUTED_VALUE"""),"P-52375-00")</f>
        <v>P-52375-00</v>
      </c>
      <c r="K348" s="3" t="str">
        <f>IFERROR(__xludf.DUMMYFUNCTION("""COMPUTED_VALUE"""),"Approve")</f>
        <v>Approve</v>
      </c>
      <c r="L348" s="3" t="str">
        <f>IFERROR(__xludf.DUMMYFUNCTION("""COMPUTED_VALUE"""),"Normal")</f>
        <v>Normal</v>
      </c>
      <c r="M348" s="3" t="str">
        <f>IFERROR(__xludf.DUMMYFUNCTION("""COMPUTED_VALUE"""),"Non Urgent")</f>
        <v>Non Urgent</v>
      </c>
    </row>
    <row r="349">
      <c r="A349" s="4">
        <f>IFERROR(__xludf.DUMMYFUNCTION("""COMPUTED_VALUE"""),45865.64966880787)</f>
        <v>45865.64967</v>
      </c>
      <c r="B349" s="3" t="str">
        <f>IFERROR(__xludf.DUMMYFUNCTION("""COMPUTED_VALUE"""),"MFHRO0173")</f>
        <v>MFHRO0173</v>
      </c>
      <c r="C349" s="3" t="str">
        <f>IFERROR(__xludf.DUMMYFUNCTION("""COMPUTED_VALUE"""),"MIn Stok")</f>
        <v>MIn Stok</v>
      </c>
      <c r="D349" s="3" t="str">
        <f>IFERROR(__xludf.DUMMYFUNCTION("""COMPUTED_VALUE"""),"-")</f>
        <v>-</v>
      </c>
      <c r="E349" s="3" t="str">
        <f>IFERROR(__xludf.DUMMYFUNCTION("""COMPUTED_VALUE"""),"General")</f>
        <v>General</v>
      </c>
      <c r="F349" s="3" t="str">
        <f>IFERROR(__xludf.DUMMYFUNCTION("""COMPUTED_VALUE"""),"Magnet Kotak Pintu Lemari Small Stainless Steel 1.5x3.6cm; ; ;")</f>
        <v>Magnet Kotak Pintu Lemari Small Stainless Steel 1.5x3.6cm; ; ;</v>
      </c>
      <c r="G349" s="3">
        <f>IFERROR(__xludf.DUMMYFUNCTION("""COMPUTED_VALUE"""),5.0)</f>
        <v>5</v>
      </c>
      <c r="H349" s="3" t="str">
        <f>IFERROR(__xludf.DUMMYFUNCTION("""COMPUTED_VALUE"""),"Pieces")</f>
        <v>Pieces</v>
      </c>
      <c r="I349" s="3" t="str">
        <f>IFERROR(__xludf.DUMMYFUNCTION("""COMPUTED_VALUE"""),"Untuk Magnet Passbox 121702993 2572")</f>
        <v>Untuk Magnet Passbox 121702993 2572</v>
      </c>
      <c r="J349" s="3" t="str">
        <f>IFERROR(__xludf.DUMMYFUNCTION("""COMPUTED_VALUE"""),"Q-10971-00")</f>
        <v>Q-10971-00</v>
      </c>
      <c r="K349" s="3" t="str">
        <f>IFERROR(__xludf.DUMMYFUNCTION("""COMPUTED_VALUE"""),"Approve")</f>
        <v>Approve</v>
      </c>
      <c r="L349" s="3" t="str">
        <f>IFERROR(__xludf.DUMMYFUNCTION("""COMPUTED_VALUE"""),"Normal")</f>
        <v>Normal</v>
      </c>
      <c r="M349" s="3" t="str">
        <f>IFERROR(__xludf.DUMMYFUNCTION("""COMPUTED_VALUE"""),"Non Urgent")</f>
        <v>Non Urgent</v>
      </c>
    </row>
    <row r="350">
      <c r="A350" s="4">
        <f>IFERROR(__xludf.DUMMYFUNCTION("""COMPUTED_VALUE"""),45865.64966880787)</f>
        <v>45865.64967</v>
      </c>
      <c r="B350" s="3" t="str">
        <f>IFERROR(__xludf.DUMMYFUNCTION("""COMPUTED_VALUE"""),"MFHRO0174")</f>
        <v>MFHRO0174</v>
      </c>
      <c r="C350" s="3" t="str">
        <f>IFERROR(__xludf.DUMMYFUNCTION("""COMPUTED_VALUE"""),"MIn Stok")</f>
        <v>MIn Stok</v>
      </c>
      <c r="D350" s="3" t="str">
        <f>IFERROR(__xludf.DUMMYFUNCTION("""COMPUTED_VALUE"""),"-")</f>
        <v>-</v>
      </c>
      <c r="E350" s="3" t="str">
        <f>IFERROR(__xludf.DUMMYFUNCTION("""COMPUTED_VALUE"""),"HLD")</f>
        <v>HLD</v>
      </c>
      <c r="F350" s="3" t="str">
        <f>IFERROR(__xludf.DUMMYFUNCTION("""COMPUTED_VALUE"""),"General - Trolley Helium Leak Detector Uk. 600 x 750 x 800cm; Custom Agru Farma; -; 1 pc")</f>
        <v>General - Trolley Helium Leak Detector Uk. 600 x 750 x 800cm; Custom Agru Farma; -; 1 pc</v>
      </c>
      <c r="G350" s="3">
        <f>IFERROR(__xludf.DUMMYFUNCTION("""COMPUTED_VALUE"""),1.0)</f>
        <v>1</v>
      </c>
      <c r="H350" s="3" t="str">
        <f>IFERROR(__xludf.DUMMYFUNCTION("""COMPUTED_VALUE"""),"Pieces")</f>
        <v>Pieces</v>
      </c>
      <c r="I350" s="3" t="str">
        <f>IFERROR(__xludf.DUMMYFUNCTION("""COMPUTED_VALUE"""),"Untuk HLD 121702997 2575")</f>
        <v>Untuk HLD 121702997 2575</v>
      </c>
      <c r="J350" s="3" t="str">
        <f>IFERROR(__xludf.DUMMYFUNCTION("""COMPUTED_VALUE"""),"P-19987-00")</f>
        <v>P-19987-00</v>
      </c>
      <c r="K350" s="3" t="str">
        <f>IFERROR(__xludf.DUMMYFUNCTION("""COMPUTED_VALUE"""),"Approve")</f>
        <v>Approve</v>
      </c>
      <c r="L350" s="3" t="str">
        <f>IFERROR(__xludf.DUMMYFUNCTION("""COMPUTED_VALUE"""),"Normal")</f>
        <v>Normal</v>
      </c>
      <c r="M350" s="3" t="str">
        <f>IFERROR(__xludf.DUMMYFUNCTION("""COMPUTED_VALUE"""),"Non Urgent")</f>
        <v>Non Urgent</v>
      </c>
    </row>
    <row r="351">
      <c r="A351" s="4">
        <f>IFERROR(__xludf.DUMMYFUNCTION("""COMPUTED_VALUE"""),45865.64966880787)</f>
        <v>45865.64967</v>
      </c>
      <c r="B351" s="3" t="str">
        <f>IFERROR(__xludf.DUMMYFUNCTION("""COMPUTED_VALUE"""),"MFHRO0175")</f>
        <v>MFHRO0175</v>
      </c>
      <c r="C351" s="3" t="str">
        <f>IFERROR(__xludf.DUMMYFUNCTION("""COMPUTED_VALUE"""),"MIn Stok")</f>
        <v>MIn Stok</v>
      </c>
      <c r="D351" s="3" t="str">
        <f>IFERROR(__xludf.DUMMYFUNCTION("""COMPUTED_VALUE"""),"-")</f>
        <v>-</v>
      </c>
      <c r="E351" s="3" t="str">
        <f>IFERROR(__xludf.DUMMYFUNCTION("""COMPUTED_VALUE"""),"PSG")</f>
        <v>PSG</v>
      </c>
      <c r="F351" s="3" t="str">
        <f>IFERROR(__xludf.DUMMYFUNCTION("""COMPUTED_VALUE"""),"General - Teflon Sheet 6 x 1000 x 1000mm; No Brand; -; 1 pc")</f>
        <v>General - Teflon Sheet 6 x 1000 x 1000mm; No Brand; -; 1 pc</v>
      </c>
      <c r="G351" s="3">
        <f>IFERROR(__xludf.DUMMYFUNCTION("""COMPUTED_VALUE"""),1.0)</f>
        <v>1</v>
      </c>
      <c r="H351" s="3" t="str">
        <f>IFERROR(__xludf.DUMMYFUNCTION("""COMPUTED_VALUE"""),"Pieces")</f>
        <v>Pieces</v>
      </c>
      <c r="I351" s="3" t="str">
        <f>IFERROR(__xludf.DUMMYFUNCTION("""COMPUTED_VALUE"""),"Untuk PSG 121703000 2578")</f>
        <v>Untuk PSG 121703000 2578</v>
      </c>
      <c r="J351" s="3" t="str">
        <f>IFERROR(__xludf.DUMMYFUNCTION("""COMPUTED_VALUE"""),"P-19899-00")</f>
        <v>P-19899-00</v>
      </c>
      <c r="K351" s="3" t="str">
        <f>IFERROR(__xludf.DUMMYFUNCTION("""COMPUTED_VALUE"""),"Approve")</f>
        <v>Approve</v>
      </c>
      <c r="L351" s="3" t="str">
        <f>IFERROR(__xludf.DUMMYFUNCTION("""COMPUTED_VALUE"""),"Normal")</f>
        <v>Normal</v>
      </c>
      <c r="M351" s="3" t="str">
        <f>IFERROR(__xludf.DUMMYFUNCTION("""COMPUTED_VALUE"""),"Non Urgent")</f>
        <v>Non Urgent</v>
      </c>
    </row>
    <row r="352">
      <c r="A352" s="4">
        <f>IFERROR(__xludf.DUMMYFUNCTION("""COMPUTED_VALUE"""),45865.64966880787)</f>
        <v>45865.64967</v>
      </c>
      <c r="B352" s="3" t="str">
        <f>IFERROR(__xludf.DUMMYFUNCTION("""COMPUTED_VALUE"""),"MFHRO0176")</f>
        <v>MFHRO0176</v>
      </c>
      <c r="C352" s="3" t="str">
        <f>IFERROR(__xludf.DUMMYFUNCTION("""COMPUTED_VALUE"""),"MIn Stok")</f>
        <v>MIn Stok</v>
      </c>
      <c r="D352" s="3" t="str">
        <f>IFERROR(__xludf.DUMMYFUNCTION("""COMPUTED_VALUE"""),"-")</f>
        <v>-</v>
      </c>
      <c r="E352" s="3" t="str">
        <f>IFERROR(__xludf.DUMMYFUNCTION("""COMPUTED_VALUE"""),"Washing")</f>
        <v>Washing</v>
      </c>
      <c r="F352" s="3" t="str">
        <f>IFERROR(__xludf.DUMMYFUNCTION("""COMPUTED_VALUE"""),"Washing RAR4 - Needle CA, OD 15 x 168 mm, Mat. SS316; Custom/Lokal; -; 1 Pc")</f>
        <v>Washing RAR4 - Needle CA, OD 15 x 168 mm, Mat. SS316; Custom/Lokal; -; 1 Pc</v>
      </c>
      <c r="G352" s="3">
        <f>IFERROR(__xludf.DUMMYFUNCTION("""COMPUTED_VALUE"""),1.0)</f>
        <v>1</v>
      </c>
      <c r="H352" s="3" t="str">
        <f>IFERROR(__xludf.DUMMYFUNCTION("""COMPUTED_VALUE"""),"Pieces")</f>
        <v>Pieces</v>
      </c>
      <c r="I352" s="3" t="str">
        <f>IFERROR(__xludf.DUMMYFUNCTION("""COMPUTED_VALUE"""),"Untuk Washing 121702998 2576")</f>
        <v>Untuk Washing 121702998 2576</v>
      </c>
      <c r="J352" s="3" t="str">
        <f>IFERROR(__xludf.DUMMYFUNCTION("""COMPUTED_VALUE"""),"O-20857-00")</f>
        <v>O-20857-00</v>
      </c>
      <c r="K352" s="3" t="str">
        <f>IFERROR(__xludf.DUMMYFUNCTION("""COMPUTED_VALUE"""),"Approve")</f>
        <v>Approve</v>
      </c>
      <c r="L352" s="3" t="str">
        <f>IFERROR(__xludf.DUMMYFUNCTION("""COMPUTED_VALUE"""),"Normal")</f>
        <v>Normal</v>
      </c>
      <c r="M352" s="3" t="str">
        <f>IFERROR(__xludf.DUMMYFUNCTION("""COMPUTED_VALUE"""),"Non Urgent")</f>
        <v>Non Urgent</v>
      </c>
    </row>
    <row r="353">
      <c r="A353" s="4">
        <f>IFERROR(__xludf.DUMMYFUNCTION("""COMPUTED_VALUE"""),45865.64966880787)</f>
        <v>45865.64967</v>
      </c>
      <c r="B353" s="3" t="str">
        <f>IFERROR(__xludf.DUMMYFUNCTION("""COMPUTED_VALUE"""),"MFHRO0177")</f>
        <v>MFHRO0177</v>
      </c>
      <c r="C353" s="3" t="str">
        <f>IFERROR(__xludf.DUMMYFUNCTION("""COMPUTED_VALUE"""),"Consumable")</f>
        <v>Consumable</v>
      </c>
      <c r="D353" s="3" t="str">
        <f>IFERROR(__xludf.DUMMYFUNCTION("""COMPUTED_VALUE"""),"-")</f>
        <v>-</v>
      </c>
      <c r="E353" s="3" t="str">
        <f>IFERROR(__xludf.DUMMYFUNCTION("""COMPUTED_VALUE"""),"General")</f>
        <v>General</v>
      </c>
      <c r="F353" s="3" t="str">
        <f>IFERROR(__xludf.DUMMYFUNCTION("""COMPUTED_VALUE"""),"Trolly - Roda ABUS 4inch (100 x 27mm), Without Brake; No Brand; -; 1 pc")</f>
        <v>Trolly - Roda ABUS 4inch (100 x 27mm), Without Brake; No Brand; -; 1 pc</v>
      </c>
      <c r="G353" s="3">
        <f>IFERROR(__xludf.DUMMYFUNCTION("""COMPUTED_VALUE"""),2.0)</f>
        <v>2</v>
      </c>
      <c r="H353" s="3" t="str">
        <f>IFERROR(__xludf.DUMMYFUNCTION("""COMPUTED_VALUE"""),"Pieces")</f>
        <v>Pieces</v>
      </c>
      <c r="I353" s="3" t="str">
        <f>IFERROR(__xludf.DUMMYFUNCTION("""COMPUTED_VALUE"""),"Consumable 121703015 2579")</f>
        <v>Consumable 121703015 2579</v>
      </c>
      <c r="J353" s="3" t="str">
        <f>IFERROR(__xludf.DUMMYFUNCTION("""COMPUTED_VALUE"""),"P-11356-00")</f>
        <v>P-11356-00</v>
      </c>
      <c r="K353" s="3" t="str">
        <f>IFERROR(__xludf.DUMMYFUNCTION("""COMPUTED_VALUE"""),"Approve")</f>
        <v>Approve</v>
      </c>
      <c r="L353" s="3" t="str">
        <f>IFERROR(__xludf.DUMMYFUNCTION("""COMPUTED_VALUE"""),"Normal")</f>
        <v>Normal</v>
      </c>
      <c r="M353" s="3" t="str">
        <f>IFERROR(__xludf.DUMMYFUNCTION("""COMPUTED_VALUE"""),"Non Urgent")</f>
        <v>Non Urgent</v>
      </c>
    </row>
    <row r="354">
      <c r="A354" s="4">
        <f>IFERROR(__xludf.DUMMYFUNCTION("""COMPUTED_VALUE"""),45871.05542575232)</f>
        <v>45871.05543</v>
      </c>
      <c r="B354" s="3" t="str">
        <f>IFERROR(__xludf.DUMMYFUNCTION("""COMPUTED_VALUE"""),"SFHRO0013")</f>
        <v>SFHRO0013</v>
      </c>
      <c r="C354" s="3" t="str">
        <f>IFERROR(__xludf.DUMMYFUNCTION("""COMPUTED_VALUE"""),"MIn Stok")</f>
        <v>MIn Stok</v>
      </c>
      <c r="D354" s="3" t="str">
        <f>IFERROR(__xludf.DUMMYFUNCTION("""COMPUTED_VALUE"""),"-")</f>
        <v>-</v>
      </c>
      <c r="E354" s="3" t="str">
        <f>IFERROR(__xludf.DUMMYFUNCTION("""COMPUTED_VALUE"""),"lantai 2")</f>
        <v>lantai 2</v>
      </c>
      <c r="F354" s="3" t="str">
        <f>IFERROR(__xludf.DUMMYFUNCTION("""COMPUTED_VALUE"""),"Aquaproof Abu-Abu @4 Kg; ; ;")</f>
        <v>Aquaproof Abu-Abu @4 Kg; ; ;</v>
      </c>
      <c r="G354" s="3">
        <f>IFERROR(__xludf.DUMMYFUNCTION("""COMPUTED_VALUE"""),5.0)</f>
        <v>5</v>
      </c>
      <c r="H354" s="3" t="str">
        <f>IFERROR(__xludf.DUMMYFUNCTION("""COMPUTED_VALUE"""),"pel")</f>
        <v>pel</v>
      </c>
      <c r="I354" s="3" t="str">
        <f>IFERROR(__xludf.DUMMYFUNCTION("""COMPUTED_VALUE"""),"-")</f>
        <v>-</v>
      </c>
      <c r="J354" s="3" t="str">
        <f>IFERROR(__xludf.DUMMYFUNCTION("""COMPUTED_VALUE"""),"Q-10650-00")</f>
        <v>Q-10650-00</v>
      </c>
      <c r="K354" s="3" t="str">
        <f>IFERROR(__xludf.DUMMYFUNCTION("""COMPUTED_VALUE"""),"Approve")</f>
        <v>Approve</v>
      </c>
      <c r="L354" s="3" t="str">
        <f>IFERROR(__xludf.DUMMYFUNCTION("""COMPUTED_VALUE"""),"Normal")</f>
        <v>Normal</v>
      </c>
      <c r="M354" s="3" t="str">
        <f>IFERROR(__xludf.DUMMYFUNCTION("""COMPUTED_VALUE"""),"Non Urgent")</f>
        <v>Non Urgent</v>
      </c>
    </row>
    <row r="355">
      <c r="A355" s="4">
        <f>IFERROR(__xludf.DUMMYFUNCTION("""COMPUTED_VALUE"""),45874.80960048611)</f>
        <v>45874.8096</v>
      </c>
      <c r="B355" s="3" t="str">
        <f>IFERROR(__xludf.DUMMYFUNCTION("""COMPUTED_VALUE"""),"NDSRO0005")</f>
        <v>NDSRO0005</v>
      </c>
      <c r="C355" s="3" t="str">
        <f>IFERROR(__xludf.DUMMYFUNCTION("""COMPUTED_VALUE"""),"MIn Stok")</f>
        <v>MIn Stok</v>
      </c>
      <c r="D355" s="3" t="str">
        <f>IFERROR(__xludf.DUMMYFUNCTION("""COMPUTED_VALUE"""),"-")</f>
        <v>-</v>
      </c>
      <c r="E355" s="3" t="str">
        <f>IFERROR(__xludf.DUMMYFUNCTION("""COMPUTED_VALUE"""),"Domino")</f>
        <v>Domino</v>
      </c>
      <c r="F355" s="3" t="str">
        <f>IFERROR(__xludf.DUMMYFUNCTION("""COMPUTED_VALUE"""),"Colamark - Print Head; Domino; EPP001359 SP; 1 Pc")</f>
        <v>Colamark - Print Head; Domino; EPP001359 SP; 1 Pc</v>
      </c>
      <c r="G355" s="3">
        <f>IFERROR(__xludf.DUMMYFUNCTION("""COMPUTED_VALUE"""),1.0)</f>
        <v>1</v>
      </c>
      <c r="H355" s="3" t="str">
        <f>IFERROR(__xludf.DUMMYFUNCTION("""COMPUTED_VALUE"""),"Pcs")</f>
        <v>Pcs</v>
      </c>
      <c r="I355" s="3" t="str">
        <f>IFERROR(__xludf.DUMMYFUNCTION("""COMPUTED_VALUE"""),"-")</f>
        <v>-</v>
      </c>
      <c r="J355" s="3" t="str">
        <f>IFERROR(__xludf.DUMMYFUNCTION("""COMPUTED_VALUE"""),"O-51000-00")</f>
        <v>O-51000-00</v>
      </c>
      <c r="K355" s="3" t="str">
        <f>IFERROR(__xludf.DUMMYFUNCTION("""COMPUTED_VALUE"""),"Approve")</f>
        <v>Approve</v>
      </c>
      <c r="L355" s="3" t="str">
        <f>IFERROR(__xludf.DUMMYFUNCTION("""COMPUTED_VALUE"""),"Normal")</f>
        <v>Normal</v>
      </c>
      <c r="M355" s="3" t="str">
        <f>IFERROR(__xludf.DUMMYFUNCTION("""COMPUTED_VALUE"""),"Non Urgent")</f>
        <v>Non Urgent</v>
      </c>
    </row>
    <row r="356">
      <c r="A356" s="4">
        <f>IFERROR(__xludf.DUMMYFUNCTION("""COMPUTED_VALUE"""),45876.36047811343)</f>
        <v>45876.36048</v>
      </c>
      <c r="B356" s="3" t="str">
        <f>IFERROR(__xludf.DUMMYFUNCTION("""COMPUTED_VALUE"""),"MRNRO0029")</f>
        <v>MRNRO0029</v>
      </c>
      <c r="C356" s="3" t="str">
        <f>IFERROR(__xludf.DUMMYFUNCTION("""COMPUTED_VALUE"""),"EJO")</f>
        <v>EJO</v>
      </c>
      <c r="D356" s="3" t="str">
        <f>IFERROR(__xludf.DUMMYFUNCTION("""COMPUTED_VALUE"""),"EJO/2025/07/42")</f>
        <v>EJO/2025/07/42</v>
      </c>
      <c r="E356" s="3" t="str">
        <f>IFERROR(__xludf.DUMMYFUNCTION("""COMPUTED_VALUE"""),"Ruang GC lab")</f>
        <v>Ruang GC lab</v>
      </c>
      <c r="F356" s="3" t="str">
        <f>IFERROR(__xludf.DUMMYFUNCTION("""COMPUTED_VALUE"""),"OMRON - TIMER H3CR- A8 220 VAC; ; ;")</f>
        <v>OMRON - TIMER H3CR- A8 220 VAC; ; ;</v>
      </c>
      <c r="G356" s="3">
        <f>IFERROR(__xludf.DUMMYFUNCTION("""COMPUTED_VALUE"""),1.0)</f>
        <v>1</v>
      </c>
      <c r="H356" s="3" t="str">
        <f>IFERROR(__xludf.DUMMYFUNCTION("""COMPUTED_VALUE"""),"pcs")</f>
        <v>pcs</v>
      </c>
      <c r="I356" s="3" t="str">
        <f>IFERROR(__xludf.DUMMYFUNCTION("""COMPUTED_VALUE"""),"Beli sama socketnya")</f>
        <v>Beli sama socketnya</v>
      </c>
      <c r="J356" s="3" t="str">
        <f>IFERROR(__xludf.DUMMYFUNCTION("""COMPUTED_VALUE"""),"P-52501-00")</f>
        <v>P-52501-00</v>
      </c>
      <c r="K356" s="3" t="str">
        <f>IFERROR(__xludf.DUMMYFUNCTION("""COMPUTED_VALUE"""),"Approve")</f>
        <v>Approve</v>
      </c>
      <c r="L356" s="3" t="str">
        <f>IFERROR(__xludf.DUMMYFUNCTION("""COMPUTED_VALUE"""),"Normal")</f>
        <v>Normal</v>
      </c>
      <c r="M356" s="3" t="str">
        <f>IFERROR(__xludf.DUMMYFUNCTION("""COMPUTED_VALUE"""),"Non Urgent")</f>
        <v>Non Urgent</v>
      </c>
    </row>
    <row r="357">
      <c r="A357" s="4">
        <f>IFERROR(__xludf.DUMMYFUNCTION("""COMPUTED_VALUE"""),45876.36128729167)</f>
        <v>45876.36129</v>
      </c>
      <c r="B357" s="3" t="str">
        <f>IFERROR(__xludf.DUMMYFUNCTION("""COMPUTED_VALUE"""),"MRNRO0030")</f>
        <v>MRNRO0030</v>
      </c>
      <c r="C357" s="3" t="str">
        <f>IFERROR(__xludf.DUMMYFUNCTION("""COMPUTED_VALUE"""),"EJO")</f>
        <v>EJO</v>
      </c>
      <c r="D357" s="3" t="str">
        <f>IFERROR(__xludf.DUMMYFUNCTION("""COMPUTED_VALUE"""),"EJO/2025/07/42")</f>
        <v>EJO/2025/07/42</v>
      </c>
      <c r="E357" s="3" t="str">
        <f>IFERROR(__xludf.DUMMYFUNCTION("""COMPUTED_VALUE"""),"Ruang GC lab")</f>
        <v>Ruang GC lab</v>
      </c>
      <c r="F357" s="3" t="str">
        <f>IFERROR(__xludf.DUMMYFUNCTION("""COMPUTED_VALUE"""),"Selector Switch 22mm On-Off XPB22-22A Fort; ; ;")</f>
        <v>Selector Switch 22mm On-Off XPB22-22A Fort; ; ;</v>
      </c>
      <c r="G357" s="3">
        <f>IFERROR(__xludf.DUMMYFUNCTION("""COMPUTED_VALUE"""),1.0)</f>
        <v>1</v>
      </c>
      <c r="H357" s="3" t="str">
        <f>IFERROR(__xludf.DUMMYFUNCTION("""COMPUTED_VALUE"""),"pcs")</f>
        <v>pcs</v>
      </c>
      <c r="I357" s="3" t="str">
        <f>IFERROR(__xludf.DUMMYFUNCTION("""COMPUTED_VALUE"""),"Buat modifikasi gas N2 dan HE")</f>
        <v>Buat modifikasi gas N2 dan HE</v>
      </c>
      <c r="J357" s="3" t="str">
        <f>IFERROR(__xludf.DUMMYFUNCTION("""COMPUTED_VALUE"""),"O-51307-00")</f>
        <v>O-51307-00</v>
      </c>
      <c r="K357" s="3" t="str">
        <f>IFERROR(__xludf.DUMMYFUNCTION("""COMPUTED_VALUE"""),"Approve")</f>
        <v>Approve</v>
      </c>
      <c r="L357" s="3" t="str">
        <f>IFERROR(__xludf.DUMMYFUNCTION("""COMPUTED_VALUE"""),"Normal")</f>
        <v>Normal</v>
      </c>
      <c r="M357" s="3" t="str">
        <f>IFERROR(__xludf.DUMMYFUNCTION("""COMPUTED_VALUE"""),"Non Urgent")</f>
        <v>Non Urgent</v>
      </c>
    </row>
    <row r="358">
      <c r="A358" s="4">
        <f>IFERROR(__xludf.DUMMYFUNCTION("""COMPUTED_VALUE"""),45880.72706641204)</f>
        <v>45880.72707</v>
      </c>
      <c r="B358" s="3" t="str">
        <f>IFERROR(__xludf.DUMMYFUNCTION("""COMPUTED_VALUE"""),"MOBRO0056")</f>
        <v>MOBRO0056</v>
      </c>
      <c r="C358" s="3" t="str">
        <f>IFERROR(__xludf.DUMMYFUNCTION("""COMPUTED_VALUE"""),"MIn Stok")</f>
        <v>MIn Stok</v>
      </c>
      <c r="D358" s="3" t="str">
        <f>IFERROR(__xludf.DUMMYFUNCTION("""COMPUTED_VALUE"""),"-")</f>
        <v>-</v>
      </c>
      <c r="E358" s="3" t="str">
        <f>IFERROR(__xludf.DUMMYFUNCTION("""COMPUTED_VALUE"""),"Support Part")</f>
        <v>Support Part</v>
      </c>
      <c r="F358" s="3" t="str">
        <f>IFERROR(__xludf.DUMMYFUNCTION("""COMPUTED_VALUE"""),"Container Box; Claris; ;")</f>
        <v>Container Box; Claris; ;</v>
      </c>
      <c r="G358" s="3">
        <f>IFERROR(__xludf.DUMMYFUNCTION("""COMPUTED_VALUE"""),5.0)</f>
        <v>5</v>
      </c>
      <c r="H358" s="3" t="str">
        <f>IFERROR(__xludf.DUMMYFUNCTION("""COMPUTED_VALUE"""),"Pcs")</f>
        <v>Pcs</v>
      </c>
      <c r="I358" s="3" t="str">
        <f>IFERROR(__xludf.DUMMYFUNCTION("""COMPUTED_VALUE"""),"Perapihan ruang Filter")</f>
        <v>Perapihan ruang Filter</v>
      </c>
      <c r="J358" s="3" t="str">
        <f>IFERROR(__xludf.DUMMYFUNCTION("""COMPUTED_VALUE"""),"S-40586-00")</f>
        <v>S-40586-00</v>
      </c>
      <c r="K358" s="3" t="str">
        <f>IFERROR(__xludf.DUMMYFUNCTION("""COMPUTED_VALUE"""),"Approve")</f>
        <v>Approve</v>
      </c>
      <c r="L358" s="3" t="str">
        <f>IFERROR(__xludf.DUMMYFUNCTION("""COMPUTED_VALUE"""),"Normal")</f>
        <v>Normal</v>
      </c>
      <c r="M358" s="3" t="str">
        <f>IFERROR(__xludf.DUMMYFUNCTION("""COMPUTED_VALUE"""),"Non Urgent")</f>
        <v>Non Urgent</v>
      </c>
    </row>
    <row r="359">
      <c r="A359" s="4">
        <f>IFERROR(__xludf.DUMMYFUNCTION("""COMPUTED_VALUE"""),45883.96953244213)</f>
        <v>45883.96953</v>
      </c>
      <c r="B359" s="3" t="str">
        <f>IFERROR(__xludf.DUMMYFUNCTION("""COMPUTED_VALUE"""),"RIARO0048")</f>
        <v>RIARO0048</v>
      </c>
      <c r="C359" s="3" t="str">
        <f>IFERROR(__xludf.DUMMYFUNCTION("""COMPUTED_VALUE"""),"Consumable")</f>
        <v>Consumable</v>
      </c>
      <c r="D359" s="3" t="str">
        <f>IFERROR(__xludf.DUMMYFUNCTION("""COMPUTED_VALUE"""),"-")</f>
        <v>-</v>
      </c>
      <c r="E359" s="3" t="str">
        <f>IFERROR(__xludf.DUMMYFUNCTION("""COMPUTED_VALUE"""),"EF C1-21")</f>
        <v>EF C1-21</v>
      </c>
      <c r="F359" s="3" t="str">
        <f>IFERROR(__xludf.DUMMYFUNCTION("""COMPUTED_VALUE"""),"SPA 1120 Brand : Optibelt / Bando Merah; Optibelt; ;")</f>
        <v>SPA 1120 Brand : Optibelt / Bando Merah; Optibelt; ;</v>
      </c>
      <c r="G359" s="3">
        <f>IFERROR(__xludf.DUMMYFUNCTION("""COMPUTED_VALUE"""),5.0)</f>
        <v>5</v>
      </c>
      <c r="H359" s="3" t="str">
        <f>IFERROR(__xludf.DUMMYFUNCTION("""COMPUTED_VALUE"""),"Pcs")</f>
        <v>Pcs</v>
      </c>
      <c r="I359" s="3" t="str">
        <f>IFERROR(__xludf.DUMMYFUNCTION("""COMPUTED_VALUE"""),"Buat EF C1-21 spare ga ada")</f>
        <v>Buat EF C1-21 spare ga ada</v>
      </c>
      <c r="J359" s="3" t="str">
        <f>IFERROR(__xludf.DUMMYFUNCTION("""COMPUTED_VALUE"""),"O-15489-00")</f>
        <v>O-15489-00</v>
      </c>
      <c r="K359" s="3" t="str">
        <f>IFERROR(__xludf.DUMMYFUNCTION("""COMPUTED_VALUE"""),"Approve")</f>
        <v>Approve</v>
      </c>
      <c r="L359" s="3" t="str">
        <f>IFERROR(__xludf.DUMMYFUNCTION("""COMPUTED_VALUE"""),"Normal")</f>
        <v>Normal</v>
      </c>
      <c r="M359" s="3" t="str">
        <f>IFERROR(__xludf.DUMMYFUNCTION("""COMPUTED_VALUE"""),"Non Urgent")</f>
        <v>Non Urgent</v>
      </c>
    </row>
    <row r="360">
      <c r="A360" s="4">
        <f>IFERROR(__xludf.DUMMYFUNCTION("""COMPUTED_VALUE"""),45883.970259560185)</f>
        <v>45883.97026</v>
      </c>
      <c r="B360" s="3" t="str">
        <f>IFERROR(__xludf.DUMMYFUNCTION("""COMPUTED_VALUE"""),"RIARO0049")</f>
        <v>RIARO0049</v>
      </c>
      <c r="C360" s="3" t="str">
        <f>IFERROR(__xludf.DUMMYFUNCTION("""COMPUTED_VALUE"""),"MIn Stok")</f>
        <v>MIn Stok</v>
      </c>
      <c r="D360" s="3" t="str">
        <f>IFERROR(__xludf.DUMMYFUNCTION("""COMPUTED_VALUE"""),"-")</f>
        <v>-</v>
      </c>
      <c r="E360" s="3" t="str">
        <f>IFERROR(__xludf.DUMMYFUNCTION("""COMPUTED_VALUE"""),"UPS 40KVA")</f>
        <v>UPS 40KVA</v>
      </c>
      <c r="F360" s="3" t="str">
        <f>IFERROR(__xludf.DUMMYFUNCTION("""COMPUTED_VALUE"""),"General - Accu 6FM40, Baterai Kering, 12 V, 40 Ah; Vision; -; 1 pcs")</f>
        <v>General - Accu 6FM40, Baterai Kering, 12 V, 40 Ah; Vision; -; 1 pcs</v>
      </c>
      <c r="G360" s="3">
        <f>IFERROR(__xludf.DUMMYFUNCTION("""COMPUTED_VALUE"""),20.0)</f>
        <v>20</v>
      </c>
      <c r="H360" s="3" t="str">
        <f>IFERROR(__xludf.DUMMYFUNCTION("""COMPUTED_VALUE"""),"Pcs")</f>
        <v>Pcs</v>
      </c>
      <c r="I360" s="3" t="str">
        <f>IFERROR(__xludf.DUMMYFUNCTION("""COMPUTED_VALUE"""),"Untuk spare jika terjadi apa2 dan untuk jaga2 buat PM tahun depan. Boleh diproses dari sekarang biar tidak mendadak.")</f>
        <v>Untuk spare jika terjadi apa2 dan untuk jaga2 buat PM tahun depan. Boleh diproses dari sekarang biar tidak mendadak.</v>
      </c>
      <c r="J360" s="3" t="str">
        <f>IFERROR(__xludf.DUMMYFUNCTION("""COMPUTED_VALUE"""),"P-52119-00")</f>
        <v>P-52119-00</v>
      </c>
      <c r="K360" s="3" t="str">
        <f>IFERROR(__xludf.DUMMYFUNCTION("""COMPUTED_VALUE"""),"Approve")</f>
        <v>Approve</v>
      </c>
      <c r="L360" s="3" t="str">
        <f>IFERROR(__xludf.DUMMYFUNCTION("""COMPUTED_VALUE"""),"Normal")</f>
        <v>Normal</v>
      </c>
      <c r="M360" s="3" t="str">
        <f>IFERROR(__xludf.DUMMYFUNCTION("""COMPUTED_VALUE"""),"Non Urgent")</f>
        <v>Non Urgent</v>
      </c>
    </row>
    <row r="361">
      <c r="A361" s="4">
        <f>IFERROR(__xludf.DUMMYFUNCTION("""COMPUTED_VALUE"""),45888.92774290509)</f>
        <v>45888.92774</v>
      </c>
      <c r="B361" s="3" t="str">
        <f>IFERROR(__xludf.DUMMYFUNCTION("""COMPUTED_VALUE"""),"MOBRO0057")</f>
        <v>MOBRO0057</v>
      </c>
      <c r="C361" s="3" t="str">
        <f>IFERROR(__xludf.DUMMYFUNCTION("""COMPUTED_VALUE"""),"EJO")</f>
        <v>EJO</v>
      </c>
      <c r="D361" s="3" t="str">
        <f>IFERROR(__xludf.DUMMYFUNCTION("""COMPUTED_VALUE"""),"EJO/2025/07/59")</f>
        <v>EJO/2025/07/59</v>
      </c>
      <c r="E361" s="3" t="str">
        <f>IFERROR(__xludf.DUMMYFUNCTION("""COMPUTED_VALUE"""),"FD")</f>
        <v>FD</v>
      </c>
      <c r="F361" s="3" t="str">
        <f>IFERROR(__xludf.DUMMYFUNCTION("""COMPUTED_VALUE"""),"Sparepart Maintenance Kit SRV66 Size 1-2 Inch (0,8 - 2,5 barg); Spirax Sarco; 6404141UA-1;")</f>
        <v>Sparepart Maintenance Kit SRV66 Size 1-2 Inch (0,8 - 2,5 barg); Spirax Sarco; 6404141UA-1;</v>
      </c>
      <c r="G361" s="3">
        <f>IFERROR(__xludf.DUMMYFUNCTION("""COMPUTED_VALUE"""),2.0)</f>
        <v>2</v>
      </c>
      <c r="H361" s="3" t="str">
        <f>IFERROR(__xludf.DUMMYFUNCTION("""COMPUTED_VALUE"""),"Pcs")</f>
        <v>Pcs</v>
      </c>
      <c r="I361" s="3" t="str">
        <f>IFERROR(__xludf.DUMMYFUNCTION("""COMPUTED_VALUE"""),"Bocor")</f>
        <v>Bocor</v>
      </c>
      <c r="J361" s="3" t="str">
        <f>IFERROR(__xludf.DUMMYFUNCTION("""COMPUTED_VALUE"""),"P-18965-00")</f>
        <v>P-18965-00</v>
      </c>
      <c r="K361" s="3" t="str">
        <f>IFERROR(__xludf.DUMMYFUNCTION("""COMPUTED_VALUE"""),"Approve")</f>
        <v>Approve</v>
      </c>
      <c r="L361" s="3" t="str">
        <f>IFERROR(__xludf.DUMMYFUNCTION("""COMPUTED_VALUE"""),"Normal")</f>
        <v>Normal</v>
      </c>
      <c r="M361" s="3" t="str">
        <f>IFERROR(__xludf.DUMMYFUNCTION("""COMPUTED_VALUE"""),"Non Urgent")</f>
        <v>Non Urgent</v>
      </c>
    </row>
    <row r="362">
      <c r="A362" s="4">
        <f>IFERROR(__xludf.DUMMYFUNCTION("""COMPUTED_VALUE"""),45888.93245704861)</f>
        <v>45888.93246</v>
      </c>
      <c r="B362" s="3" t="str">
        <f>IFERROR(__xludf.DUMMYFUNCTION("""COMPUTED_VALUE"""),"MOBRO0058")</f>
        <v>MOBRO0058</v>
      </c>
      <c r="C362" s="3" t="str">
        <f>IFERROR(__xludf.DUMMYFUNCTION("""COMPUTED_VALUE"""),"EJO")</f>
        <v>EJO</v>
      </c>
      <c r="D362" s="3" t="str">
        <f>IFERROR(__xludf.DUMMYFUNCTION("""COMPUTED_VALUE"""),"EJO/2025/08/148")</f>
        <v>EJO/2025/08/148</v>
      </c>
      <c r="E362" s="3" t="str">
        <f>IFERROR(__xludf.DUMMYFUNCTION("""COMPUTED_VALUE"""),"Building")</f>
        <v>Building</v>
      </c>
      <c r="F362" s="3" t="str">
        <f>IFERROR(__xludf.DUMMYFUNCTION("""COMPUTED_VALUE"""),"Kap Lampu TL RM 2X18 Watt")</f>
        <v>Kap Lampu TL RM 2X18 Watt</v>
      </c>
      <c r="G362" s="3">
        <f>IFERROR(__xludf.DUMMYFUNCTION("""COMPUTED_VALUE"""),2.0)</f>
        <v>2</v>
      </c>
      <c r="H362" s="3" t="str">
        <f>IFERROR(__xludf.DUMMYFUNCTION("""COMPUTED_VALUE"""),"Pcs")</f>
        <v>Pcs</v>
      </c>
      <c r="I362" s="3" t="str">
        <f>IFERROR(__xludf.DUMMYFUNCTION("""COMPUTED_VALUE"""),"Karat dan keropos")</f>
        <v>Karat dan keropos</v>
      </c>
      <c r="J362" s="3" t="str">
        <f>IFERROR(__xludf.DUMMYFUNCTION("""COMPUTED_VALUE"""),"Q-10570-00")</f>
        <v>Q-10570-00</v>
      </c>
      <c r="K362" s="3" t="str">
        <f>IFERROR(__xludf.DUMMYFUNCTION("""COMPUTED_VALUE"""),"Reject")</f>
        <v>Reject</v>
      </c>
      <c r="L362" s="3" t="str">
        <f>IFERROR(__xludf.DUMMYFUNCTION("""COMPUTED_VALUE"""),"Normal")</f>
        <v>Normal</v>
      </c>
      <c r="M362" s="3" t="str">
        <f>IFERROR(__xludf.DUMMYFUNCTION("""COMPUTED_VALUE"""),"Non Urgent")</f>
        <v>Non Urgent</v>
      </c>
    </row>
    <row r="363">
      <c r="A363" s="4">
        <f>IFERROR(__xludf.DUMMYFUNCTION("""COMPUTED_VALUE"""),45888.94392523148)</f>
        <v>45888.94393</v>
      </c>
      <c r="B363" s="3" t="str">
        <f>IFERROR(__xludf.DUMMYFUNCTION("""COMPUTED_VALUE"""),"MOBRO0059")</f>
        <v>MOBRO0059</v>
      </c>
      <c r="C363" s="3" t="str">
        <f>IFERROR(__xludf.DUMMYFUNCTION("""COMPUTED_VALUE"""),"MIn Stok")</f>
        <v>MIn Stok</v>
      </c>
      <c r="D363" s="3" t="str">
        <f>IFERROR(__xludf.DUMMYFUNCTION("""COMPUTED_VALUE"""),"-")</f>
        <v>-</v>
      </c>
      <c r="E363" s="3" t="str">
        <f>IFERROR(__xludf.DUMMYFUNCTION("""COMPUTED_VALUE"""),"AHU")</f>
        <v>AHU</v>
      </c>
      <c r="F363" s="3" t="str">
        <f>IFERROR(__xludf.DUMMYFUNCTION("""COMPUTED_VALUE"""),"Constan Air Volume EN 200x100 with Flow Scale 0-600 CMH; TROX; ;")</f>
        <v>Constan Air Volume EN 200x100 with Flow Scale 0-600 CMH; TROX; ;</v>
      </c>
      <c r="G363" s="3">
        <f>IFERROR(__xludf.DUMMYFUNCTION("""COMPUTED_VALUE"""),4.0)</f>
        <v>4</v>
      </c>
      <c r="H363" s="3" t="str">
        <f>IFERROR(__xludf.DUMMYFUNCTION("""COMPUTED_VALUE"""),"Pcs")</f>
        <v>Pcs</v>
      </c>
      <c r="I363" s="3" t="str">
        <f>IFERROR(__xludf.DUMMYFUNCTION("""COMPUTED_VALUE"""),"Spare CAV macet (REJECT BY MFH KARENA SPEK DARI TROX TIDAK MATCH DENGAN KEBUTUHAN, SILAHKAN REVIEW ULANG)")</f>
        <v>Spare CAV macet (REJECT BY MFH KARENA SPEK DARI TROX TIDAK MATCH DENGAN KEBUTUHAN, SILAHKAN REVIEW ULANG)</v>
      </c>
      <c r="J363" s="3" t="str">
        <f>IFERROR(__xludf.DUMMYFUNCTION("""COMPUTED_VALUE"""),"P-18546-00")</f>
        <v>P-18546-00</v>
      </c>
      <c r="K363" s="3" t="str">
        <f>IFERROR(__xludf.DUMMYFUNCTION("""COMPUTED_VALUE"""),"Reject")</f>
        <v>Reject</v>
      </c>
      <c r="L363" s="3" t="str">
        <f>IFERROR(__xludf.DUMMYFUNCTION("""COMPUTED_VALUE"""),"Normal")</f>
        <v>Normal</v>
      </c>
      <c r="M363" s="3" t="str">
        <f>IFERROR(__xludf.DUMMYFUNCTION("""COMPUTED_VALUE"""),"Non Urgent")</f>
        <v>Non Urgent</v>
      </c>
    </row>
    <row r="364">
      <c r="A364" s="4">
        <f>IFERROR(__xludf.DUMMYFUNCTION("""COMPUTED_VALUE"""),45889.52683224537)</f>
        <v>45889.52683</v>
      </c>
      <c r="B364" s="3" t="str">
        <f>IFERROR(__xludf.DUMMYFUNCTION("""COMPUTED_VALUE"""),"RIARO0050")</f>
        <v>RIARO0050</v>
      </c>
      <c r="C364" s="3" t="str">
        <f>IFERROR(__xludf.DUMMYFUNCTION("""COMPUTED_VALUE"""),"MIn Stok")</f>
        <v>MIn Stok</v>
      </c>
      <c r="D364" s="3" t="str">
        <f>IFERROR(__xludf.DUMMYFUNCTION("""COMPUTED_VALUE"""),"-")</f>
        <v>-</v>
      </c>
      <c r="E364" s="3" t="str">
        <f>IFERROR(__xludf.DUMMYFUNCTION("""COMPUTED_VALUE"""),"UPS 20KVA")</f>
        <v>UPS 20KVA</v>
      </c>
      <c r="F364" s="3" t="str">
        <f>IFERROR(__xludf.DUMMYFUNCTION("""COMPUTED_VALUE"""),"General - Accu NP9-12, Baterai Kering, 12 V, 9 Ah; Yuasa; -; 1 pcs")</f>
        <v>General - Accu NP9-12, Baterai Kering, 12 V, 9 Ah; Yuasa; -; 1 pcs</v>
      </c>
      <c r="G364" s="3">
        <f>IFERROR(__xludf.DUMMYFUNCTION("""COMPUTED_VALUE"""),32.0)</f>
        <v>32</v>
      </c>
      <c r="H364" s="3" t="str">
        <f>IFERROR(__xludf.DUMMYFUNCTION("""COMPUTED_VALUE"""),"Pcs")</f>
        <v>Pcs</v>
      </c>
      <c r="I364" s="3" t="str">
        <f>IFERROR(__xludf.DUMMYFUNCTION("""COMPUTED_VALUE"""),"Untuk spare jika terjadi apa2 dan untuk jaga2 buat PM tahun depan. Boleh diproses dari sekarang biar tidak mendadak.")</f>
        <v>Untuk spare jika terjadi apa2 dan untuk jaga2 buat PM tahun depan. Boleh diproses dari sekarang biar tidak mendadak.</v>
      </c>
      <c r="J364" s="3" t="str">
        <f>IFERROR(__xludf.DUMMYFUNCTION("""COMPUTED_VALUE"""),"P-50140-00")</f>
        <v>P-50140-00</v>
      </c>
      <c r="K364" s="3" t="str">
        <f>IFERROR(__xludf.DUMMYFUNCTION("""COMPUTED_VALUE"""),"Approve")</f>
        <v>Approve</v>
      </c>
      <c r="L364" s="3" t="str">
        <f>IFERROR(__xludf.DUMMYFUNCTION("""COMPUTED_VALUE"""),"Normal")</f>
        <v>Normal</v>
      </c>
      <c r="M364" s="3" t="str">
        <f>IFERROR(__xludf.DUMMYFUNCTION("""COMPUTED_VALUE"""),"Non Urgent")</f>
        <v>Non Urgent</v>
      </c>
    </row>
    <row r="365">
      <c r="A365" s="4">
        <f>IFERROR(__xludf.DUMMYFUNCTION("""COMPUTED_VALUE"""),45890.59899346065)</f>
        <v>45890.59899</v>
      </c>
      <c r="B365" s="3" t="str">
        <f>IFERROR(__xludf.DUMMYFUNCTION("""COMPUTED_VALUE"""),"MRNRO0031")</f>
        <v>MRNRO0031</v>
      </c>
      <c r="C365" s="3" t="str">
        <f>IFERROR(__xludf.DUMMYFUNCTION("""COMPUTED_VALUE"""),"EJO")</f>
        <v>EJO</v>
      </c>
      <c r="D365" s="3" t="str">
        <f>IFERROR(__xludf.DUMMYFUNCTION("""COMPUTED_VALUE"""),"EJO/2025/01/13")</f>
        <v>EJO/2025/01/13</v>
      </c>
      <c r="E365" s="3" t="str">
        <f>IFERROR(__xludf.DUMMYFUNCTION("""COMPUTED_VALUE"""),"Pipa chiller")</f>
        <v>Pipa chiller</v>
      </c>
      <c r="F365" s="3" t="str">
        <f>IFERROR(__xludf.DUMMYFUNCTION("""COMPUTED_VALUE"""),"LEM, K-FLEX, 1 CAN : 2.6LTR")</f>
        <v>LEM, K-FLEX, 1 CAN : 2.6LTR</v>
      </c>
      <c r="G365" s="3">
        <f>IFERROR(__xludf.DUMMYFUNCTION("""COMPUTED_VALUE"""),2.0)</f>
        <v>2</v>
      </c>
      <c r="H365" s="3" t="str">
        <f>IFERROR(__xludf.DUMMYFUNCTION("""COMPUTED_VALUE"""),"pcs")</f>
        <v>pcs</v>
      </c>
      <c r="I365" s="3" t="str">
        <f>IFERROR(__xludf.DUMMYFUNCTION("""COMPUTED_VALUE"""),"Buat ducting dan pipa chiller")</f>
        <v>Buat ducting dan pipa chiller</v>
      </c>
      <c r="J365" s="3" t="str">
        <f>IFERROR(__xludf.DUMMYFUNCTION("""COMPUTED_VALUE"""),"P-15860-00")</f>
        <v>P-15860-00</v>
      </c>
      <c r="K365" s="3" t="str">
        <f>IFERROR(__xludf.DUMMYFUNCTION("""COMPUTED_VALUE"""),"Approve")</f>
        <v>Approve</v>
      </c>
      <c r="L365" s="3" t="str">
        <f>IFERROR(__xludf.DUMMYFUNCTION("""COMPUTED_VALUE"""),"Normal")</f>
        <v>Normal</v>
      </c>
      <c r="M365" s="3" t="str">
        <f>IFERROR(__xludf.DUMMYFUNCTION("""COMPUTED_VALUE"""),"Non Urgent")</f>
        <v>Non Urgent</v>
      </c>
    </row>
    <row r="366">
      <c r="A366" s="4">
        <f>IFERROR(__xludf.DUMMYFUNCTION("""COMPUTED_VALUE"""),45890.60302190972)</f>
        <v>45890.60302</v>
      </c>
      <c r="B366" s="3" t="str">
        <f>IFERROR(__xludf.DUMMYFUNCTION("""COMPUTED_VALUE"""),"MRNRO0032")</f>
        <v>MRNRO0032</v>
      </c>
      <c r="C366" s="3" t="str">
        <f>IFERROR(__xludf.DUMMYFUNCTION("""COMPUTED_VALUE"""),"EJO")</f>
        <v>EJO</v>
      </c>
      <c r="D366" s="3" t="str">
        <f>IFERROR(__xludf.DUMMYFUNCTION("""COMPUTED_VALUE"""),"EJO/2025/01/13")</f>
        <v>EJO/2025/01/13</v>
      </c>
      <c r="E366" s="3" t="str">
        <f>IFERROR(__xludf.DUMMYFUNCTION("""COMPUTED_VALUE"""),"Pipa chiller")</f>
        <v>Pipa chiller</v>
      </c>
      <c r="F366" s="3" t="str">
        <f>IFERROR(__xludf.DUMMYFUNCTION("""COMPUTED_VALUE"""),"LEM ISOLASI, ARMAFLEX, 1 CAN")</f>
        <v>LEM ISOLASI, ARMAFLEX, 1 CAN</v>
      </c>
      <c r="G366" s="3">
        <f>IFERROR(__xludf.DUMMYFUNCTION("""COMPUTED_VALUE"""),2.0)</f>
        <v>2</v>
      </c>
      <c r="H366" s="3" t="str">
        <f>IFERROR(__xludf.DUMMYFUNCTION("""COMPUTED_VALUE"""),"pcs")</f>
        <v>pcs</v>
      </c>
      <c r="I366" s="3" t="str">
        <f>IFERROR(__xludf.DUMMYFUNCTION("""COMPUTED_VALUE"""),"Buat ducting dan pipa chiller")</f>
        <v>Buat ducting dan pipa chiller</v>
      </c>
      <c r="J366" s="3" t="str">
        <f>IFERROR(__xludf.DUMMYFUNCTION("""COMPUTED_VALUE"""),"P-15858-00")</f>
        <v>P-15858-00</v>
      </c>
      <c r="K366" s="3" t="str">
        <f>IFERROR(__xludf.DUMMYFUNCTION("""COMPUTED_VALUE"""),"Approve")</f>
        <v>Approve</v>
      </c>
      <c r="L366" s="3" t="str">
        <f>IFERROR(__xludf.DUMMYFUNCTION("""COMPUTED_VALUE"""),"Normal")</f>
        <v>Normal</v>
      </c>
      <c r="M366" s="3" t="str">
        <f>IFERROR(__xludf.DUMMYFUNCTION("""COMPUTED_VALUE"""),"Non Urgent")</f>
        <v>Non Urgent</v>
      </c>
    </row>
    <row r="367">
      <c r="A367" s="4">
        <f>IFERROR(__xludf.DUMMYFUNCTION("""COMPUTED_VALUE"""),45894.66047828704)</f>
        <v>45894.66048</v>
      </c>
      <c r="B367" s="3" t="str">
        <f>IFERROR(__xludf.DUMMYFUNCTION("""COMPUTED_VALUE"""),"SFHRO0014")</f>
        <v>SFHRO0014</v>
      </c>
      <c r="C367" s="3" t="str">
        <f>IFERROR(__xludf.DUMMYFUNCTION("""COMPUTED_VALUE"""),"EJO")</f>
        <v>EJO</v>
      </c>
      <c r="D367" s="3" t="str">
        <f>IFERROR(__xludf.DUMMYFUNCTION("""COMPUTED_VALUE"""),"EJO/2025/08/42")</f>
        <v>EJO/2025/08/42</v>
      </c>
      <c r="E367" s="3" t="str">
        <f>IFERROR(__xludf.DUMMYFUNCTION("""COMPUTED_VALUE"""),"lantai 1")</f>
        <v>lantai 1</v>
      </c>
      <c r="F367" s="3" t="str">
        <f>IFERROR(__xludf.DUMMYFUNCTION("""COMPUTED_VALUE"""),"Kaca Cermin; Lokal; Ukuran custom; pack size per pcs")</f>
        <v>Kaca Cermin; Lokal; Ukuran custom; pack size per pcs</v>
      </c>
      <c r="G367" s="3">
        <f>IFERROR(__xludf.DUMMYFUNCTION("""COMPUTED_VALUE"""),2.0)</f>
        <v>2</v>
      </c>
      <c r="H367" s="3" t="str">
        <f>IFERROR(__xludf.DUMMYFUNCTION("""COMPUTED_VALUE"""),"pcs")</f>
        <v>pcs</v>
      </c>
      <c r="I367" s="3" t="str">
        <f>IFERROR(__xludf.DUMMYFUNCTION("""COMPUTED_VALUE"""),"-")</f>
        <v>-</v>
      </c>
      <c r="J367" s="3" t="str">
        <f>IFERROR(__xludf.DUMMYFUNCTION("""COMPUTED_VALUE"""),"Q-10528-00")</f>
        <v>Q-10528-00</v>
      </c>
      <c r="K367" s="3" t="str">
        <f>IFERROR(__xludf.DUMMYFUNCTION("""COMPUTED_VALUE"""),"Approve")</f>
        <v>Approve</v>
      </c>
      <c r="L367" s="3" t="str">
        <f>IFERROR(__xludf.DUMMYFUNCTION("""COMPUTED_VALUE"""),"Normal")</f>
        <v>Normal</v>
      </c>
      <c r="M367" s="3" t="str">
        <f>IFERROR(__xludf.DUMMYFUNCTION("""COMPUTED_VALUE"""),"Non Urgent")</f>
        <v>Non Urgent</v>
      </c>
    </row>
    <row r="368">
      <c r="A368" s="4">
        <f>IFERROR(__xludf.DUMMYFUNCTION("""COMPUTED_VALUE"""),45896.63074824074)</f>
        <v>45896.63075</v>
      </c>
      <c r="B368" s="3" t="str">
        <f>IFERROR(__xludf.DUMMYFUNCTION("""COMPUTED_VALUE"""),"SFHRO0015")</f>
        <v>SFHRO0015</v>
      </c>
      <c r="C368" s="3" t="str">
        <f>IFERROR(__xludf.DUMMYFUNCTION("""COMPUTED_VALUE"""),"Consumable")</f>
        <v>Consumable</v>
      </c>
      <c r="D368" s="3" t="str">
        <f>IFERROR(__xludf.DUMMYFUNCTION("""COMPUTED_VALUE"""),"-")</f>
        <v>-</v>
      </c>
      <c r="E368" s="3" t="str">
        <f>IFERROR(__xludf.DUMMYFUNCTION("""COMPUTED_VALUE"""),"lantai 2")</f>
        <v>lantai 2</v>
      </c>
      <c r="F368" s="3" t="str">
        <f>IFERROR(__xludf.DUMMYFUNCTION("""COMPUTED_VALUE"""),"Polyurethane (PU) Foam Sealent Spray; No Brand; LX-100; pack size 750 ml per botol")</f>
        <v>Polyurethane (PU) Foam Sealent Spray; No Brand; LX-100; pack size 750 ml per botol</v>
      </c>
      <c r="G368" s="3">
        <f>IFERROR(__xludf.DUMMYFUNCTION("""COMPUTED_VALUE"""),50.0)</f>
        <v>50</v>
      </c>
      <c r="H368" s="3" t="str">
        <f>IFERROR(__xludf.DUMMYFUNCTION("""COMPUTED_VALUE"""),"pcs")</f>
        <v>pcs</v>
      </c>
      <c r="I368" s="3" t="str">
        <f>IFERROR(__xludf.DUMMYFUNCTION("""COMPUTED_VALUE"""),"-")</f>
        <v>-</v>
      </c>
      <c r="J368" s="3" t="str">
        <f>IFERROR(__xludf.DUMMYFUNCTION("""COMPUTED_VALUE"""),"Q-12060-00")</f>
        <v>Q-12060-00</v>
      </c>
      <c r="K368" s="3" t="str">
        <f>IFERROR(__xludf.DUMMYFUNCTION("""COMPUTED_VALUE"""),"Reject")</f>
        <v>Reject</v>
      </c>
      <c r="L368" s="3" t="str">
        <f>IFERROR(__xludf.DUMMYFUNCTION("""COMPUTED_VALUE"""),"Normal")</f>
        <v>Normal</v>
      </c>
      <c r="M368" s="3" t="str">
        <f>IFERROR(__xludf.DUMMYFUNCTION("""COMPUTED_VALUE"""),"Non Urgent")</f>
        <v>Non Urgent</v>
      </c>
    </row>
    <row r="369">
      <c r="A369" s="4">
        <f>IFERROR(__xludf.DUMMYFUNCTION("""COMPUTED_VALUE"""),45896.67039060185)</f>
        <v>45896.67039</v>
      </c>
      <c r="B369" s="3" t="str">
        <f>IFERROR(__xludf.DUMMYFUNCTION("""COMPUTED_VALUE"""),"SFHRO0016")</f>
        <v>SFHRO0016</v>
      </c>
      <c r="C369" s="3" t="str">
        <f>IFERROR(__xludf.DUMMYFUNCTION("""COMPUTED_VALUE"""),"Consumable")</f>
        <v>Consumable</v>
      </c>
      <c r="D369" s="3" t="str">
        <f>IFERROR(__xludf.DUMMYFUNCTION("""COMPUTED_VALUE"""),"-")</f>
        <v>-</v>
      </c>
      <c r="E369" s="3" t="str">
        <f>IFERROR(__xludf.DUMMYFUNCTION("""COMPUTED_VALUE"""),"lantai 2")</f>
        <v>lantai 2</v>
      </c>
      <c r="F369" s="3" t="str">
        <f>IFERROR(__xludf.DUMMYFUNCTION("""COMPUTED_VALUE"""),"Polyurethane (PU) Foam Sealent Spray; No Brand; LX-100; pack size 750 ml per botol")</f>
        <v>Polyurethane (PU) Foam Sealent Spray; No Brand; LX-100; pack size 750 ml per botol</v>
      </c>
      <c r="G369" s="3">
        <f>IFERROR(__xludf.DUMMYFUNCTION("""COMPUTED_VALUE"""),50.0)</f>
        <v>50</v>
      </c>
      <c r="H369" s="3" t="str">
        <f>IFERROR(__xludf.DUMMYFUNCTION("""COMPUTED_VALUE"""),"pcs")</f>
        <v>pcs</v>
      </c>
      <c r="I369" s="3" t="str">
        <f>IFERROR(__xludf.DUMMYFUNCTION("""COMPUTED_VALUE"""),"-")</f>
        <v>-</v>
      </c>
      <c r="J369" s="3" t="str">
        <f>IFERROR(__xludf.DUMMYFUNCTION("""COMPUTED_VALUE"""),"Q-12060-00")</f>
        <v>Q-12060-00</v>
      </c>
      <c r="K369" s="3" t="str">
        <f>IFERROR(__xludf.DUMMYFUNCTION("""COMPUTED_VALUE"""),"Approve")</f>
        <v>Approve</v>
      </c>
      <c r="L369" s="3" t="str">
        <f>IFERROR(__xludf.DUMMYFUNCTION("""COMPUTED_VALUE"""),"Normal")</f>
        <v>Normal</v>
      </c>
      <c r="M369" s="3" t="str">
        <f>IFERROR(__xludf.DUMMYFUNCTION("""COMPUTED_VALUE"""),"Non Urgent")</f>
        <v>Non Urgent</v>
      </c>
    </row>
    <row r="370">
      <c r="A370" s="4">
        <f>IFERROR(__xludf.DUMMYFUNCTION("""COMPUTED_VALUE"""),45898.39283141204)</f>
        <v>45898.39283</v>
      </c>
      <c r="B370" s="3" t="str">
        <f>IFERROR(__xludf.DUMMYFUNCTION("""COMPUTED_VALUE"""),"MOBRO0060")</f>
        <v>MOBRO0060</v>
      </c>
      <c r="C370" s="3" t="str">
        <f>IFERROR(__xludf.DUMMYFUNCTION("""COMPUTED_VALUE"""),"Consumable")</f>
        <v>Consumable</v>
      </c>
      <c r="D370" s="3" t="str">
        <f>IFERROR(__xludf.DUMMYFUNCTION("""COMPUTED_VALUE"""),"-")</f>
        <v>-</v>
      </c>
      <c r="E370" s="3" t="str">
        <f>IFERROR(__xludf.DUMMYFUNCTION("""COMPUTED_VALUE"""),"Water System")</f>
        <v>Water System</v>
      </c>
      <c r="F370" s="3" t="str">
        <f>IFERROR(__xludf.DUMMYFUNCTION("""COMPUTED_VALUE"""),"PAPER RECORD YOKOGAWA; FOLDING CHART B9565AW")</f>
        <v>PAPER RECORD YOKOGAWA; FOLDING CHART B9565AW</v>
      </c>
      <c r="G370" s="3">
        <f>IFERROR(__xludf.DUMMYFUNCTION("""COMPUTED_VALUE"""),10.0)</f>
        <v>10</v>
      </c>
      <c r="H370" s="3" t="str">
        <f>IFERROR(__xludf.DUMMYFUNCTION("""COMPUTED_VALUE"""),"Pcs")</f>
        <v>Pcs</v>
      </c>
      <c r="I370" s="3" t="str">
        <f>IFERROR(__xludf.DUMMYFUNCTION("""COMPUTED_VALUE"""),"Habis")</f>
        <v>Habis</v>
      </c>
      <c r="J370" s="3" t="str">
        <f>IFERROR(__xludf.DUMMYFUNCTION("""COMPUTED_VALUE"""),"P-15862-00")</f>
        <v>P-15862-00</v>
      </c>
      <c r="K370" s="3" t="str">
        <f>IFERROR(__xludf.DUMMYFUNCTION("""COMPUTED_VALUE"""),"Approve")</f>
        <v>Approve</v>
      </c>
      <c r="L370" s="3" t="str">
        <f>IFERROR(__xludf.DUMMYFUNCTION("""COMPUTED_VALUE"""),"Normal")</f>
        <v>Normal</v>
      </c>
      <c r="M370" s="3" t="str">
        <f>IFERROR(__xludf.DUMMYFUNCTION("""COMPUTED_VALUE"""),"Non Urgent")</f>
        <v>Non Urgent</v>
      </c>
    </row>
    <row r="371">
      <c r="A371" s="4">
        <f>IFERROR(__xludf.DUMMYFUNCTION("""COMPUTED_VALUE"""),45900.92435456018)</f>
        <v>45900.92435</v>
      </c>
      <c r="B371" s="3" t="str">
        <f>IFERROR(__xludf.DUMMYFUNCTION("""COMPUTED_VALUE"""),"NDSRO0006")</f>
        <v>NDSRO0006</v>
      </c>
      <c r="C371" s="3" t="str">
        <f>IFERROR(__xludf.DUMMYFUNCTION("""COMPUTED_VALUE"""),"MIn Stok")</f>
        <v>MIn Stok</v>
      </c>
      <c r="D371" s="3" t="str">
        <f>IFERROR(__xludf.DUMMYFUNCTION("""COMPUTED_VALUE"""),"-")</f>
        <v>-</v>
      </c>
      <c r="E371" s="3" t="str">
        <f>IFERROR(__xludf.DUMMYFUNCTION("""COMPUTED_VALUE"""),"ms30")</f>
        <v>ms30</v>
      </c>
      <c r="F371" s="3" t="str">
        <f>IFERROR(__xludf.DUMMYFUNCTION("""COMPUTED_VALUE"""),"Seidenader MS30 - Reflection Light Scanner p/n:41-057703-00")</f>
        <v>Seidenader MS30 - Reflection Light Scanner p/n:41-057703-00</v>
      </c>
      <c r="G371" s="3">
        <f>IFERROR(__xludf.DUMMYFUNCTION("""COMPUTED_VALUE"""),1.0)</f>
        <v>1</v>
      </c>
      <c r="H371" s="3" t="str">
        <f>IFERROR(__xludf.DUMMYFUNCTION("""COMPUTED_VALUE"""),"Pcs")</f>
        <v>Pcs</v>
      </c>
      <c r="I371" s="3" t="str">
        <f>IFERROR(__xludf.DUMMYFUNCTION("""COMPUTED_VALUE"""),"-")</f>
        <v>-</v>
      </c>
      <c r="J371" s="3" t="str">
        <f>IFERROR(__xludf.DUMMYFUNCTION("""COMPUTED_VALUE"""),"O-52050-00")</f>
        <v>O-52050-00</v>
      </c>
      <c r="K371" s="3" t="str">
        <f>IFERROR(__xludf.DUMMYFUNCTION("""COMPUTED_VALUE"""),"Reject")</f>
        <v>Reject</v>
      </c>
      <c r="L371" s="3" t="str">
        <f>IFERROR(__xludf.DUMMYFUNCTION("""COMPUTED_VALUE"""),"Normal")</f>
        <v>Normal</v>
      </c>
      <c r="M371" s="3" t="str">
        <f>IFERROR(__xludf.DUMMYFUNCTION("""COMPUTED_VALUE"""),"Non Urgent")</f>
        <v>Non Urgent</v>
      </c>
    </row>
    <row r="372">
      <c r="A372" s="4">
        <f>IFERROR(__xludf.DUMMYFUNCTION("""COMPUTED_VALUE"""),45901.50169790509)</f>
        <v>45901.5017</v>
      </c>
      <c r="B372" s="3" t="str">
        <f>IFERROR(__xludf.DUMMYFUNCTION("""COMPUTED_VALUE"""),"SFHRO0017")</f>
        <v>SFHRO0017</v>
      </c>
      <c r="C372" s="3" t="str">
        <f>IFERROR(__xludf.DUMMYFUNCTION("""COMPUTED_VALUE"""),"Consumable")</f>
        <v>Consumable</v>
      </c>
      <c r="D372" s="3" t="str">
        <f>IFERROR(__xludf.DUMMYFUNCTION("""COMPUTED_VALUE"""),"-")</f>
        <v>-</v>
      </c>
      <c r="E372" s="3" t="str">
        <f>IFERROR(__xludf.DUMMYFUNCTION("""COMPUTED_VALUE"""),"lantai 2")</f>
        <v>lantai 2</v>
      </c>
      <c r="F372" s="3" t="str">
        <f>IFERROR(__xludf.DUMMYFUNCTION("""COMPUTED_VALUE"""),"Silicone Sealant;Silglaze;Type N10 Light Grey;pack size per pcs")</f>
        <v>Silicone Sealant;Silglaze;Type N10 Light Grey;pack size per pcs</v>
      </c>
      <c r="G372" s="3">
        <f>IFERROR(__xludf.DUMMYFUNCTION("""COMPUTED_VALUE"""),10.0)</f>
        <v>10</v>
      </c>
      <c r="H372" s="3" t="str">
        <f>IFERROR(__xludf.DUMMYFUNCTION("""COMPUTED_VALUE"""),"pcs")</f>
        <v>pcs</v>
      </c>
      <c r="I372" s="3" t="str">
        <f>IFERROR(__xludf.DUMMYFUNCTION("""COMPUTED_VALUE"""),"-")</f>
        <v>-</v>
      </c>
      <c r="J372" s="3" t="str">
        <f>IFERROR(__xludf.DUMMYFUNCTION("""COMPUTED_VALUE"""),"Q-10946-00")</f>
        <v>Q-10946-00</v>
      </c>
      <c r="K372" s="3" t="str">
        <f>IFERROR(__xludf.DUMMYFUNCTION("""COMPUTED_VALUE"""),"Approve")</f>
        <v>Approve</v>
      </c>
      <c r="L372" s="3" t="str">
        <f>IFERROR(__xludf.DUMMYFUNCTION("""COMPUTED_VALUE"""),"Normal")</f>
        <v>Normal</v>
      </c>
      <c r="M372" s="3" t="str">
        <f>IFERROR(__xludf.DUMMYFUNCTION("""COMPUTED_VALUE"""),"Non Urgent")</f>
        <v>Non Urgent</v>
      </c>
    </row>
    <row r="373">
      <c r="A373" s="4">
        <f>IFERROR(__xludf.DUMMYFUNCTION("""COMPUTED_VALUE"""),45901.50193063657)</f>
        <v>45901.50193</v>
      </c>
      <c r="B373" s="3" t="str">
        <f>IFERROR(__xludf.DUMMYFUNCTION("""COMPUTED_VALUE"""),"SFHRO0018")</f>
        <v>SFHRO0018</v>
      </c>
      <c r="C373" s="3" t="str">
        <f>IFERROR(__xludf.DUMMYFUNCTION("""COMPUTED_VALUE"""),"Consumable")</f>
        <v>Consumable</v>
      </c>
      <c r="D373" s="3" t="str">
        <f>IFERROR(__xludf.DUMMYFUNCTION("""COMPUTED_VALUE"""),"-")</f>
        <v>-</v>
      </c>
      <c r="E373" s="3" t="str">
        <f>IFERROR(__xludf.DUMMYFUNCTION("""COMPUTED_VALUE"""),"lantai 2")</f>
        <v>lantai 2</v>
      </c>
      <c r="F373" s="3" t="str">
        <f>IFERROR(__xludf.DUMMYFUNCTION("""COMPUTED_VALUE"""),"Silicone Sealant, Silglaze, Type N10 Grey, pack size per pcs")</f>
        <v>Silicone Sealant, Silglaze, Type N10 Grey, pack size per pcs</v>
      </c>
      <c r="G373" s="3">
        <f>IFERROR(__xludf.DUMMYFUNCTION("""COMPUTED_VALUE"""),10.0)</f>
        <v>10</v>
      </c>
      <c r="H373" s="3" t="str">
        <f>IFERROR(__xludf.DUMMYFUNCTION("""COMPUTED_VALUE"""),"pcs")</f>
        <v>pcs</v>
      </c>
      <c r="I373" s="3" t="str">
        <f>IFERROR(__xludf.DUMMYFUNCTION("""COMPUTED_VALUE"""),"-")</f>
        <v>-</v>
      </c>
      <c r="J373" s="3" t="str">
        <f>IFERROR(__xludf.DUMMYFUNCTION("""COMPUTED_VALUE"""),"Q-60500-00")</f>
        <v>Q-60500-00</v>
      </c>
      <c r="K373" s="3" t="str">
        <f>IFERROR(__xludf.DUMMYFUNCTION("""COMPUTED_VALUE"""),"Approve")</f>
        <v>Approve</v>
      </c>
      <c r="L373" s="3" t="str">
        <f>IFERROR(__xludf.DUMMYFUNCTION("""COMPUTED_VALUE"""),"Normal")</f>
        <v>Normal</v>
      </c>
      <c r="M373" s="3" t="str">
        <f>IFERROR(__xludf.DUMMYFUNCTION("""COMPUTED_VALUE"""),"Non Urgent")</f>
        <v>Non Urgent</v>
      </c>
    </row>
    <row r="374">
      <c r="A374" s="4">
        <f>IFERROR(__xludf.DUMMYFUNCTION("""COMPUTED_VALUE"""),45901.50270204861)</f>
        <v>45901.5027</v>
      </c>
      <c r="B374" s="3" t="str">
        <f>IFERROR(__xludf.DUMMYFUNCTION("""COMPUTED_VALUE"""),"SFHRO0019")</f>
        <v>SFHRO0019</v>
      </c>
      <c r="C374" s="3" t="str">
        <f>IFERROR(__xludf.DUMMYFUNCTION("""COMPUTED_VALUE"""),"Consumable")</f>
        <v>Consumable</v>
      </c>
      <c r="D374" s="3" t="str">
        <f>IFERROR(__xludf.DUMMYFUNCTION("""COMPUTED_VALUE"""),"-")</f>
        <v>-</v>
      </c>
      <c r="E374" s="3" t="str">
        <f>IFERROR(__xludf.DUMMYFUNCTION("""COMPUTED_VALUE"""),"lantai 2")</f>
        <v>lantai 2</v>
      </c>
      <c r="F374" s="3" t="str">
        <f>IFERROR(__xludf.DUMMYFUNCTION("""COMPUTED_VALUE"""),"Kuas Cat Uk. 1 inch;Eterna;Tipe 611;pack size per pcs")</f>
        <v>Kuas Cat Uk. 1 inch;Eterna;Tipe 611;pack size per pcs</v>
      </c>
      <c r="G374" s="3">
        <f>IFERROR(__xludf.DUMMYFUNCTION("""COMPUTED_VALUE"""),10.0)</f>
        <v>10</v>
      </c>
      <c r="H374" s="3" t="str">
        <f>IFERROR(__xludf.DUMMYFUNCTION("""COMPUTED_VALUE"""),"pcs")</f>
        <v>pcs</v>
      </c>
      <c r="I374" s="3" t="str">
        <f>IFERROR(__xludf.DUMMYFUNCTION("""COMPUTED_VALUE"""),"-")</f>
        <v>-</v>
      </c>
      <c r="J374" s="3" t="str">
        <f>IFERROR(__xludf.DUMMYFUNCTION("""COMPUTED_VALUE"""),"Q-60025-00")</f>
        <v>Q-60025-00</v>
      </c>
      <c r="K374" s="3" t="str">
        <f>IFERROR(__xludf.DUMMYFUNCTION("""COMPUTED_VALUE"""),"Approve")</f>
        <v>Approve</v>
      </c>
      <c r="L374" s="3" t="str">
        <f>IFERROR(__xludf.DUMMYFUNCTION("""COMPUTED_VALUE"""),"Normal")</f>
        <v>Normal</v>
      </c>
      <c r="M374" s="3" t="str">
        <f>IFERROR(__xludf.DUMMYFUNCTION("""COMPUTED_VALUE"""),"Non Urgent")</f>
        <v>Non Urgent</v>
      </c>
    </row>
    <row r="375">
      <c r="A375" s="4">
        <f>IFERROR(__xludf.DUMMYFUNCTION("""COMPUTED_VALUE"""),45903.62681039352)</f>
        <v>45903.62681</v>
      </c>
      <c r="B375" s="3" t="str">
        <f>IFERROR(__xludf.DUMMYFUNCTION("""COMPUTED_VALUE"""),"NDSRO0007")</f>
        <v>NDSRO0007</v>
      </c>
      <c r="C375" s="3" t="str">
        <f>IFERROR(__xludf.DUMMYFUNCTION("""COMPUTED_VALUE"""),"MIn Stok")</f>
        <v>MIn Stok</v>
      </c>
      <c r="D375" s="3" t="str">
        <f>IFERROR(__xludf.DUMMYFUNCTION("""COMPUTED_VALUE"""),"-")</f>
        <v>-</v>
      </c>
      <c r="E375" s="3" t="str">
        <f>IFERROR(__xludf.DUMMYFUNCTION("""COMPUTED_VALUE"""),"HPLC")</f>
        <v>HPLC</v>
      </c>
      <c r="F375" s="3" t="str">
        <f>IFERROR(__xludf.DUMMYFUNCTION("""COMPUTED_VALUE"""),"Performance Plus Check Valve Housing; Waters; 700002332;")</f>
        <v>Performance Plus Check Valve Housing; Waters; 700002332;</v>
      </c>
      <c r="G375" s="3">
        <f>IFERROR(__xludf.DUMMYFUNCTION("""COMPUTED_VALUE"""),3.0)</f>
        <v>3</v>
      </c>
      <c r="H375" s="3" t="str">
        <f>IFERROR(__xludf.DUMMYFUNCTION("""COMPUTED_VALUE"""),"PCS")</f>
        <v>PCS</v>
      </c>
      <c r="I375" s="3" t="str">
        <f>IFERROR(__xludf.DUMMYFUNCTION("""COMPUTED_VALUE"""),"-")</f>
        <v>-</v>
      </c>
      <c r="J375" s="3" t="str">
        <f>IFERROR(__xludf.DUMMYFUNCTION("""COMPUTED_VALUE"""),"T-20725-00")</f>
        <v>T-20725-00</v>
      </c>
      <c r="K375" s="3" t="str">
        <f>IFERROR(__xludf.DUMMYFUNCTION("""COMPUTED_VALUE"""),"Approve")</f>
        <v>Approve</v>
      </c>
      <c r="L375" s="3" t="str">
        <f>IFERROR(__xludf.DUMMYFUNCTION("""COMPUTED_VALUE"""),"Normal")</f>
        <v>Normal</v>
      </c>
      <c r="M375" s="3" t="str">
        <f>IFERROR(__xludf.DUMMYFUNCTION("""COMPUTED_VALUE"""),"Non Urgent")</f>
        <v>Non Urgent</v>
      </c>
    </row>
    <row r="376">
      <c r="A376" s="4">
        <f>IFERROR(__xludf.DUMMYFUNCTION("""COMPUTED_VALUE"""),45910.79408479167)</f>
        <v>45910.79408</v>
      </c>
      <c r="B376" s="3" t="str">
        <f>IFERROR(__xludf.DUMMYFUNCTION("""COMPUTED_VALUE"""),"SFHRO0020")</f>
        <v>SFHRO0020</v>
      </c>
      <c r="C376" s="3" t="str">
        <f>IFERROR(__xludf.DUMMYFUNCTION("""COMPUTED_VALUE"""),"Consumable")</f>
        <v>Consumable</v>
      </c>
      <c r="D376" s="3" t="str">
        <f>IFERROR(__xludf.DUMMYFUNCTION("""COMPUTED_VALUE"""),"-")</f>
        <v>-</v>
      </c>
      <c r="E376" s="3" t="str">
        <f>IFERROR(__xludf.DUMMYFUNCTION("""COMPUTED_VALUE"""),"lantai 2")</f>
        <v>lantai 2</v>
      </c>
      <c r="F376" s="3" t="str">
        <f>IFERROR(__xludf.DUMMYFUNCTION("""COMPUTED_VALUE"""),"Sodium metabisulfit")</f>
        <v>Sodium metabisulfit</v>
      </c>
      <c r="G376" s="3">
        <f>IFERROR(__xludf.DUMMYFUNCTION("""COMPUTED_VALUE"""),5.0)</f>
        <v>5</v>
      </c>
      <c r="H376" s="3" t="str">
        <f>IFERROR(__xludf.DUMMYFUNCTION("""COMPUTED_VALUE"""),"sak")</f>
        <v>sak</v>
      </c>
      <c r="I376" s="3" t="str">
        <f>IFERROR(__xludf.DUMMYFUNCTION("""COMPUTED_VALUE"""),"stock habis")</f>
        <v>stock habis</v>
      </c>
      <c r="J376" s="3" t="str">
        <f>IFERROR(__xludf.DUMMYFUNCTION("""COMPUTED_VALUE"""),"P-12830-00")</f>
        <v>P-12830-00</v>
      </c>
      <c r="K376" s="3" t="str">
        <f>IFERROR(__xludf.DUMMYFUNCTION("""COMPUTED_VALUE"""),"Approve")</f>
        <v>Approve</v>
      </c>
      <c r="L376" s="3" t="str">
        <f>IFERROR(__xludf.DUMMYFUNCTION("""COMPUTED_VALUE"""),"Normal")</f>
        <v>Normal</v>
      </c>
      <c r="M376" s="3" t="str">
        <f>IFERROR(__xludf.DUMMYFUNCTION("""COMPUTED_VALUE"""),"Non Urgent")</f>
        <v>Non Urgent</v>
      </c>
    </row>
    <row r="377">
      <c r="A377" s="4">
        <f>IFERROR(__xludf.DUMMYFUNCTION("""COMPUTED_VALUE"""),45910.92617467592)</f>
        <v>45910.92617</v>
      </c>
      <c r="B377" s="3" t="str">
        <f>IFERROR(__xludf.DUMMYFUNCTION("""COMPUTED_VALUE"""),"MFHRO0178")</f>
        <v>MFHRO0178</v>
      </c>
      <c r="C377" s="3" t="str">
        <f>IFERROR(__xludf.DUMMYFUNCTION("""COMPUTED_VALUE"""),"Consumable")</f>
        <v>Consumable</v>
      </c>
      <c r="D377" s="3" t="str">
        <f>IFERROR(__xludf.DUMMYFUNCTION("""COMPUTED_VALUE"""),"-")</f>
        <v>-</v>
      </c>
      <c r="E377" s="3" t="str">
        <f>IFERROR(__xludf.DUMMYFUNCTION("""COMPUTED_VALUE"""),"General")</f>
        <v>General</v>
      </c>
      <c r="F377" s="3" t="str">
        <f>IFERROR(__xludf.DUMMYFUNCTION("""COMPUTED_VALUE"""),"Cellotape / Lakban Kertas 1 inch warna Putih ; No Brand ; pack size per pcs")</f>
        <v>Cellotape / Lakban Kertas 1 inch warna Putih ; No Brand ; pack size per pcs</v>
      </c>
      <c r="G377" s="3">
        <f>IFERROR(__xludf.DUMMYFUNCTION("""COMPUTED_VALUE"""),40.0)</f>
        <v>40</v>
      </c>
      <c r="H377" s="3" t="str">
        <f>IFERROR(__xludf.DUMMYFUNCTION("""COMPUTED_VALUE"""),"Pieces")</f>
        <v>Pieces</v>
      </c>
      <c r="I377" s="3" t="str">
        <f>IFERROR(__xludf.DUMMYFUNCTION("""COMPUTED_VALUE"""),"Consumable 121702671 2229")</f>
        <v>Consumable 121702671 2229</v>
      </c>
      <c r="J377" s="3" t="str">
        <f>IFERROR(__xludf.DUMMYFUNCTION("""COMPUTED_VALUE"""),"T-80109-00")</f>
        <v>T-80109-00</v>
      </c>
      <c r="K377" s="3" t="str">
        <f>IFERROR(__xludf.DUMMYFUNCTION("""COMPUTED_VALUE"""),"Approve")</f>
        <v>Approve</v>
      </c>
      <c r="L377" s="3" t="str">
        <f>IFERROR(__xludf.DUMMYFUNCTION("""COMPUTED_VALUE"""),"Normal")</f>
        <v>Normal</v>
      </c>
      <c r="M377" s="3" t="str">
        <f>IFERROR(__xludf.DUMMYFUNCTION("""COMPUTED_VALUE"""),"Non Urgent")</f>
        <v>Non Urgent</v>
      </c>
    </row>
    <row r="378">
      <c r="A378" s="4">
        <f>IFERROR(__xludf.DUMMYFUNCTION("""COMPUTED_VALUE"""),45910.93840724537)</f>
        <v>45910.93841</v>
      </c>
      <c r="B378" s="3" t="str">
        <f>IFERROR(__xludf.DUMMYFUNCTION("""COMPUTED_VALUE"""),"MFHRO0179")</f>
        <v>MFHRO0179</v>
      </c>
      <c r="C378" s="3" t="str">
        <f>IFERROR(__xludf.DUMMYFUNCTION("""COMPUTED_VALUE"""),"MIn Stok")</f>
        <v>MIn Stok</v>
      </c>
      <c r="D378" s="3" t="str">
        <f>IFERROR(__xludf.DUMMYFUNCTION("""COMPUTED_VALUE"""),"-")</f>
        <v>-</v>
      </c>
      <c r="E378" s="3" t="str">
        <f>IFERROR(__xludf.DUMMYFUNCTION("""COMPUTED_VALUE"""),"Capping")</f>
        <v>Capping</v>
      </c>
      <c r="F378" s="3" t="str">
        <f>IFERROR(__xludf.DUMMYFUNCTION("""COMPUTED_VALUE"""),"Capping VCM200 - Adjuster Screw Blade; ; ;")</f>
        <v>Capping VCM200 - Adjuster Screw Blade; ; ;</v>
      </c>
      <c r="G378" s="3">
        <f>IFERROR(__xludf.DUMMYFUNCTION("""COMPUTED_VALUE"""),1.0)</f>
        <v>1</v>
      </c>
      <c r="H378" s="3" t="str">
        <f>IFERROR(__xludf.DUMMYFUNCTION("""COMPUTED_VALUE"""),"Pieces")</f>
        <v>Pieces</v>
      </c>
      <c r="I378" s="3" t="str">
        <f>IFERROR(__xludf.DUMMYFUNCTION("""COMPUTED_VALUE"""),"Min Stok Capping 121703059 2597")</f>
        <v>Min Stok Capping 121703059 2597</v>
      </c>
      <c r="J378" s="3" t="str">
        <f>IFERROR(__xludf.DUMMYFUNCTION("""COMPUTED_VALUE"""),"O-18962-00")</f>
        <v>O-18962-00</v>
      </c>
      <c r="K378" s="3" t="str">
        <f>IFERROR(__xludf.DUMMYFUNCTION("""COMPUTED_VALUE"""),"Approve")</f>
        <v>Approve</v>
      </c>
      <c r="L378" s="3" t="str">
        <f>IFERROR(__xludf.DUMMYFUNCTION("""COMPUTED_VALUE"""),"Normal")</f>
        <v>Normal</v>
      </c>
      <c r="M378" s="3" t="str">
        <f>IFERROR(__xludf.DUMMYFUNCTION("""COMPUTED_VALUE"""),"Non Urgent")</f>
        <v>Non Urgent</v>
      </c>
    </row>
    <row r="379">
      <c r="A379" s="4">
        <f>IFERROR(__xludf.DUMMYFUNCTION("""COMPUTED_VALUE"""),45910.93840724537)</f>
        <v>45910.93841</v>
      </c>
      <c r="B379" s="3" t="str">
        <f>IFERROR(__xludf.DUMMYFUNCTION("""COMPUTED_VALUE"""),"MFHRO0180")</f>
        <v>MFHRO0180</v>
      </c>
      <c r="C379" s="3" t="str">
        <f>IFERROR(__xludf.DUMMYFUNCTION("""COMPUTED_VALUE"""),"MIn Stok")</f>
        <v>MIn Stok</v>
      </c>
      <c r="D379" s="3" t="str">
        <f>IFERROR(__xludf.DUMMYFUNCTION("""COMPUTED_VALUE"""),"-")</f>
        <v>-</v>
      </c>
      <c r="E379" s="3" t="str">
        <f>IFERROR(__xludf.DUMMYFUNCTION("""COMPUTED_VALUE"""),"Capping")</f>
        <v>Capping</v>
      </c>
      <c r="F379" s="3" t="str">
        <f>IFERROR(__xludf.DUMMYFUNCTION("""COMPUTED_VALUE"""),"Capping VCM200 - Clamp Holder; ; ;")</f>
        <v>Capping VCM200 - Clamp Holder; ; ;</v>
      </c>
      <c r="G379" s="3">
        <f>IFERROR(__xludf.DUMMYFUNCTION("""COMPUTED_VALUE"""),1.0)</f>
        <v>1</v>
      </c>
      <c r="H379" s="3" t="str">
        <f>IFERROR(__xludf.DUMMYFUNCTION("""COMPUTED_VALUE"""),"Pieces")</f>
        <v>Pieces</v>
      </c>
      <c r="I379" s="3" t="str">
        <f>IFERROR(__xludf.DUMMYFUNCTION("""COMPUTED_VALUE"""),"Min Stok Capping 121703059 2598")</f>
        <v>Min Stok Capping 121703059 2598</v>
      </c>
      <c r="J379" s="3" t="str">
        <f>IFERROR(__xludf.DUMMYFUNCTION("""COMPUTED_VALUE"""),"O-18963-00")</f>
        <v>O-18963-00</v>
      </c>
      <c r="K379" s="3" t="str">
        <f>IFERROR(__xludf.DUMMYFUNCTION("""COMPUTED_VALUE"""),"Approve")</f>
        <v>Approve</v>
      </c>
      <c r="L379" s="3" t="str">
        <f>IFERROR(__xludf.DUMMYFUNCTION("""COMPUTED_VALUE"""),"Normal")</f>
        <v>Normal</v>
      </c>
      <c r="M379" s="3" t="str">
        <f>IFERROR(__xludf.DUMMYFUNCTION("""COMPUTED_VALUE"""),"Non Urgent")</f>
        <v>Non Urgent</v>
      </c>
    </row>
    <row r="380">
      <c r="A380" s="4">
        <f>IFERROR(__xludf.DUMMYFUNCTION("""COMPUTED_VALUE"""),45910.93841335648)</f>
        <v>45910.93841</v>
      </c>
      <c r="B380" s="3" t="str">
        <f>IFERROR(__xludf.DUMMYFUNCTION("""COMPUTED_VALUE"""),"MFHRO0181")</f>
        <v>MFHRO0181</v>
      </c>
      <c r="C380" s="3" t="str">
        <f>IFERROR(__xludf.DUMMYFUNCTION("""COMPUTED_VALUE"""),"MIn Stok")</f>
        <v>MIn Stok</v>
      </c>
      <c r="D380" s="3" t="str">
        <f>IFERROR(__xludf.DUMMYFUNCTION("""COMPUTED_VALUE"""),"-")</f>
        <v>-</v>
      </c>
      <c r="E380" s="3" t="str">
        <f>IFERROR(__xludf.DUMMYFUNCTION("""COMPUTED_VALUE"""),"Capping")</f>
        <v>Capping</v>
      </c>
      <c r="F380" s="3" t="str">
        <f>IFERROR(__xludf.DUMMYFUNCTION("""COMPUTED_VALUE"""),"Capping VCM200 - Holder; ; ;")</f>
        <v>Capping VCM200 - Holder; ; ;</v>
      </c>
      <c r="G380" s="3">
        <f>IFERROR(__xludf.DUMMYFUNCTION("""COMPUTED_VALUE"""),1.0)</f>
        <v>1</v>
      </c>
      <c r="H380" s="3" t="str">
        <f>IFERROR(__xludf.DUMMYFUNCTION("""COMPUTED_VALUE"""),"Pieces")</f>
        <v>Pieces</v>
      </c>
      <c r="I380" s="3" t="str">
        <f>IFERROR(__xludf.DUMMYFUNCTION("""COMPUTED_VALUE"""),"Min Stok Capping 121703059 2599")</f>
        <v>Min Stok Capping 121703059 2599</v>
      </c>
      <c r="J380" s="3" t="str">
        <f>IFERROR(__xludf.DUMMYFUNCTION("""COMPUTED_VALUE"""),"O-18964-00")</f>
        <v>O-18964-00</v>
      </c>
      <c r="K380" s="3" t="str">
        <f>IFERROR(__xludf.DUMMYFUNCTION("""COMPUTED_VALUE"""),"Approve")</f>
        <v>Approve</v>
      </c>
      <c r="L380" s="3" t="str">
        <f>IFERROR(__xludf.DUMMYFUNCTION("""COMPUTED_VALUE"""),"Normal")</f>
        <v>Normal</v>
      </c>
      <c r="M380" s="3" t="str">
        <f>IFERROR(__xludf.DUMMYFUNCTION("""COMPUTED_VALUE"""),"Non Urgent")</f>
        <v>Non Urgent</v>
      </c>
    </row>
    <row r="381">
      <c r="A381" s="4">
        <f>IFERROR(__xludf.DUMMYFUNCTION("""COMPUTED_VALUE"""),45910.93841335648)</f>
        <v>45910.93841</v>
      </c>
      <c r="B381" s="3" t="str">
        <f>IFERROR(__xludf.DUMMYFUNCTION("""COMPUTED_VALUE"""),"MFHRO0182")</f>
        <v>MFHRO0182</v>
      </c>
      <c r="C381" s="3" t="str">
        <f>IFERROR(__xludf.DUMMYFUNCTION("""COMPUTED_VALUE"""),"MIn Stok")</f>
        <v>MIn Stok</v>
      </c>
      <c r="D381" s="3" t="str">
        <f>IFERROR(__xludf.DUMMYFUNCTION("""COMPUTED_VALUE"""),"-")</f>
        <v>-</v>
      </c>
      <c r="E381" s="3" t="str">
        <f>IFERROR(__xludf.DUMMYFUNCTION("""COMPUTED_VALUE"""),"Capping")</f>
        <v>Capping</v>
      </c>
      <c r="F381" s="3" t="str">
        <f>IFERROR(__xludf.DUMMYFUNCTION("""COMPUTED_VALUE"""),"Capping VCM200 - Spring Head; ; ;")</f>
        <v>Capping VCM200 - Spring Head; ; ;</v>
      </c>
      <c r="G381" s="3">
        <f>IFERROR(__xludf.DUMMYFUNCTION("""COMPUTED_VALUE"""),1.0)</f>
        <v>1</v>
      </c>
      <c r="H381" s="3" t="str">
        <f>IFERROR(__xludf.DUMMYFUNCTION("""COMPUTED_VALUE"""),"Pieces")</f>
        <v>Pieces</v>
      </c>
      <c r="I381" s="3" t="str">
        <f>IFERROR(__xludf.DUMMYFUNCTION("""COMPUTED_VALUE"""),"Min Stok Capping 121703059 2600")</f>
        <v>Min Stok Capping 121703059 2600</v>
      </c>
      <c r="J381" s="3" t="str">
        <f>IFERROR(__xludf.DUMMYFUNCTION("""COMPUTED_VALUE"""),"O-18965-00")</f>
        <v>O-18965-00</v>
      </c>
      <c r="K381" s="3" t="str">
        <f>IFERROR(__xludf.DUMMYFUNCTION("""COMPUTED_VALUE"""),"Approve")</f>
        <v>Approve</v>
      </c>
      <c r="L381" s="3" t="str">
        <f>IFERROR(__xludf.DUMMYFUNCTION("""COMPUTED_VALUE"""),"Normal")</f>
        <v>Normal</v>
      </c>
      <c r="M381" s="3" t="str">
        <f>IFERROR(__xludf.DUMMYFUNCTION("""COMPUTED_VALUE"""),"Non Urgent")</f>
        <v>Non Urgent</v>
      </c>
    </row>
    <row r="382">
      <c r="A382" s="4">
        <f>IFERROR(__xludf.DUMMYFUNCTION("""COMPUTED_VALUE"""),45910.93842200232)</f>
        <v>45910.93842</v>
      </c>
      <c r="B382" s="3" t="str">
        <f>IFERROR(__xludf.DUMMYFUNCTION("""COMPUTED_VALUE"""),"MFHRO0183")</f>
        <v>MFHRO0183</v>
      </c>
      <c r="C382" s="3" t="str">
        <f>IFERROR(__xludf.DUMMYFUNCTION("""COMPUTED_VALUE"""),"MIn Stok")</f>
        <v>MIn Stok</v>
      </c>
      <c r="D382" s="3" t="str">
        <f>IFERROR(__xludf.DUMMYFUNCTION("""COMPUTED_VALUE"""),"-")</f>
        <v>-</v>
      </c>
      <c r="E382" s="3" t="str">
        <f>IFERROR(__xludf.DUMMYFUNCTION("""COMPUTED_VALUE"""),"Capping")</f>
        <v>Capping</v>
      </c>
      <c r="F382" s="3" t="str">
        <f>IFERROR(__xludf.DUMMYFUNCTION("""COMPUTED_VALUE"""),"Capping VCM200 -  Ring Washer; ; ;")</f>
        <v>Capping VCM200 -  Ring Washer; ; ;</v>
      </c>
      <c r="G382" s="3">
        <f>IFERROR(__xludf.DUMMYFUNCTION("""COMPUTED_VALUE"""),1.0)</f>
        <v>1</v>
      </c>
      <c r="H382" s="3" t="str">
        <f>IFERROR(__xludf.DUMMYFUNCTION("""COMPUTED_VALUE"""),"Pieces")</f>
        <v>Pieces</v>
      </c>
      <c r="I382" s="3" t="str">
        <f>IFERROR(__xludf.DUMMYFUNCTION("""COMPUTED_VALUE"""),"Min Stok Capping 121703059 2601")</f>
        <v>Min Stok Capping 121703059 2601</v>
      </c>
      <c r="J382" s="3" t="str">
        <f>IFERROR(__xludf.DUMMYFUNCTION("""COMPUTED_VALUE"""),"O-18966-00")</f>
        <v>O-18966-00</v>
      </c>
      <c r="K382" s="3" t="str">
        <f>IFERROR(__xludf.DUMMYFUNCTION("""COMPUTED_VALUE"""),"Approve")</f>
        <v>Approve</v>
      </c>
      <c r="L382" s="3" t="str">
        <f>IFERROR(__xludf.DUMMYFUNCTION("""COMPUTED_VALUE"""),"Normal")</f>
        <v>Normal</v>
      </c>
      <c r="M382" s="3" t="str">
        <f>IFERROR(__xludf.DUMMYFUNCTION("""COMPUTED_VALUE"""),"Non Urgent")</f>
        <v>Non Urgent</v>
      </c>
    </row>
    <row r="383">
      <c r="A383" s="4">
        <f>IFERROR(__xludf.DUMMYFUNCTION("""COMPUTED_VALUE"""),45910.93842200232)</f>
        <v>45910.93842</v>
      </c>
      <c r="B383" s="3" t="str">
        <f>IFERROR(__xludf.DUMMYFUNCTION("""COMPUTED_VALUE"""),"MFHRO0184")</f>
        <v>MFHRO0184</v>
      </c>
      <c r="C383" s="3" t="str">
        <f>IFERROR(__xludf.DUMMYFUNCTION("""COMPUTED_VALUE"""),"MIn Stok")</f>
        <v>MIn Stok</v>
      </c>
      <c r="D383" s="3" t="str">
        <f>IFERROR(__xludf.DUMMYFUNCTION("""COMPUTED_VALUE"""),"-")</f>
        <v>-</v>
      </c>
      <c r="E383" s="3" t="str">
        <f>IFERROR(__xludf.DUMMYFUNCTION("""COMPUTED_VALUE"""),"Capping")</f>
        <v>Capping</v>
      </c>
      <c r="F383" s="3" t="str">
        <f>IFERROR(__xludf.DUMMYFUNCTION("""COMPUTED_VALUE"""),"Capping VCM200 - Washer B; ; ;")</f>
        <v>Capping VCM200 - Washer B; ; ;</v>
      </c>
      <c r="G383" s="3">
        <f>IFERROR(__xludf.DUMMYFUNCTION("""COMPUTED_VALUE"""),1.0)</f>
        <v>1</v>
      </c>
      <c r="H383" s="3" t="str">
        <f>IFERROR(__xludf.DUMMYFUNCTION("""COMPUTED_VALUE"""),"Pieces")</f>
        <v>Pieces</v>
      </c>
      <c r="I383" s="3" t="str">
        <f>IFERROR(__xludf.DUMMYFUNCTION("""COMPUTED_VALUE"""),"Min Stok Capping 121703059 2602")</f>
        <v>Min Stok Capping 121703059 2602</v>
      </c>
      <c r="J383" s="3" t="str">
        <f>IFERROR(__xludf.DUMMYFUNCTION("""COMPUTED_VALUE"""),"O-18968-00")</f>
        <v>O-18968-00</v>
      </c>
      <c r="K383" s="3" t="str">
        <f>IFERROR(__xludf.DUMMYFUNCTION("""COMPUTED_VALUE"""),"Approve")</f>
        <v>Approve</v>
      </c>
      <c r="L383" s="3" t="str">
        <f>IFERROR(__xludf.DUMMYFUNCTION("""COMPUTED_VALUE"""),"Normal")</f>
        <v>Normal</v>
      </c>
      <c r="M383" s="3" t="str">
        <f>IFERROR(__xludf.DUMMYFUNCTION("""COMPUTED_VALUE"""),"Non Urgent")</f>
        <v>Non Urgent</v>
      </c>
    </row>
    <row r="384">
      <c r="A384" s="4">
        <f>IFERROR(__xludf.DUMMYFUNCTION("""COMPUTED_VALUE"""),45910.93842200232)</f>
        <v>45910.93842</v>
      </c>
      <c r="B384" s="3" t="str">
        <f>IFERROR(__xludf.DUMMYFUNCTION("""COMPUTED_VALUE"""),"MFHRO0185")</f>
        <v>MFHRO0185</v>
      </c>
      <c r="C384" s="3" t="str">
        <f>IFERROR(__xludf.DUMMYFUNCTION("""COMPUTED_VALUE"""),"MIn Stok")</f>
        <v>MIn Stok</v>
      </c>
      <c r="D384" s="3" t="str">
        <f>IFERROR(__xludf.DUMMYFUNCTION("""COMPUTED_VALUE"""),"-")</f>
        <v>-</v>
      </c>
      <c r="E384" s="3" t="str">
        <f>IFERROR(__xludf.DUMMYFUNCTION("""COMPUTED_VALUE"""),"Capping")</f>
        <v>Capping</v>
      </c>
      <c r="F384" s="3" t="str">
        <f>IFERROR(__xludf.DUMMYFUNCTION("""COMPUTED_VALUE"""),"Capping VCM200 - Washer A; ; ;")</f>
        <v>Capping VCM200 - Washer A; ; ;</v>
      </c>
      <c r="G384" s="3">
        <f>IFERROR(__xludf.DUMMYFUNCTION("""COMPUTED_VALUE"""),1.0)</f>
        <v>1</v>
      </c>
      <c r="H384" s="3" t="str">
        <f>IFERROR(__xludf.DUMMYFUNCTION("""COMPUTED_VALUE"""),"Pieces")</f>
        <v>Pieces</v>
      </c>
      <c r="I384" s="3" t="str">
        <f>IFERROR(__xludf.DUMMYFUNCTION("""COMPUTED_VALUE"""),"Min Stok Capping 121703059 2603")</f>
        <v>Min Stok Capping 121703059 2603</v>
      </c>
      <c r="J384" s="3" t="str">
        <f>IFERROR(__xludf.DUMMYFUNCTION("""COMPUTED_VALUE"""),"O-18967-00")</f>
        <v>O-18967-00</v>
      </c>
      <c r="K384" s="3" t="str">
        <f>IFERROR(__xludf.DUMMYFUNCTION("""COMPUTED_VALUE"""),"Approve")</f>
        <v>Approve</v>
      </c>
      <c r="L384" s="3" t="str">
        <f>IFERROR(__xludf.DUMMYFUNCTION("""COMPUTED_VALUE"""),"Normal")</f>
        <v>Normal</v>
      </c>
      <c r="M384" s="3" t="str">
        <f>IFERROR(__xludf.DUMMYFUNCTION("""COMPUTED_VALUE"""),"Non Urgent")</f>
        <v>Non Urgent</v>
      </c>
    </row>
    <row r="385">
      <c r="A385" s="4">
        <f>IFERROR(__xludf.DUMMYFUNCTION("""COMPUTED_VALUE"""),45912.69110270834)</f>
        <v>45912.6911</v>
      </c>
      <c r="B385" s="3" t="str">
        <f>IFERROR(__xludf.DUMMYFUNCTION("""COMPUTED_VALUE"""),"SFHRO0021")</f>
        <v>SFHRO0021</v>
      </c>
      <c r="C385" s="3" t="str">
        <f>IFERROR(__xludf.DUMMYFUNCTION("""COMPUTED_VALUE"""),"MIn Stok")</f>
        <v>MIn Stok</v>
      </c>
      <c r="D385" s="3" t="str">
        <f>IFERROR(__xludf.DUMMYFUNCTION("""COMPUTED_VALUE"""),"-")</f>
        <v>-</v>
      </c>
      <c r="E385" s="3" t="str">
        <f>IFERROR(__xludf.DUMMYFUNCTION("""COMPUTED_VALUE"""),"lantai 2")</f>
        <v>lantai 2</v>
      </c>
      <c r="F385" s="3" t="str">
        <f>IFERROR(__xludf.DUMMYFUNCTION("""COMPUTED_VALUE"""),"General - Lem Adhesive; Superlon; -; 1kg/can")</f>
        <v>General - Lem Adhesive; Superlon; -; 1kg/can</v>
      </c>
      <c r="G385" s="3">
        <f>IFERROR(__xludf.DUMMYFUNCTION("""COMPUTED_VALUE"""),6.0)</f>
        <v>6</v>
      </c>
      <c r="H385" s="3" t="str">
        <f>IFERROR(__xludf.DUMMYFUNCTION("""COMPUTED_VALUE"""),"can")</f>
        <v>can</v>
      </c>
      <c r="I385" s="3" t="str">
        <f>IFERROR(__xludf.DUMMYFUNCTION("""COMPUTED_VALUE"""),"stock habis")</f>
        <v>stock habis</v>
      </c>
      <c r="J385" s="3" t="str">
        <f>IFERROR(__xludf.DUMMYFUNCTION("""COMPUTED_VALUE"""),"P-19693-00")</f>
        <v>P-19693-00</v>
      </c>
      <c r="K385" s="3" t="str">
        <f>IFERROR(__xludf.DUMMYFUNCTION("""COMPUTED_VALUE"""),"Approve")</f>
        <v>Approve</v>
      </c>
      <c r="L385" s="3" t="str">
        <f>IFERROR(__xludf.DUMMYFUNCTION("""COMPUTED_VALUE"""),"Normal")</f>
        <v>Normal</v>
      </c>
      <c r="M385" s="3" t="str">
        <f>IFERROR(__xludf.DUMMYFUNCTION("""COMPUTED_VALUE"""),"Non Urgent")</f>
        <v>Non Urgent</v>
      </c>
    </row>
    <row r="386">
      <c r="A386" s="4">
        <f>IFERROR(__xludf.DUMMYFUNCTION("""COMPUTED_VALUE"""),45915.91379046296)</f>
        <v>45915.91379</v>
      </c>
      <c r="B386" s="3" t="str">
        <f>IFERROR(__xludf.DUMMYFUNCTION("""COMPUTED_VALUE"""),"SFHRO0022")</f>
        <v>SFHRO0022</v>
      </c>
      <c r="C386" s="3" t="str">
        <f>IFERROR(__xludf.DUMMYFUNCTION("""COMPUTED_VALUE"""),"Consumable")</f>
        <v>Consumable</v>
      </c>
      <c r="D386" s="3" t="str">
        <f>IFERROR(__xludf.DUMMYFUNCTION("""COMPUTED_VALUE"""),"-")</f>
        <v>-</v>
      </c>
      <c r="E386" s="3" t="str">
        <f>IFERROR(__xludf.DUMMYFUNCTION("""COMPUTED_VALUE"""),"SF G2-1 lantai 2")</f>
        <v>SF G2-1 lantai 2</v>
      </c>
      <c r="F386" s="3" t="str">
        <f>IFERROR(__xludf.DUMMYFUNCTION("""COMPUTED_VALUE"""),"SPA 2482 Lw Brand : Optibelt / Bando Merah; Optibelt; ;")</f>
        <v>SPA 2482 Lw Brand : Optibelt / Bando Merah; Optibelt; ;</v>
      </c>
      <c r="G386" s="3">
        <f>IFERROR(__xludf.DUMMYFUNCTION("""COMPUTED_VALUE"""),4.0)</f>
        <v>4</v>
      </c>
      <c r="H386" s="3" t="str">
        <f>IFERROR(__xludf.DUMMYFUNCTION("""COMPUTED_VALUE"""),"Pcs")</f>
        <v>Pcs</v>
      </c>
      <c r="I386" s="3" t="str">
        <f>IFERROR(__xludf.DUMMYFUNCTION("""COMPUTED_VALUE"""),"stock habis")</f>
        <v>stock habis</v>
      </c>
      <c r="J386" s="3" t="str">
        <f>IFERROR(__xludf.DUMMYFUNCTION("""COMPUTED_VALUE"""),"O-15491-00")</f>
        <v>O-15491-00</v>
      </c>
      <c r="K386" s="3" t="str">
        <f>IFERROR(__xludf.DUMMYFUNCTION("""COMPUTED_VALUE"""),"Reject")</f>
        <v>Reject</v>
      </c>
      <c r="L386" s="3" t="str">
        <f>IFERROR(__xludf.DUMMYFUNCTION("""COMPUTED_VALUE"""),"Normal")</f>
        <v>Normal</v>
      </c>
      <c r="M386" s="3" t="str">
        <f>IFERROR(__xludf.DUMMYFUNCTION("""COMPUTED_VALUE"""),"Non Urgent")</f>
        <v>Non Urgent</v>
      </c>
    </row>
    <row r="387">
      <c r="A387" s="4">
        <f>IFERROR(__xludf.DUMMYFUNCTION("""COMPUTED_VALUE"""),45917.94341568287)</f>
        <v>45917.94342</v>
      </c>
      <c r="B387" s="3" t="str">
        <f>IFERROR(__xludf.DUMMYFUNCTION("""COMPUTED_VALUE"""),"ANORO0009")</f>
        <v>ANORO0009</v>
      </c>
      <c r="C387" s="3" t="str">
        <f>IFERROR(__xludf.DUMMYFUNCTION("""COMPUTED_VALUE"""),"Consumable")</f>
        <v>Consumable</v>
      </c>
      <c r="D387" s="3" t="str">
        <f>IFERROR(__xludf.DUMMYFUNCTION("""COMPUTED_VALUE"""),"-")</f>
        <v>-</v>
      </c>
      <c r="E387" s="3" t="str">
        <f>IFERROR(__xludf.DUMMYFUNCTION("""COMPUTED_VALUE"""),"tunnel ")</f>
        <v>tunnel </v>
      </c>
      <c r="F387" s="3" t="str">
        <f>IFERROR(__xludf.DUMMYFUNCTION("""COMPUTED_VALUE"""),"Pneumatic Actuator Double Acting-063 Festork; ; ;")</f>
        <v>Pneumatic Actuator Double Acting-063 Festork; ; ;</v>
      </c>
      <c r="G387" s="3">
        <f>IFERROR(__xludf.DUMMYFUNCTION("""COMPUTED_VALUE"""),3.0)</f>
        <v>3</v>
      </c>
      <c r="H387" s="3" t="str">
        <f>IFERROR(__xludf.DUMMYFUNCTION("""COMPUTED_VALUE"""),"PCS")</f>
        <v>PCS</v>
      </c>
      <c r="I387" s="3" t="str">
        <f>IFERROR(__xludf.DUMMYFUNCTION("""COMPUTED_VALUE"""),"untuk mengembalikan pinjaman dari FPP dan untuk spare jika ada yang rusak")</f>
        <v>untuk mengembalikan pinjaman dari FPP dan untuk spare jika ada yang rusak</v>
      </c>
      <c r="J387" s="3" t="str">
        <f>IFERROR(__xludf.DUMMYFUNCTION("""COMPUTED_VALUE"""),"O-51793-00")</f>
        <v>O-51793-00</v>
      </c>
      <c r="K387" s="3" t="str">
        <f>IFERROR(__xludf.DUMMYFUNCTION("""COMPUTED_VALUE"""),"Approve")</f>
        <v>Approve</v>
      </c>
      <c r="L387" s="3" t="str">
        <f>IFERROR(__xludf.DUMMYFUNCTION("""COMPUTED_VALUE"""),"Normal")</f>
        <v>Normal</v>
      </c>
      <c r="M387" s="3" t="str">
        <f>IFERROR(__xludf.DUMMYFUNCTION("""COMPUTED_VALUE"""),"Non Urgent")</f>
        <v>Non Urgent</v>
      </c>
    </row>
    <row r="388">
      <c r="A388" s="4">
        <f>IFERROR(__xludf.DUMMYFUNCTION("""COMPUTED_VALUE"""),45921.41750222222)</f>
        <v>45921.4175</v>
      </c>
      <c r="B388" s="3" t="str">
        <f>IFERROR(__xludf.DUMMYFUNCTION("""COMPUTED_VALUE"""),"MFHRO0186")</f>
        <v>MFHRO0186</v>
      </c>
      <c r="C388" s="3" t="str">
        <f>IFERROR(__xludf.DUMMYFUNCTION("""COMPUTED_VALUE"""),"MIn Stok")</f>
        <v>MIn Stok</v>
      </c>
      <c r="D388" s="3" t="str">
        <f>IFERROR(__xludf.DUMMYFUNCTION("""COMPUTED_VALUE"""),"-")</f>
        <v>-</v>
      </c>
      <c r="E388" s="3" t="str">
        <f>IFERROR(__xludf.DUMMYFUNCTION("""COMPUTED_VALUE"""),"Autoclave")</f>
        <v>Autoclave</v>
      </c>
      <c r="F388" s="3" t="str">
        <f>IFERROR(__xludf.DUMMYFUNCTION("""COMPUTED_VALUE"""),"Fedegari FVA2/A1 - O-RING 34.52x3.53; Code : CC150171; ; ;")</f>
        <v>Fedegari FVA2/A1 - O-RING 34.52x3.53; Code : CC150171; ; ;</v>
      </c>
      <c r="G388" s="3">
        <f>IFERROR(__xludf.DUMMYFUNCTION("""COMPUTED_VALUE"""),18.0)</f>
        <v>18</v>
      </c>
      <c r="H388" s="3" t="str">
        <f>IFERROR(__xludf.DUMMYFUNCTION("""COMPUTED_VALUE"""),"Pcs")</f>
        <v>Pcs</v>
      </c>
      <c r="I388" s="3" t="str">
        <f>IFERROR(__xludf.DUMMYFUNCTION("""COMPUTED_VALUE"""),"Min Stok Autoclave 121703066 2616")</f>
        <v>Min Stok Autoclave 121703066 2616</v>
      </c>
      <c r="J388" s="3" t="str">
        <f>IFERROR(__xludf.DUMMYFUNCTION("""COMPUTED_VALUE"""),"O-15914-00")</f>
        <v>O-15914-00</v>
      </c>
      <c r="K388" s="3" t="str">
        <f>IFERROR(__xludf.DUMMYFUNCTION("""COMPUTED_VALUE"""),"Approve")</f>
        <v>Approve</v>
      </c>
      <c r="L388" s="3" t="str">
        <f>IFERROR(__xludf.DUMMYFUNCTION("""COMPUTED_VALUE"""),"Normal")</f>
        <v>Normal</v>
      </c>
      <c r="M388" s="3" t="str">
        <f>IFERROR(__xludf.DUMMYFUNCTION("""COMPUTED_VALUE"""),"Non Urgent")</f>
        <v>Non Urgent</v>
      </c>
    </row>
    <row r="389">
      <c r="A389" s="4">
        <f>IFERROR(__xludf.DUMMYFUNCTION("""COMPUTED_VALUE"""),45921.42266859953)</f>
        <v>45921.42267</v>
      </c>
      <c r="B389" s="3" t="str">
        <f>IFERROR(__xludf.DUMMYFUNCTION("""COMPUTED_VALUE"""),"MFHRO0187")</f>
        <v>MFHRO0187</v>
      </c>
      <c r="C389" s="3" t="str">
        <f>IFERROR(__xludf.DUMMYFUNCTION("""COMPUTED_VALUE"""),"MIn Stok")</f>
        <v>MIn Stok</v>
      </c>
      <c r="D389" s="3" t="str">
        <f>IFERROR(__xludf.DUMMYFUNCTION("""COMPUTED_VALUE"""),"-")</f>
        <v>-</v>
      </c>
      <c r="E389" s="3" t="str">
        <f>IFERROR(__xludf.DUMMYFUNCTION("""COMPUTED_VALUE"""),"Washing")</f>
        <v>Washing</v>
      </c>
      <c r="F389" s="3" t="str">
        <f>IFERROR(__xludf.DUMMYFUNCTION("""COMPUTED_VALUE"""),"Vent Filter HE Press 6.5 bar, temp. 40C ; Brand : NOVASIP ( PALL ) ; P/N : C3PFRPI , IT09556493 ; Pack Size : pcs")</f>
        <v>Vent Filter HE Press 6.5 bar, temp. 40C ; Brand : NOVASIP ( PALL ) ; P/N : C3PFRPI , IT09556493 ; Pack Size : pcs</v>
      </c>
      <c r="G389" s="3">
        <f>IFERROR(__xludf.DUMMYFUNCTION("""COMPUTED_VALUE"""),2.0)</f>
        <v>2</v>
      </c>
      <c r="H389" s="3" t="str">
        <f>IFERROR(__xludf.DUMMYFUNCTION("""COMPUTED_VALUE"""),"Unit")</f>
        <v>Unit</v>
      </c>
      <c r="I389" s="3" t="str">
        <f>IFERROR(__xludf.DUMMYFUNCTION("""COMPUTED_VALUE"""),"Min Stok Washing 121703067 2618")</f>
        <v>Min Stok Washing 121703067 2618</v>
      </c>
      <c r="J389" s="3" t="str">
        <f>IFERROR(__xludf.DUMMYFUNCTION("""COMPUTED_VALUE"""),"P-16972-00")</f>
        <v>P-16972-00</v>
      </c>
      <c r="K389" s="3" t="str">
        <f>IFERROR(__xludf.DUMMYFUNCTION("""COMPUTED_VALUE"""),"Approve")</f>
        <v>Approve</v>
      </c>
      <c r="L389" s="3" t="str">
        <f>IFERROR(__xludf.DUMMYFUNCTION("""COMPUTED_VALUE"""),"Normal")</f>
        <v>Normal</v>
      </c>
      <c r="M389" s="3" t="str">
        <f>IFERROR(__xludf.DUMMYFUNCTION("""COMPUTED_VALUE"""),"Non Urgent")</f>
        <v>Non Urgent</v>
      </c>
    </row>
    <row r="390">
      <c r="A390" s="4">
        <f>IFERROR(__xludf.DUMMYFUNCTION("""COMPUTED_VALUE"""),45921.42266859953)</f>
        <v>45921.42267</v>
      </c>
      <c r="B390" s="3" t="str">
        <f>IFERROR(__xludf.DUMMYFUNCTION("""COMPUTED_VALUE"""),"MFHRO0188")</f>
        <v>MFHRO0188</v>
      </c>
      <c r="C390" s="3" t="str">
        <f>IFERROR(__xludf.DUMMYFUNCTION("""COMPUTED_VALUE"""),"MIn Stok")</f>
        <v>MIn Stok</v>
      </c>
      <c r="D390" s="3" t="str">
        <f>IFERROR(__xludf.DUMMYFUNCTION("""COMPUTED_VALUE"""),"-")</f>
        <v>-</v>
      </c>
      <c r="E390" s="3" t="str">
        <f>IFERROR(__xludf.DUMMYFUNCTION("""COMPUTED_VALUE"""),"Filling")</f>
        <v>Filling</v>
      </c>
      <c r="F390" s="3" t="str">
        <f>IFERROR(__xludf.DUMMYFUNCTION("""COMPUTED_VALUE"""),"Ferrule to Hose 1,5 inch x 7mm; ; ;")</f>
        <v>Ferrule to Hose 1,5 inch x 7mm; ; ;</v>
      </c>
      <c r="G390" s="3">
        <f>IFERROR(__xludf.DUMMYFUNCTION("""COMPUTED_VALUE"""),2.0)</f>
        <v>2</v>
      </c>
      <c r="H390" s="3" t="str">
        <f>IFERROR(__xludf.DUMMYFUNCTION("""COMPUTED_VALUE"""),"Pieces")</f>
        <v>Pieces</v>
      </c>
      <c r="I390" s="3" t="str">
        <f>IFERROR(__xludf.DUMMYFUNCTION("""COMPUTED_VALUE"""),"Min Stok Filling 121703068 2619")</f>
        <v>Min Stok Filling 121703068 2619</v>
      </c>
      <c r="J390" s="3" t="str">
        <f>IFERROR(__xludf.DUMMYFUNCTION("""COMPUTED_VALUE"""),"P-14993-00")</f>
        <v>P-14993-00</v>
      </c>
      <c r="K390" s="3" t="str">
        <f>IFERROR(__xludf.DUMMYFUNCTION("""COMPUTED_VALUE"""),"Approve")</f>
        <v>Approve</v>
      </c>
      <c r="L390" s="3" t="str">
        <f>IFERROR(__xludf.DUMMYFUNCTION("""COMPUTED_VALUE"""),"Normal")</f>
        <v>Normal</v>
      </c>
      <c r="M390" s="3" t="str">
        <f>IFERROR(__xludf.DUMMYFUNCTION("""COMPUTED_VALUE"""),"Non Urgent")</f>
        <v>Non Urgent</v>
      </c>
    </row>
    <row r="391">
      <c r="A391" s="4">
        <f>IFERROR(__xludf.DUMMYFUNCTION("""COMPUTED_VALUE"""),45921.42267392362)</f>
        <v>45921.42267</v>
      </c>
      <c r="B391" s="3" t="str">
        <f>IFERROR(__xludf.DUMMYFUNCTION("""COMPUTED_VALUE"""),"MFHRO0189")</f>
        <v>MFHRO0189</v>
      </c>
      <c r="C391" s="3" t="str">
        <f>IFERROR(__xludf.DUMMYFUNCTION("""COMPUTED_VALUE"""),"MIn Stok")</f>
        <v>MIn Stok</v>
      </c>
      <c r="D391" s="3" t="str">
        <f>IFERROR(__xludf.DUMMYFUNCTION("""COMPUTED_VALUE"""),"-")</f>
        <v>-</v>
      </c>
      <c r="E391" s="3" t="str">
        <f>IFERROR(__xludf.DUMMYFUNCTION("""COMPUTED_VALUE"""),"Washing")</f>
        <v>Washing</v>
      </c>
      <c r="F391" s="3" t="str">
        <f>IFERROR(__xludf.DUMMYFUNCTION("""COMPUTED_VALUE"""),"Washing RAR4 - Pincers Jaws 4 Positions 10R Vial Neck d=15.5 HARRISA CIPTARINDO ENGINEERING, CV. P/N : -  pc")</f>
        <v>Washing RAR4 - Pincers Jaws 4 Positions 10R Vial Neck d=15.5 HARRISA CIPTARINDO ENGINEERING, CV. P/N : -  pc</v>
      </c>
      <c r="G391" s="3">
        <f>IFERROR(__xludf.DUMMYFUNCTION("""COMPUTED_VALUE"""),14.0)</f>
        <v>14</v>
      </c>
      <c r="H391" s="3" t="str">
        <f>IFERROR(__xludf.DUMMYFUNCTION("""COMPUTED_VALUE"""),"Pieces")</f>
        <v>Pieces</v>
      </c>
      <c r="I391" s="3" t="str">
        <f>IFERROR(__xludf.DUMMYFUNCTION("""COMPUTED_VALUE"""),"Min Stok Washing 121703070 2620")</f>
        <v>Min Stok Washing 121703070 2620</v>
      </c>
      <c r="J391" s="3" t="str">
        <f>IFERROR(__xludf.DUMMYFUNCTION("""COMPUTED_VALUE"""),"O-17068-00")</f>
        <v>O-17068-00</v>
      </c>
      <c r="K391" s="3" t="str">
        <f>IFERROR(__xludf.DUMMYFUNCTION("""COMPUTED_VALUE"""),"Approve")</f>
        <v>Approve</v>
      </c>
      <c r="L391" s="3" t="str">
        <f>IFERROR(__xludf.DUMMYFUNCTION("""COMPUTED_VALUE"""),"Normal")</f>
        <v>Normal</v>
      </c>
      <c r="M391" s="3" t="str">
        <f>IFERROR(__xludf.DUMMYFUNCTION("""COMPUTED_VALUE"""),"Non Urgent")</f>
        <v>Non Urgent</v>
      </c>
    </row>
    <row r="392">
      <c r="A392" s="4">
        <f>IFERROR(__xludf.DUMMYFUNCTION("""COMPUTED_VALUE"""),45921.42267392362)</f>
        <v>45921.42267</v>
      </c>
      <c r="B392" s="3" t="str">
        <f>IFERROR(__xludf.DUMMYFUNCTION("""COMPUTED_VALUE"""),"MFHRO0190")</f>
        <v>MFHRO0190</v>
      </c>
      <c r="C392" s="3" t="str">
        <f>IFERROR(__xludf.DUMMYFUNCTION("""COMPUTED_VALUE"""),"MIn Stok")</f>
        <v>MIn Stok</v>
      </c>
      <c r="D392" s="3" t="str">
        <f>IFERROR(__xludf.DUMMYFUNCTION("""COMPUTED_VALUE"""),"-")</f>
        <v>-</v>
      </c>
      <c r="E392" s="3" t="str">
        <f>IFERROR(__xludf.DUMMYFUNCTION("""COMPUTED_VALUE"""),"Washing")</f>
        <v>Washing</v>
      </c>
      <c r="F392" s="3" t="str">
        <f>IFERROR(__xludf.DUMMYFUNCTION("""COMPUTED_VALUE"""),"Washing RAR4 - Pincers Jaws for Vial 6mL HARRISA CIPTARINDO ENGINEERING, CV. P/N : -  pc")</f>
        <v>Washing RAR4 - Pincers Jaws for Vial 6mL HARRISA CIPTARINDO ENGINEERING, CV. P/N : -  pc</v>
      </c>
      <c r="G392" s="3">
        <f>IFERROR(__xludf.DUMMYFUNCTION("""COMPUTED_VALUE"""),18.0)</f>
        <v>18</v>
      </c>
      <c r="H392" s="3" t="str">
        <f>IFERROR(__xludf.DUMMYFUNCTION("""COMPUTED_VALUE"""),"Pieces")</f>
        <v>Pieces</v>
      </c>
      <c r="I392" s="3" t="str">
        <f>IFERROR(__xludf.DUMMYFUNCTION("""COMPUTED_VALUE"""),"Min Stok Washing 121703070 2621")</f>
        <v>Min Stok Washing 121703070 2621</v>
      </c>
      <c r="J392" s="3" t="str">
        <f>IFERROR(__xludf.DUMMYFUNCTION("""COMPUTED_VALUE"""),"O-17071-00")</f>
        <v>O-17071-00</v>
      </c>
      <c r="K392" s="3" t="str">
        <f>IFERROR(__xludf.DUMMYFUNCTION("""COMPUTED_VALUE"""),"Approve")</f>
        <v>Approve</v>
      </c>
      <c r="L392" s="3" t="str">
        <f>IFERROR(__xludf.DUMMYFUNCTION("""COMPUTED_VALUE"""),"Normal")</f>
        <v>Normal</v>
      </c>
      <c r="M392" s="3" t="str">
        <f>IFERROR(__xludf.DUMMYFUNCTION("""COMPUTED_VALUE"""),"Non Urgent")</f>
        <v>Non Urgent</v>
      </c>
    </row>
    <row r="393">
      <c r="A393" s="4">
        <f>IFERROR(__xludf.DUMMYFUNCTION("""COMPUTED_VALUE"""),45921.42267392362)</f>
        <v>45921.42267</v>
      </c>
      <c r="B393" s="3" t="str">
        <f>IFERROR(__xludf.DUMMYFUNCTION("""COMPUTED_VALUE"""),"MFHRO0191")</f>
        <v>MFHRO0191</v>
      </c>
      <c r="C393" s="3" t="str">
        <f>IFERROR(__xludf.DUMMYFUNCTION("""COMPUTED_VALUE"""),"MIn Stok")</f>
        <v>MIn Stok</v>
      </c>
      <c r="D393" s="3" t="str">
        <f>IFERROR(__xludf.DUMMYFUNCTION("""COMPUTED_VALUE"""),"-")</f>
        <v>-</v>
      </c>
      <c r="E393" s="3" t="str">
        <f>IFERROR(__xludf.DUMMYFUNCTION("""COMPUTED_VALUE"""),"Filling")</f>
        <v>Filling</v>
      </c>
      <c r="F393" s="3" t="str">
        <f>IFERROR(__xludf.DUMMYFUNCTION("""COMPUTED_VALUE"""),"Filling VFM100 - Base Plate Loadcell 163.5x28x4mm; Custom/Lokal; -; 1 Pc")</f>
        <v>Filling VFM100 - Base Plate Loadcell 163.5x28x4mm; Custom/Lokal; -; 1 Pc</v>
      </c>
      <c r="G393" s="3">
        <f>IFERROR(__xludf.DUMMYFUNCTION("""COMPUTED_VALUE"""),1.0)</f>
        <v>1</v>
      </c>
      <c r="H393" s="3" t="str">
        <f>IFERROR(__xludf.DUMMYFUNCTION("""COMPUTED_VALUE"""),"Pieces")</f>
        <v>Pieces</v>
      </c>
      <c r="I393" s="3" t="str">
        <f>IFERROR(__xludf.DUMMYFUNCTION("""COMPUTED_VALUE"""),"Untuk Loadcell Filling 121703070 2622")</f>
        <v>Untuk Loadcell Filling 121703070 2622</v>
      </c>
      <c r="J393" s="3" t="str">
        <f>IFERROR(__xludf.DUMMYFUNCTION("""COMPUTED_VALUE"""),"O-20903-00")</f>
        <v>O-20903-00</v>
      </c>
      <c r="K393" s="3" t="str">
        <f>IFERROR(__xludf.DUMMYFUNCTION("""COMPUTED_VALUE"""),"Approve")</f>
        <v>Approve</v>
      </c>
      <c r="L393" s="3" t="str">
        <f>IFERROR(__xludf.DUMMYFUNCTION("""COMPUTED_VALUE"""),"Normal")</f>
        <v>Normal</v>
      </c>
      <c r="M393" s="3" t="str">
        <f>IFERROR(__xludf.DUMMYFUNCTION("""COMPUTED_VALUE"""),"Non Urgent")</f>
        <v>Non Urgent</v>
      </c>
    </row>
    <row r="394">
      <c r="A394" s="4">
        <f>IFERROR(__xludf.DUMMYFUNCTION("""COMPUTED_VALUE"""),45921.42268065973)</f>
        <v>45921.42268</v>
      </c>
      <c r="B394" s="3" t="str">
        <f>IFERROR(__xludf.DUMMYFUNCTION("""COMPUTED_VALUE"""),"MFHRO0192")</f>
        <v>MFHRO0192</v>
      </c>
      <c r="C394" s="3" t="str">
        <f>IFERROR(__xludf.DUMMYFUNCTION("""COMPUTED_VALUE"""),"MIn Stok")</f>
        <v>MIn Stok</v>
      </c>
      <c r="D394" s="3" t="str">
        <f>IFERROR(__xludf.DUMMYFUNCTION("""COMPUTED_VALUE"""),"-")</f>
        <v>-</v>
      </c>
      <c r="E394" s="3" t="str">
        <f>IFERROR(__xludf.DUMMYFUNCTION("""COMPUTED_VALUE"""),"Filling")</f>
        <v>Filling</v>
      </c>
      <c r="F394" s="3" t="str">
        <f>IFERROR(__xludf.DUMMYFUNCTION("""COMPUTED_VALUE"""),"Filling VFM100 - Adapter Loadcell 30x30x4mm; Custom/Lokal; -; 1 Pc")</f>
        <v>Filling VFM100 - Adapter Loadcell 30x30x4mm; Custom/Lokal; -; 1 Pc</v>
      </c>
      <c r="G394" s="3">
        <f>IFERROR(__xludf.DUMMYFUNCTION("""COMPUTED_VALUE"""),1.0)</f>
        <v>1</v>
      </c>
      <c r="H394" s="3" t="str">
        <f>IFERROR(__xludf.DUMMYFUNCTION("""COMPUTED_VALUE"""),"Pieces")</f>
        <v>Pieces</v>
      </c>
      <c r="I394" s="3" t="str">
        <f>IFERROR(__xludf.DUMMYFUNCTION("""COMPUTED_VALUE"""),"Untuk Loadcell Filling 121703070 2623")</f>
        <v>Untuk Loadcell Filling 121703070 2623</v>
      </c>
      <c r="J394" s="3" t="str">
        <f>IFERROR(__xludf.DUMMYFUNCTION("""COMPUTED_VALUE"""),"O-20904-00")</f>
        <v>O-20904-00</v>
      </c>
      <c r="K394" s="3" t="str">
        <f>IFERROR(__xludf.DUMMYFUNCTION("""COMPUTED_VALUE"""),"Approve")</f>
        <v>Approve</v>
      </c>
      <c r="L394" s="3" t="str">
        <f>IFERROR(__xludf.DUMMYFUNCTION("""COMPUTED_VALUE"""),"Normal")</f>
        <v>Normal</v>
      </c>
      <c r="M394" s="3" t="str">
        <f>IFERROR(__xludf.DUMMYFUNCTION("""COMPUTED_VALUE"""),"Non Urgent")</f>
        <v>Non Urgent</v>
      </c>
    </row>
    <row r="395">
      <c r="A395" s="4">
        <f>IFERROR(__xludf.DUMMYFUNCTION("""COMPUTED_VALUE"""),45921.42268065973)</f>
        <v>45921.42268</v>
      </c>
      <c r="B395" s="3" t="str">
        <f>IFERROR(__xludf.DUMMYFUNCTION("""COMPUTED_VALUE"""),"MFHRO0193")</f>
        <v>MFHRO0193</v>
      </c>
      <c r="C395" s="3" t="str">
        <f>IFERROR(__xludf.DUMMYFUNCTION("""COMPUTED_VALUE"""),"MIn Stok")</f>
        <v>MIn Stok</v>
      </c>
      <c r="D395" s="3" t="str">
        <f>IFERROR(__xludf.DUMMYFUNCTION("""COMPUTED_VALUE"""),"-")</f>
        <v>-</v>
      </c>
      <c r="E395" s="3" t="str">
        <f>IFERROR(__xludf.DUMMYFUNCTION("""COMPUTED_VALUE"""),"Filling")</f>
        <v>Filling</v>
      </c>
      <c r="F395" s="3" t="str">
        <f>IFERROR(__xludf.DUMMYFUNCTION("""COMPUTED_VALUE"""),"Filling VFM100 - Dudukan Piringan 30x14x9mm; Custom/Lokal; -; 1 Pc")</f>
        <v>Filling VFM100 - Dudukan Piringan 30x14x9mm; Custom/Lokal; -; 1 Pc</v>
      </c>
      <c r="G395" s="3">
        <f>IFERROR(__xludf.DUMMYFUNCTION("""COMPUTED_VALUE"""),1.0)</f>
        <v>1</v>
      </c>
      <c r="H395" s="3" t="str">
        <f>IFERROR(__xludf.DUMMYFUNCTION("""COMPUTED_VALUE"""),"Pieces")</f>
        <v>Pieces</v>
      </c>
      <c r="I395" s="3" t="str">
        <f>IFERROR(__xludf.DUMMYFUNCTION("""COMPUTED_VALUE"""),"Untuk Loadcell Filling 121703070 2624")</f>
        <v>Untuk Loadcell Filling 121703070 2624</v>
      </c>
      <c r="J395" s="3" t="str">
        <f>IFERROR(__xludf.DUMMYFUNCTION("""COMPUTED_VALUE"""),"O-20905-00")</f>
        <v>O-20905-00</v>
      </c>
      <c r="K395" s="3" t="str">
        <f>IFERROR(__xludf.DUMMYFUNCTION("""COMPUTED_VALUE"""),"Approve")</f>
        <v>Approve</v>
      </c>
      <c r="L395" s="3" t="str">
        <f>IFERROR(__xludf.DUMMYFUNCTION("""COMPUTED_VALUE"""),"Normal")</f>
        <v>Normal</v>
      </c>
      <c r="M395" s="3" t="str">
        <f>IFERROR(__xludf.DUMMYFUNCTION("""COMPUTED_VALUE"""),"Non Urgent")</f>
        <v>Non Urgent</v>
      </c>
    </row>
    <row r="396">
      <c r="A396" s="4">
        <f>IFERROR(__xludf.DUMMYFUNCTION("""COMPUTED_VALUE"""),45921.42268065973)</f>
        <v>45921.42268</v>
      </c>
      <c r="B396" s="3" t="str">
        <f>IFERROR(__xludf.DUMMYFUNCTION("""COMPUTED_VALUE"""),"MFHRO0194")</f>
        <v>MFHRO0194</v>
      </c>
      <c r="C396" s="3" t="str">
        <f>IFERROR(__xludf.DUMMYFUNCTION("""COMPUTED_VALUE"""),"MIn Stok")</f>
        <v>MIn Stok</v>
      </c>
      <c r="D396" s="3" t="str">
        <f>IFERROR(__xludf.DUMMYFUNCTION("""COMPUTED_VALUE"""),"-")</f>
        <v>-</v>
      </c>
      <c r="E396" s="3" t="str">
        <f>IFERROR(__xludf.DUMMYFUNCTION("""COMPUTED_VALUE"""),"cRABS")</f>
        <v>cRABS</v>
      </c>
      <c r="F396" s="3" t="str">
        <f>IFERROR(__xludf.DUMMYFUNCTION("""COMPUTED_VALUE"""),"cRABS Z064CR - Glove Port Pom White Uk: 227x310x15.25mm; Custom/Lokal; -; 1 Pc")</f>
        <v>cRABS Z064CR - Glove Port Pom White Uk: 227x310x15.25mm; Custom/Lokal; -; 1 Pc</v>
      </c>
      <c r="G396" s="3">
        <f>IFERROR(__xludf.DUMMYFUNCTION("""COMPUTED_VALUE"""),2.0)</f>
        <v>2</v>
      </c>
      <c r="H396" s="3" t="str">
        <f>IFERROR(__xludf.DUMMYFUNCTION("""COMPUTED_VALUE"""),"Pieces")</f>
        <v>Pieces</v>
      </c>
      <c r="I396" s="3" t="str">
        <f>IFERROR(__xludf.DUMMYFUNCTION("""COMPUTED_VALUE"""),"Untuk Glove Port cRABS 121703070 2625")</f>
        <v>Untuk Glove Port cRABS 121703070 2625</v>
      </c>
      <c r="J396" s="3" t="str">
        <f>IFERROR(__xludf.DUMMYFUNCTION("""COMPUTED_VALUE"""),"O-20918-00")</f>
        <v>O-20918-00</v>
      </c>
      <c r="K396" s="3" t="str">
        <f>IFERROR(__xludf.DUMMYFUNCTION("""COMPUTED_VALUE"""),"Approve")</f>
        <v>Approve</v>
      </c>
      <c r="L396" s="3" t="str">
        <f>IFERROR(__xludf.DUMMYFUNCTION("""COMPUTED_VALUE"""),"Normal")</f>
        <v>Normal</v>
      </c>
      <c r="M396" s="3" t="str">
        <f>IFERROR(__xludf.DUMMYFUNCTION("""COMPUTED_VALUE"""),"Non Urgent")</f>
        <v>Non Urgent</v>
      </c>
    </row>
    <row r="397">
      <c r="A397" s="4">
        <f>IFERROR(__xludf.DUMMYFUNCTION("""COMPUTED_VALUE"""),45921.5119862963)</f>
        <v>45921.51199</v>
      </c>
      <c r="B397" s="3" t="str">
        <f>IFERROR(__xludf.DUMMYFUNCTION("""COMPUTED_VALUE"""),"MFHRO0195")</f>
        <v>MFHRO0195</v>
      </c>
      <c r="C397" s="3" t="str">
        <f>IFERROR(__xludf.DUMMYFUNCTION("""COMPUTED_VALUE"""),"MIn Stok")</f>
        <v>MIn Stok</v>
      </c>
      <c r="D397" s="3" t="str">
        <f>IFERROR(__xludf.DUMMYFUNCTION("""COMPUTED_VALUE"""),"-")</f>
        <v>-</v>
      </c>
      <c r="E397" s="3" t="str">
        <f>IFERROR(__xludf.DUMMYFUNCTION("""COMPUTED_VALUE"""),"Tunnel")</f>
        <v>Tunnel</v>
      </c>
      <c r="F397" s="3" t="str">
        <f>IFERROR(__xludf.DUMMYFUNCTION("""COMPUTED_VALUE"""),"FILTER ABSOLUTE, CAMFILL - 1ER(GS) - 1PU; DIN EN 1822 : H14; EFFICIENCY: 99,995% MPPS; DIMENSION: 305X457X150; SERIAL NO. 060052-15122")</f>
        <v>FILTER ABSOLUTE, CAMFILL - 1ER(GS) - 1PU; DIN EN 1822 : H14; EFFICIENCY: 99,995% MPPS; DIMENSION: 305X457X150; SERIAL NO. 060052-15122</v>
      </c>
      <c r="G397" s="3">
        <f>IFERROR(__xludf.DUMMYFUNCTION("""COMPUTED_VALUE"""),1.0)</f>
        <v>1</v>
      </c>
      <c r="H397" s="3" t="str">
        <f>IFERROR(__xludf.DUMMYFUNCTION("""COMPUTED_VALUE"""),"Unit")</f>
        <v>Unit</v>
      </c>
      <c r="I397" s="3" t="str">
        <f>IFERROR(__xludf.DUMMYFUNCTION("""COMPUTED_VALUE"""),"Min Stok Tunnel 121703076 2633")</f>
        <v>Min Stok Tunnel 121703076 2633</v>
      </c>
      <c r="J397" s="3" t="str">
        <f>IFERROR(__xludf.DUMMYFUNCTION("""COMPUTED_VALUE"""),"O-15592-00")</f>
        <v>O-15592-00</v>
      </c>
      <c r="K397" s="3" t="str">
        <f>IFERROR(__xludf.DUMMYFUNCTION("""COMPUTED_VALUE"""),"Approve")</f>
        <v>Approve</v>
      </c>
      <c r="L397" s="3" t="str">
        <f>IFERROR(__xludf.DUMMYFUNCTION("""COMPUTED_VALUE"""),"Normal")</f>
        <v>Normal</v>
      </c>
      <c r="M397" s="3" t="str">
        <f>IFERROR(__xludf.DUMMYFUNCTION("""COMPUTED_VALUE"""),"Non Urgent")</f>
        <v>Non Urgent</v>
      </c>
    </row>
    <row r="398">
      <c r="A398" s="4">
        <f>IFERROR(__xludf.DUMMYFUNCTION("""COMPUTED_VALUE"""),45921.5119862963)</f>
        <v>45921.51199</v>
      </c>
      <c r="B398" s="3" t="str">
        <f>IFERROR(__xludf.DUMMYFUNCTION("""COMPUTED_VALUE"""),"MFHRO0196")</f>
        <v>MFHRO0196</v>
      </c>
      <c r="C398" s="3" t="str">
        <f>IFERROR(__xludf.DUMMYFUNCTION("""COMPUTED_VALUE"""),"MIn Stok")</f>
        <v>MIn Stok</v>
      </c>
      <c r="D398" s="3" t="str">
        <f>IFERROR(__xludf.DUMMYFUNCTION("""COMPUTED_VALUE"""),"-")</f>
        <v>-</v>
      </c>
      <c r="E398" s="3" t="str">
        <f>IFERROR(__xludf.DUMMYFUNCTION("""COMPUTED_VALUE"""),"cRABS")</f>
        <v>cRABS</v>
      </c>
      <c r="F398" s="3" t="str">
        <f>IFERROR(__xludf.DUMMYFUNCTION("""COMPUTED_VALUE"""),"HEPA filter minipleat, size: 457x610x69 Class (EN 1822) : H14 - 99,995% MPPS; Hencolin; ;")</f>
        <v>HEPA filter minipleat, size: 457x610x69 Class (EN 1822) : H14 - 99,995% MPPS; Hencolin; ;</v>
      </c>
      <c r="G398" s="3">
        <f>IFERROR(__xludf.DUMMYFUNCTION("""COMPUTED_VALUE"""),2.0)</f>
        <v>2</v>
      </c>
      <c r="H398" s="3" t="str">
        <f>IFERROR(__xludf.DUMMYFUNCTION("""COMPUTED_VALUE"""),"Pieces")</f>
        <v>Pieces</v>
      </c>
      <c r="I398" s="3" t="str">
        <f>IFERROR(__xludf.DUMMYFUNCTION("""COMPUTED_VALUE"""),"Min Stok cRABS 121703076 2634")</f>
        <v>Min Stok cRABS 121703076 2634</v>
      </c>
      <c r="J398" s="3" t="str">
        <f>IFERROR(__xludf.DUMMYFUNCTION("""COMPUTED_VALUE"""),"O-19382-00")</f>
        <v>O-19382-00</v>
      </c>
      <c r="K398" s="3" t="str">
        <f>IFERROR(__xludf.DUMMYFUNCTION("""COMPUTED_VALUE"""),"Approve")</f>
        <v>Approve</v>
      </c>
      <c r="L398" s="3" t="str">
        <f>IFERROR(__xludf.DUMMYFUNCTION("""COMPUTED_VALUE"""),"Normal")</f>
        <v>Normal</v>
      </c>
      <c r="M398" s="3" t="str">
        <f>IFERROR(__xludf.DUMMYFUNCTION("""COMPUTED_VALUE"""),"Non Urgent")</f>
        <v>Non Urgent</v>
      </c>
    </row>
    <row r="399">
      <c r="A399" s="4">
        <f>IFERROR(__xludf.DUMMYFUNCTION("""COMPUTED_VALUE"""),45921.5119862963)</f>
        <v>45921.51199</v>
      </c>
      <c r="B399" s="3" t="str">
        <f>IFERROR(__xludf.DUMMYFUNCTION("""COMPUTED_VALUE"""),"MFHRO0197")</f>
        <v>MFHRO0197</v>
      </c>
      <c r="C399" s="3" t="str">
        <f>IFERROR(__xludf.DUMMYFUNCTION("""COMPUTED_VALUE"""),"MIn Stok")</f>
        <v>MIn Stok</v>
      </c>
      <c r="D399" s="3" t="str">
        <f>IFERROR(__xludf.DUMMYFUNCTION("""COMPUTED_VALUE"""),"-")</f>
        <v>-</v>
      </c>
      <c r="E399" s="3" t="str">
        <f>IFERROR(__xludf.DUMMYFUNCTION("""COMPUTED_VALUE"""),"cRABS")</f>
        <v>cRABS</v>
      </c>
      <c r="F399" s="3" t="str">
        <f>IFERROR(__xludf.DUMMYFUNCTION("""COMPUTED_VALUE"""),"HEPA filter minipleat, size: 762x457x69 Class (EN 1822) : H14 - 99,995% MPPS; Hencolin; ;")</f>
        <v>HEPA filter minipleat, size: 762x457x69 Class (EN 1822) : H14 - 99,995% MPPS; Hencolin; ;</v>
      </c>
      <c r="G399" s="3">
        <f>IFERROR(__xludf.DUMMYFUNCTION("""COMPUTED_VALUE"""),2.0)</f>
        <v>2</v>
      </c>
      <c r="H399" s="3" t="str">
        <f>IFERROR(__xludf.DUMMYFUNCTION("""COMPUTED_VALUE"""),"Pieces")</f>
        <v>Pieces</v>
      </c>
      <c r="I399" s="3" t="str">
        <f>IFERROR(__xludf.DUMMYFUNCTION("""COMPUTED_VALUE"""),"Min Stok cRABS 121703076 2635")</f>
        <v>Min Stok cRABS 121703076 2635</v>
      </c>
      <c r="J399" s="3" t="str">
        <f>IFERROR(__xludf.DUMMYFUNCTION("""COMPUTED_VALUE"""),"O-19383-00")</f>
        <v>O-19383-00</v>
      </c>
      <c r="K399" s="3" t="str">
        <f>IFERROR(__xludf.DUMMYFUNCTION("""COMPUTED_VALUE"""),"Approve")</f>
        <v>Approve</v>
      </c>
      <c r="L399" s="3" t="str">
        <f>IFERROR(__xludf.DUMMYFUNCTION("""COMPUTED_VALUE"""),"Normal")</f>
        <v>Normal</v>
      </c>
      <c r="M399" s="3" t="str">
        <f>IFERROR(__xludf.DUMMYFUNCTION("""COMPUTED_VALUE"""),"Non Urgent")</f>
        <v>Non Urgent</v>
      </c>
    </row>
    <row r="400">
      <c r="A400" s="4">
        <f>IFERROR(__xludf.DUMMYFUNCTION("""COMPUTED_VALUE"""),45921.5119862963)</f>
        <v>45921.51199</v>
      </c>
      <c r="B400" s="3" t="str">
        <f>IFERROR(__xludf.DUMMYFUNCTION("""COMPUTED_VALUE"""),"MFHRO0198")</f>
        <v>MFHRO0198</v>
      </c>
      <c r="C400" s="3" t="str">
        <f>IFERROR(__xludf.DUMMYFUNCTION("""COMPUTED_VALUE"""),"MIn Stok")</f>
        <v>MIn Stok</v>
      </c>
      <c r="D400" s="3" t="str">
        <f>IFERROR(__xludf.DUMMYFUNCTION("""COMPUTED_VALUE"""),"-")</f>
        <v>-</v>
      </c>
      <c r="E400" s="3" t="str">
        <f>IFERROR(__xludf.DUMMYFUNCTION("""COMPUTED_VALUE"""),"cRABS")</f>
        <v>cRABS</v>
      </c>
      <c r="F400" s="3" t="str">
        <f>IFERROR(__xludf.DUMMYFUNCTION("""COMPUTED_VALUE"""),"HEPA filter minipleat, size: 610X305X93 H13; Hencolin; ;")</f>
        <v>HEPA filter minipleat, size: 610X305X93 H13; Hencolin; ;</v>
      </c>
      <c r="G400" s="3">
        <f>IFERROR(__xludf.DUMMYFUNCTION("""COMPUTED_VALUE"""),2.0)</f>
        <v>2</v>
      </c>
      <c r="H400" s="3" t="str">
        <f>IFERROR(__xludf.DUMMYFUNCTION("""COMPUTED_VALUE"""),"Pieces")</f>
        <v>Pieces</v>
      </c>
      <c r="I400" s="3" t="str">
        <f>IFERROR(__xludf.DUMMYFUNCTION("""COMPUTED_VALUE"""),"Min Stok cRABS 121703076 2636")</f>
        <v>Min Stok cRABS 121703076 2636</v>
      </c>
      <c r="J400" s="3" t="str">
        <f>IFERROR(__xludf.DUMMYFUNCTION("""COMPUTED_VALUE"""),"O-19391-00")</f>
        <v>O-19391-00</v>
      </c>
      <c r="K400" s="3" t="str">
        <f>IFERROR(__xludf.DUMMYFUNCTION("""COMPUTED_VALUE"""),"Approve")</f>
        <v>Approve</v>
      </c>
      <c r="L400" s="3" t="str">
        <f>IFERROR(__xludf.DUMMYFUNCTION("""COMPUTED_VALUE"""),"Normal")</f>
        <v>Normal</v>
      </c>
      <c r="M400" s="3" t="str">
        <f>IFERROR(__xludf.DUMMYFUNCTION("""COMPUTED_VALUE"""),"Non Urgent")</f>
        <v>Non Urgent</v>
      </c>
    </row>
    <row r="401">
      <c r="A401" s="4">
        <f>IFERROR(__xludf.DUMMYFUNCTION("""COMPUTED_VALUE"""),45921.5119862963)</f>
        <v>45921.51199</v>
      </c>
      <c r="B401" s="3" t="str">
        <f>IFERROR(__xludf.DUMMYFUNCTION("""COMPUTED_VALUE"""),"MFHRO0199")</f>
        <v>MFHRO0199</v>
      </c>
      <c r="C401" s="3" t="str">
        <f>IFERROR(__xludf.DUMMYFUNCTION("""COMPUTED_VALUE"""),"MIn Stok")</f>
        <v>MIn Stok</v>
      </c>
      <c r="D401" s="3" t="str">
        <f>IFERROR(__xludf.DUMMYFUNCTION("""COMPUTED_VALUE"""),"-")</f>
        <v>-</v>
      </c>
      <c r="E401" s="3" t="str">
        <f>IFERROR(__xludf.DUMMYFUNCTION("""COMPUTED_VALUE"""),"Capping")</f>
        <v>Capping</v>
      </c>
      <c r="F401" s="3" t="str">
        <f>IFERROR(__xludf.DUMMYFUNCTION("""COMPUTED_VALUE"""),"Capping VCM200 - Coupling for Encoder NBK MST 32 - P/N : -  pc")</f>
        <v>Capping VCM200 - Coupling for Encoder NBK MST 32 - P/N : -  pc</v>
      </c>
      <c r="G401" s="3">
        <f>IFERROR(__xludf.DUMMYFUNCTION("""COMPUTED_VALUE"""),2.0)</f>
        <v>2</v>
      </c>
      <c r="H401" s="3" t="str">
        <f>IFERROR(__xludf.DUMMYFUNCTION("""COMPUTED_VALUE"""),"Pieces")</f>
        <v>Pieces</v>
      </c>
      <c r="I401" s="3" t="str">
        <f>IFERROR(__xludf.DUMMYFUNCTION("""COMPUTED_VALUE"""),"Min Stok Capping 121703078 2637")</f>
        <v>Min Stok Capping 121703078 2637</v>
      </c>
      <c r="J401" s="3" t="str">
        <f>IFERROR(__xludf.DUMMYFUNCTION("""COMPUTED_VALUE"""),"O-16706-00")</f>
        <v>O-16706-00</v>
      </c>
      <c r="K401" s="3" t="str">
        <f>IFERROR(__xludf.DUMMYFUNCTION("""COMPUTED_VALUE"""),"Approve")</f>
        <v>Approve</v>
      </c>
      <c r="L401" s="3" t="str">
        <f>IFERROR(__xludf.DUMMYFUNCTION("""COMPUTED_VALUE"""),"Normal")</f>
        <v>Normal</v>
      </c>
      <c r="M401" s="3" t="str">
        <f>IFERROR(__xludf.DUMMYFUNCTION("""COMPUTED_VALUE"""),"Non Urgent")</f>
        <v>Non Urgent</v>
      </c>
    </row>
    <row r="402">
      <c r="A402" s="4">
        <f>IFERROR(__xludf.DUMMYFUNCTION("""COMPUTED_VALUE"""),45921.5119862963)</f>
        <v>45921.51199</v>
      </c>
      <c r="B402" s="3" t="str">
        <f>IFERROR(__xludf.DUMMYFUNCTION("""COMPUTED_VALUE"""),"MFHRO0200")</f>
        <v>MFHRO0200</v>
      </c>
      <c r="C402" s="3" t="str">
        <f>IFERROR(__xludf.DUMMYFUNCTION("""COMPUTED_VALUE"""),"Consumable")</f>
        <v>Consumable</v>
      </c>
      <c r="D402" s="3" t="str">
        <f>IFERROR(__xludf.DUMMYFUNCTION("""COMPUTED_VALUE"""),"-")</f>
        <v>-</v>
      </c>
      <c r="E402" s="3" t="str">
        <f>IFERROR(__xludf.DUMMYFUNCTION("""COMPUTED_VALUE"""),"Washing")</f>
        <v>Washing</v>
      </c>
      <c r="F402" s="3" t="str">
        <f>IFERROR(__xludf.DUMMYFUNCTION("""COMPUTED_VALUE"""),"General - Air Gripper; SMC; MHZJ2 20DS X43 X81B; 1 Pc")</f>
        <v>General - Air Gripper; SMC; MHZJ2 20DS X43 X81B; 1 Pc</v>
      </c>
      <c r="G402" s="3">
        <f>IFERROR(__xludf.DUMMYFUNCTION("""COMPUTED_VALUE"""),5.0)</f>
        <v>5</v>
      </c>
      <c r="H402" s="3" t="str">
        <f>IFERROR(__xludf.DUMMYFUNCTION("""COMPUTED_VALUE"""),"Pieces")</f>
        <v>Pieces</v>
      </c>
      <c r="I402" s="3" t="str">
        <f>IFERROR(__xludf.DUMMYFUNCTION("""COMPUTED_VALUE"""),"Untuk Washing 121703081 2640")</f>
        <v>Untuk Washing 121703081 2640</v>
      </c>
      <c r="J402" s="3" t="str">
        <f>IFERROR(__xludf.DUMMYFUNCTION("""COMPUTED_VALUE"""),"O-20913-00")</f>
        <v>O-20913-00</v>
      </c>
      <c r="K402" s="3" t="str">
        <f>IFERROR(__xludf.DUMMYFUNCTION("""COMPUTED_VALUE"""),"Approve")</f>
        <v>Approve</v>
      </c>
      <c r="L402" s="3" t="str">
        <f>IFERROR(__xludf.DUMMYFUNCTION("""COMPUTED_VALUE"""),"Normal")</f>
        <v>Normal</v>
      </c>
      <c r="M402" s="3" t="str">
        <f>IFERROR(__xludf.DUMMYFUNCTION("""COMPUTED_VALUE"""),"Non Urgent")</f>
        <v>Non Urgent</v>
      </c>
    </row>
    <row r="403">
      <c r="A403" s="4">
        <f>IFERROR(__xludf.DUMMYFUNCTION("""COMPUTED_VALUE"""),45921.5119862963)</f>
        <v>45921.51199</v>
      </c>
      <c r="B403" s="3" t="str">
        <f>IFERROR(__xludf.DUMMYFUNCTION("""COMPUTED_VALUE"""),"MFHRO0201")</f>
        <v>MFHRO0201</v>
      </c>
      <c r="C403" s="3" t="str">
        <f>IFERROR(__xludf.DUMMYFUNCTION("""COMPUTED_VALUE"""),"MIn Stok")</f>
        <v>MIn Stok</v>
      </c>
      <c r="D403" s="3" t="str">
        <f>IFERROR(__xludf.DUMMYFUNCTION("""COMPUTED_VALUE"""),"-")</f>
        <v>-</v>
      </c>
      <c r="E403" s="3" t="str">
        <f>IFERROR(__xludf.DUMMYFUNCTION("""COMPUTED_VALUE"""),"Capping")</f>
        <v>Capping</v>
      </c>
      <c r="F403" s="3" t="str">
        <f>IFERROR(__xludf.DUMMYFUNCTION("""COMPUTED_VALUE"""),"Misumi - Linear Shaft PSFAA8-46-F11-P6-M3-N3; ; ;")</f>
        <v>Misumi - Linear Shaft PSFAA8-46-F11-P6-M3-N3; ; ;</v>
      </c>
      <c r="G403" s="3">
        <f>IFERROR(__xludf.DUMMYFUNCTION("""COMPUTED_VALUE"""),1.0)</f>
        <v>1</v>
      </c>
      <c r="H403" s="3" t="str">
        <f>IFERROR(__xludf.DUMMYFUNCTION("""COMPUTED_VALUE"""),"Pieces")</f>
        <v>Pieces</v>
      </c>
      <c r="I403" s="3" t="str">
        <f>IFERROR(__xludf.DUMMYFUNCTION("""COMPUTED_VALUE"""),"Min Stok Capping 121703083 2641")</f>
        <v>Min Stok Capping 121703083 2641</v>
      </c>
      <c r="J403" s="3" t="str">
        <f>IFERROR(__xludf.DUMMYFUNCTION("""COMPUTED_VALUE"""),"O-19005-00")</f>
        <v>O-19005-00</v>
      </c>
      <c r="K403" s="3" t="str">
        <f>IFERROR(__xludf.DUMMYFUNCTION("""COMPUTED_VALUE"""),"Approve")</f>
        <v>Approve</v>
      </c>
      <c r="L403" s="3" t="str">
        <f>IFERROR(__xludf.DUMMYFUNCTION("""COMPUTED_VALUE"""),"Normal")</f>
        <v>Normal</v>
      </c>
      <c r="M403" s="3" t="str">
        <f>IFERROR(__xludf.DUMMYFUNCTION("""COMPUTED_VALUE"""),"Non Urgent")</f>
        <v>Non Urgent</v>
      </c>
    </row>
    <row r="404">
      <c r="A404" s="4">
        <f>IFERROR(__xludf.DUMMYFUNCTION("""COMPUTED_VALUE"""),45921.5119862963)</f>
        <v>45921.51199</v>
      </c>
      <c r="B404" s="3" t="str">
        <f>IFERROR(__xludf.DUMMYFUNCTION("""COMPUTED_VALUE"""),"MFHRO0202")</f>
        <v>MFHRO0202</v>
      </c>
      <c r="C404" s="3" t="str">
        <f>IFERROR(__xludf.DUMMYFUNCTION("""COMPUTED_VALUE"""),"Consumable")</f>
        <v>Consumable</v>
      </c>
      <c r="D404" s="3" t="str">
        <f>IFERROR(__xludf.DUMMYFUNCTION("""COMPUTED_VALUE"""),"-")</f>
        <v>-</v>
      </c>
      <c r="E404" s="3" t="str">
        <f>IFERROR(__xludf.DUMMYFUNCTION("""COMPUTED_VALUE"""),"Tools")</f>
        <v>Tools</v>
      </c>
      <c r="F404" s="3" t="str">
        <f>IFERROR(__xludf.DUMMYFUNCTION("""COMPUTED_VALUE"""),"Jangka Sorong Digital / Digital Caliper; Mitutoyo; CN: 500-197-30; pc")</f>
        <v>Jangka Sorong Digital / Digital Caliper; Mitutoyo; CN: 500-197-30; pc</v>
      </c>
      <c r="G404" s="3">
        <f>IFERROR(__xludf.DUMMYFUNCTION("""COMPUTED_VALUE"""),1.0)</f>
        <v>1</v>
      </c>
      <c r="H404" s="3" t="str">
        <f>IFERROR(__xludf.DUMMYFUNCTION("""COMPUTED_VALUE"""),"Pieces")</f>
        <v>Pieces</v>
      </c>
      <c r="I404" s="3" t="str">
        <f>IFERROR(__xludf.DUMMYFUNCTION("""COMPUTED_VALUE"""),"Untuk Tools Engineering 121703089 2648")</f>
        <v>Untuk Tools Engineering 121703089 2648</v>
      </c>
      <c r="J404" s="3" t="str">
        <f>IFERROR(__xludf.DUMMYFUNCTION("""COMPUTED_VALUE"""),"Q-70149-00")</f>
        <v>Q-70149-00</v>
      </c>
      <c r="K404" s="3" t="str">
        <f>IFERROR(__xludf.DUMMYFUNCTION("""COMPUTED_VALUE"""),"Approve")</f>
        <v>Approve</v>
      </c>
      <c r="L404" s="3" t="str">
        <f>IFERROR(__xludf.DUMMYFUNCTION("""COMPUTED_VALUE"""),"Normal")</f>
        <v>Normal</v>
      </c>
      <c r="M404" s="3" t="str">
        <f>IFERROR(__xludf.DUMMYFUNCTION("""COMPUTED_VALUE"""),"Non Urgent")</f>
        <v>Non Urgent</v>
      </c>
    </row>
    <row r="405">
      <c r="A405" s="4">
        <f>IFERROR(__xludf.DUMMYFUNCTION("""COMPUTED_VALUE"""),45921.5119862963)</f>
        <v>45921.51199</v>
      </c>
      <c r="B405" s="3" t="str">
        <f>IFERROR(__xludf.DUMMYFUNCTION("""COMPUTED_VALUE"""),"MFHRO0203")</f>
        <v>MFHRO0203</v>
      </c>
      <c r="C405" s="3" t="str">
        <f>IFERROR(__xludf.DUMMYFUNCTION("""COMPUTED_VALUE"""),"Consumable")</f>
        <v>Consumable</v>
      </c>
      <c r="D405" s="3" t="str">
        <f>IFERROR(__xludf.DUMMYFUNCTION("""COMPUTED_VALUE"""),"-")</f>
        <v>-</v>
      </c>
      <c r="E405" s="3" t="str">
        <f>IFERROR(__xludf.DUMMYFUNCTION("""COMPUTED_VALUE"""),"Tools")</f>
        <v>Tools</v>
      </c>
      <c r="F405" s="3" t="str">
        <f>IFERROR(__xludf.DUMMYFUNCTION("""COMPUTED_VALUE"""),"Kunci L Bintang / Torx Key Uk. 10 mm; Tekiro; HK-TL1221; pc")</f>
        <v>Kunci L Bintang / Torx Key Uk. 10 mm; Tekiro; HK-TL1221; pc</v>
      </c>
      <c r="G405" s="3">
        <f>IFERROR(__xludf.DUMMYFUNCTION("""COMPUTED_VALUE"""),1.0)</f>
        <v>1</v>
      </c>
      <c r="H405" s="3" t="str">
        <f>IFERROR(__xludf.DUMMYFUNCTION("""COMPUTED_VALUE"""),"Pieces")</f>
        <v>Pieces</v>
      </c>
      <c r="I405" s="3" t="str">
        <f>IFERROR(__xludf.DUMMYFUNCTION("""COMPUTED_VALUE"""),"Untuk Tools Engineering 121703089 2649")</f>
        <v>Untuk Tools Engineering 121703089 2649</v>
      </c>
      <c r="J405" s="3" t="str">
        <f>IFERROR(__xludf.DUMMYFUNCTION("""COMPUTED_VALUE"""),"Q-70167-00")</f>
        <v>Q-70167-00</v>
      </c>
      <c r="K405" s="3" t="str">
        <f>IFERROR(__xludf.DUMMYFUNCTION("""COMPUTED_VALUE"""),"Approve")</f>
        <v>Approve</v>
      </c>
      <c r="L405" s="3" t="str">
        <f>IFERROR(__xludf.DUMMYFUNCTION("""COMPUTED_VALUE"""),"Normal")</f>
        <v>Normal</v>
      </c>
      <c r="M405" s="3" t="str">
        <f>IFERROR(__xludf.DUMMYFUNCTION("""COMPUTED_VALUE"""),"Non Urgent")</f>
        <v>Non Urgent</v>
      </c>
    </row>
    <row r="406">
      <c r="A406" s="4">
        <f>IFERROR(__xludf.DUMMYFUNCTION("""COMPUTED_VALUE"""),45921.5119862963)</f>
        <v>45921.51199</v>
      </c>
      <c r="B406" s="3" t="str">
        <f>IFERROR(__xludf.DUMMYFUNCTION("""COMPUTED_VALUE"""),"MFHRO0204")</f>
        <v>MFHRO0204</v>
      </c>
      <c r="C406" s="3" t="str">
        <f>IFERROR(__xludf.DUMMYFUNCTION("""COMPUTED_VALUE"""),"Consumable")</f>
        <v>Consumable</v>
      </c>
      <c r="D406" s="3" t="str">
        <f>IFERROR(__xludf.DUMMYFUNCTION("""COMPUTED_VALUE"""),"-")</f>
        <v>-</v>
      </c>
      <c r="E406" s="3" t="str">
        <f>IFERROR(__xludf.DUMMYFUNCTION("""COMPUTED_VALUE"""),"Tools")</f>
        <v>Tools</v>
      </c>
      <c r="F406" s="3" t="str">
        <f>IFERROR(__xludf.DUMMYFUNCTION("""COMPUTED_VALUE"""),"Kunci L Uk. 1,5 mm; Tekiro; HK-LO1164; pc")</f>
        <v>Kunci L Uk. 1,5 mm; Tekiro; HK-LO1164; pc</v>
      </c>
      <c r="G406" s="3">
        <f>IFERROR(__xludf.DUMMYFUNCTION("""COMPUTED_VALUE"""),3.0)</f>
        <v>3</v>
      </c>
      <c r="H406" s="3" t="str">
        <f>IFERROR(__xludf.DUMMYFUNCTION("""COMPUTED_VALUE"""),"Pieces")</f>
        <v>Pieces</v>
      </c>
      <c r="I406" s="3" t="str">
        <f>IFERROR(__xludf.DUMMYFUNCTION("""COMPUTED_VALUE"""),"Untuk Tools Engineering 121703089 2652")</f>
        <v>Untuk Tools Engineering 121703089 2652</v>
      </c>
      <c r="J406" s="3" t="str">
        <f>IFERROR(__xludf.DUMMYFUNCTION("""COMPUTED_VALUE"""),"Q-70170-00")</f>
        <v>Q-70170-00</v>
      </c>
      <c r="K406" s="3" t="str">
        <f>IFERROR(__xludf.DUMMYFUNCTION("""COMPUTED_VALUE"""),"Approve")</f>
        <v>Approve</v>
      </c>
      <c r="L406" s="3" t="str">
        <f>IFERROR(__xludf.DUMMYFUNCTION("""COMPUTED_VALUE"""),"Normal")</f>
        <v>Normal</v>
      </c>
      <c r="M406" s="3" t="str">
        <f>IFERROR(__xludf.DUMMYFUNCTION("""COMPUTED_VALUE"""),"Non Urgent")</f>
        <v>Non Urgent</v>
      </c>
    </row>
    <row r="407">
      <c r="A407" s="4">
        <f>IFERROR(__xludf.DUMMYFUNCTION("""COMPUTED_VALUE"""),45921.5119862963)</f>
        <v>45921.51199</v>
      </c>
      <c r="B407" s="3" t="str">
        <f>IFERROR(__xludf.DUMMYFUNCTION("""COMPUTED_VALUE"""),"MFHRO0205")</f>
        <v>MFHRO0205</v>
      </c>
      <c r="C407" s="3" t="str">
        <f>IFERROR(__xludf.DUMMYFUNCTION("""COMPUTED_VALUE"""),"Consumable")</f>
        <v>Consumable</v>
      </c>
      <c r="D407" s="3" t="str">
        <f>IFERROR(__xludf.DUMMYFUNCTION("""COMPUTED_VALUE"""),"-")</f>
        <v>-</v>
      </c>
      <c r="E407" s="3" t="str">
        <f>IFERROR(__xludf.DUMMYFUNCTION("""COMPUTED_VALUE"""),"Tools")</f>
        <v>Tools</v>
      </c>
      <c r="F407" s="3" t="str">
        <f>IFERROR(__xludf.DUMMYFUNCTION("""COMPUTED_VALUE"""),"Kunci L Uk 2 mm; Tekiro; HK-LO1165; pc")</f>
        <v>Kunci L Uk 2 mm; Tekiro; HK-LO1165; pc</v>
      </c>
      <c r="G407" s="3">
        <f>IFERROR(__xludf.DUMMYFUNCTION("""COMPUTED_VALUE"""),1.0)</f>
        <v>1</v>
      </c>
      <c r="H407" s="3" t="str">
        <f>IFERROR(__xludf.DUMMYFUNCTION("""COMPUTED_VALUE"""),"Pieces")</f>
        <v>Pieces</v>
      </c>
      <c r="I407" s="3" t="str">
        <f>IFERROR(__xludf.DUMMYFUNCTION("""COMPUTED_VALUE"""),"Untuk Tools Engineering 121703089 2653")</f>
        <v>Untuk Tools Engineering 121703089 2653</v>
      </c>
      <c r="J407" s="3" t="str">
        <f>IFERROR(__xludf.DUMMYFUNCTION("""COMPUTED_VALUE"""),"Q-70171-00")</f>
        <v>Q-70171-00</v>
      </c>
      <c r="K407" s="3" t="str">
        <f>IFERROR(__xludf.DUMMYFUNCTION("""COMPUTED_VALUE"""),"Approve")</f>
        <v>Approve</v>
      </c>
      <c r="L407" s="3" t="str">
        <f>IFERROR(__xludf.DUMMYFUNCTION("""COMPUTED_VALUE"""),"Normal")</f>
        <v>Normal</v>
      </c>
      <c r="M407" s="3" t="str">
        <f>IFERROR(__xludf.DUMMYFUNCTION("""COMPUTED_VALUE"""),"Non Urgent")</f>
        <v>Non Urgent</v>
      </c>
    </row>
    <row r="408">
      <c r="A408" s="4">
        <f>IFERROR(__xludf.DUMMYFUNCTION("""COMPUTED_VALUE"""),45921.5119862963)</f>
        <v>45921.51199</v>
      </c>
      <c r="B408" s="3" t="str">
        <f>IFERROR(__xludf.DUMMYFUNCTION("""COMPUTED_VALUE"""),"MFHRO0206")</f>
        <v>MFHRO0206</v>
      </c>
      <c r="C408" s="3" t="str">
        <f>IFERROR(__xludf.DUMMYFUNCTION("""COMPUTED_VALUE"""),"Consumable")</f>
        <v>Consumable</v>
      </c>
      <c r="D408" s="3" t="str">
        <f>IFERROR(__xludf.DUMMYFUNCTION("""COMPUTED_VALUE"""),"-")</f>
        <v>-</v>
      </c>
      <c r="E408" s="3" t="str">
        <f>IFERROR(__xludf.DUMMYFUNCTION("""COMPUTED_VALUE"""),"Tools")</f>
        <v>Tools</v>
      </c>
      <c r="F408" s="3" t="str">
        <f>IFERROR(__xludf.DUMMYFUNCTION("""COMPUTED_VALUE"""),"Kunci L uk. 3 mm; Tekiro; HK-LO1166; pc")</f>
        <v>Kunci L uk. 3 mm; Tekiro; HK-LO1166; pc</v>
      </c>
      <c r="G408" s="3">
        <f>IFERROR(__xludf.DUMMYFUNCTION("""COMPUTED_VALUE"""),1.0)</f>
        <v>1</v>
      </c>
      <c r="H408" s="3" t="str">
        <f>IFERROR(__xludf.DUMMYFUNCTION("""COMPUTED_VALUE"""),"Pieces")</f>
        <v>Pieces</v>
      </c>
      <c r="I408" s="3" t="str">
        <f>IFERROR(__xludf.DUMMYFUNCTION("""COMPUTED_VALUE"""),"Untuk Tools Engineering 121703089 2654")</f>
        <v>Untuk Tools Engineering 121703089 2654</v>
      </c>
      <c r="J408" s="3" t="str">
        <f>IFERROR(__xludf.DUMMYFUNCTION("""COMPUTED_VALUE"""),"Q-70172-00")</f>
        <v>Q-70172-00</v>
      </c>
      <c r="K408" s="3" t="str">
        <f>IFERROR(__xludf.DUMMYFUNCTION("""COMPUTED_VALUE"""),"Approve")</f>
        <v>Approve</v>
      </c>
      <c r="L408" s="3" t="str">
        <f>IFERROR(__xludf.DUMMYFUNCTION("""COMPUTED_VALUE"""),"Normal")</f>
        <v>Normal</v>
      </c>
      <c r="M408" s="3" t="str">
        <f>IFERROR(__xludf.DUMMYFUNCTION("""COMPUTED_VALUE"""),"Non Urgent")</f>
        <v>Non Urgent</v>
      </c>
    </row>
    <row r="409">
      <c r="A409" s="4">
        <f>IFERROR(__xludf.DUMMYFUNCTION("""COMPUTED_VALUE"""),45921.5119862963)</f>
        <v>45921.51199</v>
      </c>
      <c r="B409" s="3" t="str">
        <f>IFERROR(__xludf.DUMMYFUNCTION("""COMPUTED_VALUE"""),"MFHRO0207")</f>
        <v>MFHRO0207</v>
      </c>
      <c r="C409" s="3" t="str">
        <f>IFERROR(__xludf.DUMMYFUNCTION("""COMPUTED_VALUE"""),"Consumable")</f>
        <v>Consumable</v>
      </c>
      <c r="D409" s="3" t="str">
        <f>IFERROR(__xludf.DUMMYFUNCTION("""COMPUTED_VALUE"""),"-")</f>
        <v>-</v>
      </c>
      <c r="E409" s="3" t="str">
        <f>IFERROR(__xludf.DUMMYFUNCTION("""COMPUTED_VALUE"""),"Tools")</f>
        <v>Tools</v>
      </c>
      <c r="F409" s="3" t="str">
        <f>IFERROR(__xludf.DUMMYFUNCTION("""COMPUTED_VALUE"""),"Kunci L Bintang / Torx Key Uk. 20 mm; Tekiro; HK-TL1223; pc")</f>
        <v>Kunci L Bintang / Torx Key Uk. 20 mm; Tekiro; HK-TL1223; pc</v>
      </c>
      <c r="G409" s="3">
        <f>IFERROR(__xludf.DUMMYFUNCTION("""COMPUTED_VALUE"""),1.0)</f>
        <v>1</v>
      </c>
      <c r="H409" s="3" t="str">
        <f>IFERROR(__xludf.DUMMYFUNCTION("""COMPUTED_VALUE"""),"Pieces")</f>
        <v>Pieces</v>
      </c>
      <c r="I409" s="3" t="str">
        <f>IFERROR(__xludf.DUMMYFUNCTION("""COMPUTED_VALUE"""),"Untuk Tools Engineering 121703089 2655")</f>
        <v>Untuk Tools Engineering 121703089 2655</v>
      </c>
      <c r="J409" s="3" t="str">
        <f>IFERROR(__xludf.DUMMYFUNCTION("""COMPUTED_VALUE"""),"Q-70173-00")</f>
        <v>Q-70173-00</v>
      </c>
      <c r="K409" s="3" t="str">
        <f>IFERROR(__xludf.DUMMYFUNCTION("""COMPUTED_VALUE"""),"Approve")</f>
        <v>Approve</v>
      </c>
      <c r="L409" s="3" t="str">
        <f>IFERROR(__xludf.DUMMYFUNCTION("""COMPUTED_VALUE"""),"Normal")</f>
        <v>Normal</v>
      </c>
      <c r="M409" s="3" t="str">
        <f>IFERROR(__xludf.DUMMYFUNCTION("""COMPUTED_VALUE"""),"Non Urgent")</f>
        <v>Non Urgent</v>
      </c>
    </row>
    <row r="410">
      <c r="A410" s="4">
        <f>IFERROR(__xludf.DUMMYFUNCTION("""COMPUTED_VALUE"""),45921.5119862963)</f>
        <v>45921.51199</v>
      </c>
      <c r="B410" s="3" t="str">
        <f>IFERROR(__xludf.DUMMYFUNCTION("""COMPUTED_VALUE"""),"MFHRO0208")</f>
        <v>MFHRO0208</v>
      </c>
      <c r="C410" s="3" t="str">
        <f>IFERROR(__xludf.DUMMYFUNCTION("""COMPUTED_VALUE"""),"Consumable")</f>
        <v>Consumable</v>
      </c>
      <c r="D410" s="3" t="str">
        <f>IFERROR(__xludf.DUMMYFUNCTION("""COMPUTED_VALUE"""),"-")</f>
        <v>-</v>
      </c>
      <c r="E410" s="3" t="str">
        <f>IFERROR(__xludf.DUMMYFUNCTION("""COMPUTED_VALUE"""),"Tools")</f>
        <v>Tools</v>
      </c>
      <c r="F410" s="3" t="str">
        <f>IFERROR(__xludf.DUMMYFUNCTION("""COMPUTED_VALUE"""),"Kunci L Bintang / Torx Key Uk. 25 mm; Tekiro; HK-TL1224; pc")</f>
        <v>Kunci L Bintang / Torx Key Uk. 25 mm; Tekiro; HK-TL1224; pc</v>
      </c>
      <c r="G410" s="3">
        <f>IFERROR(__xludf.DUMMYFUNCTION("""COMPUTED_VALUE"""),1.0)</f>
        <v>1</v>
      </c>
      <c r="H410" s="3" t="str">
        <f>IFERROR(__xludf.DUMMYFUNCTION("""COMPUTED_VALUE"""),"Pieces")</f>
        <v>Pieces</v>
      </c>
      <c r="I410" s="3" t="str">
        <f>IFERROR(__xludf.DUMMYFUNCTION("""COMPUTED_VALUE"""),"Untuk Tools Engineering 121703089 2656")</f>
        <v>Untuk Tools Engineering 121703089 2656</v>
      </c>
      <c r="J410" s="3" t="str">
        <f>IFERROR(__xludf.DUMMYFUNCTION("""COMPUTED_VALUE"""),"Q-70174-00")</f>
        <v>Q-70174-00</v>
      </c>
      <c r="K410" s="3" t="str">
        <f>IFERROR(__xludf.DUMMYFUNCTION("""COMPUTED_VALUE"""),"Approve")</f>
        <v>Approve</v>
      </c>
      <c r="L410" s="3" t="str">
        <f>IFERROR(__xludf.DUMMYFUNCTION("""COMPUTED_VALUE"""),"Normal")</f>
        <v>Normal</v>
      </c>
      <c r="M410" s="3" t="str">
        <f>IFERROR(__xludf.DUMMYFUNCTION("""COMPUTED_VALUE"""),"Non Urgent")</f>
        <v>Non Urgent</v>
      </c>
    </row>
    <row r="411">
      <c r="A411" s="4">
        <f>IFERROR(__xludf.DUMMYFUNCTION("""COMPUTED_VALUE"""),45921.5119862963)</f>
        <v>45921.51199</v>
      </c>
      <c r="B411" s="3" t="str">
        <f>IFERROR(__xludf.DUMMYFUNCTION("""COMPUTED_VALUE"""),"MFHRO0209")</f>
        <v>MFHRO0209</v>
      </c>
      <c r="C411" s="3" t="str">
        <f>IFERROR(__xludf.DUMMYFUNCTION("""COMPUTED_VALUE"""),"Consumable")</f>
        <v>Consumable</v>
      </c>
      <c r="D411" s="3" t="str">
        <f>IFERROR(__xludf.DUMMYFUNCTION("""COMPUTED_VALUE"""),"-")</f>
        <v>-</v>
      </c>
      <c r="E411" s="3" t="str">
        <f>IFERROR(__xludf.DUMMYFUNCTION("""COMPUTED_VALUE"""),"Tools")</f>
        <v>Tools</v>
      </c>
      <c r="F411" s="3" t="str">
        <f>IFERROR(__xludf.DUMMYFUNCTION("""COMPUTED_VALUE"""),"Kunci L Bintang / Torx Key Uk. 50 mm; Tekiro; HK-TL1228; pc")</f>
        <v>Kunci L Bintang / Torx Key Uk. 50 mm; Tekiro; HK-TL1228; pc</v>
      </c>
      <c r="G411" s="3">
        <f>IFERROR(__xludf.DUMMYFUNCTION("""COMPUTED_VALUE"""),1.0)</f>
        <v>1</v>
      </c>
      <c r="H411" s="3" t="str">
        <f>IFERROR(__xludf.DUMMYFUNCTION("""COMPUTED_VALUE"""),"Pieces")</f>
        <v>Pieces</v>
      </c>
      <c r="I411" s="3" t="str">
        <f>IFERROR(__xludf.DUMMYFUNCTION("""COMPUTED_VALUE"""),"Untuk Tools Engineering 121703089 2657")</f>
        <v>Untuk Tools Engineering 121703089 2657</v>
      </c>
      <c r="J411" s="3" t="str">
        <f>IFERROR(__xludf.DUMMYFUNCTION("""COMPUTED_VALUE"""),"Q-70175-00")</f>
        <v>Q-70175-00</v>
      </c>
      <c r="K411" s="3" t="str">
        <f>IFERROR(__xludf.DUMMYFUNCTION("""COMPUTED_VALUE"""),"Approve")</f>
        <v>Approve</v>
      </c>
      <c r="L411" s="3" t="str">
        <f>IFERROR(__xludf.DUMMYFUNCTION("""COMPUTED_VALUE"""),"Normal")</f>
        <v>Normal</v>
      </c>
      <c r="M411" s="3" t="str">
        <f>IFERROR(__xludf.DUMMYFUNCTION("""COMPUTED_VALUE"""),"Non Urgent")</f>
        <v>Non Urgent</v>
      </c>
    </row>
    <row r="412">
      <c r="A412" s="4">
        <f>IFERROR(__xludf.DUMMYFUNCTION("""COMPUTED_VALUE"""),45921.5119862963)</f>
        <v>45921.51199</v>
      </c>
      <c r="B412" s="3" t="str">
        <f>IFERROR(__xludf.DUMMYFUNCTION("""COMPUTED_VALUE"""),"MFHRO0210")</f>
        <v>MFHRO0210</v>
      </c>
      <c r="C412" s="3" t="str">
        <f>IFERROR(__xludf.DUMMYFUNCTION("""COMPUTED_VALUE"""),"Consumable")</f>
        <v>Consumable</v>
      </c>
      <c r="D412" s="3" t="str">
        <f>IFERROR(__xludf.DUMMYFUNCTION("""COMPUTED_VALUE"""),"-")</f>
        <v>-</v>
      </c>
      <c r="E412" s="3" t="str">
        <f>IFERROR(__xludf.DUMMYFUNCTION("""COMPUTED_VALUE"""),"Tools")</f>
        <v>Tools</v>
      </c>
      <c r="F412" s="3" t="str">
        <f>IFERROR(__xludf.DUMMYFUNCTION("""COMPUTED_VALUE"""),"Kunci Pas No 21 &amp; 23; Tekiro; WR-OE0086; pc")</f>
        <v>Kunci Pas No 21 &amp; 23; Tekiro; WR-OE0086; pc</v>
      </c>
      <c r="G412" s="3">
        <f>IFERROR(__xludf.DUMMYFUNCTION("""COMPUTED_VALUE"""),1.0)</f>
        <v>1</v>
      </c>
      <c r="H412" s="3" t="str">
        <f>IFERROR(__xludf.DUMMYFUNCTION("""COMPUTED_VALUE"""),"Pieces")</f>
        <v>Pieces</v>
      </c>
      <c r="I412" s="3" t="str">
        <f>IFERROR(__xludf.DUMMYFUNCTION("""COMPUTED_VALUE"""),"Untuk Tools Engineering 121703089 2658")</f>
        <v>Untuk Tools Engineering 121703089 2658</v>
      </c>
      <c r="J412" s="3" t="str">
        <f>IFERROR(__xludf.DUMMYFUNCTION("""COMPUTED_VALUE"""),"Q-70176-00")</f>
        <v>Q-70176-00</v>
      </c>
      <c r="K412" s="3" t="str">
        <f>IFERROR(__xludf.DUMMYFUNCTION("""COMPUTED_VALUE"""),"Approve")</f>
        <v>Approve</v>
      </c>
      <c r="L412" s="3" t="str">
        <f>IFERROR(__xludf.DUMMYFUNCTION("""COMPUTED_VALUE"""),"Normal")</f>
        <v>Normal</v>
      </c>
      <c r="M412" s="3" t="str">
        <f>IFERROR(__xludf.DUMMYFUNCTION("""COMPUTED_VALUE"""),"Non Urgent")</f>
        <v>Non Urgent</v>
      </c>
    </row>
    <row r="413">
      <c r="A413" s="4">
        <f>IFERROR(__xludf.DUMMYFUNCTION("""COMPUTED_VALUE"""),45921.5119862963)</f>
        <v>45921.51199</v>
      </c>
      <c r="B413" s="3" t="str">
        <f>IFERROR(__xludf.DUMMYFUNCTION("""COMPUTED_VALUE"""),"MFHRO0211")</f>
        <v>MFHRO0211</v>
      </c>
      <c r="C413" s="3" t="str">
        <f>IFERROR(__xludf.DUMMYFUNCTION("""COMPUTED_VALUE"""),"Consumable")</f>
        <v>Consumable</v>
      </c>
      <c r="D413" s="3" t="str">
        <f>IFERROR(__xludf.DUMMYFUNCTION("""COMPUTED_VALUE"""),"-")</f>
        <v>-</v>
      </c>
      <c r="E413" s="3" t="str">
        <f>IFERROR(__xludf.DUMMYFUNCTION("""COMPUTED_VALUE"""),"Tools")</f>
        <v>Tools</v>
      </c>
      <c r="F413" s="3" t="str">
        <f>IFERROR(__xludf.DUMMYFUNCTION("""COMPUTED_VALUE"""),"Tang Potong Uk. 5 Inch; SATA; CN: 05522; pc")</f>
        <v>Tang Potong Uk. 5 Inch; SATA; CN: 05522; pc</v>
      </c>
      <c r="G413" s="3">
        <f>IFERROR(__xludf.DUMMYFUNCTION("""COMPUTED_VALUE"""),3.0)</f>
        <v>3</v>
      </c>
      <c r="H413" s="3" t="str">
        <f>IFERROR(__xludf.DUMMYFUNCTION("""COMPUTED_VALUE"""),"Pieces")</f>
        <v>Pieces</v>
      </c>
      <c r="I413" s="3" t="str">
        <f>IFERROR(__xludf.DUMMYFUNCTION("""COMPUTED_VALUE"""),"Untuk Tools Engineering 121703089 2659")</f>
        <v>Untuk Tools Engineering 121703089 2659</v>
      </c>
      <c r="J413" s="3" t="str">
        <f>IFERROR(__xludf.DUMMYFUNCTION("""COMPUTED_VALUE"""),"Q-70178-00")</f>
        <v>Q-70178-00</v>
      </c>
      <c r="K413" s="3" t="str">
        <f>IFERROR(__xludf.DUMMYFUNCTION("""COMPUTED_VALUE"""),"Approve")</f>
        <v>Approve</v>
      </c>
      <c r="L413" s="3" t="str">
        <f>IFERROR(__xludf.DUMMYFUNCTION("""COMPUTED_VALUE"""),"Normal")</f>
        <v>Normal</v>
      </c>
      <c r="M413" s="3" t="str">
        <f>IFERROR(__xludf.DUMMYFUNCTION("""COMPUTED_VALUE"""),"Non Urgent")</f>
        <v>Non Urgent</v>
      </c>
    </row>
    <row r="414">
      <c r="A414" s="4">
        <f>IFERROR(__xludf.DUMMYFUNCTION("""COMPUTED_VALUE"""),45921.5119862963)</f>
        <v>45921.51199</v>
      </c>
      <c r="B414" s="3" t="str">
        <f>IFERROR(__xludf.DUMMYFUNCTION("""COMPUTED_VALUE"""),"MFHRO0212")</f>
        <v>MFHRO0212</v>
      </c>
      <c r="C414" s="3" t="str">
        <f>IFERROR(__xludf.DUMMYFUNCTION("""COMPUTED_VALUE"""),"Consumable")</f>
        <v>Consumable</v>
      </c>
      <c r="D414" s="3" t="str">
        <f>IFERROR(__xludf.DUMMYFUNCTION("""COMPUTED_VALUE"""),"-")</f>
        <v>-</v>
      </c>
      <c r="E414" s="3" t="str">
        <f>IFERROR(__xludf.DUMMYFUNCTION("""COMPUTED_VALUE"""),"Tools")</f>
        <v>Tools</v>
      </c>
      <c r="F414" s="3" t="str">
        <f>IFERROR(__xludf.DUMMYFUNCTION("""COMPUTED_VALUE"""),"Obeng Listrik Presisi / Insulation Precision Screwdriver; Tekiro; SD-IP0930; 6 pc/set")</f>
        <v>Obeng Listrik Presisi / Insulation Precision Screwdriver; Tekiro; SD-IP0930; 6 pc/set</v>
      </c>
      <c r="G414" s="3">
        <f>IFERROR(__xludf.DUMMYFUNCTION("""COMPUTED_VALUE"""),1.0)</f>
        <v>1</v>
      </c>
      <c r="H414" s="3" t="str">
        <f>IFERROR(__xludf.DUMMYFUNCTION("""COMPUTED_VALUE"""),"Set")</f>
        <v>Set</v>
      </c>
      <c r="I414" s="3" t="str">
        <f>IFERROR(__xludf.DUMMYFUNCTION("""COMPUTED_VALUE"""),"Untuk Tools Engineering 121703090 2660")</f>
        <v>Untuk Tools Engineering 121703090 2660</v>
      </c>
      <c r="J414" s="3" t="str">
        <f>IFERROR(__xludf.DUMMYFUNCTION("""COMPUTED_VALUE"""),"Q-70181-00")</f>
        <v>Q-70181-00</v>
      </c>
      <c r="K414" s="3" t="str">
        <f>IFERROR(__xludf.DUMMYFUNCTION("""COMPUTED_VALUE"""),"Approve")</f>
        <v>Approve</v>
      </c>
      <c r="L414" s="3" t="str">
        <f>IFERROR(__xludf.DUMMYFUNCTION("""COMPUTED_VALUE"""),"Normal")</f>
        <v>Normal</v>
      </c>
      <c r="M414" s="3" t="str">
        <f>IFERROR(__xludf.DUMMYFUNCTION("""COMPUTED_VALUE"""),"Non Urgent")</f>
        <v>Non Urgent</v>
      </c>
    </row>
    <row r="415">
      <c r="A415" s="4">
        <f>IFERROR(__xludf.DUMMYFUNCTION("""COMPUTED_VALUE"""),45921.5119862963)</f>
        <v>45921.51199</v>
      </c>
      <c r="B415" s="3" t="str">
        <f>IFERROR(__xludf.DUMMYFUNCTION("""COMPUTED_VALUE"""),"MFHRO0213")</f>
        <v>MFHRO0213</v>
      </c>
      <c r="C415" s="3" t="str">
        <f>IFERROR(__xludf.DUMMYFUNCTION("""COMPUTED_VALUE"""),"Consumable")</f>
        <v>Consumable</v>
      </c>
      <c r="D415" s="3" t="str">
        <f>IFERROR(__xludf.DUMMYFUNCTION("""COMPUTED_VALUE"""),"-")</f>
        <v>-</v>
      </c>
      <c r="E415" s="3" t="str">
        <f>IFERROR(__xludf.DUMMYFUNCTION("""COMPUTED_VALUE"""),"Tools")</f>
        <v>Tools</v>
      </c>
      <c r="F415" s="3" t="str">
        <f>IFERROR(__xludf.DUMMYFUNCTION("""COMPUTED_VALUE"""),"Obeng Listrik / Insulated Screwdriver Plus 2x100mm PH2; SATA; 61223; pc")</f>
        <v>Obeng Listrik / Insulated Screwdriver Plus 2x100mm PH2; SATA; 61223; pc</v>
      </c>
      <c r="G415" s="3">
        <f>IFERROR(__xludf.DUMMYFUNCTION("""COMPUTED_VALUE"""),6.0)</f>
        <v>6</v>
      </c>
      <c r="H415" s="3" t="str">
        <f>IFERROR(__xludf.DUMMYFUNCTION("""COMPUTED_VALUE"""),"Pieces")</f>
        <v>Pieces</v>
      </c>
      <c r="I415" s="3" t="str">
        <f>IFERROR(__xludf.DUMMYFUNCTION("""COMPUTED_VALUE"""),"Untuk Tools Engineering 121703090 2661")</f>
        <v>Untuk Tools Engineering 121703090 2661</v>
      </c>
      <c r="J415" s="3" t="str">
        <f>IFERROR(__xludf.DUMMYFUNCTION("""COMPUTED_VALUE"""),"Q-70184-00")</f>
        <v>Q-70184-00</v>
      </c>
      <c r="K415" s="3" t="str">
        <f>IFERROR(__xludf.DUMMYFUNCTION("""COMPUTED_VALUE"""),"Approve")</f>
        <v>Approve</v>
      </c>
      <c r="L415" s="3" t="str">
        <f>IFERROR(__xludf.DUMMYFUNCTION("""COMPUTED_VALUE"""),"Normal")</f>
        <v>Normal</v>
      </c>
      <c r="M415" s="3" t="str">
        <f>IFERROR(__xludf.DUMMYFUNCTION("""COMPUTED_VALUE"""),"Non Urgent")</f>
        <v>Non Urgent</v>
      </c>
    </row>
    <row r="416">
      <c r="A416" s="4">
        <f>IFERROR(__xludf.DUMMYFUNCTION("""COMPUTED_VALUE"""),45921.5119862963)</f>
        <v>45921.51199</v>
      </c>
      <c r="B416" s="3" t="str">
        <f>IFERROR(__xludf.DUMMYFUNCTION("""COMPUTED_VALUE"""),"MFHRO0214")</f>
        <v>MFHRO0214</v>
      </c>
      <c r="C416" s="3" t="str">
        <f>IFERROR(__xludf.DUMMYFUNCTION("""COMPUTED_VALUE"""),"Consumable")</f>
        <v>Consumable</v>
      </c>
      <c r="D416" s="3" t="str">
        <f>IFERROR(__xludf.DUMMYFUNCTION("""COMPUTED_VALUE"""),"-")</f>
        <v>-</v>
      </c>
      <c r="E416" s="3" t="str">
        <f>IFERROR(__xludf.DUMMYFUNCTION("""COMPUTED_VALUE"""),"ATK")</f>
        <v>ATK</v>
      </c>
      <c r="F416" s="3" t="str">
        <f>IFERROR(__xludf.DUMMYFUNCTION("""COMPUTED_VALUE"""),"Kertas HVS Putih A4 70 gram;")</f>
        <v>Kertas HVS Putih A4 70 gram;</v>
      </c>
      <c r="G416" s="3">
        <f>IFERROR(__xludf.DUMMYFUNCTION("""COMPUTED_VALUE"""),10.0)</f>
        <v>10</v>
      </c>
      <c r="H416" s="3" t="str">
        <f>IFERROR(__xludf.DUMMYFUNCTION("""COMPUTED_VALUE"""),"Rim")</f>
        <v>Rim</v>
      </c>
      <c r="I416" s="3" t="str">
        <f>IFERROR(__xludf.DUMMYFUNCTION("""COMPUTED_VALUE"""),"Untuk ATK Engineering 121703106 2677")</f>
        <v>Untuk ATK Engineering 121703106 2677</v>
      </c>
      <c r="J416" s="3" t="str">
        <f>IFERROR(__xludf.DUMMYFUNCTION("""COMPUTED_VALUE"""),"T-80635-00")</f>
        <v>T-80635-00</v>
      </c>
      <c r="K416" s="3" t="str">
        <f>IFERROR(__xludf.DUMMYFUNCTION("""COMPUTED_VALUE"""),"Approve")</f>
        <v>Approve</v>
      </c>
      <c r="L416" s="3" t="str">
        <f>IFERROR(__xludf.DUMMYFUNCTION("""COMPUTED_VALUE"""),"Normal")</f>
        <v>Normal</v>
      </c>
      <c r="M416" s="3" t="str">
        <f>IFERROR(__xludf.DUMMYFUNCTION("""COMPUTED_VALUE"""),"Non Urgent")</f>
        <v>Non Urgent</v>
      </c>
    </row>
    <row r="417">
      <c r="A417" s="4">
        <f>IFERROR(__xludf.DUMMYFUNCTION("""COMPUTED_VALUE"""),45921.5119862963)</f>
        <v>45921.51199</v>
      </c>
      <c r="B417" s="3" t="str">
        <f>IFERROR(__xludf.DUMMYFUNCTION("""COMPUTED_VALUE"""),"MFHRO0215")</f>
        <v>MFHRO0215</v>
      </c>
      <c r="C417" s="3" t="str">
        <f>IFERROR(__xludf.DUMMYFUNCTION("""COMPUTED_VALUE"""),"MIn Stok")</f>
        <v>MIn Stok</v>
      </c>
      <c r="D417" s="3" t="str">
        <f>IFERROR(__xludf.DUMMYFUNCTION("""COMPUTED_VALUE"""),"-")</f>
        <v>-</v>
      </c>
      <c r="E417" s="3" t="str">
        <f>IFERROR(__xludf.DUMMYFUNCTION("""COMPUTED_VALUE"""),"Autoclave")</f>
        <v>Autoclave</v>
      </c>
      <c r="F417" s="3" t="str">
        <f>IFERROR(__xludf.DUMMYFUNCTION("""COMPUTED_VALUE"""),"Fedegari FVA2/A1 S/N : NB2964AT - Cover Seal FVM-A/2 FOB2 (Code: PP600265); ; ;")</f>
        <v>Fedegari FVA2/A1 S/N : NB2964AT - Cover Seal FVM-A/2 FOB2 (Code: PP600265); ; ;</v>
      </c>
      <c r="G417" s="3">
        <f>IFERROR(__xludf.DUMMYFUNCTION("""COMPUTED_VALUE"""),2.0)</f>
        <v>2</v>
      </c>
      <c r="H417" s="3" t="str">
        <f>IFERROR(__xludf.DUMMYFUNCTION("""COMPUTED_VALUE"""),"Unit")</f>
        <v>Unit</v>
      </c>
      <c r="I417" s="3" t="str">
        <f>IFERROR(__xludf.DUMMYFUNCTION("""COMPUTED_VALUE"""),"Min Stok Autoclave 121703114 2680")</f>
        <v>Min Stok Autoclave 121703114 2680</v>
      </c>
      <c r="J417" s="3" t="str">
        <f>IFERROR(__xludf.DUMMYFUNCTION("""COMPUTED_VALUE"""),"P-15429-00")</f>
        <v>P-15429-00</v>
      </c>
      <c r="K417" s="3" t="str">
        <f>IFERROR(__xludf.DUMMYFUNCTION("""COMPUTED_VALUE"""),"Approve")</f>
        <v>Approve</v>
      </c>
      <c r="L417" s="3" t="str">
        <f>IFERROR(__xludf.DUMMYFUNCTION("""COMPUTED_VALUE"""),"Normal")</f>
        <v>Normal</v>
      </c>
      <c r="M417" s="3" t="str">
        <f>IFERROR(__xludf.DUMMYFUNCTION("""COMPUTED_VALUE"""),"Non Urgent")</f>
        <v>Non Urgent</v>
      </c>
    </row>
    <row r="418">
      <c r="A418" s="4">
        <f>IFERROR(__xludf.DUMMYFUNCTION("""COMPUTED_VALUE"""),45921.5119862963)</f>
        <v>45921.51199</v>
      </c>
      <c r="B418" s="3" t="str">
        <f>IFERROR(__xludf.DUMMYFUNCTION("""COMPUTED_VALUE"""),"MFHRO0216")</f>
        <v>MFHRO0216</v>
      </c>
      <c r="C418" s="3" t="str">
        <f>IFERROR(__xludf.DUMMYFUNCTION("""COMPUTED_VALUE"""),"Consumable")</f>
        <v>Consumable</v>
      </c>
      <c r="D418" s="3" t="str">
        <f>IFERROR(__xludf.DUMMYFUNCTION("""COMPUTED_VALUE"""),"-")</f>
        <v>-</v>
      </c>
      <c r="E418" s="3" t="str">
        <f>IFERROR(__xludf.DUMMYFUNCTION("""COMPUTED_VALUE"""),"Tools")</f>
        <v>Tools</v>
      </c>
      <c r="F418" s="3" t="str">
        <f>IFERROR(__xludf.DUMMYFUNCTION("""COMPUTED_VALUE"""),"Jolly Box ; JX-3 No. 300; Lion Star; ;")</f>
        <v>Jolly Box ; JX-3 No. 300; Lion Star; ;</v>
      </c>
      <c r="G418" s="3">
        <f>IFERROR(__xludf.DUMMYFUNCTION("""COMPUTED_VALUE"""),250.0)</f>
        <v>250</v>
      </c>
      <c r="H418" s="3" t="str">
        <f>IFERROR(__xludf.DUMMYFUNCTION("""COMPUTED_VALUE"""),"Pieces")</f>
        <v>Pieces</v>
      </c>
      <c r="I418" s="3" t="str">
        <f>IFERROR(__xludf.DUMMYFUNCTION("""COMPUTED_VALUE"""),"Untuk Tools Engineering 121703115 2681")</f>
        <v>Untuk Tools Engineering 121703115 2681</v>
      </c>
      <c r="J418" s="3" t="str">
        <f>IFERROR(__xludf.DUMMYFUNCTION("""COMPUTED_VALUE"""),"S-46525-00")</f>
        <v>S-46525-00</v>
      </c>
      <c r="K418" s="3" t="str">
        <f>IFERROR(__xludf.DUMMYFUNCTION("""COMPUTED_VALUE"""),"Approve")</f>
        <v>Approve</v>
      </c>
      <c r="L418" s="3" t="str">
        <f>IFERROR(__xludf.DUMMYFUNCTION("""COMPUTED_VALUE"""),"Normal")</f>
        <v>Normal</v>
      </c>
      <c r="M418" s="3" t="str">
        <f>IFERROR(__xludf.DUMMYFUNCTION("""COMPUTED_VALUE"""),"Non Urgent")</f>
        <v>Non Urgent</v>
      </c>
    </row>
    <row r="419">
      <c r="A419" s="4">
        <f>IFERROR(__xludf.DUMMYFUNCTION("""COMPUTED_VALUE"""),45921.5119862963)</f>
        <v>45921.51199</v>
      </c>
      <c r="B419" s="3" t="str">
        <f>IFERROR(__xludf.DUMMYFUNCTION("""COMPUTED_VALUE"""),"MFHRO0217")</f>
        <v>MFHRO0217</v>
      </c>
      <c r="C419" s="3" t="str">
        <f>IFERROR(__xludf.DUMMYFUNCTION("""COMPUTED_VALUE"""),"Consumable")</f>
        <v>Consumable</v>
      </c>
      <c r="D419" s="3" t="str">
        <f>IFERROR(__xludf.DUMMYFUNCTION("""COMPUTED_VALUE"""),"-")</f>
        <v>-</v>
      </c>
      <c r="E419" s="3" t="str">
        <f>IFERROR(__xludf.DUMMYFUNCTION("""COMPUTED_VALUE"""),"TOC")</f>
        <v>TOC</v>
      </c>
      <c r="F419" s="3" t="str">
        <f>IFERROR(__xludf.DUMMYFUNCTION("""COMPUTED_VALUE"""),"900 Resin Bed for TOC Sievers; ; ;")</f>
        <v>900 Resin Bed for TOC Sievers; ; ;</v>
      </c>
      <c r="G419" s="3">
        <f>IFERROR(__xludf.DUMMYFUNCTION("""COMPUTED_VALUE"""),1.0)</f>
        <v>1</v>
      </c>
      <c r="H419" s="3" t="str">
        <f>IFERROR(__xludf.DUMMYFUNCTION("""COMPUTED_VALUE"""),"Pieces")</f>
        <v>Pieces</v>
      </c>
      <c r="I419" s="3" t="str">
        <f>IFERROR(__xludf.DUMMYFUNCTION("""COMPUTED_VALUE"""),"Untuk TOC Lab 121703122 2690")</f>
        <v>Untuk TOC Lab 121703122 2690</v>
      </c>
      <c r="J419" s="3" t="str">
        <f>IFERROR(__xludf.DUMMYFUNCTION("""COMPUTED_VALUE"""),"T-20105-00")</f>
        <v>T-20105-00</v>
      </c>
      <c r="K419" s="3" t="str">
        <f>IFERROR(__xludf.DUMMYFUNCTION("""COMPUTED_VALUE"""),"Approve")</f>
        <v>Approve</v>
      </c>
      <c r="L419" s="3" t="str">
        <f>IFERROR(__xludf.DUMMYFUNCTION("""COMPUTED_VALUE"""),"Normal")</f>
        <v>Normal</v>
      </c>
      <c r="M419" s="3" t="str">
        <f>IFERROR(__xludf.DUMMYFUNCTION("""COMPUTED_VALUE"""),"Non Urgent")</f>
        <v>Non Urgent</v>
      </c>
    </row>
    <row r="420">
      <c r="A420" s="4">
        <f>IFERROR(__xludf.DUMMYFUNCTION("""COMPUTED_VALUE"""),45921.5119862963)</f>
        <v>45921.51199</v>
      </c>
      <c r="B420" s="3" t="str">
        <f>IFERROR(__xludf.DUMMYFUNCTION("""COMPUTED_VALUE"""),"MFHRO0218")</f>
        <v>MFHRO0218</v>
      </c>
      <c r="C420" s="3" t="str">
        <f>IFERROR(__xludf.DUMMYFUNCTION("""COMPUTED_VALUE"""),"Consumable")</f>
        <v>Consumable</v>
      </c>
      <c r="D420" s="3" t="str">
        <f>IFERROR(__xludf.DUMMYFUNCTION("""COMPUTED_VALUE"""),"-")</f>
        <v>-</v>
      </c>
      <c r="E420" s="3" t="str">
        <f>IFERROR(__xludf.DUMMYFUNCTION("""COMPUTED_VALUE"""),"TOC")</f>
        <v>TOC</v>
      </c>
      <c r="F420" s="3" t="str">
        <f>IFERROR(__xludf.DUMMYFUNCTION("""COMPUTED_VALUE"""),"900 UV lamp; Sievers; P/N CARK35010-01; 1 pc")</f>
        <v>900 UV lamp; Sievers; P/N CARK35010-01; 1 pc</v>
      </c>
      <c r="G420" s="3">
        <f>IFERROR(__xludf.DUMMYFUNCTION("""COMPUTED_VALUE"""),1.0)</f>
        <v>1</v>
      </c>
      <c r="H420" s="3" t="str">
        <f>IFERROR(__xludf.DUMMYFUNCTION("""COMPUTED_VALUE"""),"Pieces")</f>
        <v>Pieces</v>
      </c>
      <c r="I420" s="3" t="str">
        <f>IFERROR(__xludf.DUMMYFUNCTION("""COMPUTED_VALUE"""),"Untuk TOC Lab 121703122 2691")</f>
        <v>Untuk TOC Lab 121703122 2691</v>
      </c>
      <c r="J420" s="3" t="str">
        <f>IFERROR(__xludf.DUMMYFUNCTION("""COMPUTED_VALUE"""),"T-20113-00")</f>
        <v>T-20113-00</v>
      </c>
      <c r="K420" s="3" t="str">
        <f>IFERROR(__xludf.DUMMYFUNCTION("""COMPUTED_VALUE"""),"Approve")</f>
        <v>Approve</v>
      </c>
      <c r="L420" s="3" t="str">
        <f>IFERROR(__xludf.DUMMYFUNCTION("""COMPUTED_VALUE"""),"Normal")</f>
        <v>Normal</v>
      </c>
      <c r="M420" s="3" t="str">
        <f>IFERROR(__xludf.DUMMYFUNCTION("""COMPUTED_VALUE"""),"Non Urgent")</f>
        <v>Non Urgent</v>
      </c>
    </row>
    <row r="421">
      <c r="A421" s="4">
        <f>IFERROR(__xludf.DUMMYFUNCTION("""COMPUTED_VALUE"""),45921.5119862963)</f>
        <v>45921.51199</v>
      </c>
      <c r="B421" s="3" t="str">
        <f>IFERROR(__xludf.DUMMYFUNCTION("""COMPUTED_VALUE"""),"MFHRO0219")</f>
        <v>MFHRO0219</v>
      </c>
      <c r="C421" s="3" t="str">
        <f>IFERROR(__xludf.DUMMYFUNCTION("""COMPUTED_VALUE"""),"Consumable")</f>
        <v>Consumable</v>
      </c>
      <c r="D421" s="3" t="str">
        <f>IFERROR(__xludf.DUMMYFUNCTION("""COMPUTED_VALUE"""),"-")</f>
        <v>-</v>
      </c>
      <c r="E421" s="3" t="str">
        <f>IFERROR(__xludf.DUMMYFUNCTION("""COMPUTED_VALUE"""),"TOC")</f>
        <v>TOC</v>
      </c>
      <c r="F421" s="3" t="str">
        <f>IFERROR(__xludf.DUMMYFUNCTION("""COMPUTED_VALUE"""),"900 Sample pump tubing; Sievers; P/N CATU 96200; 1 pc")</f>
        <v>900 Sample pump tubing; Sievers; P/N CATU 96200; 1 pc</v>
      </c>
      <c r="G421" s="3">
        <f>IFERROR(__xludf.DUMMYFUNCTION("""COMPUTED_VALUE"""),1.0)</f>
        <v>1</v>
      </c>
      <c r="H421" s="3" t="str">
        <f>IFERROR(__xludf.DUMMYFUNCTION("""COMPUTED_VALUE"""),"Pieces")</f>
        <v>Pieces</v>
      </c>
      <c r="I421" s="3" t="str">
        <f>IFERROR(__xludf.DUMMYFUNCTION("""COMPUTED_VALUE"""),"Untuk TOC Lab 121703122 2692")</f>
        <v>Untuk TOC Lab 121703122 2692</v>
      </c>
      <c r="J421" s="3" t="str">
        <f>IFERROR(__xludf.DUMMYFUNCTION("""COMPUTED_VALUE"""),"T-20112-00")</f>
        <v>T-20112-00</v>
      </c>
      <c r="K421" s="3" t="str">
        <f>IFERROR(__xludf.DUMMYFUNCTION("""COMPUTED_VALUE"""),"Approve")</f>
        <v>Approve</v>
      </c>
      <c r="L421" s="3" t="str">
        <f>IFERROR(__xludf.DUMMYFUNCTION("""COMPUTED_VALUE"""),"Normal")</f>
        <v>Normal</v>
      </c>
      <c r="M421" s="3" t="str">
        <f>IFERROR(__xludf.DUMMYFUNCTION("""COMPUTED_VALUE"""),"Non Urgent")</f>
        <v>Non Urgent</v>
      </c>
    </row>
    <row r="422">
      <c r="A422" s="4">
        <f>IFERROR(__xludf.DUMMYFUNCTION("""COMPUTED_VALUE"""),45921.5119862963)</f>
        <v>45921.51199</v>
      </c>
      <c r="B422" s="3" t="str">
        <f>IFERROR(__xludf.DUMMYFUNCTION("""COMPUTED_VALUE"""),"MFHRO0220")</f>
        <v>MFHRO0220</v>
      </c>
      <c r="C422" s="3" t="str">
        <f>IFERROR(__xludf.DUMMYFUNCTION("""COMPUTED_VALUE"""),"Consumable")</f>
        <v>Consumable</v>
      </c>
      <c r="D422" s="3" t="str">
        <f>IFERROR(__xludf.DUMMYFUNCTION("""COMPUTED_VALUE"""),"-")</f>
        <v>-</v>
      </c>
      <c r="E422" s="3" t="str">
        <f>IFERROR(__xludf.DUMMYFUNCTION("""COMPUTED_VALUE"""),"Tools")</f>
        <v>Tools</v>
      </c>
      <c r="F422" s="3" t="str">
        <f>IFERROR(__xludf.DUMMYFUNCTION("""COMPUTED_VALUE"""),"Kunci L Hex Key Stubby Uk. 1,5 - 10 mm; Tekiro; HK-ST1210 ; 9 pc/set")</f>
        <v>Kunci L Hex Key Stubby Uk. 1,5 - 10 mm; Tekiro; HK-ST1210 ; 9 pc/set</v>
      </c>
      <c r="G422" s="3">
        <f>IFERROR(__xludf.DUMMYFUNCTION("""COMPUTED_VALUE"""),1.0)</f>
        <v>1</v>
      </c>
      <c r="H422" s="3" t="str">
        <f>IFERROR(__xludf.DUMMYFUNCTION("""COMPUTED_VALUE"""),"Set")</f>
        <v>Set</v>
      </c>
      <c r="I422" s="3" t="str">
        <f>IFERROR(__xludf.DUMMYFUNCTION("""COMPUTED_VALUE"""),"Untuk Tools Engineering 121703123 2693")</f>
        <v>Untuk Tools Engineering 121703123 2693</v>
      </c>
      <c r="J422" s="3" t="str">
        <f>IFERROR(__xludf.DUMMYFUNCTION("""COMPUTED_VALUE"""),"Q-70169-00")</f>
        <v>Q-70169-00</v>
      </c>
      <c r="K422" s="3" t="str">
        <f>IFERROR(__xludf.DUMMYFUNCTION("""COMPUTED_VALUE"""),"Approve")</f>
        <v>Approve</v>
      </c>
      <c r="L422" s="3" t="str">
        <f>IFERROR(__xludf.DUMMYFUNCTION("""COMPUTED_VALUE"""),"Normal")</f>
        <v>Normal</v>
      </c>
      <c r="M422" s="3" t="str">
        <f>IFERROR(__xludf.DUMMYFUNCTION("""COMPUTED_VALUE"""),"Non Urgent")</f>
        <v>Non Urgent</v>
      </c>
    </row>
    <row r="423">
      <c r="A423" s="4">
        <f>IFERROR(__xludf.DUMMYFUNCTION("""COMPUTED_VALUE"""),45921.5119862963)</f>
        <v>45921.51199</v>
      </c>
      <c r="B423" s="3" t="str">
        <f>IFERROR(__xludf.DUMMYFUNCTION("""COMPUTED_VALUE"""),"MFHRO0221")</f>
        <v>MFHRO0221</v>
      </c>
      <c r="C423" s="3" t="str">
        <f>IFERROR(__xludf.DUMMYFUNCTION("""COMPUTED_VALUE"""),"MIn Stok")</f>
        <v>MIn Stok</v>
      </c>
      <c r="D423" s="3" t="str">
        <f>IFERROR(__xludf.DUMMYFUNCTION("""COMPUTED_VALUE"""),"-")</f>
        <v>-</v>
      </c>
      <c r="E423" s="3" t="str">
        <f>IFERROR(__xludf.DUMMYFUNCTION("""COMPUTED_VALUE"""),"Cartonning")</f>
        <v>Cartonning</v>
      </c>
      <c r="F423" s="3" t="str">
        <f>IFERROR(__xludf.DUMMYFUNCTION("""COMPUTED_VALUE"""),"Marchesini FB220-PN. 7301604 MODULE,E.DOT+, 0,35MM NOZZLE  Nordson; Nordson; ;")</f>
        <v>Marchesini FB220-PN. 7301604 MODULE,E.DOT+, 0,35MM NOZZLE  Nordson; Nordson; ;</v>
      </c>
      <c r="G423" s="3">
        <f>IFERROR(__xludf.DUMMYFUNCTION("""COMPUTED_VALUE"""),1.0)</f>
        <v>1</v>
      </c>
      <c r="H423" s="3" t="str">
        <f>IFERROR(__xludf.DUMMYFUNCTION("""COMPUTED_VALUE"""),"Pieces")</f>
        <v>Pieces</v>
      </c>
      <c r="I423" s="3" t="str">
        <f>IFERROR(__xludf.DUMMYFUNCTION("""COMPUTED_VALUE"""),"Untuk Cartonning 121703130 2695")</f>
        <v>Untuk Cartonning 121703130 2695</v>
      </c>
      <c r="J423" s="3" t="str">
        <f>IFERROR(__xludf.DUMMYFUNCTION("""COMPUTED_VALUE"""),"O-16752-00")</f>
        <v>O-16752-00</v>
      </c>
      <c r="K423" s="3" t="str">
        <f>IFERROR(__xludf.DUMMYFUNCTION("""COMPUTED_VALUE"""),"Approve")</f>
        <v>Approve</v>
      </c>
      <c r="L423" s="3" t="str">
        <f>IFERROR(__xludf.DUMMYFUNCTION("""COMPUTED_VALUE"""),"Normal")</f>
        <v>Normal</v>
      </c>
      <c r="M423" s="3" t="str">
        <f>IFERROR(__xludf.DUMMYFUNCTION("""COMPUTED_VALUE"""),"Non Urgent")</f>
        <v>Non Urgent</v>
      </c>
    </row>
    <row r="424">
      <c r="A424" s="4">
        <f>IFERROR(__xludf.DUMMYFUNCTION("""COMPUTED_VALUE"""),45921.5119862963)</f>
        <v>45921.51199</v>
      </c>
      <c r="B424" s="3" t="str">
        <f>IFERROR(__xludf.DUMMYFUNCTION("""COMPUTED_VALUE"""),"MFHRO0222")</f>
        <v>MFHRO0222</v>
      </c>
      <c r="C424" s="3" t="str">
        <f>IFERROR(__xludf.DUMMYFUNCTION("""COMPUTED_VALUE"""),"MIn Stok")</f>
        <v>MIn Stok</v>
      </c>
      <c r="D424" s="3" t="str">
        <f>IFERROR(__xludf.DUMMYFUNCTION("""COMPUTED_VALUE"""),"-")</f>
        <v>-</v>
      </c>
      <c r="E424" s="3" t="str">
        <f>IFERROR(__xludf.DUMMYFUNCTION("""COMPUTED_VALUE"""),"Sparepart")</f>
        <v>Sparepart</v>
      </c>
      <c r="F424" s="3" t="str">
        <f>IFERROR(__xludf.DUMMYFUNCTION("""COMPUTED_VALUE"""),"Socket Relay PF083A-E; Omron; PF083A; 1 pieces")</f>
        <v>Socket Relay PF083A-E; Omron; PF083A; 1 pieces</v>
      </c>
      <c r="G424" s="3">
        <f>IFERROR(__xludf.DUMMYFUNCTION("""COMPUTED_VALUE"""),5.0)</f>
        <v>5</v>
      </c>
      <c r="H424" s="3" t="str">
        <f>IFERROR(__xludf.DUMMYFUNCTION("""COMPUTED_VALUE"""),"Pieces")</f>
        <v>Pieces</v>
      </c>
      <c r="I424" s="3" t="str">
        <f>IFERROR(__xludf.DUMMYFUNCTION("""COMPUTED_VALUE"""),"Consumable Engineering 121703139 2705")</f>
        <v>Consumable Engineering 121703139 2705</v>
      </c>
      <c r="J424" s="3" t="str">
        <f>IFERROR(__xludf.DUMMYFUNCTION("""COMPUTED_VALUE"""),"P-50562-00")</f>
        <v>P-50562-00</v>
      </c>
      <c r="K424" s="3" t="str">
        <f>IFERROR(__xludf.DUMMYFUNCTION("""COMPUTED_VALUE"""),"Approve")</f>
        <v>Approve</v>
      </c>
      <c r="L424" s="3" t="str">
        <f>IFERROR(__xludf.DUMMYFUNCTION("""COMPUTED_VALUE"""),"Normal")</f>
        <v>Normal</v>
      </c>
      <c r="M424" s="3" t="str">
        <f>IFERROR(__xludf.DUMMYFUNCTION("""COMPUTED_VALUE"""),"Non Urgent")</f>
        <v>Non Urgent</v>
      </c>
    </row>
    <row r="425">
      <c r="A425" s="4">
        <f>IFERROR(__xludf.DUMMYFUNCTION("""COMPUTED_VALUE"""),45921.5119862963)</f>
        <v>45921.51199</v>
      </c>
      <c r="B425" s="3" t="str">
        <f>IFERROR(__xludf.DUMMYFUNCTION("""COMPUTED_VALUE"""),"MFHRO0223")</f>
        <v>MFHRO0223</v>
      </c>
      <c r="C425" s="3" t="str">
        <f>IFERROR(__xludf.DUMMYFUNCTION("""COMPUTED_VALUE"""),"Consumable")</f>
        <v>Consumable</v>
      </c>
      <c r="D425" s="3" t="str">
        <f>IFERROR(__xludf.DUMMYFUNCTION("""COMPUTED_VALUE"""),"-")</f>
        <v>-</v>
      </c>
      <c r="E425" s="3" t="str">
        <f>IFERROR(__xludf.DUMMYFUNCTION("""COMPUTED_VALUE"""),"HPLC")</f>
        <v>HPLC</v>
      </c>
      <c r="F425" s="3" t="str">
        <f>IFERROR(__xludf.DUMMYFUNCTION("""COMPUTED_VALUE"""),"Performance Plus Check Valve Housing; Waters; 700002332;")</f>
        <v>Performance Plus Check Valve Housing; Waters; 700002332;</v>
      </c>
      <c r="G425" s="3">
        <f>IFERROR(__xludf.DUMMYFUNCTION("""COMPUTED_VALUE"""),2.0)</f>
        <v>2</v>
      </c>
      <c r="H425" s="3" t="str">
        <f>IFERROR(__xludf.DUMMYFUNCTION("""COMPUTED_VALUE"""),"Pack")</f>
        <v>Pack</v>
      </c>
      <c r="I425" s="3" t="str">
        <f>IFERROR(__xludf.DUMMYFUNCTION("""COMPUTED_VALUE"""),"Consumable HPLC 121703149 2727")</f>
        <v>Consumable HPLC 121703149 2727</v>
      </c>
      <c r="J425" s="3" t="str">
        <f>IFERROR(__xludf.DUMMYFUNCTION("""COMPUTED_VALUE"""),"T-20725-00")</f>
        <v>T-20725-00</v>
      </c>
      <c r="K425" s="3" t="str">
        <f>IFERROR(__xludf.DUMMYFUNCTION("""COMPUTED_VALUE"""),"Approve")</f>
        <v>Approve</v>
      </c>
      <c r="L425" s="3" t="str">
        <f>IFERROR(__xludf.DUMMYFUNCTION("""COMPUTED_VALUE"""),"Normal")</f>
        <v>Normal</v>
      </c>
      <c r="M425" s="3" t="str">
        <f>IFERROR(__xludf.DUMMYFUNCTION("""COMPUTED_VALUE"""),"Non Urgent")</f>
        <v>Non Urgent</v>
      </c>
    </row>
    <row r="426">
      <c r="A426" s="4">
        <f>IFERROR(__xludf.DUMMYFUNCTION("""COMPUTED_VALUE"""),45921.5119862963)</f>
        <v>45921.51199</v>
      </c>
      <c r="B426" s="3" t="str">
        <f>IFERROR(__xludf.DUMMYFUNCTION("""COMPUTED_VALUE"""),"MFHRO0224")</f>
        <v>MFHRO0224</v>
      </c>
      <c r="C426" s="3" t="str">
        <f>IFERROR(__xludf.DUMMYFUNCTION("""COMPUTED_VALUE"""),"MIn Stok")</f>
        <v>MIn Stok</v>
      </c>
      <c r="D426" s="3" t="str">
        <f>IFERROR(__xludf.DUMMYFUNCTION("""COMPUTED_VALUE"""),"-")</f>
        <v>-</v>
      </c>
      <c r="E426" s="3" t="str">
        <f>IFERROR(__xludf.DUMMYFUNCTION("""COMPUTED_VALUE"""),"OSD")</f>
        <v>OSD</v>
      </c>
      <c r="F426" s="3" t="str">
        <f>IFERROR(__xludf.DUMMYFUNCTION("""COMPUTED_VALUE"""),"General - Hygrothermo Transducer, 907021/161-2-34-005/000, Output 4...20mA, 2 Wire, 0-100%, 0-50DegC; Jumo; JU.90.7021.050; 1 pc")</f>
        <v>General - Hygrothermo Transducer, 907021/161-2-34-005/000, Output 4...20mA, 2 Wire, 0-100%, 0-50DegC; Jumo; JU.90.7021.050; 1 pc</v>
      </c>
      <c r="G426" s="3">
        <f>IFERROR(__xludf.DUMMYFUNCTION("""COMPUTED_VALUE"""),2.0)</f>
        <v>2</v>
      </c>
      <c r="H426" s="3" t="str">
        <f>IFERROR(__xludf.DUMMYFUNCTION("""COMPUTED_VALUE"""),"Pieces")</f>
        <v>Pieces</v>
      </c>
      <c r="I426" s="3" t="str">
        <f>IFERROR(__xludf.DUMMYFUNCTION("""COMPUTED_VALUE"""),"BQ Mas Umar 121703150 2728")</f>
        <v>BQ Mas Umar 121703150 2728</v>
      </c>
      <c r="J426" s="3" t="str">
        <f>IFERROR(__xludf.DUMMYFUNCTION("""COMPUTED_VALUE"""),"P-20129-00")</f>
        <v>P-20129-00</v>
      </c>
      <c r="K426" s="3" t="str">
        <f>IFERROR(__xludf.DUMMYFUNCTION("""COMPUTED_VALUE"""),"Approve")</f>
        <v>Approve</v>
      </c>
      <c r="L426" s="3" t="str">
        <f>IFERROR(__xludf.DUMMYFUNCTION("""COMPUTED_VALUE"""),"Normal")</f>
        <v>Normal</v>
      </c>
      <c r="M426" s="3" t="str">
        <f>IFERROR(__xludf.DUMMYFUNCTION("""COMPUTED_VALUE"""),"Non Urgent")</f>
        <v>Non Urgent</v>
      </c>
    </row>
    <row r="427">
      <c r="A427" s="4">
        <f>IFERROR(__xludf.DUMMYFUNCTION("""COMPUTED_VALUE"""),45921.5119862963)</f>
        <v>45921.51199</v>
      </c>
      <c r="B427" s="3" t="str">
        <f>IFERROR(__xludf.DUMMYFUNCTION("""COMPUTED_VALUE"""),"MFHRO0225")</f>
        <v>MFHRO0225</v>
      </c>
      <c r="C427" s="3" t="str">
        <f>IFERROR(__xludf.DUMMYFUNCTION("""COMPUTED_VALUE"""),"MIn Stok")</f>
        <v>MIn Stok</v>
      </c>
      <c r="D427" s="3" t="str">
        <f>IFERROR(__xludf.DUMMYFUNCTION("""COMPUTED_VALUE"""),"-")</f>
        <v>-</v>
      </c>
      <c r="E427" s="3" t="str">
        <f>IFERROR(__xludf.DUMMYFUNCTION("""COMPUTED_VALUE"""),"Mixing")</f>
        <v>Mixing</v>
      </c>
      <c r="F427" s="3" t="str">
        <f>IFERROR(__xludf.DUMMYFUNCTION("""COMPUTED_VALUE"""),"Mixing Tank Adam - Cable VP8-ST/35m; Mettler Toledo; 52300359; 1 Pc")</f>
        <v>Mixing Tank Adam - Cable VP8-ST/35m; Mettler Toledo; 52300359; 1 Pc</v>
      </c>
      <c r="G427" s="3">
        <f>IFERROR(__xludf.DUMMYFUNCTION("""COMPUTED_VALUE"""),1.0)</f>
        <v>1</v>
      </c>
      <c r="H427" s="3" t="str">
        <f>IFERROR(__xludf.DUMMYFUNCTION("""COMPUTED_VALUE"""),"Pieces")</f>
        <v>Pieces</v>
      </c>
      <c r="I427" s="3" t="str">
        <f>IFERROR(__xludf.DUMMYFUNCTION("""COMPUTED_VALUE"""),"Untuk Mixing 121703157 2729")</f>
        <v>Untuk Mixing 121703157 2729</v>
      </c>
      <c r="J427" s="3" t="str">
        <f>IFERROR(__xludf.DUMMYFUNCTION("""COMPUTED_VALUE"""),"O-53398-00")</f>
        <v>O-53398-00</v>
      </c>
      <c r="K427" s="3" t="str">
        <f>IFERROR(__xludf.DUMMYFUNCTION("""COMPUTED_VALUE"""),"Approve")</f>
        <v>Approve</v>
      </c>
      <c r="L427" s="3" t="str">
        <f>IFERROR(__xludf.DUMMYFUNCTION("""COMPUTED_VALUE"""),"Normal")</f>
        <v>Normal</v>
      </c>
      <c r="M427" s="3" t="str">
        <f>IFERROR(__xludf.DUMMYFUNCTION("""COMPUTED_VALUE"""),"Non Urgent")</f>
        <v>Non Urgent</v>
      </c>
    </row>
    <row r="428">
      <c r="A428" s="4">
        <f>IFERROR(__xludf.DUMMYFUNCTION("""COMPUTED_VALUE"""),45921.5119862963)</f>
        <v>45921.51199</v>
      </c>
      <c r="B428" s="3" t="str">
        <f>IFERROR(__xludf.DUMMYFUNCTION("""COMPUTED_VALUE"""),"MFHRO0226")</f>
        <v>MFHRO0226</v>
      </c>
      <c r="C428" s="3" t="str">
        <f>IFERROR(__xludf.DUMMYFUNCTION("""COMPUTED_VALUE"""),"MIn Stok")</f>
        <v>MIn Stok</v>
      </c>
      <c r="D428" s="3" t="str">
        <f>IFERROR(__xludf.DUMMYFUNCTION("""COMPUTED_VALUE"""),"-")</f>
        <v>-</v>
      </c>
      <c r="E428" s="3" t="str">
        <f>IFERROR(__xludf.DUMMYFUNCTION("""COMPUTED_VALUE"""),"FD")</f>
        <v>FD</v>
      </c>
      <c r="F428" s="3" t="str">
        <f>IFERROR(__xludf.DUMMYFUNCTION("""COMPUTED_VALUE"""),"Flexible Front End 916 - (125.0 - 125.0)")</f>
        <v>Flexible Front End 916 - (125.0 - 125.0)</v>
      </c>
      <c r="G428" s="3">
        <f>IFERROR(__xludf.DUMMYFUNCTION("""COMPUTED_VALUE"""),1.0)</f>
        <v>1</v>
      </c>
      <c r="H428" s="3" t="str">
        <f>IFERROR(__xludf.DUMMYFUNCTION("""COMPUTED_VALUE"""),"Pieces")</f>
        <v>Pieces</v>
      </c>
      <c r="I428" s="3" t="str">
        <f>IFERROR(__xludf.DUMMYFUNCTION("""COMPUTED_VALUE"""),"Min Stok FD 121703158 2730")</f>
        <v>Min Stok FD 121703158 2730</v>
      </c>
      <c r="J428" s="3" t="str">
        <f>IFERROR(__xludf.DUMMYFUNCTION("""COMPUTED_VALUE"""),"O-19822-00")</f>
        <v>O-19822-00</v>
      </c>
      <c r="K428" s="3" t="str">
        <f>IFERROR(__xludf.DUMMYFUNCTION("""COMPUTED_VALUE"""),"Approve")</f>
        <v>Approve</v>
      </c>
      <c r="L428" s="3" t="str">
        <f>IFERROR(__xludf.DUMMYFUNCTION("""COMPUTED_VALUE"""),"Normal")</f>
        <v>Normal</v>
      </c>
      <c r="M428" s="3" t="str">
        <f>IFERROR(__xludf.DUMMYFUNCTION("""COMPUTED_VALUE"""),"Non Urgent")</f>
        <v>Non Urgent</v>
      </c>
    </row>
    <row r="429">
      <c r="A429" s="4">
        <f>IFERROR(__xludf.DUMMYFUNCTION("""COMPUTED_VALUE"""),45921.5119862963)</f>
        <v>45921.51199</v>
      </c>
      <c r="B429" s="3" t="str">
        <f>IFERROR(__xludf.DUMMYFUNCTION("""COMPUTED_VALUE"""),"MFHRO0227")</f>
        <v>MFHRO0227</v>
      </c>
      <c r="C429" s="3" t="str">
        <f>IFERROR(__xludf.DUMMYFUNCTION("""COMPUTED_VALUE"""),"MIn Stok")</f>
        <v>MIn Stok</v>
      </c>
      <c r="D429" s="3" t="str">
        <f>IFERROR(__xludf.DUMMYFUNCTION("""COMPUTED_VALUE"""),"-")</f>
        <v>-</v>
      </c>
      <c r="E429" s="3" t="str">
        <f>IFERROR(__xludf.DUMMYFUNCTION("""COMPUTED_VALUE"""),"SKAN")</f>
        <v>SKAN</v>
      </c>
      <c r="F429" s="3" t="str">
        <f>IFERROR(__xludf.DUMMYFUNCTION("""COMPUTED_VALUE"""),"Isolator - Pneumatic Gasket Front Door DICHT.PNEU. 1784X0724 MVQ; SKAN; 1015746; 1 Pc")</f>
        <v>Isolator - Pneumatic Gasket Front Door DICHT.PNEU. 1784X0724 MVQ; SKAN; 1015746; 1 Pc</v>
      </c>
      <c r="G429" s="3">
        <f>IFERROR(__xludf.DUMMYFUNCTION("""COMPUTED_VALUE"""),1.0)</f>
        <v>1</v>
      </c>
      <c r="H429" s="3" t="str">
        <f>IFERROR(__xludf.DUMMYFUNCTION("""COMPUTED_VALUE"""),"Pieces")</f>
        <v>Pieces</v>
      </c>
      <c r="I429" s="3" t="str">
        <f>IFERROR(__xludf.DUMMYFUNCTION("""COMPUTED_VALUE"""),"Untuk Isolator SKAN 121703159 2731")</f>
        <v>Untuk Isolator SKAN 121703159 2731</v>
      </c>
      <c r="J429" s="3" t="str">
        <f>IFERROR(__xludf.DUMMYFUNCTION("""COMPUTED_VALUE"""),"O-20895-00")</f>
        <v>O-20895-00</v>
      </c>
      <c r="K429" s="3" t="str">
        <f>IFERROR(__xludf.DUMMYFUNCTION("""COMPUTED_VALUE"""),"Approve")</f>
        <v>Approve</v>
      </c>
      <c r="L429" s="3" t="str">
        <f>IFERROR(__xludf.DUMMYFUNCTION("""COMPUTED_VALUE"""),"Normal")</f>
        <v>Normal</v>
      </c>
      <c r="M429" s="3" t="str">
        <f>IFERROR(__xludf.DUMMYFUNCTION("""COMPUTED_VALUE"""),"Non Urgent")</f>
        <v>Non Urgent</v>
      </c>
    </row>
    <row r="430">
      <c r="A430" s="4">
        <f>IFERROR(__xludf.DUMMYFUNCTION("""COMPUTED_VALUE"""),45921.5119862963)</f>
        <v>45921.51199</v>
      </c>
      <c r="B430" s="3" t="str">
        <f>IFERROR(__xludf.DUMMYFUNCTION("""COMPUTED_VALUE"""),"MFHRO0228")</f>
        <v>MFHRO0228</v>
      </c>
      <c r="C430" s="3" t="str">
        <f>IFERROR(__xludf.DUMMYFUNCTION("""COMPUTED_VALUE"""),"MIn Stok")</f>
        <v>MIn Stok</v>
      </c>
      <c r="D430" s="3" t="str">
        <f>IFERROR(__xludf.DUMMYFUNCTION("""COMPUTED_VALUE"""),"-")</f>
        <v>-</v>
      </c>
      <c r="E430" s="3" t="str">
        <f>IFERROR(__xludf.DUMMYFUNCTION("""COMPUTED_VALUE"""),"SKAN")</f>
        <v>SKAN</v>
      </c>
      <c r="F430" s="3" t="str">
        <f>IFERROR(__xludf.DUMMYFUNCTION("""COMPUTED_VALUE"""),"Isolator - Silicon Tube Pump 913.A016.016; SKAN; 1002902; 1 Pc")</f>
        <v>Isolator - Silicon Tube Pump 913.A016.016; SKAN; 1002902; 1 Pc</v>
      </c>
      <c r="G430" s="3">
        <f>IFERROR(__xludf.DUMMYFUNCTION("""COMPUTED_VALUE"""),3.0)</f>
        <v>3</v>
      </c>
      <c r="H430" s="3" t="str">
        <f>IFERROR(__xludf.DUMMYFUNCTION("""COMPUTED_VALUE"""),"Pieces")</f>
        <v>Pieces</v>
      </c>
      <c r="I430" s="3" t="str">
        <f>IFERROR(__xludf.DUMMYFUNCTION("""COMPUTED_VALUE"""),"Untuk Isolator SKAN 121703159 2732")</f>
        <v>Untuk Isolator SKAN 121703159 2732</v>
      </c>
      <c r="J430" s="3" t="str">
        <f>IFERROR(__xludf.DUMMYFUNCTION("""COMPUTED_VALUE"""),"O-20896-00")</f>
        <v>O-20896-00</v>
      </c>
      <c r="K430" s="3" t="str">
        <f>IFERROR(__xludf.DUMMYFUNCTION("""COMPUTED_VALUE"""),"Approve")</f>
        <v>Approve</v>
      </c>
      <c r="L430" s="3" t="str">
        <f>IFERROR(__xludf.DUMMYFUNCTION("""COMPUTED_VALUE"""),"Normal")</f>
        <v>Normal</v>
      </c>
      <c r="M430" s="3" t="str">
        <f>IFERROR(__xludf.DUMMYFUNCTION("""COMPUTED_VALUE"""),"Non Urgent")</f>
        <v>Non Urgent</v>
      </c>
    </row>
    <row r="431">
      <c r="A431" s="4">
        <f>IFERROR(__xludf.DUMMYFUNCTION("""COMPUTED_VALUE"""),45921.5119862963)</f>
        <v>45921.51199</v>
      </c>
      <c r="B431" s="3" t="str">
        <f>IFERROR(__xludf.DUMMYFUNCTION("""COMPUTED_VALUE"""),"MFHRO0229")</f>
        <v>MFHRO0229</v>
      </c>
      <c r="C431" s="3" t="str">
        <f>IFERROR(__xludf.DUMMYFUNCTION("""COMPUTED_VALUE"""),"MIn Stok")</f>
        <v>MIn Stok</v>
      </c>
      <c r="D431" s="3" t="str">
        <f>IFERROR(__xludf.DUMMYFUNCTION("""COMPUTED_VALUE"""),"-")</f>
        <v>-</v>
      </c>
      <c r="E431" s="3" t="str">
        <f>IFERROR(__xludf.DUMMYFUNCTION("""COMPUTED_VALUE"""),"SKAN")</f>
        <v>SKAN</v>
      </c>
      <c r="F431" s="3" t="str">
        <f>IFERROR(__xludf.DUMMYFUNCTION("""COMPUTED_VALUE"""),"Isolator Machine - Pneumatic Gasket Transfer Door (Left + Right) DICHT.PNEU. 1784X0724 MVQ; SKAN; 1015668; 1 Pc")</f>
        <v>Isolator Machine - Pneumatic Gasket Transfer Door (Left + Right) DICHT.PNEU. 1784X0724 MVQ; SKAN; 1015668; 1 Pc</v>
      </c>
      <c r="G431" s="3">
        <f>IFERROR(__xludf.DUMMYFUNCTION("""COMPUTED_VALUE"""),1.0)</f>
        <v>1</v>
      </c>
      <c r="H431" s="3" t="str">
        <f>IFERROR(__xludf.DUMMYFUNCTION("""COMPUTED_VALUE"""),"Pieces")</f>
        <v>Pieces</v>
      </c>
      <c r="I431" s="3" t="str">
        <f>IFERROR(__xludf.DUMMYFUNCTION("""COMPUTED_VALUE"""),"Untuk Isolator SKAN 121703159 2733")</f>
        <v>Untuk Isolator SKAN 121703159 2733</v>
      </c>
      <c r="J431" s="3" t="str">
        <f>IFERROR(__xludf.DUMMYFUNCTION("""COMPUTED_VALUE"""),"O-20910-00")</f>
        <v>O-20910-00</v>
      </c>
      <c r="K431" s="3" t="str">
        <f>IFERROR(__xludf.DUMMYFUNCTION("""COMPUTED_VALUE"""),"Approve")</f>
        <v>Approve</v>
      </c>
      <c r="L431" s="3" t="str">
        <f>IFERROR(__xludf.DUMMYFUNCTION("""COMPUTED_VALUE"""),"Normal")</f>
        <v>Normal</v>
      </c>
      <c r="M431" s="3" t="str">
        <f>IFERROR(__xludf.DUMMYFUNCTION("""COMPUTED_VALUE"""),"Non Urgent")</f>
        <v>Non Urgent</v>
      </c>
    </row>
    <row r="432">
      <c r="A432" s="4">
        <f>IFERROR(__xludf.DUMMYFUNCTION("""COMPUTED_VALUE"""),45921.5119862963)</f>
        <v>45921.51199</v>
      </c>
      <c r="B432" s="3" t="str">
        <f>IFERROR(__xludf.DUMMYFUNCTION("""COMPUTED_VALUE"""),"MFHRO0230")</f>
        <v>MFHRO0230</v>
      </c>
      <c r="C432" s="3" t="str">
        <f>IFERROR(__xludf.DUMMYFUNCTION("""COMPUTED_VALUE"""),"MIn Stok")</f>
        <v>MIn Stok</v>
      </c>
      <c r="D432" s="3" t="str">
        <f>IFERROR(__xludf.DUMMYFUNCTION("""COMPUTED_VALUE"""),"-")</f>
        <v>-</v>
      </c>
      <c r="E432" s="3" t="str">
        <f>IFERROR(__xludf.DUMMYFUNCTION("""COMPUTED_VALUE"""),"Sparepart")</f>
        <v>Sparepart</v>
      </c>
      <c r="F432" s="3" t="str">
        <f>IFERROR(__xludf.DUMMYFUNCTION("""COMPUTED_VALUE"""),"Chemical - NIKKO steel Type: NS-stain clean = 1kg (stainless steel pickling gel)")</f>
        <v>Chemical - NIKKO steel Type: NS-stain clean = 1kg (stainless steel pickling gel)</v>
      </c>
      <c r="G432" s="3">
        <f>IFERROR(__xludf.DUMMYFUNCTION("""COMPUTED_VALUE"""),5.0)</f>
        <v>5</v>
      </c>
      <c r="H432" s="3" t="str">
        <f>IFERROR(__xludf.DUMMYFUNCTION("""COMPUTED_VALUE"""),"Pieces")</f>
        <v>Pieces</v>
      </c>
      <c r="I432" s="3" t="str">
        <f>IFERROR(__xludf.DUMMYFUNCTION("""COMPUTED_VALUE"""),"Untuk Pipa 121703160 2734")</f>
        <v>Untuk Pipa 121703160 2734</v>
      </c>
      <c r="J432" s="3" t="str">
        <f>IFERROR(__xludf.DUMMYFUNCTION("""COMPUTED_VALUE"""),"P-12029-00")</f>
        <v>P-12029-00</v>
      </c>
      <c r="K432" s="3" t="str">
        <f>IFERROR(__xludf.DUMMYFUNCTION("""COMPUTED_VALUE"""),"Approve")</f>
        <v>Approve</v>
      </c>
      <c r="L432" s="3" t="str">
        <f>IFERROR(__xludf.DUMMYFUNCTION("""COMPUTED_VALUE"""),"Normal")</f>
        <v>Normal</v>
      </c>
      <c r="M432" s="3" t="str">
        <f>IFERROR(__xludf.DUMMYFUNCTION("""COMPUTED_VALUE"""),"Non Urgent")</f>
        <v>Non Urgent</v>
      </c>
    </row>
    <row r="433">
      <c r="A433" s="4">
        <f>IFERROR(__xludf.DUMMYFUNCTION("""COMPUTED_VALUE"""),45921.5119862963)</f>
        <v>45921.51199</v>
      </c>
      <c r="B433" s="3" t="str">
        <f>IFERROR(__xludf.DUMMYFUNCTION("""COMPUTED_VALUE"""),"MFHRO0231")</f>
        <v>MFHRO0231</v>
      </c>
      <c r="C433" s="3" t="str">
        <f>IFERROR(__xludf.DUMMYFUNCTION("""COMPUTED_VALUE"""),"EJO")</f>
        <v>EJO</v>
      </c>
      <c r="D433" s="3" t="str">
        <f>IFERROR(__xludf.DUMMYFUNCTION("""COMPUTED_VALUE"""),"-")</f>
        <v>-</v>
      </c>
      <c r="E433" s="3" t="str">
        <f>IFERROR(__xludf.DUMMYFUNCTION("""COMPUTED_VALUE"""),"BSC")</f>
        <v>BSC</v>
      </c>
      <c r="F433" s="3" t="str">
        <f>IFERROR(__xludf.DUMMYFUNCTION("""COMPUTED_VALUE"""),"Bio Safety Cabinet - Cover Timbangan Presision Balance 3x167x237, Mat. Acrylic; Custom/Lokal; -; 1 Pc")</f>
        <v>Bio Safety Cabinet - Cover Timbangan Presision Balance 3x167x237, Mat. Acrylic; Custom/Lokal; -; 1 Pc</v>
      </c>
      <c r="G433" s="3">
        <f>IFERROR(__xludf.DUMMYFUNCTION("""COMPUTED_VALUE"""),1.0)</f>
        <v>1</v>
      </c>
      <c r="H433" s="3" t="str">
        <f>IFERROR(__xludf.DUMMYFUNCTION("""COMPUTED_VALUE"""),"Pieces")</f>
        <v>Pieces</v>
      </c>
      <c r="I433" s="3" t="str">
        <f>IFERROR(__xludf.DUMMYFUNCTION("""COMPUTED_VALUE"""),"Untuk BSC 121703178 2740")</f>
        <v>Untuk BSC 121703178 2740</v>
      </c>
      <c r="J433" s="3" t="str">
        <f>IFERROR(__xludf.DUMMYFUNCTION("""COMPUTED_VALUE"""),"O-20983-00")</f>
        <v>O-20983-00</v>
      </c>
      <c r="K433" s="3" t="str">
        <f>IFERROR(__xludf.DUMMYFUNCTION("""COMPUTED_VALUE"""),"Approve")</f>
        <v>Approve</v>
      </c>
      <c r="L433" s="3" t="str">
        <f>IFERROR(__xludf.DUMMYFUNCTION("""COMPUTED_VALUE"""),"Normal")</f>
        <v>Normal</v>
      </c>
      <c r="M433" s="3" t="str">
        <f>IFERROR(__xludf.DUMMYFUNCTION("""COMPUTED_VALUE"""),"Non Urgent")</f>
        <v>Non Urgent</v>
      </c>
    </row>
    <row r="434">
      <c r="A434" s="4">
        <f>IFERROR(__xludf.DUMMYFUNCTION("""COMPUTED_VALUE"""),45921.5119862963)</f>
        <v>45921.51199</v>
      </c>
      <c r="B434" s="3" t="str">
        <f>IFERROR(__xludf.DUMMYFUNCTION("""COMPUTED_VALUE"""),"MFHRO0232")</f>
        <v>MFHRO0232</v>
      </c>
      <c r="C434" s="3" t="str">
        <f>IFERROR(__xludf.DUMMYFUNCTION("""COMPUTED_VALUE"""),"Consumable")</f>
        <v>Consumable</v>
      </c>
      <c r="D434" s="3" t="str">
        <f>IFERROR(__xludf.DUMMYFUNCTION("""COMPUTED_VALUE"""),"-")</f>
        <v>-</v>
      </c>
      <c r="E434" s="3" t="str">
        <f>IFERROR(__xludf.DUMMYFUNCTION("""COMPUTED_VALUE"""),"Sparepart")</f>
        <v>Sparepart</v>
      </c>
      <c r="F434" s="3" t="str">
        <f>IFERROR(__xludf.DUMMYFUNCTION("""COMPUTED_VALUE"""),"General - Push-in Connector, QS-6; Festo; 153032; 1 pcs")</f>
        <v>General - Push-in Connector, QS-6; Festo; 153032; 1 pcs</v>
      </c>
      <c r="G434" s="3">
        <f>IFERROR(__xludf.DUMMYFUNCTION("""COMPUTED_VALUE"""),10.0)</f>
        <v>10</v>
      </c>
      <c r="H434" s="3" t="str">
        <f>IFERROR(__xludf.DUMMYFUNCTION("""COMPUTED_VALUE"""),"Pieces")</f>
        <v>Pieces</v>
      </c>
      <c r="I434" s="3" t="str">
        <f>IFERROR(__xludf.DUMMYFUNCTION("""COMPUTED_VALUE"""),"Consumable Engineering 121703178 2741")</f>
        <v>Consumable Engineering 121703178 2741</v>
      </c>
      <c r="J434" s="3" t="str">
        <f>IFERROR(__xludf.DUMMYFUNCTION("""COMPUTED_VALUE"""),"P-11182-00")</f>
        <v>P-11182-00</v>
      </c>
      <c r="K434" s="3" t="str">
        <f>IFERROR(__xludf.DUMMYFUNCTION("""COMPUTED_VALUE"""),"Approve")</f>
        <v>Approve</v>
      </c>
      <c r="L434" s="3" t="str">
        <f>IFERROR(__xludf.DUMMYFUNCTION("""COMPUTED_VALUE"""),"Normal")</f>
        <v>Normal</v>
      </c>
      <c r="M434" s="3" t="str">
        <f>IFERROR(__xludf.DUMMYFUNCTION("""COMPUTED_VALUE"""),"Non Urgent")</f>
        <v>Non Urgent</v>
      </c>
    </row>
    <row r="435">
      <c r="A435" s="4">
        <f>IFERROR(__xludf.DUMMYFUNCTION("""COMPUTED_VALUE"""),45923.41597983796)</f>
        <v>45923.41598</v>
      </c>
      <c r="B435" s="3" t="str">
        <f>IFERROR(__xludf.DUMMYFUNCTION("""COMPUTED_VALUE"""),"ROSRO0011")</f>
        <v>ROSRO0011</v>
      </c>
      <c r="C435" s="3" t="str">
        <f>IFERROR(__xludf.DUMMYFUNCTION("""COMPUTED_VALUE"""),"Consumable")</f>
        <v>Consumable</v>
      </c>
      <c r="D435" s="3" t="str">
        <f>IFERROR(__xludf.DUMMYFUNCTION("""COMPUTED_VALUE"""),"-")</f>
        <v>-</v>
      </c>
      <c r="E435" s="3" t="str">
        <f>IFERROR(__xludf.DUMMYFUNCTION("""COMPUTED_VALUE"""),"Filling ")</f>
        <v>Filling </v>
      </c>
      <c r="F435" s="3" t="str">
        <f>IFERROR(__xludf.DUMMYFUNCTION("""COMPUTED_VALUE"""),"Oring Silicone Merah 18.4x13x2.7 mm; ; ;")</f>
        <v>Oring Silicone Merah 18.4x13x2.7 mm; ; ;</v>
      </c>
      <c r="G435" s="3">
        <f>IFERROR(__xludf.DUMMYFUNCTION("""COMPUTED_VALUE"""),20.0)</f>
        <v>20</v>
      </c>
      <c r="H435" s="3" t="str">
        <f>IFERROR(__xludf.DUMMYFUNCTION("""COMPUTED_VALUE"""),"Pcs")</f>
        <v>Pcs</v>
      </c>
      <c r="I435" s="3" t="str">
        <f>IFERROR(__xludf.DUMMYFUNCTION("""COMPUTED_VALUE"""),"Oring Filling pump stroke sudah ada yang putus ")</f>
        <v>Oring Filling pump stroke sudah ada yang putus </v>
      </c>
      <c r="J435" s="3" t="str">
        <f>IFERROR(__xludf.DUMMYFUNCTION("""COMPUTED_VALUE"""),"O-18870-00")</f>
        <v>O-18870-00</v>
      </c>
      <c r="K435" s="3" t="str">
        <f>IFERROR(__xludf.DUMMYFUNCTION("""COMPUTED_VALUE"""),"Approve")</f>
        <v>Approve</v>
      </c>
      <c r="L435" s="3" t="str">
        <f>IFERROR(__xludf.DUMMYFUNCTION("""COMPUTED_VALUE"""),"Normal")</f>
        <v>Normal</v>
      </c>
      <c r="M435" s="3" t="str">
        <f>IFERROR(__xludf.DUMMYFUNCTION("""COMPUTED_VALUE"""),"Non Urgent")</f>
        <v>Non Urgent</v>
      </c>
    </row>
    <row r="436">
      <c r="A436" s="4">
        <f>IFERROR(__xludf.DUMMYFUNCTION("""COMPUTED_VALUE"""),45923.67971131945)</f>
        <v>45923.67971</v>
      </c>
      <c r="B436" s="3" t="str">
        <f>IFERROR(__xludf.DUMMYFUNCTION("""COMPUTED_VALUE"""),"NDSRO0008")</f>
        <v>NDSRO0008</v>
      </c>
      <c r="C436" s="3" t="str">
        <f>IFERROR(__xludf.DUMMYFUNCTION("""COMPUTED_VALUE"""),"MIn Stok")</f>
        <v>MIn Stok</v>
      </c>
      <c r="D436" s="3" t="str">
        <f>IFERROR(__xludf.DUMMYFUNCTION("""COMPUTED_VALUE"""),"-")</f>
        <v>-</v>
      </c>
      <c r="E436" s="3" t="str">
        <f>IFERROR(__xludf.DUMMYFUNCTION("""COMPUTED_VALUE"""),"Freeze Dryer")</f>
        <v>Freeze Dryer</v>
      </c>
      <c r="F436" s="3" t="str">
        <f>IFERROR(__xludf.DUMMYFUNCTION("""COMPUTED_VALUE"""),"Freeze Dryer MBE1207 - SV54 14193T 330 S.S+FKM I/O: G1/4 Inch Orifice 4mm Kv=0.28 m3/h NO DC24V p/n:; BURKERT; ;")</f>
        <v>Freeze Dryer MBE1207 - SV54 14193T 330 S.S+FKM I/O: G1/4 Inch Orifice 4mm Kv=0.28 m3/h NO DC24V p/n:; BURKERT; ;</v>
      </c>
      <c r="G436" s="3">
        <f>IFERROR(__xludf.DUMMYFUNCTION("""COMPUTED_VALUE"""),4.0)</f>
        <v>4</v>
      </c>
      <c r="H436" s="3" t="str">
        <f>IFERROR(__xludf.DUMMYFUNCTION("""COMPUTED_VALUE"""),"Pcs")</f>
        <v>Pcs</v>
      </c>
      <c r="I436" s="3" t="str">
        <f>IFERROR(__xludf.DUMMYFUNCTION("""COMPUTED_VALUE"""),"-")</f>
        <v>-</v>
      </c>
      <c r="J436" s="3" t="str">
        <f>IFERROR(__xludf.DUMMYFUNCTION("""COMPUTED_VALUE"""),"O-52825-00")</f>
        <v>O-52825-00</v>
      </c>
      <c r="K436" s="3" t="str">
        <f>IFERROR(__xludf.DUMMYFUNCTION("""COMPUTED_VALUE"""),"Approve")</f>
        <v>Approve</v>
      </c>
      <c r="L436" s="3" t="str">
        <f>IFERROR(__xludf.DUMMYFUNCTION("""COMPUTED_VALUE"""),"Normal")</f>
        <v>Normal</v>
      </c>
      <c r="M436" s="3" t="str">
        <f>IFERROR(__xludf.DUMMYFUNCTION("""COMPUTED_VALUE"""),"Non Urgent")</f>
        <v>Non Urgent</v>
      </c>
    </row>
    <row r="437">
      <c r="A437" s="4">
        <f>IFERROR(__xludf.DUMMYFUNCTION("""COMPUTED_VALUE"""),45926.880745277784)</f>
        <v>45926.88075</v>
      </c>
      <c r="B437" s="3" t="str">
        <f>IFERROR(__xludf.DUMMYFUNCTION("""COMPUTED_VALUE"""),"RIARO0051")</f>
        <v>RIARO0051</v>
      </c>
      <c r="C437" s="3" t="str">
        <f>IFERROR(__xludf.DUMMYFUNCTION("""COMPUTED_VALUE"""),"EJO")</f>
        <v>EJO</v>
      </c>
      <c r="D437" s="3" t="str">
        <f>IFERROR(__xludf.DUMMYFUNCTION("""COMPUTED_VALUE"""),"EJO/2025/09/129")</f>
        <v>EJO/2025/09/129</v>
      </c>
      <c r="E437" s="3" t="str">
        <f>IFERROR(__xludf.DUMMYFUNCTION("""COMPUTED_VALUE"""),"Coating")</f>
        <v>Coating</v>
      </c>
      <c r="F437" s="3" t="str">
        <f>IFERROR(__xludf.DUMMYFUNCTION("""COMPUTED_VALUE"""),"Membrane Diaphragm Valve EPDM PTFE DN 50 p/n: 600 50M5E-221 Gemu; ; ;")</f>
        <v>Membrane Diaphragm Valve EPDM PTFE DN 50 p/n: 600 50M5E-221 Gemu; ; ;</v>
      </c>
      <c r="G437" s="3">
        <f>IFERROR(__xludf.DUMMYFUNCTION("""COMPUTED_VALUE"""),1.0)</f>
        <v>1</v>
      </c>
      <c r="H437" s="3" t="str">
        <f>IFERROR(__xludf.DUMMYFUNCTION("""COMPUTED_VALUE"""),"Pcs")</f>
        <v>Pcs</v>
      </c>
      <c r="I437" s="3" t="str">
        <f>IFERROR(__xludf.DUMMYFUNCTION("""COMPUTED_VALUE"""),"Untuk ganti membrane PW Washkit Coating")</f>
        <v>Untuk ganti membrane PW Washkit Coating</v>
      </c>
      <c r="J437" s="3" t="str">
        <f>IFERROR(__xludf.DUMMYFUNCTION("""COMPUTED_VALUE"""),"O-14364-00")</f>
        <v>O-14364-00</v>
      </c>
      <c r="K437" s="3" t="str">
        <f>IFERROR(__xludf.DUMMYFUNCTION("""COMPUTED_VALUE"""),"Approve")</f>
        <v>Approve</v>
      </c>
      <c r="L437" s="3" t="str">
        <f>IFERROR(__xludf.DUMMYFUNCTION("""COMPUTED_VALUE"""),"Normal")</f>
        <v>Normal</v>
      </c>
      <c r="M437" s="3" t="str">
        <f>IFERROR(__xludf.DUMMYFUNCTION("""COMPUTED_VALUE"""),"Non Urgent")</f>
        <v>Non Urgent</v>
      </c>
    </row>
    <row r="438">
      <c r="A438" s="4">
        <f>IFERROR(__xludf.DUMMYFUNCTION("""COMPUTED_VALUE"""),45931.60714554398)</f>
        <v>45931.60715</v>
      </c>
      <c r="B438" s="3" t="str">
        <f>IFERROR(__xludf.DUMMYFUNCTION("""COMPUTED_VALUE"""),"MOBRO0061")</f>
        <v>MOBRO0061</v>
      </c>
      <c r="C438" s="3" t="str">
        <f>IFERROR(__xludf.DUMMYFUNCTION("""COMPUTED_VALUE"""),"EJO")</f>
        <v>EJO</v>
      </c>
      <c r="D438" s="3" t="str">
        <f>IFERROR(__xludf.DUMMYFUNCTION("""COMPUTED_VALUE"""),"EJO/2025/08/153")</f>
        <v>EJO/2025/08/153</v>
      </c>
      <c r="E438" s="3" t="str">
        <f>IFERROR(__xludf.DUMMYFUNCTION("""COMPUTED_VALUE"""),"Movable Drawer")</f>
        <v>Movable Drawer</v>
      </c>
      <c r="F438" s="3" t="str">
        <f>IFERROR(__xludf.DUMMYFUNCTION("""COMPUTED_VALUE"""),"Roda Caster Supo Dia : 3"" ( 75 x 38 mm) / Swivel Flange / With Breake")</f>
        <v>Roda Caster Supo Dia : 3" ( 75 x 38 mm) / Swivel Flange / With Breake</v>
      </c>
      <c r="G438" s="3">
        <f>IFERROR(__xludf.DUMMYFUNCTION("""COMPUTED_VALUE"""),8.0)</f>
        <v>8</v>
      </c>
      <c r="H438" s="3" t="str">
        <f>IFERROR(__xludf.DUMMYFUNCTION("""COMPUTED_VALUE"""),"Pcs")</f>
        <v>Pcs</v>
      </c>
      <c r="I438" s="3" t="str">
        <f>IFERROR(__xludf.DUMMYFUNCTION("""COMPUTED_VALUE"""),"Flange, Putar")</f>
        <v>Flange, Putar</v>
      </c>
      <c r="J438" s="3" t="str">
        <f>IFERROR(__xludf.DUMMYFUNCTION("""COMPUTED_VALUE"""),"P-11348-00")</f>
        <v>P-11348-00</v>
      </c>
      <c r="K438" s="3" t="str">
        <f>IFERROR(__xludf.DUMMYFUNCTION("""COMPUTED_VALUE"""),"Approve")</f>
        <v>Approve</v>
      </c>
      <c r="L438" s="3" t="str">
        <f>IFERROR(__xludf.DUMMYFUNCTION("""COMPUTED_VALUE"""),"Normal")</f>
        <v>Normal</v>
      </c>
      <c r="M438" s="3" t="str">
        <f>IFERROR(__xludf.DUMMYFUNCTION("""COMPUTED_VALUE"""),"Non Urgent")</f>
        <v>Non Urgent</v>
      </c>
    </row>
    <row r="439">
      <c r="A439" s="4">
        <f>IFERROR(__xludf.DUMMYFUNCTION("""COMPUTED_VALUE"""),45932.45394005787)</f>
        <v>45932.45394</v>
      </c>
      <c r="B439" s="3" t="str">
        <f>IFERROR(__xludf.DUMMYFUNCTION("""COMPUTED_VALUE"""),"SFHRO0023")</f>
        <v>SFHRO0023</v>
      </c>
      <c r="C439" s="3" t="str">
        <f>IFERROR(__xludf.DUMMYFUNCTION("""COMPUTED_VALUE"""),"MIn Stok")</f>
        <v>MIn Stok</v>
      </c>
      <c r="D439" s="3" t="str">
        <f>IFERROR(__xludf.DUMMYFUNCTION("""COMPUTED_VALUE"""),"-")</f>
        <v>-</v>
      </c>
      <c r="E439" s="3" t="str">
        <f>IFERROR(__xludf.DUMMYFUNCTION("""COMPUTED_VALUE"""),"lantai 2")</f>
        <v>lantai 2</v>
      </c>
      <c r="F439" s="3" t="str">
        <f>IFERROR(__xludf.DUMMYFUNCTION("""COMPUTED_VALUE"""),"Kuas Cat Roller uk. 110 mm;No Brand;;pack size per set")</f>
        <v>Kuas Cat Roller uk. 110 mm;No Brand;;pack size per set</v>
      </c>
      <c r="G439" s="3">
        <f>IFERROR(__xludf.DUMMYFUNCTION("""COMPUTED_VALUE"""),10.0)</f>
        <v>10</v>
      </c>
      <c r="H439" s="3" t="str">
        <f>IFERROR(__xludf.DUMMYFUNCTION("""COMPUTED_VALUE"""),"pcs")</f>
        <v>pcs</v>
      </c>
      <c r="I439" s="3" t="str">
        <f>IFERROR(__xludf.DUMMYFUNCTION("""COMPUTED_VALUE"""),"stok habis")</f>
        <v>stok habis</v>
      </c>
      <c r="J439" s="3" t="str">
        <f>IFERROR(__xludf.DUMMYFUNCTION("""COMPUTED_VALUE"""),"Q-10153-00")</f>
        <v>Q-10153-00</v>
      </c>
      <c r="K439" s="3" t="str">
        <f>IFERROR(__xludf.DUMMYFUNCTION("""COMPUTED_VALUE"""),"Approve")</f>
        <v>Approve</v>
      </c>
      <c r="L439" s="3" t="str">
        <f>IFERROR(__xludf.DUMMYFUNCTION("""COMPUTED_VALUE"""),"Normal")</f>
        <v>Normal</v>
      </c>
      <c r="M439" s="3" t="str">
        <f>IFERROR(__xludf.DUMMYFUNCTION("""COMPUTED_VALUE"""),"Non Urgent")</f>
        <v>Non Urgent</v>
      </c>
    </row>
    <row r="440">
      <c r="A440" s="4">
        <f>IFERROR(__xludf.DUMMYFUNCTION("""COMPUTED_VALUE"""),45933.065253981484)</f>
        <v>45933.06525</v>
      </c>
      <c r="B440" s="3" t="str">
        <f>IFERROR(__xludf.DUMMYFUNCTION("""COMPUTED_VALUE"""),"RIARO0052")</f>
        <v>RIARO0052</v>
      </c>
      <c r="C440" s="3" t="str">
        <f>IFERROR(__xludf.DUMMYFUNCTION("""COMPUTED_VALUE"""),"Consumable")</f>
        <v>Consumable</v>
      </c>
      <c r="D440" s="3" t="str">
        <f>IFERROR(__xludf.DUMMYFUNCTION("""COMPUTED_VALUE"""),"-")</f>
        <v>-</v>
      </c>
      <c r="E440" s="3" t="str">
        <f>IFERROR(__xludf.DUMMYFUNCTION("""COMPUTED_VALUE"""),"WWTP")</f>
        <v>WWTP</v>
      </c>
      <c r="F440" s="3" t="str">
        <f>IFERROR(__xludf.DUMMYFUNCTION("""COMPUTED_VALUE"""),"ORP Transmitter (Field mounted) Type: 202551/05-8-01-4-0-00-25/000; JUMO; ;")</f>
        <v>ORP Transmitter (Field mounted) Type: 202551/05-8-01-4-0-00-25/000; JUMO; ;</v>
      </c>
      <c r="G440" s="3">
        <f>IFERROR(__xludf.DUMMYFUNCTION("""COMPUTED_VALUE"""),1.0)</f>
        <v>1</v>
      </c>
      <c r="H440" s="3" t="str">
        <f>IFERROR(__xludf.DUMMYFUNCTION("""COMPUTED_VALUE"""),"Pcs")</f>
        <v>Pcs</v>
      </c>
      <c r="I440" s="3" t="str">
        <f>IFERROR(__xludf.DUMMYFUNCTION("""COMPUTED_VALUE"""),"Untuk ORP Tangki Reactor 1")</f>
        <v>Untuk ORP Tangki Reactor 1</v>
      </c>
      <c r="J440" s="3" t="str">
        <f>IFERROR(__xludf.DUMMYFUNCTION("""COMPUTED_VALUE"""),"P-52694-00")</f>
        <v>P-52694-00</v>
      </c>
      <c r="K440" s="3" t="str">
        <f>IFERROR(__xludf.DUMMYFUNCTION("""COMPUTED_VALUE"""),"Approve")</f>
        <v>Approve</v>
      </c>
      <c r="L440" s="3" t="str">
        <f>IFERROR(__xludf.DUMMYFUNCTION("""COMPUTED_VALUE"""),"Normal")</f>
        <v>Normal</v>
      </c>
      <c r="M440" s="3" t="str">
        <f>IFERROR(__xludf.DUMMYFUNCTION("""COMPUTED_VALUE"""),"Non Urgent")</f>
        <v>Non Urgent</v>
      </c>
    </row>
    <row r="441">
      <c r="A441" s="4">
        <f>IFERROR(__xludf.DUMMYFUNCTION("""COMPUTED_VALUE"""),45933.06527746528)</f>
        <v>45933.06528</v>
      </c>
      <c r="B441" s="3" t="str">
        <f>IFERROR(__xludf.DUMMYFUNCTION("""COMPUTED_VALUE"""),"RIARO0053")</f>
        <v>RIARO0053</v>
      </c>
      <c r="C441" s="3" t="str">
        <f>IFERROR(__xludf.DUMMYFUNCTION("""COMPUTED_VALUE"""),"Consumable")</f>
        <v>Consumable</v>
      </c>
      <c r="D441" s="3" t="str">
        <f>IFERROR(__xludf.DUMMYFUNCTION("""COMPUTED_VALUE"""),"-")</f>
        <v>-</v>
      </c>
      <c r="E441" s="3" t="str">
        <f>IFERROR(__xludf.DUMMYFUNCTION("""COMPUTED_VALUE"""),"WWTP")</f>
        <v>WWTP</v>
      </c>
      <c r="F441" s="3" t="str">
        <f>IFERROR(__xludf.DUMMYFUNCTION("""COMPUTED_VALUE"""),"ORP Electrode Type: 201027/10-22-07-82-120/000; JUMO; ;")</f>
        <v>ORP Electrode Type: 201027/10-22-07-82-120/000; JUMO; ;</v>
      </c>
      <c r="G441" s="3">
        <f>IFERROR(__xludf.DUMMYFUNCTION("""COMPUTED_VALUE"""),1.0)</f>
        <v>1</v>
      </c>
      <c r="H441" s="3" t="str">
        <f>IFERROR(__xludf.DUMMYFUNCTION("""COMPUTED_VALUE"""),"Pcs")</f>
        <v>Pcs</v>
      </c>
      <c r="I441" s="3" t="str">
        <f>IFERROR(__xludf.DUMMYFUNCTION("""COMPUTED_VALUE"""),"Untuk ORP Tangki Reactor 2")</f>
        <v>Untuk ORP Tangki Reactor 2</v>
      </c>
      <c r="J441" s="3" t="str">
        <f>IFERROR(__xludf.DUMMYFUNCTION("""COMPUTED_VALUE"""),"P-52695-00")</f>
        <v>P-52695-00</v>
      </c>
      <c r="K441" s="3" t="str">
        <f>IFERROR(__xludf.DUMMYFUNCTION("""COMPUTED_VALUE"""),"Approve")</f>
        <v>Approve</v>
      </c>
      <c r="L441" s="3" t="str">
        <f>IFERROR(__xludf.DUMMYFUNCTION("""COMPUTED_VALUE"""),"Normal")</f>
        <v>Normal</v>
      </c>
      <c r="M441" s="3" t="str">
        <f>IFERROR(__xludf.DUMMYFUNCTION("""COMPUTED_VALUE"""),"Non Urgent")</f>
        <v>Non Urgent</v>
      </c>
    </row>
    <row r="442">
      <c r="A442" s="4">
        <f>IFERROR(__xludf.DUMMYFUNCTION("""COMPUTED_VALUE"""),45933.06527746528)</f>
        <v>45933.06528</v>
      </c>
      <c r="B442" s="3" t="str">
        <f>IFERROR(__xludf.DUMMYFUNCTION("""COMPUTED_VALUE"""),"RIARO0054")</f>
        <v>RIARO0054</v>
      </c>
      <c r="C442" s="3" t="str">
        <f>IFERROR(__xludf.DUMMYFUNCTION("""COMPUTED_VALUE"""),"Consumable")</f>
        <v>Consumable</v>
      </c>
      <c r="D442" s="3" t="str">
        <f>IFERROR(__xludf.DUMMYFUNCTION("""COMPUTED_VALUE"""),"-")</f>
        <v>-</v>
      </c>
      <c r="E442" s="3" t="str">
        <f>IFERROR(__xludf.DUMMYFUNCTION("""COMPUTED_VALUE"""),"WWTP")</f>
        <v>WWTP</v>
      </c>
      <c r="F442" s="3" t="str">
        <f>IFERROR(__xludf.DUMMYFUNCTION("""COMPUTED_VALUE"""),"ORP Cable Type: 202990/02; JUMO; ;")</f>
        <v>ORP Cable Type: 202990/02; JUMO; ;</v>
      </c>
      <c r="G442" s="3">
        <f>IFERROR(__xludf.DUMMYFUNCTION("""COMPUTED_VALUE"""),1.0)</f>
        <v>1</v>
      </c>
      <c r="H442" s="3" t="str">
        <f>IFERROR(__xludf.DUMMYFUNCTION("""COMPUTED_VALUE"""),"Pcs")</f>
        <v>Pcs</v>
      </c>
      <c r="I442" s="3" t="str">
        <f>IFERROR(__xludf.DUMMYFUNCTION("""COMPUTED_VALUE"""),"Untuk ORP Tangki Reactor 3")</f>
        <v>Untuk ORP Tangki Reactor 3</v>
      </c>
      <c r="J442" s="3" t="str">
        <f>IFERROR(__xludf.DUMMYFUNCTION("""COMPUTED_VALUE"""),"P-52696-00")</f>
        <v>P-52696-00</v>
      </c>
      <c r="K442" s="3" t="str">
        <f>IFERROR(__xludf.DUMMYFUNCTION("""COMPUTED_VALUE"""),"Approve")</f>
        <v>Approve</v>
      </c>
      <c r="L442" s="3" t="str">
        <f>IFERROR(__xludf.DUMMYFUNCTION("""COMPUTED_VALUE"""),"Normal")</f>
        <v>Normal</v>
      </c>
      <c r="M442" s="3" t="str">
        <f>IFERROR(__xludf.DUMMYFUNCTION("""COMPUTED_VALUE"""),"Non Urgent")</f>
        <v>Non Urgent</v>
      </c>
    </row>
    <row r="443">
      <c r="A443" s="4">
        <f>IFERROR(__xludf.DUMMYFUNCTION("""COMPUTED_VALUE"""),45933.67468950231)</f>
        <v>45933.67469</v>
      </c>
      <c r="B443" s="3" t="str">
        <f>IFERROR(__xludf.DUMMYFUNCTION("""COMPUTED_VALUE"""),"MRNRO0033")</f>
        <v>MRNRO0033</v>
      </c>
      <c r="C443" s="3" t="str">
        <f>IFERROR(__xludf.DUMMYFUNCTION("""COMPUTED_VALUE"""),"EJO")</f>
        <v>EJO</v>
      </c>
      <c r="D443" s="3" t="str">
        <f>IFERROR(__xludf.DUMMYFUNCTION("""COMPUTED_VALUE"""),"EJO/2025/02/66")</f>
        <v>EJO/2025/02/66</v>
      </c>
      <c r="E443" s="3" t="str">
        <f>IFERROR(__xludf.DUMMYFUNCTION("""COMPUTED_VALUE"""),"EF AHU")</f>
        <v>EF AHU</v>
      </c>
      <c r="F443" s="3" t="str">
        <f>IFERROR(__xludf.DUMMYFUNCTION("""COMPUTED_VALUE"""),"Belt SPA 1132 LW")</f>
        <v>Belt SPA 1132 LW</v>
      </c>
      <c r="G443" s="3">
        <f>IFERROR(__xludf.DUMMYFUNCTION("""COMPUTED_VALUE"""),10.0)</f>
        <v>10</v>
      </c>
      <c r="H443" s="3" t="str">
        <f>IFERROR(__xludf.DUMMYFUNCTION("""COMPUTED_VALUE"""),"pcs")</f>
        <v>pcs</v>
      </c>
      <c r="I443" s="3" t="str">
        <f>IFERROR(__xludf.DUMMYFUNCTION("""COMPUTED_VALUE"""),"Buat Exhaust Fan AHU")</f>
        <v>Buat Exhaust Fan AHU</v>
      </c>
      <c r="J443" s="3" t="str">
        <f>IFERROR(__xludf.DUMMYFUNCTION("""COMPUTED_VALUE"""),"P-17451-00")</f>
        <v>P-17451-00</v>
      </c>
      <c r="K443" s="3" t="str">
        <f>IFERROR(__xludf.DUMMYFUNCTION("""COMPUTED_VALUE"""),"Approve")</f>
        <v>Approve</v>
      </c>
      <c r="L443" s="3" t="str">
        <f>IFERROR(__xludf.DUMMYFUNCTION("""COMPUTED_VALUE"""),"Normal")</f>
        <v>Normal</v>
      </c>
      <c r="M443" s="3" t="str">
        <f>IFERROR(__xludf.DUMMYFUNCTION("""COMPUTED_VALUE"""),"Non Urgent")</f>
        <v>Non Urgent</v>
      </c>
    </row>
    <row r="444">
      <c r="A444" s="4">
        <f>IFERROR(__xludf.DUMMYFUNCTION("""COMPUTED_VALUE"""),45935.32112350695)</f>
        <v>45935.32112</v>
      </c>
      <c r="B444" s="3" t="str">
        <f>IFERROR(__xludf.DUMMYFUNCTION("""COMPUTED_VALUE"""),"SFHRO0024")</f>
        <v>SFHRO0024</v>
      </c>
      <c r="C444" s="3" t="str">
        <f>IFERROR(__xludf.DUMMYFUNCTION("""COMPUTED_VALUE"""),"MIn Stok")</f>
        <v>MIn Stok</v>
      </c>
      <c r="D444" s="3" t="str">
        <f>IFERROR(__xludf.DUMMYFUNCTION("""COMPUTED_VALUE"""),"-")</f>
        <v>-</v>
      </c>
      <c r="E444" s="3" t="str">
        <f>IFERROR(__xludf.DUMMYFUNCTION("""COMPUTED_VALUE"""),"lantai 2")</f>
        <v>lantai 2</v>
      </c>
      <c r="F444" s="3" t="str">
        <f>IFERROR(__xludf.DUMMYFUNCTION("""COMPUTED_VALUE"""),"Kape Besi / Scraper / Skrap Besi;No Brand;;pack size per pcs")</f>
        <v>Kape Besi / Scraper / Skrap Besi;No Brand;;pack size per pcs</v>
      </c>
      <c r="G444" s="3">
        <f>IFERROR(__xludf.DUMMYFUNCTION("""COMPUTED_VALUE"""),5.0)</f>
        <v>5</v>
      </c>
      <c r="H444" s="3" t="str">
        <f>IFERROR(__xludf.DUMMYFUNCTION("""COMPUTED_VALUE"""),"pcs")</f>
        <v>pcs</v>
      </c>
      <c r="I444" s="3" t="str">
        <f>IFERROR(__xludf.DUMMYFUNCTION("""COMPUTED_VALUE"""),"stok habis")</f>
        <v>stok habis</v>
      </c>
      <c r="J444" s="3" t="str">
        <f>IFERROR(__xludf.DUMMYFUNCTION("""COMPUTED_VALUE"""),"Q-10517-00")</f>
        <v>Q-10517-00</v>
      </c>
      <c r="K444" s="3" t="str">
        <f>IFERROR(__xludf.DUMMYFUNCTION("""COMPUTED_VALUE"""),"Approve")</f>
        <v>Approve</v>
      </c>
      <c r="L444" s="3" t="str">
        <f>IFERROR(__xludf.DUMMYFUNCTION("""COMPUTED_VALUE"""),"Normal")</f>
        <v>Normal</v>
      </c>
      <c r="M444" s="3" t="str">
        <f>IFERROR(__xludf.DUMMYFUNCTION("""COMPUTED_VALUE"""),"Non Urgent")</f>
        <v>Non Urgent</v>
      </c>
    </row>
    <row r="445">
      <c r="A445" s="4">
        <f>IFERROR(__xludf.DUMMYFUNCTION("""COMPUTED_VALUE"""),45936.885937812505)</f>
        <v>45936.88594</v>
      </c>
      <c r="B445" s="3" t="str">
        <f>IFERROR(__xludf.DUMMYFUNCTION("""COMPUTED_VALUE"""),"SFHRO0025")</f>
        <v>SFHRO0025</v>
      </c>
      <c r="C445" s="3" t="str">
        <f>IFERROR(__xludf.DUMMYFUNCTION("""COMPUTED_VALUE"""),"MIn Stok")</f>
        <v>MIn Stok</v>
      </c>
      <c r="D445" s="3" t="str">
        <f>IFERROR(__xludf.DUMMYFUNCTION("""COMPUTED_VALUE"""),"-")</f>
        <v>-</v>
      </c>
      <c r="E445" s="3" t="str">
        <f>IFERROR(__xludf.DUMMYFUNCTION("""COMPUTED_VALUE"""),"lantai 2")</f>
        <v>lantai 2</v>
      </c>
      <c r="F445" s="3" t="str">
        <f>IFERROR(__xludf.DUMMYFUNCTION("""COMPUTED_VALUE"""),"Thinner Super End/Impala @ 1 Liter")</f>
        <v>Thinner Super End/Impala @ 1 Liter</v>
      </c>
      <c r="G445" s="3">
        <f>IFERROR(__xludf.DUMMYFUNCTION("""COMPUTED_VALUE"""),15.0)</f>
        <v>15</v>
      </c>
      <c r="H445" s="3" t="str">
        <f>IFERROR(__xludf.DUMMYFUNCTION("""COMPUTED_VALUE"""),"liter")</f>
        <v>liter</v>
      </c>
      <c r="I445" s="3" t="str">
        <f>IFERROR(__xludf.DUMMYFUNCTION("""COMPUTED_VALUE"""),"stok habis")</f>
        <v>stok habis</v>
      </c>
      <c r="J445" s="3" t="str">
        <f>IFERROR(__xludf.DUMMYFUNCTION("""COMPUTED_VALUE"""),"Q-10128-00")</f>
        <v>Q-10128-00</v>
      </c>
      <c r="K445" s="3" t="str">
        <f>IFERROR(__xludf.DUMMYFUNCTION("""COMPUTED_VALUE"""),"Approve")</f>
        <v>Approve</v>
      </c>
      <c r="L445" s="3" t="str">
        <f>IFERROR(__xludf.DUMMYFUNCTION("""COMPUTED_VALUE"""),"Normal")</f>
        <v>Normal</v>
      </c>
      <c r="M445" s="3" t="str">
        <f>IFERROR(__xludf.DUMMYFUNCTION("""COMPUTED_VALUE"""),"Non Urgent")</f>
        <v>Non Urgent</v>
      </c>
    </row>
    <row r="446">
      <c r="A446" s="4">
        <f>IFERROR(__xludf.DUMMYFUNCTION("""COMPUTED_VALUE"""),45943.567489490735)</f>
        <v>45943.56749</v>
      </c>
      <c r="B446" s="3" t="str">
        <f>IFERROR(__xludf.DUMMYFUNCTION("""COMPUTED_VALUE"""),"MOBRO0062")</f>
        <v>MOBRO0062</v>
      </c>
      <c r="C446" s="3" t="str">
        <f>IFERROR(__xludf.DUMMYFUNCTION("""COMPUTED_VALUE"""),"Consumable")</f>
        <v>Consumable</v>
      </c>
      <c r="D446" s="3" t="str">
        <f>IFERROR(__xludf.DUMMYFUNCTION("""COMPUTED_VALUE"""),"-")</f>
        <v>-</v>
      </c>
      <c r="E446" s="3" t="str">
        <f>IFERROR(__xludf.DUMMYFUNCTION("""COMPUTED_VALUE"""),"Universal")</f>
        <v>Universal</v>
      </c>
      <c r="F446" s="3" t="str">
        <f>IFERROR(__xludf.DUMMYFUNCTION("""COMPUTED_VALUE"""),"General - Kabel UTP 4 Pairs Cat 6; Belden; -; 305m/roll")</f>
        <v>General - Kabel UTP 4 Pairs Cat 6; Belden; -; 305m/roll</v>
      </c>
      <c r="G446" s="3">
        <f>IFERROR(__xludf.DUMMYFUNCTION("""COMPUTED_VALUE"""),1220.0)</f>
        <v>1220</v>
      </c>
      <c r="H446" s="3" t="str">
        <f>IFERROR(__xludf.DUMMYFUNCTION("""COMPUTED_VALUE"""),"Meter")</f>
        <v>Meter</v>
      </c>
      <c r="I446" s="3" t="str">
        <f>IFERROR(__xludf.DUMMYFUNCTION("""COMPUTED_VALUE"""),"Consumable")</f>
        <v>Consumable</v>
      </c>
      <c r="J446" s="3" t="str">
        <f>IFERROR(__xludf.DUMMYFUNCTION("""COMPUTED_VALUE"""),"P-50717-00")</f>
        <v>P-50717-00</v>
      </c>
      <c r="K446" s="3" t="str">
        <f>IFERROR(__xludf.DUMMYFUNCTION("""COMPUTED_VALUE"""),"Approve")</f>
        <v>Approve</v>
      </c>
      <c r="L446" s="3" t="str">
        <f>IFERROR(__xludf.DUMMYFUNCTION("""COMPUTED_VALUE"""),"Normal")</f>
        <v>Normal</v>
      </c>
      <c r="M446" s="3" t="str">
        <f>IFERROR(__xludf.DUMMYFUNCTION("""COMPUTED_VALUE"""),"Non Urgent")</f>
        <v>Non Urgent</v>
      </c>
    </row>
    <row r="447">
      <c r="A447" s="4">
        <f>IFERROR(__xludf.DUMMYFUNCTION("""COMPUTED_VALUE"""),45945.27239075232)</f>
        <v>45945.27239</v>
      </c>
      <c r="B447" s="3" t="str">
        <f>IFERROR(__xludf.DUMMYFUNCTION("""COMPUTED_VALUE"""),"MRNRO0034")</f>
        <v>MRNRO0034</v>
      </c>
      <c r="C447" s="3" t="str">
        <f>IFERROR(__xludf.DUMMYFUNCTION("""COMPUTED_VALUE"""),"EJO")</f>
        <v>EJO</v>
      </c>
      <c r="D447" s="3" t="str">
        <f>IFERROR(__xludf.DUMMYFUNCTION("""COMPUTED_VALUE"""),"EJO/2025/08/165")</f>
        <v>EJO/2025/08/165</v>
      </c>
      <c r="E447" s="3" t="str">
        <f>IFERROR(__xludf.DUMMYFUNCTION("""COMPUTED_VALUE"""),"EF D1-1")</f>
        <v>EF D1-1</v>
      </c>
      <c r="F447" s="3" t="str">
        <f>IFERROR(__xludf.DUMMYFUNCTION("""COMPUTED_VALUE"""),"General - Pulser SCR Heater Controller Wall Mounted 0-10 VD DC; Regin; 240-X010; 1 unit")</f>
        <v>General - Pulser SCR Heater Controller Wall Mounted 0-10 VD DC; Regin; 240-X010; 1 unit</v>
      </c>
      <c r="G447" s="3">
        <f>IFERROR(__xludf.DUMMYFUNCTION("""COMPUTED_VALUE"""),1.0)</f>
        <v>1</v>
      </c>
      <c r="H447" s="3" t="str">
        <f>IFERROR(__xludf.DUMMYFUNCTION("""COMPUTED_VALUE"""),"pcs")</f>
        <v>pcs</v>
      </c>
      <c r="I447" s="3" t="str">
        <f>IFERROR(__xludf.DUMMYFUNCTION("""COMPUTED_VALUE"""),"Buat AHU D1-1")</f>
        <v>Buat AHU D1-1</v>
      </c>
      <c r="J447" s="3" t="str">
        <f>IFERROR(__xludf.DUMMYFUNCTION("""COMPUTED_VALUE"""),"P-13370-00")</f>
        <v>P-13370-00</v>
      </c>
      <c r="K447" s="3" t="str">
        <f>IFERROR(__xludf.DUMMYFUNCTION("""COMPUTED_VALUE"""),"Approve")</f>
        <v>Approve</v>
      </c>
      <c r="L447" s="3" t="str">
        <f>IFERROR(__xludf.DUMMYFUNCTION("""COMPUTED_VALUE"""),"Normal")</f>
        <v>Normal</v>
      </c>
      <c r="M447" s="3" t="str">
        <f>IFERROR(__xludf.DUMMYFUNCTION("""COMPUTED_VALUE"""),"Non Urgent")</f>
        <v>Non Urgent</v>
      </c>
    </row>
    <row r="448">
      <c r="A448" s="4">
        <f>IFERROR(__xludf.DUMMYFUNCTION("""COMPUTED_VALUE"""),45945.36438557871)</f>
        <v>45945.36439</v>
      </c>
      <c r="B448" s="3" t="str">
        <f>IFERROR(__xludf.DUMMYFUNCTION("""COMPUTED_VALUE"""),"MOBRO0063")</f>
        <v>MOBRO0063</v>
      </c>
      <c r="C448" s="3" t="str">
        <f>IFERROR(__xludf.DUMMYFUNCTION("""COMPUTED_VALUE"""),"Consumable")</f>
        <v>Consumable</v>
      </c>
      <c r="D448" s="3" t="str">
        <f>IFERROR(__xludf.DUMMYFUNCTION("""COMPUTED_VALUE"""),"-")</f>
        <v>-</v>
      </c>
      <c r="E448" s="3" t="str">
        <f>IFERROR(__xludf.DUMMYFUNCTION("""COMPUTED_VALUE"""),"PWG")</f>
        <v>PWG</v>
      </c>
      <c r="F448" s="3" t="str">
        <f>IFERROR(__xludf.DUMMYFUNCTION("""COMPUTED_VALUE"""),"Filter SO 5 micron 30 inch O-ring 222 Bayonet; ; ;")</f>
        <v>Filter SO 5 micron 30 inch O-ring 222 Bayonet; ; ;</v>
      </c>
      <c r="G448" s="3">
        <f>IFERROR(__xludf.DUMMYFUNCTION("""COMPUTED_VALUE"""),10.0)</f>
        <v>10</v>
      </c>
      <c r="H448" s="3" t="str">
        <f>IFERROR(__xludf.DUMMYFUNCTION("""COMPUTED_VALUE"""),"Pcs")</f>
        <v>Pcs</v>
      </c>
      <c r="I448" s="3" t="str">
        <f>IFERROR(__xludf.DUMMYFUNCTION("""COMPUTED_VALUE"""),"Urgent untuk PWG")</f>
        <v>Urgent untuk PWG</v>
      </c>
      <c r="J448" s="3" t="str">
        <f>IFERROR(__xludf.DUMMYFUNCTION("""COMPUTED_VALUE"""),"P-13641-00")</f>
        <v>P-13641-00</v>
      </c>
      <c r="K448" s="3" t="str">
        <f>IFERROR(__xludf.DUMMYFUNCTION("""COMPUTED_VALUE"""),"Approve")</f>
        <v>Approve</v>
      </c>
      <c r="L448" s="3" t="str">
        <f>IFERROR(__xludf.DUMMYFUNCTION("""COMPUTED_VALUE"""),"Normal")</f>
        <v>Normal</v>
      </c>
      <c r="M448" s="3" t="str">
        <f>IFERROR(__xludf.DUMMYFUNCTION("""COMPUTED_VALUE"""),"Non Urgent")</f>
        <v>Non Urgent</v>
      </c>
    </row>
    <row r="449">
      <c r="A449" s="4">
        <f>IFERROR(__xludf.DUMMYFUNCTION("""COMPUTED_VALUE"""),45945.835900659724)</f>
        <v>45945.8359</v>
      </c>
      <c r="B449" s="3" t="str">
        <f>IFERROR(__xludf.DUMMYFUNCTION("""COMPUTED_VALUE"""),"INNRO0008")</f>
        <v>INNRO0008</v>
      </c>
      <c r="C449" s="3" t="str">
        <f>IFERROR(__xludf.DUMMYFUNCTION("""COMPUTED_VALUE"""),"Consumable")</f>
        <v>Consumable</v>
      </c>
      <c r="D449" s="3" t="str">
        <f>IFERROR(__xludf.DUMMYFUNCTION("""COMPUTED_VALUE"""),"-")</f>
        <v>-</v>
      </c>
      <c r="E449" s="3" t="str">
        <f>IFERROR(__xludf.DUMMYFUNCTION("""COMPUTED_VALUE"""),"Autoclave")</f>
        <v>Autoclave</v>
      </c>
      <c r="F449" s="3" t="str">
        <f>IFERROR(__xludf.DUMMYFUNCTION("""COMPUTED_VALUE"""),"Autoclave Fedegari FOF / 6 AC - Kit DN22 Valve Mod; p/n: KK000310; ; ;")</f>
        <v>Autoclave Fedegari FOF / 6 AC - Kit DN22 Valve Mod; p/n: KK000310; ; ;</v>
      </c>
      <c r="G449" s="3">
        <f>IFERROR(__xludf.DUMMYFUNCTION("""COMPUTED_VALUE"""),8.0)</f>
        <v>8</v>
      </c>
      <c r="H449" s="3" t="str">
        <f>IFERROR(__xludf.DUMMYFUNCTION("""COMPUTED_VALUE"""),"Pcs")</f>
        <v>Pcs</v>
      </c>
      <c r="I449" s="3" t="str">
        <f>IFERROR(__xludf.DUMMYFUNCTION("""COMPUTED_VALUE"""),"Untuk Autoclave Service dan Terminal")</f>
        <v>Untuk Autoclave Service dan Terminal</v>
      </c>
      <c r="J449" s="3" t="str">
        <f>IFERROR(__xludf.DUMMYFUNCTION("""COMPUTED_VALUE"""),"O-17376-00")</f>
        <v>O-17376-00</v>
      </c>
      <c r="K449" s="3" t="str">
        <f>IFERROR(__xludf.DUMMYFUNCTION("""COMPUTED_VALUE"""),"Approve")</f>
        <v>Approve</v>
      </c>
      <c r="L449" s="3" t="str">
        <f>IFERROR(__xludf.DUMMYFUNCTION("""COMPUTED_VALUE"""),"Normal")</f>
        <v>Normal</v>
      </c>
      <c r="M449" s="3" t="str">
        <f>IFERROR(__xludf.DUMMYFUNCTION("""COMPUTED_VALUE"""),"Non Urgent")</f>
        <v>Non Urgent</v>
      </c>
    </row>
    <row r="450">
      <c r="A450" s="4">
        <f>IFERROR(__xludf.DUMMYFUNCTION("""COMPUTED_VALUE"""),45946.906290810184)</f>
        <v>45946.90629</v>
      </c>
      <c r="B450" s="3" t="str">
        <f>IFERROR(__xludf.DUMMYFUNCTION("""COMPUTED_VALUE"""),"ROSRO0012")</f>
        <v>ROSRO0012</v>
      </c>
      <c r="C450" s="3" t="str">
        <f>IFERROR(__xludf.DUMMYFUNCTION("""COMPUTED_VALUE"""),"Consumable")</f>
        <v>Consumable</v>
      </c>
      <c r="D450" s="3" t="str">
        <f>IFERROR(__xludf.DUMMYFUNCTION("""COMPUTED_VALUE"""),"-")</f>
        <v>-</v>
      </c>
      <c r="E450" s="3" t="str">
        <f>IFERROR(__xludf.DUMMYFUNCTION("""COMPUTED_VALUE"""),"autoclave fedegari")</f>
        <v>autoclave fedegari</v>
      </c>
      <c r="F450" s="3" t="str">
        <f>IFERROR(__xludf.DUMMYFUNCTION("""COMPUTED_VALUE"""),"Autoclave Fedegari FVA2/A1 NB2963AT - KIT Ricambi Valv. DN10 ON-OFF FEDEGARI ASIA PTE LTD P/N : KS000025 pc")</f>
        <v>Autoclave Fedegari FVA2/A1 NB2963AT - KIT Ricambi Valv. DN10 ON-OFF FEDEGARI ASIA PTE LTD P/N : KS000025 pc</v>
      </c>
      <c r="G450" s="3">
        <f>IFERROR(__xludf.DUMMYFUNCTION("""COMPUTED_VALUE"""),10.0)</f>
        <v>10</v>
      </c>
      <c r="H450" s="3" t="str">
        <f>IFERROR(__xludf.DUMMYFUNCTION("""COMPUTED_VALUE"""),"pcs")</f>
        <v>pcs</v>
      </c>
      <c r="I450" s="3" t="str">
        <f>IFERROR(__xludf.DUMMYFUNCTION("""COMPUTED_VALUE"""),"-")</f>
        <v>-</v>
      </c>
      <c r="J450" s="3" t="str">
        <f>IFERROR(__xludf.DUMMYFUNCTION("""COMPUTED_VALUE"""),"O-16732-00")</f>
        <v>O-16732-00</v>
      </c>
      <c r="K450" s="3" t="str">
        <f>IFERROR(__xludf.DUMMYFUNCTION("""COMPUTED_VALUE"""),"Approve")</f>
        <v>Approve</v>
      </c>
      <c r="L450" s="3" t="str">
        <f>IFERROR(__xludf.DUMMYFUNCTION("""COMPUTED_VALUE"""),"Normal")</f>
        <v>Normal</v>
      </c>
      <c r="M450" s="3" t="str">
        <f>IFERROR(__xludf.DUMMYFUNCTION("""COMPUTED_VALUE"""),"Non Urgent")</f>
        <v>Non Urgent</v>
      </c>
    </row>
    <row r="451">
      <c r="A451" s="4">
        <f>IFERROR(__xludf.DUMMYFUNCTION("""COMPUTED_VALUE"""),45947.654087407405)</f>
        <v>45947.65409</v>
      </c>
      <c r="B451" s="3" t="str">
        <f>IFERROR(__xludf.DUMMYFUNCTION("""COMPUTED_VALUE"""),"MOBRO0064")</f>
        <v>MOBRO0064</v>
      </c>
      <c r="C451" s="3" t="str">
        <f>IFERROR(__xludf.DUMMYFUNCTION("""COMPUTED_VALUE"""),"EJO")</f>
        <v>EJO</v>
      </c>
      <c r="D451" s="3" t="str">
        <f>IFERROR(__xludf.DUMMYFUNCTION("""COMPUTED_VALUE"""),"EJO/2025/10/65")</f>
        <v>EJO/2025/10/65</v>
      </c>
      <c r="E451" s="3" t="str">
        <f>IFERROR(__xludf.DUMMYFUNCTION("""COMPUTED_VALUE"""),"Universal")</f>
        <v>Universal</v>
      </c>
      <c r="F451" s="3" t="str">
        <f>IFERROR(__xludf.DUMMYFUNCTION("""COMPUTED_VALUE"""),"General - Socket RJ45 Cat 6; Belden; -; 50pcs/pack")</f>
        <v>General - Socket RJ45 Cat 6; Belden; -; 50pcs/pack</v>
      </c>
      <c r="G451" s="3">
        <f>IFERROR(__xludf.DUMMYFUNCTION("""COMPUTED_VALUE"""),2.0)</f>
        <v>2</v>
      </c>
      <c r="H451" s="3" t="str">
        <f>IFERROR(__xludf.DUMMYFUNCTION("""COMPUTED_VALUE"""),"Box")</f>
        <v>Box</v>
      </c>
      <c r="I451" s="3" t="str">
        <f>IFERROR(__xludf.DUMMYFUNCTION("""COMPUTED_VALUE"""),"Urgent buat TC Baru QA")</f>
        <v>Urgent buat TC Baru QA</v>
      </c>
      <c r="J451" s="3" t="str">
        <f>IFERROR(__xludf.DUMMYFUNCTION("""COMPUTED_VALUE"""),"P-52854-00")</f>
        <v>P-52854-00</v>
      </c>
      <c r="K451" s="3" t="str">
        <f>IFERROR(__xludf.DUMMYFUNCTION("""COMPUTED_VALUE"""),"Approve")</f>
        <v>Approve</v>
      </c>
      <c r="L451" s="3" t="str">
        <f>IFERROR(__xludf.DUMMYFUNCTION("""COMPUTED_VALUE"""),"Normal")</f>
        <v>Normal</v>
      </c>
      <c r="M451" s="3" t="str">
        <f>IFERROR(__xludf.DUMMYFUNCTION("""COMPUTED_VALUE"""),"Non Urgent")</f>
        <v>Non Urgent</v>
      </c>
    </row>
    <row r="452">
      <c r="A452" s="4">
        <f>IFERROR(__xludf.DUMMYFUNCTION("""COMPUTED_VALUE"""),45951.91867049768)</f>
        <v>45951.91867</v>
      </c>
      <c r="B452" s="3" t="str">
        <f>IFERROR(__xludf.DUMMYFUNCTION("""COMPUTED_VALUE"""),"SFHRO0026")</f>
        <v>SFHRO0026</v>
      </c>
      <c r="C452" s="3" t="str">
        <f>IFERROR(__xludf.DUMMYFUNCTION("""COMPUTED_VALUE"""),"MIn Stok")</f>
        <v>MIn Stok</v>
      </c>
      <c r="D452" s="3" t="str">
        <f>IFERROR(__xludf.DUMMYFUNCTION("""COMPUTED_VALUE"""),"-")</f>
        <v>-</v>
      </c>
      <c r="E452" s="3" t="str">
        <f>IFERROR(__xludf.DUMMYFUNCTION("""COMPUTED_VALUE"""),"lantai 2")</f>
        <v>lantai 2</v>
      </c>
      <c r="F452" s="3" t="str">
        <f>IFERROR(__xludf.DUMMYFUNCTION("""COMPUTED_VALUE"""),"Polyurethane (PU) Foam Sealent Spray; No Brand; LX-100; pack size 750 ml per botol")</f>
        <v>Polyurethane (PU) Foam Sealent Spray; No Brand; LX-100; pack size 750 ml per botol</v>
      </c>
      <c r="G452" s="3">
        <f>IFERROR(__xludf.DUMMYFUNCTION("""COMPUTED_VALUE"""),50.0)</f>
        <v>50</v>
      </c>
      <c r="H452" s="3" t="str">
        <f>IFERROR(__xludf.DUMMYFUNCTION("""COMPUTED_VALUE"""),"pcs")</f>
        <v>pcs</v>
      </c>
      <c r="I452" s="3" t="str">
        <f>IFERROR(__xludf.DUMMYFUNCTION("""COMPUTED_VALUE"""),"stock tinggal dikit lagi")</f>
        <v>stock tinggal dikit lagi</v>
      </c>
      <c r="J452" s="3" t="str">
        <f>IFERROR(__xludf.DUMMYFUNCTION("""COMPUTED_VALUE"""),"Q-12060-00")</f>
        <v>Q-12060-00</v>
      </c>
      <c r="K452" s="3" t="str">
        <f>IFERROR(__xludf.DUMMYFUNCTION("""COMPUTED_VALUE"""),"Reject")</f>
        <v>Reject</v>
      </c>
      <c r="L452" s="3" t="str">
        <f>IFERROR(__xludf.DUMMYFUNCTION("""COMPUTED_VALUE"""),"Normal")</f>
        <v>Normal</v>
      </c>
      <c r="M452" s="3" t="str">
        <f>IFERROR(__xludf.DUMMYFUNCTION("""COMPUTED_VALUE"""),"Non Urgent")</f>
        <v>Non Urgent</v>
      </c>
    </row>
    <row r="453">
      <c r="A453" s="4">
        <f>IFERROR(__xludf.DUMMYFUNCTION("""COMPUTED_VALUE"""),45951.93201094908)</f>
        <v>45951.93201</v>
      </c>
      <c r="B453" s="3" t="str">
        <f>IFERROR(__xludf.DUMMYFUNCTION("""COMPUTED_VALUE"""),"SFHRO0027")</f>
        <v>SFHRO0027</v>
      </c>
      <c r="C453" s="3" t="str">
        <f>IFERROR(__xludf.DUMMYFUNCTION("""COMPUTED_VALUE"""),"MIn Stok")</f>
        <v>MIn Stok</v>
      </c>
      <c r="D453" s="3" t="str">
        <f>IFERROR(__xludf.DUMMYFUNCTION("""COMPUTED_VALUE"""),"-")</f>
        <v>-</v>
      </c>
      <c r="E453" s="3" t="str">
        <f>IFERROR(__xludf.DUMMYFUNCTION("""COMPUTED_VALUE"""),"lantai 2")</f>
        <v>lantai 2</v>
      </c>
      <c r="F453" s="3" t="str">
        <f>IFERROR(__xludf.DUMMYFUNCTION("""COMPUTED_VALUE"""),"Silicone Sealant;Silglaze;Type N10 White;pack size per pcs")</f>
        <v>Silicone Sealant;Silglaze;Type N10 White;pack size per pcs</v>
      </c>
      <c r="G453" s="3">
        <f>IFERROR(__xludf.DUMMYFUNCTION("""COMPUTED_VALUE"""),30.0)</f>
        <v>30</v>
      </c>
      <c r="H453" s="3" t="str">
        <f>IFERROR(__xludf.DUMMYFUNCTION("""COMPUTED_VALUE"""),"pcs")</f>
        <v>pcs</v>
      </c>
      <c r="I453" s="3" t="str">
        <f>IFERROR(__xludf.DUMMYFUNCTION("""COMPUTED_VALUE"""),"stok habis")</f>
        <v>stok habis</v>
      </c>
      <c r="J453" s="3" t="str">
        <f>IFERROR(__xludf.DUMMYFUNCTION("""COMPUTED_VALUE"""),"Q-60502-00")</f>
        <v>Q-60502-00</v>
      </c>
      <c r="K453" s="3" t="str">
        <f>IFERROR(__xludf.DUMMYFUNCTION("""COMPUTED_VALUE"""),"Approve")</f>
        <v>Approve</v>
      </c>
      <c r="L453" s="3" t="str">
        <f>IFERROR(__xludf.DUMMYFUNCTION("""COMPUTED_VALUE"""),"Normal")</f>
        <v>Normal</v>
      </c>
      <c r="M453" s="3" t="str">
        <f>IFERROR(__xludf.DUMMYFUNCTION("""COMPUTED_VALUE"""),"Non Urgent")</f>
        <v>Non Urgent</v>
      </c>
    </row>
    <row r="454">
      <c r="A454" s="4">
        <f>IFERROR(__xludf.DUMMYFUNCTION("""COMPUTED_VALUE"""),45953.85406237269)</f>
        <v>45953.85406</v>
      </c>
      <c r="B454" s="3" t="str">
        <f>IFERROR(__xludf.DUMMYFUNCTION("""COMPUTED_VALUE"""),"NDSRO0009")</f>
        <v>NDSRO0009</v>
      </c>
      <c r="C454" s="3" t="str">
        <f>IFERROR(__xludf.DUMMYFUNCTION("""COMPUTED_VALUE"""),"EJO")</f>
        <v>EJO</v>
      </c>
      <c r="D454" s="3" t="str">
        <f>IFERROR(__xludf.DUMMYFUNCTION("""COMPUTED_VALUE"""),"EJO/2025/10/113")</f>
        <v>EJO/2025/10/113</v>
      </c>
      <c r="E454" s="3" t="str">
        <f>IFERROR(__xludf.DUMMYFUNCTION("""COMPUTED_VALUE"""),"Washing")</f>
        <v>Washing</v>
      </c>
      <c r="F454" s="3" t="str">
        <f>IFERROR(__xludf.DUMMYFUNCTION("""COMPUTED_VALUE"""),"Washing RAR4 - Outfeed Teflon Left; ; ;")</f>
        <v>Washing RAR4 - Outfeed Teflon Left; ; ;</v>
      </c>
      <c r="G454" s="3">
        <f>IFERROR(__xludf.DUMMYFUNCTION("""COMPUTED_VALUE"""),1.0)</f>
        <v>1</v>
      </c>
      <c r="H454" s="3" t="str">
        <f>IFERROR(__xludf.DUMMYFUNCTION("""COMPUTED_VALUE"""),"Pcs")</f>
        <v>Pcs</v>
      </c>
      <c r="I454" s="3" t="str">
        <f>IFERROR(__xludf.DUMMYFUNCTION("""COMPUTED_VALUE"""),"-")</f>
        <v>-</v>
      </c>
      <c r="J454" s="3" t="str">
        <f>IFERROR(__xludf.DUMMYFUNCTION("""COMPUTED_VALUE"""),"O-17832-00")</f>
        <v>O-17832-00</v>
      </c>
      <c r="K454" s="3" t="str">
        <f>IFERROR(__xludf.DUMMYFUNCTION("""COMPUTED_VALUE"""),"Approve")</f>
        <v>Approve</v>
      </c>
      <c r="L454" s="3" t="str">
        <f>IFERROR(__xludf.DUMMYFUNCTION("""COMPUTED_VALUE"""),"Normal")</f>
        <v>Normal</v>
      </c>
      <c r="M454" s="3" t="str">
        <f>IFERROR(__xludf.DUMMYFUNCTION("""COMPUTED_VALUE"""),"Non Urgent")</f>
        <v>Non Urgent</v>
      </c>
    </row>
    <row r="455">
      <c r="A455" s="4">
        <f>IFERROR(__xludf.DUMMYFUNCTION("""COMPUTED_VALUE"""),45953.8545642824)</f>
        <v>45953.85456</v>
      </c>
      <c r="B455" s="3" t="str">
        <f>IFERROR(__xludf.DUMMYFUNCTION("""COMPUTED_VALUE"""),"NDSRO0010")</f>
        <v>NDSRO0010</v>
      </c>
      <c r="C455" s="3" t="str">
        <f>IFERROR(__xludf.DUMMYFUNCTION("""COMPUTED_VALUE"""),"EJO")</f>
        <v>EJO</v>
      </c>
      <c r="D455" s="3" t="str">
        <f>IFERROR(__xludf.DUMMYFUNCTION("""COMPUTED_VALUE"""),"EJO/2025/10/113")</f>
        <v>EJO/2025/10/113</v>
      </c>
      <c r="E455" s="3" t="str">
        <f>IFERROR(__xludf.DUMMYFUNCTION("""COMPUTED_VALUE"""),"Washing")</f>
        <v>Washing</v>
      </c>
      <c r="F455" s="3" t="str">
        <f>IFERROR(__xludf.DUMMYFUNCTION("""COMPUTED_VALUE"""),"Washing RAR4 - Outfeed Teflon Right; ; ;")</f>
        <v>Washing RAR4 - Outfeed Teflon Right; ; ;</v>
      </c>
      <c r="G455" s="3">
        <f>IFERROR(__xludf.DUMMYFUNCTION("""COMPUTED_VALUE"""),1.0)</f>
        <v>1</v>
      </c>
      <c r="H455" s="3" t="str">
        <f>IFERROR(__xludf.DUMMYFUNCTION("""COMPUTED_VALUE"""),"Pcs")</f>
        <v>Pcs</v>
      </c>
      <c r="I455" s="3" t="str">
        <f>IFERROR(__xludf.DUMMYFUNCTION("""COMPUTED_VALUE"""),"-")</f>
        <v>-</v>
      </c>
      <c r="J455" s="3" t="str">
        <f>IFERROR(__xludf.DUMMYFUNCTION("""COMPUTED_VALUE"""),"O-17833-00")</f>
        <v>O-17833-00</v>
      </c>
      <c r="K455" s="3" t="str">
        <f>IFERROR(__xludf.DUMMYFUNCTION("""COMPUTED_VALUE"""),"Approve")</f>
        <v>Approve</v>
      </c>
      <c r="L455" s="3" t="str">
        <f>IFERROR(__xludf.DUMMYFUNCTION("""COMPUTED_VALUE"""),"Normal")</f>
        <v>Normal</v>
      </c>
      <c r="M455" s="3" t="str">
        <f>IFERROR(__xludf.DUMMYFUNCTION("""COMPUTED_VALUE"""),"Non Urgent")</f>
        <v>Non Urgent</v>
      </c>
    </row>
    <row r="456">
      <c r="A456" s="4">
        <f>IFERROR(__xludf.DUMMYFUNCTION("""COMPUTED_VALUE"""),45954.74381146991)</f>
        <v>45954.74381</v>
      </c>
      <c r="B456" s="3" t="str">
        <f>IFERROR(__xludf.DUMMYFUNCTION("""COMPUTED_VALUE"""),"SFHRO0028")</f>
        <v>SFHRO0028</v>
      </c>
      <c r="C456" s="3" t="str">
        <f>IFERROR(__xludf.DUMMYFUNCTION("""COMPUTED_VALUE"""),"MIn Stok")</f>
        <v>MIn Stok</v>
      </c>
      <c r="D456" s="3" t="str">
        <f>IFERROR(__xludf.DUMMYFUNCTION("""COMPUTED_VALUE"""),"-")</f>
        <v>-</v>
      </c>
      <c r="E456" s="3" t="str">
        <f>IFERROR(__xludf.DUMMYFUNCTION("""COMPUTED_VALUE"""),"lanati 1")</f>
        <v>lanati 1</v>
      </c>
      <c r="F456" s="3" t="str">
        <f>IFERROR(__xludf.DUMMYFUNCTION("""COMPUTED_VALUE"""),"Cat Durogloss DR-2000; Propan; Type Spiders Web 90YY 73/040; 0,9 L/can")</f>
        <v>Cat Durogloss DR-2000; Propan; Type Spiders Web 90YY 73/040; 0,9 L/can</v>
      </c>
      <c r="G456" s="3">
        <f>IFERROR(__xludf.DUMMYFUNCTION("""COMPUTED_VALUE"""),6.0)</f>
        <v>6</v>
      </c>
      <c r="H456" s="3" t="str">
        <f>IFERROR(__xludf.DUMMYFUNCTION("""COMPUTED_VALUE"""),"liter")</f>
        <v>liter</v>
      </c>
      <c r="I456" s="3" t="str">
        <f>IFERROR(__xludf.DUMMYFUNCTION("""COMPUTED_VALUE"""),"-")</f>
        <v>-</v>
      </c>
      <c r="J456" s="3" t="str">
        <f>IFERROR(__xludf.DUMMYFUNCTION("""COMPUTED_VALUE"""),"Q-60405-00")</f>
        <v>Q-60405-00</v>
      </c>
      <c r="K456" s="3" t="str">
        <f>IFERROR(__xludf.DUMMYFUNCTION("""COMPUTED_VALUE"""),"Approve")</f>
        <v>Approve</v>
      </c>
      <c r="L456" s="3" t="str">
        <f>IFERROR(__xludf.DUMMYFUNCTION("""COMPUTED_VALUE"""),"Normal")</f>
        <v>Normal</v>
      </c>
      <c r="M456" s="3" t="str">
        <f>IFERROR(__xludf.DUMMYFUNCTION("""COMPUTED_VALUE"""),"Non Urgent")</f>
        <v>Non Urgent</v>
      </c>
    </row>
    <row r="457">
      <c r="A457" s="4">
        <f>IFERROR(__xludf.DUMMYFUNCTION("""COMPUTED_VALUE"""),45954.8366171412)</f>
        <v>45954.83662</v>
      </c>
      <c r="B457" s="3" t="str">
        <f>IFERROR(__xludf.DUMMYFUNCTION("""COMPUTED_VALUE"""),"SFHRO0029")</f>
        <v>SFHRO0029</v>
      </c>
      <c r="C457" s="3" t="str">
        <f>IFERROR(__xludf.DUMMYFUNCTION("""COMPUTED_VALUE"""),"MIn Stok")</f>
        <v>MIn Stok</v>
      </c>
      <c r="D457" s="3" t="str">
        <f>IFERROR(__xludf.DUMMYFUNCTION("""COMPUTED_VALUE"""),"-")</f>
        <v>-</v>
      </c>
      <c r="E457" s="3" t="str">
        <f>IFERROR(__xludf.DUMMYFUNCTION("""COMPUTED_VALUE"""),"Lantai 1")</f>
        <v>Lantai 1</v>
      </c>
      <c r="F457" s="3" t="str">
        <f>IFERROR(__xludf.DUMMYFUNCTION("""COMPUTED_VALUE"""),"Thinner Super End/Impala @ 1 Liter")</f>
        <v>Thinner Super End/Impala @ 1 Liter</v>
      </c>
      <c r="G457" s="3">
        <f>IFERROR(__xludf.DUMMYFUNCTION("""COMPUTED_VALUE"""),10.0)</f>
        <v>10</v>
      </c>
      <c r="H457" s="3" t="str">
        <f>IFERROR(__xludf.DUMMYFUNCTION("""COMPUTED_VALUE"""),"liter")</f>
        <v>liter</v>
      </c>
      <c r="I457" s="3" t="str">
        <f>IFERROR(__xludf.DUMMYFUNCTION("""COMPUTED_VALUE"""),"-")</f>
        <v>-</v>
      </c>
      <c r="J457" s="3" t="str">
        <f>IFERROR(__xludf.DUMMYFUNCTION("""COMPUTED_VALUE"""),"Q-10128-00")</f>
        <v>Q-10128-00</v>
      </c>
      <c r="K457" s="3" t="str">
        <f>IFERROR(__xludf.DUMMYFUNCTION("""COMPUTED_VALUE"""),"Approve")</f>
        <v>Approve</v>
      </c>
      <c r="L457" s="3" t="str">
        <f>IFERROR(__xludf.DUMMYFUNCTION("""COMPUTED_VALUE"""),"Normal")</f>
        <v>Normal</v>
      </c>
      <c r="M457" s="3" t="str">
        <f>IFERROR(__xludf.DUMMYFUNCTION("""COMPUTED_VALUE"""),"Non Urgent")</f>
        <v>Non Urgent</v>
      </c>
    </row>
    <row r="458">
      <c r="A458" s="4">
        <f>IFERROR(__xludf.DUMMYFUNCTION("""COMPUTED_VALUE"""),45960.66146262731)</f>
        <v>45960.66146</v>
      </c>
      <c r="B458" s="3" t="str">
        <f>IFERROR(__xludf.DUMMYFUNCTION("""COMPUTED_VALUE"""),"MRNRO0035")</f>
        <v>MRNRO0035</v>
      </c>
      <c r="C458" s="3" t="str">
        <f>IFERROR(__xludf.DUMMYFUNCTION("""COMPUTED_VALUE"""),"EJO")</f>
        <v>EJO</v>
      </c>
      <c r="D458" s="3" t="str">
        <f>IFERROR(__xludf.DUMMYFUNCTION("""COMPUTED_VALUE"""),"EJO/2025/10/141")</f>
        <v>EJO/2025/10/141</v>
      </c>
      <c r="E458" s="3" t="str">
        <f>IFERROR(__xludf.DUMMYFUNCTION("""COMPUTED_VALUE"""),"Exhaust janitor D1-4")</f>
        <v>Exhaust janitor D1-4</v>
      </c>
      <c r="F458" s="3" t="str">
        <f>IFERROR(__xludf.DUMMYFUNCTION("""COMPUTED_VALUE"""),"General - Exhaust Fan; KDK; 24CDQNA; 1 unit")</f>
        <v>General - Exhaust Fan; KDK; 24CDQNA; 1 unit</v>
      </c>
      <c r="G458" s="3">
        <f>IFERROR(__xludf.DUMMYFUNCTION("""COMPUTED_VALUE"""),1.0)</f>
        <v>1</v>
      </c>
      <c r="H458" s="3" t="str">
        <f>IFERROR(__xludf.DUMMYFUNCTION("""COMPUTED_VALUE"""),"pcs")</f>
        <v>pcs</v>
      </c>
      <c r="I458" s="3" t="str">
        <f>IFERROR(__xludf.DUMMYFUNCTION("""COMPUTED_VALUE"""),"Buat ruangan janitor produksi")</f>
        <v>Buat ruangan janitor produksi</v>
      </c>
      <c r="J458" s="3" t="str">
        <f>IFERROR(__xludf.DUMMYFUNCTION("""COMPUTED_VALUE"""),"P-53382-00")</f>
        <v>P-53382-00</v>
      </c>
      <c r="K458" s="3" t="str">
        <f>IFERROR(__xludf.DUMMYFUNCTION("""COMPUTED_VALUE"""),"Approve")</f>
        <v>Approve</v>
      </c>
      <c r="L458" s="3" t="str">
        <f>IFERROR(__xludf.DUMMYFUNCTION("""COMPUTED_VALUE"""),"Normal")</f>
        <v>Normal</v>
      </c>
      <c r="M458" s="3" t="str">
        <f>IFERROR(__xludf.DUMMYFUNCTION("""COMPUTED_VALUE"""),"Non Urgent")</f>
        <v>Non Urgent</v>
      </c>
    </row>
    <row r="459">
      <c r="A459" s="4">
        <f>IFERROR(__xludf.DUMMYFUNCTION("""COMPUTED_VALUE"""),45960.979109988424)</f>
        <v>45960.97911</v>
      </c>
      <c r="B459" s="3" t="str">
        <f>IFERROR(__xludf.DUMMYFUNCTION("""COMPUTED_VALUE"""),"INNRO0009")</f>
        <v>INNRO0009</v>
      </c>
      <c r="C459" s="3" t="str">
        <f>IFERROR(__xludf.DUMMYFUNCTION("""COMPUTED_VALUE"""),"Consumable")</f>
        <v>Consumable</v>
      </c>
      <c r="D459" s="3" t="str">
        <f>IFERROR(__xludf.DUMMYFUNCTION("""COMPUTED_VALUE"""),"NA")</f>
        <v>NA</v>
      </c>
      <c r="E459" s="3" t="str">
        <f>IFERROR(__xludf.DUMMYFUNCTION("""COMPUTED_VALUE"""),"Washing")</f>
        <v>Washing</v>
      </c>
      <c r="F459" s="3" t="str">
        <f>IFERROR(__xludf.DUMMYFUNCTION("""COMPUTED_VALUE"""),"Misumi - HXNHFFLT-SUS-M5-10; ; ;")</f>
        <v>Misumi - HXNHFFLT-SUS-M5-10; ; ;</v>
      </c>
      <c r="G459" s="3">
        <f>IFERROR(__xludf.DUMMYFUNCTION("""COMPUTED_VALUE"""),20.0)</f>
        <v>20</v>
      </c>
      <c r="H459" s="3" t="str">
        <f>IFERROR(__xludf.DUMMYFUNCTION("""COMPUTED_VALUE"""),"Pcs")</f>
        <v>Pcs</v>
      </c>
      <c r="I459" s="3" t="str">
        <f>IFERROR(__xludf.DUMMYFUNCTION("""COMPUTED_VALUE"""),"Untuk mesin Washing Baut pungunci pincer")</f>
        <v>Untuk mesin Washing Baut pungunci pincer</v>
      </c>
      <c r="J459" s="3" t="str">
        <f>IFERROR(__xludf.DUMMYFUNCTION("""COMPUTED_VALUE"""),"P-18470-00")</f>
        <v>P-18470-00</v>
      </c>
      <c r="K459" s="3" t="str">
        <f>IFERROR(__xludf.DUMMYFUNCTION("""COMPUTED_VALUE"""),"Approve")</f>
        <v>Approve</v>
      </c>
      <c r="L459" s="3" t="str">
        <f>IFERROR(__xludf.DUMMYFUNCTION("""COMPUTED_VALUE"""),"Normal")</f>
        <v>Normal</v>
      </c>
      <c r="M459" s="3" t="str">
        <f>IFERROR(__xludf.DUMMYFUNCTION("""COMPUTED_VALUE"""),"Non Urgent")</f>
        <v>Non Urgent</v>
      </c>
    </row>
    <row r="460">
      <c r="A460" s="4">
        <f>IFERROR(__xludf.DUMMYFUNCTION("""COMPUTED_VALUE"""),45964.3904658449)</f>
        <v>45964.39047</v>
      </c>
      <c r="B460" s="3" t="str">
        <f>IFERROR(__xludf.DUMMYFUNCTION("""COMPUTED_VALUE"""),"MRNRO0036")</f>
        <v>MRNRO0036</v>
      </c>
      <c r="C460" s="3" t="str">
        <f>IFERROR(__xludf.DUMMYFUNCTION("""COMPUTED_VALUE"""),"Consumable")</f>
        <v>Consumable</v>
      </c>
      <c r="D460" s="3" t="str">
        <f>IFERROR(__xludf.DUMMYFUNCTION("""COMPUTED_VALUE"""),"-")</f>
        <v>-</v>
      </c>
      <c r="E460" s="3" t="str">
        <f>IFERROR(__xludf.DUMMYFUNCTION("""COMPUTED_VALUE"""),"Building")</f>
        <v>Building</v>
      </c>
      <c r="F460" s="3" t="str">
        <f>IFERROR(__xludf.DUMMYFUNCTION("""COMPUTED_VALUE"""),"General - Lampu TL T5 14 W White; Philips; -; 1 unt")</f>
        <v>General - Lampu TL T5 14 W White; Philips; -; 1 unt</v>
      </c>
      <c r="G460" s="3">
        <f>IFERROR(__xludf.DUMMYFUNCTION("""COMPUTED_VALUE"""),40.0)</f>
        <v>40</v>
      </c>
      <c r="H460" s="3" t="str">
        <f>IFERROR(__xludf.DUMMYFUNCTION("""COMPUTED_VALUE"""),"Pcs")</f>
        <v>Pcs</v>
      </c>
      <c r="I460" s="3" t="str">
        <f>IFERROR(__xludf.DUMMYFUNCTION("""COMPUTED_VALUE"""),"Spare lampu")</f>
        <v>Spare lampu</v>
      </c>
      <c r="J460" s="3" t="str">
        <f>IFERROR(__xludf.DUMMYFUNCTION("""COMPUTED_VALUE"""),"P-51559-00")</f>
        <v>P-51559-00</v>
      </c>
      <c r="K460" s="3" t="str">
        <f>IFERROR(__xludf.DUMMYFUNCTION("""COMPUTED_VALUE"""),"Reject")</f>
        <v>Reject</v>
      </c>
      <c r="L460" s="3" t="str">
        <f>IFERROR(__xludf.DUMMYFUNCTION("""COMPUTED_VALUE"""),"Normal")</f>
        <v>Normal</v>
      </c>
      <c r="M460" s="3" t="str">
        <f>IFERROR(__xludf.DUMMYFUNCTION("""COMPUTED_VALUE"""),"Non Urgent")</f>
        <v>Non Urgent</v>
      </c>
    </row>
    <row r="461">
      <c r="A461" s="4">
        <f>IFERROR(__xludf.DUMMYFUNCTION("""COMPUTED_VALUE"""),45964.39094370371)</f>
        <v>45964.39094</v>
      </c>
      <c r="B461" s="3" t="str">
        <f>IFERROR(__xludf.DUMMYFUNCTION("""COMPUTED_VALUE"""),"MRNRO0037")</f>
        <v>MRNRO0037</v>
      </c>
      <c r="C461" s="3" t="str">
        <f>IFERROR(__xludf.DUMMYFUNCTION("""COMPUTED_VALUE"""),"Consumable")</f>
        <v>Consumable</v>
      </c>
      <c r="D461" s="3" t="str">
        <f>IFERROR(__xludf.DUMMYFUNCTION("""COMPUTED_VALUE"""),"-")</f>
        <v>-</v>
      </c>
      <c r="E461" s="3" t="str">
        <f>IFERROR(__xludf.DUMMYFUNCTION("""COMPUTED_VALUE"""),"Building")</f>
        <v>Building</v>
      </c>
      <c r="F461" s="3" t="str">
        <f>IFERROR(__xludf.DUMMYFUNCTION("""COMPUTED_VALUE"""),"General - Lampu TL T5 28W White; Philips; -; 1 unt")</f>
        <v>General - Lampu TL T5 28W White; Philips; -; 1 unt</v>
      </c>
      <c r="G461" s="3">
        <f>IFERROR(__xludf.DUMMYFUNCTION("""COMPUTED_VALUE"""),40.0)</f>
        <v>40</v>
      </c>
      <c r="H461" s="3" t="str">
        <f>IFERROR(__xludf.DUMMYFUNCTION("""COMPUTED_VALUE"""),"Pcs")</f>
        <v>Pcs</v>
      </c>
      <c r="I461" s="3" t="str">
        <f>IFERROR(__xludf.DUMMYFUNCTION("""COMPUTED_VALUE"""),"Spare lampu")</f>
        <v>Spare lampu</v>
      </c>
      <c r="J461" s="3" t="str">
        <f>IFERROR(__xludf.DUMMYFUNCTION("""COMPUTED_VALUE"""),"P-51560-00")</f>
        <v>P-51560-00</v>
      </c>
      <c r="K461" s="3" t="str">
        <f>IFERROR(__xludf.DUMMYFUNCTION("""COMPUTED_VALUE"""),"Reject")</f>
        <v>Reject</v>
      </c>
      <c r="L461" s="3" t="str">
        <f>IFERROR(__xludf.DUMMYFUNCTION("""COMPUTED_VALUE"""),"Normal")</f>
        <v>Normal</v>
      </c>
      <c r="M461" s="3" t="str">
        <f>IFERROR(__xludf.DUMMYFUNCTION("""COMPUTED_VALUE"""),"Non Urgent")</f>
        <v>Non Urgent</v>
      </c>
    </row>
    <row r="462">
      <c r="A462" s="4">
        <f>IFERROR(__xludf.DUMMYFUNCTION("""COMPUTED_VALUE"""),45964.39124854167)</f>
        <v>45964.39125</v>
      </c>
      <c r="B462" s="3" t="str">
        <f>IFERROR(__xludf.DUMMYFUNCTION("""COMPUTED_VALUE"""),"MRNRO0038")</f>
        <v>MRNRO0038</v>
      </c>
      <c r="C462" s="3" t="str">
        <f>IFERROR(__xludf.DUMMYFUNCTION("""COMPUTED_VALUE"""),"Consumable")</f>
        <v>Consumable</v>
      </c>
      <c r="D462" s="3" t="str">
        <f>IFERROR(__xludf.DUMMYFUNCTION("""COMPUTED_VALUE"""),"-")</f>
        <v>-</v>
      </c>
      <c r="E462" s="3" t="str">
        <f>IFERROR(__xludf.DUMMYFUNCTION("""COMPUTED_VALUE"""),"Building")</f>
        <v>Building</v>
      </c>
      <c r="F462" s="3" t="str">
        <f>IFERROR(__xludf.DUMMYFUNCTION("""COMPUTED_VALUE"""),"Ballast Electronic EB-C 228 TL5, 2x28W; Phillips; ;")</f>
        <v>Ballast Electronic EB-C 228 TL5, 2x28W; Phillips; ;</v>
      </c>
      <c r="G462" s="3">
        <f>IFERROR(__xludf.DUMMYFUNCTION("""COMPUTED_VALUE"""),20.0)</f>
        <v>20</v>
      </c>
      <c r="H462" s="3" t="str">
        <f>IFERROR(__xludf.DUMMYFUNCTION("""COMPUTED_VALUE"""),"Pcs")</f>
        <v>Pcs</v>
      </c>
      <c r="I462" s="3" t="str">
        <f>IFERROR(__xludf.DUMMYFUNCTION("""COMPUTED_VALUE"""),"Spare Ballast")</f>
        <v>Spare Ballast</v>
      </c>
      <c r="J462" s="3" t="str">
        <f>IFERROR(__xludf.DUMMYFUNCTION("""COMPUTED_VALUE"""),"P-53169-00")</f>
        <v>P-53169-00</v>
      </c>
      <c r="K462" s="3" t="str">
        <f>IFERROR(__xludf.DUMMYFUNCTION("""COMPUTED_VALUE"""),"Approve")</f>
        <v>Approve</v>
      </c>
      <c r="L462" s="3" t="str">
        <f>IFERROR(__xludf.DUMMYFUNCTION("""COMPUTED_VALUE"""),"Normal")</f>
        <v>Normal</v>
      </c>
      <c r="M462" s="3" t="str">
        <f>IFERROR(__xludf.DUMMYFUNCTION("""COMPUTED_VALUE"""),"Non Urgent")</f>
        <v>Non Urgent</v>
      </c>
    </row>
    <row r="463">
      <c r="A463" s="4">
        <f>IFERROR(__xludf.DUMMYFUNCTION("""COMPUTED_VALUE"""),45965.27756447917)</f>
        <v>45965.27756</v>
      </c>
      <c r="B463" s="3" t="str">
        <f>IFERROR(__xludf.DUMMYFUNCTION("""COMPUTED_VALUE"""),"RIARO0055")</f>
        <v>RIARO0055</v>
      </c>
      <c r="C463" s="3" t="str">
        <f>IFERROR(__xludf.DUMMYFUNCTION("""COMPUTED_VALUE"""),"MIn Stok")</f>
        <v>MIn Stok</v>
      </c>
      <c r="D463" s="3" t="str">
        <f>IFERROR(__xludf.DUMMYFUNCTION("""COMPUTED_VALUE"""),"-")</f>
        <v>-</v>
      </c>
      <c r="E463" s="3" t="str">
        <f>IFERROR(__xludf.DUMMYFUNCTION("""COMPUTED_VALUE"""),"PWG")</f>
        <v>PWG</v>
      </c>
      <c r="F463" s="3" t="str">
        <f>IFERROR(__xludf.DUMMYFUNCTION("""COMPUTED_VALUE"""),"Filter SO 5 micron 30 inch O-ring 222 Bayonet; ; ;")</f>
        <v>Filter SO 5 micron 30 inch O-ring 222 Bayonet; ; ;</v>
      </c>
      <c r="G463" s="3">
        <f>IFERROR(__xludf.DUMMYFUNCTION("""COMPUTED_VALUE"""),10.0)</f>
        <v>10</v>
      </c>
      <c r="H463" s="3" t="str">
        <f>IFERROR(__xludf.DUMMYFUNCTION("""COMPUTED_VALUE"""),"Pcs")</f>
        <v>Pcs</v>
      </c>
      <c r="I463" s="3" t="str">
        <f>IFERROR(__xludf.DUMMYFUNCTION("""COMPUTED_VALUE"""),"Untuk ganti filter 5 micron PWG sudah ngeblock (REJECT BY MFH KARENA SUDAH DI BQ DI MOBRO0063)")</f>
        <v>Untuk ganti filter 5 micron PWG sudah ngeblock (REJECT BY MFH KARENA SUDAH DI BQ DI MOBRO0063)</v>
      </c>
      <c r="J463" s="3" t="str">
        <f>IFERROR(__xludf.DUMMYFUNCTION("""COMPUTED_VALUE"""),"P-13641-00")</f>
        <v>P-13641-00</v>
      </c>
      <c r="K463" s="3" t="str">
        <f>IFERROR(__xludf.DUMMYFUNCTION("""COMPUTED_VALUE"""),"Reject")</f>
        <v>Reject</v>
      </c>
      <c r="L463" s="3" t="str">
        <f>IFERROR(__xludf.DUMMYFUNCTION("""COMPUTED_VALUE"""),"Normal")</f>
        <v>Normal</v>
      </c>
      <c r="M463" s="3" t="str">
        <f>IFERROR(__xludf.DUMMYFUNCTION("""COMPUTED_VALUE"""),"Non Urgent")</f>
        <v>Non Urgent</v>
      </c>
    </row>
    <row r="464">
      <c r="A464" s="4">
        <f>IFERROR(__xludf.DUMMYFUNCTION("""COMPUTED_VALUE"""),45965.746508738426)</f>
        <v>45965.74651</v>
      </c>
      <c r="B464" s="3" t="str">
        <f>IFERROR(__xludf.DUMMYFUNCTION("""COMPUTED_VALUE"""),"SFHRO0030")</f>
        <v>SFHRO0030</v>
      </c>
      <c r="C464" s="3" t="str">
        <f>IFERROR(__xludf.DUMMYFUNCTION("""COMPUTED_VALUE"""),"Consumable")</f>
        <v>Consumable</v>
      </c>
      <c r="D464" s="3" t="str">
        <f>IFERROR(__xludf.DUMMYFUNCTION("""COMPUTED_VALUE"""),"-")</f>
        <v>-</v>
      </c>
      <c r="E464" s="3" t="str">
        <f>IFERROR(__xludf.DUMMYFUNCTION("""COMPUTED_VALUE"""),"lantai 2")</f>
        <v>lantai 2</v>
      </c>
      <c r="F464" s="3" t="str">
        <f>IFERROR(__xludf.DUMMYFUNCTION("""COMPUTED_VALUE"""),"Plastik Cor Bagunan;No Brand;;pack size per pcs - Per 10kg")</f>
        <v>Plastik Cor Bagunan;No Brand;;pack size per pcs - Per 10kg</v>
      </c>
      <c r="G464" s="3">
        <f>IFERROR(__xludf.DUMMYFUNCTION("""COMPUTED_VALUE"""),50.0)</f>
        <v>50</v>
      </c>
      <c r="H464" s="3" t="str">
        <f>IFERROR(__xludf.DUMMYFUNCTION("""COMPUTED_VALUE"""),"kg")</f>
        <v>kg</v>
      </c>
      <c r="I464" s="3" t="str">
        <f>IFERROR(__xludf.DUMMYFUNCTION("""COMPUTED_VALUE"""),"-")</f>
        <v>-</v>
      </c>
      <c r="J464" s="3" t="str">
        <f>IFERROR(__xludf.DUMMYFUNCTION("""COMPUTED_VALUE"""),"Q-10947-00")</f>
        <v>Q-10947-00</v>
      </c>
      <c r="K464" s="3" t="str">
        <f>IFERROR(__xludf.DUMMYFUNCTION("""COMPUTED_VALUE"""),"Approve")</f>
        <v>Approve</v>
      </c>
      <c r="L464" s="3" t="str">
        <f>IFERROR(__xludf.DUMMYFUNCTION("""COMPUTED_VALUE"""),"Normal")</f>
        <v>Normal</v>
      </c>
      <c r="M464" s="3" t="str">
        <f>IFERROR(__xludf.DUMMYFUNCTION("""COMPUTED_VALUE"""),"Non Urgent")</f>
        <v>Non Urgent</v>
      </c>
    </row>
    <row r="465">
      <c r="A465" s="4">
        <f>IFERROR(__xludf.DUMMYFUNCTION("""COMPUTED_VALUE"""),45971.323612430555)</f>
        <v>45971.32361</v>
      </c>
      <c r="B465" s="3" t="str">
        <f>IFERROR(__xludf.DUMMYFUNCTION("""COMPUTED_VALUE"""),"MRNRO0039")</f>
        <v>MRNRO0039</v>
      </c>
      <c r="C465" s="3" t="str">
        <f>IFERROR(__xludf.DUMMYFUNCTION("""COMPUTED_VALUE"""),"EJO")</f>
        <v>EJO</v>
      </c>
      <c r="D465" s="3" t="str">
        <f>IFERROR(__xludf.DUMMYFUNCTION("""COMPUTED_VALUE"""),"EJO/2025/07/105")</f>
        <v>EJO/2025/07/105</v>
      </c>
      <c r="E465" s="3" t="str">
        <f>IFERROR(__xludf.DUMMYFUNCTION("""COMPUTED_VALUE"""),"Wicc wip")</f>
        <v>Wicc wip</v>
      </c>
      <c r="F465" s="3" t="str">
        <f>IFERROR(__xludf.DUMMYFUNCTION("""COMPUTED_VALUE"""),"Chemours - Freon 404A;; ; ;")</f>
        <v>Chemours - Freon 404A;; ; ;</v>
      </c>
      <c r="G465" s="3">
        <f>IFERROR(__xludf.DUMMYFUNCTION("""COMPUTED_VALUE"""),2.0)</f>
        <v>2</v>
      </c>
      <c r="H465" s="3" t="str">
        <f>IFERROR(__xludf.DUMMYFUNCTION("""COMPUTED_VALUE"""),"klg")</f>
        <v>klg</v>
      </c>
      <c r="I465" s="3" t="str">
        <f>IFERROR(__xludf.DUMMYFUNCTION("""COMPUTED_VALUE"""),"untuk chamber")</f>
        <v>untuk chamber</v>
      </c>
      <c r="J465" s="3" t="str">
        <f>IFERROR(__xludf.DUMMYFUNCTION("""COMPUTED_VALUE"""),"P-18504-00")</f>
        <v>P-18504-00</v>
      </c>
      <c r="K465" s="3" t="str">
        <f>IFERROR(__xludf.DUMMYFUNCTION("""COMPUTED_VALUE"""),"Approve")</f>
        <v>Approve</v>
      </c>
      <c r="L465" s="3" t="str">
        <f>IFERROR(__xludf.DUMMYFUNCTION("""COMPUTED_VALUE"""),"Normal")</f>
        <v>Normal</v>
      </c>
      <c r="M465" s="3" t="str">
        <f>IFERROR(__xludf.DUMMYFUNCTION("""COMPUTED_VALUE"""),"Non Urgent")</f>
        <v>Non Urgent</v>
      </c>
    </row>
    <row r="466">
      <c r="A466" s="4">
        <f>IFERROR(__xludf.DUMMYFUNCTION("""COMPUTED_VALUE"""),45971.32446430556)</f>
        <v>45971.32446</v>
      </c>
      <c r="B466" s="3" t="str">
        <f>IFERROR(__xludf.DUMMYFUNCTION("""COMPUTED_VALUE"""),"MRNRO0040")</f>
        <v>MRNRO0040</v>
      </c>
      <c r="C466" s="3" t="str">
        <f>IFERROR(__xludf.DUMMYFUNCTION("""COMPUTED_VALUE"""),"EJO")</f>
        <v>EJO</v>
      </c>
      <c r="D466" s="3" t="str">
        <f>IFERROR(__xludf.DUMMYFUNCTION("""COMPUTED_VALUE"""),"EJO/2025/07/105")</f>
        <v>EJO/2025/07/105</v>
      </c>
      <c r="E466" s="3" t="str">
        <f>IFERROR(__xludf.DUMMYFUNCTION("""COMPUTED_VALUE"""),"heat pump")</f>
        <v>heat pump</v>
      </c>
      <c r="F466" s="3" t="str">
        <f>IFERROR(__xludf.DUMMYFUNCTION("""COMPUTED_VALUE"""),"Freon R410A; Dupont; ;")</f>
        <v>Freon R410A; Dupont; ;</v>
      </c>
      <c r="G466" s="3">
        <f>IFERROR(__xludf.DUMMYFUNCTION("""COMPUTED_VALUE"""),2.0)</f>
        <v>2</v>
      </c>
      <c r="H466" s="3" t="str">
        <f>IFERROR(__xludf.DUMMYFUNCTION("""COMPUTED_VALUE"""),"klg")</f>
        <v>klg</v>
      </c>
      <c r="I466" s="3" t="str">
        <f>IFERROR(__xludf.DUMMYFUNCTION("""COMPUTED_VALUE"""),"stok untuk heat pump")</f>
        <v>stok untuk heat pump</v>
      </c>
      <c r="J466" s="3" t="str">
        <f>IFERROR(__xludf.DUMMYFUNCTION("""COMPUTED_VALUE"""),"P-14521-00")</f>
        <v>P-14521-00</v>
      </c>
      <c r="K466" s="3" t="str">
        <f>IFERROR(__xludf.DUMMYFUNCTION("""COMPUTED_VALUE"""),"Approve")</f>
        <v>Approve</v>
      </c>
      <c r="L466" s="3" t="str">
        <f>IFERROR(__xludf.DUMMYFUNCTION("""COMPUTED_VALUE"""),"Normal")</f>
        <v>Normal</v>
      </c>
      <c r="M466" s="3" t="str">
        <f>IFERROR(__xludf.DUMMYFUNCTION("""COMPUTED_VALUE"""),"Non Urgent")</f>
        <v>Non Urgent</v>
      </c>
    </row>
    <row r="467">
      <c r="A467" s="4">
        <f>IFERROR(__xludf.DUMMYFUNCTION("""COMPUTED_VALUE"""),45973.410609768514)</f>
        <v>45973.41061</v>
      </c>
      <c r="B467" s="3" t="str">
        <f>IFERROR(__xludf.DUMMYFUNCTION("""COMPUTED_VALUE"""),"NDSRO0011")</f>
        <v>NDSRO0011</v>
      </c>
      <c r="C467" s="3" t="str">
        <f>IFERROR(__xludf.DUMMYFUNCTION("""COMPUTED_VALUE"""),"MIn Stok")</f>
        <v>MIn Stok</v>
      </c>
      <c r="D467" s="3" t="str">
        <f>IFERROR(__xludf.DUMMYFUNCTION("""COMPUTED_VALUE"""),"-")</f>
        <v>-</v>
      </c>
      <c r="E467" s="3" t="str">
        <f>IFERROR(__xludf.DUMMYFUNCTION("""COMPUTED_VALUE"""),"New FD")</f>
        <v>New FD</v>
      </c>
      <c r="F467" s="3" t="str">
        <f>IFERROR(__xludf.DUMMYFUNCTION("""COMPUTED_VALUE"""),"Besi siku SS 304 40x40x3x6000")</f>
        <v>Besi siku SS 304 40x40x3x6000</v>
      </c>
      <c r="G467" s="3">
        <f>IFERROR(__xludf.DUMMYFUNCTION("""COMPUTED_VALUE"""),6.0)</f>
        <v>6</v>
      </c>
      <c r="H467" s="3" t="str">
        <f>IFERROR(__xludf.DUMMYFUNCTION("""COMPUTED_VALUE"""),"pcs")</f>
        <v>pcs</v>
      </c>
      <c r="I467" s="3" t="str">
        <f>IFERROR(__xludf.DUMMYFUNCTION("""COMPUTED_VALUE"""),"-")</f>
        <v>-</v>
      </c>
      <c r="J467" s="3" t="str">
        <f>IFERROR(__xludf.DUMMYFUNCTION("""COMPUTED_VALUE"""),"P-11974-00")</f>
        <v>P-11974-00</v>
      </c>
      <c r="K467" s="3" t="str">
        <f>IFERROR(__xludf.DUMMYFUNCTION("""COMPUTED_VALUE"""),"Reject")</f>
        <v>Reject</v>
      </c>
      <c r="L467" s="3" t="str">
        <f>IFERROR(__xludf.DUMMYFUNCTION("""COMPUTED_VALUE"""),"Normal")</f>
        <v>Normal</v>
      </c>
      <c r="M467" s="3" t="str">
        <f>IFERROR(__xludf.DUMMYFUNCTION("""COMPUTED_VALUE"""),"Non Urgent")</f>
        <v>Non Urgent</v>
      </c>
    </row>
    <row r="468">
      <c r="A468" s="4">
        <f>IFERROR(__xludf.DUMMYFUNCTION("""COMPUTED_VALUE"""),45973.66713084491)</f>
        <v>45973.66713</v>
      </c>
      <c r="B468" s="3" t="str">
        <f>IFERROR(__xludf.DUMMYFUNCTION("""COMPUTED_VALUE"""),"ROSRO0013")</f>
        <v>ROSRO0013</v>
      </c>
      <c r="C468" s="3" t="str">
        <f>IFERROR(__xludf.DUMMYFUNCTION("""COMPUTED_VALUE"""),"Consumable")</f>
        <v>Consumable</v>
      </c>
      <c r="D468" s="3" t="str">
        <f>IFERROR(__xludf.DUMMYFUNCTION("""COMPUTED_VALUE"""),"-")</f>
        <v>-</v>
      </c>
      <c r="E468" s="3" t="str">
        <f>IFERROR(__xludf.DUMMYFUNCTION("""COMPUTED_VALUE"""),"Autoclave Service fedegari")</f>
        <v>Autoclave Service fedegari</v>
      </c>
      <c r="F468" s="3" t="str">
        <f>IFERROR(__xludf.DUMMYFUNCTION("""COMPUTED_VALUE"""),"Autoclave Fedegari FOF / 6 AC - P/N. KK000304-KIT RICAMBI VALV.DN16 ON-OFF")</f>
        <v>Autoclave Fedegari FOF / 6 AC - P/N. KK000304-KIT RICAMBI VALV.DN16 ON-OFF</v>
      </c>
      <c r="G468" s="3">
        <f>IFERROR(__xludf.DUMMYFUNCTION("""COMPUTED_VALUE"""),5.0)</f>
        <v>5</v>
      </c>
      <c r="H468" s="3" t="str">
        <f>IFERROR(__xludf.DUMMYFUNCTION("""COMPUTED_VALUE"""),"pcs")</f>
        <v>pcs</v>
      </c>
      <c r="I468" s="3" t="str">
        <f>IFERROR(__xludf.DUMMYFUNCTION("""COMPUTED_VALUE"""),"-")</f>
        <v>-</v>
      </c>
      <c r="J468" s="3" t="str">
        <f>IFERROR(__xludf.DUMMYFUNCTION("""COMPUTED_VALUE"""),"O-50697-00")</f>
        <v>O-50697-00</v>
      </c>
      <c r="K468" s="3" t="str">
        <f>IFERROR(__xludf.DUMMYFUNCTION("""COMPUTED_VALUE"""),"Approve")</f>
        <v>Approve</v>
      </c>
      <c r="L468" s="3" t="str">
        <f>IFERROR(__xludf.DUMMYFUNCTION("""COMPUTED_VALUE"""),"Normal")</f>
        <v>Normal</v>
      </c>
      <c r="M468" s="3" t="str">
        <f>IFERROR(__xludf.DUMMYFUNCTION("""COMPUTED_VALUE"""),"Non Urgent")</f>
        <v>Non Urgent</v>
      </c>
    </row>
    <row r="469">
      <c r="A469" s="4">
        <f>IFERROR(__xludf.DUMMYFUNCTION("""COMPUTED_VALUE"""),45975.81316135417)</f>
        <v>45975.81316</v>
      </c>
      <c r="B469" s="3" t="str">
        <f>IFERROR(__xludf.DUMMYFUNCTION("""COMPUTED_VALUE"""),"ROSRO0014")</f>
        <v>ROSRO0014</v>
      </c>
      <c r="C469" s="3" t="str">
        <f>IFERROR(__xludf.DUMMYFUNCTION("""COMPUTED_VALUE"""),"Consumable")</f>
        <v>Consumable</v>
      </c>
      <c r="D469" s="3" t="str">
        <f>IFERROR(__xludf.DUMMYFUNCTION("""COMPUTED_VALUE"""),"-")</f>
        <v>-</v>
      </c>
      <c r="E469" s="3" t="str">
        <f>IFERROR(__xludf.DUMMYFUNCTION("""COMPUTED_VALUE"""),"Isolator Dispensing Solid ")</f>
        <v>Isolator Dispensing Solid </v>
      </c>
      <c r="F469" s="3" t="str">
        <f>IFERROR(__xludf.DUMMYFUNCTION("""COMPUTED_VALUE"""),"General - Isolator Glove CSM Port size 10 Inch (AS : 97800 Y 8.5 E4 5); Austar; AU10Y1532/9AWN; 1 Pc")</f>
        <v>General - Isolator Glove CSM Port size 10 Inch (AS : 97800 Y 8.5 E4 5); Austar; AU10Y1532/9AWN; 1 Pc</v>
      </c>
      <c r="G469" s="3">
        <f>IFERROR(__xludf.DUMMYFUNCTION("""COMPUTED_VALUE"""),20.0)</f>
        <v>20</v>
      </c>
      <c r="H469" s="3" t="str">
        <f>IFERROR(__xludf.DUMMYFUNCTION("""COMPUTED_VALUE"""),"pcs")</f>
        <v>pcs</v>
      </c>
      <c r="I469" s="3" t="str">
        <f>IFERROR(__xludf.DUMMYFUNCTION("""COMPUTED_VALUE"""),"buat spare gloove isolator dispensing Solid ")</f>
        <v>buat spare gloove isolator dispensing Solid </v>
      </c>
      <c r="J469" s="3" t="str">
        <f>IFERROR(__xludf.DUMMYFUNCTION("""COMPUTED_VALUE"""),"O-20489-00")</f>
        <v>O-20489-00</v>
      </c>
      <c r="K469" s="3" t="str">
        <f>IFERROR(__xludf.DUMMYFUNCTION("""COMPUTED_VALUE"""),"Approve")</f>
        <v>Approve</v>
      </c>
      <c r="L469" s="3" t="str">
        <f>IFERROR(__xludf.DUMMYFUNCTION("""COMPUTED_VALUE"""),"Normal")</f>
        <v>Normal</v>
      </c>
      <c r="M469" s="3" t="str">
        <f>IFERROR(__xludf.DUMMYFUNCTION("""COMPUTED_VALUE"""),"Non Urgent")</f>
        <v>Non Urgent</v>
      </c>
    </row>
    <row r="470">
      <c r="A470" s="4">
        <f>IFERROR(__xludf.DUMMYFUNCTION("""COMPUTED_VALUE"""),45977.76747236111)</f>
        <v>45977.76747</v>
      </c>
      <c r="B470" s="3" t="str">
        <f>IFERROR(__xludf.DUMMYFUNCTION("""COMPUTED_VALUE"""),"NDSRO0012")</f>
        <v>NDSRO0012</v>
      </c>
      <c r="C470" s="3" t="str">
        <f>IFERROR(__xludf.DUMMYFUNCTION("""COMPUTED_VALUE"""),"MIn Stok")</f>
        <v>MIn Stok</v>
      </c>
      <c r="D470" s="3" t="str">
        <f>IFERROR(__xludf.DUMMYFUNCTION("""COMPUTED_VALUE"""),"-")</f>
        <v>-</v>
      </c>
      <c r="E470" s="3" t="str">
        <f>IFERROR(__xludf.DUMMYFUNCTION("""COMPUTED_VALUE"""),"New FD")</f>
        <v>New FD</v>
      </c>
      <c r="F470" s="3" t="str">
        <f>IFERROR(__xludf.DUMMYFUNCTION("""COMPUTED_VALUE"""),"Besi siku SS 304 40x40x3x6000")</f>
        <v>Besi siku SS 304 40x40x3x6000</v>
      </c>
      <c r="G470" s="3">
        <f>IFERROR(__xludf.DUMMYFUNCTION("""COMPUTED_VALUE"""),9.0)</f>
        <v>9</v>
      </c>
      <c r="H470" s="3" t="str">
        <f>IFERROR(__xludf.DUMMYFUNCTION("""COMPUTED_VALUE"""),"Pcs")</f>
        <v>Pcs</v>
      </c>
      <c r="I470" s="3" t="str">
        <f>IFERROR(__xludf.DUMMYFUNCTION("""COMPUTED_VALUE"""),"-")</f>
        <v>-</v>
      </c>
      <c r="J470" s="3" t="str">
        <f>IFERROR(__xludf.DUMMYFUNCTION("""COMPUTED_VALUE"""),"P-11974-00")</f>
        <v>P-11974-00</v>
      </c>
      <c r="K470" s="3" t="str">
        <f>IFERROR(__xludf.DUMMYFUNCTION("""COMPUTED_VALUE"""),"Reject")</f>
        <v>Reject</v>
      </c>
      <c r="L470" s="3" t="str">
        <f>IFERROR(__xludf.DUMMYFUNCTION("""COMPUTED_VALUE"""),"Normal")</f>
        <v>Normal</v>
      </c>
      <c r="M470" s="3" t="str">
        <f>IFERROR(__xludf.DUMMYFUNCTION("""COMPUTED_VALUE"""),"Non Urgent")</f>
        <v>Non Urgent</v>
      </c>
    </row>
    <row r="471">
      <c r="A471" s="4">
        <f>IFERROR(__xludf.DUMMYFUNCTION("""COMPUTED_VALUE"""),45987.34346900463)</f>
        <v>45987.34347</v>
      </c>
      <c r="B471" s="3" t="str">
        <f>IFERROR(__xludf.DUMMYFUNCTION("""COMPUTED_VALUE"""),"NDSRO0013")</f>
        <v>NDSRO0013</v>
      </c>
      <c r="C471" s="3" t="str">
        <f>IFERROR(__xludf.DUMMYFUNCTION("""COMPUTED_VALUE"""),"MIn Stok")</f>
        <v>MIn Stok</v>
      </c>
      <c r="D471" s="3" t="str">
        <f>IFERROR(__xludf.DUMMYFUNCTION("""COMPUTED_VALUE"""),"-")</f>
        <v>-</v>
      </c>
      <c r="E471" s="3" t="str">
        <f>IFERROR(__xludf.DUMMYFUNCTION("""COMPUTED_VALUE"""),"New FD")</f>
        <v>New FD</v>
      </c>
      <c r="F471" s="3" t="str">
        <f>IFERROR(__xludf.DUMMYFUNCTION("""COMPUTED_VALUE"""),"Besi siku SS 304 40x40x3x6000")</f>
        <v>Besi siku SS 304 40x40x3x6000</v>
      </c>
      <c r="G471" s="3">
        <f>IFERROR(__xludf.DUMMYFUNCTION("""COMPUTED_VALUE"""),15.0)</f>
        <v>15</v>
      </c>
      <c r="H471" s="3" t="str">
        <f>IFERROR(__xludf.DUMMYFUNCTION("""COMPUTED_VALUE"""),"Pcs")</f>
        <v>Pcs</v>
      </c>
      <c r="I471" s="3" t="str">
        <f>IFERROR(__xludf.DUMMYFUNCTION("""COMPUTED_VALUE"""),"-")</f>
        <v>-</v>
      </c>
      <c r="J471" s="3" t="str">
        <f>IFERROR(__xludf.DUMMYFUNCTION("""COMPUTED_VALUE"""),"P-11974-00")</f>
        <v>P-11974-00</v>
      </c>
      <c r="K471" s="3" t="str">
        <f>IFERROR(__xludf.DUMMYFUNCTION("""COMPUTED_VALUE"""),"Reject")</f>
        <v>Reject</v>
      </c>
      <c r="L471" s="3" t="str">
        <f>IFERROR(__xludf.DUMMYFUNCTION("""COMPUTED_VALUE"""),"Normal")</f>
        <v>Normal</v>
      </c>
      <c r="M471" s="3" t="str">
        <f>IFERROR(__xludf.DUMMYFUNCTION("""COMPUTED_VALUE"""),"Non Urgent")</f>
        <v>Non Urgent</v>
      </c>
    </row>
    <row r="472">
      <c r="A472" s="4">
        <f>IFERROR(__xludf.DUMMYFUNCTION("""COMPUTED_VALUE"""),45989.63322773148)</f>
        <v>45989.63323</v>
      </c>
      <c r="B472" s="3" t="str">
        <f>IFERROR(__xludf.DUMMYFUNCTION("""COMPUTED_VALUE"""),"ROSRO0015")</f>
        <v>ROSRO0015</v>
      </c>
      <c r="C472" s="3" t="str">
        <f>IFERROR(__xludf.DUMMYFUNCTION("""COMPUTED_VALUE"""),"Consumable")</f>
        <v>Consumable</v>
      </c>
      <c r="D472" s="3" t="str">
        <f>IFERROR(__xludf.DUMMYFUNCTION("""COMPUTED_VALUE"""),"-")</f>
        <v>-</v>
      </c>
      <c r="E472" s="3" t="str">
        <f>IFERROR(__xludf.DUMMYFUNCTION("""COMPUTED_VALUE"""),"FD")</f>
        <v>FD</v>
      </c>
      <c r="F472" s="3" t="str">
        <f>IFERROR(__xludf.DUMMYFUNCTION("""COMPUTED_VALUE"""),"General - Seal Ferrule Teflon 1 1/2inch; No Brand; -; 1 pcs")</f>
        <v>General - Seal Ferrule Teflon 1 1/2inch; No Brand; -; 1 pcs</v>
      </c>
      <c r="G472" s="3">
        <f>IFERROR(__xludf.DUMMYFUNCTION("""COMPUTED_VALUE"""),20.0)</f>
        <v>20</v>
      </c>
      <c r="H472" s="3" t="str">
        <f>IFERROR(__xludf.DUMMYFUNCTION("""COMPUTED_VALUE"""),"pcs ")</f>
        <v>pcs </v>
      </c>
      <c r="I472" s="3" t="str">
        <f>IFERROR(__xludf.DUMMYFUNCTION("""COMPUTED_VALUE"""),"-")</f>
        <v>-</v>
      </c>
      <c r="J472" s="3" t="str">
        <f>IFERROR(__xludf.DUMMYFUNCTION("""COMPUTED_VALUE"""),"P-11404-00")</f>
        <v>P-11404-00</v>
      </c>
      <c r="K472" s="3" t="str">
        <f>IFERROR(__xludf.DUMMYFUNCTION("""COMPUTED_VALUE"""),"Approve")</f>
        <v>Approve</v>
      </c>
      <c r="L472" s="3" t="str">
        <f>IFERROR(__xludf.DUMMYFUNCTION("""COMPUTED_VALUE"""),"Normal")</f>
        <v>Normal</v>
      </c>
      <c r="M472" s="3" t="str">
        <f>IFERROR(__xludf.DUMMYFUNCTION("""COMPUTED_VALUE"""),"Non Urgent")</f>
        <v>Non Urgent</v>
      </c>
    </row>
    <row r="473">
      <c r="A473" s="4">
        <f>IFERROR(__xludf.DUMMYFUNCTION("""COMPUTED_VALUE"""),45989.63322773148)</f>
        <v>45989.63323</v>
      </c>
      <c r="B473" s="3" t="str">
        <f>IFERROR(__xludf.DUMMYFUNCTION("""COMPUTED_VALUE"""),"ROSRO0016")</f>
        <v>ROSRO0016</v>
      </c>
      <c r="C473" s="3" t="str">
        <f>IFERROR(__xludf.DUMMYFUNCTION("""COMPUTED_VALUE"""),"Consumable")</f>
        <v>Consumable</v>
      </c>
      <c r="D473" s="3" t="str">
        <f>IFERROR(__xludf.DUMMYFUNCTION("""COMPUTED_VALUE"""),"-")</f>
        <v>-</v>
      </c>
      <c r="E473" s="3" t="str">
        <f>IFERROR(__xludf.DUMMYFUNCTION("""COMPUTED_VALUE"""),"FD")</f>
        <v>FD</v>
      </c>
      <c r="F473" s="3" t="str">
        <f>IFERROR(__xludf.DUMMYFUNCTION("""COMPUTED_VALUE"""),"General - Seal Ferrule Teflon 3/4inch; No Brand; -; 1 pcs")</f>
        <v>General - Seal Ferrule Teflon 3/4inch; No Brand; -; 1 pcs</v>
      </c>
      <c r="G473" s="3">
        <f>IFERROR(__xludf.DUMMYFUNCTION("""COMPUTED_VALUE"""),20.0)</f>
        <v>20</v>
      </c>
      <c r="H473" s="3" t="str">
        <f>IFERROR(__xludf.DUMMYFUNCTION("""COMPUTED_VALUE"""),"pcs")</f>
        <v>pcs</v>
      </c>
      <c r="I473" s="3" t="str">
        <f>IFERROR(__xludf.DUMMYFUNCTION("""COMPUTED_VALUE"""),"-")</f>
        <v>-</v>
      </c>
      <c r="J473" s="3" t="str">
        <f>IFERROR(__xludf.DUMMYFUNCTION("""COMPUTED_VALUE"""),"P-14980-00")</f>
        <v>P-14980-00</v>
      </c>
      <c r="K473" s="3" t="str">
        <f>IFERROR(__xludf.DUMMYFUNCTION("""COMPUTED_VALUE"""),"Approve")</f>
        <v>Approve</v>
      </c>
      <c r="L473" s="3" t="str">
        <f>IFERROR(__xludf.DUMMYFUNCTION("""COMPUTED_VALUE"""),"Normal")</f>
        <v>Normal</v>
      </c>
      <c r="M473" s="3" t="str">
        <f>IFERROR(__xludf.DUMMYFUNCTION("""COMPUTED_VALUE"""),"Non Urgent")</f>
        <v>Non Urgent</v>
      </c>
    </row>
    <row r="474">
      <c r="A474" s="4">
        <f>IFERROR(__xludf.DUMMYFUNCTION("""COMPUTED_VALUE"""),45989.63322773148)</f>
        <v>45989.63323</v>
      </c>
      <c r="B474" s="3" t="str">
        <f>IFERROR(__xludf.DUMMYFUNCTION("""COMPUTED_VALUE"""),"ROSRO0017")</f>
        <v>ROSRO0017</v>
      </c>
      <c r="C474" s="3" t="str">
        <f>IFERROR(__xludf.DUMMYFUNCTION("""COMPUTED_VALUE"""),"Consumable")</f>
        <v>Consumable</v>
      </c>
      <c r="D474" s="3" t="str">
        <f>IFERROR(__xludf.DUMMYFUNCTION("""COMPUTED_VALUE"""),"-")</f>
        <v>-</v>
      </c>
      <c r="E474" s="3" t="str">
        <f>IFERROR(__xludf.DUMMYFUNCTION("""COMPUTED_VALUE"""),"FD")</f>
        <v>FD</v>
      </c>
      <c r="F474" s="3" t="str">
        <f>IFERROR(__xludf.DUMMYFUNCTION("""COMPUTED_VALUE"""),"General - Seal Ferrule Teflon 1 1/2inch; No Brand; -; 1 pcs")</f>
        <v>General - Seal Ferrule Teflon 1 1/2inch; No Brand; -; 1 pcs</v>
      </c>
      <c r="G474" s="3">
        <f>IFERROR(__xludf.DUMMYFUNCTION("""COMPUTED_VALUE"""),20.0)</f>
        <v>20</v>
      </c>
      <c r="H474" s="3" t="str">
        <f>IFERROR(__xludf.DUMMYFUNCTION("""COMPUTED_VALUE"""),"pcs")</f>
        <v>pcs</v>
      </c>
      <c r="I474" s="3" t="str">
        <f>IFERROR(__xludf.DUMMYFUNCTION("""COMPUTED_VALUE"""),"-")</f>
        <v>-</v>
      </c>
      <c r="J474" s="3" t="str">
        <f>IFERROR(__xludf.DUMMYFUNCTION("""COMPUTED_VALUE"""),"P-11404-00")</f>
        <v>P-11404-00</v>
      </c>
      <c r="K474" s="3" t="str">
        <f>IFERROR(__xludf.DUMMYFUNCTION("""COMPUTED_VALUE"""),"Approve")</f>
        <v>Approve</v>
      </c>
      <c r="L474" s="3" t="str">
        <f>IFERROR(__xludf.DUMMYFUNCTION("""COMPUTED_VALUE"""),"Normal")</f>
        <v>Normal</v>
      </c>
      <c r="M474" s="3" t="str">
        <f>IFERROR(__xludf.DUMMYFUNCTION("""COMPUTED_VALUE"""),"Non Urgent")</f>
        <v>Non Urgent</v>
      </c>
    </row>
    <row r="475">
      <c r="A475" s="4">
        <f>IFERROR(__xludf.DUMMYFUNCTION("""COMPUTED_VALUE"""),45993.49177363426)</f>
        <v>45993.49177</v>
      </c>
      <c r="B475" s="3" t="str">
        <f>IFERROR(__xludf.DUMMYFUNCTION("""COMPUTED_VALUE"""),"MOBRO0065")</f>
        <v>MOBRO0065</v>
      </c>
      <c r="C475" s="3" t="str">
        <f>IFERROR(__xludf.DUMMYFUNCTION("""COMPUTED_VALUE"""),"Consumable")</f>
        <v>Consumable</v>
      </c>
      <c r="D475" s="3" t="str">
        <f>IFERROR(__xludf.DUMMYFUNCTION("""COMPUTED_VALUE"""),"-")</f>
        <v>-</v>
      </c>
      <c r="E475" s="3" t="str">
        <f>IFERROR(__xludf.DUMMYFUNCTION("""COMPUTED_VALUE"""),"Pneumatic Fitting")</f>
        <v>Pneumatic Fitting</v>
      </c>
      <c r="F475" s="3" t="str">
        <f>IFERROR(__xludf.DUMMYFUNCTION("""COMPUTED_VALUE"""),"Pneumatic  Fitting - QS 1/2-10 / PN : 190646 / Festo")</f>
        <v>Pneumatic  Fitting - QS 1/2-10 / PN : 190646 / Festo</v>
      </c>
      <c r="G475" s="3">
        <f>IFERROR(__xludf.DUMMYFUNCTION("""COMPUTED_VALUE"""),10.0)</f>
        <v>10</v>
      </c>
      <c r="H475" s="3" t="str">
        <f>IFERROR(__xludf.DUMMYFUNCTION("""COMPUTED_VALUE"""),"pcs")</f>
        <v>pcs</v>
      </c>
      <c r="I475" s="3" t="str">
        <f>IFERROR(__xludf.DUMMYFUNCTION("""COMPUTED_VALUE"""),"Consumable")</f>
        <v>Consumable</v>
      </c>
      <c r="J475" s="3" t="str">
        <f>IFERROR(__xludf.DUMMYFUNCTION("""COMPUTED_VALUE"""),"P-11164-00")</f>
        <v>P-11164-00</v>
      </c>
      <c r="K475" s="3" t="str">
        <f>IFERROR(__xludf.DUMMYFUNCTION("""COMPUTED_VALUE"""),"Approve")</f>
        <v>Approve</v>
      </c>
      <c r="L475" s="3" t="str">
        <f>IFERROR(__xludf.DUMMYFUNCTION("""COMPUTED_VALUE"""),"Normal")</f>
        <v>Normal</v>
      </c>
      <c r="M475" s="3" t="str">
        <f>IFERROR(__xludf.DUMMYFUNCTION("""COMPUTED_VALUE"""),"Non Urgent")</f>
        <v>Non Urgent</v>
      </c>
    </row>
    <row r="476">
      <c r="A476" s="4">
        <f>IFERROR(__xludf.DUMMYFUNCTION("""COMPUTED_VALUE"""),45993.49864751157)</f>
        <v>45993.49865</v>
      </c>
      <c r="B476" s="3" t="str">
        <f>IFERROR(__xludf.DUMMYFUNCTION("""COMPUTED_VALUE"""),"MOBRO0066")</f>
        <v>MOBRO0066</v>
      </c>
      <c r="C476" s="3" t="str">
        <f>IFERROR(__xludf.DUMMYFUNCTION("""COMPUTED_VALUE"""),"Consumable")</f>
        <v>Consumable</v>
      </c>
      <c r="D476" s="3" t="str">
        <f>IFERROR(__xludf.DUMMYFUNCTION("""COMPUTED_VALUE"""),"-")</f>
        <v>-</v>
      </c>
      <c r="E476" s="3" t="str">
        <f>IFERROR(__xludf.DUMMYFUNCTION("""COMPUTED_VALUE"""),"Pneumatic Fitting")</f>
        <v>Pneumatic Fitting</v>
      </c>
      <c r="F476" s="3" t="str">
        <f>IFERROR(__xludf.DUMMYFUNCTION("""COMPUTED_VALUE"""),"Pneumatic Fitting - QS 1/4-10 / PN : 153007 / Festo")</f>
        <v>Pneumatic Fitting - QS 1/4-10 / PN : 153007 / Festo</v>
      </c>
      <c r="G476" s="3">
        <f>IFERROR(__xludf.DUMMYFUNCTION("""COMPUTED_VALUE"""),10.0)</f>
        <v>10</v>
      </c>
      <c r="H476" s="3" t="str">
        <f>IFERROR(__xludf.DUMMYFUNCTION("""COMPUTED_VALUE"""),"pcs")</f>
        <v>pcs</v>
      </c>
      <c r="I476" s="3" t="str">
        <f>IFERROR(__xludf.DUMMYFUNCTION("""COMPUTED_VALUE"""),"Consumable")</f>
        <v>Consumable</v>
      </c>
      <c r="J476" s="3" t="str">
        <f>IFERROR(__xludf.DUMMYFUNCTION("""COMPUTED_VALUE"""),"P-11167-00")</f>
        <v>P-11167-00</v>
      </c>
      <c r="K476" s="3" t="str">
        <f>IFERROR(__xludf.DUMMYFUNCTION("""COMPUTED_VALUE"""),"Approve")</f>
        <v>Approve</v>
      </c>
      <c r="L476" s="3" t="str">
        <f>IFERROR(__xludf.DUMMYFUNCTION("""COMPUTED_VALUE"""),"Normal")</f>
        <v>Normal</v>
      </c>
      <c r="M476" s="3" t="str">
        <f>IFERROR(__xludf.DUMMYFUNCTION("""COMPUTED_VALUE"""),"Non Urgent")</f>
        <v>Non Urgent</v>
      </c>
    </row>
    <row r="477">
      <c r="A477" s="4">
        <f>IFERROR(__xludf.DUMMYFUNCTION("""COMPUTED_VALUE"""),45993.49905060185)</f>
        <v>45993.49905</v>
      </c>
      <c r="B477" s="3" t="str">
        <f>IFERROR(__xludf.DUMMYFUNCTION("""COMPUTED_VALUE"""),"MOBRO0067")</f>
        <v>MOBRO0067</v>
      </c>
      <c r="C477" s="3" t="str">
        <f>IFERROR(__xludf.DUMMYFUNCTION("""COMPUTED_VALUE"""),"Consumable")</f>
        <v>Consumable</v>
      </c>
      <c r="D477" s="3" t="str">
        <f>IFERROR(__xludf.DUMMYFUNCTION("""COMPUTED_VALUE"""),"-")</f>
        <v>-</v>
      </c>
      <c r="E477" s="3" t="str">
        <f>IFERROR(__xludf.DUMMYFUNCTION("""COMPUTED_VALUE"""),"Pneumatic Fitting")</f>
        <v>Pneumatic Fitting</v>
      </c>
      <c r="F477" s="3" t="str">
        <f>IFERROR(__xludf.DUMMYFUNCTION("""COMPUTED_VALUE"""),"General - Push-in Fitting, QS-1/4-6; Festo; 153003; 1 pcs")</f>
        <v>General - Push-in Fitting, QS-1/4-6; Festo; 153003; 1 pcs</v>
      </c>
      <c r="G477" s="3">
        <f>IFERROR(__xludf.DUMMYFUNCTION("""COMPUTED_VALUE"""),10.0)</f>
        <v>10</v>
      </c>
      <c r="H477" s="3" t="str">
        <f>IFERROR(__xludf.DUMMYFUNCTION("""COMPUTED_VALUE"""),"pcs")</f>
        <v>pcs</v>
      </c>
      <c r="I477" s="3" t="str">
        <f>IFERROR(__xludf.DUMMYFUNCTION("""COMPUTED_VALUE"""),"Consumable")</f>
        <v>Consumable</v>
      </c>
      <c r="J477" s="3" t="str">
        <f>IFERROR(__xludf.DUMMYFUNCTION("""COMPUTED_VALUE"""),"P-11169-00")</f>
        <v>P-11169-00</v>
      </c>
      <c r="K477" s="3" t="str">
        <f>IFERROR(__xludf.DUMMYFUNCTION("""COMPUTED_VALUE"""),"Approve")</f>
        <v>Approve</v>
      </c>
      <c r="L477" s="3" t="str">
        <f>IFERROR(__xludf.DUMMYFUNCTION("""COMPUTED_VALUE"""),"Normal")</f>
        <v>Normal</v>
      </c>
      <c r="M477" s="3" t="str">
        <f>IFERROR(__xludf.DUMMYFUNCTION("""COMPUTED_VALUE"""),"Non Urgent")</f>
        <v>Non Urgent</v>
      </c>
    </row>
    <row r="478">
      <c r="A478" s="4">
        <f>IFERROR(__xludf.DUMMYFUNCTION("""COMPUTED_VALUE"""),45993.5010647338)</f>
        <v>45993.50106</v>
      </c>
      <c r="B478" s="3" t="str">
        <f>IFERROR(__xludf.DUMMYFUNCTION("""COMPUTED_VALUE"""),"MOBRO0068")</f>
        <v>MOBRO0068</v>
      </c>
      <c r="C478" s="3" t="str">
        <f>IFERROR(__xludf.DUMMYFUNCTION("""COMPUTED_VALUE"""),"Consumable")</f>
        <v>Consumable</v>
      </c>
      <c r="D478" s="3" t="str">
        <f>IFERROR(__xludf.DUMMYFUNCTION("""COMPUTED_VALUE"""),"-")</f>
        <v>-</v>
      </c>
      <c r="E478" s="3" t="str">
        <f>IFERROR(__xludf.DUMMYFUNCTION("""COMPUTED_VALUE"""),"Pneumatic Fitting")</f>
        <v>Pneumatic Fitting</v>
      </c>
      <c r="F478" s="3" t="str">
        <f>IFERROR(__xludf.DUMMYFUNCTION("""COMPUTED_VALUE"""),"FESTO - QS-10-8 Push In Connector p/n 153039")</f>
        <v>FESTO - QS-10-8 Push In Connector p/n 153039</v>
      </c>
      <c r="G478" s="3">
        <f>IFERROR(__xludf.DUMMYFUNCTION("""COMPUTED_VALUE"""),10.0)</f>
        <v>10</v>
      </c>
      <c r="H478" s="3" t="str">
        <f>IFERROR(__xludf.DUMMYFUNCTION("""COMPUTED_VALUE"""),"pcs")</f>
        <v>pcs</v>
      </c>
      <c r="I478" s="3" t="str">
        <f>IFERROR(__xludf.DUMMYFUNCTION("""COMPUTED_VALUE"""),"Consumable")</f>
        <v>Consumable</v>
      </c>
      <c r="J478" s="3" t="str">
        <f>IFERROR(__xludf.DUMMYFUNCTION("""COMPUTED_VALUE"""),"P-12281-00")</f>
        <v>P-12281-00</v>
      </c>
      <c r="K478" s="3" t="str">
        <f>IFERROR(__xludf.DUMMYFUNCTION("""COMPUTED_VALUE"""),"Approve")</f>
        <v>Approve</v>
      </c>
      <c r="L478" s="3" t="str">
        <f>IFERROR(__xludf.DUMMYFUNCTION("""COMPUTED_VALUE"""),"Normal")</f>
        <v>Normal</v>
      </c>
      <c r="M478" s="3" t="str">
        <f>IFERROR(__xludf.DUMMYFUNCTION("""COMPUTED_VALUE"""),"Non Urgent")</f>
        <v>Non Urgent</v>
      </c>
    </row>
    <row r="479">
      <c r="A479" s="4">
        <f>IFERROR(__xludf.DUMMYFUNCTION("""COMPUTED_VALUE"""),45993.50336865741)</f>
        <v>45993.50337</v>
      </c>
      <c r="B479" s="3" t="str">
        <f>IFERROR(__xludf.DUMMYFUNCTION("""COMPUTED_VALUE"""),"MOBRO0069")</f>
        <v>MOBRO0069</v>
      </c>
      <c r="C479" s="3" t="str">
        <f>IFERROR(__xludf.DUMMYFUNCTION("""COMPUTED_VALUE"""),"Consumable")</f>
        <v>Consumable</v>
      </c>
      <c r="D479" s="3" t="str">
        <f>IFERROR(__xludf.DUMMYFUNCTION("""COMPUTED_VALUE"""),"-")</f>
        <v>-</v>
      </c>
      <c r="E479" s="3" t="str">
        <f>IFERROR(__xludf.DUMMYFUNCTION("""COMPUTED_VALUE"""),"Pneumatic Fitting")</f>
        <v>Pneumatic Fitting</v>
      </c>
      <c r="F479" s="3" t="str">
        <f>IFERROR(__xludf.DUMMYFUNCTION("""COMPUTED_VALUE"""),"General - Push-in Connector, QS-8-6; Festo; 153038; 1 pcs")</f>
        <v>General - Push-in Connector, QS-8-6; Festo; 153038; 1 pcs</v>
      </c>
      <c r="G479" s="3">
        <f>IFERROR(__xludf.DUMMYFUNCTION("""COMPUTED_VALUE"""),10.0)</f>
        <v>10</v>
      </c>
      <c r="H479" s="3" t="str">
        <f>IFERROR(__xludf.DUMMYFUNCTION("""COMPUTED_VALUE"""),"pcs")</f>
        <v>pcs</v>
      </c>
      <c r="I479" s="3" t="str">
        <f>IFERROR(__xludf.DUMMYFUNCTION("""COMPUTED_VALUE"""),"Consumable")</f>
        <v>Consumable</v>
      </c>
      <c r="J479" s="3" t="str">
        <f>IFERROR(__xludf.DUMMYFUNCTION("""COMPUTED_VALUE"""),"P-11185-00")</f>
        <v>P-11185-00</v>
      </c>
      <c r="K479" s="3" t="str">
        <f>IFERROR(__xludf.DUMMYFUNCTION("""COMPUTED_VALUE"""),"Approve")</f>
        <v>Approve</v>
      </c>
      <c r="L479" s="3" t="str">
        <f>IFERROR(__xludf.DUMMYFUNCTION("""COMPUTED_VALUE"""),"Normal")</f>
        <v>Normal</v>
      </c>
      <c r="M479" s="3" t="str">
        <f>IFERROR(__xludf.DUMMYFUNCTION("""COMPUTED_VALUE"""),"Non Urgent")</f>
        <v>Non Urgent</v>
      </c>
    </row>
    <row r="480">
      <c r="A480" s="4">
        <f>IFERROR(__xludf.DUMMYFUNCTION("""COMPUTED_VALUE"""),46008.262979189814)</f>
        <v>46008.26298</v>
      </c>
      <c r="B480" s="3" t="str">
        <f>IFERROR(__xludf.DUMMYFUNCTION("""COMPUTED_VALUE"""),"RIARO0056")</f>
        <v>RIARO0056</v>
      </c>
      <c r="C480" s="3" t="str">
        <f>IFERROR(__xludf.DUMMYFUNCTION("""COMPUTED_VALUE"""),"EJO")</f>
        <v>EJO</v>
      </c>
      <c r="D480" s="3" t="str">
        <f>IFERROR(__xludf.DUMMYFUNCTION("""COMPUTED_VALUE"""),"EJO/2025/10/146")</f>
        <v>EJO/2025/10/146</v>
      </c>
      <c r="E480" s="3" t="str">
        <f>IFERROR(__xludf.DUMMYFUNCTION("""COMPUTED_VALUE"""),"PW SKID")</f>
        <v>PW SKID</v>
      </c>
      <c r="F480" s="3" t="str">
        <f>IFERROR(__xludf.DUMMYFUNCTION("""COMPUTED_VALUE"""),"General - UV Lamp SD55-320W; Hanovia; 130071-0320-C; 1 pc")</f>
        <v>General - UV Lamp SD55-320W; Hanovia; 130071-0320-C; 1 pc</v>
      </c>
      <c r="G480" s="3">
        <f>IFERROR(__xludf.DUMMYFUNCTION("""COMPUTED_VALUE"""),2.0)</f>
        <v>2</v>
      </c>
      <c r="H480" s="3" t="str">
        <f>IFERROR(__xludf.DUMMYFUNCTION("""COMPUTED_VALUE"""),"Pcs")</f>
        <v>Pcs</v>
      </c>
      <c r="I480" s="3" t="str">
        <f>IFERROR(__xludf.DUMMYFUNCTION("""COMPUTED_VALUE"""),"Untuk penggantian lampu UV PW SKID")</f>
        <v>Untuk penggantian lampu UV PW SKID</v>
      </c>
      <c r="J480" s="3" t="str">
        <f>IFERROR(__xludf.DUMMYFUNCTION("""COMPUTED_VALUE"""),"P-14244-00")</f>
        <v>P-14244-00</v>
      </c>
      <c r="K480" s="3" t="str">
        <f>IFERROR(__xludf.DUMMYFUNCTION("""COMPUTED_VALUE"""),"Approve")</f>
        <v>Approve</v>
      </c>
      <c r="L480" s="3" t="str">
        <f>IFERROR(__xludf.DUMMYFUNCTION("""COMPUTED_VALUE"""),"Normal")</f>
        <v>Normal</v>
      </c>
      <c r="M480" s="3" t="str">
        <f>IFERROR(__xludf.DUMMYFUNCTION("""COMPUTED_VALUE"""),"Non Urgent")</f>
        <v>Non Urgent</v>
      </c>
    </row>
    <row r="481">
      <c r="A481" s="4">
        <f>IFERROR(__xludf.DUMMYFUNCTION("""COMPUTED_VALUE"""),46017.09970445602)</f>
        <v>46017.0997</v>
      </c>
      <c r="B481" s="3" t="str">
        <f>IFERROR(__xludf.DUMMYFUNCTION("""COMPUTED_VALUE"""),"BDURO0001")</f>
        <v>BDURO0001</v>
      </c>
      <c r="C481" s="3" t="str">
        <f>IFERROR(__xludf.DUMMYFUNCTION("""COMPUTED_VALUE"""),"EJO")</f>
        <v>EJO</v>
      </c>
      <c r="D481" s="3" t="str">
        <f>IFERROR(__xludf.DUMMYFUNCTION("""COMPUTED_VALUE"""),"EJO/2025/11/117")</f>
        <v>EJO/2025/11/117</v>
      </c>
      <c r="E481" s="3" t="str">
        <f>IFERROR(__xludf.DUMMYFUNCTION("""COMPUTED_VALUE"""),"inkubator 1 (Micro Lab)")</f>
        <v>inkubator 1 (Micro Lab)</v>
      </c>
      <c r="F481" s="3" t="str">
        <f>IFERROR(__xludf.DUMMYFUNCTION("""COMPUTED_VALUE"""),"General - Lampu TL LED T5 16 W 6000 K; No Brand; -; 1 unt")</f>
        <v>General - Lampu TL LED T5 16 W 6000 K; No Brand; -; 1 unt</v>
      </c>
      <c r="G481" s="3">
        <f>IFERROR(__xludf.DUMMYFUNCTION("""COMPUTED_VALUE"""),5.0)</f>
        <v>5</v>
      </c>
      <c r="H481" s="3" t="str">
        <f>IFERROR(__xludf.DUMMYFUNCTION("""COMPUTED_VALUE"""),"pcs")</f>
        <v>pcs</v>
      </c>
      <c r="I481" s="3" t="str">
        <f>IFERROR(__xludf.DUMMYFUNCTION("""COMPUTED_VALUE"""),"1 dipasang pada inkubator 1, dan 4 pcs untuk spare")</f>
        <v>1 dipasang pada inkubator 1, dan 4 pcs untuk spare</v>
      </c>
      <c r="J481" s="3" t="str">
        <f>IFERROR(__xludf.DUMMYFUNCTION("""COMPUTED_VALUE"""),"P-18067-00")</f>
        <v>P-18067-00</v>
      </c>
      <c r="K481" s="3" t="str">
        <f>IFERROR(__xludf.DUMMYFUNCTION("""COMPUTED_VALUE"""),"Approve")</f>
        <v>Approve</v>
      </c>
      <c r="L481" s="3" t="str">
        <f>IFERROR(__xludf.DUMMYFUNCTION("""COMPUTED_VALUE"""),"Normal")</f>
        <v>Normal</v>
      </c>
      <c r="M481" s="3" t="str">
        <f>IFERROR(__xludf.DUMMYFUNCTION("""COMPUTED_VALUE"""),"Non Urgent")</f>
        <v>Non Urgent</v>
      </c>
    </row>
    <row r="482">
      <c r="A482" s="4">
        <f>IFERROR(__xludf.DUMMYFUNCTION("""COMPUTED_VALUE"""),46017.12780109954)</f>
        <v>46017.1278</v>
      </c>
      <c r="B482" s="3" t="str">
        <f>IFERROR(__xludf.DUMMYFUNCTION("""COMPUTED_VALUE"""),"INNRO0010")</f>
        <v>INNRO0010</v>
      </c>
      <c r="C482" s="3" t="str">
        <f>IFERROR(__xludf.DUMMYFUNCTION("""COMPUTED_VALUE"""),"MIn Stok")</f>
        <v>MIn Stok</v>
      </c>
      <c r="D482" s="3" t="str">
        <f>IFERROR(__xludf.DUMMYFUNCTION("""COMPUTED_VALUE"""),"EJO/2025/10/69")</f>
        <v>EJO/2025/10/69</v>
      </c>
      <c r="E482" s="3" t="str">
        <f>IFERROR(__xludf.DUMMYFUNCTION("""COMPUTED_VALUE"""),"Filling")</f>
        <v>Filling</v>
      </c>
      <c r="F482" s="3" t="str">
        <f>IFERROR(__xludf.DUMMYFUNCTION("""COMPUTED_VALUE"""),"General - Pulsed DC Ionising Bar Hyperion 929IPS Length 325mm; Steriline; 1096041; 1 Pc")</f>
        <v>General - Pulsed DC Ionising Bar Hyperion 929IPS Length 325mm; Steriline; 1096041; 1 Pc</v>
      </c>
      <c r="G482" s="3">
        <f>IFERROR(__xludf.DUMMYFUNCTION("""COMPUTED_VALUE"""),1.0)</f>
        <v>1</v>
      </c>
      <c r="H482" s="3" t="str">
        <f>IFERROR(__xludf.DUMMYFUNCTION("""COMPUTED_VALUE"""),"Pcs")</f>
        <v>Pcs</v>
      </c>
      <c r="I482" s="3" t="str">
        <f>IFERROR(__xludf.DUMMYFUNCTION("""COMPUTED_VALUE"""),"Untuk ion shower filling")</f>
        <v>Untuk ion shower filling</v>
      </c>
      <c r="J482" s="3" t="str">
        <f>IFERROR(__xludf.DUMMYFUNCTION("""COMPUTED_VALUE"""),"O-51996-00")</f>
        <v>O-51996-00</v>
      </c>
      <c r="K482" s="3" t="str">
        <f>IFERROR(__xludf.DUMMYFUNCTION("""COMPUTED_VALUE"""),"Approve")</f>
        <v>Approve</v>
      </c>
      <c r="L482" s="3" t="str">
        <f>IFERROR(__xludf.DUMMYFUNCTION("""COMPUTED_VALUE"""),"Urgent")</f>
        <v>Urgent</v>
      </c>
      <c r="M482" s="3" t="str">
        <f>IFERROR(__xludf.DUMMYFUNCTION("""COMPUTED_VALUE"""),"Approve")</f>
        <v>Approve</v>
      </c>
    </row>
    <row r="483">
      <c r="A483" s="4">
        <f>IFERROR(__xludf.DUMMYFUNCTION("""COMPUTED_VALUE"""),46020.03742194445)</f>
        <v>46020.03742</v>
      </c>
      <c r="B483" s="3" t="str">
        <f>IFERROR(__xludf.DUMMYFUNCTION("""COMPUTED_VALUE"""),"SHFRO0005")</f>
        <v>SHFRO0005</v>
      </c>
      <c r="C483" s="3" t="str">
        <f>IFERROR(__xludf.DUMMYFUNCTION("""COMPUTED_VALUE"""),"EJO")</f>
        <v>EJO</v>
      </c>
      <c r="D483" s="3" t="str">
        <f>IFERROR(__xludf.DUMMYFUNCTION("""COMPUTED_VALUE"""),"EJO/2025/12/123")</f>
        <v>EJO/2025/12/123</v>
      </c>
      <c r="E483" s="3" t="str">
        <f>IFERROR(__xludf.DUMMYFUNCTION("""COMPUTED_VALUE"""),"WWTP")</f>
        <v>WWTP</v>
      </c>
      <c r="F483" s="3" t="str">
        <f>IFERROR(__xludf.DUMMYFUNCTION("""COMPUTED_VALUE"""),"General - Relay 220-240 VAC; Omron; MY4N; 1 Pc")</f>
        <v>General - Relay 220-240 VAC; Omron; MY4N; 1 Pc</v>
      </c>
      <c r="G483" s="3">
        <f>IFERROR(__xludf.DUMMYFUNCTION("""COMPUTED_VALUE"""),4.0)</f>
        <v>4</v>
      </c>
      <c r="H483" s="3" t="str">
        <f>IFERROR(__xludf.DUMMYFUNCTION("""COMPUTED_VALUE"""),"Pcs")</f>
        <v>Pcs</v>
      </c>
      <c r="I483" s="3" t="str">
        <f>IFERROR(__xludf.DUMMYFUNCTION("""COMPUTED_VALUE"""),"Untuk Kontrol Panel")</f>
        <v>Untuk Kontrol Panel</v>
      </c>
      <c r="J483" s="3" t="str">
        <f>IFERROR(__xludf.DUMMYFUNCTION("""COMPUTED_VALUE"""),"O-50863-00")</f>
        <v>O-50863-00</v>
      </c>
      <c r="K483" s="3" t="str">
        <f>IFERROR(__xludf.DUMMYFUNCTION("""COMPUTED_VALUE"""),"Reject")</f>
        <v>Reject</v>
      </c>
      <c r="L483" s="3" t="str">
        <f>IFERROR(__xludf.DUMMYFUNCTION("""COMPUTED_VALUE"""),"Normal")</f>
        <v>Normal</v>
      </c>
      <c r="M483" s="3" t="str">
        <f>IFERROR(__xludf.DUMMYFUNCTION("""COMPUTED_VALUE"""),"Non Urgent")</f>
        <v>Non Urgent</v>
      </c>
    </row>
    <row r="484">
      <c r="A484" s="4">
        <f>IFERROR(__xludf.DUMMYFUNCTION("""COMPUTED_VALUE"""),46026.93657457176)</f>
        <v>46026.93657</v>
      </c>
      <c r="B484" s="3" t="str">
        <f>IFERROR(__xludf.DUMMYFUNCTION("""COMPUTED_VALUE"""),"NDSRO0014")</f>
        <v>NDSRO0014</v>
      </c>
      <c r="C484" s="3" t="str">
        <f>IFERROR(__xludf.DUMMYFUNCTION("""COMPUTED_VALUE"""),"MIn Stok")</f>
        <v>MIn Stok</v>
      </c>
      <c r="D484" s="3" t="str">
        <f>IFERROR(__xludf.DUMMYFUNCTION("""COMPUTED_VALUE"""),"-")</f>
        <v>-</v>
      </c>
      <c r="E484" s="3" t="str">
        <f>IFERROR(__xludf.DUMMYFUNCTION("""COMPUTED_VALUE"""),"Filling Steriline")</f>
        <v>Filling Steriline</v>
      </c>
      <c r="F484" s="3" t="str">
        <f>IFERROR(__xludf.DUMMYFUNCTION("""COMPUTED_VALUE"""),"General - Silicone Gasket for Ferrule dia. 3/4""; -; -; 1 Pc")</f>
        <v>General - Silicone Gasket for Ferrule dia. 3/4"; -; -; 1 Pc</v>
      </c>
      <c r="G484" s="3">
        <f>IFERROR(__xludf.DUMMYFUNCTION("""COMPUTED_VALUE"""),50.0)</f>
        <v>50</v>
      </c>
      <c r="H484" s="3" t="str">
        <f>IFERROR(__xludf.DUMMYFUNCTION("""COMPUTED_VALUE"""),"pcs")</f>
        <v>pcs</v>
      </c>
      <c r="I484" s="3" t="str">
        <f>IFERROR(__xludf.DUMMYFUNCTION("""COMPUTED_VALUE"""),"-")</f>
        <v>-</v>
      </c>
      <c r="J484" s="3" t="str">
        <f>IFERROR(__xludf.DUMMYFUNCTION("""COMPUTED_VALUE"""),"O-14640-00")</f>
        <v>O-14640-00</v>
      </c>
      <c r="K484" s="3" t="str">
        <f>IFERROR(__xludf.DUMMYFUNCTION("""COMPUTED_VALUE"""),"Approve")</f>
        <v>Approve</v>
      </c>
      <c r="L484" s="3" t="str">
        <f>IFERROR(__xludf.DUMMYFUNCTION("""COMPUTED_VALUE"""),"Normal")</f>
        <v>Normal</v>
      </c>
      <c r="M484" s="3" t="str">
        <f>IFERROR(__xludf.DUMMYFUNCTION("""COMPUTED_VALUE"""),"Non Urgent")</f>
        <v>Non Urgent</v>
      </c>
    </row>
    <row r="485">
      <c r="A485" s="4">
        <f>IFERROR(__xludf.DUMMYFUNCTION("""COMPUTED_VALUE"""),46026.937808634255)</f>
        <v>46026.93781</v>
      </c>
      <c r="B485" s="3" t="str">
        <f>IFERROR(__xludf.DUMMYFUNCTION("""COMPUTED_VALUE"""),"NDSRO0015")</f>
        <v>NDSRO0015</v>
      </c>
      <c r="C485" s="3" t="str">
        <f>IFERROR(__xludf.DUMMYFUNCTION("""COMPUTED_VALUE"""),"MIn Stok")</f>
        <v>MIn Stok</v>
      </c>
      <c r="D485" s="3" t="str">
        <f>IFERROR(__xludf.DUMMYFUNCTION("""COMPUTED_VALUE"""),"-")</f>
        <v>-</v>
      </c>
      <c r="E485" s="3" t="str">
        <f>IFERROR(__xludf.DUMMYFUNCTION("""COMPUTED_VALUE"""),"Produksi")</f>
        <v>Produksi</v>
      </c>
      <c r="F485" s="3" t="str">
        <f>IFERROR(__xludf.DUMMYFUNCTION("""COMPUTED_VALUE"""),"General - Baut L, SS, M5 x 20 mm + Mur + Ring; No Brand; -; 1 pcs")</f>
        <v>General - Baut L, SS, M5 x 20 mm + Mur + Ring; No Brand; -; 1 pcs</v>
      </c>
      <c r="G485" s="3">
        <f>IFERROR(__xludf.DUMMYFUNCTION("""COMPUTED_VALUE"""),100.0)</f>
        <v>100</v>
      </c>
      <c r="H485" s="3" t="str">
        <f>IFERROR(__xludf.DUMMYFUNCTION("""COMPUTED_VALUE"""),"Pcs")</f>
        <v>Pcs</v>
      </c>
      <c r="I485" s="3" t="str">
        <f>IFERROR(__xludf.DUMMYFUNCTION("""COMPUTED_VALUE"""),"-")</f>
        <v>-</v>
      </c>
      <c r="J485" s="3" t="str">
        <f>IFERROR(__xludf.DUMMYFUNCTION("""COMPUTED_VALUE"""),"O-19430-00")</f>
        <v>O-19430-00</v>
      </c>
      <c r="K485" s="3" t="str">
        <f>IFERROR(__xludf.DUMMYFUNCTION("""COMPUTED_VALUE"""),"Approve")</f>
        <v>Approve</v>
      </c>
      <c r="L485" s="3" t="str">
        <f>IFERROR(__xludf.DUMMYFUNCTION("""COMPUTED_VALUE"""),"Normal")</f>
        <v>Normal</v>
      </c>
      <c r="M485" s="3" t="str">
        <f>IFERROR(__xludf.DUMMYFUNCTION("""COMPUTED_VALUE"""),"Non Urgent")</f>
        <v>Non Urgent</v>
      </c>
    </row>
    <row r="486">
      <c r="A486" s="4">
        <f>IFERROR(__xludf.DUMMYFUNCTION("""COMPUTED_VALUE"""),46026.93909344907)</f>
        <v>46026.93909</v>
      </c>
      <c r="B486" s="3" t="str">
        <f>IFERROR(__xludf.DUMMYFUNCTION("""COMPUTED_VALUE"""),"NDSRO0016")</f>
        <v>NDSRO0016</v>
      </c>
      <c r="C486" s="3" t="str">
        <f>IFERROR(__xludf.DUMMYFUNCTION("""COMPUTED_VALUE"""),"MIn Stok")</f>
        <v>MIn Stok</v>
      </c>
      <c r="D486" s="3" t="str">
        <f>IFERROR(__xludf.DUMMYFUNCTION("""COMPUTED_VALUE"""),"-")</f>
        <v>-</v>
      </c>
      <c r="E486" s="3" t="str">
        <f>IFERROR(__xludf.DUMMYFUNCTION("""COMPUTED_VALUE"""),"Produksi")</f>
        <v>Produksi</v>
      </c>
      <c r="F486" s="3" t="str">
        <f>IFERROR(__xludf.DUMMYFUNCTION("""COMPUTED_VALUE"""),"Baut Hex M5 Machining As Mat SUS 316L")</f>
        <v>Baut Hex M5 Machining As Mat SUS 316L</v>
      </c>
      <c r="G486" s="3">
        <f>IFERROR(__xludf.DUMMYFUNCTION("""COMPUTED_VALUE"""),100.0)</f>
        <v>100</v>
      </c>
      <c r="H486" s="3" t="str">
        <f>IFERROR(__xludf.DUMMYFUNCTION("""COMPUTED_VALUE"""),"Pcs")</f>
        <v>Pcs</v>
      </c>
      <c r="I486" s="3" t="str">
        <f>IFERROR(__xludf.DUMMYFUNCTION("""COMPUTED_VALUE"""),"- (REJECT BY MFH KARENA ITEM INACTIVE DAN SPEK PADA DESKRIPSI KURANG LENGKAP)")</f>
        <v>- (REJECT BY MFH KARENA ITEM INACTIVE DAN SPEK PADA DESKRIPSI KURANG LENGKAP)</v>
      </c>
      <c r="J486" s="3" t="str">
        <f>IFERROR(__xludf.DUMMYFUNCTION("""COMPUTED_VALUE"""),"P-18138-00")</f>
        <v>P-18138-00</v>
      </c>
      <c r="K486" s="3" t="str">
        <f>IFERROR(__xludf.DUMMYFUNCTION("""COMPUTED_VALUE"""),"Reject")</f>
        <v>Reject</v>
      </c>
      <c r="L486" s="3" t="str">
        <f>IFERROR(__xludf.DUMMYFUNCTION("""COMPUTED_VALUE"""),"Normal")</f>
        <v>Normal</v>
      </c>
      <c r="M486" s="3" t="str">
        <f>IFERROR(__xludf.DUMMYFUNCTION("""COMPUTED_VALUE"""),"Non Urgent")</f>
        <v>Non Urgent</v>
      </c>
    </row>
    <row r="487">
      <c r="A487" s="4">
        <f>IFERROR(__xludf.DUMMYFUNCTION("""COMPUTED_VALUE"""),46031.41487912037)</f>
        <v>46031.41488</v>
      </c>
      <c r="B487" s="3" t="str">
        <f>IFERROR(__xludf.DUMMYFUNCTION("""COMPUTED_VALUE"""),"BDURO0002")</f>
        <v>BDURO0002</v>
      </c>
      <c r="C487" s="3" t="str">
        <f>IFERROR(__xludf.DUMMYFUNCTION("""COMPUTED_VALUE"""),"Consumable")</f>
        <v>Consumable</v>
      </c>
      <c r="D487" s="3" t="str">
        <f>IFERROR(__xludf.DUMMYFUNCTION("""COMPUTED_VALUE"""),"EJO/2026/01/28")</f>
        <v>EJO/2026/01/28</v>
      </c>
      <c r="E487" s="3" t="str">
        <f>IFERROR(__xludf.DUMMYFUNCTION("""COMPUTED_VALUE"""),"HO")</f>
        <v>HO</v>
      </c>
      <c r="F487" s="3" t="str">
        <f>IFERROR(__xludf.DUMMYFUNCTION("""COMPUTED_VALUE"""),"Terminal Krustin 6 Terminal; ; ;")</f>
        <v>Terminal Krustin 6 Terminal; ; ;</v>
      </c>
      <c r="G487" s="3">
        <f>IFERROR(__xludf.DUMMYFUNCTION("""COMPUTED_VALUE"""),1.0)</f>
        <v>1</v>
      </c>
      <c r="H487" s="3" t="str">
        <f>IFERROR(__xludf.DUMMYFUNCTION("""COMPUTED_VALUE"""),"Pack")</f>
        <v>Pack</v>
      </c>
      <c r="I487" s="3" t="str">
        <f>IFERROR(__xludf.DUMMYFUNCTION("""COMPUTED_VALUE"""),"Untuk sambungan terminal pada HO")</f>
        <v>Untuk sambungan terminal pada HO</v>
      </c>
      <c r="J487" s="3" t="str">
        <f>IFERROR(__xludf.DUMMYFUNCTION("""COMPUTED_VALUE"""),"P-51704-00")</f>
        <v>P-51704-00</v>
      </c>
      <c r="K487" s="3" t="str">
        <f>IFERROR(__xludf.DUMMYFUNCTION("""COMPUTED_VALUE"""),"Approve")</f>
        <v>Approve</v>
      </c>
      <c r="L487" s="3" t="str">
        <f>IFERROR(__xludf.DUMMYFUNCTION("""COMPUTED_VALUE"""),"Normal")</f>
        <v>Normal</v>
      </c>
      <c r="M487" s="3" t="str">
        <f>IFERROR(__xludf.DUMMYFUNCTION("""COMPUTED_VALUE"""),"Non Urgent")</f>
        <v>Non Urgent</v>
      </c>
    </row>
    <row r="488">
      <c r="A488" s="4">
        <f>IFERROR(__xludf.DUMMYFUNCTION("""COMPUTED_VALUE"""),46034.655956574075)</f>
        <v>46034.65596</v>
      </c>
      <c r="B488" s="3" t="str">
        <f>IFERROR(__xludf.DUMMYFUNCTION("""COMPUTED_VALUE"""),"MOBRO0070")</f>
        <v>MOBRO0070</v>
      </c>
      <c r="C488" s="3" t="str">
        <f>IFERROR(__xludf.DUMMYFUNCTION("""COMPUTED_VALUE"""),"MIn Stok")</f>
        <v>MIn Stok</v>
      </c>
      <c r="D488" s="3" t="str">
        <f>IFERROR(__xludf.DUMMYFUNCTION("""COMPUTED_VALUE"""),"-")</f>
        <v>-</v>
      </c>
      <c r="E488" s="3" t="str">
        <f>IFERROR(__xludf.DUMMYFUNCTION("""COMPUTED_VALUE"""),"PSG")</f>
        <v>PSG</v>
      </c>
      <c r="F488" s="3" t="str">
        <f>IFERROR(__xludf.DUMMYFUNCTION("""COMPUTED_VALUE"""),"General - Thermostatic Steam Trap LV6-CE DN20 SS; TLV; -; 1 Pc")</f>
        <v>General - Thermostatic Steam Trap LV6-CE DN20 SS; TLV; -; 1 Pc</v>
      </c>
      <c r="G488" s="3">
        <f>IFERROR(__xludf.DUMMYFUNCTION("""COMPUTED_VALUE"""),1.0)</f>
        <v>1</v>
      </c>
      <c r="H488" s="3" t="str">
        <f>IFERROR(__xludf.DUMMYFUNCTION("""COMPUTED_VALUE"""),"Pcs")</f>
        <v>Pcs</v>
      </c>
      <c r="I488" s="3" t="str">
        <f>IFERROR(__xludf.DUMMYFUNCTION("""COMPUTED_VALUE"""),"Untuk Sampling Dryness Pure Steam di PSG")</f>
        <v>Untuk Sampling Dryness Pure Steam di PSG</v>
      </c>
      <c r="J488" s="3" t="str">
        <f>IFERROR(__xludf.DUMMYFUNCTION("""COMPUTED_VALUE"""),"P-18472-00")</f>
        <v>P-18472-00</v>
      </c>
      <c r="K488" s="3" t="str">
        <f>IFERROR(__xludf.DUMMYFUNCTION("""COMPUTED_VALUE"""),"Approve")</f>
        <v>Approve</v>
      </c>
      <c r="L488" s="3" t="str">
        <f>IFERROR(__xludf.DUMMYFUNCTION("""COMPUTED_VALUE"""),"Normal")</f>
        <v>Normal</v>
      </c>
      <c r="M488" s="3" t="str">
        <f>IFERROR(__xludf.DUMMYFUNCTION("""COMPUTED_VALUE"""),"Non Urgent")</f>
        <v>Non Urgent</v>
      </c>
    </row>
    <row r="489">
      <c r="A489" s="4">
        <f>IFERROR(__xludf.DUMMYFUNCTION("""COMPUTED_VALUE"""),46036.28344309027)</f>
        <v>46036.28344</v>
      </c>
      <c r="B489" s="3" t="str">
        <f>IFERROR(__xludf.DUMMYFUNCTION("""COMPUTED_VALUE"""),"MRNRO0041")</f>
        <v>MRNRO0041</v>
      </c>
      <c r="C489" s="3" t="str">
        <f>IFERROR(__xludf.DUMMYFUNCTION("""COMPUTED_VALUE"""),"EJO")</f>
        <v>EJO</v>
      </c>
      <c r="D489" s="3" t="str">
        <f>IFERROR(__xludf.DUMMYFUNCTION("""COMPUTED_VALUE"""),"EJO/2026/01/74")</f>
        <v>EJO/2026/01/74</v>
      </c>
      <c r="E489" s="3" t="str">
        <f>IFERROR(__xludf.DUMMYFUNCTION("""COMPUTED_VALUE"""),"selang wastafel")</f>
        <v>selang wastafel</v>
      </c>
      <c r="F489" s="3" t="str">
        <f>IFERROR(__xludf.DUMMYFUNCTION("""COMPUTED_VALUE"""),"General - Stang Sealant; Tekiro; -; 1 Pc")</f>
        <v>General - Stang Sealant; Tekiro; -; 1 Pc</v>
      </c>
      <c r="G489" s="3">
        <f>IFERROR(__xludf.DUMMYFUNCTION("""COMPUTED_VALUE"""),4.0)</f>
        <v>4</v>
      </c>
      <c r="H489" s="3" t="str">
        <f>IFERROR(__xludf.DUMMYFUNCTION("""COMPUTED_VALUE"""),"pcs")</f>
        <v>pcs</v>
      </c>
      <c r="I489" s="3" t="str">
        <f>IFERROR(__xludf.DUMMYFUNCTION("""COMPUTED_VALUE"""),"buat pekerjaan tidak tunggu tungguan karena stang sealant bergantian")</f>
        <v>buat pekerjaan tidak tunggu tungguan karena stang sealant bergantian</v>
      </c>
      <c r="J489" s="3" t="str">
        <f>IFERROR(__xludf.DUMMYFUNCTION("""COMPUTED_VALUE"""),"P-18240-00")</f>
        <v>P-18240-00</v>
      </c>
      <c r="K489" s="3" t="str">
        <f>IFERROR(__xludf.DUMMYFUNCTION("""COMPUTED_VALUE"""),"Approve")</f>
        <v>Approve</v>
      </c>
      <c r="L489" s="3" t="str">
        <f>IFERROR(__xludf.DUMMYFUNCTION("""COMPUTED_VALUE"""),"Normal")</f>
        <v>Normal</v>
      </c>
      <c r="M489" s="3" t="str">
        <f>IFERROR(__xludf.DUMMYFUNCTION("""COMPUTED_VALUE"""),"Non Urgent")</f>
        <v>Non Urgent</v>
      </c>
    </row>
    <row r="490">
      <c r="A490" s="4">
        <f>IFERROR(__xludf.DUMMYFUNCTION("""COMPUTED_VALUE"""),46036.286735104164)</f>
        <v>46036.28674</v>
      </c>
      <c r="B490" s="3" t="str">
        <f>IFERROR(__xludf.DUMMYFUNCTION("""COMPUTED_VALUE"""),"MRNRO0042")</f>
        <v>MRNRO0042</v>
      </c>
      <c r="C490" s="3" t="str">
        <f>IFERROR(__xludf.DUMMYFUNCTION("""COMPUTED_VALUE"""),"EJO")</f>
        <v>EJO</v>
      </c>
      <c r="D490" s="3" t="str">
        <f>IFERROR(__xludf.DUMMYFUNCTION("""COMPUTED_VALUE"""),"EJO/2025/11/136")</f>
        <v>EJO/2025/11/136</v>
      </c>
      <c r="E490" s="3" t="str">
        <f>IFERROR(__xludf.DUMMYFUNCTION("""COMPUTED_VALUE"""),"pal miixng")</f>
        <v>pal miixng</v>
      </c>
      <c r="F490" s="3" t="str">
        <f>IFERROR(__xludf.DUMMYFUNCTION("""COMPUTED_VALUE"""),"DOOR SEALING RING(?D?TYPE SILICON RUBBER 17X20 (7METERS))")</f>
        <v>DOOR SEALING RING(?D?TYPE SILICON RUBBER 17X20 (7METERS))</v>
      </c>
      <c r="G490" s="3">
        <f>IFERROR(__xludf.DUMMYFUNCTION("""COMPUTED_VALUE"""),5.0)</f>
        <v>5</v>
      </c>
      <c r="H490" s="3" t="str">
        <f>IFERROR(__xludf.DUMMYFUNCTION("""COMPUTED_VALUE"""),"roll")</f>
        <v>roll</v>
      </c>
      <c r="I490" s="3" t="str">
        <f>IFERROR(__xludf.DUMMYFUNCTION("""COMPUTED_VALUE"""),"banyak seal pintu yang sudah keras karena expired (REJECT BY MFH KARENA ITEM INACTIVE, SILAHKAN BQ ULANG PAKAI YANG BARU DENGAN SPESIFIKASI YANG LEBIH LENGKAP)")</f>
        <v>banyak seal pintu yang sudah keras karena expired (REJECT BY MFH KARENA ITEM INACTIVE, SILAHKAN BQ ULANG PAKAI YANG BARU DENGAN SPESIFIKASI YANG LEBIH LENGKAP)</v>
      </c>
      <c r="J490" s="3" t="str">
        <f>IFERROR(__xludf.DUMMYFUNCTION("""COMPUTED_VALUE"""),"O-15578-00")</f>
        <v>O-15578-00</v>
      </c>
      <c r="K490" s="3" t="str">
        <f>IFERROR(__xludf.DUMMYFUNCTION("""COMPUTED_VALUE"""),"Reject")</f>
        <v>Reject</v>
      </c>
      <c r="L490" s="3" t="str">
        <f>IFERROR(__xludf.DUMMYFUNCTION("""COMPUTED_VALUE"""),"Normal")</f>
        <v>Normal</v>
      </c>
      <c r="M490" s="3" t="str">
        <f>IFERROR(__xludf.DUMMYFUNCTION("""COMPUTED_VALUE"""),"Non Urgent")</f>
        <v>Non Urgent</v>
      </c>
    </row>
    <row r="491">
      <c r="A491" s="4">
        <f>IFERROR(__xludf.DUMMYFUNCTION("""COMPUTED_VALUE"""),46036.444023090284)</f>
        <v>46036.44402</v>
      </c>
      <c r="B491" s="3" t="str">
        <f>IFERROR(__xludf.DUMMYFUNCTION("""COMPUTED_VALUE"""),"RIARO0057")</f>
        <v>RIARO0057</v>
      </c>
      <c r="C491" s="3" t="str">
        <f>IFERROR(__xludf.DUMMYFUNCTION("""COMPUTED_VALUE"""),"EJO")</f>
        <v>EJO</v>
      </c>
      <c r="D491" s="3" t="str">
        <f>IFERROR(__xludf.DUMMYFUNCTION("""COMPUTED_VALUE"""),"EJO/2026/01/33")</f>
        <v>EJO/2026/01/33</v>
      </c>
      <c r="E491" s="3" t="str">
        <f>IFERROR(__xludf.DUMMYFUNCTION("""COMPUTED_VALUE"""),"P Pen 1")</f>
        <v>P Pen 1</v>
      </c>
      <c r="F491" s="3" t="str">
        <f>IFERROR(__xludf.DUMMYFUNCTION("""COMPUTED_VALUE"""),"General - Terminal Block, 10 mm; Fort; -; 1 pcs")</f>
        <v>General - Terminal Block, 10 mm; Fort; -; 1 pcs</v>
      </c>
      <c r="G491" s="3">
        <f>IFERROR(__xludf.DUMMYFUNCTION("""COMPUTED_VALUE"""),10.0)</f>
        <v>10</v>
      </c>
      <c r="H491" s="3" t="str">
        <f>IFERROR(__xludf.DUMMYFUNCTION("""COMPUTED_VALUE"""),"Pcs")</f>
        <v>Pcs</v>
      </c>
      <c r="I491" s="3" t="str">
        <f>IFERROR(__xludf.DUMMYFUNCTION("""COMPUTED_VALUE"""),"Untuk ganti terminal yang leleh")</f>
        <v>Untuk ganti terminal yang leleh</v>
      </c>
      <c r="J491" s="3" t="str">
        <f>IFERROR(__xludf.DUMMYFUNCTION("""COMPUTED_VALUE"""),"O-54138-00")</f>
        <v>O-54138-00</v>
      </c>
      <c r="K491" s="3" t="str">
        <f>IFERROR(__xludf.DUMMYFUNCTION("""COMPUTED_VALUE"""),"Approve")</f>
        <v>Approve</v>
      </c>
      <c r="L491" s="3" t="str">
        <f>IFERROR(__xludf.DUMMYFUNCTION("""COMPUTED_VALUE"""),"Normal")</f>
        <v>Normal</v>
      </c>
      <c r="M491" s="3" t="str">
        <f>IFERROR(__xludf.DUMMYFUNCTION("""COMPUTED_VALUE"""),"Non Urgent")</f>
        <v>Non Urgent</v>
      </c>
    </row>
    <row r="492">
      <c r="A492" s="4">
        <f>IFERROR(__xludf.DUMMYFUNCTION("""COMPUTED_VALUE"""),46036.44468798611)</f>
        <v>46036.44469</v>
      </c>
      <c r="B492" s="3" t="str">
        <f>IFERROR(__xludf.DUMMYFUNCTION("""COMPUTED_VALUE"""),"RIARO0058")</f>
        <v>RIARO0058</v>
      </c>
      <c r="C492" s="3" t="str">
        <f>IFERROR(__xludf.DUMMYFUNCTION("""COMPUTED_VALUE"""),"EJO")</f>
        <v>EJO</v>
      </c>
      <c r="D492" s="3" t="str">
        <f>IFERROR(__xludf.DUMMYFUNCTION("""COMPUTED_VALUE"""),"EJO/2026/01/33")</f>
        <v>EJO/2026/01/33</v>
      </c>
      <c r="E492" s="3" t="str">
        <f>IFERROR(__xludf.DUMMYFUNCTION("""COMPUTED_VALUE"""),"P Pen 1")</f>
        <v>P Pen 1</v>
      </c>
      <c r="F492" s="3" t="str">
        <f>IFERROR(__xludf.DUMMYFUNCTION("""COMPUTED_VALUE"""),"General - MCB 1 PHASE 25 AMPERE; Schneider; -; 1 Pc")</f>
        <v>General - MCB 1 PHASE 25 AMPERE; Schneider; -; 1 Pc</v>
      </c>
      <c r="G492" s="3">
        <f>IFERROR(__xludf.DUMMYFUNCTION("""COMPUTED_VALUE"""),5.0)</f>
        <v>5</v>
      </c>
      <c r="H492" s="3" t="str">
        <f>IFERROR(__xludf.DUMMYFUNCTION("""COMPUTED_VALUE"""),"Pcs")</f>
        <v>Pcs</v>
      </c>
      <c r="I492" s="3" t="str">
        <f>IFERROR(__xludf.DUMMYFUNCTION("""COMPUTED_VALUE"""),"Untuk ganti MCB yang rusak")</f>
        <v>Untuk ganti MCB yang rusak</v>
      </c>
      <c r="J492" s="3" t="str">
        <f>IFERROR(__xludf.DUMMYFUNCTION("""COMPUTED_VALUE"""),"O-54008-00")</f>
        <v>O-54008-00</v>
      </c>
      <c r="K492" s="3" t="str">
        <f>IFERROR(__xludf.DUMMYFUNCTION("""COMPUTED_VALUE"""),"Approve")</f>
        <v>Approve</v>
      </c>
      <c r="L492" s="3" t="str">
        <f>IFERROR(__xludf.DUMMYFUNCTION("""COMPUTED_VALUE"""),"Normal")</f>
        <v>Normal</v>
      </c>
      <c r="M492" s="3" t="str">
        <f>IFERROR(__xludf.DUMMYFUNCTION("""COMPUTED_VALUE"""),"Non Urgent")</f>
        <v>Non Urgent</v>
      </c>
    </row>
    <row r="493">
      <c r="A493" s="4">
        <f>IFERROR(__xludf.DUMMYFUNCTION("""COMPUTED_VALUE"""),46036.46866061343)</f>
        <v>46036.46866</v>
      </c>
      <c r="B493" s="3" t="str">
        <f>IFERROR(__xludf.DUMMYFUNCTION("""COMPUTED_VALUE"""),"RIARO0059")</f>
        <v>RIARO0059</v>
      </c>
      <c r="C493" s="3" t="str">
        <f>IFERROR(__xludf.DUMMYFUNCTION("""COMPUTED_VALUE"""),"Consumable")</f>
        <v>Consumable</v>
      </c>
      <c r="D493" s="3" t="str">
        <f>IFERROR(__xludf.DUMMYFUNCTION("""COMPUTED_VALUE"""),"-")</f>
        <v>-</v>
      </c>
      <c r="E493" s="3" t="str">
        <f>IFERROR(__xludf.DUMMYFUNCTION("""COMPUTED_VALUE"""),"All Area")</f>
        <v>All Area</v>
      </c>
      <c r="F493" s="3" t="str">
        <f>IFERROR(__xludf.DUMMYFUNCTION("""COMPUTED_VALUE"""),"OMRON - Relay MY4N 220/240VAC")</f>
        <v>OMRON - Relay MY4N 220/240VAC</v>
      </c>
      <c r="G493" s="3">
        <f>IFERROR(__xludf.DUMMYFUNCTION("""COMPUTED_VALUE"""),20.0)</f>
        <v>20</v>
      </c>
      <c r="H493" s="3" t="str">
        <f>IFERROR(__xludf.DUMMYFUNCTION("""COMPUTED_VALUE"""),"Pcs")</f>
        <v>Pcs</v>
      </c>
      <c r="I493" s="3" t="str">
        <f>IFERROR(__xludf.DUMMYFUNCTION("""COMPUTED_VALUE"""),"Sudah habis stoknya")</f>
        <v>Sudah habis stoknya</v>
      </c>
      <c r="J493" s="3" t="str">
        <f>IFERROR(__xludf.DUMMYFUNCTION("""COMPUTED_VALUE"""),"P-51410-00")</f>
        <v>P-51410-00</v>
      </c>
      <c r="K493" s="3" t="str">
        <f>IFERROR(__xludf.DUMMYFUNCTION("""COMPUTED_VALUE"""),"Approve")</f>
        <v>Approve</v>
      </c>
      <c r="L493" s="3" t="str">
        <f>IFERROR(__xludf.DUMMYFUNCTION("""COMPUTED_VALUE"""),"Normal")</f>
        <v>Normal</v>
      </c>
      <c r="M493" s="3" t="str">
        <f>IFERROR(__xludf.DUMMYFUNCTION("""COMPUTED_VALUE"""),"Non Urgent")</f>
        <v>Non Urgent</v>
      </c>
    </row>
    <row r="494">
      <c r="A494" s="4">
        <f>IFERROR(__xludf.DUMMYFUNCTION("""COMPUTED_VALUE"""),46036.47074423611)</f>
        <v>46036.47074</v>
      </c>
      <c r="B494" s="3" t="str">
        <f>IFERROR(__xludf.DUMMYFUNCTION("""COMPUTED_VALUE"""),"RIARO0060")</f>
        <v>RIARO0060</v>
      </c>
      <c r="C494" s="3" t="str">
        <f>IFERROR(__xludf.DUMMYFUNCTION("""COMPUTED_VALUE"""),"Consumable")</f>
        <v>Consumable</v>
      </c>
      <c r="D494" s="3" t="str">
        <f>IFERROR(__xludf.DUMMYFUNCTION("""COMPUTED_VALUE"""),"-")</f>
        <v>-</v>
      </c>
      <c r="E494" s="3" t="str">
        <f>IFERROR(__xludf.DUMMYFUNCTION("""COMPUTED_VALUE"""),"All Area")</f>
        <v>All Area</v>
      </c>
      <c r="F494" s="3" t="str">
        <f>IFERROR(__xludf.DUMMYFUNCTION("""COMPUTED_VALUE"""),"General - Power Supply 220 VAC 12 VDC, 3 Ampere; -; -; 1 Pc")</f>
        <v>General - Power Supply 220 VAC 12 VDC, 3 Ampere; -; -; 1 Pc</v>
      </c>
      <c r="G494" s="3">
        <f>IFERROR(__xludf.DUMMYFUNCTION("""COMPUTED_VALUE"""),3.0)</f>
        <v>3</v>
      </c>
      <c r="H494" s="3" t="str">
        <f>IFERROR(__xludf.DUMMYFUNCTION("""COMPUTED_VALUE"""),"Pcs")</f>
        <v>Pcs</v>
      </c>
      <c r="I494" s="3" t="str">
        <f>IFERROR(__xludf.DUMMYFUNCTION("""COMPUTED_VALUE"""),"Sudah habis stoknya")</f>
        <v>Sudah habis stoknya</v>
      </c>
      <c r="J494" s="3" t="str">
        <f>IFERROR(__xludf.DUMMYFUNCTION("""COMPUTED_VALUE"""),"O-51850-00")</f>
        <v>O-51850-00</v>
      </c>
      <c r="K494" s="3" t="str">
        <f>IFERROR(__xludf.DUMMYFUNCTION("""COMPUTED_VALUE"""),"Approve")</f>
        <v>Approve</v>
      </c>
      <c r="L494" s="3" t="str">
        <f>IFERROR(__xludf.DUMMYFUNCTION("""COMPUTED_VALUE"""),"Normal")</f>
        <v>Normal</v>
      </c>
      <c r="M494" s="3" t="str">
        <f>IFERROR(__xludf.DUMMYFUNCTION("""COMPUTED_VALUE"""),"Non Urgent")</f>
        <v>Non Urgent</v>
      </c>
    </row>
    <row r="495">
      <c r="A495" s="4">
        <f>IFERROR(__xludf.DUMMYFUNCTION("""COMPUTED_VALUE"""),46036.47156795138)</f>
        <v>46036.47157</v>
      </c>
      <c r="B495" s="3" t="str">
        <f>IFERROR(__xludf.DUMMYFUNCTION("""COMPUTED_VALUE"""),"RIARO0061")</f>
        <v>RIARO0061</v>
      </c>
      <c r="C495" s="3" t="str">
        <f>IFERROR(__xludf.DUMMYFUNCTION("""COMPUTED_VALUE"""),"Consumable")</f>
        <v>Consumable</v>
      </c>
      <c r="D495" s="3" t="str">
        <f>IFERROR(__xludf.DUMMYFUNCTION("""COMPUTED_VALUE"""),"-")</f>
        <v>-</v>
      </c>
      <c r="E495" s="3" t="str">
        <f>IFERROR(__xludf.DUMMYFUNCTION("""COMPUTED_VALUE"""),"All Area")</f>
        <v>All Area</v>
      </c>
      <c r="F495" s="3" t="str">
        <f>IFERROR(__xludf.DUMMYFUNCTION("""COMPUTED_VALUE"""),"UV lamp for TOC Sievers M500; TOC Sievers; ; pack size per pc")</f>
        <v>UV lamp for TOC Sievers M500; TOC Sievers; ; pack size per pc</v>
      </c>
      <c r="G495" s="3">
        <f>IFERROR(__xludf.DUMMYFUNCTION("""COMPUTED_VALUE"""),2.0)</f>
        <v>2</v>
      </c>
      <c r="H495" s="3" t="str">
        <f>IFERROR(__xludf.DUMMYFUNCTION("""COMPUTED_VALUE"""),"Pcs")</f>
        <v>Pcs</v>
      </c>
      <c r="I495" s="3" t="str">
        <f>IFERROR(__xludf.DUMMYFUNCTION("""COMPUTED_VALUE"""),"Sudah habis stoknya")</f>
        <v>Sudah habis stoknya</v>
      </c>
      <c r="J495" s="3" t="str">
        <f>IFERROR(__xludf.DUMMYFUNCTION("""COMPUTED_VALUE"""),"P-54181-00")</f>
        <v>P-54181-00</v>
      </c>
      <c r="K495" s="3" t="str">
        <f>IFERROR(__xludf.DUMMYFUNCTION("""COMPUTED_VALUE"""),"Approve")</f>
        <v>Approve</v>
      </c>
      <c r="L495" s="3" t="str">
        <f>IFERROR(__xludf.DUMMYFUNCTION("""COMPUTED_VALUE"""),"Normal")</f>
        <v>Normal</v>
      </c>
      <c r="M495" s="3" t="str">
        <f>IFERROR(__xludf.DUMMYFUNCTION("""COMPUTED_VALUE"""),"Non Urgent")</f>
        <v>Non Urgent</v>
      </c>
    </row>
    <row r="496">
      <c r="A496" s="4">
        <f>IFERROR(__xludf.DUMMYFUNCTION("""COMPUTED_VALUE"""),46036.47243618056)</f>
        <v>46036.47244</v>
      </c>
      <c r="B496" s="3" t="str">
        <f>IFERROR(__xludf.DUMMYFUNCTION("""COMPUTED_VALUE"""),"RIARO0062")</f>
        <v>RIARO0062</v>
      </c>
      <c r="C496" s="3" t="str">
        <f>IFERROR(__xludf.DUMMYFUNCTION("""COMPUTED_VALUE"""),"Consumable")</f>
        <v>Consumable</v>
      </c>
      <c r="D496" s="3" t="str">
        <f>IFERROR(__xludf.DUMMYFUNCTION("""COMPUTED_VALUE"""),"-")</f>
        <v>-</v>
      </c>
      <c r="E496" s="3" t="str">
        <f>IFERROR(__xludf.DUMMYFUNCTION("""COMPUTED_VALUE"""),"All Area")</f>
        <v>All Area</v>
      </c>
      <c r="F496" s="3" t="str">
        <f>IFERROR(__xludf.DUMMYFUNCTION("""COMPUTED_VALUE"""),"General - Kabel NYAF Uk. 1 x 0.75mm, Warna Merah; Supreme; -; 100meter/roll")</f>
        <v>General - Kabel NYAF Uk. 1 x 0.75mm, Warna Merah; Supreme; -; 100meter/roll</v>
      </c>
      <c r="G496" s="3">
        <f>IFERROR(__xludf.DUMMYFUNCTION("""COMPUTED_VALUE"""),1.0)</f>
        <v>1</v>
      </c>
      <c r="H496" s="3" t="str">
        <f>IFERROR(__xludf.DUMMYFUNCTION("""COMPUTED_VALUE"""),"Roll")</f>
        <v>Roll</v>
      </c>
      <c r="I496" s="3" t="str">
        <f>IFERROR(__xludf.DUMMYFUNCTION("""COMPUTED_VALUE"""),"Sudah habis stoknya")</f>
        <v>Sudah habis stoknya</v>
      </c>
      <c r="J496" s="3" t="str">
        <f>IFERROR(__xludf.DUMMYFUNCTION("""COMPUTED_VALUE"""),"P-50274-00")</f>
        <v>P-50274-00</v>
      </c>
      <c r="K496" s="3" t="str">
        <f>IFERROR(__xludf.DUMMYFUNCTION("""COMPUTED_VALUE"""),"Approve")</f>
        <v>Approve</v>
      </c>
      <c r="L496" s="3" t="str">
        <f>IFERROR(__xludf.DUMMYFUNCTION("""COMPUTED_VALUE"""),"Normal")</f>
        <v>Normal</v>
      </c>
      <c r="M496" s="3" t="str">
        <f>IFERROR(__xludf.DUMMYFUNCTION("""COMPUTED_VALUE"""),"Non Urgent")</f>
        <v>Non Urgent</v>
      </c>
    </row>
    <row r="497">
      <c r="A497" s="4">
        <f>IFERROR(__xludf.DUMMYFUNCTION("""COMPUTED_VALUE"""),46036.47279770833)</f>
        <v>46036.4728</v>
      </c>
      <c r="B497" s="3" t="str">
        <f>IFERROR(__xludf.DUMMYFUNCTION("""COMPUTED_VALUE"""),"RIARO0063")</f>
        <v>RIARO0063</v>
      </c>
      <c r="C497" s="3" t="str">
        <f>IFERROR(__xludf.DUMMYFUNCTION("""COMPUTED_VALUE"""),"Consumable")</f>
        <v>Consumable</v>
      </c>
      <c r="D497" s="3" t="str">
        <f>IFERROR(__xludf.DUMMYFUNCTION("""COMPUTED_VALUE"""),"-")</f>
        <v>-</v>
      </c>
      <c r="E497" s="3" t="str">
        <f>IFERROR(__xludf.DUMMYFUNCTION("""COMPUTED_VALUE"""),"All Area")</f>
        <v>All Area</v>
      </c>
      <c r="F497" s="3" t="str">
        <f>IFERROR(__xludf.DUMMYFUNCTION("""COMPUTED_VALUE"""),"General - Kabel NYAF 1x0.75mm, Warna Biru; JEMBO; -; 1 meter")</f>
        <v>General - Kabel NYAF 1x0.75mm, Warna Biru; JEMBO; -; 1 meter</v>
      </c>
      <c r="G497" s="3">
        <f>IFERROR(__xludf.DUMMYFUNCTION("""COMPUTED_VALUE"""),1.0)</f>
        <v>1</v>
      </c>
      <c r="H497" s="3" t="str">
        <f>IFERROR(__xludf.DUMMYFUNCTION("""COMPUTED_VALUE"""),"Roll")</f>
        <v>Roll</v>
      </c>
      <c r="I497" s="3" t="str">
        <f>IFERROR(__xludf.DUMMYFUNCTION("""COMPUTED_VALUE"""),"Sudah habis stoknya")</f>
        <v>Sudah habis stoknya</v>
      </c>
      <c r="J497" s="3" t="str">
        <f>IFERROR(__xludf.DUMMYFUNCTION("""COMPUTED_VALUE"""),"P-51030-00")</f>
        <v>P-51030-00</v>
      </c>
      <c r="K497" s="3" t="str">
        <f>IFERROR(__xludf.DUMMYFUNCTION("""COMPUTED_VALUE"""),"Approve")</f>
        <v>Approve</v>
      </c>
      <c r="L497" s="3" t="str">
        <f>IFERROR(__xludf.DUMMYFUNCTION("""COMPUTED_VALUE"""),"Normal")</f>
        <v>Normal</v>
      </c>
      <c r="M497" s="3" t="str">
        <f>IFERROR(__xludf.DUMMYFUNCTION("""COMPUTED_VALUE"""),"Non Urgent")</f>
        <v>Non Urgent</v>
      </c>
    </row>
    <row r="498">
      <c r="A498" s="4">
        <f>IFERROR(__xludf.DUMMYFUNCTION("""COMPUTED_VALUE"""),46036.47339395833)</f>
        <v>46036.47339</v>
      </c>
      <c r="B498" s="3" t="str">
        <f>IFERROR(__xludf.DUMMYFUNCTION("""COMPUTED_VALUE"""),"RIARO0064")</f>
        <v>RIARO0064</v>
      </c>
      <c r="C498" s="3" t="str">
        <f>IFERROR(__xludf.DUMMYFUNCTION("""COMPUTED_VALUE"""),"Consumable")</f>
        <v>Consumable</v>
      </c>
      <c r="D498" s="3" t="str">
        <f>IFERROR(__xludf.DUMMYFUNCTION("""COMPUTED_VALUE"""),"-")</f>
        <v>-</v>
      </c>
      <c r="E498" s="3" t="str">
        <f>IFERROR(__xludf.DUMMYFUNCTION("""COMPUTED_VALUE"""),"All Area")</f>
        <v>All Area</v>
      </c>
      <c r="F498" s="3" t="str">
        <f>IFERROR(__xludf.DUMMYFUNCTION("""COMPUTED_VALUE"""),"General - Terminal Block, 6 mm; Fort; -; 1 pcs")</f>
        <v>General - Terminal Block, 6 mm; Fort; -; 1 pcs</v>
      </c>
      <c r="G498" s="3">
        <f>IFERROR(__xludf.DUMMYFUNCTION("""COMPUTED_VALUE"""),1.0)</f>
        <v>1</v>
      </c>
      <c r="H498" s="3" t="str">
        <f>IFERROR(__xludf.DUMMYFUNCTION("""COMPUTED_VALUE"""),"Pack")</f>
        <v>Pack</v>
      </c>
      <c r="I498" s="3" t="str">
        <f>IFERROR(__xludf.DUMMYFUNCTION("""COMPUTED_VALUE"""),"Sudah habis stoknya")</f>
        <v>Sudah habis stoknya</v>
      </c>
      <c r="J498" s="3" t="str">
        <f>IFERROR(__xludf.DUMMYFUNCTION("""COMPUTED_VALUE"""),"O-54137-00")</f>
        <v>O-54137-00</v>
      </c>
      <c r="K498" s="3" t="str">
        <f>IFERROR(__xludf.DUMMYFUNCTION("""COMPUTED_VALUE"""),"Approve")</f>
        <v>Approve</v>
      </c>
      <c r="L498" s="3" t="str">
        <f>IFERROR(__xludf.DUMMYFUNCTION("""COMPUTED_VALUE"""),"Normal")</f>
        <v>Normal</v>
      </c>
      <c r="M498" s="3" t="str">
        <f>IFERROR(__xludf.DUMMYFUNCTION("""COMPUTED_VALUE"""),"Non Urgent")</f>
        <v>Non Urgent</v>
      </c>
    </row>
    <row r="499">
      <c r="A499" s="4">
        <f>IFERROR(__xludf.DUMMYFUNCTION("""COMPUTED_VALUE"""),46043.286751932865)</f>
        <v>46043.28675</v>
      </c>
      <c r="B499" s="3" t="str">
        <f>IFERROR(__xludf.DUMMYFUNCTION("""COMPUTED_VALUE"""),"SFHRO0031")</f>
        <v>SFHRO0031</v>
      </c>
      <c r="C499" s="3" t="str">
        <f>IFERROR(__xludf.DUMMYFUNCTION("""COMPUTED_VALUE"""),"Consumable")</f>
        <v>Consumable</v>
      </c>
      <c r="D499" s="3" t="str">
        <f>IFERROR(__xludf.DUMMYFUNCTION("""COMPUTED_VALUE"""),"-")</f>
        <v>-</v>
      </c>
      <c r="E499" s="3" t="str">
        <f>IFERROR(__xludf.DUMMYFUNCTION("""COMPUTED_VALUE"""),"LANTAI 2")</f>
        <v>LANTAI 2</v>
      </c>
      <c r="F499" s="3" t="str">
        <f>IFERROR(__xludf.DUMMYFUNCTION("""COMPUTED_VALUE"""),"Keramik Roman Warna Putih 40 x 40 cm;Roman;CN: 447106;pack size per pack")</f>
        <v>Keramik Roman Warna Putih 40 x 40 cm;Roman;CN: 447106;pack size per pack</v>
      </c>
      <c r="G499" s="3">
        <f>IFERROR(__xludf.DUMMYFUNCTION("""COMPUTED_VALUE"""),6.0)</f>
        <v>6</v>
      </c>
      <c r="H499" s="3" t="str">
        <f>IFERROR(__xludf.DUMMYFUNCTION("""COMPUTED_VALUE"""),"dus")</f>
        <v>dus</v>
      </c>
      <c r="I499" s="3" t="str">
        <f>IFERROR(__xludf.DUMMYFUNCTION("""COMPUTED_VALUE"""),"stock habis")</f>
        <v>stock habis</v>
      </c>
      <c r="J499" s="3" t="str">
        <f>IFERROR(__xludf.DUMMYFUNCTION("""COMPUTED_VALUE"""),"Q-10207-00")</f>
        <v>Q-10207-00</v>
      </c>
      <c r="K499" s="3" t="str">
        <f>IFERROR(__xludf.DUMMYFUNCTION("""COMPUTED_VALUE"""),"Approve")</f>
        <v>Approve</v>
      </c>
      <c r="L499" s="3" t="str">
        <f>IFERROR(__xludf.DUMMYFUNCTION("""COMPUTED_VALUE"""),"Normal")</f>
        <v>Normal</v>
      </c>
      <c r="M499" s="3" t="str">
        <f>IFERROR(__xludf.DUMMYFUNCTION("""COMPUTED_VALUE"""),"Non Urgent")</f>
        <v>Non Urgent</v>
      </c>
    </row>
    <row r="500">
      <c r="A500" s="4">
        <f>IFERROR(__xludf.DUMMYFUNCTION("""COMPUTED_VALUE"""),46044.58087050926)</f>
        <v>46044.58087</v>
      </c>
      <c r="B500" s="3" t="str">
        <f>IFERROR(__xludf.DUMMYFUNCTION("""COMPUTED_VALUE"""),"ROSRO0018")</f>
        <v>ROSRO0018</v>
      </c>
      <c r="C500" s="3" t="str">
        <f>IFERROR(__xludf.DUMMYFUNCTION("""COMPUTED_VALUE"""),"MIn Stok")</f>
        <v>MIn Stok</v>
      </c>
      <c r="D500" s="3" t="str">
        <f>IFERROR(__xludf.DUMMYFUNCTION("""COMPUTED_VALUE"""),"-")</f>
        <v>-</v>
      </c>
      <c r="E500" s="3" t="str">
        <f>IFERROR(__xludf.DUMMYFUNCTION("""COMPUTED_VALUE"""),"Washing")</f>
        <v>Washing</v>
      </c>
      <c r="F500" s="3" t="str">
        <f>IFERROR(__xludf.DUMMYFUNCTION("""COMPUTED_VALUE"""),"General - Air Gripper; SMC; MHZJ2 20DS X43 X81B; 1 Pc")</f>
        <v>General - Air Gripper; SMC; MHZJ2 20DS X43 X81B; 1 Pc</v>
      </c>
      <c r="G500" s="3">
        <f>IFERROR(__xludf.DUMMYFUNCTION("""COMPUTED_VALUE"""),5.0)</f>
        <v>5</v>
      </c>
      <c r="H500" s="3" t="str">
        <f>IFERROR(__xludf.DUMMYFUNCTION("""COMPUTED_VALUE"""),"set")</f>
        <v>set</v>
      </c>
      <c r="I500" s="3" t="str">
        <f>IFERROR(__xludf.DUMMYFUNCTION("""COMPUTED_VALUE"""),"-")</f>
        <v>-</v>
      </c>
      <c r="J500" s="3" t="str">
        <f>IFERROR(__xludf.DUMMYFUNCTION("""COMPUTED_VALUE"""),"O-20913-00")</f>
        <v>O-20913-00</v>
      </c>
      <c r="K500" s="3" t="str">
        <f>IFERROR(__xludf.DUMMYFUNCTION("""COMPUTED_VALUE"""),"Approve")</f>
        <v>Approve</v>
      </c>
      <c r="L500" s="3" t="str">
        <f>IFERROR(__xludf.DUMMYFUNCTION("""COMPUTED_VALUE"""),"Normal")</f>
        <v>Normal</v>
      </c>
      <c r="M500" s="3" t="str">
        <f>IFERROR(__xludf.DUMMYFUNCTION("""COMPUTED_VALUE"""),"Non Urgent")</f>
        <v>Non Urgent</v>
      </c>
    </row>
    <row r="501">
      <c r="A501" s="4">
        <f>IFERROR(__xludf.DUMMYFUNCTION("""COMPUTED_VALUE"""),46045.70816622685)</f>
        <v>46045.70817</v>
      </c>
      <c r="B501" s="3" t="str">
        <f>IFERROR(__xludf.DUMMYFUNCTION("""COMPUTED_VALUE"""),"ROSRO0019")</f>
        <v>ROSRO0019</v>
      </c>
      <c r="C501" s="3" t="str">
        <f>IFERROR(__xludf.DUMMYFUNCTION("""COMPUTED_VALUE"""),"MIn Stok")</f>
        <v>MIn Stok</v>
      </c>
      <c r="D501" s="3" t="str">
        <f>IFERROR(__xludf.DUMMYFUNCTION("""COMPUTED_VALUE"""),"-")</f>
        <v>-</v>
      </c>
      <c r="E501" s="3" t="str">
        <f>IFERROR(__xludf.DUMMYFUNCTION("""COMPUTED_VALUE"""),"Autoclave ")</f>
        <v>Autoclave </v>
      </c>
      <c r="F501" s="3" t="str">
        <f>IFERROR(__xludf.DUMMYFUNCTION("""COMPUTED_VALUE"""),"Autoclave Fedegari FOF / 6 AC - Transition Joint RTD Sensor RTJ201 (SG-060503) PT100 4W Duplex; Radix; RTJ201-1-C-D-3-0-NA-XNA-05-00070-10-Si-PN-XXX; 1 Pc")</f>
        <v>Autoclave Fedegari FOF / 6 AC - Transition Joint RTD Sensor RTJ201 (SG-060503) PT100 4W Duplex; Radix; RTJ201-1-C-D-3-0-NA-XNA-05-00070-10-Si-PN-XXX; 1 Pc</v>
      </c>
      <c r="G501" s="3">
        <f>IFERROR(__xludf.DUMMYFUNCTION("""COMPUTED_VALUE"""),5.0)</f>
        <v>5</v>
      </c>
      <c r="H501" s="3" t="str">
        <f>IFERROR(__xludf.DUMMYFUNCTION("""COMPUTED_VALUE"""),"set")</f>
        <v>set</v>
      </c>
      <c r="I501" s="3" t="str">
        <f>IFERROR(__xludf.DUMMYFUNCTION("""COMPUTED_VALUE"""),"-")</f>
        <v>-</v>
      </c>
      <c r="J501" s="3" t="str">
        <f>IFERROR(__xludf.DUMMYFUNCTION("""COMPUTED_VALUE"""),"O-53568-00")</f>
        <v>O-53568-00</v>
      </c>
      <c r="K501" s="3" t="str">
        <f>IFERROR(__xludf.DUMMYFUNCTION("""COMPUTED_VALUE"""),"Approve")</f>
        <v>Approve</v>
      </c>
      <c r="L501" s="3" t="str">
        <f>IFERROR(__xludf.DUMMYFUNCTION("""COMPUTED_VALUE"""),"Normal")</f>
        <v>Normal</v>
      </c>
      <c r="M501" s="3" t="str">
        <f>IFERROR(__xludf.DUMMYFUNCTION("""COMPUTED_VALUE"""),"Non Urgent")</f>
        <v>Non Urgent</v>
      </c>
    </row>
    <row r="502">
      <c r="A502" s="4">
        <f>IFERROR(__xludf.DUMMYFUNCTION("""COMPUTED_VALUE"""),46045.70816622685)</f>
        <v>46045.70817</v>
      </c>
      <c r="B502" s="3" t="str">
        <f>IFERROR(__xludf.DUMMYFUNCTION("""COMPUTED_VALUE"""),"ROSRO0020")</f>
        <v>ROSRO0020</v>
      </c>
      <c r="C502" s="3" t="str">
        <f>IFERROR(__xludf.DUMMYFUNCTION("""COMPUTED_VALUE"""),"Consumable")</f>
        <v>Consumable</v>
      </c>
      <c r="D502" s="3" t="str">
        <f>IFERROR(__xludf.DUMMYFUNCTION("""COMPUTED_VALUE"""),"-")</f>
        <v>-</v>
      </c>
      <c r="E502" s="3" t="str">
        <f>IFERROR(__xludf.DUMMYFUNCTION("""COMPUTED_VALUE"""),"AHU OSD")</f>
        <v>AHU OSD</v>
      </c>
      <c r="F502" s="3" t="str">
        <f>IFERROR(__xludf.DUMMYFUNCTION("""COMPUTED_VALUE"""),"Container Box; Claris; ;")</f>
        <v>Container Box; Claris; ;</v>
      </c>
      <c r="G502" s="3">
        <f>IFERROR(__xludf.DUMMYFUNCTION("""COMPUTED_VALUE"""),2.0)</f>
        <v>2</v>
      </c>
      <c r="H502" s="3" t="str">
        <f>IFERROR(__xludf.DUMMYFUNCTION("""COMPUTED_VALUE"""),"set")</f>
        <v>set</v>
      </c>
      <c r="I502" s="3" t="str">
        <f>IFERROR(__xludf.DUMMYFUNCTION("""COMPUTED_VALUE"""),"-")</f>
        <v>-</v>
      </c>
      <c r="J502" s="3" t="str">
        <f>IFERROR(__xludf.DUMMYFUNCTION("""COMPUTED_VALUE"""),"S-40586-00")</f>
        <v>S-40586-00</v>
      </c>
      <c r="K502" s="3" t="str">
        <f>IFERROR(__xludf.DUMMYFUNCTION("""COMPUTED_VALUE"""),"Reject")</f>
        <v>Reject</v>
      </c>
      <c r="L502" s="3" t="str">
        <f>IFERROR(__xludf.DUMMYFUNCTION("""COMPUTED_VALUE"""),"Normal")</f>
        <v>Normal</v>
      </c>
      <c r="M502" s="3" t="str">
        <f>IFERROR(__xludf.DUMMYFUNCTION("""COMPUTED_VALUE"""),"Non Urgent")</f>
        <v>Non Urgent</v>
      </c>
    </row>
    <row r="503">
      <c r="A503" s="4">
        <f>IFERROR(__xludf.DUMMYFUNCTION("""COMPUTED_VALUE"""),46045.714394386574)</f>
        <v>46045.71439</v>
      </c>
      <c r="B503" s="3" t="str">
        <f>IFERROR(__xludf.DUMMYFUNCTION("""COMPUTED_VALUE"""),"NDSRO0017")</f>
        <v>NDSRO0017</v>
      </c>
      <c r="C503" s="3" t="str">
        <f>IFERROR(__xludf.DUMMYFUNCTION("""COMPUTED_VALUE"""),"MIn Stok")</f>
        <v>MIn Stok</v>
      </c>
      <c r="D503" s="3" t="str">
        <f>IFERROR(__xludf.DUMMYFUNCTION("""COMPUTED_VALUE"""),"-")</f>
        <v>-</v>
      </c>
      <c r="E503" s="3" t="str">
        <f>IFERROR(__xludf.DUMMYFUNCTION("""COMPUTED_VALUE"""),"Circulation fan")</f>
        <v>Circulation fan</v>
      </c>
      <c r="F503" s="3" t="str">
        <f>IFERROR(__xludf.DUMMYFUNCTION("""COMPUTED_VALUE"""),"Bearing 6202 ZZ - P/N : -  pc")</f>
        <v>Bearing 6202 ZZ - P/N : -  pc</v>
      </c>
      <c r="G503" s="3">
        <f>IFERROR(__xludf.DUMMYFUNCTION("""COMPUTED_VALUE"""),10.0)</f>
        <v>10</v>
      </c>
      <c r="H503" s="3" t="str">
        <f>IFERROR(__xludf.DUMMYFUNCTION("""COMPUTED_VALUE"""),"pcs")</f>
        <v>pcs</v>
      </c>
      <c r="I503" s="3" t="str">
        <f>IFERROR(__xludf.DUMMYFUNCTION("""COMPUTED_VALUE"""),"-")</f>
        <v>-</v>
      </c>
      <c r="J503" s="3" t="str">
        <f>IFERROR(__xludf.DUMMYFUNCTION("""COMPUTED_VALUE"""),"O-11149-00")</f>
        <v>O-11149-00</v>
      </c>
      <c r="K503" s="3" t="str">
        <f>IFERROR(__xludf.DUMMYFUNCTION("""COMPUTED_VALUE"""),"Approve")</f>
        <v>Approve</v>
      </c>
      <c r="L503" s="3" t="str">
        <f>IFERROR(__xludf.DUMMYFUNCTION("""COMPUTED_VALUE"""),"Normal")</f>
        <v>Normal</v>
      </c>
      <c r="M503" s="3" t="str">
        <f>IFERROR(__xludf.DUMMYFUNCTION("""COMPUTED_VALUE"""),"Non Urgent")</f>
        <v>Non Urgent</v>
      </c>
    </row>
    <row r="504">
      <c r="A504" s="4">
        <f>IFERROR(__xludf.DUMMYFUNCTION("""COMPUTED_VALUE"""),46045.90621429399)</f>
        <v>46045.90621</v>
      </c>
      <c r="B504" s="3" t="str">
        <f>IFERROR(__xludf.DUMMYFUNCTION("""COMPUTED_VALUE"""),"MOBRO0071")</f>
        <v>MOBRO0071</v>
      </c>
      <c r="C504" s="3" t="str">
        <f>IFERROR(__xludf.DUMMYFUNCTION("""COMPUTED_VALUE"""),"Consumable")</f>
        <v>Consumable</v>
      </c>
      <c r="D504" s="3" t="str">
        <f>IFERROR(__xludf.DUMMYFUNCTION("""COMPUTED_VALUE"""),"-")</f>
        <v>-</v>
      </c>
      <c r="E504" s="3" t="str">
        <f>IFERROR(__xludf.DUMMYFUNCTION("""COMPUTED_VALUE"""),"Pneumatic Fitting")</f>
        <v>Pneumatic Fitting</v>
      </c>
      <c r="F504" s="3" t="str">
        <f>IFERROR(__xludf.DUMMYFUNCTION("""COMPUTED_VALUE"""),"General - Push-in Connector, QS-8-6; Festo; 153038; 1 pcs")</f>
        <v>General - Push-in Connector, QS-8-6; Festo; 153038; 1 pcs</v>
      </c>
      <c r="G504" s="3">
        <f>IFERROR(__xludf.DUMMYFUNCTION("""COMPUTED_VALUE"""),10.0)</f>
        <v>10</v>
      </c>
      <c r="H504" s="3" t="str">
        <f>IFERROR(__xludf.DUMMYFUNCTION("""COMPUTED_VALUE"""),"Pcs")</f>
        <v>Pcs</v>
      </c>
      <c r="I504" s="3" t="str">
        <f>IFERROR(__xludf.DUMMYFUNCTION("""COMPUTED_VALUE"""),"Consumable")</f>
        <v>Consumable</v>
      </c>
      <c r="J504" s="3" t="str">
        <f>IFERROR(__xludf.DUMMYFUNCTION("""COMPUTED_VALUE"""),"P-11185-00")</f>
        <v>P-11185-00</v>
      </c>
      <c r="K504" s="3" t="str">
        <f>IFERROR(__xludf.DUMMYFUNCTION("""COMPUTED_VALUE"""),"Approve")</f>
        <v>Approve</v>
      </c>
      <c r="L504" s="3" t="str">
        <f>IFERROR(__xludf.DUMMYFUNCTION("""COMPUTED_VALUE"""),"Normal")</f>
        <v>Normal</v>
      </c>
      <c r="M504" s="3" t="str">
        <f>IFERROR(__xludf.DUMMYFUNCTION("""COMPUTED_VALUE"""),"Non Urgent")</f>
        <v>Non Urgent</v>
      </c>
    </row>
    <row r="505">
      <c r="A505" s="4">
        <f>IFERROR(__xludf.DUMMYFUNCTION("""COMPUTED_VALUE"""),46045.90758798611)</f>
        <v>46045.90759</v>
      </c>
      <c r="B505" s="3" t="str">
        <f>IFERROR(__xludf.DUMMYFUNCTION("""COMPUTED_VALUE"""),"MOBRO0072")</f>
        <v>MOBRO0072</v>
      </c>
      <c r="C505" s="3" t="str">
        <f>IFERROR(__xludf.DUMMYFUNCTION("""COMPUTED_VALUE"""),"Consumable")</f>
        <v>Consumable</v>
      </c>
      <c r="D505" s="3" t="str">
        <f>IFERROR(__xludf.DUMMYFUNCTION("""COMPUTED_VALUE"""),"-")</f>
        <v>-</v>
      </c>
      <c r="E505" s="3" t="str">
        <f>IFERROR(__xludf.DUMMYFUNCTION("""COMPUTED_VALUE"""),"Pneumatic Fitting")</f>
        <v>Pneumatic Fitting</v>
      </c>
      <c r="F505" s="3" t="str">
        <f>IFERROR(__xludf.DUMMYFUNCTION("""COMPUTED_VALUE"""),"FESTO - QS-10-8 Push In Connector p/n 153039")</f>
        <v>FESTO - QS-10-8 Push In Connector p/n 153039</v>
      </c>
      <c r="G505" s="3">
        <f>IFERROR(__xludf.DUMMYFUNCTION("""COMPUTED_VALUE"""),10.0)</f>
        <v>10</v>
      </c>
      <c r="H505" s="3" t="str">
        <f>IFERROR(__xludf.DUMMYFUNCTION("""COMPUTED_VALUE"""),"Pcs")</f>
        <v>Pcs</v>
      </c>
      <c r="I505" s="3" t="str">
        <f>IFERROR(__xludf.DUMMYFUNCTION("""COMPUTED_VALUE"""),"Consumable")</f>
        <v>Consumable</v>
      </c>
      <c r="J505" s="3" t="str">
        <f>IFERROR(__xludf.DUMMYFUNCTION("""COMPUTED_VALUE"""),"P-12281-00")</f>
        <v>P-12281-00</v>
      </c>
      <c r="K505" s="3" t="str">
        <f>IFERROR(__xludf.DUMMYFUNCTION("""COMPUTED_VALUE"""),"Approve")</f>
        <v>Approve</v>
      </c>
      <c r="L505" s="3" t="str">
        <f>IFERROR(__xludf.DUMMYFUNCTION("""COMPUTED_VALUE"""),"Normal")</f>
        <v>Normal</v>
      </c>
      <c r="M505" s="3" t="str">
        <f>IFERROR(__xludf.DUMMYFUNCTION("""COMPUTED_VALUE"""),"Non Urgent")</f>
        <v>Non Urgent</v>
      </c>
    </row>
    <row r="506">
      <c r="A506" s="4">
        <f>IFERROR(__xludf.DUMMYFUNCTION("""COMPUTED_VALUE"""),46045.90792310185)</f>
        <v>46045.90792</v>
      </c>
      <c r="B506" s="3" t="str">
        <f>IFERROR(__xludf.DUMMYFUNCTION("""COMPUTED_VALUE"""),"MOBRO0073")</f>
        <v>MOBRO0073</v>
      </c>
      <c r="C506" s="3" t="str">
        <f>IFERROR(__xludf.DUMMYFUNCTION("""COMPUTED_VALUE"""),"Consumable")</f>
        <v>Consumable</v>
      </c>
      <c r="D506" s="3" t="str">
        <f>IFERROR(__xludf.DUMMYFUNCTION("""COMPUTED_VALUE"""),"-")</f>
        <v>-</v>
      </c>
      <c r="E506" s="3" t="str">
        <f>IFERROR(__xludf.DUMMYFUNCTION("""COMPUTED_VALUE"""),"Pneumatic Fitting")</f>
        <v>Pneumatic Fitting</v>
      </c>
      <c r="F506" s="3" t="str">
        <f>IFERROR(__xludf.DUMMYFUNCTION("""COMPUTED_VALUE"""),"FESTO - QS-12-10 Push in Connector p/n: 153040")</f>
        <v>FESTO - QS-12-10 Push in Connector p/n: 153040</v>
      </c>
      <c r="G506" s="3">
        <f>IFERROR(__xludf.DUMMYFUNCTION("""COMPUTED_VALUE"""),10.0)</f>
        <v>10</v>
      </c>
      <c r="H506" s="3" t="str">
        <f>IFERROR(__xludf.DUMMYFUNCTION("""COMPUTED_VALUE"""),"Pcs")</f>
        <v>Pcs</v>
      </c>
      <c r="I506" s="3" t="str">
        <f>IFERROR(__xludf.DUMMYFUNCTION("""COMPUTED_VALUE"""),"Consumable")</f>
        <v>Consumable</v>
      </c>
      <c r="J506" s="3" t="str">
        <f>IFERROR(__xludf.DUMMYFUNCTION("""COMPUTED_VALUE"""),"P-12282-00")</f>
        <v>P-12282-00</v>
      </c>
      <c r="K506" s="3" t="str">
        <f>IFERROR(__xludf.DUMMYFUNCTION("""COMPUTED_VALUE"""),"Reject")</f>
        <v>Reject</v>
      </c>
      <c r="L506" s="3" t="str">
        <f>IFERROR(__xludf.DUMMYFUNCTION("""COMPUTED_VALUE"""),"Normal")</f>
        <v>Normal</v>
      </c>
      <c r="M506" s="3" t="str">
        <f>IFERROR(__xludf.DUMMYFUNCTION("""COMPUTED_VALUE"""),"Non Urgent")</f>
        <v>Non Urgent</v>
      </c>
    </row>
    <row r="507">
      <c r="A507" s="4">
        <f>IFERROR(__xludf.DUMMYFUNCTION("""COMPUTED_VALUE"""),46045.90941965278)</f>
        <v>46045.90942</v>
      </c>
      <c r="B507" s="3" t="str">
        <f>IFERROR(__xludf.DUMMYFUNCTION("""COMPUTED_VALUE"""),"MOBRO0074")</f>
        <v>MOBRO0074</v>
      </c>
      <c r="C507" s="3" t="str">
        <f>IFERROR(__xludf.DUMMYFUNCTION("""COMPUTED_VALUE"""),"Consumable")</f>
        <v>Consumable</v>
      </c>
      <c r="D507" s="3" t="str">
        <f>IFERROR(__xludf.DUMMYFUNCTION("""COMPUTED_VALUE"""),"-")</f>
        <v>-</v>
      </c>
      <c r="E507" s="3" t="str">
        <f>IFERROR(__xludf.DUMMYFUNCTION("""COMPUTED_VALUE"""),"Pneumatic Fitting")</f>
        <v>Pneumatic Fitting</v>
      </c>
      <c r="F507" s="3" t="str">
        <f>IFERROR(__xludf.DUMMYFUNCTION("""COMPUTED_VALUE"""),"General - Push-in Connector, QS-10; Festo; 153034; 1 pcs")</f>
        <v>General - Push-in Connector, QS-10; Festo; 153034; 1 pcs</v>
      </c>
      <c r="G507" s="3">
        <f>IFERROR(__xludf.DUMMYFUNCTION("""COMPUTED_VALUE"""),10.0)</f>
        <v>10</v>
      </c>
      <c r="H507" s="3" t="str">
        <f>IFERROR(__xludf.DUMMYFUNCTION("""COMPUTED_VALUE"""),"Pcs")</f>
        <v>Pcs</v>
      </c>
      <c r="I507" s="3" t="str">
        <f>IFERROR(__xludf.DUMMYFUNCTION("""COMPUTED_VALUE"""),"Consumable")</f>
        <v>Consumable</v>
      </c>
      <c r="J507" s="3" t="str">
        <f>IFERROR(__xludf.DUMMYFUNCTION("""COMPUTED_VALUE"""),"P-11173-00")</f>
        <v>P-11173-00</v>
      </c>
      <c r="K507" s="3" t="str">
        <f>IFERROR(__xludf.DUMMYFUNCTION("""COMPUTED_VALUE"""),"Approve")</f>
        <v>Approve</v>
      </c>
      <c r="L507" s="3" t="str">
        <f>IFERROR(__xludf.DUMMYFUNCTION("""COMPUTED_VALUE"""),"Normal")</f>
        <v>Normal</v>
      </c>
      <c r="M507" s="3" t="str">
        <f>IFERROR(__xludf.DUMMYFUNCTION("""COMPUTED_VALUE"""),"Non Urgent")</f>
        <v>Non Urgent</v>
      </c>
    </row>
    <row r="508">
      <c r="A508" s="4">
        <f>IFERROR(__xludf.DUMMYFUNCTION("""COMPUTED_VALUE"""),46045.90941965278)</f>
        <v>46045.90942</v>
      </c>
      <c r="B508" s="3" t="str">
        <f>IFERROR(__xludf.DUMMYFUNCTION("""COMPUTED_VALUE"""),"MOBRO0075")</f>
        <v>MOBRO0075</v>
      </c>
      <c r="C508" s="3" t="str">
        <f>IFERROR(__xludf.DUMMYFUNCTION("""COMPUTED_VALUE"""),"Consumable")</f>
        <v>Consumable</v>
      </c>
      <c r="D508" s="3" t="str">
        <f>IFERROR(__xludf.DUMMYFUNCTION("""COMPUTED_VALUE"""),"-")</f>
        <v>-</v>
      </c>
      <c r="E508" s="3" t="str">
        <f>IFERROR(__xludf.DUMMYFUNCTION("""COMPUTED_VALUE"""),"Pneumatic Fitting")</f>
        <v>Pneumatic Fitting</v>
      </c>
      <c r="F508" s="3" t="str">
        <f>IFERROR(__xludf.DUMMYFUNCTION("""COMPUTED_VALUE"""),"General - Push-in Connector, QS-6; Festo; 153032; 1 pcs")</f>
        <v>General - Push-in Connector, QS-6; Festo; 153032; 1 pcs</v>
      </c>
      <c r="G508" s="3">
        <f>IFERROR(__xludf.DUMMYFUNCTION("""COMPUTED_VALUE"""),10.0)</f>
        <v>10</v>
      </c>
      <c r="H508" s="3" t="str">
        <f>IFERROR(__xludf.DUMMYFUNCTION("""COMPUTED_VALUE"""),"Pcs")</f>
        <v>Pcs</v>
      </c>
      <c r="I508" s="3" t="str">
        <f>IFERROR(__xludf.DUMMYFUNCTION("""COMPUTED_VALUE"""),"Consumable")</f>
        <v>Consumable</v>
      </c>
      <c r="J508" s="3" t="str">
        <f>IFERROR(__xludf.DUMMYFUNCTION("""COMPUTED_VALUE"""),"P-11182-00")</f>
        <v>P-11182-00</v>
      </c>
      <c r="K508" s="3" t="str">
        <f>IFERROR(__xludf.DUMMYFUNCTION("""COMPUTED_VALUE"""),"Approve")</f>
        <v>Approve</v>
      </c>
      <c r="L508" s="3" t="str">
        <f>IFERROR(__xludf.DUMMYFUNCTION("""COMPUTED_VALUE"""),"Normal")</f>
        <v>Normal</v>
      </c>
      <c r="M508" s="3" t="str">
        <f>IFERROR(__xludf.DUMMYFUNCTION("""COMPUTED_VALUE"""),"Non Urgent")</f>
        <v>Non Urgent</v>
      </c>
    </row>
    <row r="509">
      <c r="A509" s="4">
        <f>IFERROR(__xludf.DUMMYFUNCTION("""COMPUTED_VALUE"""),46045.911177141206)</f>
        <v>46045.91118</v>
      </c>
      <c r="B509" s="3" t="str">
        <f>IFERROR(__xludf.DUMMYFUNCTION("""COMPUTED_VALUE"""),"MOBRO0076")</f>
        <v>MOBRO0076</v>
      </c>
      <c r="C509" s="3" t="str">
        <f>IFERROR(__xludf.DUMMYFUNCTION("""COMPUTED_VALUE"""),"Consumable")</f>
        <v>Consumable</v>
      </c>
      <c r="D509" s="3" t="str">
        <f>IFERROR(__xludf.DUMMYFUNCTION("""COMPUTED_VALUE"""),"-")</f>
        <v>-</v>
      </c>
      <c r="E509" s="3" t="str">
        <f>IFERROR(__xludf.DUMMYFUNCTION("""COMPUTED_VALUE"""),"Pneumatic Fitting")</f>
        <v>Pneumatic Fitting</v>
      </c>
      <c r="F509" s="3" t="str">
        <f>IFERROR(__xludf.DUMMYFUNCTION("""COMPUTED_VALUE"""),"FESTO - Push In Connector QS-8 p/n 153033")</f>
        <v>FESTO - Push In Connector QS-8 p/n 153033</v>
      </c>
      <c r="G509" s="3">
        <f>IFERROR(__xludf.DUMMYFUNCTION("""COMPUTED_VALUE"""),10.0)</f>
        <v>10</v>
      </c>
      <c r="H509" s="3" t="str">
        <f>IFERROR(__xludf.DUMMYFUNCTION("""COMPUTED_VALUE"""),"Pcs")</f>
        <v>Pcs</v>
      </c>
      <c r="I509" s="3" t="str">
        <f>IFERROR(__xludf.DUMMYFUNCTION("""COMPUTED_VALUE"""),"Consumable")</f>
        <v>Consumable</v>
      </c>
      <c r="J509" s="3" t="str">
        <f>IFERROR(__xludf.DUMMYFUNCTION("""COMPUTED_VALUE"""),"P-12263-00")</f>
        <v>P-12263-00</v>
      </c>
      <c r="K509" s="3" t="str">
        <f>IFERROR(__xludf.DUMMYFUNCTION("""COMPUTED_VALUE"""),"Approve")</f>
        <v>Approve</v>
      </c>
      <c r="L509" s="3" t="str">
        <f>IFERROR(__xludf.DUMMYFUNCTION("""COMPUTED_VALUE"""),"Normal")</f>
        <v>Normal</v>
      </c>
      <c r="M509" s="3" t="str">
        <f>IFERROR(__xludf.DUMMYFUNCTION("""COMPUTED_VALUE"""),"Non Urgent")</f>
        <v>Non Urgent</v>
      </c>
    </row>
    <row r="510">
      <c r="A510" s="4">
        <f>IFERROR(__xludf.DUMMYFUNCTION("""COMPUTED_VALUE"""),46046.339860555556)</f>
        <v>46046.33986</v>
      </c>
      <c r="B510" s="3" t="str">
        <f>IFERROR(__xludf.DUMMYFUNCTION("""COMPUTED_VALUE"""),"MRNRO0043")</f>
        <v>MRNRO0043</v>
      </c>
      <c r="C510" s="3" t="str">
        <f>IFERROR(__xludf.DUMMYFUNCTION("""COMPUTED_VALUE"""),"EJO")</f>
        <v>EJO</v>
      </c>
      <c r="D510" s="3" t="str">
        <f>IFERROR(__xludf.DUMMYFUNCTION("""COMPUTED_VALUE"""),"EJO/2025/02/01")</f>
        <v>EJO/2025/02/01</v>
      </c>
      <c r="E510" s="3" t="str">
        <f>IFERROR(__xludf.DUMMYFUNCTION("""COMPUTED_VALUE"""),"toilet lantai 2")</f>
        <v>toilet lantai 2</v>
      </c>
      <c r="F510" s="3" t="str">
        <f>IFERROR(__xludf.DUMMYFUNCTION("""COMPUTED_VALUE"""),"Tutup Wastafel TOTO; ; ;")</f>
        <v>Tutup Wastafel TOTO; ; ;</v>
      </c>
      <c r="G510" s="3">
        <f>IFERROR(__xludf.DUMMYFUNCTION("""COMPUTED_VALUE"""),5.0)</f>
        <v>5</v>
      </c>
      <c r="H510" s="3" t="str">
        <f>IFERROR(__xludf.DUMMYFUNCTION("""COMPUTED_VALUE"""),"pcs")</f>
        <v>pcs</v>
      </c>
      <c r="I510" s="3" t="str">
        <f>IFERROR(__xludf.DUMMYFUNCTION("""COMPUTED_VALUE"""),"tutup wastafel rusak")</f>
        <v>tutup wastafel rusak</v>
      </c>
      <c r="J510" s="3" t="str">
        <f>IFERROR(__xludf.DUMMYFUNCTION("""COMPUTED_VALUE"""),"Q-10487-00")</f>
        <v>Q-10487-00</v>
      </c>
      <c r="K510" s="3" t="str">
        <f>IFERROR(__xludf.DUMMYFUNCTION("""COMPUTED_VALUE"""),"Approve")</f>
        <v>Approve</v>
      </c>
      <c r="L510" s="3" t="str">
        <f>IFERROR(__xludf.DUMMYFUNCTION("""COMPUTED_VALUE"""),"Normal")</f>
        <v>Normal</v>
      </c>
      <c r="M510" s="3" t="str">
        <f>IFERROR(__xludf.DUMMYFUNCTION("""COMPUTED_VALUE"""),"Non Urgent")</f>
        <v>Non Urgent</v>
      </c>
    </row>
    <row r="511">
      <c r="A511" s="4">
        <f>IFERROR(__xludf.DUMMYFUNCTION("""COMPUTED_VALUE"""),46047.42031945602)</f>
        <v>46047.42032</v>
      </c>
      <c r="B511" s="3" t="str">
        <f>IFERROR(__xludf.DUMMYFUNCTION("""COMPUTED_VALUE"""),"MFHRO0233")</f>
        <v>MFHRO0233</v>
      </c>
      <c r="C511" s="3" t="str">
        <f>IFERROR(__xludf.DUMMYFUNCTION("""COMPUTED_VALUE"""),"MIn Stok")</f>
        <v>MIn Stok</v>
      </c>
      <c r="D511" s="3" t="str">
        <f>IFERROR(__xludf.DUMMYFUNCTION("""COMPUTED_VALUE"""),"-")</f>
        <v>-</v>
      </c>
      <c r="E511" s="3" t="str">
        <f>IFERROR(__xludf.DUMMYFUNCTION("""COMPUTED_VALUE"""),"Granulasi")</f>
        <v>Granulasi</v>
      </c>
      <c r="F511" s="3" t="str">
        <f>IFERROR(__xludf.DUMMYFUNCTION("""COMPUTED_VALUE"""),"Integrated Granulation Line - Temperature Probe PT-100 55mm Long 3 Wire 1/10 DIN 316L")</f>
        <v>Integrated Granulation Line - Temperature Probe PT-100 55mm Long 3 Wire 1/10 DIN 316L</v>
      </c>
      <c r="G511" s="3">
        <f>IFERROR(__xludf.DUMMYFUNCTION("""COMPUTED_VALUE"""),1.0)</f>
        <v>1</v>
      </c>
      <c r="H511" s="3" t="str">
        <f>IFERROR(__xludf.DUMMYFUNCTION("""COMPUTED_VALUE"""),"Pieces")</f>
        <v>Pieces</v>
      </c>
      <c r="I511" s="3" t="str">
        <f>IFERROR(__xludf.DUMMYFUNCTION("""COMPUTED_VALUE"""),"121703303 - APPROVED")</f>
        <v>121703303 - APPROVED</v>
      </c>
      <c r="J511" s="3" t="str">
        <f>IFERROR(__xludf.DUMMYFUNCTION("""COMPUTED_VALUE"""),"O-53275-00")</f>
        <v>O-53275-00</v>
      </c>
      <c r="K511" s="3" t="str">
        <f>IFERROR(__xludf.DUMMYFUNCTION("""COMPUTED_VALUE"""),"Approve")</f>
        <v>Approve</v>
      </c>
      <c r="L511" s="3" t="str">
        <f>IFERROR(__xludf.DUMMYFUNCTION("""COMPUTED_VALUE"""),"Normal")</f>
        <v>Normal</v>
      </c>
      <c r="M511" s="3" t="str">
        <f>IFERROR(__xludf.DUMMYFUNCTION("""COMPUTED_VALUE"""),"Non Urgent")</f>
        <v>Non Urgent</v>
      </c>
    </row>
    <row r="512">
      <c r="A512" s="4">
        <f>IFERROR(__xludf.DUMMYFUNCTION("""COMPUTED_VALUE"""),46047.42031945602)</f>
        <v>46047.42032</v>
      </c>
      <c r="B512" s="3" t="str">
        <f>IFERROR(__xludf.DUMMYFUNCTION("""COMPUTED_VALUE"""),"MFHRO0234")</f>
        <v>MFHRO0234</v>
      </c>
      <c r="C512" s="3" t="str">
        <f>IFERROR(__xludf.DUMMYFUNCTION("""COMPUTED_VALUE"""),"MIn Stok")</f>
        <v>MIn Stok</v>
      </c>
      <c r="D512" s="3" t="str">
        <f>IFERROR(__xludf.DUMMYFUNCTION("""COMPUTED_VALUE"""),"-")</f>
        <v>-</v>
      </c>
      <c r="E512" s="3" t="str">
        <f>IFERROR(__xludf.DUMMYFUNCTION("""COMPUTED_VALUE"""),"Granulasi")</f>
        <v>Granulasi</v>
      </c>
      <c r="F512" s="3" t="str">
        <f>IFERROR(__xludf.DUMMYFUNCTION("""COMPUTED_VALUE"""),"Integrated Granulation Line - Blowback Cone Seal PTFE")</f>
        <v>Integrated Granulation Line - Blowback Cone Seal PTFE</v>
      </c>
      <c r="G512" s="3">
        <f>IFERROR(__xludf.DUMMYFUNCTION("""COMPUTED_VALUE"""),4.0)</f>
        <v>4</v>
      </c>
      <c r="H512" s="3" t="str">
        <f>IFERROR(__xludf.DUMMYFUNCTION("""COMPUTED_VALUE"""),"Pieces")</f>
        <v>Pieces</v>
      </c>
      <c r="I512" s="3" t="str">
        <f>IFERROR(__xludf.DUMMYFUNCTION("""COMPUTED_VALUE"""),"121703303 - APPROVED")</f>
        <v>121703303 - APPROVED</v>
      </c>
      <c r="J512" s="3" t="str">
        <f>IFERROR(__xludf.DUMMYFUNCTION("""COMPUTED_VALUE"""),"O-20652-00")</f>
        <v>O-20652-00</v>
      </c>
      <c r="K512" s="3" t="str">
        <f>IFERROR(__xludf.DUMMYFUNCTION("""COMPUTED_VALUE"""),"Approve")</f>
        <v>Approve</v>
      </c>
      <c r="L512" s="3" t="str">
        <f>IFERROR(__xludf.DUMMYFUNCTION("""COMPUTED_VALUE"""),"Normal")</f>
        <v>Normal</v>
      </c>
      <c r="M512" s="3" t="str">
        <f>IFERROR(__xludf.DUMMYFUNCTION("""COMPUTED_VALUE"""),"Non Urgent")</f>
        <v>Non Urgent</v>
      </c>
    </row>
    <row r="513">
      <c r="A513" s="4">
        <f>IFERROR(__xludf.DUMMYFUNCTION("""COMPUTED_VALUE"""),46047.42031945602)</f>
        <v>46047.42032</v>
      </c>
      <c r="B513" s="3" t="str">
        <f>IFERROR(__xludf.DUMMYFUNCTION("""COMPUTED_VALUE"""),"MFHRO0235")</f>
        <v>MFHRO0235</v>
      </c>
      <c r="C513" s="3" t="str">
        <f>IFERROR(__xludf.DUMMYFUNCTION("""COMPUTED_VALUE"""),"MIn Stok")</f>
        <v>MIn Stok</v>
      </c>
      <c r="D513" s="3" t="str">
        <f>IFERROR(__xludf.DUMMYFUNCTION("""COMPUTED_VALUE"""),"-")</f>
        <v>-</v>
      </c>
      <c r="E513" s="3" t="str">
        <f>IFERROR(__xludf.DUMMYFUNCTION("""COMPUTED_VALUE"""),"Granulasi")</f>
        <v>Granulasi</v>
      </c>
      <c r="F513" s="3" t="str">
        <f>IFERROR(__xludf.DUMMYFUNCTION("""COMPUTED_VALUE"""),"Integrated Granulation Line - Temperature Probe Product 72mm Bayonet 3 Wire Cable=5m")</f>
        <v>Integrated Granulation Line - Temperature Probe Product 72mm Bayonet 3 Wire Cable=5m</v>
      </c>
      <c r="G513" s="3">
        <f>IFERROR(__xludf.DUMMYFUNCTION("""COMPUTED_VALUE"""),1.0)</f>
        <v>1</v>
      </c>
      <c r="H513" s="3" t="str">
        <f>IFERROR(__xludf.DUMMYFUNCTION("""COMPUTED_VALUE"""),"Pieces")</f>
        <v>Pieces</v>
      </c>
      <c r="I513" s="3" t="str">
        <f>IFERROR(__xludf.DUMMYFUNCTION("""COMPUTED_VALUE"""),"121703303 - APPROVED")</f>
        <v>121703303 - APPROVED</v>
      </c>
      <c r="J513" s="3" t="str">
        <f>IFERROR(__xludf.DUMMYFUNCTION("""COMPUTED_VALUE"""),"O-53273-00")</f>
        <v>O-53273-00</v>
      </c>
      <c r="K513" s="3" t="str">
        <f>IFERROR(__xludf.DUMMYFUNCTION("""COMPUTED_VALUE"""),"Approve")</f>
        <v>Approve</v>
      </c>
      <c r="L513" s="3" t="str">
        <f>IFERROR(__xludf.DUMMYFUNCTION("""COMPUTED_VALUE"""),"Normal")</f>
        <v>Normal</v>
      </c>
      <c r="M513" s="3" t="str">
        <f>IFERROR(__xludf.DUMMYFUNCTION("""COMPUTED_VALUE"""),"Non Urgent")</f>
        <v>Non Urgent</v>
      </c>
    </row>
    <row r="514">
      <c r="A514" s="4">
        <f>IFERROR(__xludf.DUMMYFUNCTION("""COMPUTED_VALUE"""),46047.42031945602)</f>
        <v>46047.42032</v>
      </c>
      <c r="B514" s="3" t="str">
        <f>IFERROR(__xludf.DUMMYFUNCTION("""COMPUTED_VALUE"""),"MFHRO0236")</f>
        <v>MFHRO0236</v>
      </c>
      <c r="C514" s="3" t="str">
        <f>IFERROR(__xludf.DUMMYFUNCTION("""COMPUTED_VALUE"""),"MIn Stok")</f>
        <v>MIn Stok</v>
      </c>
      <c r="D514" s="3" t="str">
        <f>IFERROR(__xludf.DUMMYFUNCTION("""COMPUTED_VALUE"""),"-")</f>
        <v>-</v>
      </c>
      <c r="E514" s="3" t="str">
        <f>IFERROR(__xludf.DUMMYFUNCTION("""COMPUTED_VALUE"""),"Granulasi")</f>
        <v>Granulasi</v>
      </c>
      <c r="F514" s="3" t="str">
        <f>IFERROR(__xludf.DUMMYFUNCTION("""COMPUTED_VALUE"""),"Integrated Granulation Line - Temperature Probe Product 72mm Bayonet 3 Wire Cable=5m")</f>
        <v>Integrated Granulation Line - Temperature Probe Product 72mm Bayonet 3 Wire Cable=5m</v>
      </c>
      <c r="G514" s="3">
        <f>IFERROR(__xludf.DUMMYFUNCTION("""COMPUTED_VALUE"""),1.0)</f>
        <v>1</v>
      </c>
      <c r="H514" s="3" t="str">
        <f>IFERROR(__xludf.DUMMYFUNCTION("""COMPUTED_VALUE"""),"Pieces")</f>
        <v>Pieces</v>
      </c>
      <c r="I514" s="3" t="str">
        <f>IFERROR(__xludf.DUMMYFUNCTION("""COMPUTED_VALUE"""),"121703303 - APPROVED")</f>
        <v>121703303 - APPROVED</v>
      </c>
      <c r="J514" s="3" t="str">
        <f>IFERROR(__xludf.DUMMYFUNCTION("""COMPUTED_VALUE"""),"O-53273-00")</f>
        <v>O-53273-00</v>
      </c>
      <c r="K514" s="3" t="str">
        <f>IFERROR(__xludf.DUMMYFUNCTION("""COMPUTED_VALUE"""),"Approve")</f>
        <v>Approve</v>
      </c>
      <c r="L514" s="3" t="str">
        <f>IFERROR(__xludf.DUMMYFUNCTION("""COMPUTED_VALUE"""),"Normal")</f>
        <v>Normal</v>
      </c>
      <c r="M514" s="3" t="str">
        <f>IFERROR(__xludf.DUMMYFUNCTION("""COMPUTED_VALUE"""),"Non Urgent")</f>
        <v>Non Urgent</v>
      </c>
    </row>
    <row r="515">
      <c r="A515" s="4">
        <f>IFERROR(__xludf.DUMMYFUNCTION("""COMPUTED_VALUE"""),46047.42031945602)</f>
        <v>46047.42032</v>
      </c>
      <c r="B515" s="3" t="str">
        <f>IFERROR(__xludf.DUMMYFUNCTION("""COMPUTED_VALUE"""),"MFHRO0237")</f>
        <v>MFHRO0237</v>
      </c>
      <c r="C515" s="3" t="str">
        <f>IFERROR(__xludf.DUMMYFUNCTION("""COMPUTED_VALUE"""),"MIn Stok")</f>
        <v>MIn Stok</v>
      </c>
      <c r="D515" s="3" t="str">
        <f>IFERROR(__xludf.DUMMYFUNCTION("""COMPUTED_VALUE"""),"-")</f>
        <v>-</v>
      </c>
      <c r="E515" s="3" t="str">
        <f>IFERROR(__xludf.DUMMYFUNCTION("""COMPUTED_VALUE"""),"Granulasi")</f>
        <v>Granulasi</v>
      </c>
      <c r="F515" s="3" t="str">
        <f>IFERROR(__xludf.DUMMYFUNCTION("""COMPUTED_VALUE"""),"Integrated Granulation Line - Collar HC100")</f>
        <v>Integrated Granulation Line - Collar HC100</v>
      </c>
      <c r="G515" s="3">
        <f>IFERROR(__xludf.DUMMYFUNCTION("""COMPUTED_VALUE"""),4.0)</f>
        <v>4</v>
      </c>
      <c r="H515" s="3" t="str">
        <f>IFERROR(__xludf.DUMMYFUNCTION("""COMPUTED_VALUE"""),"Pieces")</f>
        <v>Pieces</v>
      </c>
      <c r="I515" s="3" t="str">
        <f>IFERROR(__xludf.DUMMYFUNCTION("""COMPUTED_VALUE"""),"121703303 - APPROVED")</f>
        <v>121703303 - APPROVED</v>
      </c>
      <c r="J515" s="3" t="str">
        <f>IFERROR(__xludf.DUMMYFUNCTION("""COMPUTED_VALUE"""),"O-20651-00")</f>
        <v>O-20651-00</v>
      </c>
      <c r="K515" s="3" t="str">
        <f>IFERROR(__xludf.DUMMYFUNCTION("""COMPUTED_VALUE"""),"Approve")</f>
        <v>Approve</v>
      </c>
      <c r="L515" s="3" t="str">
        <f>IFERROR(__xludf.DUMMYFUNCTION("""COMPUTED_VALUE"""),"Normal")</f>
        <v>Normal</v>
      </c>
      <c r="M515" s="3" t="str">
        <f>IFERROR(__xludf.DUMMYFUNCTION("""COMPUTED_VALUE"""),"Non Urgent")</f>
        <v>Non Urgent</v>
      </c>
    </row>
    <row r="516">
      <c r="A516" s="4">
        <f>IFERROR(__xludf.DUMMYFUNCTION("""COMPUTED_VALUE"""),46047.42031945602)</f>
        <v>46047.42032</v>
      </c>
      <c r="B516" s="3" t="str">
        <f>IFERROR(__xludf.DUMMYFUNCTION("""COMPUTED_VALUE"""),"MFHRO0238")</f>
        <v>MFHRO0238</v>
      </c>
      <c r="C516" s="3" t="str">
        <f>IFERROR(__xludf.DUMMYFUNCTION("""COMPUTED_VALUE"""),"MIn Stok")</f>
        <v>MIn Stok</v>
      </c>
      <c r="D516" s="3" t="str">
        <f>IFERROR(__xludf.DUMMYFUNCTION("""COMPUTED_VALUE"""),"-")</f>
        <v>-</v>
      </c>
      <c r="E516" s="3" t="str">
        <f>IFERROR(__xludf.DUMMYFUNCTION("""COMPUTED_VALUE"""),"Granulasi")</f>
        <v>Granulasi</v>
      </c>
      <c r="F516" s="3" t="str">
        <f>IFERROR(__xludf.DUMMYFUNCTION("""COMPUTED_VALUE"""),"Integrated Granulation Line - Flap Disc Seal MC DN100 (2.M10.0110X)")</f>
        <v>Integrated Granulation Line - Flap Disc Seal MC DN100 (2.M10.0110X)</v>
      </c>
      <c r="G516" s="3">
        <f>IFERROR(__xludf.DUMMYFUNCTION("""COMPUTED_VALUE"""),2.0)</f>
        <v>2</v>
      </c>
      <c r="H516" s="3" t="str">
        <f>IFERROR(__xludf.DUMMYFUNCTION("""COMPUTED_VALUE"""),"Pieces")</f>
        <v>Pieces</v>
      </c>
      <c r="I516" s="3" t="str">
        <f>IFERROR(__xludf.DUMMYFUNCTION("""COMPUTED_VALUE"""),"121703303 - APPROVED")</f>
        <v>121703303 - APPROVED</v>
      </c>
      <c r="J516" s="3" t="str">
        <f>IFERROR(__xludf.DUMMYFUNCTION("""COMPUTED_VALUE"""),"O-20650-00")</f>
        <v>O-20650-00</v>
      </c>
      <c r="K516" s="3" t="str">
        <f>IFERROR(__xludf.DUMMYFUNCTION("""COMPUTED_VALUE"""),"Approve")</f>
        <v>Approve</v>
      </c>
      <c r="L516" s="3" t="str">
        <f>IFERROR(__xludf.DUMMYFUNCTION("""COMPUTED_VALUE"""),"Normal")</f>
        <v>Normal</v>
      </c>
      <c r="M516" s="3" t="str">
        <f>IFERROR(__xludf.DUMMYFUNCTION("""COMPUTED_VALUE"""),"Non Urgent")</f>
        <v>Non Urgent</v>
      </c>
    </row>
    <row r="517">
      <c r="A517" s="4">
        <f>IFERROR(__xludf.DUMMYFUNCTION("""COMPUTED_VALUE"""),46047.42031945602)</f>
        <v>46047.42032</v>
      </c>
      <c r="B517" s="3" t="str">
        <f>IFERROR(__xludf.DUMMYFUNCTION("""COMPUTED_VALUE"""),"MFHRO0239")</f>
        <v>MFHRO0239</v>
      </c>
      <c r="C517" s="3" t="str">
        <f>IFERROR(__xludf.DUMMYFUNCTION("""COMPUTED_VALUE"""),"MIn Stok")</f>
        <v>MIn Stok</v>
      </c>
      <c r="D517" s="3" t="str">
        <f>IFERROR(__xludf.DUMMYFUNCTION("""COMPUTED_VALUE"""),"-")</f>
        <v>-</v>
      </c>
      <c r="E517" s="3" t="str">
        <f>IFERROR(__xludf.DUMMYFUNCTION("""COMPUTED_VALUE"""),"Granulasi")</f>
        <v>Granulasi</v>
      </c>
      <c r="F517" s="3" t="str">
        <f>IFERROR(__xludf.DUMMYFUNCTION("""COMPUTED_VALUE"""),"Integrated Granulation Line - Temperature Probe CIP 60mm MK3: 3 Wire")</f>
        <v>Integrated Granulation Line - Temperature Probe CIP 60mm MK3: 3 Wire</v>
      </c>
      <c r="G517" s="3">
        <f>IFERROR(__xludf.DUMMYFUNCTION("""COMPUTED_VALUE"""),1.0)</f>
        <v>1</v>
      </c>
      <c r="H517" s="3" t="str">
        <f>IFERROR(__xludf.DUMMYFUNCTION("""COMPUTED_VALUE"""),"Pieces")</f>
        <v>Pieces</v>
      </c>
      <c r="I517" s="3" t="str">
        <f>IFERROR(__xludf.DUMMYFUNCTION("""COMPUTED_VALUE"""),"121703303 - APPROVED")</f>
        <v>121703303 - APPROVED</v>
      </c>
      <c r="J517" s="3" t="str">
        <f>IFERROR(__xludf.DUMMYFUNCTION("""COMPUTED_VALUE"""),"O-53272-00")</f>
        <v>O-53272-00</v>
      </c>
      <c r="K517" s="3" t="str">
        <f>IFERROR(__xludf.DUMMYFUNCTION("""COMPUTED_VALUE"""),"Approve")</f>
        <v>Approve</v>
      </c>
      <c r="L517" s="3" t="str">
        <f>IFERROR(__xludf.DUMMYFUNCTION("""COMPUTED_VALUE"""),"Normal")</f>
        <v>Normal</v>
      </c>
      <c r="M517" s="3" t="str">
        <f>IFERROR(__xludf.DUMMYFUNCTION("""COMPUTED_VALUE"""),"Non Urgent")</f>
        <v>Non Urgent</v>
      </c>
    </row>
    <row r="518">
      <c r="A518" s="4">
        <f>IFERROR(__xludf.DUMMYFUNCTION("""COMPUTED_VALUE"""),46047.42031945602)</f>
        <v>46047.42032</v>
      </c>
      <c r="B518" s="3" t="str">
        <f>IFERROR(__xludf.DUMMYFUNCTION("""COMPUTED_VALUE"""),"MFHRO0240")</f>
        <v>MFHRO0240</v>
      </c>
      <c r="C518" s="3" t="str">
        <f>IFERROR(__xludf.DUMMYFUNCTION("""COMPUTED_VALUE"""),"MIn Stok")</f>
        <v>MIn Stok</v>
      </c>
      <c r="D518" s="3" t="str">
        <f>IFERROR(__xludf.DUMMYFUNCTION("""COMPUTED_VALUE"""),"-")</f>
        <v>-</v>
      </c>
      <c r="E518" s="3" t="str">
        <f>IFERROR(__xludf.DUMMYFUNCTION("""COMPUTED_VALUE"""),"Granulasi")</f>
        <v>Granulasi</v>
      </c>
      <c r="F518" s="3" t="str">
        <f>IFERROR(__xludf.DUMMYFUNCTION("""COMPUTED_VALUE"""),"Integrated Granulation Line - Housing Seal MC DN 100")</f>
        <v>Integrated Granulation Line - Housing Seal MC DN 100</v>
      </c>
      <c r="G518" s="3">
        <f>IFERROR(__xludf.DUMMYFUNCTION("""COMPUTED_VALUE"""),1.0)</f>
        <v>1</v>
      </c>
      <c r="H518" s="3" t="str">
        <f>IFERROR(__xludf.DUMMYFUNCTION("""COMPUTED_VALUE"""),"Pieces")</f>
        <v>Pieces</v>
      </c>
      <c r="I518" s="3" t="str">
        <f>IFERROR(__xludf.DUMMYFUNCTION("""COMPUTED_VALUE"""),"121703303 - APPROVED")</f>
        <v>121703303 - APPROVED</v>
      </c>
      <c r="J518" s="3" t="str">
        <f>IFERROR(__xludf.DUMMYFUNCTION("""COMPUTED_VALUE"""),"O-20649-00")</f>
        <v>O-20649-00</v>
      </c>
      <c r="K518" s="3" t="str">
        <f>IFERROR(__xludf.DUMMYFUNCTION("""COMPUTED_VALUE"""),"Approve")</f>
        <v>Approve</v>
      </c>
      <c r="L518" s="3" t="str">
        <f>IFERROR(__xludf.DUMMYFUNCTION("""COMPUTED_VALUE"""),"Normal")</f>
        <v>Normal</v>
      </c>
      <c r="M518" s="3" t="str">
        <f>IFERROR(__xludf.DUMMYFUNCTION("""COMPUTED_VALUE"""),"Non Urgent")</f>
        <v>Non Urgent</v>
      </c>
    </row>
    <row r="519">
      <c r="A519" s="4">
        <f>IFERROR(__xludf.DUMMYFUNCTION("""COMPUTED_VALUE"""),46047.42031945602)</f>
        <v>46047.42032</v>
      </c>
      <c r="B519" s="3" t="str">
        <f>IFERROR(__xludf.DUMMYFUNCTION("""COMPUTED_VALUE"""),"MFHRO0241")</f>
        <v>MFHRO0241</v>
      </c>
      <c r="C519" s="3" t="str">
        <f>IFERROR(__xludf.DUMMYFUNCTION("""COMPUTED_VALUE"""),"MIn Stok")</f>
        <v>MIn Stok</v>
      </c>
      <c r="D519" s="3" t="str">
        <f>IFERROR(__xludf.DUMMYFUNCTION("""COMPUTED_VALUE"""),"-")</f>
        <v>-</v>
      </c>
      <c r="E519" s="3" t="str">
        <f>IFERROR(__xludf.DUMMYFUNCTION("""COMPUTED_VALUE"""),"Granulasi")</f>
        <v>Granulasi</v>
      </c>
      <c r="F519" s="3" t="str">
        <f>IFERROR(__xludf.DUMMYFUNCTION("""COMPUTED_VALUE"""),"Integrated Granulation Line - Inflatable Seal CIP G281 S2P Dm=286mm Silicone Transparent")</f>
        <v>Integrated Granulation Line - Inflatable Seal CIP G281 S2P Dm=286mm Silicone Transparent</v>
      </c>
      <c r="G519" s="3">
        <f>IFERROR(__xludf.DUMMYFUNCTION("""COMPUTED_VALUE"""),1.0)</f>
        <v>1</v>
      </c>
      <c r="H519" s="3" t="str">
        <f>IFERROR(__xludf.DUMMYFUNCTION("""COMPUTED_VALUE"""),"Pieces")</f>
        <v>Pieces</v>
      </c>
      <c r="I519" s="3" t="str">
        <f>IFERROR(__xludf.DUMMYFUNCTION("""COMPUTED_VALUE"""),"121703303 - APPROVED")</f>
        <v>121703303 - APPROVED</v>
      </c>
      <c r="J519" s="3" t="str">
        <f>IFERROR(__xludf.DUMMYFUNCTION("""COMPUTED_VALUE"""),"O-20648-00")</f>
        <v>O-20648-00</v>
      </c>
      <c r="K519" s="3" t="str">
        <f>IFERROR(__xludf.DUMMYFUNCTION("""COMPUTED_VALUE"""),"Approve")</f>
        <v>Approve</v>
      </c>
      <c r="L519" s="3" t="str">
        <f>IFERROR(__xludf.DUMMYFUNCTION("""COMPUTED_VALUE"""),"Normal")</f>
        <v>Normal</v>
      </c>
      <c r="M519" s="3" t="str">
        <f>IFERROR(__xludf.DUMMYFUNCTION("""COMPUTED_VALUE"""),"Non Urgent")</f>
        <v>Non Urgent</v>
      </c>
    </row>
    <row r="520">
      <c r="A520" s="4">
        <f>IFERROR(__xludf.DUMMYFUNCTION("""COMPUTED_VALUE"""),46047.42031945602)</f>
        <v>46047.42032</v>
      </c>
      <c r="B520" s="3" t="str">
        <f>IFERROR(__xludf.DUMMYFUNCTION("""COMPUTED_VALUE"""),"MFHRO0242")</f>
        <v>MFHRO0242</v>
      </c>
      <c r="C520" s="3" t="str">
        <f>IFERROR(__xludf.DUMMYFUNCTION("""COMPUTED_VALUE"""),"MIn Stok")</f>
        <v>MIn Stok</v>
      </c>
      <c r="D520" s="3" t="str">
        <f>IFERROR(__xludf.DUMMYFUNCTION("""COMPUTED_VALUE"""),"-")</f>
        <v>-</v>
      </c>
      <c r="E520" s="3" t="str">
        <f>IFERROR(__xludf.DUMMYFUNCTION("""COMPUTED_VALUE"""),"Granulasi")</f>
        <v>Granulasi</v>
      </c>
      <c r="F520" s="3" t="str">
        <f>IFERROR(__xludf.DUMMYFUNCTION("""COMPUTED_VALUE"""),"Integrated Granulation Line - Inflatable Seal CIP G281 S2F Dm=474mm Silicone Transparent")</f>
        <v>Integrated Granulation Line - Inflatable Seal CIP G281 S2F Dm=474mm Silicone Transparent</v>
      </c>
      <c r="G520" s="3">
        <f>IFERROR(__xludf.DUMMYFUNCTION("""COMPUTED_VALUE"""),1.0)</f>
        <v>1</v>
      </c>
      <c r="H520" s="3" t="str">
        <f>IFERROR(__xludf.DUMMYFUNCTION("""COMPUTED_VALUE"""),"Pieces")</f>
        <v>Pieces</v>
      </c>
      <c r="I520" s="3" t="str">
        <f>IFERROR(__xludf.DUMMYFUNCTION("""COMPUTED_VALUE"""),"121703303 - APPROVED")</f>
        <v>121703303 - APPROVED</v>
      </c>
      <c r="J520" s="3" t="str">
        <f>IFERROR(__xludf.DUMMYFUNCTION("""COMPUTED_VALUE"""),"O-20647-00")</f>
        <v>O-20647-00</v>
      </c>
      <c r="K520" s="3" t="str">
        <f>IFERROR(__xludf.DUMMYFUNCTION("""COMPUTED_VALUE"""),"Approve")</f>
        <v>Approve</v>
      </c>
      <c r="L520" s="3" t="str">
        <f>IFERROR(__xludf.DUMMYFUNCTION("""COMPUTED_VALUE"""),"Normal")</f>
        <v>Normal</v>
      </c>
      <c r="M520" s="3" t="str">
        <f>IFERROR(__xludf.DUMMYFUNCTION("""COMPUTED_VALUE"""),"Non Urgent")</f>
        <v>Non Urgent</v>
      </c>
    </row>
    <row r="521">
      <c r="A521" s="4">
        <f>IFERROR(__xludf.DUMMYFUNCTION("""COMPUTED_VALUE"""),46047.42031945602)</f>
        <v>46047.42032</v>
      </c>
      <c r="B521" s="3" t="str">
        <f>IFERROR(__xludf.DUMMYFUNCTION("""COMPUTED_VALUE"""),"MFHRO0243")</f>
        <v>MFHRO0243</v>
      </c>
      <c r="C521" s="3" t="str">
        <f>IFERROR(__xludf.DUMMYFUNCTION("""COMPUTED_VALUE"""),"MIn Stok")</f>
        <v>MIn Stok</v>
      </c>
      <c r="D521" s="3" t="str">
        <f>IFERROR(__xludf.DUMMYFUNCTION("""COMPUTED_VALUE"""),"-")</f>
        <v>-</v>
      </c>
      <c r="E521" s="3" t="str">
        <f>IFERROR(__xludf.DUMMYFUNCTION("""COMPUTED_VALUE"""),"Granulasi")</f>
        <v>Granulasi</v>
      </c>
      <c r="F521" s="3" t="str">
        <f>IFERROR(__xludf.DUMMYFUNCTION("""COMPUTED_VALUE"""),"Integrated Granulation Line - Inflatable Seal CIP FC111VS DS=117.2mm Silicone Transparent")</f>
        <v>Integrated Granulation Line - Inflatable Seal CIP FC111VS DS=117.2mm Silicone Transparent</v>
      </c>
      <c r="G521" s="3">
        <f>IFERROR(__xludf.DUMMYFUNCTION("""COMPUTED_VALUE"""),1.0)</f>
        <v>1</v>
      </c>
      <c r="H521" s="3" t="str">
        <f>IFERROR(__xludf.DUMMYFUNCTION("""COMPUTED_VALUE"""),"Pieces")</f>
        <v>Pieces</v>
      </c>
      <c r="I521" s="3" t="str">
        <f>IFERROR(__xludf.DUMMYFUNCTION("""COMPUTED_VALUE"""),"121703307 - APPROVED")</f>
        <v>121703307 - APPROVED</v>
      </c>
      <c r="J521" s="3" t="str">
        <f>IFERROR(__xludf.DUMMYFUNCTION("""COMPUTED_VALUE"""),"O-20646-00")</f>
        <v>O-20646-00</v>
      </c>
      <c r="K521" s="3" t="str">
        <f>IFERROR(__xludf.DUMMYFUNCTION("""COMPUTED_VALUE"""),"Approve")</f>
        <v>Approve</v>
      </c>
      <c r="L521" s="3" t="str">
        <f>IFERROR(__xludf.DUMMYFUNCTION("""COMPUTED_VALUE"""),"Normal")</f>
        <v>Normal</v>
      </c>
      <c r="M521" s="3" t="str">
        <f>IFERROR(__xludf.DUMMYFUNCTION("""COMPUTED_VALUE"""),"Non Urgent")</f>
        <v>Non Urgent</v>
      </c>
    </row>
    <row r="522">
      <c r="A522" s="4">
        <f>IFERROR(__xludf.DUMMYFUNCTION("""COMPUTED_VALUE"""),46047.42031945602)</f>
        <v>46047.42032</v>
      </c>
      <c r="B522" s="3" t="str">
        <f>IFERROR(__xludf.DUMMYFUNCTION("""COMPUTED_VALUE"""),"MFHRO0244")</f>
        <v>MFHRO0244</v>
      </c>
      <c r="C522" s="3" t="str">
        <f>IFERROR(__xludf.DUMMYFUNCTION("""COMPUTED_VALUE"""),"MIn Stok")</f>
        <v>MIn Stok</v>
      </c>
      <c r="D522" s="3" t="str">
        <f>IFERROR(__xludf.DUMMYFUNCTION("""COMPUTED_VALUE"""),"-")</f>
        <v>-</v>
      </c>
      <c r="E522" s="3" t="str">
        <f>IFERROR(__xludf.DUMMYFUNCTION("""COMPUTED_VALUE"""),"Granulasi")</f>
        <v>Granulasi</v>
      </c>
      <c r="F522" s="3" t="str">
        <f>IFERROR(__xludf.DUMMYFUNCTION("""COMPUTED_VALUE"""),"Integrated Granulation Line - Inflatable Seal CIP FC111VS DS=340.2mm Silicone Transparent")</f>
        <v>Integrated Granulation Line - Inflatable Seal CIP FC111VS DS=340.2mm Silicone Transparent</v>
      </c>
      <c r="G522" s="3">
        <f>IFERROR(__xludf.DUMMYFUNCTION("""COMPUTED_VALUE"""),1.0)</f>
        <v>1</v>
      </c>
      <c r="H522" s="3" t="str">
        <f>IFERROR(__xludf.DUMMYFUNCTION("""COMPUTED_VALUE"""),"Pieces")</f>
        <v>Pieces</v>
      </c>
      <c r="I522" s="3" t="str">
        <f>IFERROR(__xludf.DUMMYFUNCTION("""COMPUTED_VALUE"""),"121703307 - APPROVED")</f>
        <v>121703307 - APPROVED</v>
      </c>
      <c r="J522" s="3" t="str">
        <f>IFERROR(__xludf.DUMMYFUNCTION("""COMPUTED_VALUE"""),"O-20645-00")</f>
        <v>O-20645-00</v>
      </c>
      <c r="K522" s="3" t="str">
        <f>IFERROR(__xludf.DUMMYFUNCTION("""COMPUTED_VALUE"""),"Approve")</f>
        <v>Approve</v>
      </c>
      <c r="L522" s="3" t="str">
        <f>IFERROR(__xludf.DUMMYFUNCTION("""COMPUTED_VALUE"""),"Normal")</f>
        <v>Normal</v>
      </c>
      <c r="M522" s="3" t="str">
        <f>IFERROR(__xludf.DUMMYFUNCTION("""COMPUTED_VALUE"""),"Non Urgent")</f>
        <v>Non Urgent</v>
      </c>
    </row>
    <row r="523">
      <c r="A523" s="4">
        <f>IFERROR(__xludf.DUMMYFUNCTION("""COMPUTED_VALUE"""),46047.42031945602)</f>
        <v>46047.42032</v>
      </c>
      <c r="B523" s="3" t="str">
        <f>IFERROR(__xludf.DUMMYFUNCTION("""COMPUTED_VALUE"""),"MFHRO0245")</f>
        <v>MFHRO0245</v>
      </c>
      <c r="C523" s="3" t="str">
        <f>IFERROR(__xludf.DUMMYFUNCTION("""COMPUTED_VALUE"""),"MIn Stok")</f>
        <v>MIn Stok</v>
      </c>
      <c r="D523" s="3" t="str">
        <f>IFERROR(__xludf.DUMMYFUNCTION("""COMPUTED_VALUE"""),"-")</f>
        <v>-</v>
      </c>
      <c r="E523" s="3" t="str">
        <f>IFERROR(__xludf.DUMMYFUNCTION("""COMPUTED_VALUE"""),"Granulasi")</f>
        <v>Granulasi</v>
      </c>
      <c r="F523" s="3" t="str">
        <f>IFERROR(__xludf.DUMMYFUNCTION("""COMPUTED_VALUE"""),"Integrated Granulation Line - Inflatable Seal Filter Ring ER/ABB 1 Valve MK3 Size 2; GEA; 214261; 1 Pc")</f>
        <v>Integrated Granulation Line - Inflatable Seal Filter Ring ER/ABB 1 Valve MK3 Size 2; GEA; 214261; 1 Pc</v>
      </c>
      <c r="G523" s="3">
        <f>IFERROR(__xludf.DUMMYFUNCTION("""COMPUTED_VALUE"""),1.0)</f>
        <v>1</v>
      </c>
      <c r="H523" s="3" t="str">
        <f>IFERROR(__xludf.DUMMYFUNCTION("""COMPUTED_VALUE"""),"Pieces")</f>
        <v>Pieces</v>
      </c>
      <c r="I523" s="3" t="str">
        <f>IFERROR(__xludf.DUMMYFUNCTION("""COMPUTED_VALUE"""),"121703307 - APPROVED")</f>
        <v>121703307 - APPROVED</v>
      </c>
      <c r="J523" s="3" t="str">
        <f>IFERROR(__xludf.DUMMYFUNCTION("""COMPUTED_VALUE"""),"O-21068-00")</f>
        <v>O-21068-00</v>
      </c>
      <c r="K523" s="3" t="str">
        <f>IFERROR(__xludf.DUMMYFUNCTION("""COMPUTED_VALUE"""),"Approve")</f>
        <v>Approve</v>
      </c>
      <c r="L523" s="3" t="str">
        <f>IFERROR(__xludf.DUMMYFUNCTION("""COMPUTED_VALUE"""),"Normal")</f>
        <v>Normal</v>
      </c>
      <c r="M523" s="3" t="str">
        <f>IFERROR(__xludf.DUMMYFUNCTION("""COMPUTED_VALUE"""),"Non Urgent")</f>
        <v>Non Urgent</v>
      </c>
    </row>
    <row r="524">
      <c r="A524" s="4">
        <f>IFERROR(__xludf.DUMMYFUNCTION("""COMPUTED_VALUE"""),46047.42031945602)</f>
        <v>46047.42032</v>
      </c>
      <c r="B524" s="3" t="str">
        <f>IFERROR(__xludf.DUMMYFUNCTION("""COMPUTED_VALUE"""),"MFHRO0246")</f>
        <v>MFHRO0246</v>
      </c>
      <c r="C524" s="3" t="str">
        <f>IFERROR(__xludf.DUMMYFUNCTION("""COMPUTED_VALUE"""),"MIn Stok")</f>
        <v>MIn Stok</v>
      </c>
      <c r="D524" s="3" t="str">
        <f>IFERROR(__xludf.DUMMYFUNCTION("""COMPUTED_VALUE"""),"-")</f>
        <v>-</v>
      </c>
      <c r="E524" s="3" t="str">
        <f>IFERROR(__xludf.DUMMYFUNCTION("""COMPUTED_VALUE"""),"Granulasi")</f>
        <v>Granulasi</v>
      </c>
      <c r="F524" s="3" t="str">
        <f>IFERROR(__xludf.DUMMYFUNCTION("""COMPUTED_VALUE"""),"Integrated Granulation Line - Bellow V3 MC DN100 L=292x2 EPDM White; GEA; 179947; 1 Pc")</f>
        <v>Integrated Granulation Line - Bellow V3 MC DN100 L=292x2 EPDM White; GEA; 179947; 1 Pc</v>
      </c>
      <c r="G524" s="3">
        <f>IFERROR(__xludf.DUMMYFUNCTION("""COMPUTED_VALUE"""),1.0)</f>
        <v>1</v>
      </c>
      <c r="H524" s="3" t="str">
        <f>IFERROR(__xludf.DUMMYFUNCTION("""COMPUTED_VALUE"""),"Pieces")</f>
        <v>Pieces</v>
      </c>
      <c r="I524" s="3" t="str">
        <f>IFERROR(__xludf.DUMMYFUNCTION("""COMPUTED_VALUE"""),"121703307 - APPROVED")</f>
        <v>121703307 - APPROVED</v>
      </c>
      <c r="J524" s="3" t="str">
        <f>IFERROR(__xludf.DUMMYFUNCTION("""COMPUTED_VALUE"""),"O-21067-00")</f>
        <v>O-21067-00</v>
      </c>
      <c r="K524" s="3" t="str">
        <f>IFERROR(__xludf.DUMMYFUNCTION("""COMPUTED_VALUE"""),"Approve")</f>
        <v>Approve</v>
      </c>
      <c r="L524" s="3" t="str">
        <f>IFERROR(__xludf.DUMMYFUNCTION("""COMPUTED_VALUE"""),"Normal")</f>
        <v>Normal</v>
      </c>
      <c r="M524" s="3" t="str">
        <f>IFERROR(__xludf.DUMMYFUNCTION("""COMPUTED_VALUE"""),"Non Urgent")</f>
        <v>Non Urgent</v>
      </c>
    </row>
    <row r="525">
      <c r="A525" s="4">
        <f>IFERROR(__xludf.DUMMYFUNCTION("""COMPUTED_VALUE"""),46047.83255263889)</f>
        <v>46047.83255</v>
      </c>
      <c r="B525" s="3" t="str">
        <f>IFERROR(__xludf.DUMMYFUNCTION("""COMPUTED_VALUE"""),"MFHRO0247")</f>
        <v>MFHRO0247</v>
      </c>
      <c r="C525" s="3" t="str">
        <f>IFERROR(__xludf.DUMMYFUNCTION("""COMPUTED_VALUE"""),"MIn Stok")</f>
        <v>MIn Stok</v>
      </c>
      <c r="D525" s="3" t="str">
        <f>IFERROR(__xludf.DUMMYFUNCTION("""COMPUTED_VALUE"""),"-")</f>
        <v>-</v>
      </c>
      <c r="E525" s="3" t="str">
        <f>IFERROR(__xludf.DUMMYFUNCTION("""COMPUTED_VALUE"""),"Building")</f>
        <v>Building</v>
      </c>
      <c r="F525" s="3" t="str">
        <f>IFERROR(__xludf.DUMMYFUNCTION("""COMPUTED_VALUE"""),"General - Door Sticker T30-X; Austar; -; 1 pc")</f>
        <v>General - Door Sticker T30-X; Austar; -; 1 pc</v>
      </c>
      <c r="G525" s="3">
        <f>IFERROR(__xludf.DUMMYFUNCTION("""COMPUTED_VALUE"""),20.0)</f>
        <v>20</v>
      </c>
      <c r="H525" s="3" t="str">
        <f>IFERROR(__xludf.DUMMYFUNCTION("""COMPUTED_VALUE"""),"Pieces")</f>
        <v>Pieces</v>
      </c>
      <c r="I525" s="3" t="str">
        <f>IFERROR(__xludf.DUMMYFUNCTION("""COMPUTED_VALUE"""),"121703406 - APPROVED")</f>
        <v>121703406 - APPROVED</v>
      </c>
      <c r="J525" s="3" t="str">
        <f>IFERROR(__xludf.DUMMYFUNCTION("""COMPUTED_VALUE"""),"P-20019-00")</f>
        <v>P-20019-00</v>
      </c>
      <c r="K525" s="3" t="str">
        <f>IFERROR(__xludf.DUMMYFUNCTION("""COMPUTED_VALUE"""),"Approve")</f>
        <v>Approve</v>
      </c>
      <c r="L525" s="3" t="str">
        <f>IFERROR(__xludf.DUMMYFUNCTION("""COMPUTED_VALUE"""),"Normal")</f>
        <v>Normal</v>
      </c>
      <c r="M525" s="3" t="str">
        <f>IFERROR(__xludf.DUMMYFUNCTION("""COMPUTED_VALUE"""),"Non Urgent")</f>
        <v>Non Urgent</v>
      </c>
    </row>
    <row r="526">
      <c r="A526" s="4">
        <f>IFERROR(__xludf.DUMMYFUNCTION("""COMPUTED_VALUE"""),46047.83255263889)</f>
        <v>46047.83255</v>
      </c>
      <c r="B526" s="3" t="str">
        <f>IFERROR(__xludf.DUMMYFUNCTION("""COMPUTED_VALUE"""),"MFHRO0248")</f>
        <v>MFHRO0248</v>
      </c>
      <c r="C526" s="3" t="str">
        <f>IFERROR(__xludf.DUMMYFUNCTION("""COMPUTED_VALUE"""),"MIn Stok")</f>
        <v>MIn Stok</v>
      </c>
      <c r="D526" s="3" t="str">
        <f>IFERROR(__xludf.DUMMYFUNCTION("""COMPUTED_VALUE"""),"-")</f>
        <v>-</v>
      </c>
      <c r="E526" s="3" t="str">
        <f>IFERROR(__xludf.DUMMYFUNCTION("""COMPUTED_VALUE"""),"FD")</f>
        <v>FD</v>
      </c>
      <c r="F526" s="3" t="str">
        <f>IFERROR(__xludf.DUMMYFUNCTION("""COMPUTED_VALUE"""),"General - Diaphragm Grade ER SQUARE Type A EPDM Diaphragm Screw; Saunders; DP008ER; 1 Pc")</f>
        <v>General - Diaphragm Grade ER SQUARE Type A EPDM Diaphragm Screw; Saunders; DP008ER; 1 Pc</v>
      </c>
      <c r="G526" s="3">
        <f>IFERROR(__xludf.DUMMYFUNCTION("""COMPUTED_VALUE"""),3.0)</f>
        <v>3</v>
      </c>
      <c r="H526" s="3" t="str">
        <f>IFERROR(__xludf.DUMMYFUNCTION("""COMPUTED_VALUE"""),"Pieces")</f>
        <v>Pieces</v>
      </c>
      <c r="I526" s="3" t="str">
        <f>IFERROR(__xludf.DUMMYFUNCTION("""COMPUTED_VALUE"""),"121703434 - APPROVED")</f>
        <v>121703434 - APPROVED</v>
      </c>
      <c r="J526" s="3" t="str">
        <f>IFERROR(__xludf.DUMMYFUNCTION("""COMPUTED_VALUE"""),"O-20496-00")</f>
        <v>O-20496-00</v>
      </c>
      <c r="K526" s="3" t="str">
        <f>IFERROR(__xludf.DUMMYFUNCTION("""COMPUTED_VALUE"""),"Approve")</f>
        <v>Approve</v>
      </c>
      <c r="L526" s="3" t="str">
        <f>IFERROR(__xludf.DUMMYFUNCTION("""COMPUTED_VALUE"""),"Normal")</f>
        <v>Normal</v>
      </c>
      <c r="M526" s="3" t="str">
        <f>IFERROR(__xludf.DUMMYFUNCTION("""COMPUTED_VALUE"""),"Non Urgent")</f>
        <v>Non Urgent</v>
      </c>
    </row>
    <row r="527">
      <c r="A527" s="4">
        <f>IFERROR(__xludf.DUMMYFUNCTION("""COMPUTED_VALUE"""),46047.83255263889)</f>
        <v>46047.83255</v>
      </c>
      <c r="B527" s="3" t="str">
        <f>IFERROR(__xludf.DUMMYFUNCTION("""COMPUTED_VALUE"""),"MFHRO0249")</f>
        <v>MFHRO0249</v>
      </c>
      <c r="C527" s="3" t="str">
        <f>IFERROR(__xludf.DUMMYFUNCTION("""COMPUTED_VALUE"""),"MIn Stok")</f>
        <v>MIn Stok</v>
      </c>
      <c r="D527" s="3" t="str">
        <f>IFERROR(__xludf.DUMMYFUNCTION("""COMPUTED_VALUE"""),"-")</f>
        <v>-</v>
      </c>
      <c r="E527" s="3" t="str">
        <f>IFERROR(__xludf.DUMMYFUNCTION("""COMPUTED_VALUE"""),"Autoclave")</f>
        <v>Autoclave</v>
      </c>
      <c r="F527" s="3" t="str">
        <f>IFERROR(__xludf.DUMMYFUNCTION("""COMPUTED_VALUE"""),"Autoclave Service NA2247AU - Pressure Transducer MOD. PBMH 24; Fedegari; CD230063; 1 Pc")</f>
        <v>Autoclave Service NA2247AU - Pressure Transducer MOD. PBMH 24; Fedegari; CD230063; 1 Pc</v>
      </c>
      <c r="G527" s="3">
        <f>IFERROR(__xludf.DUMMYFUNCTION("""COMPUTED_VALUE"""),1.0)</f>
        <v>1</v>
      </c>
      <c r="H527" s="3" t="str">
        <f>IFERROR(__xludf.DUMMYFUNCTION("""COMPUTED_VALUE"""),"Pieces")</f>
        <v>Pieces</v>
      </c>
      <c r="I527" s="3" t="str">
        <f>IFERROR(__xludf.DUMMYFUNCTION("""COMPUTED_VALUE"""),"121703435 - APPROVED")</f>
        <v>121703435 - APPROVED</v>
      </c>
      <c r="J527" s="3" t="str">
        <f>IFERROR(__xludf.DUMMYFUNCTION("""COMPUTED_VALUE"""),"O-53441-00")</f>
        <v>O-53441-00</v>
      </c>
      <c r="K527" s="3" t="str">
        <f>IFERROR(__xludf.DUMMYFUNCTION("""COMPUTED_VALUE"""),"Approve")</f>
        <v>Approve</v>
      </c>
      <c r="L527" s="3" t="str">
        <f>IFERROR(__xludf.DUMMYFUNCTION("""COMPUTED_VALUE"""),"Normal")</f>
        <v>Normal</v>
      </c>
      <c r="M527" s="3" t="str">
        <f>IFERROR(__xludf.DUMMYFUNCTION("""COMPUTED_VALUE"""),"Non Urgent")</f>
        <v>Non Urgent</v>
      </c>
    </row>
    <row r="528">
      <c r="A528" s="4">
        <f>IFERROR(__xludf.DUMMYFUNCTION("""COMPUTED_VALUE"""),46047.83255263889)</f>
        <v>46047.83255</v>
      </c>
      <c r="B528" s="3" t="str">
        <f>IFERROR(__xludf.DUMMYFUNCTION("""COMPUTED_VALUE"""),"MFHRO0250")</f>
        <v>MFHRO0250</v>
      </c>
      <c r="C528" s="3" t="str">
        <f>IFERROR(__xludf.DUMMYFUNCTION("""COMPUTED_VALUE"""),"MIn Stok")</f>
        <v>MIn Stok</v>
      </c>
      <c r="D528" s="3" t="str">
        <f>IFERROR(__xludf.DUMMYFUNCTION("""COMPUTED_VALUE"""),"-")</f>
        <v>-</v>
      </c>
      <c r="E528" s="3" t="str">
        <f>IFERROR(__xludf.DUMMYFUNCTION("""COMPUTED_VALUE"""),"Autoclave")</f>
        <v>Autoclave</v>
      </c>
      <c r="F528" s="3" t="str">
        <f>IFERROR(__xludf.DUMMYFUNCTION("""COMPUTED_VALUE"""),"Autoclave FVA2/A1 - SILICONE GASKET FO-5 900X1300; Fedegari; PP600076; 1 Pc")</f>
        <v>Autoclave FVA2/A1 - SILICONE GASKET FO-5 900X1300; Fedegari; PP600076; 1 Pc</v>
      </c>
      <c r="G528" s="3">
        <f>IFERROR(__xludf.DUMMYFUNCTION("""COMPUTED_VALUE"""),1.0)</f>
        <v>1</v>
      </c>
      <c r="H528" s="3" t="str">
        <f>IFERROR(__xludf.DUMMYFUNCTION("""COMPUTED_VALUE"""),"Pieces")</f>
        <v>Pieces</v>
      </c>
      <c r="I528" s="3" t="str">
        <f>IFERROR(__xludf.DUMMYFUNCTION("""COMPUTED_VALUE"""),"121703435 - APPROVED")</f>
        <v>121703435 - APPROVED</v>
      </c>
      <c r="J528" s="3" t="str">
        <f>IFERROR(__xludf.DUMMYFUNCTION("""COMPUTED_VALUE"""),"O-20982-00")</f>
        <v>O-20982-00</v>
      </c>
      <c r="K528" s="3" t="str">
        <f>IFERROR(__xludf.DUMMYFUNCTION("""COMPUTED_VALUE"""),"Approve")</f>
        <v>Approve</v>
      </c>
      <c r="L528" s="3" t="str">
        <f>IFERROR(__xludf.DUMMYFUNCTION("""COMPUTED_VALUE"""),"Normal")</f>
        <v>Normal</v>
      </c>
      <c r="M528" s="3" t="str">
        <f>IFERROR(__xludf.DUMMYFUNCTION("""COMPUTED_VALUE"""),"Non Urgent")</f>
        <v>Non Urgent</v>
      </c>
    </row>
    <row r="529">
      <c r="A529" s="4">
        <f>IFERROR(__xludf.DUMMYFUNCTION("""COMPUTED_VALUE"""),46047.83255263889)</f>
        <v>46047.83255</v>
      </c>
      <c r="B529" s="3" t="str">
        <f>IFERROR(__xludf.DUMMYFUNCTION("""COMPUTED_VALUE"""),"MFHRO0251")</f>
        <v>MFHRO0251</v>
      </c>
      <c r="C529" s="3" t="str">
        <f>IFERROR(__xludf.DUMMYFUNCTION("""COMPUTED_VALUE"""),"MIn Stok")</f>
        <v>MIn Stok</v>
      </c>
      <c r="D529" s="3" t="str">
        <f>IFERROR(__xludf.DUMMYFUNCTION("""COMPUTED_VALUE"""),"-")</f>
        <v>-</v>
      </c>
      <c r="E529" s="3" t="str">
        <f>IFERROR(__xludf.DUMMYFUNCTION("""COMPUTED_VALUE"""),"Autoclave")</f>
        <v>Autoclave</v>
      </c>
      <c r="F529" s="3" t="str">
        <f>IFERROR(__xludf.DUMMYFUNCTION("""COMPUTED_VALUE"""),"Autoclave Service NA2247AU - Pressure Switch Alco Controls PS3-AJR 0.8-1 bar Assy; Fedegari; GP00045; 1 Pc")</f>
        <v>Autoclave Service NA2247AU - Pressure Switch Alco Controls PS3-AJR 0.8-1 bar Assy; Fedegari; GP00045; 1 Pc</v>
      </c>
      <c r="G529" s="3">
        <f>IFERROR(__xludf.DUMMYFUNCTION("""COMPUTED_VALUE"""),1.0)</f>
        <v>1</v>
      </c>
      <c r="H529" s="3" t="str">
        <f>IFERROR(__xludf.DUMMYFUNCTION("""COMPUTED_VALUE"""),"Pieces")</f>
        <v>Pieces</v>
      </c>
      <c r="I529" s="3" t="str">
        <f>IFERROR(__xludf.DUMMYFUNCTION("""COMPUTED_VALUE"""),"121703437 - APPROVED")</f>
        <v>121703437 - APPROVED</v>
      </c>
      <c r="J529" s="3" t="str">
        <f>IFERROR(__xludf.DUMMYFUNCTION("""COMPUTED_VALUE"""),"O-53442-00")</f>
        <v>O-53442-00</v>
      </c>
      <c r="K529" s="3" t="str">
        <f>IFERROR(__xludf.DUMMYFUNCTION("""COMPUTED_VALUE"""),"Approve")</f>
        <v>Approve</v>
      </c>
      <c r="L529" s="3" t="str">
        <f>IFERROR(__xludf.DUMMYFUNCTION("""COMPUTED_VALUE"""),"Normal")</f>
        <v>Normal</v>
      </c>
      <c r="M529" s="3" t="str">
        <f>IFERROR(__xludf.DUMMYFUNCTION("""COMPUTED_VALUE"""),"Non Urgent")</f>
        <v>Non Urgent</v>
      </c>
    </row>
    <row r="530">
      <c r="A530" s="4">
        <f>IFERROR(__xludf.DUMMYFUNCTION("""COMPUTED_VALUE"""),46047.83255263889)</f>
        <v>46047.83255</v>
      </c>
      <c r="B530" s="3" t="str">
        <f>IFERROR(__xludf.DUMMYFUNCTION("""COMPUTED_VALUE"""),"MFHRO0252")</f>
        <v>MFHRO0252</v>
      </c>
      <c r="C530" s="3" t="str">
        <f>IFERROR(__xludf.DUMMYFUNCTION("""COMPUTED_VALUE"""),"MIn Stok")</f>
        <v>MIn Stok</v>
      </c>
      <c r="D530" s="3" t="str">
        <f>IFERROR(__xludf.DUMMYFUNCTION("""COMPUTED_VALUE"""),"-")</f>
        <v>-</v>
      </c>
      <c r="E530" s="3" t="str">
        <f>IFERROR(__xludf.DUMMYFUNCTION("""COMPUTED_VALUE"""),"Autoclave")</f>
        <v>Autoclave</v>
      </c>
      <c r="F530" s="3" t="str">
        <f>IFERROR(__xludf.DUMMYFUNCTION("""COMPUTED_VALUE"""),"Autoclave Service NA2247AU - O ring 15.47x3.53; Fedegari; CC150170; 1 Pc")</f>
        <v>Autoclave Service NA2247AU - O ring 15.47x3.53; Fedegari; CC150170; 1 Pc</v>
      </c>
      <c r="G530" s="3">
        <f>IFERROR(__xludf.DUMMYFUNCTION("""COMPUTED_VALUE"""),5.0)</f>
        <v>5</v>
      </c>
      <c r="H530" s="3" t="str">
        <f>IFERROR(__xludf.DUMMYFUNCTION("""COMPUTED_VALUE"""),"Pieces")</f>
        <v>Pieces</v>
      </c>
      <c r="I530" s="3" t="str">
        <f>IFERROR(__xludf.DUMMYFUNCTION("""COMPUTED_VALUE"""),"121703437 - APPROVED")</f>
        <v>121703437 - APPROVED</v>
      </c>
      <c r="J530" s="3" t="str">
        <f>IFERROR(__xludf.DUMMYFUNCTION("""COMPUTED_VALUE"""),"O-21124-00")</f>
        <v>O-21124-00</v>
      </c>
      <c r="K530" s="3" t="str">
        <f>IFERROR(__xludf.DUMMYFUNCTION("""COMPUTED_VALUE"""),"Approve")</f>
        <v>Approve</v>
      </c>
      <c r="L530" s="3" t="str">
        <f>IFERROR(__xludf.DUMMYFUNCTION("""COMPUTED_VALUE"""),"Normal")</f>
        <v>Normal</v>
      </c>
      <c r="M530" s="3" t="str">
        <f>IFERROR(__xludf.DUMMYFUNCTION("""COMPUTED_VALUE"""),"Non Urgent")</f>
        <v>Non Urgent</v>
      </c>
    </row>
    <row r="531">
      <c r="A531" s="4">
        <f>IFERROR(__xludf.DUMMYFUNCTION("""COMPUTED_VALUE"""),46047.83255263889)</f>
        <v>46047.83255</v>
      </c>
      <c r="B531" s="3" t="str">
        <f>IFERROR(__xludf.DUMMYFUNCTION("""COMPUTED_VALUE"""),"MFHRO0253")</f>
        <v>MFHRO0253</v>
      </c>
      <c r="C531" s="3" t="str">
        <f>IFERROR(__xludf.DUMMYFUNCTION("""COMPUTED_VALUE"""),"MIn Stok")</f>
        <v>MIn Stok</v>
      </c>
      <c r="D531" s="3" t="str">
        <f>IFERROR(__xludf.DUMMYFUNCTION("""COMPUTED_VALUE"""),"-")</f>
        <v>-</v>
      </c>
      <c r="E531" s="3" t="str">
        <f>IFERROR(__xludf.DUMMYFUNCTION("""COMPUTED_VALUE"""),"Autoclave")</f>
        <v>Autoclave</v>
      </c>
      <c r="F531" s="3" t="str">
        <f>IFERROR(__xludf.DUMMYFUNCTION("""COMPUTED_VALUE"""),"Autoclave Service NA2247AU - O ring 34.52x3.53; Fedegari; CC150171; 1 Pc")</f>
        <v>Autoclave Service NA2247AU - O ring 34.52x3.53; Fedegari; CC150171; 1 Pc</v>
      </c>
      <c r="G531" s="3">
        <f>IFERROR(__xludf.DUMMYFUNCTION("""COMPUTED_VALUE"""),5.0)</f>
        <v>5</v>
      </c>
      <c r="H531" s="3" t="str">
        <f>IFERROR(__xludf.DUMMYFUNCTION("""COMPUTED_VALUE"""),"Pieces")</f>
        <v>Pieces</v>
      </c>
      <c r="I531" s="3" t="str">
        <f>IFERROR(__xludf.DUMMYFUNCTION("""COMPUTED_VALUE"""),"121703437 - APPROVED")</f>
        <v>121703437 - APPROVED</v>
      </c>
      <c r="J531" s="3" t="str">
        <f>IFERROR(__xludf.DUMMYFUNCTION("""COMPUTED_VALUE"""),"O-21125-00")</f>
        <v>O-21125-00</v>
      </c>
      <c r="K531" s="3" t="str">
        <f>IFERROR(__xludf.DUMMYFUNCTION("""COMPUTED_VALUE"""),"Approve")</f>
        <v>Approve</v>
      </c>
      <c r="L531" s="3" t="str">
        <f>IFERROR(__xludf.DUMMYFUNCTION("""COMPUTED_VALUE"""),"Normal")</f>
        <v>Normal</v>
      </c>
      <c r="M531" s="3" t="str">
        <f>IFERROR(__xludf.DUMMYFUNCTION("""COMPUTED_VALUE"""),"Non Urgent")</f>
        <v>Non Urgent</v>
      </c>
    </row>
    <row r="532">
      <c r="A532" s="4">
        <f>IFERROR(__xludf.DUMMYFUNCTION("""COMPUTED_VALUE"""),46047.83255263889)</f>
        <v>46047.83255</v>
      </c>
      <c r="B532" s="3" t="str">
        <f>IFERROR(__xludf.DUMMYFUNCTION("""COMPUTED_VALUE"""),"MFHRO0254")</f>
        <v>MFHRO0254</v>
      </c>
      <c r="C532" s="3" t="str">
        <f>IFERROR(__xludf.DUMMYFUNCTION("""COMPUTED_VALUE"""),"MIn Stok")</f>
        <v>MIn Stok</v>
      </c>
      <c r="D532" s="3" t="str">
        <f>IFERROR(__xludf.DUMMYFUNCTION("""COMPUTED_VALUE"""),"-")</f>
        <v>-</v>
      </c>
      <c r="E532" s="3" t="str">
        <f>IFERROR(__xludf.DUMMYFUNCTION("""COMPUTED_VALUE"""),"cRABS")</f>
        <v>cRABS</v>
      </c>
      <c r="F532" s="3" t="str">
        <f>IFERROR(__xludf.DUMMYFUNCTION("""COMPUTED_VALUE"""),"cRABS Z064CR - DOOR SAFETY SWITCHES ; SCHMERSAL ; MAGNET BPS-260; ; 14061; 1 Pc")</f>
        <v>cRABS Z064CR - DOOR SAFETY SWITCHES ; SCHMERSAL ; MAGNET BPS-260; ; 14061; 1 Pc</v>
      </c>
      <c r="G532" s="3">
        <f>IFERROR(__xludf.DUMMYFUNCTION("""COMPUTED_VALUE"""),1.0)</f>
        <v>1</v>
      </c>
      <c r="H532" s="3" t="str">
        <f>IFERROR(__xludf.DUMMYFUNCTION("""COMPUTED_VALUE"""),"Pieces")</f>
        <v>Pieces</v>
      </c>
      <c r="I532" s="3" t="str">
        <f>IFERROR(__xludf.DUMMYFUNCTION("""COMPUTED_VALUE"""),"121703438 - APPROVED")</f>
        <v>121703438 - APPROVED</v>
      </c>
      <c r="J532" s="3" t="str">
        <f>IFERROR(__xludf.DUMMYFUNCTION("""COMPUTED_VALUE"""),"O-53466-00")</f>
        <v>O-53466-00</v>
      </c>
      <c r="K532" s="3" t="str">
        <f>IFERROR(__xludf.DUMMYFUNCTION("""COMPUTED_VALUE"""),"Approve")</f>
        <v>Approve</v>
      </c>
      <c r="L532" s="3" t="str">
        <f>IFERROR(__xludf.DUMMYFUNCTION("""COMPUTED_VALUE"""),"Normal")</f>
        <v>Normal</v>
      </c>
      <c r="M532" s="3" t="str">
        <f>IFERROR(__xludf.DUMMYFUNCTION("""COMPUTED_VALUE"""),"Non Urgent")</f>
        <v>Non Urgent</v>
      </c>
    </row>
    <row r="533">
      <c r="A533" s="4">
        <f>IFERROR(__xludf.DUMMYFUNCTION("""COMPUTED_VALUE"""),46047.83255263889)</f>
        <v>46047.83255</v>
      </c>
      <c r="B533" s="3" t="str">
        <f>IFERROR(__xludf.DUMMYFUNCTION("""COMPUTED_VALUE"""),"MFHRO0255")</f>
        <v>MFHRO0255</v>
      </c>
      <c r="C533" s="3" t="str">
        <f>IFERROR(__xludf.DUMMYFUNCTION("""COMPUTED_VALUE"""),"MIn Stok")</f>
        <v>MIn Stok</v>
      </c>
      <c r="D533" s="3" t="str">
        <f>IFERROR(__xludf.DUMMYFUNCTION("""COMPUTED_VALUE"""),"-")</f>
        <v>-</v>
      </c>
      <c r="E533" s="3" t="str">
        <f>IFERROR(__xludf.DUMMYFUNCTION("""COMPUTED_VALUE"""),"Washing")</f>
        <v>Washing</v>
      </c>
      <c r="F533" s="3" t="str">
        <f>IFERROR(__xludf.DUMMYFUNCTION("""COMPUTED_VALUE"""),"Washing RAR4 - Needle PW, OD.15mmx123mm, Material SS 319; ; ;")</f>
        <v>Washing RAR4 - Needle PW, OD.15mmx123mm, Material SS 319; ; ;</v>
      </c>
      <c r="G533" s="3">
        <f>IFERROR(__xludf.DUMMYFUNCTION("""COMPUTED_VALUE"""),1.0)</f>
        <v>1</v>
      </c>
      <c r="H533" s="3" t="str">
        <f>IFERROR(__xludf.DUMMYFUNCTION("""COMPUTED_VALUE"""),"Pieces")</f>
        <v>Pieces</v>
      </c>
      <c r="I533" s="3" t="str">
        <f>IFERROR(__xludf.DUMMYFUNCTION("""COMPUTED_VALUE"""),"121703439 - APPROVED")</f>
        <v>121703439 - APPROVED</v>
      </c>
      <c r="J533" s="3" t="str">
        <f>IFERROR(__xludf.DUMMYFUNCTION("""COMPUTED_VALUE"""),"O-19372-00")</f>
        <v>O-19372-00</v>
      </c>
      <c r="K533" s="3" t="str">
        <f>IFERROR(__xludf.DUMMYFUNCTION("""COMPUTED_VALUE"""),"Approve")</f>
        <v>Approve</v>
      </c>
      <c r="L533" s="3" t="str">
        <f>IFERROR(__xludf.DUMMYFUNCTION("""COMPUTED_VALUE"""),"Normal")</f>
        <v>Normal</v>
      </c>
      <c r="M533" s="3" t="str">
        <f>IFERROR(__xludf.DUMMYFUNCTION("""COMPUTED_VALUE"""),"Non Urgent")</f>
        <v>Non Urgent</v>
      </c>
    </row>
    <row r="534">
      <c r="A534" s="4">
        <f>IFERROR(__xludf.DUMMYFUNCTION("""COMPUTED_VALUE"""),46047.83255263889)</f>
        <v>46047.83255</v>
      </c>
      <c r="B534" s="3" t="str">
        <f>IFERROR(__xludf.DUMMYFUNCTION("""COMPUTED_VALUE"""),"MFHRO0256")</f>
        <v>MFHRO0256</v>
      </c>
      <c r="C534" s="3" t="str">
        <f>IFERROR(__xludf.DUMMYFUNCTION("""COMPUTED_VALUE"""),"MIn Stok")</f>
        <v>MIn Stok</v>
      </c>
      <c r="D534" s="3" t="str">
        <f>IFERROR(__xludf.DUMMYFUNCTION("""COMPUTED_VALUE"""),"-")</f>
        <v>-</v>
      </c>
      <c r="E534" s="3" t="str">
        <f>IFERROR(__xludf.DUMMYFUNCTION("""COMPUTED_VALUE"""),"Hepa")</f>
        <v>Hepa</v>
      </c>
      <c r="F534" s="3" t="str">
        <f>IFERROR(__xludf.DUMMYFUNCTION("""COMPUTED_VALUE"""),"HB Series (H13) :592x592x292mm Minimum efficiency : 99,99% on 0,3 micron Rec.final resistance:50; IAF; ;")</f>
        <v>HB Series (H13) :592x592x292mm Minimum efficiency : 99,99% on 0,3 micron Rec.final resistance:50; IAF; ;</v>
      </c>
      <c r="G534" s="3">
        <f>IFERROR(__xludf.DUMMYFUNCTION("""COMPUTED_VALUE"""),6.0)</f>
        <v>6</v>
      </c>
      <c r="H534" s="3" t="str">
        <f>IFERROR(__xludf.DUMMYFUNCTION("""COMPUTED_VALUE"""),"Pieces")</f>
        <v>Pieces</v>
      </c>
      <c r="I534" s="3" t="str">
        <f>IFERROR(__xludf.DUMMYFUNCTION("""COMPUTED_VALUE"""),"121703440 - APPROVED")</f>
        <v>121703440 - APPROVED</v>
      </c>
      <c r="J534" s="3" t="str">
        <f>IFERROR(__xludf.DUMMYFUNCTION("""COMPUTED_VALUE"""),"P-19206-00")</f>
        <v>P-19206-00</v>
      </c>
      <c r="K534" s="3" t="str">
        <f>IFERROR(__xludf.DUMMYFUNCTION("""COMPUTED_VALUE"""),"Approve")</f>
        <v>Approve</v>
      </c>
      <c r="L534" s="3" t="str">
        <f>IFERROR(__xludf.DUMMYFUNCTION("""COMPUTED_VALUE"""),"Normal")</f>
        <v>Normal</v>
      </c>
      <c r="M534" s="3" t="str">
        <f>IFERROR(__xludf.DUMMYFUNCTION("""COMPUTED_VALUE"""),"Non Urgent")</f>
        <v>Non Urgent</v>
      </c>
    </row>
    <row r="535">
      <c r="A535" s="4">
        <f>IFERROR(__xludf.DUMMYFUNCTION("""COMPUTED_VALUE"""),46047.83255263889)</f>
        <v>46047.83255</v>
      </c>
      <c r="B535" s="3" t="str">
        <f>IFERROR(__xludf.DUMMYFUNCTION("""COMPUTED_VALUE"""),"MFHRO0257")</f>
        <v>MFHRO0257</v>
      </c>
      <c r="C535" s="3" t="str">
        <f>IFERROR(__xludf.DUMMYFUNCTION("""COMPUTED_VALUE"""),"MIn Stok")</f>
        <v>MIn Stok</v>
      </c>
      <c r="D535" s="3" t="str">
        <f>IFERROR(__xludf.DUMMYFUNCTION("""COMPUTED_VALUE"""),"-")</f>
        <v>-</v>
      </c>
      <c r="E535" s="3" t="str">
        <f>IFERROR(__xludf.DUMMYFUNCTION("""COMPUTED_VALUE"""),"Hepa")</f>
        <v>Hepa</v>
      </c>
      <c r="F535" s="3" t="str">
        <f>IFERROR(__xludf.DUMMYFUNCTION("""COMPUTED_VALUE"""),"General - IAF HB Series (H13) Minimum eff.: 99.99% on 0.3 micron, Size: 305 x 305 x 292mm; IAF; -; 1 pc")</f>
        <v>General - IAF HB Series (H13) Minimum eff.: 99.99% on 0.3 micron, Size: 305 x 305 x 292mm; IAF; -; 1 pc</v>
      </c>
      <c r="G535" s="3">
        <f>IFERROR(__xludf.DUMMYFUNCTION("""COMPUTED_VALUE"""),1.0)</f>
        <v>1</v>
      </c>
      <c r="H535" s="3" t="str">
        <f>IFERROR(__xludf.DUMMYFUNCTION("""COMPUTED_VALUE"""),"Pieces")</f>
        <v>Pieces</v>
      </c>
      <c r="I535" s="3" t="str">
        <f>IFERROR(__xludf.DUMMYFUNCTION("""COMPUTED_VALUE"""),"121703441 - APPROVED")</f>
        <v>121703441 - APPROVED</v>
      </c>
      <c r="J535" s="3" t="str">
        <f>IFERROR(__xludf.DUMMYFUNCTION("""COMPUTED_VALUE"""),"P-13787-00")</f>
        <v>P-13787-00</v>
      </c>
      <c r="K535" s="3" t="str">
        <f>IFERROR(__xludf.DUMMYFUNCTION("""COMPUTED_VALUE"""),"Approve")</f>
        <v>Approve</v>
      </c>
      <c r="L535" s="3" t="str">
        <f>IFERROR(__xludf.DUMMYFUNCTION("""COMPUTED_VALUE"""),"Normal")</f>
        <v>Normal</v>
      </c>
      <c r="M535" s="3" t="str">
        <f>IFERROR(__xludf.DUMMYFUNCTION("""COMPUTED_VALUE"""),"Non Urgent")</f>
        <v>Non Urgent</v>
      </c>
    </row>
    <row r="536">
      <c r="A536" s="4">
        <f>IFERROR(__xludf.DUMMYFUNCTION("""COMPUTED_VALUE"""),46047.83255263889)</f>
        <v>46047.83255</v>
      </c>
      <c r="B536" s="3" t="str">
        <f>IFERROR(__xludf.DUMMYFUNCTION("""COMPUTED_VALUE"""),"MFHRO0258")</f>
        <v>MFHRO0258</v>
      </c>
      <c r="C536" s="3" t="str">
        <f>IFERROR(__xludf.DUMMYFUNCTION("""COMPUTED_VALUE"""),"MIn Stok")</f>
        <v>MIn Stok</v>
      </c>
      <c r="D536" s="3" t="str">
        <f>IFERROR(__xludf.DUMMYFUNCTION("""COMPUTED_VALUE"""),"-")</f>
        <v>-</v>
      </c>
      <c r="E536" s="3" t="str">
        <f>IFERROR(__xludf.DUMMYFUNCTION("""COMPUTED_VALUE"""),"FD")</f>
        <v>FD</v>
      </c>
      <c r="F536" s="3" t="str">
        <f>IFERROR(__xludf.DUMMYFUNCTION("""COMPUTED_VALUE"""),"Freeze Dryer MBE1207 - Mechanical Positioner Switch 50-0406-12610-532 P/n: EB14-00072; BRAY; ;")</f>
        <v>Freeze Dryer MBE1207 - Mechanical Positioner Switch 50-0406-12610-532 P/n: EB14-00072; BRAY; ;</v>
      </c>
      <c r="G536" s="3">
        <f>IFERROR(__xludf.DUMMYFUNCTION("""COMPUTED_VALUE"""),2.0)</f>
        <v>2</v>
      </c>
      <c r="H536" s="3" t="str">
        <f>IFERROR(__xludf.DUMMYFUNCTION("""COMPUTED_VALUE"""),"Pieces")</f>
        <v>Pieces</v>
      </c>
      <c r="I536" s="3" t="str">
        <f>IFERROR(__xludf.DUMMYFUNCTION("""COMPUTED_VALUE"""),"121703442 - APPROVED")</f>
        <v>121703442 - APPROVED</v>
      </c>
      <c r="J536" s="3" t="str">
        <f>IFERROR(__xludf.DUMMYFUNCTION("""COMPUTED_VALUE"""),"O-52841-00")</f>
        <v>O-52841-00</v>
      </c>
      <c r="K536" s="3" t="str">
        <f>IFERROR(__xludf.DUMMYFUNCTION("""COMPUTED_VALUE"""),"Approve")</f>
        <v>Approve</v>
      </c>
      <c r="L536" s="3" t="str">
        <f>IFERROR(__xludf.DUMMYFUNCTION("""COMPUTED_VALUE"""),"Normal")</f>
        <v>Normal</v>
      </c>
      <c r="M536" s="3" t="str">
        <f>IFERROR(__xludf.DUMMYFUNCTION("""COMPUTED_VALUE"""),"Non Urgent")</f>
        <v>Non Urgent</v>
      </c>
    </row>
    <row r="537">
      <c r="A537" s="4">
        <f>IFERROR(__xludf.DUMMYFUNCTION("""COMPUTED_VALUE"""),46047.83255263889)</f>
        <v>46047.83255</v>
      </c>
      <c r="B537" s="3" t="str">
        <f>IFERROR(__xludf.DUMMYFUNCTION("""COMPUTED_VALUE"""),"MFHRO0259")</f>
        <v>MFHRO0259</v>
      </c>
      <c r="C537" s="3" t="str">
        <f>IFERROR(__xludf.DUMMYFUNCTION("""COMPUTED_VALUE"""),"MIn Stok")</f>
        <v>MIn Stok</v>
      </c>
      <c r="D537" s="3" t="str">
        <f>IFERROR(__xludf.DUMMYFUNCTION("""COMPUTED_VALUE"""),"-")</f>
        <v>-</v>
      </c>
      <c r="E537" s="3" t="str">
        <f>IFERROR(__xludf.DUMMYFUNCTION("""COMPUTED_VALUE"""),"Washing")</f>
        <v>Washing</v>
      </c>
      <c r="F537" s="3" t="str">
        <f>IFERROR(__xludf.DUMMYFUNCTION("""COMPUTED_VALUE"""),"Washing RAR4 - Steel Ball / Gotri 2.5mm; -; -; 1 pck = 100pc")</f>
        <v>Washing RAR4 - Steel Ball / Gotri 2.5mm; -; -; 1 pck = 100pc</v>
      </c>
      <c r="G537" s="3">
        <f>IFERROR(__xludf.DUMMYFUNCTION("""COMPUTED_VALUE"""),1.0)</f>
        <v>1</v>
      </c>
      <c r="H537" s="3" t="str">
        <f>IFERROR(__xludf.DUMMYFUNCTION("""COMPUTED_VALUE"""),"Pack")</f>
        <v>Pack</v>
      </c>
      <c r="I537" s="3" t="str">
        <f>IFERROR(__xludf.DUMMYFUNCTION("""COMPUTED_VALUE"""),"121703457 - APPROVED")</f>
        <v>121703457 - APPROVED</v>
      </c>
      <c r="J537" s="3" t="str">
        <f>IFERROR(__xludf.DUMMYFUNCTION("""COMPUTED_VALUE"""),"O-21032-00")</f>
        <v>O-21032-00</v>
      </c>
      <c r="K537" s="3" t="str">
        <f>IFERROR(__xludf.DUMMYFUNCTION("""COMPUTED_VALUE"""),"Approve")</f>
        <v>Approve</v>
      </c>
      <c r="L537" s="3" t="str">
        <f>IFERROR(__xludf.DUMMYFUNCTION("""COMPUTED_VALUE"""),"Normal")</f>
        <v>Normal</v>
      </c>
      <c r="M537" s="3" t="str">
        <f>IFERROR(__xludf.DUMMYFUNCTION("""COMPUTED_VALUE"""),"Non Urgent")</f>
        <v>Non Urgent</v>
      </c>
    </row>
    <row r="538">
      <c r="A538" s="4">
        <f>IFERROR(__xludf.DUMMYFUNCTION("""COMPUTED_VALUE"""),46047.83255263889)</f>
        <v>46047.83255</v>
      </c>
      <c r="B538" s="3" t="str">
        <f>IFERROR(__xludf.DUMMYFUNCTION("""COMPUTED_VALUE"""),"MFHRO0260")</f>
        <v>MFHRO0260</v>
      </c>
      <c r="C538" s="3" t="str">
        <f>IFERROR(__xludf.DUMMYFUNCTION("""COMPUTED_VALUE"""),"MIn Stok")</f>
        <v>MIn Stok</v>
      </c>
      <c r="D538" s="3" t="str">
        <f>IFERROR(__xludf.DUMMYFUNCTION("""COMPUTED_VALUE"""),"-")</f>
        <v>-</v>
      </c>
      <c r="E538" s="3" t="str">
        <f>IFERROR(__xludf.DUMMYFUNCTION("""COMPUTED_VALUE"""),"Filling")</f>
        <v>Filling</v>
      </c>
      <c r="F538" s="3" t="str">
        <f>IFERROR(__xludf.DUMMYFUNCTION("""COMPUTED_VALUE"""),"Filling VFM100 - PROXIMITY SENSOR, DATALOGIC  M12 NON FLUSH SHORT PNP NO IS-12-D1-S2; ; 204170; 1 Pc")</f>
        <v>Filling VFM100 - PROXIMITY SENSOR, DATALOGIC  M12 NON FLUSH SHORT PNP NO IS-12-D1-S2; ; 204170; 1 Pc</v>
      </c>
      <c r="G538" s="3">
        <f>IFERROR(__xludf.DUMMYFUNCTION("""COMPUTED_VALUE"""),1.0)</f>
        <v>1</v>
      </c>
      <c r="H538" s="3" t="str">
        <f>IFERROR(__xludf.DUMMYFUNCTION("""COMPUTED_VALUE"""),"Pieces")</f>
        <v>Pieces</v>
      </c>
      <c r="I538" s="3" t="str">
        <f>IFERROR(__xludf.DUMMYFUNCTION("""COMPUTED_VALUE"""),"121703490 - APPROVED")</f>
        <v>121703490 - APPROVED</v>
      </c>
      <c r="J538" s="3" t="str">
        <f>IFERROR(__xludf.DUMMYFUNCTION("""COMPUTED_VALUE"""),"O-53462-00")</f>
        <v>O-53462-00</v>
      </c>
      <c r="K538" s="3" t="str">
        <f>IFERROR(__xludf.DUMMYFUNCTION("""COMPUTED_VALUE"""),"Approve")</f>
        <v>Approve</v>
      </c>
      <c r="L538" s="3" t="str">
        <f>IFERROR(__xludf.DUMMYFUNCTION("""COMPUTED_VALUE"""),"Normal")</f>
        <v>Normal</v>
      </c>
      <c r="M538" s="3" t="str">
        <f>IFERROR(__xludf.DUMMYFUNCTION("""COMPUTED_VALUE"""),"Non Urgent")</f>
        <v>Non Urgent</v>
      </c>
    </row>
    <row r="539">
      <c r="A539" s="4">
        <f>IFERROR(__xludf.DUMMYFUNCTION("""COMPUTED_VALUE"""),46047.83255263889)</f>
        <v>46047.83255</v>
      </c>
      <c r="B539" s="3" t="str">
        <f>IFERROR(__xludf.DUMMYFUNCTION("""COMPUTED_VALUE"""),"MFHRO0261")</f>
        <v>MFHRO0261</v>
      </c>
      <c r="C539" s="3" t="str">
        <f>IFERROR(__xludf.DUMMYFUNCTION("""COMPUTED_VALUE"""),"MIn Stok")</f>
        <v>MIn Stok</v>
      </c>
      <c r="D539" s="3" t="str">
        <f>IFERROR(__xludf.DUMMYFUNCTION("""COMPUTED_VALUE"""),"-")</f>
        <v>-</v>
      </c>
      <c r="E539" s="3" t="str">
        <f>IFERROR(__xludf.DUMMYFUNCTION("""COMPUTED_VALUE"""),"Filling")</f>
        <v>Filling</v>
      </c>
      <c r="F539" s="3" t="str">
        <f>IFERROR(__xludf.DUMMYFUNCTION("""COMPUTED_VALUE"""),"Filling VFM100 - PROXIMITY SENSOR, DATALOGIC  M8 FLUSH 2X PNP NC IS-08-G2-S1; ; 204172; 1 Pc")</f>
        <v>Filling VFM100 - PROXIMITY SENSOR, DATALOGIC  M8 FLUSH 2X PNP NC IS-08-G2-S1; ; 204172; 1 Pc</v>
      </c>
      <c r="G539" s="3">
        <f>IFERROR(__xludf.DUMMYFUNCTION("""COMPUTED_VALUE"""),1.0)</f>
        <v>1</v>
      </c>
      <c r="H539" s="3" t="str">
        <f>IFERROR(__xludf.DUMMYFUNCTION("""COMPUTED_VALUE"""),"Pieces")</f>
        <v>Pieces</v>
      </c>
      <c r="I539" s="3" t="str">
        <f>IFERROR(__xludf.DUMMYFUNCTION("""COMPUTED_VALUE"""),"121703490 - APPROVED")</f>
        <v>121703490 - APPROVED</v>
      </c>
      <c r="J539" s="3" t="str">
        <f>IFERROR(__xludf.DUMMYFUNCTION("""COMPUTED_VALUE"""),"O-53463-00")</f>
        <v>O-53463-00</v>
      </c>
      <c r="K539" s="3" t="str">
        <f>IFERROR(__xludf.DUMMYFUNCTION("""COMPUTED_VALUE"""),"Approve")</f>
        <v>Approve</v>
      </c>
      <c r="L539" s="3" t="str">
        <f>IFERROR(__xludf.DUMMYFUNCTION("""COMPUTED_VALUE"""),"Normal")</f>
        <v>Normal</v>
      </c>
      <c r="M539" s="3" t="str">
        <f>IFERROR(__xludf.DUMMYFUNCTION("""COMPUTED_VALUE"""),"Non Urgent")</f>
        <v>Non Urgent</v>
      </c>
    </row>
    <row r="540">
      <c r="A540" s="4">
        <f>IFERROR(__xludf.DUMMYFUNCTION("""COMPUTED_VALUE"""),46047.83255263889)</f>
        <v>46047.83255</v>
      </c>
      <c r="B540" s="3" t="str">
        <f>IFERROR(__xludf.DUMMYFUNCTION("""COMPUTED_VALUE"""),"MFHRO0262")</f>
        <v>MFHRO0262</v>
      </c>
      <c r="C540" s="3" t="str">
        <f>IFERROR(__xludf.DUMMYFUNCTION("""COMPUTED_VALUE"""),"MIn Stok")</f>
        <v>MIn Stok</v>
      </c>
      <c r="D540" s="3" t="str">
        <f>IFERROR(__xludf.DUMMYFUNCTION("""COMPUTED_VALUE"""),"-")</f>
        <v>-</v>
      </c>
      <c r="E540" s="3" t="str">
        <f>IFERROR(__xludf.DUMMYFUNCTION("""COMPUTED_VALUE"""),"cRABS")</f>
        <v>cRABS</v>
      </c>
      <c r="F540" s="3" t="str">
        <f>IFERROR(__xludf.DUMMYFUNCTION("""COMPUTED_VALUE"""),"cRABS Z064CR - SENSOR PROXIMITY M12 NON FLUSH SHORT PNP NO ; DATA LOGIC; ; 204171; 1 Pc")</f>
        <v>cRABS Z064CR - SENSOR PROXIMITY M12 NON FLUSH SHORT PNP NO ; DATA LOGIC; ; 204171; 1 Pc</v>
      </c>
      <c r="G540" s="3">
        <f>IFERROR(__xludf.DUMMYFUNCTION("""COMPUTED_VALUE"""),1.0)</f>
        <v>1</v>
      </c>
      <c r="H540" s="3" t="str">
        <f>IFERROR(__xludf.DUMMYFUNCTION("""COMPUTED_VALUE"""),"Pieces")</f>
        <v>Pieces</v>
      </c>
      <c r="I540" s="3" t="str">
        <f>IFERROR(__xludf.DUMMYFUNCTION("""COMPUTED_VALUE"""),"121703490 - APPROVED")</f>
        <v>121703490 - APPROVED</v>
      </c>
      <c r="J540" s="3" t="str">
        <f>IFERROR(__xludf.DUMMYFUNCTION("""COMPUTED_VALUE"""),"O-53465-00")</f>
        <v>O-53465-00</v>
      </c>
      <c r="K540" s="3" t="str">
        <f>IFERROR(__xludf.DUMMYFUNCTION("""COMPUTED_VALUE"""),"Approve")</f>
        <v>Approve</v>
      </c>
      <c r="L540" s="3" t="str">
        <f>IFERROR(__xludf.DUMMYFUNCTION("""COMPUTED_VALUE"""),"Normal")</f>
        <v>Normal</v>
      </c>
      <c r="M540" s="3" t="str">
        <f>IFERROR(__xludf.DUMMYFUNCTION("""COMPUTED_VALUE"""),"Non Urgent")</f>
        <v>Non Urgent</v>
      </c>
    </row>
    <row r="541">
      <c r="A541" s="4">
        <f>IFERROR(__xludf.DUMMYFUNCTION("""COMPUTED_VALUE"""),46047.83255263889)</f>
        <v>46047.83255</v>
      </c>
      <c r="B541" s="3" t="str">
        <f>IFERROR(__xludf.DUMMYFUNCTION("""COMPUTED_VALUE"""),"MFHRO0263")</f>
        <v>MFHRO0263</v>
      </c>
      <c r="C541" s="3" t="str">
        <f>IFERROR(__xludf.DUMMYFUNCTION("""COMPUTED_VALUE"""),"MIn Stok")</f>
        <v>MIn Stok</v>
      </c>
      <c r="D541" s="3" t="str">
        <f>IFERROR(__xludf.DUMMYFUNCTION("""COMPUTED_VALUE"""),"-")</f>
        <v>-</v>
      </c>
      <c r="E541" s="3" t="str">
        <f>IFERROR(__xludf.DUMMYFUNCTION("""COMPUTED_VALUE"""),"EDM")</f>
        <v>EDM</v>
      </c>
      <c r="F541" s="3" t="str">
        <f>IFERROR(__xludf.DUMMYFUNCTION("""COMPUTED_VALUE"""),"EDM EDM1 - C.A. BLOWING VALVE ACTUATOR, Univer, 6869, CL-302A, Valve CL 1/8"" 3 ways 2 positions, N.C; ; 6869; 1 Pc")</f>
        <v>EDM EDM1 - C.A. BLOWING VALVE ACTUATOR, Univer, 6869, CL-302A, Valve CL 1/8" 3 ways 2 positions, N.C; ; 6869; 1 Pc</v>
      </c>
      <c r="G541" s="3">
        <f>IFERROR(__xludf.DUMMYFUNCTION("""COMPUTED_VALUE"""),2.0)</f>
        <v>2</v>
      </c>
      <c r="H541" s="3" t="str">
        <f>IFERROR(__xludf.DUMMYFUNCTION("""COMPUTED_VALUE"""),"Pieces")</f>
        <v>Pieces</v>
      </c>
      <c r="I541" s="3" t="str">
        <f>IFERROR(__xludf.DUMMYFUNCTION("""COMPUTED_VALUE"""),"121703490 - APPROVED")</f>
        <v>121703490 - APPROVED</v>
      </c>
      <c r="J541" s="3" t="str">
        <f>IFERROR(__xludf.DUMMYFUNCTION("""COMPUTED_VALUE"""),"O-53474-00")</f>
        <v>O-53474-00</v>
      </c>
      <c r="K541" s="3" t="str">
        <f>IFERROR(__xludf.DUMMYFUNCTION("""COMPUTED_VALUE"""),"Approve")</f>
        <v>Approve</v>
      </c>
      <c r="L541" s="3" t="str">
        <f>IFERROR(__xludf.DUMMYFUNCTION("""COMPUTED_VALUE"""),"Normal")</f>
        <v>Normal</v>
      </c>
      <c r="M541" s="3" t="str">
        <f>IFERROR(__xludf.DUMMYFUNCTION("""COMPUTED_VALUE"""),"Non Urgent")</f>
        <v>Non Urgent</v>
      </c>
    </row>
    <row r="542">
      <c r="A542" s="4">
        <f>IFERROR(__xludf.DUMMYFUNCTION("""COMPUTED_VALUE"""),46047.83255263889)</f>
        <v>46047.83255</v>
      </c>
      <c r="B542" s="3" t="str">
        <f>IFERROR(__xludf.DUMMYFUNCTION("""COMPUTED_VALUE"""),"MFHRO0264")</f>
        <v>MFHRO0264</v>
      </c>
      <c r="C542" s="3" t="str">
        <f>IFERROR(__xludf.DUMMYFUNCTION("""COMPUTED_VALUE"""),"MIn Stok")</f>
        <v>MIn Stok</v>
      </c>
      <c r="D542" s="3" t="str">
        <f>IFERROR(__xludf.DUMMYFUNCTION("""COMPUTED_VALUE"""),"-")</f>
        <v>-</v>
      </c>
      <c r="E542" s="3" t="str">
        <f>IFERROR(__xludf.DUMMYFUNCTION("""COMPUTED_VALUE"""),"Filling")</f>
        <v>Filling</v>
      </c>
      <c r="F542" s="3" t="str">
        <f>IFERROR(__xludf.DUMMYFUNCTION("""COMPUTED_VALUE"""),"Filling VFM100 - TEMPERATURE PROBE ;  MODEL PT100 SINGLE ELEMENT, 3 WIRES, DIAMETER 3MM, LENGTH 250M; Jumo; 29274; 1 Pc")</f>
        <v>Filling VFM100 - TEMPERATURE PROBE ;  MODEL PT100 SINGLE ELEMENT, 3 WIRES, DIAMETER 3MM, LENGTH 250M; Jumo; 29274; 1 Pc</v>
      </c>
      <c r="G542" s="3">
        <f>IFERROR(__xludf.DUMMYFUNCTION("""COMPUTED_VALUE"""),1.0)</f>
        <v>1</v>
      </c>
      <c r="H542" s="3" t="str">
        <f>IFERROR(__xludf.DUMMYFUNCTION("""COMPUTED_VALUE"""),"Pieces")</f>
        <v>Pieces</v>
      </c>
      <c r="I542" s="3" t="str">
        <f>IFERROR(__xludf.DUMMYFUNCTION("""COMPUTED_VALUE"""),"121703490 - APPROVED")</f>
        <v>121703490 - APPROVED</v>
      </c>
      <c r="J542" s="3" t="str">
        <f>IFERROR(__xludf.DUMMYFUNCTION("""COMPUTED_VALUE"""),"O-53481-00")</f>
        <v>O-53481-00</v>
      </c>
      <c r="K542" s="3" t="str">
        <f>IFERROR(__xludf.DUMMYFUNCTION("""COMPUTED_VALUE"""),"Approve")</f>
        <v>Approve</v>
      </c>
      <c r="L542" s="3" t="str">
        <f>IFERROR(__xludf.DUMMYFUNCTION("""COMPUTED_VALUE"""),"Normal")</f>
        <v>Normal</v>
      </c>
      <c r="M542" s="3" t="str">
        <f>IFERROR(__xludf.DUMMYFUNCTION("""COMPUTED_VALUE"""),"Non Urgent")</f>
        <v>Non Urgent</v>
      </c>
    </row>
    <row r="543">
      <c r="A543" s="4">
        <f>IFERROR(__xludf.DUMMYFUNCTION("""COMPUTED_VALUE"""),46047.83255263889)</f>
        <v>46047.83255</v>
      </c>
      <c r="B543" s="3" t="str">
        <f>IFERROR(__xludf.DUMMYFUNCTION("""COMPUTED_VALUE"""),"MFHRO0265")</f>
        <v>MFHRO0265</v>
      </c>
      <c r="C543" s="3" t="str">
        <f>IFERROR(__xludf.DUMMYFUNCTION("""COMPUTED_VALUE"""),"MIn Stok")</f>
        <v>MIn Stok</v>
      </c>
      <c r="D543" s="3" t="str">
        <f>IFERROR(__xludf.DUMMYFUNCTION("""COMPUTED_VALUE"""),"-")</f>
        <v>-</v>
      </c>
      <c r="E543" s="3" t="str">
        <f>IFERROR(__xludf.DUMMYFUNCTION("""COMPUTED_VALUE"""),"Filling")</f>
        <v>Filling</v>
      </c>
      <c r="F543" s="3" t="str">
        <f>IFERROR(__xludf.DUMMYFUNCTION("""COMPUTED_VALUE"""),"Filling VFM100 - SENSOR NO 10-30 VDC, 200MA; NITROGEN POST-GAS  FLOW CHECK SENSOR; ; 202196; 1 Pc")</f>
        <v>Filling VFM100 - SENSOR NO 10-30 VDC, 200MA; NITROGEN POST-GAS  FLOW CHECK SENSOR; ; 202196; 1 Pc</v>
      </c>
      <c r="G543" s="3">
        <f>IFERROR(__xludf.DUMMYFUNCTION("""COMPUTED_VALUE"""),1.0)</f>
        <v>1</v>
      </c>
      <c r="H543" s="3" t="str">
        <f>IFERROR(__xludf.DUMMYFUNCTION("""COMPUTED_VALUE"""),"Pieces")</f>
        <v>Pieces</v>
      </c>
      <c r="I543" s="3" t="str">
        <f>IFERROR(__xludf.DUMMYFUNCTION("""COMPUTED_VALUE"""),"121703490 - APPROVED")</f>
        <v>121703490 - APPROVED</v>
      </c>
      <c r="J543" s="3" t="str">
        <f>IFERROR(__xludf.DUMMYFUNCTION("""COMPUTED_VALUE"""),"O-53464-00")</f>
        <v>O-53464-00</v>
      </c>
      <c r="K543" s="3" t="str">
        <f>IFERROR(__xludf.DUMMYFUNCTION("""COMPUTED_VALUE"""),"Approve")</f>
        <v>Approve</v>
      </c>
      <c r="L543" s="3" t="str">
        <f>IFERROR(__xludf.DUMMYFUNCTION("""COMPUTED_VALUE"""),"Normal")</f>
        <v>Normal</v>
      </c>
      <c r="M543" s="3" t="str">
        <f>IFERROR(__xludf.DUMMYFUNCTION("""COMPUTED_VALUE"""),"Non Urgent")</f>
        <v>Non Urgent</v>
      </c>
    </row>
    <row r="544">
      <c r="A544" s="4">
        <f>IFERROR(__xludf.DUMMYFUNCTION("""COMPUTED_VALUE"""),46047.83255263889)</f>
        <v>46047.83255</v>
      </c>
      <c r="B544" s="3" t="str">
        <f>IFERROR(__xludf.DUMMYFUNCTION("""COMPUTED_VALUE"""),"MFHRO0266")</f>
        <v>MFHRO0266</v>
      </c>
      <c r="C544" s="3" t="str">
        <f>IFERROR(__xludf.DUMMYFUNCTION("""COMPUTED_VALUE"""),"MIn Stok")</f>
        <v>MIn Stok</v>
      </c>
      <c r="D544" s="3" t="str">
        <f>IFERROR(__xludf.DUMMYFUNCTION("""COMPUTED_VALUE"""),"-")</f>
        <v>-</v>
      </c>
      <c r="E544" s="3" t="str">
        <f>IFERROR(__xludf.DUMMYFUNCTION("""COMPUTED_VALUE"""),"Filling")</f>
        <v>Filling</v>
      </c>
      <c r="F544" s="3" t="str">
        <f>IFERROR(__xludf.DUMMYFUNCTION("""COMPUTED_VALUE"""),"Filling VFM100 - VACUUM LEVEL SWITCH ; DIGITAL VACUUM LEVEL SWITCH Code: 120511; Vuototecnica; 202545; 1 Pc")</f>
        <v>Filling VFM100 - VACUUM LEVEL SWITCH ; DIGITAL VACUUM LEVEL SWITCH Code: 120511; Vuototecnica; 202545; 1 Pc</v>
      </c>
      <c r="G544" s="3">
        <f>IFERROR(__xludf.DUMMYFUNCTION("""COMPUTED_VALUE"""),1.0)</f>
        <v>1</v>
      </c>
      <c r="H544" s="3" t="str">
        <f>IFERROR(__xludf.DUMMYFUNCTION("""COMPUTED_VALUE"""),"Pieces")</f>
        <v>Pieces</v>
      </c>
      <c r="I544" s="3" t="str">
        <f>IFERROR(__xludf.DUMMYFUNCTION("""COMPUTED_VALUE"""),"121703490 - APPROVED")</f>
        <v>121703490 - APPROVED</v>
      </c>
      <c r="J544" s="3" t="str">
        <f>IFERROR(__xludf.DUMMYFUNCTION("""COMPUTED_VALUE"""),"O-53482-00")</f>
        <v>O-53482-00</v>
      </c>
      <c r="K544" s="3" t="str">
        <f>IFERROR(__xludf.DUMMYFUNCTION("""COMPUTED_VALUE"""),"Approve")</f>
        <v>Approve</v>
      </c>
      <c r="L544" s="3" t="str">
        <f>IFERROR(__xludf.DUMMYFUNCTION("""COMPUTED_VALUE"""),"Normal")</f>
        <v>Normal</v>
      </c>
      <c r="M544" s="3" t="str">
        <f>IFERROR(__xludf.DUMMYFUNCTION("""COMPUTED_VALUE"""),"Non Urgent")</f>
        <v>Non Urgent</v>
      </c>
    </row>
    <row r="545">
      <c r="A545" s="4">
        <f>IFERROR(__xludf.DUMMYFUNCTION("""COMPUTED_VALUE"""),46047.83255263889)</f>
        <v>46047.83255</v>
      </c>
      <c r="B545" s="3" t="str">
        <f>IFERROR(__xludf.DUMMYFUNCTION("""COMPUTED_VALUE"""),"MFHRO0267")</f>
        <v>MFHRO0267</v>
      </c>
      <c r="C545" s="3" t="str">
        <f>IFERROR(__xludf.DUMMYFUNCTION("""COMPUTED_VALUE"""),"MIn Stok")</f>
        <v>MIn Stok</v>
      </c>
      <c r="D545" s="3" t="str">
        <f>IFERROR(__xludf.DUMMYFUNCTION("""COMPUTED_VALUE"""),"-")</f>
        <v>-</v>
      </c>
      <c r="E545" s="3" t="str">
        <f>IFERROR(__xludf.DUMMYFUNCTION("""COMPUTED_VALUE"""),"Steriline")</f>
        <v>Steriline</v>
      </c>
      <c r="F545" s="3" t="str">
        <f>IFERROR(__xludf.DUMMYFUNCTION("""COMPUTED_VALUE"""),"Silicon suction cup 01.11.16 PN: 202082; ; ;")</f>
        <v>Silicon suction cup 01.11.16 PN: 202082; ; ;</v>
      </c>
      <c r="G545" s="3">
        <f>IFERROR(__xludf.DUMMYFUNCTION("""COMPUTED_VALUE"""),100.0)</f>
        <v>100</v>
      </c>
      <c r="H545" s="3" t="str">
        <f>IFERROR(__xludf.DUMMYFUNCTION("""COMPUTED_VALUE"""),"Pieces")</f>
        <v>Pieces</v>
      </c>
      <c r="I545" s="3" t="str">
        <f>IFERROR(__xludf.DUMMYFUNCTION("""COMPUTED_VALUE"""),"121703490 - APPROVED")</f>
        <v>121703490 - APPROVED</v>
      </c>
      <c r="J545" s="3" t="str">
        <f>IFERROR(__xludf.DUMMYFUNCTION("""COMPUTED_VALUE"""),"O-18345-00")</f>
        <v>O-18345-00</v>
      </c>
      <c r="K545" s="3" t="str">
        <f>IFERROR(__xludf.DUMMYFUNCTION("""COMPUTED_VALUE"""),"Approve")</f>
        <v>Approve</v>
      </c>
      <c r="L545" s="3" t="str">
        <f>IFERROR(__xludf.DUMMYFUNCTION("""COMPUTED_VALUE"""),"Normal")</f>
        <v>Normal</v>
      </c>
      <c r="M545" s="3" t="str">
        <f>IFERROR(__xludf.DUMMYFUNCTION("""COMPUTED_VALUE"""),"Non Urgent")</f>
        <v>Non Urgent</v>
      </c>
    </row>
    <row r="546">
      <c r="A546" s="4">
        <f>IFERROR(__xludf.DUMMYFUNCTION("""COMPUTED_VALUE"""),46047.83255263889)</f>
        <v>46047.83255</v>
      </c>
      <c r="B546" s="3" t="str">
        <f>IFERROR(__xludf.DUMMYFUNCTION("""COMPUTED_VALUE"""),"MFHRO0268")</f>
        <v>MFHRO0268</v>
      </c>
      <c r="C546" s="3" t="str">
        <f>IFERROR(__xludf.DUMMYFUNCTION("""COMPUTED_VALUE"""),"MIn Stok")</f>
        <v>MIn Stok</v>
      </c>
      <c r="D546" s="3" t="str">
        <f>IFERROR(__xludf.DUMMYFUNCTION("""COMPUTED_VALUE"""),"-")</f>
        <v>-</v>
      </c>
      <c r="E546" s="3" t="str">
        <f>IFERROR(__xludf.DUMMYFUNCTION("""COMPUTED_VALUE"""),"EDM")</f>
        <v>EDM</v>
      </c>
      <c r="F546" s="3" t="str">
        <f>IFERROR(__xludf.DUMMYFUNCTION("""COMPUTED_VALUE"""),"EDM EDM1 - Pressure transmitter -100 / +100Pa output 4-20 mA 24VDC Precision: +-1% ; Model: PIZ (2 w; ; 16456; 1 Pc")</f>
        <v>EDM EDM1 - Pressure transmitter -100 / +100Pa output 4-20 mA 24VDC Precision: +-1% ; Model: PIZ (2 w; ; 16456; 1 Pc</v>
      </c>
      <c r="G546" s="3">
        <f>IFERROR(__xludf.DUMMYFUNCTION("""COMPUTED_VALUE"""),1.0)</f>
        <v>1</v>
      </c>
      <c r="H546" s="3" t="str">
        <f>IFERROR(__xludf.DUMMYFUNCTION("""COMPUTED_VALUE"""),"Pieces")</f>
        <v>Pieces</v>
      </c>
      <c r="I546" s="3" t="str">
        <f>IFERROR(__xludf.DUMMYFUNCTION("""COMPUTED_VALUE"""),"121703490 - APPROVED")</f>
        <v>121703490 - APPROVED</v>
      </c>
      <c r="J546" s="3" t="str">
        <f>IFERROR(__xludf.DUMMYFUNCTION("""COMPUTED_VALUE"""),"O-53460-00")</f>
        <v>O-53460-00</v>
      </c>
      <c r="K546" s="3" t="str">
        <f>IFERROR(__xludf.DUMMYFUNCTION("""COMPUTED_VALUE"""),"Approve")</f>
        <v>Approve</v>
      </c>
      <c r="L546" s="3" t="str">
        <f>IFERROR(__xludf.DUMMYFUNCTION("""COMPUTED_VALUE"""),"Normal")</f>
        <v>Normal</v>
      </c>
      <c r="M546" s="3" t="str">
        <f>IFERROR(__xludf.DUMMYFUNCTION("""COMPUTED_VALUE"""),"Non Urgent")</f>
        <v>Non Urgent</v>
      </c>
    </row>
    <row r="547">
      <c r="A547" s="4">
        <f>IFERROR(__xludf.DUMMYFUNCTION("""COMPUTED_VALUE"""),46047.83255263889)</f>
        <v>46047.83255</v>
      </c>
      <c r="B547" s="3" t="str">
        <f>IFERROR(__xludf.DUMMYFUNCTION("""COMPUTED_VALUE"""),"MFHRO0269")</f>
        <v>MFHRO0269</v>
      </c>
      <c r="C547" s="3" t="str">
        <f>IFERROR(__xludf.DUMMYFUNCTION("""COMPUTED_VALUE"""),"MIn Stok")</f>
        <v>MIn Stok</v>
      </c>
      <c r="D547" s="3" t="str">
        <f>IFERROR(__xludf.DUMMYFUNCTION("""COMPUTED_VALUE"""),"-")</f>
        <v>-</v>
      </c>
      <c r="E547" s="3" t="str">
        <f>IFERROR(__xludf.DUMMYFUNCTION("""COMPUTED_VALUE"""),"FD")</f>
        <v>FD</v>
      </c>
      <c r="F547" s="3" t="str">
        <f>IFERROR(__xludf.DUMMYFUNCTION("""COMPUTED_VALUE"""),"General - Spare Working Diaphragm EPDM DN 10-20mm Type 612,625; Gemu; 600 10M 17; 1 Pc")</f>
        <v>General - Spare Working Diaphragm EPDM DN 10-20mm Type 612,625; Gemu; 600 10M 17; 1 Pc</v>
      </c>
      <c r="G547" s="3">
        <f>IFERROR(__xludf.DUMMYFUNCTION("""COMPUTED_VALUE"""),3.0)</f>
        <v>3</v>
      </c>
      <c r="H547" s="3" t="str">
        <f>IFERROR(__xludf.DUMMYFUNCTION("""COMPUTED_VALUE"""),"Pieces")</f>
        <v>Pieces</v>
      </c>
      <c r="I547" s="3" t="str">
        <f>IFERROR(__xludf.DUMMYFUNCTION("""COMPUTED_VALUE"""),"121703527 - APPROVED")</f>
        <v>121703527 - APPROVED</v>
      </c>
      <c r="J547" s="3" t="str">
        <f>IFERROR(__xludf.DUMMYFUNCTION("""COMPUTED_VALUE"""),"O-21031-00")</f>
        <v>O-21031-00</v>
      </c>
      <c r="K547" s="3" t="str">
        <f>IFERROR(__xludf.DUMMYFUNCTION("""COMPUTED_VALUE"""),"Approve")</f>
        <v>Approve</v>
      </c>
      <c r="L547" s="3" t="str">
        <f>IFERROR(__xludf.DUMMYFUNCTION("""COMPUTED_VALUE"""),"Normal")</f>
        <v>Normal</v>
      </c>
      <c r="M547" s="3" t="str">
        <f>IFERROR(__xludf.DUMMYFUNCTION("""COMPUTED_VALUE"""),"Non Urgent")</f>
        <v>Non Urgent</v>
      </c>
    </row>
    <row r="548">
      <c r="A548" s="4">
        <f>IFERROR(__xludf.DUMMYFUNCTION("""COMPUTED_VALUE"""),46047.83255263889)</f>
        <v>46047.83255</v>
      </c>
      <c r="B548" s="3" t="str">
        <f>IFERROR(__xludf.DUMMYFUNCTION("""COMPUTED_VALUE"""),"MFHRO0270")</f>
        <v>MFHRO0270</v>
      </c>
      <c r="C548" s="3" t="str">
        <f>IFERROR(__xludf.DUMMYFUNCTION("""COMPUTED_VALUE"""),"MIn Stok")</f>
        <v>MIn Stok</v>
      </c>
      <c r="D548" s="3" t="str">
        <f>IFERROR(__xludf.DUMMYFUNCTION("""COMPUTED_VALUE"""),"-")</f>
        <v>-</v>
      </c>
      <c r="E548" s="3" t="str">
        <f>IFERROR(__xludf.DUMMYFUNCTION("""COMPUTED_VALUE"""),"Filling")</f>
        <v>Filling</v>
      </c>
      <c r="F548" s="3" t="str">
        <f>IFERROR(__xludf.DUMMYFUNCTION("""COMPUTED_VALUE"""),"Filling VFM100 - Vacuump pump Vane balde; VT 4.16; Becker; 90134700007; 1 Pack")</f>
        <v>Filling VFM100 - Vacuump pump Vane balde; VT 4.16; Becker; 90134700007; 1 Pack</v>
      </c>
      <c r="G548" s="3">
        <f>IFERROR(__xludf.DUMMYFUNCTION("""COMPUTED_VALUE"""),1.0)</f>
        <v>1</v>
      </c>
      <c r="H548" s="3" t="str">
        <f>IFERROR(__xludf.DUMMYFUNCTION("""COMPUTED_VALUE"""),"Pack")</f>
        <v>Pack</v>
      </c>
      <c r="I548" s="3" t="str">
        <f>IFERROR(__xludf.DUMMYFUNCTION("""COMPUTED_VALUE"""),"121703528 - APPROVED")</f>
        <v>121703528 - APPROVED</v>
      </c>
      <c r="J548" s="3" t="str">
        <f>IFERROR(__xludf.DUMMYFUNCTION("""COMPUTED_VALUE"""),"O-53478-00")</f>
        <v>O-53478-00</v>
      </c>
      <c r="K548" s="3" t="str">
        <f>IFERROR(__xludf.DUMMYFUNCTION("""COMPUTED_VALUE"""),"Approve")</f>
        <v>Approve</v>
      </c>
      <c r="L548" s="3" t="str">
        <f>IFERROR(__xludf.DUMMYFUNCTION("""COMPUTED_VALUE"""),"Normal")</f>
        <v>Normal</v>
      </c>
      <c r="M548" s="3" t="str">
        <f>IFERROR(__xludf.DUMMYFUNCTION("""COMPUTED_VALUE"""),"Non Urgent")</f>
        <v>Non Urgent</v>
      </c>
    </row>
    <row r="549">
      <c r="A549" s="4">
        <f>IFERROR(__xludf.DUMMYFUNCTION("""COMPUTED_VALUE"""),46047.83255263889)</f>
        <v>46047.83255</v>
      </c>
      <c r="B549" s="3" t="str">
        <f>IFERROR(__xludf.DUMMYFUNCTION("""COMPUTED_VALUE"""),"MFHRO0271")</f>
        <v>MFHRO0271</v>
      </c>
      <c r="C549" s="3" t="str">
        <f>IFERROR(__xludf.DUMMYFUNCTION("""COMPUTED_VALUE"""),"MIn Stok")</f>
        <v>MIn Stok</v>
      </c>
      <c r="D549" s="3" t="str">
        <f>IFERROR(__xludf.DUMMYFUNCTION("""COMPUTED_VALUE"""),"-")</f>
        <v>-</v>
      </c>
      <c r="E549" s="3" t="str">
        <f>IFERROR(__xludf.DUMMYFUNCTION("""COMPUTED_VALUE"""),"cRABS")</f>
        <v>cRABS</v>
      </c>
      <c r="F549" s="3" t="str">
        <f>IFERROR(__xludf.DUMMYFUNCTION("""COMPUTED_VALUE"""),"cRABS Z064CR - Security PHOCELLS 7209 - plastic body; Protection P67; Receiver, max. di; Omron; E3FS-10DB4-P1 / E3FS-10LB-P1; 1 Pc")</f>
        <v>cRABS Z064CR - Security PHOCELLS 7209 - plastic body; Protection P67; Receiver, max. di; Omron; E3FS-10DB4-P1 / E3FS-10LB-P1; 1 Pc</v>
      </c>
      <c r="G549" s="3">
        <f>IFERROR(__xludf.DUMMYFUNCTION("""COMPUTED_VALUE"""),1.0)</f>
        <v>1</v>
      </c>
      <c r="H549" s="3" t="str">
        <f>IFERROR(__xludf.DUMMYFUNCTION("""COMPUTED_VALUE"""),"Pieces")</f>
        <v>Pieces</v>
      </c>
      <c r="I549" s="3" t="str">
        <f>IFERROR(__xludf.DUMMYFUNCTION("""COMPUTED_VALUE"""),"121703529 - APPROVED")</f>
        <v>121703529 - APPROVED</v>
      </c>
      <c r="J549" s="3" t="str">
        <f>IFERROR(__xludf.DUMMYFUNCTION("""COMPUTED_VALUE"""),"O-21126-00")</f>
        <v>O-21126-00</v>
      </c>
      <c r="K549" s="3" t="str">
        <f>IFERROR(__xludf.DUMMYFUNCTION("""COMPUTED_VALUE"""),"Reject")</f>
        <v>Reject</v>
      </c>
      <c r="L549" s="3" t="str">
        <f>IFERROR(__xludf.DUMMYFUNCTION("""COMPUTED_VALUE"""),"Normal")</f>
        <v>Normal</v>
      </c>
      <c r="M549" s="3" t="str">
        <f>IFERROR(__xludf.DUMMYFUNCTION("""COMPUTED_VALUE"""),"Non Urgent")</f>
        <v>Non Urgent</v>
      </c>
    </row>
    <row r="550">
      <c r="A550" s="4">
        <f>IFERROR(__xludf.DUMMYFUNCTION("""COMPUTED_VALUE"""),46047.83255263889)</f>
        <v>46047.83255</v>
      </c>
      <c r="B550" s="3" t="str">
        <f>IFERROR(__xludf.DUMMYFUNCTION("""COMPUTED_VALUE"""),"MFHRO0272")</f>
        <v>MFHRO0272</v>
      </c>
      <c r="C550" s="3" t="str">
        <f>IFERROR(__xludf.DUMMYFUNCTION("""COMPUTED_VALUE"""),"MIn Stok")</f>
        <v>MIn Stok</v>
      </c>
      <c r="D550" s="3" t="str">
        <f>IFERROR(__xludf.DUMMYFUNCTION("""COMPUTED_VALUE"""),"-")</f>
        <v>-</v>
      </c>
      <c r="E550" s="3" t="str">
        <f>IFERROR(__xludf.DUMMYFUNCTION("""COMPUTED_VALUE"""),"Lab")</f>
        <v>Lab</v>
      </c>
      <c r="F550" s="3" t="str">
        <f>IFERROR(__xludf.DUMMYFUNCTION("""COMPUTED_VALUE"""),"Electrode holder uPlace; Mettler Toledo; 30019823;")</f>
        <v>Electrode holder uPlace; Mettler Toledo; 30019823;</v>
      </c>
      <c r="G550" s="3">
        <f>IFERROR(__xludf.DUMMYFUNCTION("""COMPUTED_VALUE"""),1.0)</f>
        <v>1</v>
      </c>
      <c r="H550" s="3" t="str">
        <f>IFERROR(__xludf.DUMMYFUNCTION("""COMPUTED_VALUE"""),"Unit")</f>
        <v>Unit</v>
      </c>
      <c r="I550" s="3" t="str">
        <f>IFERROR(__xludf.DUMMYFUNCTION("""COMPUTED_VALUE"""),"121703537 - APPROVED")</f>
        <v>121703537 - APPROVED</v>
      </c>
      <c r="J550" s="3" t="str">
        <f>IFERROR(__xludf.DUMMYFUNCTION("""COMPUTED_VALUE"""),"T-25372-00")</f>
        <v>T-25372-00</v>
      </c>
      <c r="K550" s="3" t="str">
        <f>IFERROR(__xludf.DUMMYFUNCTION("""COMPUTED_VALUE"""),"Approve")</f>
        <v>Approve</v>
      </c>
      <c r="L550" s="3" t="str">
        <f>IFERROR(__xludf.DUMMYFUNCTION("""COMPUTED_VALUE"""),"Normal")</f>
        <v>Normal</v>
      </c>
      <c r="M550" s="3" t="str">
        <f>IFERROR(__xludf.DUMMYFUNCTION("""COMPUTED_VALUE"""),"Non Urgent")</f>
        <v>Non Urgent</v>
      </c>
    </row>
    <row r="551">
      <c r="A551" s="4">
        <f>IFERROR(__xludf.DUMMYFUNCTION("""COMPUTED_VALUE"""),46047.83255263889)</f>
        <v>46047.83255</v>
      </c>
      <c r="B551" s="3" t="str">
        <f>IFERROR(__xludf.DUMMYFUNCTION("""COMPUTED_VALUE"""),"MFHRO0273")</f>
        <v>MFHRO0273</v>
      </c>
      <c r="C551" s="3" t="str">
        <f>IFERROR(__xludf.DUMMYFUNCTION("""COMPUTED_VALUE"""),"MIn Stok")</f>
        <v>MIn Stok</v>
      </c>
      <c r="D551" s="3" t="str">
        <f>IFERROR(__xludf.DUMMYFUNCTION("""COMPUTED_VALUE"""),"-")</f>
        <v>-</v>
      </c>
      <c r="E551" s="3" t="str">
        <f>IFERROR(__xludf.DUMMYFUNCTION("""COMPUTED_VALUE"""),"AHU")</f>
        <v>AHU</v>
      </c>
      <c r="F551" s="3" t="str">
        <f>IFERROR(__xludf.DUMMYFUNCTION("""COMPUTED_VALUE"""),"General - Replacement VVF42,80-80C 2-port seat Valve, Flanged, PN10, DN80, kvs 80 (Body Valve); Siemens; -; 1 pc")</f>
        <v>General - Replacement VVF42,80-80C 2-port seat Valve, Flanged, PN10, DN80, kvs 80 (Body Valve); Siemens; -; 1 pc</v>
      </c>
      <c r="G551" s="3">
        <f>IFERROR(__xludf.DUMMYFUNCTION("""COMPUTED_VALUE"""),1.0)</f>
        <v>1</v>
      </c>
      <c r="H551" s="3" t="str">
        <f>IFERROR(__xludf.DUMMYFUNCTION("""COMPUTED_VALUE"""),"Pieces")</f>
        <v>Pieces</v>
      </c>
      <c r="I551" s="3" t="str">
        <f>IFERROR(__xludf.DUMMYFUNCTION("""COMPUTED_VALUE"""),"121703552 - APPROVED")</f>
        <v>121703552 - APPROVED</v>
      </c>
      <c r="J551" s="3" t="str">
        <f>IFERROR(__xludf.DUMMYFUNCTION("""COMPUTED_VALUE"""),"P-20359-00")</f>
        <v>P-20359-00</v>
      </c>
      <c r="K551" s="3" t="str">
        <f>IFERROR(__xludf.DUMMYFUNCTION("""COMPUTED_VALUE"""),"Approve")</f>
        <v>Approve</v>
      </c>
      <c r="L551" s="3" t="str">
        <f>IFERROR(__xludf.DUMMYFUNCTION("""COMPUTED_VALUE"""),"Normal")</f>
        <v>Normal</v>
      </c>
      <c r="M551" s="3" t="str">
        <f>IFERROR(__xludf.DUMMYFUNCTION("""COMPUTED_VALUE"""),"Non Urgent")</f>
        <v>Non Urgent</v>
      </c>
    </row>
    <row r="552">
      <c r="A552" s="4">
        <f>IFERROR(__xludf.DUMMYFUNCTION("""COMPUTED_VALUE"""),46047.83255263889)</f>
        <v>46047.83255</v>
      </c>
      <c r="B552" s="3" t="str">
        <f>IFERROR(__xludf.DUMMYFUNCTION("""COMPUTED_VALUE"""),"MFHRO0274")</f>
        <v>MFHRO0274</v>
      </c>
      <c r="C552" s="3" t="str">
        <f>IFERROR(__xludf.DUMMYFUNCTION("""COMPUTED_VALUE"""),"MIn Stok")</f>
        <v>MIn Stok</v>
      </c>
      <c r="D552" s="3" t="str">
        <f>IFERROR(__xludf.DUMMYFUNCTION("""COMPUTED_VALUE"""),"-")</f>
        <v>-</v>
      </c>
      <c r="E552" s="3" t="str">
        <f>IFERROR(__xludf.DUMMYFUNCTION("""COMPUTED_VALUE"""),"Sparepart")</f>
        <v>Sparepart</v>
      </c>
      <c r="F552" s="3" t="str">
        <f>IFERROR(__xludf.DUMMYFUNCTION("""COMPUTED_VALUE"""),"General - Terminal Viking Grounding 4mm; Legrand; -; 1 pc")</f>
        <v>General - Terminal Viking Grounding 4mm; Legrand; -; 1 pc</v>
      </c>
      <c r="G552" s="3">
        <f>IFERROR(__xludf.DUMMYFUNCTION("""COMPUTED_VALUE"""),10.0)</f>
        <v>10</v>
      </c>
      <c r="H552" s="3" t="str">
        <f>IFERROR(__xludf.DUMMYFUNCTION("""COMPUTED_VALUE"""),"Pieces")</f>
        <v>Pieces</v>
      </c>
      <c r="I552" s="3" t="str">
        <f>IFERROR(__xludf.DUMMYFUNCTION("""COMPUTED_VALUE"""),"121703573 - APPROVED")</f>
        <v>121703573 - APPROVED</v>
      </c>
      <c r="J552" s="3" t="str">
        <f>IFERROR(__xludf.DUMMYFUNCTION("""COMPUTED_VALUE"""),"P-20369-00")</f>
        <v>P-20369-00</v>
      </c>
      <c r="K552" s="3" t="str">
        <f>IFERROR(__xludf.DUMMYFUNCTION("""COMPUTED_VALUE"""),"Approve")</f>
        <v>Approve</v>
      </c>
      <c r="L552" s="3" t="str">
        <f>IFERROR(__xludf.DUMMYFUNCTION("""COMPUTED_VALUE"""),"Normal")</f>
        <v>Normal</v>
      </c>
      <c r="M552" s="3" t="str">
        <f>IFERROR(__xludf.DUMMYFUNCTION("""COMPUTED_VALUE"""),"Non Urgent")</f>
        <v>Non Urgent</v>
      </c>
    </row>
    <row r="553">
      <c r="A553" s="4">
        <f>IFERROR(__xludf.DUMMYFUNCTION("""COMPUTED_VALUE"""),46047.83255263889)</f>
        <v>46047.83255</v>
      </c>
      <c r="B553" s="3" t="str">
        <f>IFERROR(__xludf.DUMMYFUNCTION("""COMPUTED_VALUE"""),"MFHRO0275")</f>
        <v>MFHRO0275</v>
      </c>
      <c r="C553" s="3" t="str">
        <f>IFERROR(__xludf.DUMMYFUNCTION("""COMPUTED_VALUE"""),"Consumable")</f>
        <v>Consumable</v>
      </c>
      <c r="D553" s="3" t="str">
        <f>IFERROR(__xludf.DUMMYFUNCTION("""COMPUTED_VALUE"""),"-")</f>
        <v>-</v>
      </c>
      <c r="E553" s="3" t="str">
        <f>IFERROR(__xludf.DUMMYFUNCTION("""COMPUTED_VALUE"""),"Sparepart")</f>
        <v>Sparepart</v>
      </c>
      <c r="F553" s="3" t="str">
        <f>IFERROR(__xludf.DUMMYFUNCTION("""COMPUTED_VALUE"""),"Cellotape / Lakban Kertas 1 inch warna Putih ; No Brand ; pack size per pcs")</f>
        <v>Cellotape / Lakban Kertas 1 inch warna Putih ; No Brand ; pack size per pcs</v>
      </c>
      <c r="G553" s="3">
        <f>IFERROR(__xludf.DUMMYFUNCTION("""COMPUTED_VALUE"""),60.0)</f>
        <v>60</v>
      </c>
      <c r="H553" s="3" t="str">
        <f>IFERROR(__xludf.DUMMYFUNCTION("""COMPUTED_VALUE"""),"Roll")</f>
        <v>Roll</v>
      </c>
      <c r="I553" s="3" t="str">
        <f>IFERROR(__xludf.DUMMYFUNCTION("""COMPUTED_VALUE"""),"121703588 - APPROVED")</f>
        <v>121703588 - APPROVED</v>
      </c>
      <c r="J553" s="3" t="str">
        <f>IFERROR(__xludf.DUMMYFUNCTION("""COMPUTED_VALUE"""),"T-80109-00")</f>
        <v>T-80109-00</v>
      </c>
      <c r="K553" s="3" t="str">
        <f>IFERROR(__xludf.DUMMYFUNCTION("""COMPUTED_VALUE"""),"Approve")</f>
        <v>Approve</v>
      </c>
      <c r="L553" s="3" t="str">
        <f>IFERROR(__xludf.DUMMYFUNCTION("""COMPUTED_VALUE"""),"Normal")</f>
        <v>Normal</v>
      </c>
      <c r="M553" s="3" t="str">
        <f>IFERROR(__xludf.DUMMYFUNCTION("""COMPUTED_VALUE"""),"Non Urgent")</f>
        <v>Non Urgent</v>
      </c>
    </row>
    <row r="554">
      <c r="A554" s="4">
        <f>IFERROR(__xludf.DUMMYFUNCTION("""COMPUTED_VALUE"""),46047.83255263889)</f>
        <v>46047.83255</v>
      </c>
      <c r="B554" s="3" t="str">
        <f>IFERROR(__xludf.DUMMYFUNCTION("""COMPUTED_VALUE"""),"MFHRO0276")</f>
        <v>MFHRO0276</v>
      </c>
      <c r="C554" s="3" t="str">
        <f>IFERROR(__xludf.DUMMYFUNCTION("""COMPUTED_VALUE"""),"Consumable")</f>
        <v>Consumable</v>
      </c>
      <c r="D554" s="3" t="str">
        <f>IFERROR(__xludf.DUMMYFUNCTION("""COMPUTED_VALUE"""),"-")</f>
        <v>-</v>
      </c>
      <c r="E554" s="3" t="str">
        <f>IFERROR(__xludf.DUMMYFUNCTION("""COMPUTED_VALUE"""),"Sparepart")</f>
        <v>Sparepart</v>
      </c>
      <c r="F554" s="3" t="str">
        <f>IFERROR(__xludf.DUMMYFUNCTION("""COMPUTED_VALUE"""),"Cellotape / Lakban Kertas 1 inch warna Putih ; No Brand ; pack size per pcs")</f>
        <v>Cellotape / Lakban Kertas 1 inch warna Putih ; No Brand ; pack size per pcs</v>
      </c>
      <c r="G554" s="3">
        <f>IFERROR(__xludf.DUMMYFUNCTION("""COMPUTED_VALUE"""),60.0)</f>
        <v>60</v>
      </c>
      <c r="H554" s="3" t="str">
        <f>IFERROR(__xludf.DUMMYFUNCTION("""COMPUTED_VALUE"""),"Roll")</f>
        <v>Roll</v>
      </c>
      <c r="I554" s="3" t="str">
        <f>IFERROR(__xludf.DUMMYFUNCTION("""COMPUTED_VALUE"""),"121703588 - APPROVED")</f>
        <v>121703588 - APPROVED</v>
      </c>
      <c r="J554" s="3" t="str">
        <f>IFERROR(__xludf.DUMMYFUNCTION("""COMPUTED_VALUE"""),"T-80109-00")</f>
        <v>T-80109-00</v>
      </c>
      <c r="K554" s="3" t="str">
        <f>IFERROR(__xludf.DUMMYFUNCTION("""COMPUTED_VALUE"""),"Approve")</f>
        <v>Approve</v>
      </c>
      <c r="L554" s="3" t="str">
        <f>IFERROR(__xludf.DUMMYFUNCTION("""COMPUTED_VALUE"""),"Normal")</f>
        <v>Normal</v>
      </c>
      <c r="M554" s="3" t="str">
        <f>IFERROR(__xludf.DUMMYFUNCTION("""COMPUTED_VALUE"""),"Non Urgent")</f>
        <v>Non Urgent</v>
      </c>
    </row>
    <row r="555">
      <c r="A555" s="4">
        <f>IFERROR(__xludf.DUMMYFUNCTION("""COMPUTED_VALUE"""),46047.83255263889)</f>
        <v>46047.83255</v>
      </c>
      <c r="B555" s="3" t="str">
        <f>IFERROR(__xludf.DUMMYFUNCTION("""COMPUTED_VALUE"""),"MFHRO0277")</f>
        <v>MFHRO0277</v>
      </c>
      <c r="C555" s="3" t="str">
        <f>IFERROR(__xludf.DUMMYFUNCTION("""COMPUTED_VALUE"""),"MIn Stok")</f>
        <v>MIn Stok</v>
      </c>
      <c r="D555" s="3" t="str">
        <f>IFERROR(__xludf.DUMMYFUNCTION("""COMPUTED_VALUE"""),"-")</f>
        <v>-</v>
      </c>
      <c r="E555" s="3" t="str">
        <f>IFERROR(__xludf.DUMMYFUNCTION("""COMPUTED_VALUE"""),"GC")</f>
        <v>GC</v>
      </c>
      <c r="F555" s="3" t="str">
        <f>IFERROR(__xludf.DUMMYFUNCTION("""COMPUTED_VALUE"""),"OQ/PV headspace sample ;Agilent;  PN :   5182-9733; Agilent; 5182-9733; 1 pcs/pack")</f>
        <v>OQ/PV headspace sample ;Agilent;  PN :   5182-9733; Agilent; 5182-9733; 1 pcs/pack</v>
      </c>
      <c r="G555" s="3">
        <f>IFERROR(__xludf.DUMMYFUNCTION("""COMPUTED_VALUE"""),1.0)</f>
        <v>1</v>
      </c>
      <c r="H555" s="3" t="str">
        <f>IFERROR(__xludf.DUMMYFUNCTION("""COMPUTED_VALUE"""),"Pack")</f>
        <v>Pack</v>
      </c>
      <c r="I555" s="3" t="str">
        <f>IFERROR(__xludf.DUMMYFUNCTION("""COMPUTED_VALUE"""),"121703607 - APPROVED")</f>
        <v>121703607 - APPROVED</v>
      </c>
      <c r="J555" s="3" t="str">
        <f>IFERROR(__xludf.DUMMYFUNCTION("""COMPUTED_VALUE"""),"T-20860-00")</f>
        <v>T-20860-00</v>
      </c>
      <c r="K555" s="3" t="str">
        <f>IFERROR(__xludf.DUMMYFUNCTION("""COMPUTED_VALUE"""),"Approve")</f>
        <v>Approve</v>
      </c>
      <c r="L555" s="3" t="str">
        <f>IFERROR(__xludf.DUMMYFUNCTION("""COMPUTED_VALUE"""),"Normal")</f>
        <v>Normal</v>
      </c>
      <c r="M555" s="3" t="str">
        <f>IFERROR(__xludf.DUMMYFUNCTION("""COMPUTED_VALUE"""),"Non Urgent")</f>
        <v>Non Urgent</v>
      </c>
    </row>
    <row r="556">
      <c r="A556" s="4">
        <f>IFERROR(__xludf.DUMMYFUNCTION("""COMPUTED_VALUE"""),46047.83255263889)</f>
        <v>46047.83255</v>
      </c>
      <c r="B556" s="3" t="str">
        <f>IFERROR(__xludf.DUMMYFUNCTION("""COMPUTED_VALUE"""),"MFHRO0278")</f>
        <v>MFHRO0278</v>
      </c>
      <c r="C556" s="3" t="str">
        <f>IFERROR(__xludf.DUMMYFUNCTION("""COMPUTED_VALUE"""),"Consumable")</f>
        <v>Consumable</v>
      </c>
      <c r="D556" s="3" t="str">
        <f>IFERROR(__xludf.DUMMYFUNCTION("""COMPUTED_VALUE"""),"-")</f>
        <v>-</v>
      </c>
      <c r="E556" s="3" t="str">
        <f>IFERROR(__xludf.DUMMYFUNCTION("""COMPUTED_VALUE"""),"Sparepart")</f>
        <v>Sparepart</v>
      </c>
      <c r="F556" s="3" t="str">
        <f>IFERROR(__xludf.DUMMYFUNCTION("""COMPUTED_VALUE"""),"Gas Argon (Ar); 6 M3; Refill; High Purity (HP); Purity ? 99.995%")</f>
        <v>Gas Argon (Ar); 6 M3; Refill; High Purity (HP); Purity ? 99.995%</v>
      </c>
      <c r="G556" s="3">
        <f>IFERROR(__xludf.DUMMYFUNCTION("""COMPUTED_VALUE"""),5.0)</f>
        <v>5</v>
      </c>
      <c r="H556" s="3" t="str">
        <f>IFERROR(__xludf.DUMMYFUNCTION("""COMPUTED_VALUE"""),"Tube")</f>
        <v>Tube</v>
      </c>
      <c r="I556" s="3" t="str">
        <f>IFERROR(__xludf.DUMMYFUNCTION("""COMPUTED_VALUE"""),"121703608 - APPROVED")</f>
        <v>121703608 - APPROVED</v>
      </c>
      <c r="J556" s="3" t="str">
        <f>IFERROR(__xludf.DUMMYFUNCTION("""COMPUTED_VALUE"""),"S-62036-00")</f>
        <v>S-62036-00</v>
      </c>
      <c r="K556" s="3" t="str">
        <f>IFERROR(__xludf.DUMMYFUNCTION("""COMPUTED_VALUE"""),"Reject")</f>
        <v>Reject</v>
      </c>
      <c r="L556" s="3" t="str">
        <f>IFERROR(__xludf.DUMMYFUNCTION("""COMPUTED_VALUE"""),"Normal")</f>
        <v>Normal</v>
      </c>
      <c r="M556" s="3" t="str">
        <f>IFERROR(__xludf.DUMMYFUNCTION("""COMPUTED_VALUE"""),"Non Urgent")</f>
        <v>Non Urgent</v>
      </c>
    </row>
    <row r="557">
      <c r="A557" s="4">
        <f>IFERROR(__xludf.DUMMYFUNCTION("""COMPUTED_VALUE"""),46047.83255263889)</f>
        <v>46047.83255</v>
      </c>
      <c r="B557" s="3" t="str">
        <f>IFERROR(__xludf.DUMMYFUNCTION("""COMPUTED_VALUE"""),"MFHRO0279")</f>
        <v>MFHRO0279</v>
      </c>
      <c r="C557" s="3" t="str">
        <f>IFERROR(__xludf.DUMMYFUNCTION("""COMPUTED_VALUE"""),"MIn Stok")</f>
        <v>MIn Stok</v>
      </c>
      <c r="D557" s="3" t="str">
        <f>IFERROR(__xludf.DUMMYFUNCTION("""COMPUTED_VALUE"""),"-")</f>
        <v>-</v>
      </c>
      <c r="E557" s="3" t="str">
        <f>IFERROR(__xludf.DUMMYFUNCTION("""COMPUTED_VALUE"""),"Sparepart")</f>
        <v>Sparepart</v>
      </c>
      <c r="F557" s="3" t="str">
        <f>IFERROR(__xludf.DUMMYFUNCTION("""COMPUTED_VALUE"""),"Gas Oksigen (O2) ; 6 M3; Refill; Industrial Grade; Purity ? 99.95%")</f>
        <v>Gas Oksigen (O2) ; 6 M3; Refill; Industrial Grade; Purity ? 99.95%</v>
      </c>
      <c r="G557" s="3">
        <f>IFERROR(__xludf.DUMMYFUNCTION("""COMPUTED_VALUE"""),1.0)</f>
        <v>1</v>
      </c>
      <c r="H557" s="3" t="str">
        <f>IFERROR(__xludf.DUMMYFUNCTION("""COMPUTED_VALUE"""),"Tube")</f>
        <v>Tube</v>
      </c>
      <c r="I557" s="3" t="str">
        <f>IFERROR(__xludf.DUMMYFUNCTION("""COMPUTED_VALUE"""),"121703608 - APPROVED")</f>
        <v>121703608 - APPROVED</v>
      </c>
      <c r="J557" s="3" t="str">
        <f>IFERROR(__xludf.DUMMYFUNCTION("""COMPUTED_VALUE"""),"S-62005-00")</f>
        <v>S-62005-00</v>
      </c>
      <c r="K557" s="3" t="str">
        <f>IFERROR(__xludf.DUMMYFUNCTION("""COMPUTED_VALUE"""),"Approve")</f>
        <v>Approve</v>
      </c>
      <c r="L557" s="3" t="str">
        <f>IFERROR(__xludf.DUMMYFUNCTION("""COMPUTED_VALUE"""),"Normal")</f>
        <v>Normal</v>
      </c>
      <c r="M557" s="3" t="str">
        <f>IFERROR(__xludf.DUMMYFUNCTION("""COMPUTED_VALUE"""),"Non Urgent")</f>
        <v>Non Urgent</v>
      </c>
    </row>
    <row r="558">
      <c r="A558" s="4">
        <f>IFERROR(__xludf.DUMMYFUNCTION("""COMPUTED_VALUE"""),46047.83255263889)</f>
        <v>46047.83255</v>
      </c>
      <c r="B558" s="3" t="str">
        <f>IFERROR(__xludf.DUMMYFUNCTION("""COMPUTED_VALUE"""),"MFHRO0280")</f>
        <v>MFHRO0280</v>
      </c>
      <c r="C558" s="3" t="str">
        <f>IFERROR(__xludf.DUMMYFUNCTION("""COMPUTED_VALUE"""),"MIn Stok")</f>
        <v>MIn Stok</v>
      </c>
      <c r="D558" s="3" t="str">
        <f>IFERROR(__xludf.DUMMYFUNCTION("""COMPUTED_VALUE"""),"-")</f>
        <v>-</v>
      </c>
      <c r="E558" s="3" t="str">
        <f>IFERROR(__xludf.DUMMYFUNCTION("""COMPUTED_VALUE"""),"Sparepart")</f>
        <v>Sparepart</v>
      </c>
      <c r="F558" s="3" t="str">
        <f>IFERROR(__xludf.DUMMYFUNCTION("""COMPUTED_VALUE"""),"Gas Acetylene (C2H2), Industrial Grade, 2kg; ; ;")</f>
        <v>Gas Acetylene (C2H2), Industrial Grade, 2kg; ; ;</v>
      </c>
      <c r="G558" s="3">
        <f>IFERROR(__xludf.DUMMYFUNCTION("""COMPUTED_VALUE"""),1.0)</f>
        <v>1</v>
      </c>
      <c r="H558" s="3" t="str">
        <f>IFERROR(__xludf.DUMMYFUNCTION("""COMPUTED_VALUE"""),"Tube")</f>
        <v>Tube</v>
      </c>
      <c r="I558" s="3" t="str">
        <f>IFERROR(__xludf.DUMMYFUNCTION("""COMPUTED_VALUE"""),"121703608 - APPROVED")</f>
        <v>121703608 - APPROVED</v>
      </c>
      <c r="J558" s="3" t="str">
        <f>IFERROR(__xludf.DUMMYFUNCTION("""COMPUTED_VALUE"""),"S-62052-00")</f>
        <v>S-62052-00</v>
      </c>
      <c r="K558" s="3" t="str">
        <f>IFERROR(__xludf.DUMMYFUNCTION("""COMPUTED_VALUE"""),"Approve")</f>
        <v>Approve</v>
      </c>
      <c r="L558" s="3" t="str">
        <f>IFERROR(__xludf.DUMMYFUNCTION("""COMPUTED_VALUE"""),"Normal")</f>
        <v>Normal</v>
      </c>
      <c r="M558" s="3" t="str">
        <f>IFERROR(__xludf.DUMMYFUNCTION("""COMPUTED_VALUE"""),"Non Urgent")</f>
        <v>Non Urgent</v>
      </c>
    </row>
    <row r="559">
      <c r="A559" s="4">
        <f>IFERROR(__xludf.DUMMYFUNCTION("""COMPUTED_VALUE"""),46047.83255263889)</f>
        <v>46047.83255</v>
      </c>
      <c r="B559" s="3" t="str">
        <f>IFERROR(__xludf.DUMMYFUNCTION("""COMPUTED_VALUE"""),"MFHRO0281")</f>
        <v>MFHRO0281</v>
      </c>
      <c r="C559" s="3" t="str">
        <f>IFERROR(__xludf.DUMMYFUNCTION("""COMPUTED_VALUE"""),"MIn Stok")</f>
        <v>MIn Stok</v>
      </c>
      <c r="D559" s="3" t="str">
        <f>IFERROR(__xludf.DUMMYFUNCTION("""COMPUTED_VALUE"""),"-")</f>
        <v>-</v>
      </c>
      <c r="E559" s="3" t="str">
        <f>IFERROR(__xludf.DUMMYFUNCTION("""COMPUTED_VALUE"""),"BSC")</f>
        <v>BSC</v>
      </c>
      <c r="F559" s="3" t="str">
        <f>IFERROR(__xludf.DUMMYFUNCTION("""COMPUTED_VALUE"""),"General - Isolator Glove Smaller glove CSM  (AS : E10330 Y 7 E4); Austar; ; 1 Pc")</f>
        <v>General - Isolator Glove Smaller glove CSM  (AS : E10330 Y 7 E4); Austar; ; 1 Pc</v>
      </c>
      <c r="G559" s="3">
        <f>IFERROR(__xludf.DUMMYFUNCTION("""COMPUTED_VALUE"""),40.0)</f>
        <v>40</v>
      </c>
      <c r="H559" s="3" t="str">
        <f>IFERROR(__xludf.DUMMYFUNCTION("""COMPUTED_VALUE"""),"Unit")</f>
        <v>Unit</v>
      </c>
      <c r="I559" s="3" t="str">
        <f>IFERROR(__xludf.DUMMYFUNCTION("""COMPUTED_VALUE"""),"121703615 - APPROVED")</f>
        <v>121703615 - APPROVED</v>
      </c>
      <c r="J559" s="3" t="str">
        <f>IFERROR(__xludf.DUMMYFUNCTION("""COMPUTED_VALUE"""),"O-20487-00")</f>
        <v>O-20487-00</v>
      </c>
      <c r="K559" s="3" t="str">
        <f>IFERROR(__xludf.DUMMYFUNCTION("""COMPUTED_VALUE"""),"Approve")</f>
        <v>Approve</v>
      </c>
      <c r="L559" s="3" t="str">
        <f>IFERROR(__xludf.DUMMYFUNCTION("""COMPUTED_VALUE"""),"Normal")</f>
        <v>Normal</v>
      </c>
      <c r="M559" s="3" t="str">
        <f>IFERROR(__xludf.DUMMYFUNCTION("""COMPUTED_VALUE"""),"Non Urgent")</f>
        <v>Non Urgent</v>
      </c>
    </row>
    <row r="560">
      <c r="A560" s="4">
        <f>IFERROR(__xludf.DUMMYFUNCTION("""COMPUTED_VALUE"""),46047.83255263889)</f>
        <v>46047.83255</v>
      </c>
      <c r="B560" s="3" t="str">
        <f>IFERROR(__xludf.DUMMYFUNCTION("""COMPUTED_VALUE"""),"MFHRO0282")</f>
        <v>MFHRO0282</v>
      </c>
      <c r="C560" s="3" t="str">
        <f>IFERROR(__xludf.DUMMYFUNCTION("""COMPUTED_VALUE"""),"MIn Stok")</f>
        <v>MIn Stok</v>
      </c>
      <c r="D560" s="3" t="str">
        <f>IFERROR(__xludf.DUMMYFUNCTION("""COMPUTED_VALUE"""),"-")</f>
        <v>-</v>
      </c>
      <c r="E560" s="3" t="str">
        <f>IFERROR(__xludf.DUMMYFUNCTION("""COMPUTED_VALUE"""),"Isolator")</f>
        <v>Isolator</v>
      </c>
      <c r="F560" s="3" t="str">
        <f>IFERROR(__xludf.DUMMYFUNCTION("""COMPUTED_VALUE"""),"General - Sleeves M200/90 Y 550 E4 Bt5/5 BJ, Material : CSM; Shape : 200/90; Thickness (mm) : 4/10; Leng; Piercan; 1643; 1 Pc")</f>
        <v>General - Sleeves M200/90 Y 550 E4 Bt5/5 BJ, Material : CSM; Shape : 200/90; Thickness (mm) : 4/10; Leng; Piercan; 1643; 1 Pc</v>
      </c>
      <c r="G560" s="3">
        <f>IFERROR(__xludf.DUMMYFUNCTION("""COMPUTED_VALUE"""),20.0)</f>
        <v>20</v>
      </c>
      <c r="H560" s="3" t="str">
        <f>IFERROR(__xludf.DUMMYFUNCTION("""COMPUTED_VALUE"""),"Unit")</f>
        <v>Unit</v>
      </c>
      <c r="I560" s="3" t="str">
        <f>IFERROR(__xludf.DUMMYFUNCTION("""COMPUTED_VALUE"""),"121703615 - APPROVED")</f>
        <v>121703615 - APPROVED</v>
      </c>
      <c r="J560" s="3" t="str">
        <f>IFERROR(__xludf.DUMMYFUNCTION("""COMPUTED_VALUE"""),"O-16032-00")</f>
        <v>O-16032-00</v>
      </c>
      <c r="K560" s="3" t="str">
        <f>IFERROR(__xludf.DUMMYFUNCTION("""COMPUTED_VALUE"""),"Approve")</f>
        <v>Approve</v>
      </c>
      <c r="L560" s="3" t="str">
        <f>IFERROR(__xludf.DUMMYFUNCTION("""COMPUTED_VALUE"""),"Normal")</f>
        <v>Normal</v>
      </c>
      <c r="M560" s="3" t="str">
        <f>IFERROR(__xludf.DUMMYFUNCTION("""COMPUTED_VALUE"""),"Non Urgent")</f>
        <v>Non Urgent</v>
      </c>
    </row>
    <row r="561">
      <c r="A561" s="4">
        <f>IFERROR(__xludf.DUMMYFUNCTION("""COMPUTED_VALUE"""),46047.83255263889)</f>
        <v>46047.83255</v>
      </c>
      <c r="B561" s="3" t="str">
        <f>IFERROR(__xludf.DUMMYFUNCTION("""COMPUTED_VALUE"""),"MFHRO0283")</f>
        <v>MFHRO0283</v>
      </c>
      <c r="C561" s="3" t="str">
        <f>IFERROR(__xludf.DUMMYFUNCTION("""COMPUTED_VALUE"""),"MIn Stok")</f>
        <v>MIn Stok</v>
      </c>
      <c r="D561" s="3" t="str">
        <f>IFERROR(__xludf.DUMMYFUNCTION("""COMPUTED_VALUE"""),"-")</f>
        <v>-</v>
      </c>
      <c r="E561" s="3" t="str">
        <f>IFERROR(__xludf.DUMMYFUNCTION("""COMPUTED_VALUE"""),"Sparepart")</f>
        <v>Sparepart</v>
      </c>
      <c r="F561" s="3" t="str">
        <f>IFERROR(__xludf.DUMMYFUNCTION("""COMPUTED_VALUE"""),"General - Elbow Ornamen SS201 dia. 4 inch; No Brand; -; 1 pc")</f>
        <v>General - Elbow Ornamen SS201 dia. 4 inch; No Brand; -; 1 pc</v>
      </c>
      <c r="G561" s="3">
        <f>IFERROR(__xludf.DUMMYFUNCTION("""COMPUTED_VALUE"""),2.0)</f>
        <v>2</v>
      </c>
      <c r="H561" s="3" t="str">
        <f>IFERROR(__xludf.DUMMYFUNCTION("""COMPUTED_VALUE"""),"Pieces")</f>
        <v>Pieces</v>
      </c>
      <c r="I561" s="3" t="str">
        <f>IFERROR(__xludf.DUMMYFUNCTION("""COMPUTED_VALUE"""),"121703618 - APPROVED")</f>
        <v>121703618 - APPROVED</v>
      </c>
      <c r="J561" s="3" t="str">
        <f>IFERROR(__xludf.DUMMYFUNCTION("""COMPUTED_VALUE"""),"P-20431-00")</f>
        <v>P-20431-00</v>
      </c>
      <c r="K561" s="3" t="str">
        <f>IFERROR(__xludf.DUMMYFUNCTION("""COMPUTED_VALUE"""),"Approve")</f>
        <v>Approve</v>
      </c>
      <c r="L561" s="3" t="str">
        <f>IFERROR(__xludf.DUMMYFUNCTION("""COMPUTED_VALUE"""),"Normal")</f>
        <v>Normal</v>
      </c>
      <c r="M561" s="3" t="str">
        <f>IFERROR(__xludf.DUMMYFUNCTION("""COMPUTED_VALUE"""),"Non Urgent")</f>
        <v>Non Urgent</v>
      </c>
    </row>
    <row r="562">
      <c r="A562" s="4">
        <f>IFERROR(__xludf.DUMMYFUNCTION("""COMPUTED_VALUE"""),46047.83255263889)</f>
        <v>46047.83255</v>
      </c>
      <c r="B562" s="3" t="str">
        <f>IFERROR(__xludf.DUMMYFUNCTION("""COMPUTED_VALUE"""),"MFHRO0284")</f>
        <v>MFHRO0284</v>
      </c>
      <c r="C562" s="3" t="str">
        <f>IFERROR(__xludf.DUMMYFUNCTION("""COMPUTED_VALUE"""),"MIn Stok")</f>
        <v>MIn Stok</v>
      </c>
      <c r="D562" s="3" t="str">
        <f>IFERROR(__xludf.DUMMYFUNCTION("""COMPUTED_VALUE"""),"-")</f>
        <v>-</v>
      </c>
      <c r="E562" s="3" t="str">
        <f>IFERROR(__xludf.DUMMYFUNCTION("""COMPUTED_VALUE"""),"Sparepart")</f>
        <v>Sparepart</v>
      </c>
      <c r="F562" s="3" t="str">
        <f>IFERROR(__xludf.DUMMYFUNCTION("""COMPUTED_VALUE"""),"General - Round Pipe Hanger with Blue Rubber Seat and Base SS304 dia. 4 inch; No Brand; -; 1 pc")</f>
        <v>General - Round Pipe Hanger with Blue Rubber Seat and Base SS304 dia. 4 inch; No Brand; -; 1 pc</v>
      </c>
      <c r="G562" s="3">
        <f>IFERROR(__xludf.DUMMYFUNCTION("""COMPUTED_VALUE"""),3.0)</f>
        <v>3</v>
      </c>
      <c r="H562" s="3" t="str">
        <f>IFERROR(__xludf.DUMMYFUNCTION("""COMPUTED_VALUE"""),"Pieces")</f>
        <v>Pieces</v>
      </c>
      <c r="I562" s="3" t="str">
        <f>IFERROR(__xludf.DUMMYFUNCTION("""COMPUTED_VALUE"""),"121703618 - APPROVED")</f>
        <v>121703618 - APPROVED</v>
      </c>
      <c r="J562" s="3" t="str">
        <f>IFERROR(__xludf.DUMMYFUNCTION("""COMPUTED_VALUE"""),"P-20432-00")</f>
        <v>P-20432-00</v>
      </c>
      <c r="K562" s="3" t="str">
        <f>IFERROR(__xludf.DUMMYFUNCTION("""COMPUTED_VALUE"""),"Approve")</f>
        <v>Approve</v>
      </c>
      <c r="L562" s="3" t="str">
        <f>IFERROR(__xludf.DUMMYFUNCTION("""COMPUTED_VALUE"""),"Normal")</f>
        <v>Normal</v>
      </c>
      <c r="M562" s="3" t="str">
        <f>IFERROR(__xludf.DUMMYFUNCTION("""COMPUTED_VALUE"""),"Non Urgent")</f>
        <v>Non Urgent</v>
      </c>
    </row>
    <row r="563">
      <c r="A563" s="4">
        <f>IFERROR(__xludf.DUMMYFUNCTION("""COMPUTED_VALUE"""),46047.83255263889)</f>
        <v>46047.83255</v>
      </c>
      <c r="B563" s="3" t="str">
        <f>IFERROR(__xludf.DUMMYFUNCTION("""COMPUTED_VALUE"""),"MFHRO0285")</f>
        <v>MFHRO0285</v>
      </c>
      <c r="C563" s="3" t="str">
        <f>IFERROR(__xludf.DUMMYFUNCTION("""COMPUTED_VALUE"""),"MIn Stok")</f>
        <v>MIn Stok</v>
      </c>
      <c r="D563" s="3" t="str">
        <f>IFERROR(__xludf.DUMMYFUNCTION("""COMPUTED_VALUE"""),"-")</f>
        <v>-</v>
      </c>
      <c r="E563" s="3" t="str">
        <f>IFERROR(__xludf.DUMMYFUNCTION("""COMPUTED_VALUE"""),"Sparepart")</f>
        <v>Sparepart</v>
      </c>
      <c r="F563" s="3" t="str">
        <f>IFERROR(__xludf.DUMMYFUNCTION("""COMPUTED_VALUE"""),"FESTO - Push In Fitting QS-1/2-10 part number 190646")</f>
        <v>FESTO - Push In Fitting QS-1/2-10 part number 190646</v>
      </c>
      <c r="G563" s="3">
        <f>IFERROR(__xludf.DUMMYFUNCTION("""COMPUTED_VALUE"""),10.0)</f>
        <v>10</v>
      </c>
      <c r="H563" s="3" t="str">
        <f>IFERROR(__xludf.DUMMYFUNCTION("""COMPUTED_VALUE"""),"Pieces")</f>
        <v>Pieces</v>
      </c>
      <c r="I563" s="3" t="str">
        <f>IFERROR(__xludf.DUMMYFUNCTION("""COMPUTED_VALUE"""),"121703621 - APPROVED")</f>
        <v>121703621 - APPROVED</v>
      </c>
      <c r="J563" s="3" t="str">
        <f>IFERROR(__xludf.DUMMYFUNCTION("""COMPUTED_VALUE"""),"P-12266-00")</f>
        <v>P-12266-00</v>
      </c>
      <c r="K563" s="3" t="str">
        <f>IFERROR(__xludf.DUMMYFUNCTION("""COMPUTED_VALUE"""),"Approve")</f>
        <v>Approve</v>
      </c>
      <c r="L563" s="3" t="str">
        <f>IFERROR(__xludf.DUMMYFUNCTION("""COMPUTED_VALUE"""),"Normal")</f>
        <v>Normal</v>
      </c>
      <c r="M563" s="3" t="str">
        <f>IFERROR(__xludf.DUMMYFUNCTION("""COMPUTED_VALUE"""),"Non Urgent")</f>
        <v>Non Urgent</v>
      </c>
    </row>
    <row r="564">
      <c r="A564" s="4">
        <f>IFERROR(__xludf.DUMMYFUNCTION("""COMPUTED_VALUE"""),46047.83255263889)</f>
        <v>46047.83255</v>
      </c>
      <c r="B564" s="3" t="str">
        <f>IFERROR(__xludf.DUMMYFUNCTION("""COMPUTED_VALUE"""),"MFHRO0286")</f>
        <v>MFHRO0286</v>
      </c>
      <c r="C564" s="3" t="str">
        <f>IFERROR(__xludf.DUMMYFUNCTION("""COMPUTED_VALUE"""),"MIn Stok")</f>
        <v>MIn Stok</v>
      </c>
      <c r="D564" s="3" t="str">
        <f>IFERROR(__xludf.DUMMYFUNCTION("""COMPUTED_VALUE"""),"-")</f>
        <v>-</v>
      </c>
      <c r="E564" s="3" t="str">
        <f>IFERROR(__xludf.DUMMYFUNCTION("""COMPUTED_VALUE"""),"Sparepart")</f>
        <v>Sparepart</v>
      </c>
      <c r="F564" s="3" t="str">
        <f>IFERROR(__xludf.DUMMYFUNCTION("""COMPUTED_VALUE"""),"Pneumatic Fitting - QS 1/4-10 / PN : 153007 / Festo")</f>
        <v>Pneumatic Fitting - QS 1/4-10 / PN : 153007 / Festo</v>
      </c>
      <c r="G564" s="3">
        <f>IFERROR(__xludf.DUMMYFUNCTION("""COMPUTED_VALUE"""),10.0)</f>
        <v>10</v>
      </c>
      <c r="H564" s="3" t="str">
        <f>IFERROR(__xludf.DUMMYFUNCTION("""COMPUTED_VALUE"""),"Pieces")</f>
        <v>Pieces</v>
      </c>
      <c r="I564" s="3" t="str">
        <f>IFERROR(__xludf.DUMMYFUNCTION("""COMPUTED_VALUE"""),"121703621 - APPROVED")</f>
        <v>121703621 - APPROVED</v>
      </c>
      <c r="J564" s="3" t="str">
        <f>IFERROR(__xludf.DUMMYFUNCTION("""COMPUTED_VALUE"""),"P-11167-00")</f>
        <v>P-11167-00</v>
      </c>
      <c r="K564" s="3" t="str">
        <f>IFERROR(__xludf.DUMMYFUNCTION("""COMPUTED_VALUE"""),"Approve")</f>
        <v>Approve</v>
      </c>
      <c r="L564" s="3" t="str">
        <f>IFERROR(__xludf.DUMMYFUNCTION("""COMPUTED_VALUE"""),"Normal")</f>
        <v>Normal</v>
      </c>
      <c r="M564" s="3" t="str">
        <f>IFERROR(__xludf.DUMMYFUNCTION("""COMPUTED_VALUE"""),"Non Urgent")</f>
        <v>Non Urgent</v>
      </c>
    </row>
    <row r="565">
      <c r="A565" s="4">
        <f>IFERROR(__xludf.DUMMYFUNCTION("""COMPUTED_VALUE"""),46047.83255263889)</f>
        <v>46047.83255</v>
      </c>
      <c r="B565" s="3" t="str">
        <f>IFERROR(__xludf.DUMMYFUNCTION("""COMPUTED_VALUE"""),"MFHRO0287")</f>
        <v>MFHRO0287</v>
      </c>
      <c r="C565" s="3" t="str">
        <f>IFERROR(__xludf.DUMMYFUNCTION("""COMPUTED_VALUE"""),"Consumable")</f>
        <v>Consumable</v>
      </c>
      <c r="D565" s="3" t="str">
        <f>IFERROR(__xludf.DUMMYFUNCTION("""COMPUTED_VALUE"""),"-")</f>
        <v>-</v>
      </c>
      <c r="E565" s="3" t="str">
        <f>IFERROR(__xludf.DUMMYFUNCTION("""COMPUTED_VALUE"""),"Sparepart")</f>
        <v>Sparepart</v>
      </c>
      <c r="F565" s="3" t="str">
        <f>IFERROR(__xludf.DUMMYFUNCTION("""COMPUTED_VALUE"""),"General - Push-in Fitting, QS-1/4-6; Festo; 153003; 1 pcs")</f>
        <v>General - Push-in Fitting, QS-1/4-6; Festo; 153003; 1 pcs</v>
      </c>
      <c r="G565" s="3">
        <f>IFERROR(__xludf.DUMMYFUNCTION("""COMPUTED_VALUE"""),10.0)</f>
        <v>10</v>
      </c>
      <c r="H565" s="3" t="str">
        <f>IFERROR(__xludf.DUMMYFUNCTION("""COMPUTED_VALUE"""),"Pieces")</f>
        <v>Pieces</v>
      </c>
      <c r="I565" s="3" t="str">
        <f>IFERROR(__xludf.DUMMYFUNCTION("""COMPUTED_VALUE"""),"121703621 - APPROVED")</f>
        <v>121703621 - APPROVED</v>
      </c>
      <c r="J565" s="3" t="str">
        <f>IFERROR(__xludf.DUMMYFUNCTION("""COMPUTED_VALUE"""),"P-11169-00")</f>
        <v>P-11169-00</v>
      </c>
      <c r="K565" s="3" t="str">
        <f>IFERROR(__xludf.DUMMYFUNCTION("""COMPUTED_VALUE"""),"Approve")</f>
        <v>Approve</v>
      </c>
      <c r="L565" s="3" t="str">
        <f>IFERROR(__xludf.DUMMYFUNCTION("""COMPUTED_VALUE"""),"Normal")</f>
        <v>Normal</v>
      </c>
      <c r="M565" s="3" t="str">
        <f>IFERROR(__xludf.DUMMYFUNCTION("""COMPUTED_VALUE"""),"Non Urgent")</f>
        <v>Non Urgent</v>
      </c>
    </row>
    <row r="566">
      <c r="A566" s="4">
        <f>IFERROR(__xludf.DUMMYFUNCTION("""COMPUTED_VALUE"""),46047.83255263889)</f>
        <v>46047.83255</v>
      </c>
      <c r="B566" s="3" t="str">
        <f>IFERROR(__xludf.DUMMYFUNCTION("""COMPUTED_VALUE"""),"MFHRO0288")</f>
        <v>MFHRO0288</v>
      </c>
      <c r="C566" s="3" t="str">
        <f>IFERROR(__xludf.DUMMYFUNCTION("""COMPUTED_VALUE"""),"Consumable")</f>
        <v>Consumable</v>
      </c>
      <c r="D566" s="3" t="str">
        <f>IFERROR(__xludf.DUMMYFUNCTION("""COMPUTED_VALUE"""),"-")</f>
        <v>-</v>
      </c>
      <c r="E566" s="3" t="str">
        <f>IFERROR(__xludf.DUMMYFUNCTION("""COMPUTED_VALUE"""),"Sparepart")</f>
        <v>Sparepart</v>
      </c>
      <c r="F566" s="3" t="str">
        <f>IFERROR(__xludf.DUMMYFUNCTION("""COMPUTED_VALUE"""),"General - Push-in Connector, QS-8-6; Festo; 153038; 1 pcs")</f>
        <v>General - Push-in Connector, QS-8-6; Festo; 153038; 1 pcs</v>
      </c>
      <c r="G566" s="3">
        <f>IFERROR(__xludf.DUMMYFUNCTION("""COMPUTED_VALUE"""),10.0)</f>
        <v>10</v>
      </c>
      <c r="H566" s="3" t="str">
        <f>IFERROR(__xludf.DUMMYFUNCTION("""COMPUTED_VALUE"""),"Pieces")</f>
        <v>Pieces</v>
      </c>
      <c r="I566" s="3" t="str">
        <f>IFERROR(__xludf.DUMMYFUNCTION("""COMPUTED_VALUE"""),"121703621 - APPROVED")</f>
        <v>121703621 - APPROVED</v>
      </c>
      <c r="J566" s="3" t="str">
        <f>IFERROR(__xludf.DUMMYFUNCTION("""COMPUTED_VALUE"""),"P-11185-00")</f>
        <v>P-11185-00</v>
      </c>
      <c r="K566" s="3" t="str">
        <f>IFERROR(__xludf.DUMMYFUNCTION("""COMPUTED_VALUE"""),"Approve")</f>
        <v>Approve</v>
      </c>
      <c r="L566" s="3" t="str">
        <f>IFERROR(__xludf.DUMMYFUNCTION("""COMPUTED_VALUE"""),"Normal")</f>
        <v>Normal</v>
      </c>
      <c r="M566" s="3" t="str">
        <f>IFERROR(__xludf.DUMMYFUNCTION("""COMPUTED_VALUE"""),"Non Urgent")</f>
        <v>Non Urgent</v>
      </c>
    </row>
    <row r="567">
      <c r="A567" s="4">
        <f>IFERROR(__xludf.DUMMYFUNCTION("""COMPUTED_VALUE"""),46047.83255263889)</f>
        <v>46047.83255</v>
      </c>
      <c r="B567" s="3" t="str">
        <f>IFERROR(__xludf.DUMMYFUNCTION("""COMPUTED_VALUE"""),"MFHRO0289")</f>
        <v>MFHRO0289</v>
      </c>
      <c r="C567" s="3" t="str">
        <f>IFERROR(__xludf.DUMMYFUNCTION("""COMPUTED_VALUE"""),"Consumable")</f>
        <v>Consumable</v>
      </c>
      <c r="D567" s="3" t="str">
        <f>IFERROR(__xludf.DUMMYFUNCTION("""COMPUTED_VALUE"""),"-")</f>
        <v>-</v>
      </c>
      <c r="E567" s="3" t="str">
        <f>IFERROR(__xludf.DUMMYFUNCTION("""COMPUTED_VALUE"""),"Sparepart")</f>
        <v>Sparepart</v>
      </c>
      <c r="F567" s="3" t="str">
        <f>IFERROR(__xludf.DUMMYFUNCTION("""COMPUTED_VALUE"""),"General - Seal Ferrule Teflon 1inch; No Brand; -; 1 pcs")</f>
        <v>General - Seal Ferrule Teflon 1inch; No Brand; -; 1 pcs</v>
      </c>
      <c r="G567" s="3">
        <f>IFERROR(__xludf.DUMMYFUNCTION("""COMPUTED_VALUE"""),20.0)</f>
        <v>20</v>
      </c>
      <c r="H567" s="3" t="str">
        <f>IFERROR(__xludf.DUMMYFUNCTION("""COMPUTED_VALUE"""),"Pieces")</f>
        <v>Pieces</v>
      </c>
      <c r="I567" s="3" t="str">
        <f>IFERROR(__xludf.DUMMYFUNCTION("""COMPUTED_VALUE"""),"121703622 - APPROVED")</f>
        <v>121703622 - APPROVED</v>
      </c>
      <c r="J567" s="3" t="str">
        <f>IFERROR(__xludf.DUMMYFUNCTION("""COMPUTED_VALUE"""),"P-11405-00")</f>
        <v>P-11405-00</v>
      </c>
      <c r="K567" s="3" t="str">
        <f>IFERROR(__xludf.DUMMYFUNCTION("""COMPUTED_VALUE"""),"Approve")</f>
        <v>Approve</v>
      </c>
      <c r="L567" s="3" t="str">
        <f>IFERROR(__xludf.DUMMYFUNCTION("""COMPUTED_VALUE"""),"Normal")</f>
        <v>Normal</v>
      </c>
      <c r="M567" s="3" t="str">
        <f>IFERROR(__xludf.DUMMYFUNCTION("""COMPUTED_VALUE"""),"Non Urgent")</f>
        <v>Non Urgent</v>
      </c>
    </row>
    <row r="568">
      <c r="A568" s="4">
        <f>IFERROR(__xludf.DUMMYFUNCTION("""COMPUTED_VALUE"""),46047.83255263889)</f>
        <v>46047.83255</v>
      </c>
      <c r="B568" s="3" t="str">
        <f>IFERROR(__xludf.DUMMYFUNCTION("""COMPUTED_VALUE"""),"MFHRO0290")</f>
        <v>MFHRO0290</v>
      </c>
      <c r="C568" s="3" t="str">
        <f>IFERROR(__xludf.DUMMYFUNCTION("""COMPUTED_VALUE"""),"Consumable")</f>
        <v>Consumable</v>
      </c>
      <c r="D568" s="3" t="str">
        <f>IFERROR(__xludf.DUMMYFUNCTION("""COMPUTED_VALUE"""),"-")</f>
        <v>-</v>
      </c>
      <c r="E568" s="3" t="str">
        <f>IFERROR(__xludf.DUMMYFUNCTION("""COMPUTED_VALUE"""),"Sparepart")</f>
        <v>Sparepart</v>
      </c>
      <c r="F568" s="3" t="str">
        <f>IFERROR(__xludf.DUMMYFUNCTION("""COMPUTED_VALUE"""),"General - Seal Ferrule Teflon 3/4inch; No Brand; -; 1 pcs")</f>
        <v>General - Seal Ferrule Teflon 3/4inch; No Brand; -; 1 pcs</v>
      </c>
      <c r="G568" s="3">
        <f>IFERROR(__xludf.DUMMYFUNCTION("""COMPUTED_VALUE"""),20.0)</f>
        <v>20</v>
      </c>
      <c r="H568" s="3" t="str">
        <f>IFERROR(__xludf.DUMMYFUNCTION("""COMPUTED_VALUE"""),"Pieces")</f>
        <v>Pieces</v>
      </c>
      <c r="I568" s="3" t="str">
        <f>IFERROR(__xludf.DUMMYFUNCTION("""COMPUTED_VALUE"""),"121703622 - APPROVED")</f>
        <v>121703622 - APPROVED</v>
      </c>
      <c r="J568" s="3" t="str">
        <f>IFERROR(__xludf.DUMMYFUNCTION("""COMPUTED_VALUE"""),"P-14980-00")</f>
        <v>P-14980-00</v>
      </c>
      <c r="K568" s="3" t="str">
        <f>IFERROR(__xludf.DUMMYFUNCTION("""COMPUTED_VALUE"""),"Approve")</f>
        <v>Approve</v>
      </c>
      <c r="L568" s="3" t="str">
        <f>IFERROR(__xludf.DUMMYFUNCTION("""COMPUTED_VALUE"""),"Normal")</f>
        <v>Normal</v>
      </c>
      <c r="M568" s="3" t="str">
        <f>IFERROR(__xludf.DUMMYFUNCTION("""COMPUTED_VALUE"""),"Non Urgent")</f>
        <v>Non Urgent</v>
      </c>
    </row>
    <row r="569">
      <c r="A569" s="4">
        <f>IFERROR(__xludf.DUMMYFUNCTION("""COMPUTED_VALUE"""),46047.83255263889)</f>
        <v>46047.83255</v>
      </c>
      <c r="B569" s="3" t="str">
        <f>IFERROR(__xludf.DUMMYFUNCTION("""COMPUTED_VALUE"""),"MFHRO0291")</f>
        <v>MFHRO0291</v>
      </c>
      <c r="C569" s="3" t="str">
        <f>IFERROR(__xludf.DUMMYFUNCTION("""COMPUTED_VALUE"""),"Consumable")</f>
        <v>Consumable</v>
      </c>
      <c r="D569" s="3" t="str">
        <f>IFERROR(__xludf.DUMMYFUNCTION("""COMPUTED_VALUE"""),"-")</f>
        <v>-</v>
      </c>
      <c r="E569" s="3" t="str">
        <f>IFERROR(__xludf.DUMMYFUNCTION("""COMPUTED_VALUE"""),"WWTP")</f>
        <v>WWTP</v>
      </c>
      <c r="F569" s="3" t="str">
        <f>IFERROR(__xludf.DUMMYFUNCTION("""COMPUTED_VALUE"""),"Chemical - Sodium Hiphoclorite; No Brand; -; 1 Liter")</f>
        <v>Chemical - Sodium Hiphoclorite; No Brand; -; 1 Liter</v>
      </c>
      <c r="G569" s="3">
        <f>IFERROR(__xludf.DUMMYFUNCTION("""COMPUTED_VALUE"""),840.0)</f>
        <v>840</v>
      </c>
      <c r="H569" s="3" t="str">
        <f>IFERROR(__xludf.DUMMYFUNCTION("""COMPUTED_VALUE"""),"Liter")</f>
        <v>Liter</v>
      </c>
      <c r="I569" s="3" t="str">
        <f>IFERROR(__xludf.DUMMYFUNCTION("""COMPUTED_VALUE"""),"121703624 - APPROVED")</f>
        <v>121703624 - APPROVED</v>
      </c>
      <c r="J569" s="3" t="str">
        <f>IFERROR(__xludf.DUMMYFUNCTION("""COMPUTED_VALUE"""),"P-17645-00")</f>
        <v>P-17645-00</v>
      </c>
      <c r="K569" s="3" t="str">
        <f>IFERROR(__xludf.DUMMYFUNCTION("""COMPUTED_VALUE"""),"Approve")</f>
        <v>Approve</v>
      </c>
      <c r="L569" s="3" t="str">
        <f>IFERROR(__xludf.DUMMYFUNCTION("""COMPUTED_VALUE"""),"Normal")</f>
        <v>Normal</v>
      </c>
      <c r="M569" s="3" t="str">
        <f>IFERROR(__xludf.DUMMYFUNCTION("""COMPUTED_VALUE"""),"Non Urgent")</f>
        <v>Non Urgent</v>
      </c>
    </row>
    <row r="570">
      <c r="A570" s="4">
        <f>IFERROR(__xludf.DUMMYFUNCTION("""COMPUTED_VALUE"""),46047.83255263889)</f>
        <v>46047.83255</v>
      </c>
      <c r="B570" s="3" t="str">
        <f>IFERROR(__xludf.DUMMYFUNCTION("""COMPUTED_VALUE"""),"MFHRO0292")</f>
        <v>MFHRO0292</v>
      </c>
      <c r="C570" s="3" t="str">
        <f>IFERROR(__xludf.DUMMYFUNCTION("""COMPUTED_VALUE"""),"Consumable")</f>
        <v>Consumable</v>
      </c>
      <c r="D570" s="3" t="str">
        <f>IFERROR(__xludf.DUMMYFUNCTION("""COMPUTED_VALUE"""),"-")</f>
        <v>-</v>
      </c>
      <c r="E570" s="3" t="str">
        <f>IFERROR(__xludf.DUMMYFUNCTION("""COMPUTED_VALUE"""),"WWTP")</f>
        <v>WWTP</v>
      </c>
      <c r="F570" s="3" t="str">
        <f>IFERROR(__xludf.DUMMYFUNCTION("""COMPUTED_VALUE"""),"Chemical - Sodium Hiphoclorite; No Brand; -; 1 Liter")</f>
        <v>Chemical - Sodium Hiphoclorite; No Brand; -; 1 Liter</v>
      </c>
      <c r="G570" s="3">
        <f>IFERROR(__xludf.DUMMYFUNCTION("""COMPUTED_VALUE"""),840.0)</f>
        <v>840</v>
      </c>
      <c r="H570" s="3" t="str">
        <f>IFERROR(__xludf.DUMMYFUNCTION("""COMPUTED_VALUE"""),"Liter")</f>
        <v>Liter</v>
      </c>
      <c r="I570" s="3" t="str">
        <f>IFERROR(__xludf.DUMMYFUNCTION("""COMPUTED_VALUE"""),"121703624 - APPROVED")</f>
        <v>121703624 - APPROVED</v>
      </c>
      <c r="J570" s="3" t="str">
        <f>IFERROR(__xludf.DUMMYFUNCTION("""COMPUTED_VALUE"""),"P-17645-00")</f>
        <v>P-17645-00</v>
      </c>
      <c r="K570" s="3" t="str">
        <f>IFERROR(__xludf.DUMMYFUNCTION("""COMPUTED_VALUE"""),"Approve")</f>
        <v>Approve</v>
      </c>
      <c r="L570" s="3" t="str">
        <f>IFERROR(__xludf.DUMMYFUNCTION("""COMPUTED_VALUE"""),"Normal")</f>
        <v>Normal</v>
      </c>
      <c r="M570" s="3" t="str">
        <f>IFERROR(__xludf.DUMMYFUNCTION("""COMPUTED_VALUE"""),"Non Urgent")</f>
        <v>Non Urgent</v>
      </c>
    </row>
    <row r="571">
      <c r="A571" s="4">
        <f>IFERROR(__xludf.DUMMYFUNCTION("""COMPUTED_VALUE"""),46047.83255263889)</f>
        <v>46047.83255</v>
      </c>
      <c r="B571" s="3" t="str">
        <f>IFERROR(__xludf.DUMMYFUNCTION("""COMPUTED_VALUE"""),"MFHRO0293")</f>
        <v>MFHRO0293</v>
      </c>
      <c r="C571" s="3" t="str">
        <f>IFERROR(__xludf.DUMMYFUNCTION("""COMPUTED_VALUE"""),"Consumable")</f>
        <v>Consumable</v>
      </c>
      <c r="D571" s="3" t="str">
        <f>IFERROR(__xludf.DUMMYFUNCTION("""COMPUTED_VALUE"""),"-")</f>
        <v>-</v>
      </c>
      <c r="E571" s="3" t="str">
        <f>IFERROR(__xludf.DUMMYFUNCTION("""COMPUTED_VALUE"""),"WWTP")</f>
        <v>WWTP</v>
      </c>
      <c r="F571" s="3" t="str">
        <f>IFERROR(__xludf.DUMMYFUNCTION("""COMPUTED_VALUE"""),"Sodium metabisulfit")</f>
        <v>Sodium metabisulfit</v>
      </c>
      <c r="G571" s="3">
        <f>IFERROR(__xludf.DUMMYFUNCTION("""COMPUTED_VALUE"""),3.0)</f>
        <v>3</v>
      </c>
      <c r="H571" s="3" t="str">
        <f>IFERROR(__xludf.DUMMYFUNCTION("""COMPUTED_VALUE"""),"Pieces")</f>
        <v>Pieces</v>
      </c>
      <c r="I571" s="3" t="str">
        <f>IFERROR(__xludf.DUMMYFUNCTION("""COMPUTED_VALUE"""),"121703624 - APPROVED")</f>
        <v>121703624 - APPROVED</v>
      </c>
      <c r="J571" s="3" t="str">
        <f>IFERROR(__xludf.DUMMYFUNCTION("""COMPUTED_VALUE"""),"P-12830-00")</f>
        <v>P-12830-00</v>
      </c>
      <c r="K571" s="3" t="str">
        <f>IFERROR(__xludf.DUMMYFUNCTION("""COMPUTED_VALUE"""),"Approve")</f>
        <v>Approve</v>
      </c>
      <c r="L571" s="3" t="str">
        <f>IFERROR(__xludf.DUMMYFUNCTION("""COMPUTED_VALUE"""),"Normal")</f>
        <v>Normal</v>
      </c>
      <c r="M571" s="3" t="str">
        <f>IFERROR(__xludf.DUMMYFUNCTION("""COMPUTED_VALUE"""),"Non Urgent")</f>
        <v>Non Urgent</v>
      </c>
    </row>
    <row r="572">
      <c r="A572" s="4">
        <f>IFERROR(__xludf.DUMMYFUNCTION("""COMPUTED_VALUE"""),46047.83255263889)</f>
        <v>46047.83255</v>
      </c>
      <c r="B572" s="3" t="str">
        <f>IFERROR(__xludf.DUMMYFUNCTION("""COMPUTED_VALUE"""),"MFHRO0294")</f>
        <v>MFHRO0294</v>
      </c>
      <c r="C572" s="3" t="str">
        <f>IFERROR(__xludf.DUMMYFUNCTION("""COMPUTED_VALUE"""),"Consumable")</f>
        <v>Consumable</v>
      </c>
      <c r="D572" s="3" t="str">
        <f>IFERROR(__xludf.DUMMYFUNCTION("""COMPUTED_VALUE"""),"-")</f>
        <v>-</v>
      </c>
      <c r="E572" s="3" t="str">
        <f>IFERROR(__xludf.DUMMYFUNCTION("""COMPUTED_VALUE"""),"WWTP")</f>
        <v>WWTP</v>
      </c>
      <c r="F572" s="3" t="str">
        <f>IFERROR(__xludf.DUMMYFUNCTION("""COMPUTED_VALUE"""),"Sodium metabisulfit")</f>
        <v>Sodium metabisulfit</v>
      </c>
      <c r="G572" s="3">
        <f>IFERROR(__xludf.DUMMYFUNCTION("""COMPUTED_VALUE"""),3.0)</f>
        <v>3</v>
      </c>
      <c r="H572" s="3" t="str">
        <f>IFERROR(__xludf.DUMMYFUNCTION("""COMPUTED_VALUE"""),"Pieces")</f>
        <v>Pieces</v>
      </c>
      <c r="I572" s="3" t="str">
        <f>IFERROR(__xludf.DUMMYFUNCTION("""COMPUTED_VALUE"""),"121703624 - APPROVED")</f>
        <v>121703624 - APPROVED</v>
      </c>
      <c r="J572" s="3" t="str">
        <f>IFERROR(__xludf.DUMMYFUNCTION("""COMPUTED_VALUE"""),"P-12830-00")</f>
        <v>P-12830-00</v>
      </c>
      <c r="K572" s="3" t="str">
        <f>IFERROR(__xludf.DUMMYFUNCTION("""COMPUTED_VALUE"""),"Approve")</f>
        <v>Approve</v>
      </c>
      <c r="L572" s="3" t="str">
        <f>IFERROR(__xludf.DUMMYFUNCTION("""COMPUTED_VALUE"""),"Normal")</f>
        <v>Normal</v>
      </c>
      <c r="M572" s="3" t="str">
        <f>IFERROR(__xludf.DUMMYFUNCTION("""COMPUTED_VALUE"""),"Non Urgent")</f>
        <v>Non Urgent</v>
      </c>
    </row>
    <row r="573">
      <c r="A573" s="4">
        <f>IFERROR(__xludf.DUMMYFUNCTION("""COMPUTED_VALUE"""),46047.83255263889)</f>
        <v>46047.83255</v>
      </c>
      <c r="B573" s="3" t="str">
        <f>IFERROR(__xludf.DUMMYFUNCTION("""COMPUTED_VALUE"""),"MFHRO0295")</f>
        <v>MFHRO0295</v>
      </c>
      <c r="C573" s="3" t="str">
        <f>IFERROR(__xludf.DUMMYFUNCTION("""COMPUTED_VALUE"""),"Consumable")</f>
        <v>Consumable</v>
      </c>
      <c r="D573" s="3" t="str">
        <f>IFERROR(__xludf.DUMMYFUNCTION("""COMPUTED_VALUE"""),"-")</f>
        <v>-</v>
      </c>
      <c r="E573" s="3" t="str">
        <f>IFERROR(__xludf.DUMMYFUNCTION("""COMPUTED_VALUE"""),"Washing")</f>
        <v>Washing</v>
      </c>
      <c r="F573" s="3" t="str">
        <f>IFERROR(__xludf.DUMMYFUNCTION("""COMPUTED_VALUE"""),"General - Oring Silicone Merah 23x18x2.5 mm; -; -; 1 Pc")</f>
        <v>General - Oring Silicone Merah 23x18x2.5 mm; -; -; 1 Pc</v>
      </c>
      <c r="G573" s="3">
        <f>IFERROR(__xludf.DUMMYFUNCTION("""COMPUTED_VALUE"""),270.0)</f>
        <v>270</v>
      </c>
      <c r="H573" s="3" t="str">
        <f>IFERROR(__xludf.DUMMYFUNCTION("""COMPUTED_VALUE"""),"Pieces")</f>
        <v>Pieces</v>
      </c>
      <c r="I573" s="3" t="str">
        <f>IFERROR(__xludf.DUMMYFUNCTION("""COMPUTED_VALUE"""),"121703628 - APPROVED")</f>
        <v>121703628 - APPROVED</v>
      </c>
      <c r="J573" s="3" t="str">
        <f>IFERROR(__xludf.DUMMYFUNCTION("""COMPUTED_VALUE"""),"O-16647-00")</f>
        <v>O-16647-00</v>
      </c>
      <c r="K573" s="3" t="str">
        <f>IFERROR(__xludf.DUMMYFUNCTION("""COMPUTED_VALUE"""),"Approve")</f>
        <v>Approve</v>
      </c>
      <c r="L573" s="3" t="str">
        <f>IFERROR(__xludf.DUMMYFUNCTION("""COMPUTED_VALUE"""),"Normal")</f>
        <v>Normal</v>
      </c>
      <c r="M573" s="3" t="str">
        <f>IFERROR(__xludf.DUMMYFUNCTION("""COMPUTED_VALUE"""),"Non Urgent")</f>
        <v>Non Urgent</v>
      </c>
    </row>
    <row r="574">
      <c r="A574" s="4">
        <f>IFERROR(__xludf.DUMMYFUNCTION("""COMPUTED_VALUE"""),46047.83255263889)</f>
        <v>46047.83255</v>
      </c>
      <c r="B574" s="3" t="str">
        <f>IFERROR(__xludf.DUMMYFUNCTION("""COMPUTED_VALUE"""),"MFHRO0296")</f>
        <v>MFHRO0296</v>
      </c>
      <c r="C574" s="3" t="str">
        <f>IFERROR(__xludf.DUMMYFUNCTION("""COMPUTED_VALUE"""),"Consumable")</f>
        <v>Consumable</v>
      </c>
      <c r="D574" s="3" t="str">
        <f>IFERROR(__xludf.DUMMYFUNCTION("""COMPUTED_VALUE"""),"-")</f>
        <v>-</v>
      </c>
      <c r="E574" s="3" t="str">
        <f>IFERROR(__xludf.DUMMYFUNCTION("""COMPUTED_VALUE"""),"Washing")</f>
        <v>Washing</v>
      </c>
      <c r="F574" s="3" t="str">
        <f>IFERROR(__xludf.DUMMYFUNCTION("""COMPUTED_VALUE"""),"General - Oring Silicone Merah 23x18x2.5 mm; -; -; 1 Pc")</f>
        <v>General - Oring Silicone Merah 23x18x2.5 mm; -; -; 1 Pc</v>
      </c>
      <c r="G574" s="3">
        <f>IFERROR(__xludf.DUMMYFUNCTION("""COMPUTED_VALUE"""),270.0)</f>
        <v>270</v>
      </c>
      <c r="H574" s="3" t="str">
        <f>IFERROR(__xludf.DUMMYFUNCTION("""COMPUTED_VALUE"""),"Pieces")</f>
        <v>Pieces</v>
      </c>
      <c r="I574" s="3" t="str">
        <f>IFERROR(__xludf.DUMMYFUNCTION("""COMPUTED_VALUE"""),"121703628 - APPROVED")</f>
        <v>121703628 - APPROVED</v>
      </c>
      <c r="J574" s="3" t="str">
        <f>IFERROR(__xludf.DUMMYFUNCTION("""COMPUTED_VALUE"""),"O-16647-00")</f>
        <v>O-16647-00</v>
      </c>
      <c r="K574" s="3" t="str">
        <f>IFERROR(__xludf.DUMMYFUNCTION("""COMPUTED_VALUE"""),"Approve")</f>
        <v>Approve</v>
      </c>
      <c r="L574" s="3" t="str">
        <f>IFERROR(__xludf.DUMMYFUNCTION("""COMPUTED_VALUE"""),"Normal")</f>
        <v>Normal</v>
      </c>
      <c r="M574" s="3" t="str">
        <f>IFERROR(__xludf.DUMMYFUNCTION("""COMPUTED_VALUE"""),"Non Urgent")</f>
        <v>Non Urgent</v>
      </c>
    </row>
    <row r="575">
      <c r="A575" s="4">
        <f>IFERROR(__xludf.DUMMYFUNCTION("""COMPUTED_VALUE"""),46047.83255263889)</f>
        <v>46047.83255</v>
      </c>
      <c r="B575" s="3" t="str">
        <f>IFERROR(__xludf.DUMMYFUNCTION("""COMPUTED_VALUE"""),"MFHRO0297")</f>
        <v>MFHRO0297</v>
      </c>
      <c r="C575" s="3" t="str">
        <f>IFERROR(__xludf.DUMMYFUNCTION("""COMPUTED_VALUE"""),"MIn Stok")</f>
        <v>MIn Stok</v>
      </c>
      <c r="D575" s="3" t="str">
        <f>IFERROR(__xludf.DUMMYFUNCTION("""COMPUTED_VALUE"""),"-")</f>
        <v>-</v>
      </c>
      <c r="E575" s="3" t="str">
        <f>IFERROR(__xludf.DUMMYFUNCTION("""COMPUTED_VALUE"""),"Filling")</f>
        <v>Filling</v>
      </c>
      <c r="F575" s="3" t="str">
        <f>IFERROR(__xludf.DUMMYFUNCTION("""COMPUTED_VALUE"""),"General - Pulsed DC Ionising Bar Hyperion 929IPS Length 325mm; Steriline; 1096041; 1 Pc")</f>
        <v>General - Pulsed DC Ionising Bar Hyperion 929IPS Length 325mm; Steriline; 1096041; 1 Pc</v>
      </c>
      <c r="G575" s="3">
        <f>IFERROR(__xludf.DUMMYFUNCTION("""COMPUTED_VALUE"""),1.0)</f>
        <v>1</v>
      </c>
      <c r="H575" s="3" t="str">
        <f>IFERROR(__xludf.DUMMYFUNCTION("""COMPUTED_VALUE"""),"Pieces")</f>
        <v>Pieces</v>
      </c>
      <c r="I575" s="3" t="str">
        <f>IFERROR(__xludf.DUMMYFUNCTION("""COMPUTED_VALUE"""),"121703633 - APPROVED")</f>
        <v>121703633 - APPROVED</v>
      </c>
      <c r="J575" s="3" t="str">
        <f>IFERROR(__xludf.DUMMYFUNCTION("""COMPUTED_VALUE"""),"O-51996-00")</f>
        <v>O-51996-00</v>
      </c>
      <c r="K575" s="3" t="str">
        <f>IFERROR(__xludf.DUMMYFUNCTION("""COMPUTED_VALUE"""),"Approve")</f>
        <v>Approve</v>
      </c>
      <c r="L575" s="3" t="str">
        <f>IFERROR(__xludf.DUMMYFUNCTION("""COMPUTED_VALUE"""),"Normal")</f>
        <v>Normal</v>
      </c>
      <c r="M575" s="3" t="str">
        <f>IFERROR(__xludf.DUMMYFUNCTION("""COMPUTED_VALUE"""),"Non Urgent")</f>
        <v>Non Urgent</v>
      </c>
    </row>
    <row r="576">
      <c r="A576" s="4">
        <f>IFERROR(__xludf.DUMMYFUNCTION("""COMPUTED_VALUE"""),46047.83255263889)</f>
        <v>46047.83255</v>
      </c>
      <c r="B576" s="3" t="str">
        <f>IFERROR(__xludf.DUMMYFUNCTION("""COMPUTED_VALUE"""),"MFHRO0298")</f>
        <v>MFHRO0298</v>
      </c>
      <c r="C576" s="3" t="str">
        <f>IFERROR(__xludf.DUMMYFUNCTION("""COMPUTED_VALUE"""),"MIn Stok")</f>
        <v>MIn Stok</v>
      </c>
      <c r="D576" s="3" t="str">
        <f>IFERROR(__xludf.DUMMYFUNCTION("""COMPUTED_VALUE"""),"-")</f>
        <v>-</v>
      </c>
      <c r="E576" s="3" t="str">
        <f>IFERROR(__xludf.DUMMYFUNCTION("""COMPUTED_VALUE"""),"cRABS")</f>
        <v>cRABS</v>
      </c>
      <c r="F576" s="3" t="str">
        <f>IFERROR(__xludf.DUMMYFUNCTION("""COMPUTED_VALUE"""),"cRABS Z064CR - Transmitter for Temperature Probe HC2-xxx; -; 64938; 1 Pc")</f>
        <v>cRABS Z064CR - Transmitter for Temperature Probe HC2-xxx; -; 64938; 1 Pc</v>
      </c>
      <c r="G576" s="3">
        <f>IFERROR(__xludf.DUMMYFUNCTION("""COMPUTED_VALUE"""),1.0)</f>
        <v>1</v>
      </c>
      <c r="H576" s="3" t="str">
        <f>IFERROR(__xludf.DUMMYFUNCTION("""COMPUTED_VALUE"""),"Pieces")</f>
        <v>Pieces</v>
      </c>
      <c r="I576" s="3" t="str">
        <f>IFERROR(__xludf.DUMMYFUNCTION("""COMPUTED_VALUE"""),"121703633 - APPROVED")</f>
        <v>121703633 - APPROVED</v>
      </c>
      <c r="J576" s="3" t="str">
        <f>IFERROR(__xludf.DUMMYFUNCTION("""COMPUTED_VALUE"""),"O-53523-00")</f>
        <v>O-53523-00</v>
      </c>
      <c r="K576" s="3" t="str">
        <f>IFERROR(__xludf.DUMMYFUNCTION("""COMPUTED_VALUE"""),"Approve")</f>
        <v>Approve</v>
      </c>
      <c r="L576" s="3" t="str">
        <f>IFERROR(__xludf.DUMMYFUNCTION("""COMPUTED_VALUE"""),"Normal")</f>
        <v>Normal</v>
      </c>
      <c r="M576" s="3" t="str">
        <f>IFERROR(__xludf.DUMMYFUNCTION("""COMPUTED_VALUE"""),"Non Urgent")</f>
        <v>Non Urgent</v>
      </c>
    </row>
    <row r="577">
      <c r="A577" s="4">
        <f>IFERROR(__xludf.DUMMYFUNCTION("""COMPUTED_VALUE"""),46047.83255263889)</f>
        <v>46047.83255</v>
      </c>
      <c r="B577" s="3" t="str">
        <f>IFERROR(__xludf.DUMMYFUNCTION("""COMPUTED_VALUE"""),"MFHRO0299")</f>
        <v>MFHRO0299</v>
      </c>
      <c r="C577" s="3" t="str">
        <f>IFERROR(__xludf.DUMMYFUNCTION("""COMPUTED_VALUE"""),"MIn Stok")</f>
        <v>MIn Stok</v>
      </c>
      <c r="D577" s="3" t="str">
        <f>IFERROR(__xludf.DUMMYFUNCTION("""COMPUTED_VALUE"""),"-")</f>
        <v>-</v>
      </c>
      <c r="E577" s="3" t="str">
        <f>IFERROR(__xludf.DUMMYFUNCTION("""COMPUTED_VALUE"""),"cRABS")</f>
        <v>cRABS</v>
      </c>
      <c r="F577" s="3" t="str">
        <f>IFERROR(__xludf.DUMMYFUNCTION("""COMPUTED_VALUE"""),"cRABS Z064CR - Digital Probe for Humidity and Temperature; -; 64939; 1 Pc")</f>
        <v>cRABS Z064CR - Digital Probe for Humidity and Temperature; -; 64939; 1 Pc</v>
      </c>
      <c r="G577" s="3">
        <f>IFERROR(__xludf.DUMMYFUNCTION("""COMPUTED_VALUE"""),1.0)</f>
        <v>1</v>
      </c>
      <c r="H577" s="3" t="str">
        <f>IFERROR(__xludf.DUMMYFUNCTION("""COMPUTED_VALUE"""),"Pieces")</f>
        <v>Pieces</v>
      </c>
      <c r="I577" s="3" t="str">
        <f>IFERROR(__xludf.DUMMYFUNCTION("""COMPUTED_VALUE"""),"121703633 - APPROVED")</f>
        <v>121703633 - APPROVED</v>
      </c>
      <c r="J577" s="3" t="str">
        <f>IFERROR(__xludf.DUMMYFUNCTION("""COMPUTED_VALUE"""),"O-53524-00")</f>
        <v>O-53524-00</v>
      </c>
      <c r="K577" s="3" t="str">
        <f>IFERROR(__xludf.DUMMYFUNCTION("""COMPUTED_VALUE"""),"Approve")</f>
        <v>Approve</v>
      </c>
      <c r="L577" s="3" t="str">
        <f>IFERROR(__xludf.DUMMYFUNCTION("""COMPUTED_VALUE"""),"Normal")</f>
        <v>Normal</v>
      </c>
      <c r="M577" s="3" t="str">
        <f>IFERROR(__xludf.DUMMYFUNCTION("""COMPUTED_VALUE"""),"Non Urgent")</f>
        <v>Non Urgent</v>
      </c>
    </row>
    <row r="578">
      <c r="A578" s="4">
        <f>IFERROR(__xludf.DUMMYFUNCTION("""COMPUTED_VALUE"""),46047.83255263889)</f>
        <v>46047.83255</v>
      </c>
      <c r="B578" s="3" t="str">
        <f>IFERROR(__xludf.DUMMYFUNCTION("""COMPUTED_VALUE"""),"MFHRO0300")</f>
        <v>MFHRO0300</v>
      </c>
      <c r="C578" s="3" t="str">
        <f>IFERROR(__xludf.DUMMYFUNCTION("""COMPUTED_VALUE"""),"MIn Stok")</f>
        <v>MIn Stok</v>
      </c>
      <c r="D578" s="3" t="str">
        <f>IFERROR(__xludf.DUMMYFUNCTION("""COMPUTED_VALUE"""),"-")</f>
        <v>-</v>
      </c>
      <c r="E578" s="3" t="str">
        <f>IFERROR(__xludf.DUMMYFUNCTION("""COMPUTED_VALUE"""),"cRABS")</f>
        <v>cRABS</v>
      </c>
      <c r="F578" s="3" t="str">
        <f>IFERROR(__xludf.DUMMYFUNCTION("""COMPUTED_VALUE"""),"cRABS Z064CR - Cable Gland for Temperature Probe; -; 64940; 1 Pc")</f>
        <v>cRABS Z064CR - Cable Gland for Temperature Probe; -; 64940; 1 Pc</v>
      </c>
      <c r="G578" s="3">
        <f>IFERROR(__xludf.DUMMYFUNCTION("""COMPUTED_VALUE"""),1.0)</f>
        <v>1</v>
      </c>
      <c r="H578" s="3" t="str">
        <f>IFERROR(__xludf.DUMMYFUNCTION("""COMPUTED_VALUE"""),"Pieces")</f>
        <v>Pieces</v>
      </c>
      <c r="I578" s="3" t="str">
        <f>IFERROR(__xludf.DUMMYFUNCTION("""COMPUTED_VALUE"""),"121703633 - APPROVED")</f>
        <v>121703633 - APPROVED</v>
      </c>
      <c r="J578" s="3" t="str">
        <f>IFERROR(__xludf.DUMMYFUNCTION("""COMPUTED_VALUE"""),"O-53525-00")</f>
        <v>O-53525-00</v>
      </c>
      <c r="K578" s="3" t="str">
        <f>IFERROR(__xludf.DUMMYFUNCTION("""COMPUTED_VALUE"""),"Waiting")</f>
        <v>Waiting</v>
      </c>
      <c r="L578" s="3" t="str">
        <f>IFERROR(__xludf.DUMMYFUNCTION("""COMPUTED_VALUE"""),"Waiting")</f>
        <v>Waiting</v>
      </c>
      <c r="M578" s="3" t="str">
        <f>IFERROR(__xludf.DUMMYFUNCTION("""COMPUTED_VALUE"""),"Non Urgent")</f>
        <v>Non Urgent</v>
      </c>
    </row>
    <row r="579">
      <c r="A579" s="4">
        <f>IFERROR(__xludf.DUMMYFUNCTION("""COMPUTED_VALUE"""),46047.83255263889)</f>
        <v>46047.83255</v>
      </c>
      <c r="B579" s="3" t="str">
        <f>IFERROR(__xludf.DUMMYFUNCTION("""COMPUTED_VALUE"""),"MFHRO0301")</f>
        <v>MFHRO0301</v>
      </c>
      <c r="C579" s="3" t="str">
        <f>IFERROR(__xludf.DUMMYFUNCTION("""COMPUTED_VALUE"""),"Consumable")</f>
        <v>Consumable</v>
      </c>
      <c r="D579" s="3" t="str">
        <f>IFERROR(__xludf.DUMMYFUNCTION("""COMPUTED_VALUE"""),"-")</f>
        <v>-</v>
      </c>
      <c r="E579" s="3" t="str">
        <f>IFERROR(__xludf.DUMMYFUNCTION("""COMPUTED_VALUE"""),"Sparepart")</f>
        <v>Sparepart</v>
      </c>
      <c r="F579" s="3" t="str">
        <f>IFERROR(__xludf.DUMMYFUNCTION("""COMPUTED_VALUE"""),"Gas Nitrogen (N2); 6 M3; Refill; Ultra High Purity (UHP); Purity ? 99.999%")</f>
        <v>Gas Nitrogen (N2); 6 M3; Refill; Ultra High Purity (UHP); Purity ? 99.999%</v>
      </c>
      <c r="G579" s="3">
        <f>IFERROR(__xludf.DUMMYFUNCTION("""COMPUTED_VALUE"""),2.0)</f>
        <v>2</v>
      </c>
      <c r="H579" s="3" t="str">
        <f>IFERROR(__xludf.DUMMYFUNCTION("""COMPUTED_VALUE"""),"Tube")</f>
        <v>Tube</v>
      </c>
      <c r="I579" s="3" t="str">
        <f>IFERROR(__xludf.DUMMYFUNCTION("""COMPUTED_VALUE"""),"121703634 - APPROVED")</f>
        <v>121703634 - APPROVED</v>
      </c>
      <c r="J579" s="3" t="str">
        <f>IFERROR(__xludf.DUMMYFUNCTION("""COMPUTED_VALUE"""),"S-62027-00")</f>
        <v>S-62027-00</v>
      </c>
      <c r="K579" s="3" t="str">
        <f>IFERROR(__xludf.DUMMYFUNCTION("""COMPUTED_VALUE"""),"Approve")</f>
        <v>Approve</v>
      </c>
      <c r="L579" s="3" t="str">
        <f>IFERROR(__xludf.DUMMYFUNCTION("""COMPUTED_VALUE"""),"Normal")</f>
        <v>Normal</v>
      </c>
      <c r="M579" s="3" t="str">
        <f>IFERROR(__xludf.DUMMYFUNCTION("""COMPUTED_VALUE"""),"Non Urgent")</f>
        <v>Non Urgent</v>
      </c>
    </row>
    <row r="580">
      <c r="A580" s="4">
        <f>IFERROR(__xludf.DUMMYFUNCTION("""COMPUTED_VALUE"""),46047.83255263889)</f>
        <v>46047.83255</v>
      </c>
      <c r="B580" s="3" t="str">
        <f>IFERROR(__xludf.DUMMYFUNCTION("""COMPUTED_VALUE"""),"MFHRO0302")</f>
        <v>MFHRO0302</v>
      </c>
      <c r="C580" s="3" t="str">
        <f>IFERROR(__xludf.DUMMYFUNCTION("""COMPUTED_VALUE"""),"Consumable")</f>
        <v>Consumable</v>
      </c>
      <c r="D580" s="3" t="str">
        <f>IFERROR(__xludf.DUMMYFUNCTION("""COMPUTED_VALUE"""),"-")</f>
        <v>-</v>
      </c>
      <c r="E580" s="3" t="str">
        <f>IFERROR(__xludf.DUMMYFUNCTION("""COMPUTED_VALUE"""),"Sparepart")</f>
        <v>Sparepart</v>
      </c>
      <c r="F580" s="3" t="str">
        <f>IFERROR(__xludf.DUMMYFUNCTION("""COMPUTED_VALUE"""),"Gas Nitrogen (N2); 6 M3; Refill; Ultra High Purity (UHP); Purity ? 99.999%")</f>
        <v>Gas Nitrogen (N2); 6 M3; Refill; Ultra High Purity (UHP); Purity ? 99.999%</v>
      </c>
      <c r="G580" s="3">
        <f>IFERROR(__xludf.DUMMYFUNCTION("""COMPUTED_VALUE"""),3.0)</f>
        <v>3</v>
      </c>
      <c r="H580" s="3" t="str">
        <f>IFERROR(__xludf.DUMMYFUNCTION("""COMPUTED_VALUE"""),"Tube")</f>
        <v>Tube</v>
      </c>
      <c r="I580" s="3" t="str">
        <f>IFERROR(__xludf.DUMMYFUNCTION("""COMPUTED_VALUE"""),"121703634 - APPROVED")</f>
        <v>121703634 - APPROVED</v>
      </c>
      <c r="J580" s="3" t="str">
        <f>IFERROR(__xludf.DUMMYFUNCTION("""COMPUTED_VALUE"""),"S-62027-00")</f>
        <v>S-62027-00</v>
      </c>
      <c r="K580" s="3" t="str">
        <f>IFERROR(__xludf.DUMMYFUNCTION("""COMPUTED_VALUE"""),"Approve")</f>
        <v>Approve</v>
      </c>
      <c r="L580" s="3" t="str">
        <f>IFERROR(__xludf.DUMMYFUNCTION("""COMPUTED_VALUE"""),"Normal")</f>
        <v>Normal</v>
      </c>
      <c r="M580" s="3" t="str">
        <f>IFERROR(__xludf.DUMMYFUNCTION("""COMPUTED_VALUE"""),"Non Urgent")</f>
        <v>Non Urgent</v>
      </c>
    </row>
    <row r="581">
      <c r="A581" s="4">
        <f>IFERROR(__xludf.DUMMYFUNCTION("""COMPUTED_VALUE"""),46047.83255263889)</f>
        <v>46047.83255</v>
      </c>
      <c r="B581" s="3" t="str">
        <f>IFERROR(__xludf.DUMMYFUNCTION("""COMPUTED_VALUE"""),"MFHRO0303")</f>
        <v>MFHRO0303</v>
      </c>
      <c r="C581" s="3" t="str">
        <f>IFERROR(__xludf.DUMMYFUNCTION("""COMPUTED_VALUE"""),"MIn Stok")</f>
        <v>MIn Stok</v>
      </c>
      <c r="D581" s="3" t="str">
        <f>IFERROR(__xludf.DUMMYFUNCTION("""COMPUTED_VALUE"""),"-")</f>
        <v>-</v>
      </c>
      <c r="E581" s="3" t="str">
        <f>IFERROR(__xludf.DUMMYFUNCTION("""COMPUTED_VALUE"""),"Sparepart")</f>
        <v>Sparepart</v>
      </c>
      <c r="F581" s="3" t="str">
        <f>IFERROR(__xludf.DUMMYFUNCTION("""COMPUTED_VALUE"""),"General - Contact cleaner WD 40; No Brand; -; 382gr/can")</f>
        <v>General - Contact cleaner WD 40; No Brand; -; 382gr/can</v>
      </c>
      <c r="G581" s="3">
        <f>IFERROR(__xludf.DUMMYFUNCTION("""COMPUTED_VALUE"""),3.0)</f>
        <v>3</v>
      </c>
      <c r="H581" s="3" t="str">
        <f>IFERROR(__xludf.DUMMYFUNCTION("""COMPUTED_VALUE"""),"Pieces")</f>
        <v>Pieces</v>
      </c>
      <c r="I581" s="3" t="str">
        <f>IFERROR(__xludf.DUMMYFUNCTION("""COMPUTED_VALUE"""),"121703637 - APPROVED")</f>
        <v>121703637 - APPROVED</v>
      </c>
      <c r="J581" s="3" t="str">
        <f>IFERROR(__xludf.DUMMYFUNCTION("""COMPUTED_VALUE"""),"P-10729-00")</f>
        <v>P-10729-00</v>
      </c>
      <c r="K581" s="3" t="str">
        <f>IFERROR(__xludf.DUMMYFUNCTION("""COMPUTED_VALUE"""),"Approve")</f>
        <v>Approve</v>
      </c>
      <c r="L581" s="3" t="str">
        <f>IFERROR(__xludf.DUMMYFUNCTION("""COMPUTED_VALUE"""),"Normal")</f>
        <v>Normal</v>
      </c>
      <c r="M581" s="3" t="str">
        <f>IFERROR(__xludf.DUMMYFUNCTION("""COMPUTED_VALUE"""),"Non Urgent")</f>
        <v>Non Urgent</v>
      </c>
    </row>
    <row r="582">
      <c r="A582" s="4">
        <f>IFERROR(__xludf.DUMMYFUNCTION("""COMPUTED_VALUE"""),46047.83255263889)</f>
        <v>46047.83255</v>
      </c>
      <c r="B582" s="3" t="str">
        <f>IFERROR(__xludf.DUMMYFUNCTION("""COMPUTED_VALUE"""),"MFHRO0304")</f>
        <v>MFHRO0304</v>
      </c>
      <c r="C582" s="3" t="str">
        <f>IFERROR(__xludf.DUMMYFUNCTION("""COMPUTED_VALUE"""),"Consumable")</f>
        <v>Consumable</v>
      </c>
      <c r="D582" s="3" t="str">
        <f>IFERROR(__xludf.DUMMYFUNCTION("""COMPUTED_VALUE"""),"-")</f>
        <v>-</v>
      </c>
      <c r="E582" s="3" t="str">
        <f>IFERROR(__xludf.DUMMYFUNCTION("""COMPUTED_VALUE"""),"Tools")</f>
        <v>Tools</v>
      </c>
      <c r="F582" s="3" t="str">
        <f>IFERROR(__xludf.DUMMYFUNCTION("""COMPUTED_VALUE"""),"Kunci L Mini Set; Tekiro; HK-EL1198; 7 pc/set")</f>
        <v>Kunci L Mini Set; Tekiro; HK-EL1198; 7 pc/set</v>
      </c>
      <c r="G582" s="3">
        <f>IFERROR(__xludf.DUMMYFUNCTION("""COMPUTED_VALUE"""),1.0)</f>
        <v>1</v>
      </c>
      <c r="H582" s="3" t="str">
        <f>IFERROR(__xludf.DUMMYFUNCTION("""COMPUTED_VALUE"""),"Set")</f>
        <v>Set</v>
      </c>
      <c r="I582" s="3" t="str">
        <f>IFERROR(__xludf.DUMMYFUNCTION("""COMPUTED_VALUE"""),"121703645 - APPROVED")</f>
        <v>121703645 - APPROVED</v>
      </c>
      <c r="J582" s="3" t="str">
        <f>IFERROR(__xludf.DUMMYFUNCTION("""COMPUTED_VALUE"""),"Q-70224-00")</f>
        <v>Q-70224-00</v>
      </c>
      <c r="K582" s="3" t="str">
        <f>IFERROR(__xludf.DUMMYFUNCTION("""COMPUTED_VALUE"""),"Approve")</f>
        <v>Approve</v>
      </c>
      <c r="L582" s="3" t="str">
        <f>IFERROR(__xludf.DUMMYFUNCTION("""COMPUTED_VALUE"""),"Normal")</f>
        <v>Normal</v>
      </c>
      <c r="M582" s="3" t="str">
        <f>IFERROR(__xludf.DUMMYFUNCTION("""COMPUTED_VALUE"""),"Non Urgent")</f>
        <v>Non Urgent</v>
      </c>
    </row>
    <row r="583">
      <c r="A583" s="4">
        <f>IFERROR(__xludf.DUMMYFUNCTION("""COMPUTED_VALUE"""),46047.83255263889)</f>
        <v>46047.83255</v>
      </c>
      <c r="B583" s="3" t="str">
        <f>IFERROR(__xludf.DUMMYFUNCTION("""COMPUTED_VALUE"""),"MFHRO0305")</f>
        <v>MFHRO0305</v>
      </c>
      <c r="C583" s="3" t="str">
        <f>IFERROR(__xludf.DUMMYFUNCTION("""COMPUTED_VALUE"""),"MIn Stok")</f>
        <v>MIn Stok</v>
      </c>
      <c r="D583" s="3" t="str">
        <f>IFERROR(__xludf.DUMMYFUNCTION("""COMPUTED_VALUE"""),"-")</f>
        <v>-</v>
      </c>
      <c r="E583" s="3" t="str">
        <f>IFERROR(__xludf.DUMMYFUNCTION("""COMPUTED_VALUE"""),"BSC")</f>
        <v>BSC</v>
      </c>
      <c r="F583" s="3" t="str">
        <f>IFERROR(__xludf.DUMMYFUNCTION("""COMPUTED_VALUE"""),"General - Isolator Gloves 000080 E10330 CNS 7 E3 5 Neoprene No Staining; Piercan; SG010138; 1 Pc")</f>
        <v>General - Isolator Gloves 000080 E10330 CNS 7 E3 5 Neoprene No Staining; Piercan; SG010138; 1 Pc</v>
      </c>
      <c r="G583" s="3">
        <f>IFERROR(__xludf.DUMMYFUNCTION("""COMPUTED_VALUE"""),30.0)</f>
        <v>30</v>
      </c>
      <c r="H583" s="3" t="str">
        <f>IFERROR(__xludf.DUMMYFUNCTION("""COMPUTED_VALUE"""),"Pieces")</f>
        <v>Pieces</v>
      </c>
      <c r="I583" s="3" t="str">
        <f>IFERROR(__xludf.DUMMYFUNCTION("""COMPUTED_VALUE"""),"121703655 - APPROVED")</f>
        <v>121703655 - APPROVED</v>
      </c>
      <c r="J583" s="3" t="str">
        <f>IFERROR(__xludf.DUMMYFUNCTION("""COMPUTED_VALUE"""),"O-21284-00")</f>
        <v>O-21284-00</v>
      </c>
      <c r="K583" s="3" t="str">
        <f>IFERROR(__xludf.DUMMYFUNCTION("""COMPUTED_VALUE"""),"Approve")</f>
        <v>Approve</v>
      </c>
      <c r="L583" s="3" t="str">
        <f>IFERROR(__xludf.DUMMYFUNCTION("""COMPUTED_VALUE"""),"Normal")</f>
        <v>Normal</v>
      </c>
      <c r="M583" s="3" t="str">
        <f>IFERROR(__xludf.DUMMYFUNCTION("""COMPUTED_VALUE"""),"Non Urgent")</f>
        <v>Non Urgent</v>
      </c>
    </row>
    <row r="584">
      <c r="A584" s="4">
        <f>IFERROR(__xludf.DUMMYFUNCTION("""COMPUTED_VALUE"""),46047.83255263889)</f>
        <v>46047.83255</v>
      </c>
      <c r="B584" s="3" t="str">
        <f>IFERROR(__xludf.DUMMYFUNCTION("""COMPUTED_VALUE"""),"MFHRO0306")</f>
        <v>MFHRO0306</v>
      </c>
      <c r="C584" s="3" t="str">
        <f>IFERROR(__xludf.DUMMYFUNCTION("""COMPUTED_VALUE"""),"MIn Stok")</f>
        <v>MIn Stok</v>
      </c>
      <c r="D584" s="3" t="str">
        <f>IFERROR(__xludf.DUMMYFUNCTION("""COMPUTED_VALUE"""),"-")</f>
        <v>-</v>
      </c>
      <c r="E584" s="3" t="str">
        <f>IFERROR(__xludf.DUMMYFUNCTION("""COMPUTED_VALUE"""),"TOC")</f>
        <v>TOC</v>
      </c>
      <c r="F584" s="3" t="str">
        <f>IFERROR(__xludf.DUMMYFUNCTION("""COMPUTED_VALUE"""),"Replacement Filter 60 Micron; Sievers; c/n CHTF94402; 1 pc")</f>
        <v>Replacement Filter 60 Micron; Sievers; c/n CHTF94402; 1 pc</v>
      </c>
      <c r="G584" s="3">
        <f>IFERROR(__xludf.DUMMYFUNCTION("""COMPUTED_VALUE"""),1.0)</f>
        <v>1</v>
      </c>
      <c r="H584" s="3" t="str">
        <f>IFERROR(__xludf.DUMMYFUNCTION("""COMPUTED_VALUE"""),"Pieces")</f>
        <v>Pieces</v>
      </c>
      <c r="I584" s="3" t="str">
        <f>IFERROR(__xludf.DUMMYFUNCTION("""COMPUTED_VALUE"""),"121703656 - APPROVED")</f>
        <v>121703656 - APPROVED</v>
      </c>
      <c r="J584" s="3" t="str">
        <f>IFERROR(__xludf.DUMMYFUNCTION("""COMPUTED_VALUE"""),"T-20148-00")</f>
        <v>T-20148-00</v>
      </c>
      <c r="K584" s="3" t="str">
        <f>IFERROR(__xludf.DUMMYFUNCTION("""COMPUTED_VALUE"""),"Approve")</f>
        <v>Approve</v>
      </c>
      <c r="L584" s="3" t="str">
        <f>IFERROR(__xludf.DUMMYFUNCTION("""COMPUTED_VALUE"""),"Normal")</f>
        <v>Normal</v>
      </c>
      <c r="M584" s="3" t="str">
        <f>IFERROR(__xludf.DUMMYFUNCTION("""COMPUTED_VALUE"""),"Non Urgent")</f>
        <v>Non Urgent</v>
      </c>
    </row>
    <row r="585">
      <c r="A585" s="4">
        <f>IFERROR(__xludf.DUMMYFUNCTION("""COMPUTED_VALUE"""),46047.83255263889)</f>
        <v>46047.83255</v>
      </c>
      <c r="B585" s="3" t="str">
        <f>IFERROR(__xludf.DUMMYFUNCTION("""COMPUTED_VALUE"""),"MFHRO0307")</f>
        <v>MFHRO0307</v>
      </c>
      <c r="C585" s="3" t="str">
        <f>IFERROR(__xludf.DUMMYFUNCTION("""COMPUTED_VALUE"""),"Consumable")</f>
        <v>Consumable</v>
      </c>
      <c r="D585" s="3" t="str">
        <f>IFERROR(__xludf.DUMMYFUNCTION("""COMPUTED_VALUE"""),"-")</f>
        <v>-</v>
      </c>
      <c r="E585" s="3" t="str">
        <f>IFERROR(__xludf.DUMMYFUNCTION("""COMPUTED_VALUE"""),"TOC")</f>
        <v>TOC</v>
      </c>
      <c r="F585" s="3" t="str">
        <f>IFERROR(__xludf.DUMMYFUNCTION("""COMPUTED_VALUE"""),"900 Sample pump tubing; Sievers; P/N CATU 96200; 1 pc")</f>
        <v>900 Sample pump tubing; Sievers; P/N CATU 96200; 1 pc</v>
      </c>
      <c r="G585" s="3">
        <f>IFERROR(__xludf.DUMMYFUNCTION("""COMPUTED_VALUE"""),1.0)</f>
        <v>1</v>
      </c>
      <c r="H585" s="3" t="str">
        <f>IFERROR(__xludf.DUMMYFUNCTION("""COMPUTED_VALUE"""),"Pieces")</f>
        <v>Pieces</v>
      </c>
      <c r="I585" s="3" t="str">
        <f>IFERROR(__xludf.DUMMYFUNCTION("""COMPUTED_VALUE"""),"121703656 - APPROVED")</f>
        <v>121703656 - APPROVED</v>
      </c>
      <c r="J585" s="3" t="str">
        <f>IFERROR(__xludf.DUMMYFUNCTION("""COMPUTED_VALUE"""),"T-20112-00")</f>
        <v>T-20112-00</v>
      </c>
      <c r="K585" s="3" t="str">
        <f>IFERROR(__xludf.DUMMYFUNCTION("""COMPUTED_VALUE"""),"Approve")</f>
        <v>Approve</v>
      </c>
      <c r="L585" s="3" t="str">
        <f>IFERROR(__xludf.DUMMYFUNCTION("""COMPUTED_VALUE"""),"Normal")</f>
        <v>Normal</v>
      </c>
      <c r="M585" s="3" t="str">
        <f>IFERROR(__xludf.DUMMYFUNCTION("""COMPUTED_VALUE"""),"Non Urgent")</f>
        <v>Non Urgent</v>
      </c>
    </row>
    <row r="586">
      <c r="A586" s="4">
        <f>IFERROR(__xludf.DUMMYFUNCTION("""COMPUTED_VALUE"""),46047.83255263889)</f>
        <v>46047.83255</v>
      </c>
      <c r="B586" s="3" t="str">
        <f>IFERROR(__xludf.DUMMYFUNCTION("""COMPUTED_VALUE"""),"MFHRO0308")</f>
        <v>MFHRO0308</v>
      </c>
      <c r="C586" s="3" t="str">
        <f>IFERROR(__xludf.DUMMYFUNCTION("""COMPUTED_VALUE"""),"Consumable")</f>
        <v>Consumable</v>
      </c>
      <c r="D586" s="3" t="str">
        <f>IFERROR(__xludf.DUMMYFUNCTION("""COMPUTED_VALUE"""),"-")</f>
        <v>-</v>
      </c>
      <c r="E586" s="3" t="str">
        <f>IFERROR(__xludf.DUMMYFUNCTION("""COMPUTED_VALUE"""),"Sparepart")</f>
        <v>Sparepart</v>
      </c>
      <c r="F586" s="3" t="str">
        <f>IFERROR(__xludf.DUMMYFUNCTION("""COMPUTED_VALUE"""),"Cleaner - Contact Cleaner CRC CO 2016; No Brand; -; 500ml/Botol")</f>
        <v>Cleaner - Contact Cleaner CRC CO 2016; No Brand; -; 500ml/Botol</v>
      </c>
      <c r="G586" s="3">
        <f>IFERROR(__xludf.DUMMYFUNCTION("""COMPUTED_VALUE"""),3.0)</f>
        <v>3</v>
      </c>
      <c r="H586" s="3" t="str">
        <f>IFERROR(__xludf.DUMMYFUNCTION("""COMPUTED_VALUE"""),"Pieces")</f>
        <v>Pieces</v>
      </c>
      <c r="I586" s="3" t="str">
        <f>IFERROR(__xludf.DUMMYFUNCTION("""COMPUTED_VALUE"""),"121703659 - APPROVED")</f>
        <v>121703659 - APPROVED</v>
      </c>
      <c r="J586" s="3" t="str">
        <f>IFERROR(__xludf.DUMMYFUNCTION("""COMPUTED_VALUE"""),"P-10726-00")</f>
        <v>P-10726-00</v>
      </c>
      <c r="K586" s="3" t="str">
        <f>IFERROR(__xludf.DUMMYFUNCTION("""COMPUTED_VALUE"""),"Approve")</f>
        <v>Approve</v>
      </c>
      <c r="L586" s="3" t="str">
        <f>IFERROR(__xludf.DUMMYFUNCTION("""COMPUTED_VALUE"""),"Normal")</f>
        <v>Normal</v>
      </c>
      <c r="M586" s="3" t="str">
        <f>IFERROR(__xludf.DUMMYFUNCTION("""COMPUTED_VALUE"""),"Non Urgent")</f>
        <v>Non Urgent</v>
      </c>
    </row>
    <row r="587">
      <c r="A587" s="4">
        <f>IFERROR(__xludf.DUMMYFUNCTION("""COMPUTED_VALUE"""),46047.83255263889)</f>
        <v>46047.83255</v>
      </c>
      <c r="B587" s="3" t="str">
        <f>IFERROR(__xludf.DUMMYFUNCTION("""COMPUTED_VALUE"""),"MFHRO0309")</f>
        <v>MFHRO0309</v>
      </c>
      <c r="C587" s="3" t="str">
        <f>IFERROR(__xludf.DUMMYFUNCTION("""COMPUTED_VALUE"""),"Consumable")</f>
        <v>Consumable</v>
      </c>
      <c r="D587" s="3" t="str">
        <f>IFERROR(__xludf.DUMMYFUNCTION("""COMPUTED_VALUE"""),"-")</f>
        <v>-</v>
      </c>
      <c r="E587" s="3" t="str">
        <f>IFERROR(__xludf.DUMMYFUNCTION("""COMPUTED_VALUE"""),"Sparepart")</f>
        <v>Sparepart</v>
      </c>
      <c r="F587" s="3" t="str">
        <f>IFERROR(__xludf.DUMMYFUNCTION("""COMPUTED_VALUE"""),"General - Double Tape 1"" Merah; 3M; -; 1 Pc")</f>
        <v>General - Double Tape 1" Merah; 3M; -; 1 Pc</v>
      </c>
      <c r="G587" s="3">
        <f>IFERROR(__xludf.DUMMYFUNCTION("""COMPUTED_VALUE"""),20.0)</f>
        <v>20</v>
      </c>
      <c r="H587" s="3" t="str">
        <f>IFERROR(__xludf.DUMMYFUNCTION("""COMPUTED_VALUE"""),"Pieces")</f>
        <v>Pieces</v>
      </c>
      <c r="I587" s="3" t="str">
        <f>IFERROR(__xludf.DUMMYFUNCTION("""COMPUTED_VALUE"""),"121703670 - APPROVED")</f>
        <v>121703670 - APPROVED</v>
      </c>
      <c r="J587" s="3" t="str">
        <f>IFERROR(__xludf.DUMMYFUNCTION("""COMPUTED_VALUE"""),"O-15931-00")</f>
        <v>O-15931-00</v>
      </c>
      <c r="K587" s="3" t="str">
        <f>IFERROR(__xludf.DUMMYFUNCTION("""COMPUTED_VALUE"""),"Approve")</f>
        <v>Approve</v>
      </c>
      <c r="L587" s="3" t="str">
        <f>IFERROR(__xludf.DUMMYFUNCTION("""COMPUTED_VALUE"""),"Normal")</f>
        <v>Normal</v>
      </c>
      <c r="M587" s="3" t="str">
        <f>IFERROR(__xludf.DUMMYFUNCTION("""COMPUTED_VALUE"""),"Non Urgent")</f>
        <v>Non Urgent</v>
      </c>
    </row>
    <row r="588">
      <c r="A588" s="4">
        <f>IFERROR(__xludf.DUMMYFUNCTION("""COMPUTED_VALUE"""),46047.83255263889)</f>
        <v>46047.83255</v>
      </c>
      <c r="B588" s="3" t="str">
        <f>IFERROR(__xludf.DUMMYFUNCTION("""COMPUTED_VALUE"""),"MFHRO0310")</f>
        <v>MFHRO0310</v>
      </c>
      <c r="C588" s="3" t="str">
        <f>IFERROR(__xludf.DUMMYFUNCTION("""COMPUTED_VALUE"""),"Consumable")</f>
        <v>Consumable</v>
      </c>
      <c r="D588" s="3" t="str">
        <f>IFERROR(__xludf.DUMMYFUNCTION("""COMPUTED_VALUE"""),"-")</f>
        <v>-</v>
      </c>
      <c r="E588" s="3" t="str">
        <f>IFERROR(__xludf.DUMMYFUNCTION("""COMPUTED_VALUE"""),"Sparepart")</f>
        <v>Sparepart</v>
      </c>
      <c r="F588" s="3" t="str">
        <f>IFERROR(__xludf.DUMMYFUNCTION("""COMPUTED_VALUE"""),"General - Double Tape 1"" Merah; 3M; -; 1 Pc")</f>
        <v>General - Double Tape 1" Merah; 3M; -; 1 Pc</v>
      </c>
      <c r="G588" s="3">
        <f>IFERROR(__xludf.DUMMYFUNCTION("""COMPUTED_VALUE"""),20.0)</f>
        <v>20</v>
      </c>
      <c r="H588" s="3" t="str">
        <f>IFERROR(__xludf.DUMMYFUNCTION("""COMPUTED_VALUE"""),"Pieces")</f>
        <v>Pieces</v>
      </c>
      <c r="I588" s="3" t="str">
        <f>IFERROR(__xludf.DUMMYFUNCTION("""COMPUTED_VALUE"""),"121703670 - APPROVED")</f>
        <v>121703670 - APPROVED</v>
      </c>
      <c r="J588" s="3" t="str">
        <f>IFERROR(__xludf.DUMMYFUNCTION("""COMPUTED_VALUE"""),"O-15931-00")</f>
        <v>O-15931-00</v>
      </c>
      <c r="K588" s="3" t="str">
        <f>IFERROR(__xludf.DUMMYFUNCTION("""COMPUTED_VALUE"""),"Approve")</f>
        <v>Approve</v>
      </c>
      <c r="L588" s="3" t="str">
        <f>IFERROR(__xludf.DUMMYFUNCTION("""COMPUTED_VALUE"""),"Normal")</f>
        <v>Normal</v>
      </c>
      <c r="M588" s="3" t="str">
        <f>IFERROR(__xludf.DUMMYFUNCTION("""COMPUTED_VALUE"""),"Non Urgent")</f>
        <v>Non Urgent</v>
      </c>
    </row>
    <row r="589">
      <c r="A589" s="4">
        <f>IFERROR(__xludf.DUMMYFUNCTION("""COMPUTED_VALUE"""),46047.83255263889)</f>
        <v>46047.83255</v>
      </c>
      <c r="B589" s="3" t="str">
        <f>IFERROR(__xludf.DUMMYFUNCTION("""COMPUTED_VALUE"""),"MFHRO0311")</f>
        <v>MFHRO0311</v>
      </c>
      <c r="C589" s="3" t="str">
        <f>IFERROR(__xludf.DUMMYFUNCTION("""COMPUTED_VALUE"""),"Consumable")</f>
        <v>Consumable</v>
      </c>
      <c r="D589" s="3" t="str">
        <f>IFERROR(__xludf.DUMMYFUNCTION("""COMPUTED_VALUE"""),"-")</f>
        <v>-</v>
      </c>
      <c r="E589" s="3" t="str">
        <f>IFERROR(__xludf.DUMMYFUNCTION("""COMPUTED_VALUE"""),"AHU")</f>
        <v>AHU</v>
      </c>
      <c r="F589" s="3" t="str">
        <f>IFERROR(__xludf.DUMMYFUNCTION("""COMPUTED_VALUE"""),"General - Filter IAF MB Series (Medium Filter), efficiency : 60-65 %, Size: 24 x 24 x 12 inch; IAF; -; 1 pcs")</f>
        <v>General - Filter IAF MB Series (Medium Filter), efficiency : 60-65 %, Size: 24 x 24 x 12 inch; IAF; -; 1 pcs</v>
      </c>
      <c r="G589" s="3">
        <f>IFERROR(__xludf.DUMMYFUNCTION("""COMPUTED_VALUE"""),10.0)</f>
        <v>10</v>
      </c>
      <c r="H589" s="3" t="str">
        <f>IFERROR(__xludf.DUMMYFUNCTION("""COMPUTED_VALUE"""),"Pieces")</f>
        <v>Pieces</v>
      </c>
      <c r="I589" s="3" t="str">
        <f>IFERROR(__xludf.DUMMYFUNCTION("""COMPUTED_VALUE"""),"121703671 - APPROVED")</f>
        <v>121703671 - APPROVED</v>
      </c>
      <c r="J589" s="3" t="str">
        <f>IFERROR(__xludf.DUMMYFUNCTION("""COMPUTED_VALUE"""),"P-14453-00")</f>
        <v>P-14453-00</v>
      </c>
      <c r="K589" s="3" t="str">
        <f>IFERROR(__xludf.DUMMYFUNCTION("""COMPUTED_VALUE"""),"Approve")</f>
        <v>Approve</v>
      </c>
      <c r="L589" s="3" t="str">
        <f>IFERROR(__xludf.DUMMYFUNCTION("""COMPUTED_VALUE"""),"Normal")</f>
        <v>Normal</v>
      </c>
      <c r="M589" s="3" t="str">
        <f>IFERROR(__xludf.DUMMYFUNCTION("""COMPUTED_VALUE"""),"Non Urgent")</f>
        <v>Non Urgent</v>
      </c>
    </row>
    <row r="590">
      <c r="A590" s="4">
        <f>IFERROR(__xludf.DUMMYFUNCTION("""COMPUTED_VALUE"""),46047.83255263889)</f>
        <v>46047.83255</v>
      </c>
      <c r="B590" s="3" t="str">
        <f>IFERROR(__xludf.DUMMYFUNCTION("""COMPUTED_VALUE"""),"MFHRO0312")</f>
        <v>MFHRO0312</v>
      </c>
      <c r="C590" s="3" t="str">
        <f>IFERROR(__xludf.DUMMYFUNCTION("""COMPUTED_VALUE"""),"Consumable")</f>
        <v>Consumable</v>
      </c>
      <c r="D590" s="3" t="str">
        <f>IFERROR(__xludf.DUMMYFUNCTION("""COMPUTED_VALUE"""),"-")</f>
        <v>-</v>
      </c>
      <c r="E590" s="3" t="str">
        <f>IFERROR(__xludf.DUMMYFUNCTION("""COMPUTED_VALUE"""),"AHU")</f>
        <v>AHU</v>
      </c>
      <c r="F590" s="3" t="str">
        <f>IFERROR(__xludf.DUMMYFUNCTION("""COMPUTED_VALUE"""),"General - Filter IAF MB Series (Medium Filter), efficiency : 60-65 %, Size: 12 x 24 x 12 inch; IAF; -; 1 pcs")</f>
        <v>General - Filter IAF MB Series (Medium Filter), efficiency : 60-65 %, Size: 12 x 24 x 12 inch; IAF; -; 1 pcs</v>
      </c>
      <c r="G590" s="3">
        <f>IFERROR(__xludf.DUMMYFUNCTION("""COMPUTED_VALUE"""),10.0)</f>
        <v>10</v>
      </c>
      <c r="H590" s="3" t="str">
        <f>IFERROR(__xludf.DUMMYFUNCTION("""COMPUTED_VALUE"""),"Pieces")</f>
        <v>Pieces</v>
      </c>
      <c r="I590" s="3" t="str">
        <f>IFERROR(__xludf.DUMMYFUNCTION("""COMPUTED_VALUE"""),"121703671 - APPROVED")</f>
        <v>121703671 - APPROVED</v>
      </c>
      <c r="J590" s="3" t="str">
        <f>IFERROR(__xludf.DUMMYFUNCTION("""COMPUTED_VALUE"""),"P-14454-00")</f>
        <v>P-14454-00</v>
      </c>
      <c r="K590" s="3" t="str">
        <f>IFERROR(__xludf.DUMMYFUNCTION("""COMPUTED_VALUE"""),"Approve")</f>
        <v>Approve</v>
      </c>
      <c r="L590" s="3" t="str">
        <f>IFERROR(__xludf.DUMMYFUNCTION("""COMPUTED_VALUE"""),"Normal")</f>
        <v>Normal</v>
      </c>
      <c r="M590" s="3" t="str">
        <f>IFERROR(__xludf.DUMMYFUNCTION("""COMPUTED_VALUE"""),"Non Urgent")</f>
        <v>Non Urgent</v>
      </c>
    </row>
    <row r="591">
      <c r="A591" s="4">
        <f>IFERROR(__xludf.DUMMYFUNCTION("""COMPUTED_VALUE"""),46047.83255263889)</f>
        <v>46047.83255</v>
      </c>
      <c r="B591" s="3" t="str">
        <f>IFERROR(__xludf.DUMMYFUNCTION("""COMPUTED_VALUE"""),"MFHRO0313")</f>
        <v>MFHRO0313</v>
      </c>
      <c r="C591" s="3" t="str">
        <f>IFERROR(__xludf.DUMMYFUNCTION("""COMPUTED_VALUE"""),"Consumable")</f>
        <v>Consumable</v>
      </c>
      <c r="D591" s="3" t="str">
        <f>IFERROR(__xludf.DUMMYFUNCTION("""COMPUTED_VALUE"""),"-")</f>
        <v>-</v>
      </c>
      <c r="E591" s="3" t="str">
        <f>IFERROR(__xludf.DUMMYFUNCTION("""COMPUTED_VALUE"""),"Sparepart")</f>
        <v>Sparepart</v>
      </c>
      <c r="F591" s="3" t="str">
        <f>IFERROR(__xludf.DUMMYFUNCTION("""COMPUTED_VALUE"""),"General - Ampelas P500; EAGLE; -; 1 pcs")</f>
        <v>General - Ampelas P500; EAGLE; -; 1 pcs</v>
      </c>
      <c r="G591" s="3">
        <f>IFERROR(__xludf.DUMMYFUNCTION("""COMPUTED_VALUE"""),15.0)</f>
        <v>15</v>
      </c>
      <c r="H591" s="3" t="str">
        <f>IFERROR(__xludf.DUMMYFUNCTION("""COMPUTED_VALUE"""),"Pieces")</f>
        <v>Pieces</v>
      </c>
      <c r="I591" s="3" t="str">
        <f>IFERROR(__xludf.DUMMYFUNCTION("""COMPUTED_VALUE"""),"121703672 - APPROVED")</f>
        <v>121703672 - APPROVED</v>
      </c>
      <c r="J591" s="3" t="str">
        <f>IFERROR(__xludf.DUMMYFUNCTION("""COMPUTED_VALUE"""),"P-15852-00")</f>
        <v>P-15852-00</v>
      </c>
      <c r="K591" s="3" t="str">
        <f>IFERROR(__xludf.DUMMYFUNCTION("""COMPUTED_VALUE"""),"Approve")</f>
        <v>Approve</v>
      </c>
      <c r="L591" s="3" t="str">
        <f>IFERROR(__xludf.DUMMYFUNCTION("""COMPUTED_VALUE"""),"Normal")</f>
        <v>Normal</v>
      </c>
      <c r="M591" s="3" t="str">
        <f>IFERROR(__xludf.DUMMYFUNCTION("""COMPUTED_VALUE"""),"Non Urgent")</f>
        <v>Non Urgent</v>
      </c>
    </row>
    <row r="592">
      <c r="A592" s="4">
        <f>IFERROR(__xludf.DUMMYFUNCTION("""COMPUTED_VALUE"""),46047.83255263889)</f>
        <v>46047.83255</v>
      </c>
      <c r="B592" s="3" t="str">
        <f>IFERROR(__xludf.DUMMYFUNCTION("""COMPUTED_VALUE"""),"MFHRO0314")</f>
        <v>MFHRO0314</v>
      </c>
      <c r="C592" s="3" t="str">
        <f>IFERROR(__xludf.DUMMYFUNCTION("""COMPUTED_VALUE"""),"Consumable")</f>
        <v>Consumable</v>
      </c>
      <c r="D592" s="3" t="str">
        <f>IFERROR(__xludf.DUMMYFUNCTION("""COMPUTED_VALUE"""),"-")</f>
        <v>-</v>
      </c>
      <c r="E592" s="3" t="str">
        <f>IFERROR(__xludf.DUMMYFUNCTION("""COMPUTED_VALUE"""),"Sparepart")</f>
        <v>Sparepart</v>
      </c>
      <c r="F592" s="3" t="str">
        <f>IFERROR(__xludf.DUMMYFUNCTION("""COMPUTED_VALUE"""),"General - Ampelas P500; EAGLE; -; 1 pcs")</f>
        <v>General - Ampelas P500; EAGLE; -; 1 pcs</v>
      </c>
      <c r="G592" s="3">
        <f>IFERROR(__xludf.DUMMYFUNCTION("""COMPUTED_VALUE"""),15.0)</f>
        <v>15</v>
      </c>
      <c r="H592" s="3" t="str">
        <f>IFERROR(__xludf.DUMMYFUNCTION("""COMPUTED_VALUE"""),"Pieces")</f>
        <v>Pieces</v>
      </c>
      <c r="I592" s="3" t="str">
        <f>IFERROR(__xludf.DUMMYFUNCTION("""COMPUTED_VALUE"""),"121703672 - APPROVED")</f>
        <v>121703672 - APPROVED</v>
      </c>
      <c r="J592" s="3" t="str">
        <f>IFERROR(__xludf.DUMMYFUNCTION("""COMPUTED_VALUE"""),"P-15852-00")</f>
        <v>P-15852-00</v>
      </c>
      <c r="K592" s="3" t="str">
        <f>IFERROR(__xludf.DUMMYFUNCTION("""COMPUTED_VALUE"""),"Approve")</f>
        <v>Approve</v>
      </c>
      <c r="L592" s="3" t="str">
        <f>IFERROR(__xludf.DUMMYFUNCTION("""COMPUTED_VALUE"""),"Normal")</f>
        <v>Normal</v>
      </c>
      <c r="M592" s="3" t="str">
        <f>IFERROR(__xludf.DUMMYFUNCTION("""COMPUTED_VALUE"""),"Non Urgent")</f>
        <v>Non Urgent</v>
      </c>
    </row>
    <row r="593">
      <c r="A593" s="4">
        <f>IFERROR(__xludf.DUMMYFUNCTION("""COMPUTED_VALUE"""),46047.83255263889)</f>
        <v>46047.83255</v>
      </c>
      <c r="B593" s="3" t="str">
        <f>IFERROR(__xludf.DUMMYFUNCTION("""COMPUTED_VALUE"""),"MFHRO0315")</f>
        <v>MFHRO0315</v>
      </c>
      <c r="C593" s="3" t="str">
        <f>IFERROR(__xludf.DUMMYFUNCTION("""COMPUTED_VALUE"""),"Consumable")</f>
        <v>Consumable</v>
      </c>
      <c r="D593" s="3" t="str">
        <f>IFERROR(__xludf.DUMMYFUNCTION("""COMPUTED_VALUE"""),"-")</f>
        <v>-</v>
      </c>
      <c r="E593" s="3" t="str">
        <f>IFERROR(__xludf.DUMMYFUNCTION("""COMPUTED_VALUE"""),"Building")</f>
        <v>Building</v>
      </c>
      <c r="F593" s="3" t="str">
        <f>IFERROR(__xludf.DUMMYFUNCTION("""COMPUTED_VALUE"""),"General - Lampu LED Downlight 9W DN027B G3 D125, 900 lm, 65k, Putih; Philips; -; 1 pc")</f>
        <v>General - Lampu LED Downlight 9W DN027B G3 D125, 900 lm, 65k, Putih; Philips; -; 1 pc</v>
      </c>
      <c r="G593" s="3">
        <f>IFERROR(__xludf.DUMMYFUNCTION("""COMPUTED_VALUE"""),50.0)</f>
        <v>50</v>
      </c>
      <c r="H593" s="3" t="str">
        <f>IFERROR(__xludf.DUMMYFUNCTION("""COMPUTED_VALUE"""),"Pieces")</f>
        <v>Pieces</v>
      </c>
      <c r="I593" s="3" t="str">
        <f>IFERROR(__xludf.DUMMYFUNCTION("""COMPUTED_VALUE"""),"121703687 - APPROVED")</f>
        <v>121703687 - APPROVED</v>
      </c>
      <c r="J593" s="3" t="str">
        <f>IFERROR(__xludf.DUMMYFUNCTION("""COMPUTED_VALUE"""),"P-54447-00")</f>
        <v>P-54447-00</v>
      </c>
      <c r="K593" s="3" t="str">
        <f>IFERROR(__xludf.DUMMYFUNCTION("""COMPUTED_VALUE"""),"Approve")</f>
        <v>Approve</v>
      </c>
      <c r="L593" s="3" t="str">
        <f>IFERROR(__xludf.DUMMYFUNCTION("""COMPUTED_VALUE"""),"Normal")</f>
        <v>Normal</v>
      </c>
      <c r="M593" s="3" t="str">
        <f>IFERROR(__xludf.DUMMYFUNCTION("""COMPUTED_VALUE"""),"Non Urgent")</f>
        <v>Non Urgent</v>
      </c>
    </row>
    <row r="594">
      <c r="A594" s="4">
        <f>IFERROR(__xludf.DUMMYFUNCTION("""COMPUTED_VALUE"""),46047.83255263889)</f>
        <v>46047.83255</v>
      </c>
      <c r="B594" s="3" t="str">
        <f>IFERROR(__xludf.DUMMYFUNCTION("""COMPUTED_VALUE"""),"MFHRO0316")</f>
        <v>MFHRO0316</v>
      </c>
      <c r="C594" s="3" t="str">
        <f>IFERROR(__xludf.DUMMYFUNCTION("""COMPUTED_VALUE"""),"MIn Stok")</f>
        <v>MIn Stok</v>
      </c>
      <c r="D594" s="3" t="str">
        <f>IFERROR(__xludf.DUMMYFUNCTION("""COMPUTED_VALUE"""),"-")</f>
        <v>-</v>
      </c>
      <c r="E594" s="3" t="str">
        <f>IFERROR(__xludf.DUMMYFUNCTION("""COMPUTED_VALUE"""),"Washing")</f>
        <v>Washing</v>
      </c>
      <c r="F594" s="3" t="str">
        <f>IFERROR(__xludf.DUMMYFUNCTION("""COMPUTED_VALUE"""),"Washing RAR4 - Steel Ball / Gotri 2.5mm; -; -; 1 pck = 100pc")</f>
        <v>Washing RAR4 - Steel Ball / Gotri 2.5mm; -; -; 1 pck = 100pc</v>
      </c>
      <c r="G594" s="3">
        <f>IFERROR(__xludf.DUMMYFUNCTION("""COMPUTED_VALUE"""),1.0)</f>
        <v>1</v>
      </c>
      <c r="H594" s="3" t="str">
        <f>IFERROR(__xludf.DUMMYFUNCTION("""COMPUTED_VALUE"""),"Pack")</f>
        <v>Pack</v>
      </c>
      <c r="I594" s="3" t="str">
        <f>IFERROR(__xludf.DUMMYFUNCTION("""COMPUTED_VALUE"""),"121703687 - APPROVED")</f>
        <v>121703687 - APPROVED</v>
      </c>
      <c r="J594" s="3" t="str">
        <f>IFERROR(__xludf.DUMMYFUNCTION("""COMPUTED_VALUE"""),"O-21032-00")</f>
        <v>O-21032-00</v>
      </c>
      <c r="K594" s="3" t="str">
        <f>IFERROR(__xludf.DUMMYFUNCTION("""COMPUTED_VALUE"""),"Approve")</f>
        <v>Approve</v>
      </c>
      <c r="L594" s="3" t="str">
        <f>IFERROR(__xludf.DUMMYFUNCTION("""COMPUTED_VALUE"""),"Normal")</f>
        <v>Normal</v>
      </c>
      <c r="M594" s="3" t="str">
        <f>IFERROR(__xludf.DUMMYFUNCTION("""COMPUTED_VALUE"""),"Non Urgent")</f>
        <v>Non Urgent</v>
      </c>
    </row>
    <row r="595">
      <c r="A595" s="4">
        <f>IFERROR(__xludf.DUMMYFUNCTION("""COMPUTED_VALUE"""),46047.83255263889)</f>
        <v>46047.83255</v>
      </c>
      <c r="B595" s="3" t="str">
        <f>IFERROR(__xludf.DUMMYFUNCTION("""COMPUTED_VALUE"""),"MFHRO0317")</f>
        <v>MFHRO0317</v>
      </c>
      <c r="C595" s="3" t="str">
        <f>IFERROR(__xludf.DUMMYFUNCTION("""COMPUTED_VALUE"""),"MIn Stok")</f>
        <v>MIn Stok</v>
      </c>
      <c r="D595" s="3" t="str">
        <f>IFERROR(__xludf.DUMMYFUNCTION("""COMPUTED_VALUE"""),"-")</f>
        <v>-</v>
      </c>
      <c r="E595" s="3" t="str">
        <f>IFERROR(__xludf.DUMMYFUNCTION("""COMPUTED_VALUE"""),"FD")</f>
        <v>FD</v>
      </c>
      <c r="F595" s="3" t="str">
        <f>IFERROR(__xludf.DUMMYFUNCTION("""COMPUTED_VALUE"""),"General - Diaphragm 40 mm ER Grade EPDM; Saunders; DA040ER M4; 1 Pc")</f>
        <v>General - Diaphragm 40 mm ER Grade EPDM; Saunders; DA040ER M4; 1 Pc</v>
      </c>
      <c r="G595" s="3">
        <f>IFERROR(__xludf.DUMMYFUNCTION("""COMPUTED_VALUE"""),24.0)</f>
        <v>24</v>
      </c>
      <c r="H595" s="3" t="str">
        <f>IFERROR(__xludf.DUMMYFUNCTION("""COMPUTED_VALUE"""),"Pieces")</f>
        <v>Pieces</v>
      </c>
      <c r="I595" s="3" t="str">
        <f>IFERROR(__xludf.DUMMYFUNCTION("""COMPUTED_VALUE"""),"121703688 - APPROVED")</f>
        <v>121703688 - APPROVED</v>
      </c>
      <c r="J595" s="3" t="str">
        <f>IFERROR(__xludf.DUMMYFUNCTION("""COMPUTED_VALUE"""),"O-16980-00")</f>
        <v>O-16980-00</v>
      </c>
      <c r="K595" s="3" t="str">
        <f>IFERROR(__xludf.DUMMYFUNCTION("""COMPUTED_VALUE"""),"Approve")</f>
        <v>Approve</v>
      </c>
      <c r="L595" s="3" t="str">
        <f>IFERROR(__xludf.DUMMYFUNCTION("""COMPUTED_VALUE"""),"Normal")</f>
        <v>Normal</v>
      </c>
      <c r="M595" s="3" t="str">
        <f>IFERROR(__xludf.DUMMYFUNCTION("""COMPUTED_VALUE"""),"Non Urgent")</f>
        <v>Non Urgent</v>
      </c>
    </row>
    <row r="596">
      <c r="A596" s="4">
        <f>IFERROR(__xludf.DUMMYFUNCTION("""COMPUTED_VALUE"""),46047.83255263889)</f>
        <v>46047.83255</v>
      </c>
      <c r="B596" s="3" t="str">
        <f>IFERROR(__xludf.DUMMYFUNCTION("""COMPUTED_VALUE"""),"MFHRO0318")</f>
        <v>MFHRO0318</v>
      </c>
      <c r="C596" s="3" t="str">
        <f>IFERROR(__xludf.DUMMYFUNCTION("""COMPUTED_VALUE"""),"MIn Stok")</f>
        <v>MIn Stok</v>
      </c>
      <c r="D596" s="3" t="str">
        <f>IFERROR(__xludf.DUMMYFUNCTION("""COMPUTED_VALUE"""),"-")</f>
        <v>-</v>
      </c>
      <c r="E596" s="3" t="str">
        <f>IFERROR(__xludf.DUMMYFUNCTION("""COMPUTED_VALUE"""),"FD")</f>
        <v>FD</v>
      </c>
      <c r="F596" s="3" t="str">
        <f>IFERROR(__xludf.DUMMYFUNCTION("""COMPUTED_VALUE"""),"General - Diaphragm 25 mm ER Grade EPDM; Saunders; DA025ER M4; 1 Pc")</f>
        <v>General - Diaphragm 25 mm ER Grade EPDM; Saunders; DA025ER M4; 1 Pc</v>
      </c>
      <c r="G596" s="3">
        <f>IFERROR(__xludf.DUMMYFUNCTION("""COMPUTED_VALUE"""),40.0)</f>
        <v>40</v>
      </c>
      <c r="H596" s="3" t="str">
        <f>IFERROR(__xludf.DUMMYFUNCTION("""COMPUTED_VALUE"""),"Pieces")</f>
        <v>Pieces</v>
      </c>
      <c r="I596" s="3" t="str">
        <f>IFERROR(__xludf.DUMMYFUNCTION("""COMPUTED_VALUE"""),"121703688 - APPROVED")</f>
        <v>121703688 - APPROVED</v>
      </c>
      <c r="J596" s="3" t="str">
        <f>IFERROR(__xludf.DUMMYFUNCTION("""COMPUTED_VALUE"""),"O-16981-00")</f>
        <v>O-16981-00</v>
      </c>
      <c r="K596" s="3" t="str">
        <f>IFERROR(__xludf.DUMMYFUNCTION("""COMPUTED_VALUE"""),"Approve")</f>
        <v>Approve</v>
      </c>
      <c r="L596" s="3" t="str">
        <f>IFERROR(__xludf.DUMMYFUNCTION("""COMPUTED_VALUE"""),"Normal")</f>
        <v>Normal</v>
      </c>
      <c r="M596" s="3" t="str">
        <f>IFERROR(__xludf.DUMMYFUNCTION("""COMPUTED_VALUE"""),"Non Urgent")</f>
        <v>Non Urgent</v>
      </c>
    </row>
    <row r="597">
      <c r="A597" s="4">
        <f>IFERROR(__xludf.DUMMYFUNCTION("""COMPUTED_VALUE"""),46047.83255263889)</f>
        <v>46047.83255</v>
      </c>
      <c r="B597" s="3" t="str">
        <f>IFERROR(__xludf.DUMMYFUNCTION("""COMPUTED_VALUE"""),"MFHRO0319")</f>
        <v>MFHRO0319</v>
      </c>
      <c r="C597" s="3" t="str">
        <f>IFERROR(__xludf.DUMMYFUNCTION("""COMPUTED_VALUE"""),"MIn Stok")</f>
        <v>MIn Stok</v>
      </c>
      <c r="D597" s="3" t="str">
        <f>IFERROR(__xludf.DUMMYFUNCTION("""COMPUTED_VALUE"""),"-")</f>
        <v>-</v>
      </c>
      <c r="E597" s="3" t="str">
        <f>IFERROR(__xludf.DUMMYFUNCTION("""COMPUTED_VALUE"""),"FD")</f>
        <v>FD</v>
      </c>
      <c r="F597" s="3" t="str">
        <f>IFERROR(__xludf.DUMMYFUNCTION("""COMPUTED_VALUE"""),"General - Diaphragm Grade ER SQUARE Type A EPDM Diaphragm Screw; Saunders; DP008ER; 1 Pc")</f>
        <v>General - Diaphragm Grade ER SQUARE Type A EPDM Diaphragm Screw; Saunders; DP008ER; 1 Pc</v>
      </c>
      <c r="G597" s="3">
        <f>IFERROR(__xludf.DUMMYFUNCTION("""COMPUTED_VALUE"""),4.0)</f>
        <v>4</v>
      </c>
      <c r="H597" s="3" t="str">
        <f>IFERROR(__xludf.DUMMYFUNCTION("""COMPUTED_VALUE"""),"Pieces")</f>
        <v>Pieces</v>
      </c>
      <c r="I597" s="3" t="str">
        <f>IFERROR(__xludf.DUMMYFUNCTION("""COMPUTED_VALUE"""),"121703688 - APPROVED")</f>
        <v>121703688 - APPROVED</v>
      </c>
      <c r="J597" s="3" t="str">
        <f>IFERROR(__xludf.DUMMYFUNCTION("""COMPUTED_VALUE"""),"O-20496-00")</f>
        <v>O-20496-00</v>
      </c>
      <c r="K597" s="3" t="str">
        <f>IFERROR(__xludf.DUMMYFUNCTION("""COMPUTED_VALUE"""),"Approve")</f>
        <v>Approve</v>
      </c>
      <c r="L597" s="3" t="str">
        <f>IFERROR(__xludf.DUMMYFUNCTION("""COMPUTED_VALUE"""),"Normal")</f>
        <v>Normal</v>
      </c>
      <c r="M597" s="3" t="str">
        <f>IFERROR(__xludf.DUMMYFUNCTION("""COMPUTED_VALUE"""),"Non Urgent")</f>
        <v>Non Urgent</v>
      </c>
    </row>
    <row r="598">
      <c r="A598" s="4">
        <f>IFERROR(__xludf.DUMMYFUNCTION("""COMPUTED_VALUE"""),46047.83255263889)</f>
        <v>46047.83255</v>
      </c>
      <c r="B598" s="3" t="str">
        <f>IFERROR(__xludf.DUMMYFUNCTION("""COMPUTED_VALUE"""),"MFHRO0320")</f>
        <v>MFHRO0320</v>
      </c>
      <c r="C598" s="3" t="str">
        <f>IFERROR(__xludf.DUMMYFUNCTION("""COMPUTED_VALUE"""),"MIn Stok")</f>
        <v>MIn Stok</v>
      </c>
      <c r="D598" s="3" t="str">
        <f>IFERROR(__xludf.DUMMYFUNCTION("""COMPUTED_VALUE"""),"-")</f>
        <v>-</v>
      </c>
      <c r="E598" s="3" t="str">
        <f>IFERROR(__xludf.DUMMYFUNCTION("""COMPUTED_VALUE"""),"Coating")</f>
        <v>Coating</v>
      </c>
      <c r="F598" s="3" t="str">
        <f>IFERROR(__xludf.DUMMYFUNCTION("""COMPUTED_VALUE"""),"Coating PLAB - Inflatable Silicone Sealing Ring; ; GDA040193; 1 Pc")</f>
        <v>Coating PLAB - Inflatable Silicone Sealing Ring; ; GDA040193; 1 Pc</v>
      </c>
      <c r="G598" s="3">
        <f>IFERROR(__xludf.DUMMYFUNCTION("""COMPUTED_VALUE"""),1.0)</f>
        <v>1</v>
      </c>
      <c r="H598" s="3" t="str">
        <f>IFERROR(__xludf.DUMMYFUNCTION("""COMPUTED_VALUE"""),"Pieces")</f>
        <v>Pieces</v>
      </c>
      <c r="I598" s="3" t="str">
        <f>IFERROR(__xludf.DUMMYFUNCTION("""COMPUTED_VALUE"""),"121703689 - APPROVED")</f>
        <v>121703689 - APPROVED</v>
      </c>
      <c r="J598" s="3" t="str">
        <f>IFERROR(__xludf.DUMMYFUNCTION("""COMPUTED_VALUE"""),"O-21304-00")</f>
        <v>O-21304-00</v>
      </c>
      <c r="K598" s="3" t="str">
        <f>IFERROR(__xludf.DUMMYFUNCTION("""COMPUTED_VALUE"""),"Approve")</f>
        <v>Approve</v>
      </c>
      <c r="L598" s="3" t="str">
        <f>IFERROR(__xludf.DUMMYFUNCTION("""COMPUTED_VALUE"""),"Normal")</f>
        <v>Normal</v>
      </c>
      <c r="M598" s="3" t="str">
        <f>IFERROR(__xludf.DUMMYFUNCTION("""COMPUTED_VALUE"""),"Non Urgent")</f>
        <v>Non Urgent</v>
      </c>
    </row>
    <row r="599">
      <c r="A599" s="4">
        <f>IFERROR(__xludf.DUMMYFUNCTION("""COMPUTED_VALUE"""),46047.83255263889)</f>
        <v>46047.83255</v>
      </c>
      <c r="B599" s="3" t="str">
        <f>IFERROR(__xludf.DUMMYFUNCTION("""COMPUTED_VALUE"""),"MFHRO0321")</f>
        <v>MFHRO0321</v>
      </c>
      <c r="C599" s="3" t="str">
        <f>IFERROR(__xludf.DUMMYFUNCTION("""COMPUTED_VALUE"""),"MIn Stok")</f>
        <v>MIn Stok</v>
      </c>
      <c r="D599" s="3" t="str">
        <f>IFERROR(__xludf.DUMMYFUNCTION("""COMPUTED_VALUE"""),"-")</f>
        <v>-</v>
      </c>
      <c r="E599" s="3" t="str">
        <f>IFERROR(__xludf.DUMMYFUNCTION("""COMPUTED_VALUE"""),"Coating")</f>
        <v>Coating</v>
      </c>
      <c r="F599" s="3" t="str">
        <f>IFERROR(__xludf.DUMMYFUNCTION("""COMPUTED_VALUE"""),"Coating PLAB - Directional Control Valve; SMC; VNA101A-F6A; 1 Pc")</f>
        <v>Coating PLAB - Directional Control Valve; SMC; VNA101A-F6A; 1 Pc</v>
      </c>
      <c r="G599" s="3">
        <f>IFERROR(__xludf.DUMMYFUNCTION("""COMPUTED_VALUE"""),3.0)</f>
        <v>3</v>
      </c>
      <c r="H599" s="3" t="str">
        <f>IFERROR(__xludf.DUMMYFUNCTION("""COMPUTED_VALUE"""),"Pieces")</f>
        <v>Pieces</v>
      </c>
      <c r="I599" s="3" t="str">
        <f>IFERROR(__xludf.DUMMYFUNCTION("""COMPUTED_VALUE"""),"121703690 - APPROVED")</f>
        <v>121703690 - APPROVED</v>
      </c>
      <c r="J599" s="3" t="str">
        <f>IFERROR(__xludf.DUMMYFUNCTION("""COMPUTED_VALUE"""),"O-21305-00")</f>
        <v>O-21305-00</v>
      </c>
      <c r="K599" s="3" t="str">
        <f>IFERROR(__xludf.DUMMYFUNCTION("""COMPUTED_VALUE"""),"Approve")</f>
        <v>Approve</v>
      </c>
      <c r="L599" s="3" t="str">
        <f>IFERROR(__xludf.DUMMYFUNCTION("""COMPUTED_VALUE"""),"Normal")</f>
        <v>Normal</v>
      </c>
      <c r="M599" s="3" t="str">
        <f>IFERROR(__xludf.DUMMYFUNCTION("""COMPUTED_VALUE"""),"Non Urgent")</f>
        <v>Non Urgent</v>
      </c>
    </row>
    <row r="600">
      <c r="A600" s="4">
        <f>IFERROR(__xludf.DUMMYFUNCTION("""COMPUTED_VALUE"""),46047.83255263889)</f>
        <v>46047.83255</v>
      </c>
      <c r="B600" s="3" t="str">
        <f>IFERROR(__xludf.DUMMYFUNCTION("""COMPUTED_VALUE"""),"MFHRO0322")</f>
        <v>MFHRO0322</v>
      </c>
      <c r="C600" s="3" t="str">
        <f>IFERROR(__xludf.DUMMYFUNCTION("""COMPUTED_VALUE"""),"MIn Stok")</f>
        <v>MIn Stok</v>
      </c>
      <c r="D600" s="3" t="str">
        <f>IFERROR(__xludf.DUMMYFUNCTION("""COMPUTED_VALUE"""),"-")</f>
        <v>-</v>
      </c>
      <c r="E600" s="3" t="str">
        <f>IFERROR(__xludf.DUMMYFUNCTION("""COMPUTED_VALUE"""),"Coating")</f>
        <v>Coating</v>
      </c>
      <c r="F600" s="3" t="str">
        <f>IFERROR(__xludf.DUMMYFUNCTION("""COMPUTED_VALUE"""),"Coating PLAB - Spare Kit; SMC; VN1-A3AA; ; ; 1 Pc")</f>
        <v>Coating PLAB - Spare Kit; SMC; VN1-A3AA; ; ; 1 Pc</v>
      </c>
      <c r="G600" s="3">
        <f>IFERROR(__xludf.DUMMYFUNCTION("""COMPUTED_VALUE"""),3.0)</f>
        <v>3</v>
      </c>
      <c r="H600" s="3" t="str">
        <f>IFERROR(__xludf.DUMMYFUNCTION("""COMPUTED_VALUE"""),"Pieces")</f>
        <v>Pieces</v>
      </c>
      <c r="I600" s="3" t="str">
        <f>IFERROR(__xludf.DUMMYFUNCTION("""COMPUTED_VALUE"""),"121703690 - APPROVED")</f>
        <v>121703690 - APPROVED</v>
      </c>
      <c r="J600" s="3" t="str">
        <f>IFERROR(__xludf.DUMMYFUNCTION("""COMPUTED_VALUE"""),"O-21306-00")</f>
        <v>O-21306-00</v>
      </c>
      <c r="K600" s="3" t="str">
        <f>IFERROR(__xludf.DUMMYFUNCTION("""COMPUTED_VALUE"""),"Approve")</f>
        <v>Approve</v>
      </c>
      <c r="L600" s="3" t="str">
        <f>IFERROR(__xludf.DUMMYFUNCTION("""COMPUTED_VALUE"""),"Normal")</f>
        <v>Normal</v>
      </c>
      <c r="M600" s="3" t="str">
        <f>IFERROR(__xludf.DUMMYFUNCTION("""COMPUTED_VALUE"""),"Non Urgent")</f>
        <v>Non Urgent</v>
      </c>
    </row>
    <row r="601">
      <c r="A601" s="4">
        <f>IFERROR(__xludf.DUMMYFUNCTION("""COMPUTED_VALUE"""),46047.83255263889)</f>
        <v>46047.83255</v>
      </c>
      <c r="B601" s="3" t="str">
        <f>IFERROR(__xludf.DUMMYFUNCTION("""COMPUTED_VALUE"""),"MFHRO0323")</f>
        <v>MFHRO0323</v>
      </c>
      <c r="C601" s="3" t="str">
        <f>IFERROR(__xludf.DUMMYFUNCTION("""COMPUTED_VALUE"""),"MIn Stok")</f>
        <v>MIn Stok</v>
      </c>
      <c r="D601" s="3" t="str">
        <f>IFERROR(__xludf.DUMMYFUNCTION("""COMPUTED_VALUE"""),"-")</f>
        <v>-</v>
      </c>
      <c r="E601" s="3" t="str">
        <f>IFERROR(__xludf.DUMMYFUNCTION("""COMPUTED_VALUE"""),"Coating")</f>
        <v>Coating</v>
      </c>
      <c r="F601" s="3" t="str">
        <f>IFERROR(__xludf.DUMMYFUNCTION("""COMPUTED_VALUE"""),"Coating PLAB - Spare Kit; SMC; VN1-4AA; ; ; 1 Pc")</f>
        <v>Coating PLAB - Spare Kit; SMC; VN1-4AA; ; ; 1 Pc</v>
      </c>
      <c r="G601" s="3">
        <f>IFERROR(__xludf.DUMMYFUNCTION("""COMPUTED_VALUE"""),3.0)</f>
        <v>3</v>
      </c>
      <c r="H601" s="3" t="str">
        <f>IFERROR(__xludf.DUMMYFUNCTION("""COMPUTED_VALUE"""),"Pieces")</f>
        <v>Pieces</v>
      </c>
      <c r="I601" s="3" t="str">
        <f>IFERROR(__xludf.DUMMYFUNCTION("""COMPUTED_VALUE"""),"121703690 - APPROVED")</f>
        <v>121703690 - APPROVED</v>
      </c>
      <c r="J601" s="3" t="str">
        <f>IFERROR(__xludf.DUMMYFUNCTION("""COMPUTED_VALUE"""),"O-21307-00")</f>
        <v>O-21307-00</v>
      </c>
      <c r="K601" s="3" t="str">
        <f>IFERROR(__xludf.DUMMYFUNCTION("""COMPUTED_VALUE"""),"Approve")</f>
        <v>Approve</v>
      </c>
      <c r="L601" s="3" t="str">
        <f>IFERROR(__xludf.DUMMYFUNCTION("""COMPUTED_VALUE"""),"Normal")</f>
        <v>Normal</v>
      </c>
      <c r="M601" s="3" t="str">
        <f>IFERROR(__xludf.DUMMYFUNCTION("""COMPUTED_VALUE"""),"Non Urgent")</f>
        <v>Non Urgent</v>
      </c>
    </row>
    <row r="602">
      <c r="A602" s="4">
        <f>IFERROR(__xludf.DUMMYFUNCTION("""COMPUTED_VALUE"""),46047.83255263889)</f>
        <v>46047.83255</v>
      </c>
      <c r="B602" s="3" t="str">
        <f>IFERROR(__xludf.DUMMYFUNCTION("""COMPUTED_VALUE"""),"MFHRO0324")</f>
        <v>MFHRO0324</v>
      </c>
      <c r="C602" s="3" t="str">
        <f>IFERROR(__xludf.DUMMYFUNCTION("""COMPUTED_VALUE"""),"MIn Stok")</f>
        <v>MIn Stok</v>
      </c>
      <c r="D602" s="3" t="str">
        <f>IFERROR(__xludf.DUMMYFUNCTION("""COMPUTED_VALUE"""),"-")</f>
        <v>-</v>
      </c>
      <c r="E602" s="3" t="str">
        <f>IFERROR(__xludf.DUMMYFUNCTION("""COMPUTED_VALUE"""),"Building")</f>
        <v>Building</v>
      </c>
      <c r="F602" s="3" t="str">
        <f>IFERROR(__xludf.DUMMYFUNCTION("""COMPUTED_VALUE"""),"General - Drain Sewerage Opener GL-10; No Brand; -; 1 pc")</f>
        <v>General - Drain Sewerage Opener GL-10; No Brand; -; 1 pc</v>
      </c>
      <c r="G602" s="3">
        <f>IFERROR(__xludf.DUMMYFUNCTION("""COMPUTED_VALUE"""),2.0)</f>
        <v>2</v>
      </c>
      <c r="H602" s="3" t="str">
        <f>IFERROR(__xludf.DUMMYFUNCTION("""COMPUTED_VALUE"""),"Liter")</f>
        <v>Liter</v>
      </c>
      <c r="I602" s="3" t="str">
        <f>IFERROR(__xludf.DUMMYFUNCTION("""COMPUTED_VALUE"""),"121703694 - APPROVED")</f>
        <v>121703694 - APPROVED</v>
      </c>
      <c r="J602" s="3" t="str">
        <f>IFERROR(__xludf.DUMMYFUNCTION("""COMPUTED_VALUE"""),"P-10183-00")</f>
        <v>P-10183-00</v>
      </c>
      <c r="K602" s="3" t="str">
        <f>IFERROR(__xludf.DUMMYFUNCTION("""COMPUTED_VALUE"""),"Approve")</f>
        <v>Approve</v>
      </c>
      <c r="L602" s="3" t="str">
        <f>IFERROR(__xludf.DUMMYFUNCTION("""COMPUTED_VALUE"""),"Normal")</f>
        <v>Normal</v>
      </c>
      <c r="M602" s="3" t="str">
        <f>IFERROR(__xludf.DUMMYFUNCTION("""COMPUTED_VALUE"""),"Non Urgent")</f>
        <v>Non Urgent</v>
      </c>
    </row>
    <row r="603">
      <c r="A603" s="4">
        <f>IFERROR(__xludf.DUMMYFUNCTION("""COMPUTED_VALUE"""),46049.64311123842)</f>
        <v>46049.64311</v>
      </c>
      <c r="B603" s="3" t="str">
        <f>IFERROR(__xludf.DUMMYFUNCTION("""COMPUTED_VALUE"""),"SFHRO0032")</f>
        <v>SFHRO0032</v>
      </c>
      <c r="C603" s="3" t="str">
        <f>IFERROR(__xludf.DUMMYFUNCTION("""COMPUTED_VALUE"""),"Consumable")</f>
        <v>Consumable</v>
      </c>
      <c r="D603" s="3" t="str">
        <f>IFERROR(__xludf.DUMMYFUNCTION("""COMPUTED_VALUE"""),"-")</f>
        <v>-</v>
      </c>
      <c r="E603" s="3" t="str">
        <f>IFERROR(__xludf.DUMMYFUNCTION("""COMPUTED_VALUE"""),"lantai 2")</f>
        <v>lantai 2</v>
      </c>
      <c r="F603" s="3" t="str">
        <f>IFERROR(__xludf.DUMMYFUNCTION("""COMPUTED_VALUE"""),"Cat Weathershield Day Break;Dulux;Type 40544M Day Break;pack size per 20L pail")</f>
        <v>Cat Weathershield Day Break;Dulux;Type 40544M Day Break;pack size per 20L pail</v>
      </c>
      <c r="G603" s="3">
        <f>IFERROR(__xludf.DUMMYFUNCTION("""COMPUTED_VALUE"""),3.0)</f>
        <v>3</v>
      </c>
      <c r="H603" s="3" t="str">
        <f>IFERROR(__xludf.DUMMYFUNCTION("""COMPUTED_VALUE"""),"pel")</f>
        <v>pel</v>
      </c>
      <c r="I603" s="3" t="str">
        <f>IFERROR(__xludf.DUMMYFUNCTION("""COMPUTED_VALUE"""),"stock habis")</f>
        <v>stock habis</v>
      </c>
      <c r="J603" s="3" t="str">
        <f>IFERROR(__xludf.DUMMYFUNCTION("""COMPUTED_VALUE"""),"Q-90767-00")</f>
        <v>Q-90767-00</v>
      </c>
      <c r="K603" s="3" t="str">
        <f>IFERROR(__xludf.DUMMYFUNCTION("""COMPUTED_VALUE"""),"Approve")</f>
        <v>Approve</v>
      </c>
      <c r="L603" s="3" t="str">
        <f>IFERROR(__xludf.DUMMYFUNCTION("""COMPUTED_VALUE"""),"Normal")</f>
        <v>Normal</v>
      </c>
      <c r="M603" s="3" t="str">
        <f>IFERROR(__xludf.DUMMYFUNCTION("""COMPUTED_VALUE"""),"Non Urgent")</f>
        <v>Non Urgent</v>
      </c>
    </row>
    <row r="604">
      <c r="A604" s="4">
        <f>IFERROR(__xludf.DUMMYFUNCTION("""COMPUTED_VALUE"""),46049.853237523144)</f>
        <v>46049.85324</v>
      </c>
      <c r="B604" s="3" t="str">
        <f>IFERROR(__xludf.DUMMYFUNCTION("""COMPUTED_VALUE"""),"SFHRO0033")</f>
        <v>SFHRO0033</v>
      </c>
      <c r="C604" s="3" t="str">
        <f>IFERROR(__xludf.DUMMYFUNCTION("""COMPUTED_VALUE"""),"Consumable")</f>
        <v>Consumable</v>
      </c>
      <c r="D604" s="3" t="str">
        <f>IFERROR(__xludf.DUMMYFUNCTION("""COMPUTED_VALUE"""),"-")</f>
        <v>-</v>
      </c>
      <c r="E604" s="3" t="str">
        <f>IFERROR(__xludf.DUMMYFUNCTION("""COMPUTED_VALUE"""),"lantai 3")</f>
        <v>lantai 3</v>
      </c>
      <c r="F604" s="3" t="str">
        <f>IFERROR(__xludf.DUMMYFUNCTION("""COMPUTED_VALUE"""),"Polyfloor PFT-213 Light blue @ 20 KG")</f>
        <v>Polyfloor PFT-213 Light blue @ 20 KG</v>
      </c>
      <c r="G604" s="3">
        <f>IFERROR(__xludf.DUMMYFUNCTION("""COMPUTED_VALUE"""),4.0)</f>
        <v>4</v>
      </c>
      <c r="H604" s="3" t="str">
        <f>IFERROR(__xludf.DUMMYFUNCTION("""COMPUTED_VALUE"""),"pel")</f>
        <v>pel</v>
      </c>
      <c r="I604" s="3" t="str">
        <f>IFERROR(__xludf.DUMMYFUNCTION("""COMPUTED_VALUE"""),"stock habis")</f>
        <v>stock habis</v>
      </c>
      <c r="J604" s="3" t="str">
        <f>IFERROR(__xludf.DUMMYFUNCTION("""COMPUTED_VALUE"""),"Q-10172-00")</f>
        <v>Q-10172-00</v>
      </c>
      <c r="K604" s="3" t="str">
        <f>IFERROR(__xludf.DUMMYFUNCTION("""COMPUTED_VALUE"""),"Approve")</f>
        <v>Approve</v>
      </c>
      <c r="L604" s="3" t="str">
        <f>IFERROR(__xludf.DUMMYFUNCTION("""COMPUTED_VALUE"""),"Normal")</f>
        <v>Normal</v>
      </c>
      <c r="M604" s="3" t="str">
        <f>IFERROR(__xludf.DUMMYFUNCTION("""COMPUTED_VALUE"""),"Non Urgent")</f>
        <v>Non Urgent</v>
      </c>
    </row>
    <row r="605">
      <c r="A605" s="4">
        <f>IFERROR(__xludf.DUMMYFUNCTION("""COMPUTED_VALUE"""),46055.43885324074)</f>
        <v>46055.43885</v>
      </c>
      <c r="B605" s="3" t="str">
        <f>IFERROR(__xludf.DUMMYFUNCTION("""COMPUTED_VALUE"""),"RIARO0065")</f>
        <v>RIARO0065</v>
      </c>
      <c r="C605" s="3" t="str">
        <f>IFERROR(__xludf.DUMMYFUNCTION("""COMPUTED_VALUE"""),"Consumable")</f>
        <v>Consumable</v>
      </c>
      <c r="D605" s="3" t="str">
        <f>IFERROR(__xludf.DUMMYFUNCTION("""COMPUTED_VALUE"""),"-")</f>
        <v>-</v>
      </c>
      <c r="E605" s="3" t="str">
        <f>IFERROR(__xludf.DUMMYFUNCTION("""COMPUTED_VALUE"""),"Dumbwaiter")</f>
        <v>Dumbwaiter</v>
      </c>
      <c r="F605" s="3" t="str">
        <f>IFERROR(__xludf.DUMMYFUNCTION("""COMPUTED_VALUE"""),"General - Limit Switch IP65; EWIG; E8108; 1 pc")</f>
        <v>General - Limit Switch IP65; EWIG; E8108; 1 pc</v>
      </c>
      <c r="G605" s="3">
        <f>IFERROR(__xludf.DUMMYFUNCTION("""COMPUTED_VALUE"""),3.0)</f>
        <v>3</v>
      </c>
      <c r="H605" s="3" t="str">
        <f>IFERROR(__xludf.DUMMYFUNCTION("""COMPUTED_VALUE"""),"Pcs")</f>
        <v>Pcs</v>
      </c>
      <c r="I605" s="3" t="str">
        <f>IFERROR(__xludf.DUMMYFUNCTION("""COMPUTED_VALUE"""),"Buat Stok LS Dumbwaiter Posisi")</f>
        <v>Buat Stok LS Dumbwaiter Posisi</v>
      </c>
      <c r="J605" s="3" t="str">
        <f>IFERROR(__xludf.DUMMYFUNCTION("""COMPUTED_VALUE"""),"P-52975-00")</f>
        <v>P-52975-00</v>
      </c>
      <c r="K605" s="3" t="str">
        <f>IFERROR(__xludf.DUMMYFUNCTION("""COMPUTED_VALUE"""),"Approve")</f>
        <v>Approve</v>
      </c>
      <c r="L605" s="3" t="str">
        <f>IFERROR(__xludf.DUMMYFUNCTION("""COMPUTED_VALUE"""),"Normal")</f>
        <v>Normal</v>
      </c>
      <c r="M605" s="3" t="str">
        <f>IFERROR(__xludf.DUMMYFUNCTION("""COMPUTED_VALUE"""),"Non Urgent")</f>
        <v>Non Urgent</v>
      </c>
    </row>
    <row r="606">
      <c r="A606" s="4">
        <f>IFERROR(__xludf.DUMMYFUNCTION("""COMPUTED_VALUE"""),46056.61126896991)</f>
        <v>46056.61127</v>
      </c>
      <c r="B606" s="3" t="str">
        <f>IFERROR(__xludf.DUMMYFUNCTION("""COMPUTED_VALUE"""),"MRNRO0044")</f>
        <v>MRNRO0044</v>
      </c>
      <c r="C606" s="3" t="str">
        <f>IFERROR(__xludf.DUMMYFUNCTION("""COMPUTED_VALUE"""),"EJO")</f>
        <v>EJO</v>
      </c>
      <c r="D606" s="3" t="str">
        <f>IFERROR(__xludf.DUMMYFUNCTION("""COMPUTED_VALUE"""),"EJO/2025/08/203")</f>
        <v>EJO/2025/08/203</v>
      </c>
      <c r="E606" s="3" t="str">
        <f>IFERROR(__xludf.DUMMYFUNCTION("""COMPUTED_VALUE"""),"PSG")</f>
        <v>PSG</v>
      </c>
      <c r="F606" s="3" t="str">
        <f>IFERROR(__xludf.DUMMYFUNCTION("""COMPUTED_VALUE"""),"General - Ferrule SS 316, 1/2inch; No Brand; -; 1 pcs")</f>
        <v>General - Ferrule SS 316, 1/2inch; No Brand; -; 1 pcs</v>
      </c>
      <c r="G606" s="3">
        <f>IFERROR(__xludf.DUMMYFUNCTION("""COMPUTED_VALUE"""),2.0)</f>
        <v>2</v>
      </c>
      <c r="H606" s="3" t="str">
        <f>IFERROR(__xludf.DUMMYFUNCTION("""COMPUTED_VALUE"""),"pcs")</f>
        <v>pcs</v>
      </c>
      <c r="I606" s="3" t="str">
        <f>IFERROR(__xludf.DUMMYFUNCTION("""COMPUTED_VALUE"""),"untuk venting psg")</f>
        <v>untuk venting psg</v>
      </c>
      <c r="J606" s="3" t="str">
        <f>IFERROR(__xludf.DUMMYFUNCTION("""COMPUTED_VALUE"""),"P-17363-00")</f>
        <v>P-17363-00</v>
      </c>
      <c r="K606" s="3" t="str">
        <f>IFERROR(__xludf.DUMMYFUNCTION("""COMPUTED_VALUE"""),"Approve")</f>
        <v>Approve</v>
      </c>
      <c r="L606" s="3" t="str">
        <f>IFERROR(__xludf.DUMMYFUNCTION("""COMPUTED_VALUE"""),"Normal")</f>
        <v>Normal</v>
      </c>
      <c r="M606" s="3" t="str">
        <f>IFERROR(__xludf.DUMMYFUNCTION("""COMPUTED_VALUE"""),"Non Urgent")</f>
        <v>Non Urgent</v>
      </c>
    </row>
    <row r="607">
      <c r="A607" s="4">
        <f>IFERROR(__xludf.DUMMYFUNCTION("""COMPUTED_VALUE"""),46056.61235695602)</f>
        <v>46056.61236</v>
      </c>
      <c r="B607" s="3" t="str">
        <f>IFERROR(__xludf.DUMMYFUNCTION("""COMPUTED_VALUE"""),"MRNRO0045")</f>
        <v>MRNRO0045</v>
      </c>
      <c r="C607" s="3" t="str">
        <f>IFERROR(__xludf.DUMMYFUNCTION("""COMPUTED_VALUE"""),"EJO")</f>
        <v>EJO</v>
      </c>
      <c r="D607" s="3" t="str">
        <f>IFERROR(__xludf.DUMMYFUNCTION("""COMPUTED_VALUE"""),"EJO/2025/08/204")</f>
        <v>EJO/2025/08/204</v>
      </c>
      <c r="E607" s="3" t="str">
        <f>IFERROR(__xludf.DUMMYFUNCTION("""COMPUTED_VALUE"""),"PSG")</f>
        <v>PSG</v>
      </c>
      <c r="F607" s="3" t="str">
        <f>IFERROR(__xludf.DUMMYFUNCTION("""COMPUTED_VALUE"""),"General - Ferrule SS 316L 1inch; No Brand; -; 1 pcs")</f>
        <v>General - Ferrule SS 316L 1inch; No Brand; -; 1 pcs</v>
      </c>
      <c r="G607" s="3">
        <f>IFERROR(__xludf.DUMMYFUNCTION("""COMPUTED_VALUE"""),2.0)</f>
        <v>2</v>
      </c>
      <c r="H607" s="3" t="str">
        <f>IFERROR(__xludf.DUMMYFUNCTION("""COMPUTED_VALUE"""),"pcs")</f>
        <v>pcs</v>
      </c>
      <c r="I607" s="3" t="str">
        <f>IFERROR(__xludf.DUMMYFUNCTION("""COMPUTED_VALUE"""),"untuk venting psg")</f>
        <v>untuk venting psg</v>
      </c>
      <c r="J607" s="3" t="str">
        <f>IFERROR(__xludf.DUMMYFUNCTION("""COMPUTED_VALUE"""),"P-10763-00")</f>
        <v>P-10763-00</v>
      </c>
      <c r="K607" s="3" t="str">
        <f>IFERROR(__xludf.DUMMYFUNCTION("""COMPUTED_VALUE"""),"Approve")</f>
        <v>Approve</v>
      </c>
      <c r="L607" s="3" t="str">
        <f>IFERROR(__xludf.DUMMYFUNCTION("""COMPUTED_VALUE"""),"Normal")</f>
        <v>Normal</v>
      </c>
      <c r="M607" s="3" t="str">
        <f>IFERROR(__xludf.DUMMYFUNCTION("""COMPUTED_VALUE"""),"Non Urgent")</f>
        <v>Non Urgent</v>
      </c>
    </row>
    <row r="608">
      <c r="A608" s="4">
        <f>IFERROR(__xludf.DUMMYFUNCTION("""COMPUTED_VALUE"""),46056.61339070602)</f>
        <v>46056.61339</v>
      </c>
      <c r="B608" s="3" t="str">
        <f>IFERROR(__xludf.DUMMYFUNCTION("""COMPUTED_VALUE"""),"MRNRO0046")</f>
        <v>MRNRO0046</v>
      </c>
      <c r="C608" s="3" t="str">
        <f>IFERROR(__xludf.DUMMYFUNCTION("""COMPUTED_VALUE"""),"EJO")</f>
        <v>EJO</v>
      </c>
      <c r="D608" s="3" t="str">
        <f>IFERROR(__xludf.DUMMYFUNCTION("""COMPUTED_VALUE"""),"EJO/2025/08/205")</f>
        <v>EJO/2025/08/205</v>
      </c>
      <c r="E608" s="3" t="str">
        <f>IFERROR(__xludf.DUMMYFUNCTION("""COMPUTED_VALUE"""),"PSG")</f>
        <v>PSG</v>
      </c>
      <c r="F608" s="3" t="str">
        <f>IFERROR(__xludf.DUMMYFUNCTION("""COMPUTED_VALUE"""),"Elbow SS 316 L dia 1inch")</f>
        <v>Elbow SS 316 L dia 1inch</v>
      </c>
      <c r="G608" s="3">
        <f>IFERROR(__xludf.DUMMYFUNCTION("""COMPUTED_VALUE"""),6.0)</f>
        <v>6</v>
      </c>
      <c r="H608" s="3" t="str">
        <f>IFERROR(__xludf.DUMMYFUNCTION("""COMPUTED_VALUE"""),"pcs")</f>
        <v>pcs</v>
      </c>
      <c r="I608" s="3" t="str">
        <f>IFERROR(__xludf.DUMMYFUNCTION("""COMPUTED_VALUE"""),"untuk venting psg")</f>
        <v>untuk venting psg</v>
      </c>
      <c r="J608" s="3" t="str">
        <f>IFERROR(__xludf.DUMMYFUNCTION("""COMPUTED_VALUE"""),"P-12195-00")</f>
        <v>P-12195-00</v>
      </c>
      <c r="K608" s="3" t="str">
        <f>IFERROR(__xludf.DUMMYFUNCTION("""COMPUTED_VALUE"""),"Approve")</f>
        <v>Approve</v>
      </c>
      <c r="L608" s="3" t="str">
        <f>IFERROR(__xludf.DUMMYFUNCTION("""COMPUTED_VALUE"""),"Normal")</f>
        <v>Normal</v>
      </c>
      <c r="M608" s="3" t="str">
        <f>IFERROR(__xludf.DUMMYFUNCTION("""COMPUTED_VALUE"""),"Non Urgent")</f>
        <v>Non Urgent</v>
      </c>
    </row>
    <row r="609">
      <c r="A609" s="4">
        <f>IFERROR(__xludf.DUMMYFUNCTION("""COMPUTED_VALUE"""),46056.71664653935)</f>
        <v>46056.71665</v>
      </c>
      <c r="B609" s="3" t="str">
        <f>IFERROR(__xludf.DUMMYFUNCTION("""COMPUTED_VALUE"""),"ROSRO0021")</f>
        <v>ROSRO0021</v>
      </c>
      <c r="C609" s="3" t="str">
        <f>IFERROR(__xludf.DUMMYFUNCTION("""COMPUTED_VALUE"""),"Consumable")</f>
        <v>Consumable</v>
      </c>
      <c r="D609" s="3" t="str">
        <f>IFERROR(__xludf.DUMMYFUNCTION("""COMPUTED_VALUE"""),"-")</f>
        <v>-</v>
      </c>
      <c r="E609" s="3" t="str">
        <f>IFERROR(__xludf.DUMMYFUNCTION("""COMPUTED_VALUE"""),"autoclave preparasi dan decontam")</f>
        <v>autoclave preparasi dan decontam</v>
      </c>
      <c r="F609" s="3" t="str">
        <f>IFERROR(__xludf.DUMMYFUNCTION("""COMPUTED_VALUE"""),"Autoclave Fedegari FOF / 6 AC - O-RING21.82x3.53 ; p/n CC150010; ; ;")</f>
        <v>Autoclave Fedegari FOF / 6 AC - O-RING21.82x3.53 ; p/n CC150010; ; ;</v>
      </c>
      <c r="G609" s="3">
        <f>IFERROR(__xludf.DUMMYFUNCTION("""COMPUTED_VALUE"""),20.0)</f>
        <v>20</v>
      </c>
      <c r="H609" s="3" t="str">
        <f>IFERROR(__xludf.DUMMYFUNCTION("""COMPUTED_VALUE"""),"pcs")</f>
        <v>pcs</v>
      </c>
      <c r="I609" s="3" t="str">
        <f>IFERROR(__xludf.DUMMYFUNCTION("""COMPUTED_VALUE"""),"oring buat clamp F2")</f>
        <v>oring buat clamp F2</v>
      </c>
      <c r="J609" s="3" t="str">
        <f>IFERROR(__xludf.DUMMYFUNCTION("""COMPUTED_VALUE"""),"O-17399-00")</f>
        <v>O-17399-00</v>
      </c>
      <c r="K609" s="3" t="str">
        <f>IFERROR(__xludf.DUMMYFUNCTION("""COMPUTED_VALUE"""),"Approve")</f>
        <v>Approve</v>
      </c>
      <c r="L609" s="3" t="str">
        <f>IFERROR(__xludf.DUMMYFUNCTION("""COMPUTED_VALUE"""),"Normal")</f>
        <v>Normal</v>
      </c>
      <c r="M609" s="3" t="str">
        <f>IFERROR(__xludf.DUMMYFUNCTION("""COMPUTED_VALUE"""),"Non Urgent")</f>
        <v>Non Urgent</v>
      </c>
    </row>
    <row r="610">
      <c r="A610" s="4">
        <f>IFERROR(__xludf.DUMMYFUNCTION("""COMPUTED_VALUE"""),46062.43281680556)</f>
        <v>46062.43282</v>
      </c>
      <c r="B610" s="3" t="str">
        <f>IFERROR(__xludf.DUMMYFUNCTION("""COMPUTED_VALUE"""),"MOBRO0077")</f>
        <v>MOBRO0077</v>
      </c>
      <c r="C610" s="3" t="str">
        <f>IFERROR(__xludf.DUMMYFUNCTION("""COMPUTED_VALUE"""),"Consumable")</f>
        <v>Consumable</v>
      </c>
      <c r="D610" s="3" t="str">
        <f>IFERROR(__xludf.DUMMYFUNCTION("""COMPUTED_VALUE"""),"-")</f>
        <v>-</v>
      </c>
      <c r="E610" s="3" t="str">
        <f>IFERROR(__xludf.DUMMYFUNCTION("""COMPUTED_VALUE"""),"PWG")</f>
        <v>PWG</v>
      </c>
      <c r="F610" s="3" t="str">
        <f>IFERROR(__xludf.DUMMYFUNCTION("""COMPUTED_VALUE"""),"General - Water Hardness Test Kit; No Brand; -; 1 Pc")</f>
        <v>General - Water Hardness Test Kit; No Brand; -; 1 Pc</v>
      </c>
      <c r="G610" s="3">
        <f>IFERROR(__xludf.DUMMYFUNCTION("""COMPUTED_VALUE"""),3.0)</f>
        <v>3</v>
      </c>
      <c r="H610" s="3" t="str">
        <f>IFERROR(__xludf.DUMMYFUNCTION("""COMPUTED_VALUE"""),"Pcs")</f>
        <v>Pcs</v>
      </c>
      <c r="I610" s="3" t="str">
        <f>IFERROR(__xludf.DUMMYFUNCTION("""COMPUTED_VALUE"""),"Habis, urgent")</f>
        <v>Habis, urgent</v>
      </c>
      <c r="J610" s="3" t="str">
        <f>IFERROR(__xludf.DUMMYFUNCTION("""COMPUTED_VALUE"""),"P-15938-00")</f>
        <v>P-15938-00</v>
      </c>
      <c r="K610" s="3" t="str">
        <f>IFERROR(__xludf.DUMMYFUNCTION("""COMPUTED_VALUE"""),"Approve")</f>
        <v>Approve</v>
      </c>
      <c r="L610" s="3" t="str">
        <f>IFERROR(__xludf.DUMMYFUNCTION("""COMPUTED_VALUE"""),"Normal")</f>
        <v>Normal</v>
      </c>
      <c r="M610" s="3" t="str">
        <f>IFERROR(__xludf.DUMMYFUNCTION("""COMPUTED_VALUE"""),"Non Urgent")</f>
        <v>Non Urgent</v>
      </c>
    </row>
    <row r="611">
      <c r="A611" s="4">
        <f>IFERROR(__xludf.DUMMYFUNCTION("""COMPUTED_VALUE"""),46062.95060481482)</f>
        <v>46062.9506</v>
      </c>
      <c r="B611" s="3" t="str">
        <f>IFERROR(__xludf.DUMMYFUNCTION("""COMPUTED_VALUE"""),"RIARO0066")</f>
        <v>RIARO0066</v>
      </c>
      <c r="C611" s="3" t="str">
        <f>IFERROR(__xludf.DUMMYFUNCTION("""COMPUTED_VALUE"""),"EJO")</f>
        <v>EJO</v>
      </c>
      <c r="D611" s="3" t="str">
        <f>IFERROR(__xludf.DUMMYFUNCTION("""COMPUTED_VALUE"""),"EJO/2026/02/79")</f>
        <v>EJO/2026/02/79</v>
      </c>
      <c r="E611" s="3" t="str">
        <f>IFERROR(__xludf.DUMMYFUNCTION("""COMPUTED_VALUE"""),"AHU D12")</f>
        <v>AHU D12</v>
      </c>
      <c r="F611" s="3" t="str">
        <f>IFERROR(__xludf.DUMMYFUNCTION("""COMPUTED_VALUE"""),"Electronic Valve Actuator ; Brand : Siemens ; P/N : SQS65 ; Pack Size : pcs")</f>
        <v>Electronic Valve Actuator ; Brand : Siemens ; P/N : SQS65 ; Pack Size : pcs</v>
      </c>
      <c r="G611" s="3">
        <f>IFERROR(__xludf.DUMMYFUNCTION("""COMPUTED_VALUE"""),1.0)</f>
        <v>1</v>
      </c>
      <c r="H611" s="3" t="str">
        <f>IFERROR(__xludf.DUMMYFUNCTION("""COMPUTED_VALUE"""),"Pcs")</f>
        <v>Pcs</v>
      </c>
      <c r="I611" s="3" t="str">
        <f>IFERROR(__xludf.DUMMYFUNCTION("""COMPUTED_VALUE"""),"Buat AHU D12 (REJECT BY MFH KARENA SQS SUDAH DISCONTINUE MENJADI SQA, SUDAH PUNYA SQA, SURUH TRIAL OKKY BELUM ADA HASIL)")</f>
        <v>Buat AHU D12 (REJECT BY MFH KARENA SQS SUDAH DISCONTINUE MENJADI SQA, SUDAH PUNYA SQA, SURUH TRIAL OKKY BELUM ADA HASIL)</v>
      </c>
      <c r="J611" s="3" t="str">
        <f>IFERROR(__xludf.DUMMYFUNCTION("""COMPUTED_VALUE"""),"P-13754-00")</f>
        <v>P-13754-00</v>
      </c>
      <c r="K611" s="3" t="str">
        <f>IFERROR(__xludf.DUMMYFUNCTION("""COMPUTED_VALUE"""),"Reject")</f>
        <v>Reject</v>
      </c>
      <c r="L611" s="3" t="str">
        <f>IFERROR(__xludf.DUMMYFUNCTION("""COMPUTED_VALUE"""),"Normal")</f>
        <v>Normal</v>
      </c>
      <c r="M611" s="3" t="str">
        <f>IFERROR(__xludf.DUMMYFUNCTION("""COMPUTED_VALUE"""),"Non Urgent")</f>
        <v>Non Urgent</v>
      </c>
    </row>
    <row r="612">
      <c r="A612" s="4">
        <f>IFERROR(__xludf.DUMMYFUNCTION("""COMPUTED_VALUE"""),46062.95178001157)</f>
        <v>46062.95178</v>
      </c>
      <c r="B612" s="3" t="str">
        <f>IFERROR(__xludf.DUMMYFUNCTION("""COMPUTED_VALUE"""),"RIARO0067")</f>
        <v>RIARO0067</v>
      </c>
      <c r="C612" s="3" t="str">
        <f>IFERROR(__xludf.DUMMYFUNCTION("""COMPUTED_VALUE"""),"EJO")</f>
        <v>EJO</v>
      </c>
      <c r="D612" s="3" t="str">
        <f>IFERROR(__xludf.DUMMYFUNCTION("""COMPUTED_VALUE"""),"EJO/2026/02/79")</f>
        <v>EJO/2026/02/79</v>
      </c>
      <c r="E612" s="3" t="str">
        <f>IFERROR(__xludf.DUMMYFUNCTION("""COMPUTED_VALUE"""),"AHU D12")</f>
        <v>AHU D12</v>
      </c>
      <c r="F612" s="3" t="str">
        <f>IFERROR(__xludf.DUMMYFUNCTION("""COMPUTED_VALUE"""),"Valve PN16 DN25 for Actuator SQS65 Siemens; ; ;")</f>
        <v>Valve PN16 DN25 for Actuator SQS65 Siemens; ; ;</v>
      </c>
      <c r="G612" s="3">
        <f>IFERROR(__xludf.DUMMYFUNCTION("""COMPUTED_VALUE"""),1.0)</f>
        <v>1</v>
      </c>
      <c r="H612" s="3" t="str">
        <f>IFERROR(__xludf.DUMMYFUNCTION("""COMPUTED_VALUE"""),"Pcs")</f>
        <v>Pcs</v>
      </c>
      <c r="I612" s="3" t="str">
        <f>IFERROR(__xludf.DUMMYFUNCTION("""COMPUTED_VALUE"""),"Buat AHU D12 (REJECT BY MFH KARENA SQS SUDAH DISCONTINUE MENJADI SQA, SUDAH PUNYA SQA, SURUH TRIAL OKKY BELUM ADA HASIL)")</f>
        <v>Buat AHU D12 (REJECT BY MFH KARENA SQS SUDAH DISCONTINUE MENJADI SQA, SUDAH PUNYA SQA, SURUH TRIAL OKKY BELUM ADA HASIL)</v>
      </c>
      <c r="J612" s="3" t="str">
        <f>IFERROR(__xludf.DUMMYFUNCTION("""COMPUTED_VALUE"""),"P-13773-00")</f>
        <v>P-13773-00</v>
      </c>
      <c r="K612" s="3" t="str">
        <f>IFERROR(__xludf.DUMMYFUNCTION("""COMPUTED_VALUE"""),"Reject")</f>
        <v>Reject</v>
      </c>
      <c r="L612" s="3" t="str">
        <f>IFERROR(__xludf.DUMMYFUNCTION("""COMPUTED_VALUE"""),"Normal")</f>
        <v>Normal</v>
      </c>
      <c r="M612" s="3" t="str">
        <f>IFERROR(__xludf.DUMMYFUNCTION("""COMPUTED_VALUE"""),"Non Urgent")</f>
        <v>Non Urgent</v>
      </c>
    </row>
    <row r="613">
      <c r="A613" s="4">
        <f>IFERROR(__xludf.DUMMYFUNCTION("""COMPUTED_VALUE"""),46063.045743229166)</f>
        <v>46063.04574</v>
      </c>
      <c r="B613" s="3" t="str">
        <f>IFERROR(__xludf.DUMMYFUNCTION("""COMPUTED_VALUE"""),"BDURO0003")</f>
        <v>BDURO0003</v>
      </c>
      <c r="C613" s="3" t="str">
        <f>IFERROR(__xludf.DUMMYFUNCTION("""COMPUTED_VALUE"""),"EJO")</f>
        <v>EJO</v>
      </c>
      <c r="D613" s="3" t="str">
        <f>IFERROR(__xludf.DUMMYFUNCTION("""COMPUTED_VALUE"""),"EJO/2025/12/51")</f>
        <v>EJO/2025/12/51</v>
      </c>
      <c r="E613" s="3" t="str">
        <f>IFERROR(__xludf.DUMMYFUNCTION("""COMPUTED_VALUE"""),"Install jalur ups clien hplc 5&amp;6")</f>
        <v>Install jalur ups clien hplc 5&amp;6</v>
      </c>
      <c r="F613" s="3" t="str">
        <f>IFERROR(__xludf.DUMMYFUNCTION("""COMPUTED_VALUE"""),"General - Kabel NYYHY 3 x 2.5mm; SUPREME; -; 1 meter")</f>
        <v>General - Kabel NYYHY 3 x 2.5mm; SUPREME; -; 1 meter</v>
      </c>
      <c r="G613" s="3">
        <f>IFERROR(__xludf.DUMMYFUNCTION("""COMPUTED_VALUE"""),70.0)</f>
        <v>70</v>
      </c>
      <c r="H613" s="3" t="str">
        <f>IFERROR(__xludf.DUMMYFUNCTION("""COMPUTED_VALUE"""),"M")</f>
        <v>M</v>
      </c>
      <c r="I613" s="3" t="str">
        <f>IFERROR(__xludf.DUMMYFUNCTION("""COMPUTED_VALUE"""),"Untuk penarikan kabel baru dari panel P-GC &amp; HPLC UPS")</f>
        <v>Untuk penarikan kabel baru dari panel P-GC &amp; HPLC UPS</v>
      </c>
      <c r="J613" s="3" t="str">
        <f>IFERROR(__xludf.DUMMYFUNCTION("""COMPUTED_VALUE"""),"P-14877-00")</f>
        <v>P-14877-00</v>
      </c>
      <c r="K613" s="3" t="str">
        <f>IFERROR(__xludf.DUMMYFUNCTION("""COMPUTED_VALUE"""),"Approve")</f>
        <v>Approve</v>
      </c>
      <c r="L613" s="3" t="str">
        <f>IFERROR(__xludf.DUMMYFUNCTION("""COMPUTED_VALUE"""),"Normal")</f>
        <v>Normal</v>
      </c>
      <c r="M613" s="3" t="str">
        <f>IFERROR(__xludf.DUMMYFUNCTION("""COMPUTED_VALUE"""),"Non Urgent")</f>
        <v>Non Urgent</v>
      </c>
    </row>
    <row r="614">
      <c r="A614" s="4">
        <f>IFERROR(__xludf.DUMMYFUNCTION("""COMPUTED_VALUE"""),46063.045818402774)</f>
        <v>46063.04582</v>
      </c>
      <c r="B614" s="3" t="str">
        <f>IFERROR(__xludf.DUMMYFUNCTION("""COMPUTED_VALUE"""),"BDURO0004")</f>
        <v>BDURO0004</v>
      </c>
      <c r="C614" s="3" t="str">
        <f>IFERROR(__xludf.DUMMYFUNCTION("""COMPUTED_VALUE"""),"EJO")</f>
        <v>EJO</v>
      </c>
      <c r="D614" s="3" t="str">
        <f>IFERROR(__xludf.DUMMYFUNCTION("""COMPUTED_VALUE"""),"EJO/2025/12/51")</f>
        <v>EJO/2025/12/51</v>
      </c>
      <c r="E614" s="3" t="str">
        <f>IFERROR(__xludf.DUMMYFUNCTION("""COMPUTED_VALUE"""),"Install jalur ups uplc")</f>
        <v>Install jalur ups uplc</v>
      </c>
      <c r="F614" s="3" t="str">
        <f>IFERROR(__xludf.DUMMYFUNCTION("""COMPUTED_VALUE"""),"General - Kabel NYYHY 3 x 2.5mm; SUPREME; -; 1 meter")</f>
        <v>General - Kabel NYYHY 3 x 2.5mm; SUPREME; -; 1 meter</v>
      </c>
      <c r="G614" s="3">
        <f>IFERROR(__xludf.DUMMYFUNCTION("""COMPUTED_VALUE"""),80.0)</f>
        <v>80</v>
      </c>
      <c r="H614" s="3" t="str">
        <f>IFERROR(__xludf.DUMMYFUNCTION("""COMPUTED_VALUE"""),"M")</f>
        <v>M</v>
      </c>
      <c r="I614" s="3" t="str">
        <f>IFERROR(__xludf.DUMMYFUNCTION("""COMPUTED_VALUE"""),"Untuk penarikan kabel baru dari panel P-GC &amp; HPLC UPS")</f>
        <v>Untuk penarikan kabel baru dari panel P-GC &amp; HPLC UPS</v>
      </c>
      <c r="J614" s="3" t="str">
        <f>IFERROR(__xludf.DUMMYFUNCTION("""COMPUTED_VALUE"""),"P-14877-00")</f>
        <v>P-14877-00</v>
      </c>
      <c r="K614" s="3" t="str">
        <f>IFERROR(__xludf.DUMMYFUNCTION("""COMPUTED_VALUE"""),"Approve")</f>
        <v>Approve</v>
      </c>
      <c r="L614" s="3" t="str">
        <f>IFERROR(__xludf.DUMMYFUNCTION("""COMPUTED_VALUE"""),"Normal")</f>
        <v>Normal</v>
      </c>
      <c r="M614" s="3" t="str">
        <f>IFERROR(__xludf.DUMMYFUNCTION("""COMPUTED_VALUE"""),"Non Urgent")</f>
        <v>Non Urgent</v>
      </c>
    </row>
    <row r="615">
      <c r="A615" s="4">
        <f>IFERROR(__xludf.DUMMYFUNCTION("""COMPUTED_VALUE"""),46063.04584630787)</f>
        <v>46063.04585</v>
      </c>
      <c r="B615" s="3" t="str">
        <f>IFERROR(__xludf.DUMMYFUNCTION("""COMPUTED_VALUE"""),"BDURO0005")</f>
        <v>BDURO0005</v>
      </c>
      <c r="C615" s="3" t="str">
        <f>IFERROR(__xludf.DUMMYFUNCTION("""COMPUTED_VALUE"""),"EJO")</f>
        <v>EJO</v>
      </c>
      <c r="D615" s="3" t="str">
        <f>IFERROR(__xludf.DUMMYFUNCTION("""COMPUTED_VALUE"""),"EJO/2025/12/51")</f>
        <v>EJO/2025/12/51</v>
      </c>
      <c r="E615" s="3" t="str">
        <f>IFERROR(__xludf.DUMMYFUNCTION("""COMPUTED_VALUE"""),"Install jalur ups clien hplc 5&amp;6")</f>
        <v>Install jalur ups clien hplc 5&amp;6</v>
      </c>
      <c r="F615" s="3" t="str">
        <f>IFERROR(__xludf.DUMMYFUNCTION("""COMPUTED_VALUE"""),"MCB 1 PHASE, SCHNEIDER ELECTRIC, IC60H 10Ka 16 AMPERE")</f>
        <v>MCB 1 PHASE, SCHNEIDER ELECTRIC, IC60H 10Ka 16 AMPERE</v>
      </c>
      <c r="G615" s="3">
        <f>IFERROR(__xludf.DUMMYFUNCTION("""COMPUTED_VALUE"""),1.0)</f>
        <v>1</v>
      </c>
      <c r="H615" s="3" t="str">
        <f>IFERROR(__xludf.DUMMYFUNCTION("""COMPUTED_VALUE"""),"Pcs")</f>
        <v>Pcs</v>
      </c>
      <c r="I615" s="3" t="str">
        <f>IFERROR(__xludf.DUMMYFUNCTION("""COMPUTED_VALUE"""),"Penambahan MCB pada panel P-GC &amp; HPLC")</f>
        <v>Penambahan MCB pada panel P-GC &amp; HPLC</v>
      </c>
      <c r="J615" s="3" t="str">
        <f>IFERROR(__xludf.DUMMYFUNCTION("""COMPUTED_VALUE"""),"O-54007-00")</f>
        <v>O-54007-00</v>
      </c>
      <c r="K615" s="3" t="str">
        <f>IFERROR(__xludf.DUMMYFUNCTION("""COMPUTED_VALUE"""),"Approve")</f>
        <v>Approve</v>
      </c>
      <c r="L615" s="3" t="str">
        <f>IFERROR(__xludf.DUMMYFUNCTION("""COMPUTED_VALUE"""),"Normal")</f>
        <v>Normal</v>
      </c>
      <c r="M615" s="3" t="str">
        <f>IFERROR(__xludf.DUMMYFUNCTION("""COMPUTED_VALUE"""),"Non Urgent")</f>
        <v>Non Urgent</v>
      </c>
    </row>
    <row r="616">
      <c r="A616" s="4">
        <f>IFERROR(__xludf.DUMMYFUNCTION("""COMPUTED_VALUE"""),46063.04586870371)</f>
        <v>46063.04587</v>
      </c>
      <c r="B616" s="3" t="str">
        <f>IFERROR(__xludf.DUMMYFUNCTION("""COMPUTED_VALUE"""),"BDURO0006")</f>
        <v>BDURO0006</v>
      </c>
      <c r="C616" s="3" t="str">
        <f>IFERROR(__xludf.DUMMYFUNCTION("""COMPUTED_VALUE"""),"EJO")</f>
        <v>EJO</v>
      </c>
      <c r="D616" s="3" t="str">
        <f>IFERROR(__xludf.DUMMYFUNCTION("""COMPUTED_VALUE"""),"EJO/2025/12/51")</f>
        <v>EJO/2025/12/51</v>
      </c>
      <c r="E616" s="3" t="str">
        <f>IFERROR(__xludf.DUMMYFUNCTION("""COMPUTED_VALUE"""),"Install jalur ups uplc")</f>
        <v>Install jalur ups uplc</v>
      </c>
      <c r="F616" s="3" t="str">
        <f>IFERROR(__xludf.DUMMYFUNCTION("""COMPUTED_VALUE"""),"MCB 1 PHASE, SCHNEIDER ELECTRIC, IC60H 10Ka 16 AMPERE")</f>
        <v>MCB 1 PHASE, SCHNEIDER ELECTRIC, IC60H 10Ka 16 AMPERE</v>
      </c>
      <c r="G616" s="3">
        <f>IFERROR(__xludf.DUMMYFUNCTION("""COMPUTED_VALUE"""),1.0)</f>
        <v>1</v>
      </c>
      <c r="H616" s="3" t="str">
        <f>IFERROR(__xludf.DUMMYFUNCTION("""COMPUTED_VALUE"""),"Pcs")</f>
        <v>Pcs</v>
      </c>
      <c r="I616" s="3" t="str">
        <f>IFERROR(__xludf.DUMMYFUNCTION("""COMPUTED_VALUE"""),"Penambahan MCB pada panel P-GC &amp; HPLC")</f>
        <v>Penambahan MCB pada panel P-GC &amp; HPLC</v>
      </c>
      <c r="J616" s="3" t="str">
        <f>IFERROR(__xludf.DUMMYFUNCTION("""COMPUTED_VALUE"""),"O-54007-00")</f>
        <v>O-54007-00</v>
      </c>
      <c r="K616" s="3" t="str">
        <f>IFERROR(__xludf.DUMMYFUNCTION("""COMPUTED_VALUE"""),"Approve")</f>
        <v>Approve</v>
      </c>
      <c r="L616" s="3" t="str">
        <f>IFERROR(__xludf.DUMMYFUNCTION("""COMPUTED_VALUE"""),"Normal")</f>
        <v>Normal</v>
      </c>
      <c r="M616" s="3" t="str">
        <f>IFERROR(__xludf.DUMMYFUNCTION("""COMPUTED_VALUE"""),"Non Urgent")</f>
        <v>Non Urgent</v>
      </c>
    </row>
    <row r="617">
      <c r="A617" s="4">
        <f>IFERROR(__xludf.DUMMYFUNCTION("""COMPUTED_VALUE"""),46065.385553078704)</f>
        <v>46065.38555</v>
      </c>
      <c r="B617" s="3" t="str">
        <f>IFERROR(__xludf.DUMMYFUNCTION("""COMPUTED_VALUE"""),"SFHRO0034")</f>
        <v>SFHRO0034</v>
      </c>
      <c r="C617" s="3" t="str">
        <f>IFERROR(__xludf.DUMMYFUNCTION("""COMPUTED_VALUE"""),"Consumable")</f>
        <v>Consumable</v>
      </c>
      <c r="D617" s="3" t="str">
        <f>IFERROR(__xludf.DUMMYFUNCTION("""COMPUTED_VALUE"""),"-")</f>
        <v>-</v>
      </c>
      <c r="E617" s="3" t="str">
        <f>IFERROR(__xludf.DUMMYFUNCTION("""COMPUTED_VALUE"""),"lantai 2")</f>
        <v>lantai 2</v>
      </c>
      <c r="F617" s="3" t="str">
        <f>IFERROR(__xludf.DUMMYFUNCTION("""COMPUTED_VALUE"""),"General - Lem Aibon; No Brand; -; 300 gram/can")</f>
        <v>General - Lem Aibon; No Brand; -; 300 gram/can</v>
      </c>
      <c r="G617" s="3">
        <f>IFERROR(__xludf.DUMMYFUNCTION("""COMPUTED_VALUE"""),3.0)</f>
        <v>3</v>
      </c>
      <c r="H617" s="3" t="str">
        <f>IFERROR(__xludf.DUMMYFUNCTION("""COMPUTED_VALUE"""),"kaleng")</f>
        <v>kaleng</v>
      </c>
      <c r="I617" s="3" t="str">
        <f>IFERROR(__xludf.DUMMYFUNCTION("""COMPUTED_VALUE"""),"stock habis")</f>
        <v>stock habis</v>
      </c>
      <c r="J617" s="3" t="str">
        <f>IFERROR(__xludf.DUMMYFUNCTION("""COMPUTED_VALUE"""),"P-12464-00")</f>
        <v>P-12464-00</v>
      </c>
      <c r="K617" s="3" t="str">
        <f>IFERROR(__xludf.DUMMYFUNCTION("""COMPUTED_VALUE"""),"Approve")</f>
        <v>Approve</v>
      </c>
      <c r="L617" s="3" t="str">
        <f>IFERROR(__xludf.DUMMYFUNCTION("""COMPUTED_VALUE"""),"Normal")</f>
        <v>Normal</v>
      </c>
      <c r="M617" s="3" t="str">
        <f>IFERROR(__xludf.DUMMYFUNCTION("""COMPUTED_VALUE"""),"Non Urgent")</f>
        <v>Non Urgent</v>
      </c>
    </row>
    <row r="618">
      <c r="A618" s="4">
        <f>IFERROR(__xludf.DUMMYFUNCTION("""COMPUTED_VALUE"""),46065.38636293981)</f>
        <v>46065.38636</v>
      </c>
      <c r="B618" s="3" t="str">
        <f>IFERROR(__xludf.DUMMYFUNCTION("""COMPUTED_VALUE"""),"SFHRO0035")</f>
        <v>SFHRO0035</v>
      </c>
      <c r="C618" s="3" t="str">
        <f>IFERROR(__xludf.DUMMYFUNCTION("""COMPUTED_VALUE"""),"MIn Stok")</f>
        <v>MIn Stok</v>
      </c>
      <c r="D618" s="3" t="str">
        <f>IFERROR(__xludf.DUMMYFUNCTION("""COMPUTED_VALUE"""),"-")</f>
        <v>-</v>
      </c>
      <c r="E618" s="3" t="str">
        <f>IFERROR(__xludf.DUMMYFUNCTION("""COMPUTED_VALUE"""),"lantai 2")</f>
        <v>lantai 2</v>
      </c>
      <c r="F618" s="3" t="str">
        <f>IFERROR(__xludf.DUMMYFUNCTION("""COMPUTED_VALUE"""),"Limit Switch;; Omron; Part No. D4MC-1000; 1 pc/pack")</f>
        <v>Limit Switch;; Omron; Part No. D4MC-1000; 1 pc/pack</v>
      </c>
      <c r="G618" s="3">
        <f>IFERROR(__xludf.DUMMYFUNCTION("""COMPUTED_VALUE"""),3.0)</f>
        <v>3</v>
      </c>
      <c r="H618" s="3" t="str">
        <f>IFERROR(__xludf.DUMMYFUNCTION("""COMPUTED_VALUE"""),"pcs")</f>
        <v>pcs</v>
      </c>
      <c r="I618" s="3" t="str">
        <f>IFERROR(__xludf.DUMMYFUNCTION("""COMPUTED_VALUE"""),"stock habis")</f>
        <v>stock habis</v>
      </c>
      <c r="J618" s="3" t="str">
        <f>IFERROR(__xludf.DUMMYFUNCTION("""COMPUTED_VALUE"""),"P-52009-00")</f>
        <v>P-52009-00</v>
      </c>
      <c r="K618" s="3" t="str">
        <f>IFERROR(__xludf.DUMMYFUNCTION("""COMPUTED_VALUE"""),"Approve")</f>
        <v>Approve</v>
      </c>
      <c r="L618" s="3" t="str">
        <f>IFERROR(__xludf.DUMMYFUNCTION("""COMPUTED_VALUE"""),"Normal")</f>
        <v>Normal</v>
      </c>
      <c r="M618" s="3" t="str">
        <f>IFERROR(__xludf.DUMMYFUNCTION("""COMPUTED_VALUE"""),"Non Urgent")</f>
        <v>Non Urgent</v>
      </c>
    </row>
    <row r="619">
      <c r="A619" s="4">
        <f>IFERROR(__xludf.DUMMYFUNCTION("""COMPUTED_VALUE"""),46065.38918606482)</f>
        <v>46065.38919</v>
      </c>
      <c r="B619" s="3" t="str">
        <f>IFERROR(__xludf.DUMMYFUNCTION("""COMPUTED_VALUE"""),"SFHRO0036")</f>
        <v>SFHRO0036</v>
      </c>
      <c r="C619" s="3" t="str">
        <f>IFERROR(__xludf.DUMMYFUNCTION("""COMPUTED_VALUE"""),"MIn Stok")</f>
        <v>MIn Stok</v>
      </c>
      <c r="D619" s="3" t="str">
        <f>IFERROR(__xludf.DUMMYFUNCTION("""COMPUTED_VALUE"""),"-")</f>
        <v>-</v>
      </c>
      <c r="E619" s="3" t="str">
        <f>IFERROR(__xludf.DUMMYFUNCTION("""COMPUTED_VALUE"""),"lantai 2")</f>
        <v>lantai 2</v>
      </c>
      <c r="F619" s="3" t="str">
        <f>IFERROR(__xludf.DUMMYFUNCTION("""COMPUTED_VALUE"""),"Cat Ftalit 444 Banana Yellow; ; ; 1 Kg per Can")</f>
        <v>Cat Ftalit 444 Banana Yellow; ; ; 1 Kg per Can</v>
      </c>
      <c r="G619" s="3">
        <f>IFERROR(__xludf.DUMMYFUNCTION("""COMPUTED_VALUE"""),3.0)</f>
        <v>3</v>
      </c>
      <c r="H619" s="3" t="str">
        <f>IFERROR(__xludf.DUMMYFUNCTION("""COMPUTED_VALUE"""),"kg")</f>
        <v>kg</v>
      </c>
      <c r="I619" s="3" t="str">
        <f>IFERROR(__xludf.DUMMYFUNCTION("""COMPUTED_VALUE"""),"stock habis d pake GA BUAT MARKING JALAN ")</f>
        <v>stock habis d pake GA BUAT MARKING JALAN </v>
      </c>
      <c r="J619" s="3" t="str">
        <f>IFERROR(__xludf.DUMMYFUNCTION("""COMPUTED_VALUE"""),"Q-10580-00")</f>
        <v>Q-10580-00</v>
      </c>
      <c r="K619" s="3" t="str">
        <f>IFERROR(__xludf.DUMMYFUNCTION("""COMPUTED_VALUE"""),"Approve")</f>
        <v>Approve</v>
      </c>
      <c r="L619" s="3" t="str">
        <f>IFERROR(__xludf.DUMMYFUNCTION("""COMPUTED_VALUE"""),"Normal")</f>
        <v>Normal</v>
      </c>
      <c r="M619" s="3" t="str">
        <f>IFERROR(__xludf.DUMMYFUNCTION("""COMPUTED_VALUE"""),"Non Urgent")</f>
        <v>Non Urgent</v>
      </c>
    </row>
    <row r="620">
      <c r="A620" s="4">
        <f>IFERROR(__xludf.DUMMYFUNCTION("""COMPUTED_VALUE"""),46065.393395879626)</f>
        <v>46065.3934</v>
      </c>
      <c r="B620" s="3" t="str">
        <f>IFERROR(__xludf.DUMMYFUNCTION("""COMPUTED_VALUE"""),"SFHRO0037")</f>
        <v>SFHRO0037</v>
      </c>
      <c r="C620" s="3" t="str">
        <f>IFERROR(__xludf.DUMMYFUNCTION("""COMPUTED_VALUE"""),"MIn Stok")</f>
        <v>MIn Stok</v>
      </c>
      <c r="D620" s="3" t="str">
        <f>IFERROR(__xludf.DUMMYFUNCTION("""COMPUTED_VALUE"""),"-")</f>
        <v>-</v>
      </c>
      <c r="E620" s="3" t="str">
        <f>IFERROR(__xludf.DUMMYFUNCTION("""COMPUTED_VALUE"""),"Lantai 2")</f>
        <v>Lantai 2</v>
      </c>
      <c r="F620" s="3" t="str">
        <f>IFERROR(__xludf.DUMMYFUNCTION("""COMPUTED_VALUE"""),"Kuas Cat Uk. 5 inch;No Brand;;pack size per pcs")</f>
        <v>Kuas Cat Uk. 5 inch;No Brand;;pack size per pcs</v>
      </c>
      <c r="G620" s="3">
        <f>IFERROR(__xludf.DUMMYFUNCTION("""COMPUTED_VALUE"""),5.0)</f>
        <v>5</v>
      </c>
      <c r="H620" s="3" t="str">
        <f>IFERROR(__xludf.DUMMYFUNCTION("""COMPUTED_VALUE"""),"pcs")</f>
        <v>pcs</v>
      </c>
      <c r="I620" s="3" t="str">
        <f>IFERROR(__xludf.DUMMYFUNCTION("""COMPUTED_VALUE"""),"stock habis")</f>
        <v>stock habis</v>
      </c>
      <c r="J620" s="3" t="str">
        <f>IFERROR(__xludf.DUMMYFUNCTION("""COMPUTED_VALUE"""),"Q-10656-00")</f>
        <v>Q-10656-00</v>
      </c>
      <c r="K620" s="3" t="str">
        <f>IFERROR(__xludf.DUMMYFUNCTION("""COMPUTED_VALUE"""),"Approve")</f>
        <v>Approve</v>
      </c>
      <c r="L620" s="3" t="str">
        <f>IFERROR(__xludf.DUMMYFUNCTION("""COMPUTED_VALUE"""),"Normal")</f>
        <v>Normal</v>
      </c>
      <c r="M620" s="3" t="str">
        <f>IFERROR(__xludf.DUMMYFUNCTION("""COMPUTED_VALUE"""),"Non Urgent")</f>
        <v>Non Urgent</v>
      </c>
    </row>
    <row r="621">
      <c r="A621" s="4">
        <f>IFERROR(__xludf.DUMMYFUNCTION("""COMPUTED_VALUE"""),46065.402645856484)</f>
        <v>46065.40265</v>
      </c>
      <c r="B621" s="3" t="str">
        <f>IFERROR(__xludf.DUMMYFUNCTION("""COMPUTED_VALUE"""),"SFHRO0038")</f>
        <v>SFHRO0038</v>
      </c>
      <c r="C621" s="3" t="str">
        <f>IFERROR(__xludf.DUMMYFUNCTION("""COMPUTED_VALUE"""),"MIn Stok")</f>
        <v>MIn Stok</v>
      </c>
      <c r="D621" s="3" t="str">
        <f>IFERROR(__xludf.DUMMYFUNCTION("""COMPUTED_VALUE"""),"-")</f>
        <v>-</v>
      </c>
      <c r="E621" s="3" t="str">
        <f>IFERROR(__xludf.DUMMYFUNCTION("""COMPUTED_VALUE"""),"lantai 2")</f>
        <v>lantai 2</v>
      </c>
      <c r="F621" s="3" t="str">
        <f>IFERROR(__xludf.DUMMYFUNCTION("""COMPUTED_VALUE"""),"Kuas uk. 2.5 inch; No Brand; ; pack size per pc")</f>
        <v>Kuas uk. 2.5 inch; No Brand; ; pack size per pc</v>
      </c>
      <c r="G621" s="3">
        <f>IFERROR(__xludf.DUMMYFUNCTION("""COMPUTED_VALUE"""),5.0)</f>
        <v>5</v>
      </c>
      <c r="H621" s="3" t="str">
        <f>IFERROR(__xludf.DUMMYFUNCTION("""COMPUTED_VALUE"""),"pcs")</f>
        <v>pcs</v>
      </c>
      <c r="I621" s="3" t="str">
        <f>IFERROR(__xludf.DUMMYFUNCTION("""COMPUTED_VALUE"""),"stock habis")</f>
        <v>stock habis</v>
      </c>
      <c r="J621" s="3" t="str">
        <f>IFERROR(__xludf.DUMMYFUNCTION("""COMPUTED_VALUE"""),"Q-54128-00")</f>
        <v>Q-54128-00</v>
      </c>
      <c r="K621" s="3" t="str">
        <f>IFERROR(__xludf.DUMMYFUNCTION("""COMPUTED_VALUE"""),"Approve")</f>
        <v>Approve</v>
      </c>
      <c r="L621" s="3" t="str">
        <f>IFERROR(__xludf.DUMMYFUNCTION("""COMPUTED_VALUE"""),"Normal")</f>
        <v>Normal</v>
      </c>
      <c r="M621" s="3" t="str">
        <f>IFERROR(__xludf.DUMMYFUNCTION("""COMPUTED_VALUE"""),"Non Urgent")</f>
        <v>Non Urgent</v>
      </c>
    </row>
    <row r="622">
      <c r="A622" s="4">
        <f>IFERROR(__xludf.DUMMYFUNCTION("""COMPUTED_VALUE"""),46068.6837164699)</f>
        <v>46068.68372</v>
      </c>
      <c r="B622" s="3" t="str">
        <f>IFERROR(__xludf.DUMMYFUNCTION("""COMPUTED_VALUE"""),"RIARO0068")</f>
        <v>RIARO0068</v>
      </c>
      <c r="C622" s="3" t="str">
        <f>IFERROR(__xludf.DUMMYFUNCTION("""COMPUTED_VALUE"""),"EJO")</f>
        <v>EJO</v>
      </c>
      <c r="D622" s="3" t="str">
        <f>IFERROR(__xludf.DUMMYFUNCTION("""COMPUTED_VALUE"""),"-")</f>
        <v>-</v>
      </c>
      <c r="E622" s="3" t="str">
        <f>IFERROR(__xludf.DUMMYFUNCTION("""COMPUTED_VALUE"""),"All Area")</f>
        <v>All Area</v>
      </c>
      <c r="F622" s="3" t="str">
        <f>IFERROR(__xludf.DUMMYFUNCTION("""COMPUTED_VALUE"""),"OMRON - Relay MY4N 220/240VAC")</f>
        <v>OMRON - Relay MY4N 220/240VAC</v>
      </c>
      <c r="G622" s="3">
        <f>IFERROR(__xludf.DUMMYFUNCTION("""COMPUTED_VALUE"""),20.0)</f>
        <v>20</v>
      </c>
      <c r="H622" s="3" t="str">
        <f>IFERROR(__xludf.DUMMYFUNCTION("""COMPUTED_VALUE"""),"Pcs")</f>
        <v>Pcs</v>
      </c>
      <c r="I622" s="3" t="str">
        <f>IFERROR(__xludf.DUMMYFUNCTION("""COMPUTED_VALUE"""),"Beliin stok habis")</f>
        <v>Beliin stok habis</v>
      </c>
      <c r="J622" s="3" t="str">
        <f>IFERROR(__xludf.DUMMYFUNCTION("""COMPUTED_VALUE"""),"P-51410-00")</f>
        <v>P-51410-00</v>
      </c>
      <c r="K622" s="3" t="str">
        <f>IFERROR(__xludf.DUMMYFUNCTION("""COMPUTED_VALUE"""),"Approve")</f>
        <v>Approve</v>
      </c>
      <c r="L622" s="3" t="str">
        <f>IFERROR(__xludf.DUMMYFUNCTION("""COMPUTED_VALUE"""),"Normal")</f>
        <v>Normal</v>
      </c>
      <c r="M622" s="3" t="str">
        <f>IFERROR(__xludf.DUMMYFUNCTION("""COMPUTED_VALUE"""),"Non Urgent")</f>
        <v>Non Urgent</v>
      </c>
    </row>
    <row r="623">
      <c r="A623" s="4">
        <f>IFERROR(__xludf.DUMMYFUNCTION("""COMPUTED_VALUE"""),46069.59646663194)</f>
        <v>46069.59647</v>
      </c>
      <c r="B623" s="3" t="str">
        <f>IFERROR(__xludf.DUMMYFUNCTION("""COMPUTED_VALUE"""),"ROSRO0022")</f>
        <v>ROSRO0022</v>
      </c>
      <c r="C623" s="3" t="str">
        <f>IFERROR(__xludf.DUMMYFUNCTION("""COMPUTED_VALUE"""),"MIn Stok")</f>
        <v>MIn Stok</v>
      </c>
      <c r="D623" s="3" t="str">
        <f>IFERROR(__xludf.DUMMYFUNCTION("""COMPUTED_VALUE"""),"-")</f>
        <v>-</v>
      </c>
      <c r="E623" s="3" t="str">
        <f>IFERROR(__xludf.DUMMYFUNCTION("""COMPUTED_VALUE"""),"Dsipensing Steril")</f>
        <v>Dsipensing Steril</v>
      </c>
      <c r="F623" s="3" t="str">
        <f>IFERROR(__xludf.DUMMYFUNCTION("""COMPUTED_VALUE"""),"BEARING R-4HH BRAND EZO")</f>
        <v>BEARING R-4HH BRAND EZO</v>
      </c>
      <c r="G623" s="3">
        <f>IFERROR(__xludf.DUMMYFUNCTION("""COMPUTED_VALUE"""),20.0)</f>
        <v>20</v>
      </c>
      <c r="H623" s="3" t="str">
        <f>IFERROR(__xludf.DUMMYFUNCTION("""COMPUTED_VALUE"""),"Pcs")</f>
        <v>Pcs</v>
      </c>
      <c r="I623" s="3" t="str">
        <f>IFERROR(__xludf.DUMMYFUNCTION("""COMPUTED_VALUE"""),"Bearing buat kuncian alpaport ")</f>
        <v>Bearing buat kuncian alpaport </v>
      </c>
      <c r="J623" s="3" t="str">
        <f>IFERROR(__xludf.DUMMYFUNCTION("""COMPUTED_VALUE"""),"O-15563-00")</f>
        <v>O-15563-00</v>
      </c>
      <c r="K623" s="3" t="str">
        <f>IFERROR(__xludf.DUMMYFUNCTION("""COMPUTED_VALUE"""),"Approve")</f>
        <v>Approve</v>
      </c>
      <c r="L623" s="3" t="str">
        <f>IFERROR(__xludf.DUMMYFUNCTION("""COMPUTED_VALUE"""),"Normal")</f>
        <v>Normal</v>
      </c>
      <c r="M623" s="3" t="str">
        <f>IFERROR(__xludf.DUMMYFUNCTION("""COMPUTED_VALUE"""),"Non Urgent")</f>
        <v>Non Urgent</v>
      </c>
    </row>
    <row r="624">
      <c r="A624" s="4">
        <f>IFERROR(__xludf.DUMMYFUNCTION("""COMPUTED_VALUE"""),46069.60635513889)</f>
        <v>46069.60636</v>
      </c>
      <c r="B624" s="3" t="str">
        <f>IFERROR(__xludf.DUMMYFUNCTION("""COMPUTED_VALUE"""),"ROSRO0023")</f>
        <v>ROSRO0023</v>
      </c>
      <c r="C624" s="3" t="str">
        <f>IFERROR(__xludf.DUMMYFUNCTION("""COMPUTED_VALUE"""),"MIn Stok")</f>
        <v>MIn Stok</v>
      </c>
      <c r="D624" s="3" t="str">
        <f>IFERROR(__xludf.DUMMYFUNCTION("""COMPUTED_VALUE"""),"-")</f>
        <v>-</v>
      </c>
      <c r="E624" s="3" t="str">
        <f>IFERROR(__xludf.DUMMYFUNCTION("""COMPUTED_VALUE"""),"WIHC")</f>
        <v>WIHC</v>
      </c>
      <c r="F624" s="3" t="str">
        <f>IFERROR(__xludf.DUMMYFUNCTION("""COMPUTED_VALUE"""),"General - Terminal Block, 6 mm; Fort; -; 1 pcs")</f>
        <v>General - Terminal Block, 6 mm; Fort; -; 1 pcs</v>
      </c>
      <c r="G624" s="3">
        <f>IFERROR(__xludf.DUMMYFUNCTION("""COMPUTED_VALUE"""),50.0)</f>
        <v>50</v>
      </c>
      <c r="H624" s="3" t="str">
        <f>IFERROR(__xludf.DUMMYFUNCTION("""COMPUTED_VALUE"""),"pcs")</f>
        <v>pcs</v>
      </c>
      <c r="I624" s="3" t="str">
        <f>IFERROR(__xludf.DUMMYFUNCTION("""COMPUTED_VALUE"""),"-")</f>
        <v>-</v>
      </c>
      <c r="J624" s="3" t="str">
        <f>IFERROR(__xludf.DUMMYFUNCTION("""COMPUTED_VALUE"""),"O-54137-00")</f>
        <v>O-54137-00</v>
      </c>
      <c r="K624" s="3" t="str">
        <f>IFERROR(__xludf.DUMMYFUNCTION("""COMPUTED_VALUE"""),"Approve")</f>
        <v>Approve</v>
      </c>
      <c r="L624" s="3" t="str">
        <f>IFERROR(__xludf.DUMMYFUNCTION("""COMPUTED_VALUE"""),"Normal")</f>
        <v>Normal</v>
      </c>
      <c r="M624" s="3" t="str">
        <f>IFERROR(__xludf.DUMMYFUNCTION("""COMPUTED_VALUE"""),"Non Urgent")</f>
        <v>Non Urgent</v>
      </c>
    </row>
    <row r="625">
      <c r="A625" s="4">
        <f>IFERROR(__xludf.DUMMYFUNCTION("""COMPUTED_VALUE"""),46069.60670791667)</f>
        <v>46069.60671</v>
      </c>
      <c r="B625" s="3" t="str">
        <f>IFERROR(__xludf.DUMMYFUNCTION("""COMPUTED_VALUE"""),"ROSRO0024")</f>
        <v>ROSRO0024</v>
      </c>
      <c r="C625" s="3" t="str">
        <f>IFERROR(__xludf.DUMMYFUNCTION("""COMPUTED_VALUE"""),"MIn Stok")</f>
        <v>MIn Stok</v>
      </c>
      <c r="D625" s="3" t="str">
        <f>IFERROR(__xludf.DUMMYFUNCTION("""COMPUTED_VALUE"""),"-")</f>
        <v>-</v>
      </c>
      <c r="E625" s="3" t="str">
        <f>IFERROR(__xludf.DUMMYFUNCTION("""COMPUTED_VALUE"""),"-")</f>
        <v>-</v>
      </c>
      <c r="F625" s="3" t="str">
        <f>IFERROR(__xludf.DUMMYFUNCTION("""COMPUTED_VALUE"""),"General - Terminal Viking Grounding 4mm; Legrand; -; 1 pc")</f>
        <v>General - Terminal Viking Grounding 4mm; Legrand; -; 1 pc</v>
      </c>
      <c r="G625" s="3">
        <f>IFERROR(__xludf.DUMMYFUNCTION("""COMPUTED_VALUE"""),50.0)</f>
        <v>50</v>
      </c>
      <c r="H625" s="3" t="str">
        <f>IFERROR(__xludf.DUMMYFUNCTION("""COMPUTED_VALUE"""),"pcs")</f>
        <v>pcs</v>
      </c>
      <c r="I625" s="3" t="str">
        <f>IFERROR(__xludf.DUMMYFUNCTION("""COMPUTED_VALUE"""),"-")</f>
        <v>-</v>
      </c>
      <c r="J625" s="3" t="str">
        <f>IFERROR(__xludf.DUMMYFUNCTION("""COMPUTED_VALUE"""),"P-20369-00")</f>
        <v>P-20369-00</v>
      </c>
      <c r="K625" s="3" t="str">
        <f>IFERROR(__xludf.DUMMYFUNCTION("""COMPUTED_VALUE"""),"Approve")</f>
        <v>Approve</v>
      </c>
      <c r="L625" s="3" t="str">
        <f>IFERROR(__xludf.DUMMYFUNCTION("""COMPUTED_VALUE"""),"Normal")</f>
        <v>Normal</v>
      </c>
      <c r="M625" s="3" t="str">
        <f>IFERROR(__xludf.DUMMYFUNCTION("""COMPUTED_VALUE"""),"Non Urgent")</f>
        <v>Non Urgent</v>
      </c>
    </row>
    <row r="626">
      <c r="A626" s="4">
        <f>IFERROR(__xludf.DUMMYFUNCTION("""COMPUTED_VALUE"""),46072.670798680556)</f>
        <v>46072.6708</v>
      </c>
      <c r="B626" s="3" t="str">
        <f>IFERROR(__xludf.DUMMYFUNCTION("""COMPUTED_VALUE"""),"SFHRO0039")</f>
        <v>SFHRO0039</v>
      </c>
      <c r="C626" s="3" t="str">
        <f>IFERROR(__xludf.DUMMYFUNCTION("""COMPUTED_VALUE"""),"MIn Stok")</f>
        <v>MIn Stok</v>
      </c>
      <c r="D626" s="3" t="str">
        <f>IFERROR(__xludf.DUMMYFUNCTION("""COMPUTED_VALUE"""),"-")</f>
        <v>-</v>
      </c>
      <c r="E626" s="3" t="str">
        <f>IFERROR(__xludf.DUMMYFUNCTION("""COMPUTED_VALUE"""),"lantai 2")</f>
        <v>lantai 2</v>
      </c>
      <c r="F626" s="3" t="str">
        <f>IFERROR(__xludf.DUMMYFUNCTION("""COMPUTED_VALUE"""),"Polyfloor PFT-213 Ivory @ 20 KG")</f>
        <v>Polyfloor PFT-213 Ivory @ 20 KG</v>
      </c>
      <c r="G626" s="3">
        <f>IFERROR(__xludf.DUMMYFUNCTION("""COMPUTED_VALUE"""),2.0)</f>
        <v>2</v>
      </c>
      <c r="H626" s="3" t="str">
        <f>IFERROR(__xludf.DUMMYFUNCTION("""COMPUTED_VALUE"""),"pel")</f>
        <v>pel</v>
      </c>
      <c r="I626" s="3" t="str">
        <f>IFERROR(__xludf.DUMMYFUNCTION("""COMPUTED_VALUE"""),"stock habis buat cuving d area produksi")</f>
        <v>stock habis buat cuving d area produksi</v>
      </c>
      <c r="J626" s="3" t="str">
        <f>IFERROR(__xludf.DUMMYFUNCTION("""COMPUTED_VALUE"""),"Q-10005-00")</f>
        <v>Q-10005-00</v>
      </c>
      <c r="K626" s="3" t="str">
        <f>IFERROR(__xludf.DUMMYFUNCTION("""COMPUTED_VALUE"""),"Approve")</f>
        <v>Approve</v>
      </c>
      <c r="L626" s="3" t="str">
        <f>IFERROR(__xludf.DUMMYFUNCTION("""COMPUTED_VALUE"""),"Normal")</f>
        <v>Normal</v>
      </c>
      <c r="M626" s="3" t="str">
        <f>IFERROR(__xludf.DUMMYFUNCTION("""COMPUTED_VALUE"""),"Non Urgent")</f>
        <v>Non Urgent</v>
      </c>
    </row>
    <row r="627">
      <c r="A627" s="4">
        <f>IFERROR(__xludf.DUMMYFUNCTION("""COMPUTED_VALUE"""),46078.3682403125)</f>
        <v>46078.36824</v>
      </c>
      <c r="B627" s="3" t="str">
        <f>IFERROR(__xludf.DUMMYFUNCTION("""COMPUTED_VALUE"""),"RIARO0069")</f>
        <v>RIARO0069</v>
      </c>
      <c r="C627" s="3" t="str">
        <f>IFERROR(__xludf.DUMMYFUNCTION("""COMPUTED_VALUE"""),"EJO")</f>
        <v>EJO</v>
      </c>
      <c r="D627" s="3" t="str">
        <f>IFERROR(__xludf.DUMMYFUNCTION("""COMPUTED_VALUE"""),"-")</f>
        <v>-</v>
      </c>
      <c r="E627" s="3" t="str">
        <f>IFERROR(__xludf.DUMMYFUNCTION("""COMPUTED_VALUE"""),"Hot Water ")</f>
        <v>Hot Water </v>
      </c>
      <c r="F627" s="3" t="str">
        <f>IFERROR(__xludf.DUMMYFUNCTION("""COMPUTED_VALUE"""),"General - Fuse Keramik Double 160A 690VAC Bussman FEE160")</f>
        <v>General - Fuse Keramik Double 160A 690VAC Bussman FEE160</v>
      </c>
      <c r="G627" s="3">
        <f>IFERROR(__xludf.DUMMYFUNCTION("""COMPUTED_VALUE"""),10.0)</f>
        <v>10</v>
      </c>
      <c r="H627" s="3" t="str">
        <f>IFERROR(__xludf.DUMMYFUNCTION("""COMPUTED_VALUE"""),"Pcs")</f>
        <v>Pcs</v>
      </c>
      <c r="I627" s="3" t="str">
        <f>IFERROR(__xludf.DUMMYFUNCTION("""COMPUTED_VALUE"""),"Urgent ya dhil buat hot water")</f>
        <v>Urgent ya dhil buat hot water</v>
      </c>
      <c r="J627" s="3" t="str">
        <f>IFERROR(__xludf.DUMMYFUNCTION("""COMPUTED_VALUE"""),"P-53055-00")</f>
        <v>P-53055-00</v>
      </c>
      <c r="K627" s="3" t="str">
        <f>IFERROR(__xludf.DUMMYFUNCTION("""COMPUTED_VALUE"""),"Approve")</f>
        <v>Approve</v>
      </c>
      <c r="L627" s="3" t="str">
        <f>IFERROR(__xludf.DUMMYFUNCTION("""COMPUTED_VALUE"""),"Normal")</f>
        <v>Normal</v>
      </c>
      <c r="M627" s="3" t="str">
        <f>IFERROR(__xludf.DUMMYFUNCTION("""COMPUTED_VALUE"""),"Non Urgent")</f>
        <v>Non Urgent</v>
      </c>
    </row>
    <row r="628">
      <c r="A628" s="4">
        <f>IFERROR(__xludf.DUMMYFUNCTION("""COMPUTED_VALUE"""),46078.369425150464)</f>
        <v>46078.36943</v>
      </c>
      <c r="B628" s="3" t="str">
        <f>IFERROR(__xludf.DUMMYFUNCTION("""COMPUTED_VALUE"""),"RIARO0070")</f>
        <v>RIARO0070</v>
      </c>
      <c r="C628" s="3" t="str">
        <f>IFERROR(__xludf.DUMMYFUNCTION("""COMPUTED_VALUE"""),"EJO")</f>
        <v>EJO</v>
      </c>
      <c r="D628" s="3" t="str">
        <f>IFERROR(__xludf.DUMMYFUNCTION("""COMPUTED_VALUE"""),"-")</f>
        <v>-</v>
      </c>
      <c r="E628" s="3" t="str">
        <f>IFERROR(__xludf.DUMMYFUNCTION("""COMPUTED_VALUE"""),"Hot Water")</f>
        <v>Hot Water</v>
      </c>
      <c r="F628" s="3" t="str">
        <f>IFERROR(__xludf.DUMMYFUNCTION("""COMPUTED_VALUE"""),"Cat Pilox 109 - Black")</f>
        <v>Cat Pilox 109 - Black</v>
      </c>
      <c r="G628" s="3">
        <f>IFERROR(__xludf.DUMMYFUNCTION("""COMPUTED_VALUE"""),10.0)</f>
        <v>10</v>
      </c>
      <c r="H628" s="3" t="str">
        <f>IFERROR(__xludf.DUMMYFUNCTION("""COMPUTED_VALUE"""),"Pcs")</f>
        <v>Pcs</v>
      </c>
      <c r="I628" s="3" t="str">
        <f>IFERROR(__xludf.DUMMYFUNCTION("""COMPUTED_VALUE"""),"Buat Cat Flow Pipa")</f>
        <v>Buat Cat Flow Pipa</v>
      </c>
      <c r="J628" s="3" t="str">
        <f>IFERROR(__xludf.DUMMYFUNCTION("""COMPUTED_VALUE"""),"Q-60061-00")</f>
        <v>Q-60061-00</v>
      </c>
      <c r="K628" s="3" t="str">
        <f>IFERROR(__xludf.DUMMYFUNCTION("""COMPUTED_VALUE"""),"Approve")</f>
        <v>Approve</v>
      </c>
      <c r="L628" s="3" t="str">
        <f>IFERROR(__xludf.DUMMYFUNCTION("""COMPUTED_VALUE"""),"Normal")</f>
        <v>Normal</v>
      </c>
      <c r="M628" s="3" t="str">
        <f>IFERROR(__xludf.DUMMYFUNCTION("""COMPUTED_VALUE"""),"Non Urgent")</f>
        <v>Non Urgent</v>
      </c>
    </row>
    <row r="629">
      <c r="A629" s="4">
        <f>IFERROR(__xludf.DUMMYFUNCTION("""COMPUTED_VALUE"""),46078.68403574074)</f>
        <v>46078.68404</v>
      </c>
      <c r="B629" s="3" t="str">
        <f>IFERROR(__xludf.DUMMYFUNCTION("""COMPUTED_VALUE"""),"RIARO0071")</f>
        <v>RIARO0071</v>
      </c>
      <c r="C629" s="3" t="str">
        <f>IFERROR(__xludf.DUMMYFUNCTION("""COMPUTED_VALUE"""),"EJO")</f>
        <v>EJO</v>
      </c>
      <c r="D629" s="3" t="str">
        <f>IFERROR(__xludf.DUMMYFUNCTION("""COMPUTED_VALUE"""),"-")</f>
        <v>-</v>
      </c>
      <c r="E629" s="3" t="str">
        <f>IFERROR(__xludf.DUMMYFUNCTION("""COMPUTED_VALUE"""),"All Area")</f>
        <v>All Area</v>
      </c>
      <c r="F629" s="3" t="str">
        <f>IFERROR(__xludf.DUMMYFUNCTION("""COMPUTED_VALUE"""),"Cat Pilox 102 - White")</f>
        <v>Cat Pilox 102 - White</v>
      </c>
      <c r="G629" s="3">
        <f>IFERROR(__xludf.DUMMYFUNCTION("""COMPUTED_VALUE"""),15.0)</f>
        <v>15</v>
      </c>
      <c r="H629" s="3" t="str">
        <f>IFERROR(__xludf.DUMMYFUNCTION("""COMPUTED_VALUE"""),"Pcs")</f>
        <v>Pcs</v>
      </c>
      <c r="I629" s="3" t="str">
        <f>IFERROR(__xludf.DUMMYFUNCTION("""COMPUTED_VALUE"""),"Buat Cat Flow Pipa")</f>
        <v>Buat Cat Flow Pipa</v>
      </c>
      <c r="J629" s="3" t="str">
        <f>IFERROR(__xludf.DUMMYFUNCTION("""COMPUTED_VALUE"""),"Q-60063-00")</f>
        <v>Q-60063-00</v>
      </c>
      <c r="K629" s="3" t="str">
        <f>IFERROR(__xludf.DUMMYFUNCTION("""COMPUTED_VALUE"""),"Approve")</f>
        <v>Approve</v>
      </c>
      <c r="L629" s="3" t="str">
        <f>IFERROR(__xludf.DUMMYFUNCTION("""COMPUTED_VALUE"""),"Normal")</f>
        <v>Normal</v>
      </c>
      <c r="M629" s="3" t="str">
        <f>IFERROR(__xludf.DUMMYFUNCTION("""COMPUTED_VALUE"""),"Non Urgent")</f>
        <v>Non Urgent</v>
      </c>
    </row>
    <row r="630">
      <c r="A630" s="4">
        <f>IFERROR(__xludf.DUMMYFUNCTION("""COMPUTED_VALUE"""),46083.63185246528)</f>
        <v>46083.63185</v>
      </c>
      <c r="B630" s="3" t="str">
        <f>IFERROR(__xludf.DUMMYFUNCTION("""COMPUTED_VALUE"""),"ROSRO0025")</f>
        <v>ROSRO0025</v>
      </c>
      <c r="C630" s="3" t="str">
        <f>IFERROR(__xludf.DUMMYFUNCTION("""COMPUTED_VALUE"""),"MIn Stok")</f>
        <v>MIn Stok</v>
      </c>
      <c r="D630" s="3" t="str">
        <f>IFERROR(__xludf.DUMMYFUNCTION("""COMPUTED_VALUE"""),"-")</f>
        <v>-</v>
      </c>
      <c r="E630" s="3" t="str">
        <f>IFERROR(__xludf.DUMMYFUNCTION("""COMPUTED_VALUE"""),"-")</f>
        <v>-</v>
      </c>
      <c r="F630" s="3" t="str">
        <f>IFERROR(__xludf.DUMMYFUNCTION("""COMPUTED_VALUE"""),"General - Exhaust Fan 4414M; EBMPast; -; 1 pc")</f>
        <v>General - Exhaust Fan 4414M; EBMPast; -; 1 pc</v>
      </c>
      <c r="G630" s="3">
        <f>IFERROR(__xludf.DUMMYFUNCTION("""COMPUTED_VALUE"""),4.0)</f>
        <v>4</v>
      </c>
      <c r="H630" s="3" t="str">
        <f>IFERROR(__xludf.DUMMYFUNCTION("""COMPUTED_VALUE"""),"pcs")</f>
        <v>pcs</v>
      </c>
      <c r="I630" s="3" t="str">
        <f>IFERROR(__xludf.DUMMYFUNCTION("""COMPUTED_VALUE"""),"re stok")</f>
        <v>re stok</v>
      </c>
      <c r="J630" s="3" t="str">
        <f>IFERROR(__xludf.DUMMYFUNCTION("""COMPUTED_VALUE"""),"P-54348-00")</f>
        <v>P-54348-00</v>
      </c>
      <c r="K630" s="3" t="str">
        <f>IFERROR(__xludf.DUMMYFUNCTION("""COMPUTED_VALUE"""),"Approve")</f>
        <v>Approve</v>
      </c>
      <c r="L630" s="3" t="str">
        <f>IFERROR(__xludf.DUMMYFUNCTION("""COMPUTED_VALUE"""),"Normal")</f>
        <v>Normal</v>
      </c>
      <c r="M630" s="3" t="str">
        <f>IFERROR(__xludf.DUMMYFUNCTION("""COMPUTED_VALUE"""),"Non Urgent")</f>
        <v>Non Urgent</v>
      </c>
    </row>
    <row r="631">
      <c r="A631" s="4">
        <f>IFERROR(__xludf.DUMMYFUNCTION("""COMPUTED_VALUE"""),46086.599018912035)</f>
        <v>46086.59902</v>
      </c>
      <c r="B631" s="3" t="str">
        <f>IFERROR(__xludf.DUMMYFUNCTION("""COMPUTED_VALUE"""),"ROSRO0026")</f>
        <v>ROSRO0026</v>
      </c>
      <c r="C631" s="3" t="str">
        <f>IFERROR(__xludf.DUMMYFUNCTION("""COMPUTED_VALUE"""),"MIn Stok")</f>
        <v>MIn Stok</v>
      </c>
      <c r="D631" s="3" t="str">
        <f>IFERROR(__xludf.DUMMYFUNCTION("""COMPUTED_VALUE"""),"EJO/2026/03/84")</f>
        <v>EJO/2026/03/84</v>
      </c>
      <c r="E631" s="3" t="str">
        <f>IFERROR(__xludf.DUMMYFUNCTION("""COMPUTED_VALUE"""),"EF BSC 1")</f>
        <v>EF BSC 1</v>
      </c>
      <c r="F631" s="3" t="str">
        <f>IFERROR(__xludf.DUMMYFUNCTION("""COMPUTED_VALUE"""),"General - Exhaust Fan;Ebm-Papst;R3G190-RC05-03;")</f>
        <v>General - Exhaust Fan;Ebm-Papst;R3G190-RC05-03;</v>
      </c>
      <c r="G631" s="3">
        <f>IFERROR(__xludf.DUMMYFUNCTION("""COMPUTED_VALUE"""),2.0)</f>
        <v>2</v>
      </c>
      <c r="H631" s="3" t="str">
        <f>IFERROR(__xludf.DUMMYFUNCTION("""COMPUTED_VALUE"""),"pcs")</f>
        <v>pcs</v>
      </c>
      <c r="I631" s="3" t="str">
        <f>IFERROR(__xludf.DUMMYFUNCTION("""COMPUTED_VALUE"""),"untuk pergantian EF BSC 1 mati")</f>
        <v>untuk pergantian EF BSC 1 mati</v>
      </c>
      <c r="J631" s="3" t="str">
        <f>IFERROR(__xludf.DUMMYFUNCTION("""COMPUTED_VALUE"""),"O-53215-00")</f>
        <v>O-53215-00</v>
      </c>
      <c r="K631" s="3" t="str">
        <f>IFERROR(__xludf.DUMMYFUNCTION("""COMPUTED_VALUE"""),"Approve")</f>
        <v>Approve</v>
      </c>
      <c r="L631" s="3" t="str">
        <f>IFERROR(__xludf.DUMMYFUNCTION("""COMPUTED_VALUE"""),"Normal")</f>
        <v>Normal</v>
      </c>
      <c r="M631" s="3" t="str">
        <f>IFERROR(__xludf.DUMMYFUNCTION("""COMPUTED_VALUE"""),"Non Urgent")</f>
        <v>Non Urgent</v>
      </c>
    </row>
    <row r="632">
      <c r="A632" s="4">
        <f>IFERROR(__xludf.DUMMYFUNCTION("""COMPUTED_VALUE"""),46086.653820775464)</f>
        <v>46086.65382</v>
      </c>
      <c r="B632" s="3" t="str">
        <f>IFERROR(__xludf.DUMMYFUNCTION("""COMPUTED_VALUE"""),"NDSRO0018")</f>
        <v>NDSRO0018</v>
      </c>
      <c r="C632" s="3" t="str">
        <f>IFERROR(__xludf.DUMMYFUNCTION("""COMPUTED_VALUE"""),"MIn Stok")</f>
        <v>MIn Stok</v>
      </c>
      <c r="D632" s="3" t="str">
        <f>IFERROR(__xludf.DUMMYFUNCTION("""COMPUTED_VALUE"""),"-")</f>
        <v>-</v>
      </c>
      <c r="E632" s="3" t="str">
        <f>IFERROR(__xludf.DUMMYFUNCTION("""COMPUTED_VALUE"""),"Cartoning")</f>
        <v>Cartoning</v>
      </c>
      <c r="F632" s="3" t="str">
        <f>IFERROR(__xludf.DUMMYFUNCTION("""COMPUTED_VALUE"""),"MARCHESINI MA 255 - Conveyor belt Nastro transporto FNB-8E 1850 X 40 HA; Marchesini; C720718540 pc")</f>
        <v>MARCHESINI MA 255 - Conveyor belt Nastro transporto FNB-8E 1850 X 40 HA; Marchesini; C720718540 pc</v>
      </c>
      <c r="G632" s="3">
        <f>IFERROR(__xludf.DUMMYFUNCTION("""COMPUTED_VALUE"""),2.0)</f>
        <v>2</v>
      </c>
      <c r="H632" s="3" t="str">
        <f>IFERROR(__xludf.DUMMYFUNCTION("""COMPUTED_VALUE"""),"pcs")</f>
        <v>pcs</v>
      </c>
      <c r="I632" s="3" t="str">
        <f>IFERROR(__xludf.DUMMYFUNCTION("""COMPUTED_VALUE"""),"-")</f>
        <v>-</v>
      </c>
      <c r="J632" s="3" t="str">
        <f>IFERROR(__xludf.DUMMYFUNCTION("""COMPUTED_VALUE"""),"O-11762-00")</f>
        <v>O-11762-00</v>
      </c>
      <c r="K632" s="3" t="str">
        <f>IFERROR(__xludf.DUMMYFUNCTION("""COMPUTED_VALUE"""),"Approve")</f>
        <v>Approve</v>
      </c>
      <c r="L632" s="3" t="str">
        <f>IFERROR(__xludf.DUMMYFUNCTION("""COMPUTED_VALUE"""),"Normal")</f>
        <v>Normal</v>
      </c>
      <c r="M632" s="3" t="str">
        <f>IFERROR(__xludf.DUMMYFUNCTION("""COMPUTED_VALUE"""),"Non Urgent")</f>
        <v>Non Urgent</v>
      </c>
    </row>
    <row r="633">
      <c r="A633" s="4">
        <f>IFERROR(__xludf.DUMMYFUNCTION("""COMPUTED_VALUE"""),46086.654177048615)</f>
        <v>46086.65418</v>
      </c>
      <c r="B633" s="3" t="str">
        <f>IFERROR(__xludf.DUMMYFUNCTION("""COMPUTED_VALUE"""),"NDSRO0019")</f>
        <v>NDSRO0019</v>
      </c>
      <c r="C633" s="3" t="str">
        <f>IFERROR(__xludf.DUMMYFUNCTION("""COMPUTED_VALUE"""),"MIn Stok")</f>
        <v>MIn Stok</v>
      </c>
      <c r="D633" s="3" t="str">
        <f>IFERROR(__xludf.DUMMYFUNCTION("""COMPUTED_VALUE"""),"-")</f>
        <v>-</v>
      </c>
      <c r="E633" s="3" t="str">
        <f>IFERROR(__xludf.DUMMYFUNCTION("""COMPUTED_VALUE"""),"Cartoning")</f>
        <v>Cartoning</v>
      </c>
      <c r="F633" s="3" t="str">
        <f>IFERROR(__xludf.DUMMYFUNCTION("""COMPUTED_VALUE"""),"Marchesini MA255 Cartoning Machine - Conveyor Belt, PU White, 1380 x 40 x 1.6 mm; Custom/Lokal; -; 1 unt")</f>
        <v>Marchesini MA255 Cartoning Machine - Conveyor Belt, PU White, 1380 x 40 x 1.6 mm; Custom/Lokal; -; 1 unt</v>
      </c>
      <c r="G633" s="3">
        <f>IFERROR(__xludf.DUMMYFUNCTION("""COMPUTED_VALUE"""),2.0)</f>
        <v>2</v>
      </c>
      <c r="H633" s="3" t="str">
        <f>IFERROR(__xludf.DUMMYFUNCTION("""COMPUTED_VALUE"""),"pcs")</f>
        <v>pcs</v>
      </c>
      <c r="I633" s="3" t="str">
        <f>IFERROR(__xludf.DUMMYFUNCTION("""COMPUTED_VALUE"""),"-")</f>
        <v>-</v>
      </c>
      <c r="J633" s="3" t="str">
        <f>IFERROR(__xludf.DUMMYFUNCTION("""COMPUTED_VALUE"""),"O-11761-00")</f>
        <v>O-11761-00</v>
      </c>
      <c r="K633" s="3" t="str">
        <f>IFERROR(__xludf.DUMMYFUNCTION("""COMPUTED_VALUE"""),"Approve")</f>
        <v>Approve</v>
      </c>
      <c r="L633" s="3" t="str">
        <f>IFERROR(__xludf.DUMMYFUNCTION("""COMPUTED_VALUE"""),"Normal")</f>
        <v>Normal</v>
      </c>
      <c r="M633" s="3" t="str">
        <f>IFERROR(__xludf.DUMMYFUNCTION("""COMPUTED_VALUE"""),"Non Urgent")</f>
        <v>Non Urgent</v>
      </c>
    </row>
    <row r="634">
      <c r="A634" s="4">
        <f>IFERROR(__xludf.DUMMYFUNCTION("""COMPUTED_VALUE"""),46090.03408174769)</f>
        <v>46090.03408</v>
      </c>
      <c r="B634" s="3" t="str">
        <f>IFERROR(__xludf.DUMMYFUNCTION("""COMPUTED_VALUE"""),"MOBRO0078")</f>
        <v>MOBRO0078</v>
      </c>
      <c r="C634" s="3" t="str">
        <f>IFERROR(__xludf.DUMMYFUNCTION("""COMPUTED_VALUE"""),"Consumable")</f>
        <v>Consumable</v>
      </c>
      <c r="D634" s="3" t="str">
        <f>IFERROR(__xludf.DUMMYFUNCTION("""COMPUTED_VALUE"""),"-")</f>
        <v>-</v>
      </c>
      <c r="E634" s="3" t="str">
        <f>IFERROR(__xludf.DUMMYFUNCTION("""COMPUTED_VALUE"""),"Pneumatic Fitting")</f>
        <v>Pneumatic Fitting</v>
      </c>
      <c r="F634" s="3" t="str">
        <f>IFERROR(__xludf.DUMMYFUNCTION("""COMPUTED_VALUE"""),"General - Fitting QS 1/2 x 8 mm; EMC; -; 1 pc")</f>
        <v>General - Fitting QS 1/2 x 8 mm; EMC; -; 1 pc</v>
      </c>
      <c r="G634" s="3">
        <f>IFERROR(__xludf.DUMMYFUNCTION("""COMPUTED_VALUE"""),3.0)</f>
        <v>3</v>
      </c>
      <c r="H634" s="3" t="str">
        <f>IFERROR(__xludf.DUMMYFUNCTION("""COMPUTED_VALUE"""),"Pcs")</f>
        <v>Pcs</v>
      </c>
      <c r="I634" s="3" t="str">
        <f>IFERROR(__xludf.DUMMYFUNCTION("""COMPUTED_VALUE"""),"Consumable")</f>
        <v>Consumable</v>
      </c>
      <c r="J634" s="3" t="str">
        <f>IFERROR(__xludf.DUMMYFUNCTION("""COMPUTED_VALUE"""),"P-19233-00")</f>
        <v>P-19233-00</v>
      </c>
      <c r="K634" s="3" t="str">
        <f>IFERROR(__xludf.DUMMYFUNCTION("""COMPUTED_VALUE"""),"Approve")</f>
        <v>Approve</v>
      </c>
      <c r="L634" s="3" t="str">
        <f>IFERROR(__xludf.DUMMYFUNCTION("""COMPUTED_VALUE"""),"Normal")</f>
        <v>Normal</v>
      </c>
      <c r="M634" s="3" t="str">
        <f>IFERROR(__xludf.DUMMYFUNCTION("""COMPUTED_VALUE"""),"Non Urgent")</f>
        <v>Non Urgent</v>
      </c>
    </row>
    <row r="635">
      <c r="A635" s="4">
        <f>IFERROR(__xludf.DUMMYFUNCTION("""COMPUTED_VALUE"""),46090.03408174769)</f>
        <v>46090.03408</v>
      </c>
      <c r="B635" s="3" t="str">
        <f>IFERROR(__xludf.DUMMYFUNCTION("""COMPUTED_VALUE"""),"MOBRO0079")</f>
        <v>MOBRO0079</v>
      </c>
      <c r="C635" s="3" t="str">
        <f>IFERROR(__xludf.DUMMYFUNCTION("""COMPUTED_VALUE"""),"Consumable")</f>
        <v>Consumable</v>
      </c>
      <c r="D635" s="3" t="str">
        <f>IFERROR(__xludf.DUMMYFUNCTION("""COMPUTED_VALUE"""),"-")</f>
        <v>-</v>
      </c>
      <c r="E635" s="3" t="str">
        <f>IFERROR(__xludf.DUMMYFUNCTION("""COMPUTED_VALUE"""),"Pneumatic Fitting")</f>
        <v>Pneumatic Fitting</v>
      </c>
      <c r="F635" s="3" t="str">
        <f>IFERROR(__xludf.DUMMYFUNCTION("""COMPUTED_VALUE"""),"Pneumatic  Fitting - QS 1/2-10 / PN : 190646 / Festo")</f>
        <v>Pneumatic  Fitting - QS 1/2-10 / PN : 190646 / Festo</v>
      </c>
      <c r="G635" s="3">
        <f>IFERROR(__xludf.DUMMYFUNCTION("""COMPUTED_VALUE"""),3.0)</f>
        <v>3</v>
      </c>
      <c r="H635" s="3" t="str">
        <f>IFERROR(__xludf.DUMMYFUNCTION("""COMPUTED_VALUE"""),"Pcs")</f>
        <v>Pcs</v>
      </c>
      <c r="I635" s="3" t="str">
        <f>IFERROR(__xludf.DUMMYFUNCTION("""COMPUTED_VALUE"""),"Consumable (REJECT BY MFH KARENA ITEM INACTIVE DAN PN DARI FESTO TIDAK ADA) ")</f>
        <v>Consumable (REJECT BY MFH KARENA ITEM INACTIVE DAN PN DARI FESTO TIDAK ADA) </v>
      </c>
      <c r="J635" s="3" t="str">
        <f>IFERROR(__xludf.DUMMYFUNCTION("""COMPUTED_VALUE"""),"P-11164-00")</f>
        <v>P-11164-00</v>
      </c>
      <c r="K635" s="3" t="str">
        <f>IFERROR(__xludf.DUMMYFUNCTION("""COMPUTED_VALUE"""),"Reject")</f>
        <v>Reject</v>
      </c>
      <c r="L635" s="3" t="str">
        <f>IFERROR(__xludf.DUMMYFUNCTION("""COMPUTED_VALUE"""),"Normal")</f>
        <v>Normal</v>
      </c>
      <c r="M635" s="3" t="str">
        <f>IFERROR(__xludf.DUMMYFUNCTION("""COMPUTED_VALUE"""),"Non Urgent")</f>
        <v>Non Urgent</v>
      </c>
    </row>
    <row r="636">
      <c r="A636" s="4">
        <f>IFERROR(__xludf.DUMMYFUNCTION("""COMPUTED_VALUE"""),46090.572295000005)</f>
        <v>46090.5723</v>
      </c>
      <c r="B636" s="3" t="str">
        <f>IFERROR(__xludf.DUMMYFUNCTION("""COMPUTED_VALUE"""),"MRNRO0047")</f>
        <v>MRNRO0047</v>
      </c>
      <c r="C636" s="3" t="str">
        <f>IFERROR(__xludf.DUMMYFUNCTION("""COMPUTED_VALUE"""),"EJO")</f>
        <v>EJO</v>
      </c>
      <c r="D636" s="3" t="str">
        <f>IFERROR(__xludf.DUMMYFUNCTION("""COMPUTED_VALUE"""),"EJO/2026/02/85")</f>
        <v>EJO/2026/02/85</v>
      </c>
      <c r="E636" s="3" t="str">
        <f>IFERROR(__xludf.DUMMYFUNCTION("""COMPUTED_VALUE"""),"Pintu sandwich panel")</f>
        <v>Pintu sandwich panel</v>
      </c>
      <c r="F636" s="3" t="str">
        <f>IFERROR(__xludf.DUMMYFUNCTION("""COMPUTED_VALUE"""),"Door Closer TS 2000V Hold Open GEZE; ; ;")</f>
        <v>Door Closer TS 2000V Hold Open GEZE; ; ;</v>
      </c>
      <c r="G636" s="3">
        <f>IFERROR(__xludf.DUMMYFUNCTION("""COMPUTED_VALUE"""),3.0)</f>
        <v>3</v>
      </c>
      <c r="H636" s="3" t="str">
        <f>IFERROR(__xludf.DUMMYFUNCTION("""COMPUTED_VALUE"""),"pcs")</f>
        <v>pcs</v>
      </c>
      <c r="I636" s="3" t="str">
        <f>IFERROR(__xludf.DUMMYFUNCTION("""COMPUTED_VALUE"""),"Untuk pintu class C janitor")</f>
        <v>Untuk pintu class C janitor</v>
      </c>
      <c r="J636" s="3" t="str">
        <f>IFERROR(__xludf.DUMMYFUNCTION("""COMPUTED_VALUE"""),"Q-10550-00")</f>
        <v>Q-10550-00</v>
      </c>
      <c r="K636" s="3" t="str">
        <f>IFERROR(__xludf.DUMMYFUNCTION("""COMPUTED_VALUE"""),"Approve")</f>
        <v>Approve</v>
      </c>
      <c r="L636" s="3" t="str">
        <f>IFERROR(__xludf.DUMMYFUNCTION("""COMPUTED_VALUE"""),"Normal")</f>
        <v>Normal</v>
      </c>
      <c r="M636" s="3" t="str">
        <f>IFERROR(__xludf.DUMMYFUNCTION("""COMPUTED_VALUE"""),"Non Urgent")</f>
        <v>Non Urgent</v>
      </c>
    </row>
    <row r="637">
      <c r="A637" s="4">
        <f>IFERROR(__xludf.DUMMYFUNCTION("""COMPUTED_VALUE"""),46094.74010523148)</f>
        <v>46094.74011</v>
      </c>
      <c r="B637" s="3" t="str">
        <f>IFERROR(__xludf.DUMMYFUNCTION("""COMPUTED_VALUE"""),"SFHRO0040")</f>
        <v>SFHRO0040</v>
      </c>
      <c r="C637" s="3" t="str">
        <f>IFERROR(__xludf.DUMMYFUNCTION("""COMPUTED_VALUE"""),"MIn Stok")</f>
        <v>MIn Stok</v>
      </c>
      <c r="D637" s="3" t="str">
        <f>IFERROR(__xludf.DUMMYFUNCTION("""COMPUTED_VALUE"""),"EJO/2026/03/33")</f>
        <v>EJO/2026/03/33</v>
      </c>
      <c r="E637" s="3" t="str">
        <f>IFERROR(__xludf.DUMMYFUNCTION("""COMPUTED_VALUE"""),"lanttai 2")</f>
        <v>lanttai 2</v>
      </c>
      <c r="F637" s="3" t="str">
        <f>IFERROR(__xludf.DUMMYFUNCTION("""COMPUTED_VALUE"""),"Cat Durogloss DR-2000; Propan; Type Spiders Web 90YY 73/040; 0,9 L/can")</f>
        <v>Cat Durogloss DR-2000; Propan; Type Spiders Web 90YY 73/040; 0,9 L/can</v>
      </c>
      <c r="G637" s="3">
        <f>IFERROR(__xludf.DUMMYFUNCTION("""COMPUTED_VALUE"""),5.0)</f>
        <v>5</v>
      </c>
      <c r="H637" s="3" t="str">
        <f>IFERROR(__xludf.DUMMYFUNCTION("""COMPUTED_VALUE"""),"can")</f>
        <v>can</v>
      </c>
      <c r="I637" s="3" t="str">
        <f>IFERROR(__xludf.DUMMYFUNCTION("""COMPUTED_VALUE"""),"stock tinggal dikit lagi")</f>
        <v>stock tinggal dikit lagi</v>
      </c>
      <c r="J637" s="3" t="str">
        <f>IFERROR(__xludf.DUMMYFUNCTION("""COMPUTED_VALUE"""),"Q-60405-00")</f>
        <v>Q-60405-00</v>
      </c>
      <c r="K637" s="3" t="str">
        <f>IFERROR(__xludf.DUMMYFUNCTION("""COMPUTED_VALUE"""),"Approve")</f>
        <v>Approve</v>
      </c>
      <c r="L637" s="3" t="str">
        <f>IFERROR(__xludf.DUMMYFUNCTION("""COMPUTED_VALUE"""),"Normal")</f>
        <v>Normal</v>
      </c>
      <c r="M637" s="3" t="str">
        <f>IFERROR(__xludf.DUMMYFUNCTION("""COMPUTED_VALUE"""),"Non Urgent")</f>
        <v>Non Urgent</v>
      </c>
    </row>
    <row r="638">
      <c r="A638" s="4">
        <f>IFERROR(__xludf.DUMMYFUNCTION("""COMPUTED_VALUE"""),46107.57614774305)</f>
        <v>46107.57615</v>
      </c>
      <c r="B638" s="3" t="str">
        <f>IFERROR(__xludf.DUMMYFUNCTION("""COMPUTED_VALUE"""),"BDURO0007")</f>
        <v>BDURO0007</v>
      </c>
      <c r="C638" s="3" t="str">
        <f>IFERROR(__xludf.DUMMYFUNCTION("""COMPUTED_VALUE"""),"EJO")</f>
        <v>EJO</v>
      </c>
      <c r="D638" s="3" t="str">
        <f>IFERROR(__xludf.DUMMYFUNCTION("""COMPUTED_VALUE"""),"EJO Menyusul")</f>
        <v>EJO Menyusul</v>
      </c>
      <c r="E638" s="3" t="str">
        <f>IFERROR(__xludf.DUMMYFUNCTION("""COMPUTED_VALUE"""),"Mesin Labelling")</f>
        <v>Mesin Labelling</v>
      </c>
      <c r="F638" s="3" t="str">
        <f>IFERROR(__xludf.DUMMYFUNCTION("""COMPUTED_VALUE"""),"Autonics - Power Supply ? SPA-075-24 ? 24VDC 3.2A")</f>
        <v>Autonics - Power Supply ? SPA-075-24 ? 24VDC 3.2A</v>
      </c>
      <c r="G638" s="3">
        <f>IFERROR(__xludf.DUMMYFUNCTION("""COMPUTED_VALUE"""),1.0)</f>
        <v>1</v>
      </c>
      <c r="H638" s="3" t="str">
        <f>IFERROR(__xludf.DUMMYFUNCTION("""COMPUTED_VALUE"""),"pcs")</f>
        <v>pcs</v>
      </c>
      <c r="I638" s="3" t="str">
        <f>IFERROR(__xludf.DUMMYFUNCTION("""COMPUTED_VALUE"""),"untuk pemasangan tambahan kamera pada mesin labelloing")</f>
        <v>untuk pemasangan tambahan kamera pada mesin labelloing</v>
      </c>
      <c r="J638" s="3" t="str">
        <f>IFERROR(__xludf.DUMMYFUNCTION("""COMPUTED_VALUE"""),"P-51426-00")</f>
        <v>P-51426-00</v>
      </c>
      <c r="K638" s="3" t="str">
        <f>IFERROR(__xludf.DUMMYFUNCTION("""COMPUTED_VALUE"""),"Approve")</f>
        <v>Approve</v>
      </c>
      <c r="L638" s="3" t="str">
        <f>IFERROR(__xludf.DUMMYFUNCTION("""COMPUTED_VALUE"""),"Normal")</f>
        <v>Normal</v>
      </c>
      <c r="M638" s="3" t="str">
        <f>IFERROR(__xludf.DUMMYFUNCTION("""COMPUTED_VALUE"""),"Non Urgent")</f>
        <v>Non Urgent</v>
      </c>
    </row>
    <row r="639">
      <c r="A639" s="4">
        <f>IFERROR(__xludf.DUMMYFUNCTION("""COMPUTED_VALUE"""),46108.46200425926)</f>
        <v>46108.462</v>
      </c>
      <c r="B639" s="3" t="str">
        <f>IFERROR(__xludf.DUMMYFUNCTION("""COMPUTED_VALUE"""),"RIARO0072")</f>
        <v>RIARO0072</v>
      </c>
      <c r="C639" s="3" t="str">
        <f>IFERROR(__xludf.DUMMYFUNCTION("""COMPUTED_VALUE"""),"EJO")</f>
        <v>EJO</v>
      </c>
      <c r="D639" s="3" t="str">
        <f>IFERROR(__xludf.DUMMYFUNCTION("""COMPUTED_VALUE"""),"-")</f>
        <v>-</v>
      </c>
      <c r="E639" s="3" t="str">
        <f>IFERROR(__xludf.DUMMYFUNCTION("""COMPUTED_VALUE"""),"AHU")</f>
        <v>AHU</v>
      </c>
      <c r="F639" s="3" t="str">
        <f>IFERROR(__xludf.DUMMYFUNCTION("""COMPUTED_VALUE"""),"General - Bushing VAV dia. 24 x 26mm; Custom Agru Farma; -; 1 pc")</f>
        <v>General - Bushing VAV dia. 24 x 26mm; Custom Agru Farma; -; 1 pc</v>
      </c>
      <c r="G639" s="3">
        <f>IFERROR(__xludf.DUMMYFUNCTION("""COMPUTED_VALUE"""),50.0)</f>
        <v>50</v>
      </c>
      <c r="H639" s="3" t="str">
        <f>IFERROR(__xludf.DUMMYFUNCTION("""COMPUTED_VALUE"""),"Pcs")</f>
        <v>Pcs</v>
      </c>
      <c r="I639" s="3" t="str">
        <f>IFERROR(__xludf.DUMMYFUNCTION("""COMPUTED_VALUE"""),"Buat pasang semua VAV")</f>
        <v>Buat pasang semua VAV</v>
      </c>
      <c r="J639" s="3" t="str">
        <f>IFERROR(__xludf.DUMMYFUNCTION("""COMPUTED_VALUE"""),"P-19898-00")</f>
        <v>P-19898-00</v>
      </c>
      <c r="K639" s="3" t="str">
        <f>IFERROR(__xludf.DUMMYFUNCTION("""COMPUTED_VALUE"""),"Approve")</f>
        <v>Approve</v>
      </c>
      <c r="L639" s="3" t="str">
        <f>IFERROR(__xludf.DUMMYFUNCTION("""COMPUTED_VALUE"""),"Normal")</f>
        <v>Normal</v>
      </c>
      <c r="M639" s="3" t="str">
        <f>IFERROR(__xludf.DUMMYFUNCTION("""COMPUTED_VALUE"""),"Non Urgent")</f>
        <v>Non Urgent</v>
      </c>
    </row>
    <row r="640">
      <c r="A640" s="4">
        <f>IFERROR(__xludf.DUMMYFUNCTION("""COMPUTED_VALUE"""),46108.462365902786)</f>
        <v>46108.46237</v>
      </c>
      <c r="B640" s="3" t="str">
        <f>IFERROR(__xludf.DUMMYFUNCTION("""COMPUTED_VALUE"""),"RIARO0073")</f>
        <v>RIARO0073</v>
      </c>
      <c r="C640" s="3" t="str">
        <f>IFERROR(__xludf.DUMMYFUNCTION("""COMPUTED_VALUE"""),"EJO")</f>
        <v>EJO</v>
      </c>
      <c r="D640" s="3" t="str">
        <f>IFERROR(__xludf.DUMMYFUNCTION("""COMPUTED_VALUE"""),"-")</f>
        <v>-</v>
      </c>
      <c r="E640" s="3" t="str">
        <f>IFERROR(__xludf.DUMMYFUNCTION("""COMPUTED_VALUE"""),"WWTP")</f>
        <v>WWTP</v>
      </c>
      <c r="F640" s="3" t="str">
        <f>IFERROR(__xludf.DUMMYFUNCTION("""COMPUTED_VALUE"""),"General - Pelampung Air Radar Float Switch 2m; No Brand; -; 1 Pc")</f>
        <v>General - Pelampung Air Radar Float Switch 2m; No Brand; -; 1 Pc</v>
      </c>
      <c r="G640" s="3">
        <f>IFERROR(__xludf.DUMMYFUNCTION("""COMPUTED_VALUE"""),5.0)</f>
        <v>5</v>
      </c>
      <c r="H640" s="3" t="str">
        <f>IFERROR(__xludf.DUMMYFUNCTION("""COMPUTED_VALUE"""),"Pcs")</f>
        <v>Pcs</v>
      </c>
      <c r="I640" s="3" t="str">
        <f>IFERROR(__xludf.DUMMYFUNCTION("""COMPUTED_VALUE"""),"Buat alarm system wwtp")</f>
        <v>Buat alarm system wwtp</v>
      </c>
      <c r="J640" s="3" t="str">
        <f>IFERROR(__xludf.DUMMYFUNCTION("""COMPUTED_VALUE"""),"P-52664-00")</f>
        <v>P-52664-00</v>
      </c>
      <c r="K640" s="3" t="str">
        <f>IFERROR(__xludf.DUMMYFUNCTION("""COMPUTED_VALUE"""),"Approve")</f>
        <v>Approve</v>
      </c>
      <c r="L640" s="3" t="str">
        <f>IFERROR(__xludf.DUMMYFUNCTION("""COMPUTED_VALUE"""),"Normal")</f>
        <v>Normal</v>
      </c>
      <c r="M640" s="3" t="str">
        <f>IFERROR(__xludf.DUMMYFUNCTION("""COMPUTED_VALUE"""),"Non Urgent")</f>
        <v>Non Urgent</v>
      </c>
    </row>
    <row r="641">
      <c r="A641" s="4">
        <f>IFERROR(__xludf.DUMMYFUNCTION("""COMPUTED_VALUE"""),46108.653579641206)</f>
        <v>46108.65358</v>
      </c>
      <c r="B641" s="3" t="str">
        <f>IFERROR(__xludf.DUMMYFUNCTION("""COMPUTED_VALUE"""),"NDSRO0020")</f>
        <v>NDSRO0020</v>
      </c>
      <c r="C641" s="3" t="str">
        <f>IFERROR(__xludf.DUMMYFUNCTION("""COMPUTED_VALUE"""),"MIn Stok")</f>
        <v>MIn Stok</v>
      </c>
      <c r="D641" s="3" t="str">
        <f>IFERROR(__xludf.DUMMYFUNCTION("""COMPUTED_VALUE"""),"-")</f>
        <v>-</v>
      </c>
      <c r="E641" s="3" t="str">
        <f>IFERROR(__xludf.DUMMYFUNCTION("""COMPUTED_VALUE"""),"GMP Washer")</f>
        <v>GMP Washer</v>
      </c>
      <c r="F641" s="3" t="str">
        <f>IFERROR(__xludf.DUMMYFUNCTION("""COMPUTED_VALUE"""),"GMP Washer - Pressure Switch0-0.25 Bar 0.045 Bar PSA-31 (0.045 Bar) Wika p/n:014032")</f>
        <v>GMP Washer - Pressure Switch0-0.25 Bar 0.045 Bar PSA-31 (0.045 Bar) Wika p/n:014032</v>
      </c>
      <c r="G641" s="3">
        <f>IFERROR(__xludf.DUMMYFUNCTION("""COMPUTED_VALUE"""),1.0)</f>
        <v>1</v>
      </c>
      <c r="H641" s="3" t="str">
        <f>IFERROR(__xludf.DUMMYFUNCTION("""COMPUTED_VALUE"""),"pcs")</f>
        <v>pcs</v>
      </c>
      <c r="I641" s="3" t="str">
        <f>IFERROR(__xludf.DUMMYFUNCTION("""COMPUTED_VALUE"""),"Spare")</f>
        <v>Spare</v>
      </c>
      <c r="J641" s="3" t="str">
        <f>IFERROR(__xludf.DUMMYFUNCTION("""COMPUTED_VALUE"""),"O-52145-00")</f>
        <v>O-52145-00</v>
      </c>
      <c r="K641" s="3" t="str">
        <f>IFERROR(__xludf.DUMMYFUNCTION("""COMPUTED_VALUE"""),"Approve")</f>
        <v>Approve</v>
      </c>
      <c r="L641" s="3" t="str">
        <f>IFERROR(__xludf.DUMMYFUNCTION("""COMPUTED_VALUE"""),"Normal")</f>
        <v>Normal</v>
      </c>
      <c r="M641" s="3" t="str">
        <f>IFERROR(__xludf.DUMMYFUNCTION("""COMPUTED_VALUE"""),"Non Urgent")</f>
        <v>Non Urgent</v>
      </c>
    </row>
    <row r="642">
      <c r="A642" s="4">
        <f>IFERROR(__xludf.DUMMYFUNCTION("""COMPUTED_VALUE"""),46111.60980003472)</f>
        <v>46111.6098</v>
      </c>
      <c r="B642" s="3" t="str">
        <f>IFERROR(__xludf.DUMMYFUNCTION("""COMPUTED_VALUE"""),"MOBRO0080")</f>
        <v>MOBRO0080</v>
      </c>
      <c r="C642" s="3" t="str">
        <f>IFERROR(__xludf.DUMMYFUNCTION("""COMPUTED_VALUE"""),"Consumable")</f>
        <v>Consumable</v>
      </c>
      <c r="D642" s="3" t="str">
        <f>IFERROR(__xludf.DUMMYFUNCTION("""COMPUTED_VALUE"""),"-")</f>
        <v>-</v>
      </c>
      <c r="E642" s="3" t="str">
        <f>IFERROR(__xludf.DUMMYFUNCTION("""COMPUTED_VALUE"""),"Pneumatic Equipment")</f>
        <v>Pneumatic Equipment</v>
      </c>
      <c r="F642" s="3" t="str">
        <f>IFERROR(__xludf.DUMMYFUNCTION("""COMPUTED_VALUE"""),"SMC - Pressure Filter Regulator Manual Drain AW30-03BG-A; ; ;")</f>
        <v>SMC - Pressure Filter Regulator Manual Drain AW30-03BG-A; ; ;</v>
      </c>
      <c r="G642" s="3">
        <f>IFERROR(__xludf.DUMMYFUNCTION("""COMPUTED_VALUE"""),2.0)</f>
        <v>2</v>
      </c>
      <c r="H642" s="3" t="str">
        <f>IFERROR(__xludf.DUMMYFUNCTION("""COMPUTED_VALUE"""),"Pcs")</f>
        <v>Pcs</v>
      </c>
      <c r="I642" s="3" t="str">
        <f>IFERROR(__xludf.DUMMYFUNCTION("""COMPUTED_VALUE"""),"Project QC")</f>
        <v>Project QC</v>
      </c>
      <c r="J642" s="3" t="str">
        <f>IFERROR(__xludf.DUMMYFUNCTION("""COMPUTED_VALUE"""),"P-15833-00")</f>
        <v>P-15833-00</v>
      </c>
      <c r="K642" s="3" t="str">
        <f>IFERROR(__xludf.DUMMYFUNCTION("""COMPUTED_VALUE"""),"Approve")</f>
        <v>Approve</v>
      </c>
      <c r="L642" s="3" t="str">
        <f>IFERROR(__xludf.DUMMYFUNCTION("""COMPUTED_VALUE"""),"Normal")</f>
        <v>Normal</v>
      </c>
      <c r="M642" s="3" t="str">
        <f>IFERROR(__xludf.DUMMYFUNCTION("""COMPUTED_VALUE"""),"Non Urgent")</f>
        <v>Non Urgent</v>
      </c>
    </row>
    <row r="643">
      <c r="A643" s="4">
        <f>IFERROR(__xludf.DUMMYFUNCTION("""COMPUTED_VALUE"""),46112.612267129625)</f>
        <v>46112.61227</v>
      </c>
      <c r="B643" s="3" t="str">
        <f>IFERROR(__xludf.DUMMYFUNCTION("""COMPUTED_VALUE"""),"MOBRO0081")</f>
        <v>MOBRO0081</v>
      </c>
      <c r="C643" s="3" t="str">
        <f>IFERROR(__xludf.DUMMYFUNCTION("""COMPUTED_VALUE"""),"EJO")</f>
        <v>EJO</v>
      </c>
      <c r="D643" s="3" t="str">
        <f>IFERROR(__xludf.DUMMYFUNCTION("""COMPUTED_VALUE"""),"2026/04/022")</f>
        <v>2026/04/022</v>
      </c>
      <c r="E643" s="3" t="str">
        <f>IFERROR(__xludf.DUMMYFUNCTION("""COMPUTED_VALUE"""),"PSG")</f>
        <v>PSG</v>
      </c>
      <c r="F643" s="3" t="str">
        <f>IFERROR(__xludf.DUMMYFUNCTION("""COMPUTED_VALUE"""),"General - Gate Valve 1/2inch; Kitz; -; 1 pc")</f>
        <v>General - Gate Valve 1/2inch; Kitz; -; 1 pc</v>
      </c>
      <c r="G643" s="3">
        <f>IFERROR(__xludf.DUMMYFUNCTION("""COMPUTED_VALUE"""),3.0)</f>
        <v>3</v>
      </c>
      <c r="H643" s="3" t="str">
        <f>IFERROR(__xludf.DUMMYFUNCTION("""COMPUTED_VALUE"""),"Pcs")</f>
        <v>Pcs</v>
      </c>
      <c r="I643" s="3" t="str">
        <f>IFERROR(__xludf.DUMMYFUNCTION("""COMPUTED_VALUE"""),"Mainline condensate Bocor")</f>
        <v>Mainline condensate Bocor</v>
      </c>
      <c r="J643" s="3" t="str">
        <f>IFERROR(__xludf.DUMMYFUNCTION("""COMPUTED_VALUE"""),"P-14407-00")</f>
        <v>P-14407-00</v>
      </c>
      <c r="K643" s="3" t="str">
        <f>IFERROR(__xludf.DUMMYFUNCTION("""COMPUTED_VALUE"""),"Approve")</f>
        <v>Approve</v>
      </c>
      <c r="L643" s="3" t="str">
        <f>IFERROR(__xludf.DUMMYFUNCTION("""COMPUTED_VALUE"""),"Normal")</f>
        <v>Normal</v>
      </c>
      <c r="M643" s="3" t="str">
        <f>IFERROR(__xludf.DUMMYFUNCTION("""COMPUTED_VALUE"""),"Non Urgent")</f>
        <v>Non Urgent</v>
      </c>
    </row>
    <row r="644">
      <c r="A644" s="4">
        <f>IFERROR(__xludf.DUMMYFUNCTION("""COMPUTED_VALUE"""),46113.41679614583)</f>
        <v>46113.4168</v>
      </c>
      <c r="B644" s="3" t="str">
        <f>IFERROR(__xludf.DUMMYFUNCTION("""COMPUTED_VALUE"""),"MOBRO0082")</f>
        <v>MOBRO0082</v>
      </c>
      <c r="C644" s="3" t="str">
        <f>IFERROR(__xludf.DUMMYFUNCTION("""COMPUTED_VALUE"""),"MIn Stok")</f>
        <v>MIn Stok</v>
      </c>
      <c r="D644" s="3" t="str">
        <f>IFERROR(__xludf.DUMMYFUNCTION("""COMPUTED_VALUE"""),"-")</f>
        <v>-</v>
      </c>
      <c r="E644" s="3" t="str">
        <f>IFERROR(__xludf.DUMMYFUNCTION("""COMPUTED_VALUE"""),"Instalasi kabel")</f>
        <v>Instalasi kabel</v>
      </c>
      <c r="F644" s="3" t="str">
        <f>IFERROR(__xludf.DUMMYFUNCTION("""COMPUTED_VALUE"""),"General - Kabel NYYHY 3 x 1.5mm; SUPREME; -; 1 meter")</f>
        <v>General - Kabel NYYHY 3 x 1.5mm; SUPREME; -; 1 meter</v>
      </c>
      <c r="G644" s="3">
        <f>IFERROR(__xludf.DUMMYFUNCTION("""COMPUTED_VALUE"""),2.0)</f>
        <v>2</v>
      </c>
      <c r="H644" s="3" t="str">
        <f>IFERROR(__xludf.DUMMYFUNCTION("""COMPUTED_VALUE"""),"Roll")</f>
        <v>Roll</v>
      </c>
      <c r="I644" s="3" t="str">
        <f>IFERROR(__xludf.DUMMYFUNCTION("""COMPUTED_VALUE"""),"Project Tarik Kabel Power")</f>
        <v>Project Tarik Kabel Power</v>
      </c>
      <c r="J644" s="3" t="str">
        <f>IFERROR(__xludf.DUMMYFUNCTION("""COMPUTED_VALUE"""),"P-50286-00")</f>
        <v>P-50286-00</v>
      </c>
      <c r="K644" s="3" t="str">
        <f>IFERROR(__xludf.DUMMYFUNCTION("""COMPUTED_VALUE"""),"Approve")</f>
        <v>Approve</v>
      </c>
      <c r="L644" s="3" t="str">
        <f>IFERROR(__xludf.DUMMYFUNCTION("""COMPUTED_VALUE"""),"Normal")</f>
        <v>Normal</v>
      </c>
      <c r="M644" s="3" t="str">
        <f>IFERROR(__xludf.DUMMYFUNCTION("""COMPUTED_VALUE"""),"Non Urgent")</f>
        <v>Non Urgent</v>
      </c>
    </row>
    <row r="645">
      <c r="A645" s="4">
        <f>IFERROR(__xludf.DUMMYFUNCTION("""COMPUTED_VALUE"""),46114.73361101852)</f>
        <v>46114.73361</v>
      </c>
      <c r="B645" s="3" t="str">
        <f>IFERROR(__xludf.DUMMYFUNCTION("""COMPUTED_VALUE"""),"RIARO0074")</f>
        <v>RIARO0074</v>
      </c>
      <c r="C645" s="3" t="str">
        <f>IFERROR(__xludf.DUMMYFUNCTION("""COMPUTED_VALUE"""),"EJO")</f>
        <v>EJO</v>
      </c>
      <c r="D645" s="3" t="str">
        <f>IFERROR(__xludf.DUMMYFUNCTION("""COMPUTED_VALUE"""),"EJO/2026/04/017")</f>
        <v>EJO/2026/04/017</v>
      </c>
      <c r="E645" s="3" t="str">
        <f>IFERROR(__xludf.DUMMYFUNCTION("""COMPUTED_VALUE"""),"PWG")</f>
        <v>PWG</v>
      </c>
      <c r="F645" s="3" t="str">
        <f>IFERROR(__xludf.DUMMYFUNCTION("""COMPUTED_VALUE"""),"General - TU Polyurethane Tubing, TU1065C-100; SMC Pneumatics; -; 1 roll")</f>
        <v>General - TU Polyurethane Tubing, TU1065C-100; SMC Pneumatics; -; 1 roll</v>
      </c>
      <c r="G645" s="3">
        <f>IFERROR(__xludf.DUMMYFUNCTION("""COMPUTED_VALUE"""),30.0)</f>
        <v>30</v>
      </c>
      <c r="H645" s="3" t="str">
        <f>IFERROR(__xludf.DUMMYFUNCTION("""COMPUTED_VALUE"""),"Mtr")</f>
        <v>Mtr</v>
      </c>
      <c r="I645" s="3" t="str">
        <f>IFERROR(__xludf.DUMMYFUNCTION("""COMPUTED_VALUE"""),"Tubing size 10 mm Clear ya")</f>
        <v>Tubing size 10 mm Clear ya</v>
      </c>
      <c r="J645" s="3" t="str">
        <f>IFERROR(__xludf.DUMMYFUNCTION("""COMPUTED_VALUE"""),"O-12733-00")</f>
        <v>O-12733-00</v>
      </c>
      <c r="K645" s="3" t="str">
        <f>IFERROR(__xludf.DUMMYFUNCTION("""COMPUTED_VALUE"""),"Approve")</f>
        <v>Approve</v>
      </c>
      <c r="L645" s="3" t="str">
        <f>IFERROR(__xludf.DUMMYFUNCTION("""COMPUTED_VALUE"""),"Normal")</f>
        <v>Normal</v>
      </c>
      <c r="M645" s="3" t="str">
        <f>IFERROR(__xludf.DUMMYFUNCTION("""COMPUTED_VALUE"""),"Non Urgent")</f>
        <v>Non Urgent</v>
      </c>
    </row>
    <row r="646">
      <c r="A646" s="4">
        <f>IFERROR(__xludf.DUMMYFUNCTION("""COMPUTED_VALUE"""),46114.96947152778)</f>
        <v>46114.96947</v>
      </c>
      <c r="B646" s="3" t="str">
        <f>IFERROR(__xludf.DUMMYFUNCTION("""COMPUTED_VALUE"""),"RIARO0075")</f>
        <v>RIARO0075</v>
      </c>
      <c r="C646" s="3" t="str">
        <f>IFERROR(__xludf.DUMMYFUNCTION("""COMPUTED_VALUE"""),"EJO")</f>
        <v>EJO</v>
      </c>
      <c r="D646" s="3" t="str">
        <f>IFERROR(__xludf.DUMMYFUNCTION("""COMPUTED_VALUE"""),"EJO/2026/04/016")</f>
        <v>EJO/2026/04/016</v>
      </c>
      <c r="E646" s="3" t="str">
        <f>IFERROR(__xludf.DUMMYFUNCTION("""COMPUTED_VALUE"""),"WFI SKID")</f>
        <v>WFI SKID</v>
      </c>
      <c r="F646" s="3" t="str">
        <f>IFERROR(__xludf.DUMMYFUNCTION("""COMPUTED_VALUE"""),"Junction Box Plastik 12x12x10 cm; ; ;")</f>
        <v>Junction Box Plastik 12x12x10 cm; ; ;</v>
      </c>
      <c r="G646" s="3">
        <f>IFERROR(__xludf.DUMMYFUNCTION("""COMPUTED_VALUE"""),1.0)</f>
        <v>1</v>
      </c>
      <c r="H646" s="3" t="str">
        <f>IFERROR(__xludf.DUMMYFUNCTION("""COMPUTED_VALUE"""),"Pcs")</f>
        <v>Pcs</v>
      </c>
      <c r="I646" s="3" t="str">
        <f>IFERROR(__xludf.DUMMYFUNCTION("""COMPUTED_VALUE"""),"Control Heater Jackting Vent Filter WFI SKID")</f>
        <v>Control Heater Jackting Vent Filter WFI SKID</v>
      </c>
      <c r="J646" s="3" t="str">
        <f>IFERROR(__xludf.DUMMYFUNCTION("""COMPUTED_VALUE"""),"Q-10510-00")</f>
        <v>Q-10510-00</v>
      </c>
      <c r="K646" s="3" t="str">
        <f>IFERROR(__xludf.DUMMYFUNCTION("""COMPUTED_VALUE"""),"Approve")</f>
        <v>Approve</v>
      </c>
      <c r="L646" s="3" t="str">
        <f>IFERROR(__xludf.DUMMYFUNCTION("""COMPUTED_VALUE"""),"Normal")</f>
        <v>Normal</v>
      </c>
      <c r="M646" s="3" t="str">
        <f>IFERROR(__xludf.DUMMYFUNCTION("""COMPUTED_VALUE"""),"Non Urgent")</f>
        <v>Non Urgent</v>
      </c>
    </row>
    <row r="647">
      <c r="A647" s="4">
        <f>IFERROR(__xludf.DUMMYFUNCTION("""COMPUTED_VALUE"""),46114.969509525465)</f>
        <v>46114.96951</v>
      </c>
      <c r="B647" s="3" t="str">
        <f>IFERROR(__xludf.DUMMYFUNCTION("""COMPUTED_VALUE"""),"RIARO0078")</f>
        <v>RIARO0078</v>
      </c>
      <c r="C647" s="3" t="str">
        <f>IFERROR(__xludf.DUMMYFUNCTION("""COMPUTED_VALUE"""),"EJO")</f>
        <v>EJO</v>
      </c>
      <c r="D647" s="3" t="str">
        <f>IFERROR(__xludf.DUMMYFUNCTION("""COMPUTED_VALUE"""),"EJO/2026/04/016")</f>
        <v>EJO/2026/04/016</v>
      </c>
      <c r="E647" s="3" t="str">
        <f>IFERROR(__xludf.DUMMYFUNCTION("""COMPUTED_VALUE"""),"WFI SKID")</f>
        <v>WFI SKID</v>
      </c>
      <c r="F647" s="3" t="str">
        <f>IFERROR(__xludf.DUMMYFUNCTION("""COMPUTED_VALUE"""),"General - Temperature Controller TK4S- 14SN 100-240 VAC; Autonics; -; 1 pc")</f>
        <v>General - Temperature Controller TK4S- 14SN 100-240 VAC; Autonics; -; 1 pc</v>
      </c>
      <c r="G647" s="3">
        <f>IFERROR(__xludf.DUMMYFUNCTION("""COMPUTED_VALUE"""),1.0)</f>
        <v>1</v>
      </c>
      <c r="H647" s="3" t="str">
        <f>IFERROR(__xludf.DUMMYFUNCTION("""COMPUTED_VALUE"""),"Pcs")</f>
        <v>Pcs</v>
      </c>
      <c r="I647" s="3" t="str">
        <f>IFERROR(__xludf.DUMMYFUNCTION("""COMPUTED_VALUE"""),"Control Heater Jackting Vent Filter WFI SKID")</f>
        <v>Control Heater Jackting Vent Filter WFI SKID</v>
      </c>
      <c r="J647" s="3" t="str">
        <f>IFERROR(__xludf.DUMMYFUNCTION("""COMPUTED_VALUE"""),"P-52662-00")</f>
        <v>P-52662-00</v>
      </c>
      <c r="K647" s="3" t="str">
        <f>IFERROR(__xludf.DUMMYFUNCTION("""COMPUTED_VALUE"""),"Approve")</f>
        <v>Approve</v>
      </c>
      <c r="L647" s="3" t="str">
        <f>IFERROR(__xludf.DUMMYFUNCTION("""COMPUTED_VALUE"""),"Normal")</f>
        <v>Normal</v>
      </c>
      <c r="M647" s="3" t="str">
        <f>IFERROR(__xludf.DUMMYFUNCTION("""COMPUTED_VALUE"""),"Non Urgent")</f>
        <v>Non Urgent</v>
      </c>
    </row>
    <row r="648">
      <c r="A648" s="4">
        <f>IFERROR(__xludf.DUMMYFUNCTION("""COMPUTED_VALUE"""),46114.969539803235)</f>
        <v>46114.96954</v>
      </c>
      <c r="B648" s="3" t="str">
        <f>IFERROR(__xludf.DUMMYFUNCTION("""COMPUTED_VALUE"""),"RIARO0076")</f>
        <v>RIARO0076</v>
      </c>
      <c r="C648" s="3" t="str">
        <f>IFERROR(__xludf.DUMMYFUNCTION("""COMPUTED_VALUE"""),"EJO")</f>
        <v>EJO</v>
      </c>
      <c r="D648" s="3" t="str">
        <f>IFERROR(__xludf.DUMMYFUNCTION("""COMPUTED_VALUE"""),"EJO/2026/04/016")</f>
        <v>EJO/2026/04/016</v>
      </c>
      <c r="E648" s="3" t="str">
        <f>IFERROR(__xludf.DUMMYFUNCTION("""COMPUTED_VALUE"""),"WFI SKID")</f>
        <v>WFI SKID</v>
      </c>
      <c r="F648" s="3" t="str">
        <f>IFERROR(__xludf.DUMMYFUNCTION("""COMPUTED_VALUE"""),"General - MCB 1 PHASE 10 AMPERE; Schneider; -; 1 Pc")</f>
        <v>General - MCB 1 PHASE 10 AMPERE; Schneider; -; 1 Pc</v>
      </c>
      <c r="G648" s="3">
        <f>IFERROR(__xludf.DUMMYFUNCTION("""COMPUTED_VALUE"""),1.0)</f>
        <v>1</v>
      </c>
      <c r="H648" s="3" t="str">
        <f>IFERROR(__xludf.DUMMYFUNCTION("""COMPUTED_VALUE"""),"Pcs")</f>
        <v>Pcs</v>
      </c>
      <c r="I648" s="3" t="str">
        <f>IFERROR(__xludf.DUMMYFUNCTION("""COMPUTED_VALUE"""),"Control Heater Jackting Vent Filter WFI SKID")</f>
        <v>Control Heater Jackting Vent Filter WFI SKID</v>
      </c>
      <c r="J648" s="3" t="str">
        <f>IFERROR(__xludf.DUMMYFUNCTION("""COMPUTED_VALUE"""),"O-54006-00")</f>
        <v>O-54006-00</v>
      </c>
      <c r="K648" s="3" t="str">
        <f>IFERROR(__xludf.DUMMYFUNCTION("""COMPUTED_VALUE"""),"Approve")</f>
        <v>Approve</v>
      </c>
      <c r="L648" s="3" t="str">
        <f>IFERROR(__xludf.DUMMYFUNCTION("""COMPUTED_VALUE"""),"Normal")</f>
        <v>Normal</v>
      </c>
      <c r="M648" s="3" t="str">
        <f>IFERROR(__xludf.DUMMYFUNCTION("""COMPUTED_VALUE"""),"Non Urgent")</f>
        <v>Non Urgent</v>
      </c>
    </row>
    <row r="649">
      <c r="A649" s="4">
        <f>IFERROR(__xludf.DUMMYFUNCTION("""COMPUTED_VALUE"""),46114.969555532414)</f>
        <v>46114.96956</v>
      </c>
      <c r="B649" s="3" t="str">
        <f>IFERROR(__xludf.DUMMYFUNCTION("""COMPUTED_VALUE"""),"RIARO0077")</f>
        <v>RIARO0077</v>
      </c>
      <c r="C649" s="3" t="str">
        <f>IFERROR(__xludf.DUMMYFUNCTION("""COMPUTED_VALUE"""),"EJO")</f>
        <v>EJO</v>
      </c>
      <c r="D649" s="3" t="str">
        <f>IFERROR(__xludf.DUMMYFUNCTION("""COMPUTED_VALUE"""),"EJO/2026/04/016")</f>
        <v>EJO/2026/04/016</v>
      </c>
      <c r="E649" s="3" t="str">
        <f>IFERROR(__xludf.DUMMYFUNCTION("""COMPUTED_VALUE"""),"WFI SKID")</f>
        <v>WFI SKID</v>
      </c>
      <c r="F649" s="3" t="str">
        <f>IFERROR(__xludf.DUMMYFUNCTION("""COMPUTED_VALUE"""),"Solid State Relay SSR-150A 480VAC 3-32Vdc MaxWell")</f>
        <v>Solid State Relay SSR-150A 480VAC 3-32Vdc MaxWell</v>
      </c>
      <c r="G649" s="3">
        <f>IFERROR(__xludf.DUMMYFUNCTION("""COMPUTED_VALUE"""),1.0)</f>
        <v>1</v>
      </c>
      <c r="H649" s="3" t="str">
        <f>IFERROR(__xludf.DUMMYFUNCTION("""COMPUTED_VALUE"""),"Pcs")</f>
        <v>Pcs</v>
      </c>
      <c r="I649" s="3" t="str">
        <f>IFERROR(__xludf.DUMMYFUNCTION("""COMPUTED_VALUE"""),"Control Heater Jackting Vent Filter WFI SKID (REJECT BY MFH KARENA SPEK KEGEDEAN)")</f>
        <v>Control Heater Jackting Vent Filter WFI SKID (REJECT BY MFH KARENA SPEK KEGEDEAN)</v>
      </c>
      <c r="J649" s="3" t="str">
        <f>IFERROR(__xludf.DUMMYFUNCTION("""COMPUTED_VALUE"""),"P-52208-00")</f>
        <v>P-52208-00</v>
      </c>
      <c r="K649" s="3" t="str">
        <f>IFERROR(__xludf.DUMMYFUNCTION("""COMPUTED_VALUE"""),"Reject")</f>
        <v>Reject</v>
      </c>
      <c r="L649" s="3" t="str">
        <f>IFERROR(__xludf.DUMMYFUNCTION("""COMPUTED_VALUE"""),"Normal")</f>
        <v>Normal</v>
      </c>
      <c r="M649" s="3" t="str">
        <f>IFERROR(__xludf.DUMMYFUNCTION("""COMPUTED_VALUE"""),"Non Urgent")</f>
        <v>Non Urgent</v>
      </c>
    </row>
    <row r="650">
      <c r="A650" s="4">
        <f>IFERROR(__xludf.DUMMYFUNCTION("""COMPUTED_VALUE"""),46114.97291055556)</f>
        <v>46114.97291</v>
      </c>
      <c r="B650" s="3" t="str">
        <f>IFERROR(__xludf.DUMMYFUNCTION("""COMPUTED_VALUE"""),"RIARO0079")</f>
        <v>RIARO0079</v>
      </c>
      <c r="C650" s="3" t="str">
        <f>IFERROR(__xludf.DUMMYFUNCTION("""COMPUTED_VALUE"""),"EJO")</f>
        <v>EJO</v>
      </c>
      <c r="D650" s="3" t="str">
        <f>IFERROR(__xludf.DUMMYFUNCTION("""COMPUTED_VALUE"""),"EJO/2026/04/016")</f>
        <v>EJO/2026/04/016</v>
      </c>
      <c r="E650" s="3" t="str">
        <f>IFERROR(__xludf.DUMMYFUNCTION("""COMPUTED_VALUE"""),"WFI SKID")</f>
        <v>WFI SKID</v>
      </c>
      <c r="F650" s="3" t="str">
        <f>IFERROR(__xludf.DUMMYFUNCTION("""COMPUTED_VALUE"""),"General - Thermocouple TW-N (PT100), Dia.: 6.4*30L*2M*PT1/8; Autonics; A04209; 1 pc")</f>
        <v>General - Thermocouple TW-N (PT100), Dia.: 6.4*30L*2M*PT1/8; Autonics; A04209; 1 pc</v>
      </c>
      <c r="G650" s="3">
        <f>IFERROR(__xludf.DUMMYFUNCTION("""COMPUTED_VALUE"""),1.0)</f>
        <v>1</v>
      </c>
      <c r="H650" s="3" t="str">
        <f>IFERROR(__xludf.DUMMYFUNCTION("""COMPUTED_VALUE"""),"Pcs")</f>
        <v>Pcs</v>
      </c>
      <c r="I650" s="3" t="str">
        <f>IFERROR(__xludf.DUMMYFUNCTION("""COMPUTED_VALUE"""),"Control Heater Jackting Vent Filter WFI SKID")</f>
        <v>Control Heater Jackting Vent Filter WFI SKID</v>
      </c>
      <c r="J650" s="3" t="str">
        <f>IFERROR(__xludf.DUMMYFUNCTION("""COMPUTED_VALUE"""),"P-54402-00")</f>
        <v>P-54402-00</v>
      </c>
      <c r="K650" s="3" t="str">
        <f>IFERROR(__xludf.DUMMYFUNCTION("""COMPUTED_VALUE"""),"Approve")</f>
        <v>Approve</v>
      </c>
      <c r="L650" s="3" t="str">
        <f>IFERROR(__xludf.DUMMYFUNCTION("""COMPUTED_VALUE"""),"Normal")</f>
        <v>Normal</v>
      </c>
      <c r="M650" s="3" t="str">
        <f>IFERROR(__xludf.DUMMYFUNCTION("""COMPUTED_VALUE"""),"Non Urgent")</f>
        <v>Non Urgent</v>
      </c>
    </row>
    <row r="651">
      <c r="A651" s="4">
        <f>IFERROR(__xludf.DUMMYFUNCTION("""COMPUTED_VALUE"""),46118.68604018518)</f>
        <v>46118.68604</v>
      </c>
      <c r="B651" s="3" t="str">
        <f>IFERROR(__xludf.DUMMYFUNCTION("""COMPUTED_VALUE"""),"RIARO0080")</f>
        <v>RIARO0080</v>
      </c>
      <c r="C651" s="3" t="str">
        <f>IFERROR(__xludf.DUMMYFUNCTION("""COMPUTED_VALUE"""),"EJO")</f>
        <v>EJO</v>
      </c>
      <c r="D651" s="3" t="str">
        <f>IFERROR(__xludf.DUMMYFUNCTION("""COMPUTED_VALUE"""),"-")</f>
        <v>-</v>
      </c>
      <c r="E651" s="3" t="str">
        <f>IFERROR(__xludf.DUMMYFUNCTION("""COMPUTED_VALUE"""),"AHU")</f>
        <v>AHU</v>
      </c>
      <c r="F651" s="3" t="str">
        <f>IFERROR(__xludf.DUMMYFUNCTION("""COMPUTED_VALUE"""),"General - Chemical Cleaning; Kuclean; AC 101; 1 PL = 25 Kg")</f>
        <v>General - Chemical Cleaning; Kuclean; AC 101; 1 PL = 25 Kg</v>
      </c>
      <c r="G651" s="3">
        <f>IFERROR(__xludf.DUMMYFUNCTION("""COMPUTED_VALUE"""),3.0)</f>
        <v>3</v>
      </c>
      <c r="H651" s="3" t="str">
        <f>IFERROR(__xludf.DUMMYFUNCTION("""COMPUTED_VALUE"""),"Pcs")</f>
        <v>Pcs</v>
      </c>
      <c r="I651" s="3" t="str">
        <f>IFERROR(__xludf.DUMMYFUNCTION("""COMPUTED_VALUE"""),"Buat Cleaning AHU")</f>
        <v>Buat Cleaning AHU</v>
      </c>
      <c r="J651" s="3" t="str">
        <f>IFERROR(__xludf.DUMMYFUNCTION("""COMPUTED_VALUE"""),"P-19434-00")</f>
        <v>P-19434-00</v>
      </c>
      <c r="K651" s="3" t="str">
        <f>IFERROR(__xludf.DUMMYFUNCTION("""COMPUTED_VALUE"""),"Approve")</f>
        <v>Approve</v>
      </c>
      <c r="L651" s="3" t="str">
        <f>IFERROR(__xludf.DUMMYFUNCTION("""COMPUTED_VALUE"""),"Normal")</f>
        <v>Normal</v>
      </c>
      <c r="M651" s="3" t="str">
        <f>IFERROR(__xludf.DUMMYFUNCTION("""COMPUTED_VALUE"""),"Non Urgent")</f>
        <v>Non Urgent</v>
      </c>
    </row>
    <row r="652">
      <c r="A652" s="4">
        <f>IFERROR(__xludf.DUMMYFUNCTION("""COMPUTED_VALUE"""),46122.68146716435)</f>
        <v>46122.68147</v>
      </c>
      <c r="B652" s="3" t="str">
        <f>IFERROR(__xludf.DUMMYFUNCTION("""COMPUTED_VALUE"""),"RIARO0081")</f>
        <v>RIARO0081</v>
      </c>
      <c r="C652" s="3" t="str">
        <f>IFERROR(__xludf.DUMMYFUNCTION("""COMPUTED_VALUE"""),"EJO")</f>
        <v>EJO</v>
      </c>
      <c r="D652" s="3" t="str">
        <f>IFERROR(__xludf.DUMMYFUNCTION("""COMPUTED_VALUE"""),"-")</f>
        <v>-</v>
      </c>
      <c r="E652" s="3" t="str">
        <f>IFERROR(__xludf.DUMMYFUNCTION("""COMPUTED_VALUE"""),"WWTP")</f>
        <v>WWTP</v>
      </c>
      <c r="F652" s="3" t="str">
        <f>IFERROR(__xludf.DUMMYFUNCTION("""COMPUTED_VALUE"""),"General - Vertical Float Level Switch; Wingel; VSS-2FJ-S4-L720-FS45-HT; 1 Pc")</f>
        <v>General - Vertical Float Level Switch; Wingel; VSS-2FJ-S4-L720-FS45-HT; 1 Pc</v>
      </c>
      <c r="G652" s="3">
        <f>IFERROR(__xludf.DUMMYFUNCTION("""COMPUTED_VALUE"""),2.0)</f>
        <v>2</v>
      </c>
      <c r="H652" s="3" t="str">
        <f>IFERROR(__xludf.DUMMYFUNCTION("""COMPUTED_VALUE"""),"Pcs")</f>
        <v>Pcs</v>
      </c>
      <c r="I652" s="3" t="str">
        <f>IFERROR(__xludf.DUMMYFUNCTION("""COMPUTED_VALUE"""),"Level Sensor Buat Kondensat (REJECT BY MFH, KARENA ")</f>
        <v>Level Sensor Buat Kondensat (REJECT BY MFH, KARENA </v>
      </c>
      <c r="J652" s="3" t="str">
        <f>IFERROR(__xludf.DUMMYFUNCTION("""COMPUTED_VALUE"""),"P-54218-00")</f>
        <v>P-54218-00</v>
      </c>
      <c r="K652" s="3" t="str">
        <f>IFERROR(__xludf.DUMMYFUNCTION("""COMPUTED_VALUE"""),"Reject")</f>
        <v>Reject</v>
      </c>
      <c r="L652" s="3" t="str">
        <f>IFERROR(__xludf.DUMMYFUNCTION("""COMPUTED_VALUE"""),"Normal")</f>
        <v>Normal</v>
      </c>
      <c r="M652" s="3" t="str">
        <f>IFERROR(__xludf.DUMMYFUNCTION("""COMPUTED_VALUE"""),"Non Urgent")</f>
        <v>Non Urgent</v>
      </c>
    </row>
    <row r="653">
      <c r="A653" s="4">
        <f>IFERROR(__xludf.DUMMYFUNCTION("""COMPUTED_VALUE"""),46123.35638966435)</f>
        <v>46123.35639</v>
      </c>
      <c r="B653" s="3" t="str">
        <f>IFERROR(__xludf.DUMMYFUNCTION("""COMPUTED_VALUE"""),"NDSRO0021")</f>
        <v>NDSRO0021</v>
      </c>
      <c r="C653" s="3" t="str">
        <f>IFERROR(__xludf.DUMMYFUNCTION("""COMPUTED_VALUE"""),"MIn Stok")</f>
        <v>MIn Stok</v>
      </c>
      <c r="D653" s="3" t="str">
        <f>IFERROR(__xludf.DUMMYFUNCTION("""COMPUTED_VALUE"""),"-")</f>
        <v>-</v>
      </c>
      <c r="E653" s="3" t="str">
        <f>IFERROR(__xludf.DUMMYFUNCTION("""COMPUTED_VALUE"""),"Autoclave Lab")</f>
        <v>Autoclave Lab</v>
      </c>
      <c r="F653" s="3" t="str">
        <f>IFERROR(__xludf.DUMMYFUNCTION("""COMPUTED_VALUE"""),"Autoclave Fedegari FVA2/A1 NB2963AT - Level Transmitter code 15218 2m p/n: CD050024; ; ;")</f>
        <v>Autoclave Fedegari FVA2/A1 NB2963AT - Level Transmitter code 15218 2m p/n: CD050024; ; ;</v>
      </c>
      <c r="G653" s="3">
        <f>IFERROR(__xludf.DUMMYFUNCTION("""COMPUTED_VALUE"""),2.0)</f>
        <v>2</v>
      </c>
      <c r="H653" s="3" t="str">
        <f>IFERROR(__xludf.DUMMYFUNCTION("""COMPUTED_VALUE"""),"pcs")</f>
        <v>pcs</v>
      </c>
      <c r="I653" s="3" t="str">
        <f>IFERROR(__xludf.DUMMYFUNCTION("""COMPUTED_VALUE"""),"untuk spare, karena di sparepart stock habis")</f>
        <v>untuk spare, karena di sparepart stock habis</v>
      </c>
      <c r="J653" s="3" t="str">
        <f>IFERROR(__xludf.DUMMYFUNCTION("""COMPUTED_VALUE"""),"O-52210-00")</f>
        <v>O-52210-00</v>
      </c>
      <c r="K653" s="3" t="str">
        <f>IFERROR(__xludf.DUMMYFUNCTION("""COMPUTED_VALUE"""),"Approve")</f>
        <v>Approve</v>
      </c>
      <c r="L653" s="3" t="str">
        <f>IFERROR(__xludf.DUMMYFUNCTION("""COMPUTED_VALUE"""),"Normal")</f>
        <v>Normal</v>
      </c>
      <c r="M653" s="3" t="str">
        <f>IFERROR(__xludf.DUMMYFUNCTION("""COMPUTED_VALUE"""),"Non Urgent")</f>
        <v>Non Urgent</v>
      </c>
    </row>
    <row r="654">
      <c r="A654" s="4">
        <f>IFERROR(__xludf.DUMMYFUNCTION("""COMPUTED_VALUE"""),46126.834051770835)</f>
        <v>46126.83405</v>
      </c>
      <c r="B654" s="3" t="str">
        <f>IFERROR(__xludf.DUMMYFUNCTION("""COMPUTED_VALUE"""),"SFHRO0041")</f>
        <v>SFHRO0041</v>
      </c>
      <c r="C654" s="3" t="str">
        <f>IFERROR(__xludf.DUMMYFUNCTION("""COMPUTED_VALUE"""),"Consumable")</f>
        <v>Consumable</v>
      </c>
      <c r="D654" s="3" t="str">
        <f>IFERROR(__xludf.DUMMYFUNCTION("""COMPUTED_VALUE"""),"-")</f>
        <v>-</v>
      </c>
      <c r="E654" s="3" t="str">
        <f>IFERROR(__xludf.DUMMYFUNCTION("""COMPUTED_VALUE"""),"lantai 2")</f>
        <v>lantai 2</v>
      </c>
      <c r="F654" s="3" t="str">
        <f>IFERROR(__xludf.DUMMYFUNCTION("""COMPUTED_VALUE"""),"Kuas Cat Roller uk. 230 mm;No Brand;;pack size per set")</f>
        <v>Kuas Cat Roller uk. 230 mm;No Brand;;pack size per set</v>
      </c>
      <c r="G654" s="3">
        <f>IFERROR(__xludf.DUMMYFUNCTION("""COMPUTED_VALUE"""),10.0)</f>
        <v>10</v>
      </c>
      <c r="H654" s="3" t="str">
        <f>IFERROR(__xludf.DUMMYFUNCTION("""COMPUTED_VALUE"""),"pcs")</f>
        <v>pcs</v>
      </c>
      <c r="I654" s="3" t="str">
        <f>IFERROR(__xludf.DUMMYFUNCTION("""COMPUTED_VALUE"""),"stock habis")</f>
        <v>stock habis</v>
      </c>
      <c r="J654" s="3" t="str">
        <f>IFERROR(__xludf.DUMMYFUNCTION("""COMPUTED_VALUE"""),"Q-10154-00")</f>
        <v>Q-10154-00</v>
      </c>
      <c r="K654" s="3" t="str">
        <f>IFERROR(__xludf.DUMMYFUNCTION("""COMPUTED_VALUE"""),"Approve")</f>
        <v>Approve</v>
      </c>
      <c r="L654" s="3" t="str">
        <f>IFERROR(__xludf.DUMMYFUNCTION("""COMPUTED_VALUE"""),"Normal")</f>
        <v>Normal</v>
      </c>
      <c r="M654" s="3" t="str">
        <f>IFERROR(__xludf.DUMMYFUNCTION("""COMPUTED_VALUE"""),"Non Urgent")</f>
        <v>Non Urgent</v>
      </c>
    </row>
    <row r="655">
      <c r="A655" s="4">
        <f>IFERROR(__xludf.DUMMYFUNCTION("""COMPUTED_VALUE"""),46126.835104861115)</f>
        <v>46126.8351</v>
      </c>
      <c r="B655" s="3" t="str">
        <f>IFERROR(__xludf.DUMMYFUNCTION("""COMPUTED_VALUE"""),"SFHRO0042")</f>
        <v>SFHRO0042</v>
      </c>
      <c r="C655" s="3" t="str">
        <f>IFERROR(__xludf.DUMMYFUNCTION("""COMPUTED_VALUE"""),"Consumable")</f>
        <v>Consumable</v>
      </c>
      <c r="D655" s="3" t="str">
        <f>IFERROR(__xludf.DUMMYFUNCTION("""COMPUTED_VALUE"""),"-")</f>
        <v>-</v>
      </c>
      <c r="E655" s="3" t="str">
        <f>IFERROR(__xludf.DUMMYFUNCTION("""COMPUTED_VALUE"""),"lantai 2")</f>
        <v>lantai 2</v>
      </c>
      <c r="F655" s="3" t="str">
        <f>IFERROR(__xludf.DUMMYFUNCTION("""COMPUTED_VALUE"""),"Kuas Cat Roller uk. 110 mm;No Brand;;pack size per set")</f>
        <v>Kuas Cat Roller uk. 110 mm;No Brand;;pack size per set</v>
      </c>
      <c r="G655" s="3">
        <f>IFERROR(__xludf.DUMMYFUNCTION("""COMPUTED_VALUE"""),10.0)</f>
        <v>10</v>
      </c>
      <c r="H655" s="3" t="str">
        <f>IFERROR(__xludf.DUMMYFUNCTION("""COMPUTED_VALUE"""),"pcs")</f>
        <v>pcs</v>
      </c>
      <c r="I655" s="3" t="str">
        <f>IFERROR(__xludf.DUMMYFUNCTION("""COMPUTED_VALUE"""),"stock tinggal dikit lagi")</f>
        <v>stock tinggal dikit lagi</v>
      </c>
      <c r="J655" s="3" t="str">
        <f>IFERROR(__xludf.DUMMYFUNCTION("""COMPUTED_VALUE"""),"Q-10153-00")</f>
        <v>Q-10153-00</v>
      </c>
      <c r="K655" s="3" t="str">
        <f>IFERROR(__xludf.DUMMYFUNCTION("""COMPUTED_VALUE"""),"Approve")</f>
        <v>Approve</v>
      </c>
      <c r="L655" s="3" t="str">
        <f>IFERROR(__xludf.DUMMYFUNCTION("""COMPUTED_VALUE"""),"Normal")</f>
        <v>Normal</v>
      </c>
      <c r="M655" s="3" t="str">
        <f>IFERROR(__xludf.DUMMYFUNCTION("""COMPUTED_VALUE"""),"Non Urgent")</f>
        <v>Non Urgent</v>
      </c>
    </row>
    <row r="656">
      <c r="A656" s="4">
        <f>IFERROR(__xludf.DUMMYFUNCTION("""COMPUTED_VALUE"""),46126.83661381944)</f>
        <v>46126.83661</v>
      </c>
      <c r="B656" s="3" t="str">
        <f>IFERROR(__xludf.DUMMYFUNCTION("""COMPUTED_VALUE"""),"SFHRO0043")</f>
        <v>SFHRO0043</v>
      </c>
      <c r="C656" s="3" t="str">
        <f>IFERROR(__xludf.DUMMYFUNCTION("""COMPUTED_VALUE"""),"Consumable")</f>
        <v>Consumable</v>
      </c>
      <c r="D656" s="3" t="str">
        <f>IFERROR(__xludf.DUMMYFUNCTION("""COMPUTED_VALUE"""),"-")</f>
        <v>-</v>
      </c>
      <c r="E656" s="3" t="str">
        <f>IFERROR(__xludf.DUMMYFUNCTION("""COMPUTED_VALUE"""),"lantai 2")</f>
        <v>lantai 2</v>
      </c>
      <c r="F656" s="3" t="str">
        <f>IFERROR(__xludf.DUMMYFUNCTION("""COMPUTED_VALUE"""),"Semen MU 301 Plester Plus; ; ;")</f>
        <v>Semen MU 301 Plester Plus; ; ;</v>
      </c>
      <c r="G656" s="3">
        <f>IFERROR(__xludf.DUMMYFUNCTION("""COMPUTED_VALUE"""),40.0)</f>
        <v>40</v>
      </c>
      <c r="H656" s="3" t="str">
        <f>IFERROR(__xludf.DUMMYFUNCTION("""COMPUTED_VALUE"""),"kg")</f>
        <v>kg</v>
      </c>
      <c r="I656" s="3" t="str">
        <f>IFERROR(__xludf.DUMMYFUNCTION("""COMPUTED_VALUE"""),"-")</f>
        <v>-</v>
      </c>
      <c r="J656" s="3" t="str">
        <f>IFERROR(__xludf.DUMMYFUNCTION("""COMPUTED_VALUE"""),"Q-10724-00")</f>
        <v>Q-10724-00</v>
      </c>
      <c r="K656" s="3" t="str">
        <f>IFERROR(__xludf.DUMMYFUNCTION("""COMPUTED_VALUE"""),"Approve")</f>
        <v>Approve</v>
      </c>
      <c r="L656" s="3" t="str">
        <f>IFERROR(__xludf.DUMMYFUNCTION("""COMPUTED_VALUE"""),"Normal")</f>
        <v>Normal</v>
      </c>
      <c r="M656" s="3" t="str">
        <f>IFERROR(__xludf.DUMMYFUNCTION("""COMPUTED_VALUE"""),"Non Urgent")</f>
        <v>Non Urgent</v>
      </c>
    </row>
    <row r="657">
      <c r="A657" s="4">
        <f>IFERROR(__xludf.DUMMYFUNCTION("""COMPUTED_VALUE"""),46126.84634841434)</f>
        <v>46126.84635</v>
      </c>
      <c r="B657" s="3" t="str">
        <f>IFERROR(__xludf.DUMMYFUNCTION("""COMPUTED_VALUE"""),"SFHRO0044")</f>
        <v>SFHRO0044</v>
      </c>
      <c r="C657" s="3" t="str">
        <f>IFERROR(__xludf.DUMMYFUNCTION("""COMPUTED_VALUE"""),"Consumable")</f>
        <v>Consumable</v>
      </c>
      <c r="D657" s="3" t="str">
        <f>IFERROR(__xludf.DUMMYFUNCTION("""COMPUTED_VALUE"""),"-")</f>
        <v>-</v>
      </c>
      <c r="E657" s="3" t="str">
        <f>IFERROR(__xludf.DUMMYFUNCTION("""COMPUTED_VALUE"""),"lantai 2")</f>
        <v>lantai 2</v>
      </c>
      <c r="F657" s="3" t="str">
        <f>IFERROR(__xludf.DUMMYFUNCTION("""COMPUTED_VALUE"""),"Kuas Cat Uk. 3 inch;Eterna;Tipe 611;pack size per pcs")</f>
        <v>Kuas Cat Uk. 3 inch;Eterna;Tipe 611;pack size per pcs</v>
      </c>
      <c r="G657" s="3">
        <f>IFERROR(__xludf.DUMMYFUNCTION("""COMPUTED_VALUE"""),5.0)</f>
        <v>5</v>
      </c>
      <c r="H657" s="3" t="str">
        <f>IFERROR(__xludf.DUMMYFUNCTION("""COMPUTED_VALUE"""),"pcs")</f>
        <v>pcs</v>
      </c>
      <c r="I657" s="3" t="str">
        <f>IFERROR(__xludf.DUMMYFUNCTION("""COMPUTED_VALUE"""),"stock habis")</f>
        <v>stock habis</v>
      </c>
      <c r="J657" s="3" t="str">
        <f>IFERROR(__xludf.DUMMYFUNCTION("""COMPUTED_VALUE"""),"Q-10401-00")</f>
        <v>Q-10401-00</v>
      </c>
      <c r="K657" s="3" t="str">
        <f>IFERROR(__xludf.DUMMYFUNCTION("""COMPUTED_VALUE"""),"Approve")</f>
        <v>Approve</v>
      </c>
      <c r="L657" s="3" t="str">
        <f>IFERROR(__xludf.DUMMYFUNCTION("""COMPUTED_VALUE"""),"Normal")</f>
        <v>Normal</v>
      </c>
      <c r="M657" s="3" t="str">
        <f>IFERROR(__xludf.DUMMYFUNCTION("""COMPUTED_VALUE"""),"Non Urgent")</f>
        <v>Non Urgent</v>
      </c>
    </row>
    <row r="658">
      <c r="A658" s="4">
        <f>IFERROR(__xludf.DUMMYFUNCTION("""COMPUTED_VALUE"""),46133.18225651621)</f>
        <v>46133.18226</v>
      </c>
      <c r="B658" s="3" t="str">
        <f>IFERROR(__xludf.DUMMYFUNCTION("""COMPUTED_VALUE"""),"ROSRO0027")</f>
        <v>ROSRO0027</v>
      </c>
      <c r="C658" s="3" t="str">
        <f>IFERROR(__xludf.DUMMYFUNCTION("""COMPUTED_VALUE"""),"Consumable")</f>
        <v>Consumable</v>
      </c>
      <c r="D658" s="3" t="str">
        <f>IFERROR(__xludf.DUMMYFUNCTION("""COMPUTED_VALUE"""),"-")</f>
        <v>-</v>
      </c>
      <c r="E658" s="3" t="str">
        <f>IFERROR(__xludf.DUMMYFUNCTION("""COMPUTED_VALUE"""),"Autoclave")</f>
        <v>Autoclave</v>
      </c>
      <c r="F658" s="3" t="str">
        <f>IFERROR(__xludf.DUMMYFUNCTION("""COMPUTED_VALUE"""),"Autoclave Fedegari FVA2/A1 NB2963AT - KIT Ricambi Valv. DN10 ON-OFF FEDEGARI ASIA PTE LTD P/N : KS000025 pc")</f>
        <v>Autoclave Fedegari FVA2/A1 NB2963AT - KIT Ricambi Valv. DN10 ON-OFF FEDEGARI ASIA PTE LTD P/N : KS000025 pc</v>
      </c>
      <c r="G658" s="3">
        <f>IFERROR(__xludf.DUMMYFUNCTION("""COMPUTED_VALUE"""),10.0)</f>
        <v>10</v>
      </c>
      <c r="H658" s="3" t="str">
        <f>IFERROR(__xludf.DUMMYFUNCTION("""COMPUTED_VALUE"""),"pcs")</f>
        <v>pcs</v>
      </c>
      <c r="I658" s="3" t="str">
        <f>IFERROR(__xludf.DUMMYFUNCTION("""COMPUTED_VALUE"""),"-")</f>
        <v>-</v>
      </c>
      <c r="J658" s="3" t="str">
        <f>IFERROR(__xludf.DUMMYFUNCTION("""COMPUTED_VALUE"""),"O-16732-00")</f>
        <v>O-16732-00</v>
      </c>
      <c r="K658" s="3" t="str">
        <f>IFERROR(__xludf.DUMMYFUNCTION("""COMPUTED_VALUE"""),"Approve")</f>
        <v>Approve</v>
      </c>
      <c r="L658" s="3" t="str">
        <f>IFERROR(__xludf.DUMMYFUNCTION("""COMPUTED_VALUE"""),"Normal")</f>
        <v>Normal</v>
      </c>
      <c r="M658" s="3" t="str">
        <f>IFERROR(__xludf.DUMMYFUNCTION("""COMPUTED_VALUE"""),"Non Urgent")</f>
        <v>Non Urgent</v>
      </c>
    </row>
    <row r="659">
      <c r="A659" s="4">
        <f>IFERROR(__xludf.DUMMYFUNCTION("""COMPUTED_VALUE"""),46133.18225651621)</f>
        <v>46133.18226</v>
      </c>
      <c r="B659" s="3" t="str">
        <f>IFERROR(__xludf.DUMMYFUNCTION("""COMPUTED_VALUE"""),"ROSRO0028")</f>
        <v>ROSRO0028</v>
      </c>
      <c r="C659" s="3" t="str">
        <f>IFERROR(__xludf.DUMMYFUNCTION("""COMPUTED_VALUE"""),"Consumable")</f>
        <v>Consumable</v>
      </c>
      <c r="D659" s="3" t="str">
        <f>IFERROR(__xludf.DUMMYFUNCTION("""COMPUTED_VALUE"""),"-")</f>
        <v>-</v>
      </c>
      <c r="E659" s="3" t="str">
        <f>IFERROR(__xludf.DUMMYFUNCTION("""COMPUTED_VALUE"""),"Autoclave")</f>
        <v>Autoclave</v>
      </c>
      <c r="F659" s="3" t="str">
        <f>IFERROR(__xludf.DUMMYFUNCTION("""COMPUTED_VALUE"""),"Autoclave Fedegari FOF / 6 AC - Kit DN22 Valve Mod; p/n: KK000310; ; ;")</f>
        <v>Autoclave Fedegari FOF / 6 AC - Kit DN22 Valve Mod; p/n: KK000310; ; ;</v>
      </c>
      <c r="G659" s="3">
        <f>IFERROR(__xludf.DUMMYFUNCTION("""COMPUTED_VALUE"""),10.0)</f>
        <v>10</v>
      </c>
      <c r="H659" s="3" t="str">
        <f>IFERROR(__xludf.DUMMYFUNCTION("""COMPUTED_VALUE"""),"pcs")</f>
        <v>pcs</v>
      </c>
      <c r="I659" s="3" t="str">
        <f>IFERROR(__xludf.DUMMYFUNCTION("""COMPUTED_VALUE"""),"-")</f>
        <v>-</v>
      </c>
      <c r="J659" s="3" t="str">
        <f>IFERROR(__xludf.DUMMYFUNCTION("""COMPUTED_VALUE"""),"O-17376-00")</f>
        <v>O-17376-00</v>
      </c>
      <c r="K659" s="3" t="str">
        <f>IFERROR(__xludf.DUMMYFUNCTION("""COMPUTED_VALUE"""),"Approve")</f>
        <v>Approve</v>
      </c>
      <c r="L659" s="3" t="str">
        <f>IFERROR(__xludf.DUMMYFUNCTION("""COMPUTED_VALUE"""),"Normal")</f>
        <v>Normal</v>
      </c>
      <c r="M659" s="3" t="str">
        <f>IFERROR(__xludf.DUMMYFUNCTION("""COMPUTED_VALUE"""),"Non Urgent")</f>
        <v>Non Urgent</v>
      </c>
    </row>
    <row r="660">
      <c r="A660" s="4">
        <f>IFERROR(__xludf.DUMMYFUNCTION("""COMPUTED_VALUE"""),46133.18225651621)</f>
        <v>46133.18226</v>
      </c>
      <c r="B660" s="3" t="str">
        <f>IFERROR(__xludf.DUMMYFUNCTION("""COMPUTED_VALUE"""),"ROSRO0029")</f>
        <v>ROSRO0029</v>
      </c>
      <c r="C660" s="3" t="str">
        <f>IFERROR(__xludf.DUMMYFUNCTION("""COMPUTED_VALUE"""),"Consumable")</f>
        <v>Consumable</v>
      </c>
      <c r="D660" s="3" t="str">
        <f>IFERROR(__xludf.DUMMYFUNCTION("""COMPUTED_VALUE"""),"-")</f>
        <v>-</v>
      </c>
      <c r="E660" s="3" t="str">
        <f>IFERROR(__xludf.DUMMYFUNCTION("""COMPUTED_VALUE"""),"Autoclave")</f>
        <v>Autoclave</v>
      </c>
      <c r="F660" s="3" t="str">
        <f>IFERROR(__xludf.DUMMYFUNCTION("""COMPUTED_VALUE"""),"Autoclave Fedegari FOF / 6 AC - P/N. KK000304-KIT RICAMBI VALV.DN16 ON-OFF")</f>
        <v>Autoclave Fedegari FOF / 6 AC - P/N. KK000304-KIT RICAMBI VALV.DN16 ON-OFF</v>
      </c>
      <c r="G660" s="3">
        <f>IFERROR(__xludf.DUMMYFUNCTION("""COMPUTED_VALUE"""),10.0)</f>
        <v>10</v>
      </c>
      <c r="H660" s="3" t="str">
        <f>IFERROR(__xludf.DUMMYFUNCTION("""COMPUTED_VALUE"""),"pcs")</f>
        <v>pcs</v>
      </c>
      <c r="I660" s="3" t="str">
        <f>IFERROR(__xludf.DUMMYFUNCTION("""COMPUTED_VALUE"""),"-")</f>
        <v>-</v>
      </c>
      <c r="J660" s="3" t="str">
        <f>IFERROR(__xludf.DUMMYFUNCTION("""COMPUTED_VALUE"""),"O-50697-00")</f>
        <v>O-50697-00</v>
      </c>
      <c r="K660" s="3" t="str">
        <f>IFERROR(__xludf.DUMMYFUNCTION("""COMPUTED_VALUE"""),"Approve")</f>
        <v>Approve</v>
      </c>
      <c r="L660" s="3" t="str">
        <f>IFERROR(__xludf.DUMMYFUNCTION("""COMPUTED_VALUE"""),"Normal")</f>
        <v>Normal</v>
      </c>
      <c r="M660" s="3" t="str">
        <f>IFERROR(__xludf.DUMMYFUNCTION("""COMPUTED_VALUE"""),"Non Urgent")</f>
        <v>Non Urgent</v>
      </c>
    </row>
    <row r="661">
      <c r="A661" s="4">
        <f>IFERROR(__xludf.DUMMYFUNCTION("""COMPUTED_VALUE"""),46133.18225651621)</f>
        <v>46133.18226</v>
      </c>
      <c r="B661" s="3" t="str">
        <f>IFERROR(__xludf.DUMMYFUNCTION("""COMPUTED_VALUE"""),"ROSRO0030")</f>
        <v>ROSRO0030</v>
      </c>
      <c r="C661" s="3" t="str">
        <f>IFERROR(__xludf.DUMMYFUNCTION("""COMPUTED_VALUE"""),"Consumable")</f>
        <v>Consumable</v>
      </c>
      <c r="D661" s="3" t="str">
        <f>IFERROR(__xludf.DUMMYFUNCTION("""COMPUTED_VALUE"""),"-")</f>
        <v>-</v>
      </c>
      <c r="E661" s="3" t="str">
        <f>IFERROR(__xludf.DUMMYFUNCTION("""COMPUTED_VALUE"""),"Autoclave")</f>
        <v>Autoclave</v>
      </c>
      <c r="F661" s="3" t="str">
        <f>IFERROR(__xludf.DUMMYFUNCTION("""COMPUTED_VALUE"""),"Autoclave Fedegari FVA2/A1 NB2963AT - KIT Ricambi Valv. DN10 ON-OFF FEDEGARI ASIA PTE LTD P/N : KK000301 pc")</f>
        <v>Autoclave Fedegari FVA2/A1 NB2963AT - KIT Ricambi Valv. DN10 ON-OFF FEDEGARI ASIA PTE LTD P/N : KK000301 pc</v>
      </c>
      <c r="G661" s="3">
        <f>IFERROR(__xludf.DUMMYFUNCTION("""COMPUTED_VALUE"""),10.0)</f>
        <v>10</v>
      </c>
      <c r="H661" s="3" t="str">
        <f>IFERROR(__xludf.DUMMYFUNCTION("""COMPUTED_VALUE"""),"pcs")</f>
        <v>pcs</v>
      </c>
      <c r="I661" s="3" t="str">
        <f>IFERROR(__xludf.DUMMYFUNCTION("""COMPUTED_VALUE"""),"-")</f>
        <v>-</v>
      </c>
      <c r="J661" s="3" t="str">
        <f>IFERROR(__xludf.DUMMYFUNCTION("""COMPUTED_VALUE"""),"O-16731-00")</f>
        <v>O-16731-00</v>
      </c>
      <c r="K661" s="3" t="str">
        <f>IFERROR(__xludf.DUMMYFUNCTION("""COMPUTED_VALUE"""),"Approve")</f>
        <v>Approve</v>
      </c>
      <c r="L661" s="3" t="str">
        <f>IFERROR(__xludf.DUMMYFUNCTION("""COMPUTED_VALUE"""),"Normal")</f>
        <v>Normal</v>
      </c>
      <c r="M661" s="3" t="str">
        <f>IFERROR(__xludf.DUMMYFUNCTION("""COMPUTED_VALUE"""),"Non Urgent")</f>
        <v>Non Urgent</v>
      </c>
    </row>
    <row r="662">
      <c r="A662" s="4">
        <f>IFERROR(__xludf.DUMMYFUNCTION("""COMPUTED_VALUE"""),46134.586524317136)</f>
        <v>46134.58652</v>
      </c>
      <c r="B662" s="3" t="str">
        <f>IFERROR(__xludf.DUMMYFUNCTION("""COMPUTED_VALUE"""),"RIARO0082")</f>
        <v>RIARO0082</v>
      </c>
      <c r="C662" s="3" t="str">
        <f>IFERROR(__xludf.DUMMYFUNCTION("""COMPUTED_VALUE"""),"EJO")</f>
        <v>EJO</v>
      </c>
      <c r="D662" s="3" t="str">
        <f>IFERROR(__xludf.DUMMYFUNCTION("""COMPUTED_VALUE"""),"-")</f>
        <v>-</v>
      </c>
      <c r="E662" s="3" t="str">
        <f>IFERROR(__xludf.DUMMYFUNCTION("""COMPUTED_VALUE"""),"AHU C12")</f>
        <v>AHU C12</v>
      </c>
      <c r="F662" s="3" t="str">
        <f>IFERROR(__xludf.DUMMYFUNCTION("""COMPUTED_VALUE"""),"General - Heater Ducting Dia. 11.2 x 300mm 220V 5000W; No Brand; -; 1 Pc")</f>
        <v>General - Heater Ducting Dia. 11.2 x 300mm 220V 5000W; No Brand; -; 1 Pc</v>
      </c>
      <c r="G662" s="3">
        <f>IFERROR(__xludf.DUMMYFUNCTION("""COMPUTED_VALUE"""),3.0)</f>
        <v>3</v>
      </c>
      <c r="H662" s="3" t="str">
        <f>IFERROR(__xludf.DUMMYFUNCTION("""COMPUTED_VALUE"""),"Pcs")</f>
        <v>Pcs</v>
      </c>
      <c r="I662" s="3" t="str">
        <f>IFERROR(__xludf.DUMMYFUNCTION("""COMPUTED_VALUE"""),"AHU C12")</f>
        <v>AHU C12</v>
      </c>
      <c r="J662" s="3" t="str">
        <f>IFERROR(__xludf.DUMMYFUNCTION("""COMPUTED_VALUE"""),"P-52590-00")</f>
        <v>P-52590-00</v>
      </c>
      <c r="K662" s="3" t="str">
        <f>IFERROR(__xludf.DUMMYFUNCTION("""COMPUTED_VALUE"""),"Approve")</f>
        <v>Approve</v>
      </c>
      <c r="L662" s="3" t="str">
        <f>IFERROR(__xludf.DUMMYFUNCTION("""COMPUTED_VALUE"""),"Normal")</f>
        <v>Normal</v>
      </c>
      <c r="M662" s="3" t="str">
        <f>IFERROR(__xludf.DUMMYFUNCTION("""COMPUTED_VALUE"""),"Non Urgent")</f>
        <v>Non Urgent</v>
      </c>
    </row>
    <row r="663">
      <c r="A663" s="4">
        <f>IFERROR(__xludf.DUMMYFUNCTION("""COMPUTED_VALUE"""),46134.58727755787)</f>
        <v>46134.58728</v>
      </c>
      <c r="B663" s="3" t="str">
        <f>IFERROR(__xludf.DUMMYFUNCTION("""COMPUTED_VALUE"""),"RIARO0083")</f>
        <v>RIARO0083</v>
      </c>
      <c r="C663" s="3" t="str">
        <f>IFERROR(__xludf.DUMMYFUNCTION("""COMPUTED_VALUE"""),"EJO")</f>
        <v>EJO</v>
      </c>
      <c r="D663" s="3" t="str">
        <f>IFERROR(__xludf.DUMMYFUNCTION("""COMPUTED_VALUE"""),"-")</f>
        <v>-</v>
      </c>
      <c r="E663" s="3" t="str">
        <f>IFERROR(__xludf.DUMMYFUNCTION("""COMPUTED_VALUE"""),"All Area")</f>
        <v>All Area</v>
      </c>
      <c r="F663" s="3" t="str">
        <f>IFERROR(__xludf.DUMMYFUNCTION("""COMPUTED_VALUE"""),"General - Heat Sink untuk SSR; Fotex; -; 1 Pc")</f>
        <v>General - Heat Sink untuk SSR; Fotex; -; 1 Pc</v>
      </c>
      <c r="G663" s="3">
        <f>IFERROR(__xludf.DUMMYFUNCTION("""COMPUTED_VALUE"""),5.0)</f>
        <v>5</v>
      </c>
      <c r="H663" s="3" t="str">
        <f>IFERROR(__xludf.DUMMYFUNCTION("""COMPUTED_VALUE"""),"Pcs")</f>
        <v>Pcs</v>
      </c>
      <c r="I663" s="3" t="str">
        <f>IFERROR(__xludf.DUMMYFUNCTION("""COMPUTED_VALUE"""),"Untuk heatsink ssr")</f>
        <v>Untuk heatsink ssr</v>
      </c>
      <c r="J663" s="3" t="str">
        <f>IFERROR(__xludf.DUMMYFUNCTION("""COMPUTED_VALUE"""),"O-52878-00")</f>
        <v>O-52878-00</v>
      </c>
      <c r="K663" s="3" t="str">
        <f>IFERROR(__xludf.DUMMYFUNCTION("""COMPUTED_VALUE"""),"Approve")</f>
        <v>Approve</v>
      </c>
      <c r="L663" s="3" t="str">
        <f>IFERROR(__xludf.DUMMYFUNCTION("""COMPUTED_VALUE"""),"Normal")</f>
        <v>Normal</v>
      </c>
      <c r="M663" s="3" t="str">
        <f>IFERROR(__xludf.DUMMYFUNCTION("""COMPUTED_VALUE"""),"Non Urgent")</f>
        <v>Non Urgent</v>
      </c>
    </row>
    <row r="664">
      <c r="A664" s="4">
        <f>IFERROR(__xludf.DUMMYFUNCTION("""COMPUTED_VALUE"""),46134.589205752316)</f>
        <v>46134.58921</v>
      </c>
      <c r="B664" s="3" t="str">
        <f>IFERROR(__xludf.DUMMYFUNCTION("""COMPUTED_VALUE"""),"RIARO0084")</f>
        <v>RIARO0084</v>
      </c>
      <c r="C664" s="3" t="str">
        <f>IFERROR(__xludf.DUMMYFUNCTION("""COMPUTED_VALUE"""),"EJO")</f>
        <v>EJO</v>
      </c>
      <c r="D664" s="3" t="str">
        <f>IFERROR(__xludf.DUMMYFUNCTION("""COMPUTED_VALUE"""),"-")</f>
        <v>-</v>
      </c>
      <c r="E664" s="3" t="str">
        <f>IFERROR(__xludf.DUMMYFUNCTION("""COMPUTED_VALUE"""),"AHU C12")</f>
        <v>AHU C12</v>
      </c>
      <c r="F664" s="3" t="str">
        <f>IFERROR(__xludf.DUMMYFUNCTION("""COMPUTED_VALUE"""),"General - Solid State Relay 3-32 VDC - 330 VAC 25 A; Fotek; SSR 3-32; 1 Pc")</f>
        <v>General - Solid State Relay 3-32 VDC - 330 VAC 25 A; Fotek; SSR 3-32; 1 Pc</v>
      </c>
      <c r="G664" s="3">
        <f>IFERROR(__xludf.DUMMYFUNCTION("""COMPUTED_VALUE"""),5.0)</f>
        <v>5</v>
      </c>
      <c r="H664" s="3" t="str">
        <f>IFERROR(__xludf.DUMMYFUNCTION("""COMPUTED_VALUE"""),"Pcs")</f>
        <v>Pcs</v>
      </c>
      <c r="I664" s="3" t="str">
        <f>IFERROR(__xludf.DUMMYFUNCTION("""COMPUTED_VALUE"""),"Untuk heater c12")</f>
        <v>Untuk heater c12</v>
      </c>
      <c r="J664" s="3" t="str">
        <f>IFERROR(__xludf.DUMMYFUNCTION("""COMPUTED_VALUE"""),"O-51967-00")</f>
        <v>O-51967-00</v>
      </c>
      <c r="K664" s="3" t="str">
        <f>IFERROR(__xludf.DUMMYFUNCTION("""COMPUTED_VALUE"""),"Approve")</f>
        <v>Approve</v>
      </c>
      <c r="L664" s="3" t="str">
        <f>IFERROR(__xludf.DUMMYFUNCTION("""COMPUTED_VALUE"""),"Normal")</f>
        <v>Normal</v>
      </c>
      <c r="M664" s="3" t="str">
        <f>IFERROR(__xludf.DUMMYFUNCTION("""COMPUTED_VALUE"""),"Non Urgent")</f>
        <v>Non Urgent</v>
      </c>
    </row>
    <row r="665">
      <c r="A665" s="4">
        <f>IFERROR(__xludf.DUMMYFUNCTION("""COMPUTED_VALUE"""),46134.58922396991)</f>
        <v>46134.58922</v>
      </c>
      <c r="B665" s="3" t="str">
        <f>IFERROR(__xludf.DUMMYFUNCTION("""COMPUTED_VALUE"""),"RIARO0085")</f>
        <v>RIARO0085</v>
      </c>
      <c r="C665" s="3" t="str">
        <f>IFERROR(__xludf.DUMMYFUNCTION("""COMPUTED_VALUE"""),"EJO")</f>
        <v>EJO</v>
      </c>
      <c r="D665" s="3" t="str">
        <f>IFERROR(__xludf.DUMMYFUNCTION("""COMPUTED_VALUE"""),"-")</f>
        <v>-</v>
      </c>
      <c r="E665" s="3" t="str">
        <f>IFERROR(__xludf.DUMMYFUNCTION("""COMPUTED_VALUE"""),"AHU C12")</f>
        <v>AHU C12</v>
      </c>
      <c r="F665" s="3" t="str">
        <f>IFERROR(__xludf.DUMMYFUNCTION("""COMPUTED_VALUE"""),"General - Solid State Relay (SSR) 3-32VDC 24-330VAC 40A; No Brand; -; 1 Pc")</f>
        <v>General - Solid State Relay (SSR) 3-32VDC 24-330VAC 40A; No Brand; -; 1 Pc</v>
      </c>
      <c r="G665" s="3">
        <f>IFERROR(__xludf.DUMMYFUNCTION("""COMPUTED_VALUE"""),5.0)</f>
        <v>5</v>
      </c>
      <c r="H665" s="3" t="str">
        <f>IFERROR(__xludf.DUMMYFUNCTION("""COMPUTED_VALUE"""),"Pcs")</f>
        <v>Pcs</v>
      </c>
      <c r="I665" s="3" t="str">
        <f>IFERROR(__xludf.DUMMYFUNCTION("""COMPUTED_VALUE"""),"Untuk heater c12")</f>
        <v>Untuk heater c12</v>
      </c>
      <c r="J665" s="3" t="str">
        <f>IFERROR(__xludf.DUMMYFUNCTION("""COMPUTED_VALUE"""),"P-52663-00")</f>
        <v>P-52663-00</v>
      </c>
      <c r="K665" s="3" t="str">
        <f>IFERROR(__xludf.DUMMYFUNCTION("""COMPUTED_VALUE"""),"Approve")</f>
        <v>Approve</v>
      </c>
      <c r="L665" s="3" t="str">
        <f>IFERROR(__xludf.DUMMYFUNCTION("""COMPUTED_VALUE"""),"Normal")</f>
        <v>Normal</v>
      </c>
      <c r="M665" s="3" t="str">
        <f>IFERROR(__xludf.DUMMYFUNCTION("""COMPUTED_VALUE"""),"Non Urgent")</f>
        <v>Non Urgent</v>
      </c>
    </row>
    <row r="666">
      <c r="A666" s="4">
        <f>IFERROR(__xludf.DUMMYFUNCTION("""COMPUTED_VALUE"""),46134.591565312505)</f>
        <v>46134.59157</v>
      </c>
      <c r="B666" s="3" t="str">
        <f>IFERROR(__xludf.DUMMYFUNCTION("""COMPUTED_VALUE"""),"RIARO0086")</f>
        <v>RIARO0086</v>
      </c>
      <c r="C666" s="3" t="str">
        <f>IFERROR(__xludf.DUMMYFUNCTION("""COMPUTED_VALUE"""),"EJO")</f>
        <v>EJO</v>
      </c>
      <c r="D666" s="3" t="str">
        <f>IFERROR(__xludf.DUMMYFUNCTION("""COMPUTED_VALUE"""),"-")</f>
        <v>-</v>
      </c>
      <c r="E666" s="3" t="str">
        <f>IFERROR(__xludf.DUMMYFUNCTION("""COMPUTED_VALUE"""),"Lampu Emergency Tangga")</f>
        <v>Lampu Emergency Tangga</v>
      </c>
      <c r="F666" s="3" t="str">
        <f>IFERROR(__xludf.DUMMYFUNCTION("""COMPUTED_VALUE"""),"General - Lampu Emergency TL LED 16W Waterproof IP65; Briliant; -; 1 pc")</f>
        <v>General - Lampu Emergency TL LED 16W Waterproof IP65; Briliant; -; 1 pc</v>
      </c>
      <c r="G666" s="3">
        <f>IFERROR(__xludf.DUMMYFUNCTION("""COMPUTED_VALUE"""),15.0)</f>
        <v>15</v>
      </c>
      <c r="H666" s="3" t="str">
        <f>IFERROR(__xludf.DUMMYFUNCTION("""COMPUTED_VALUE"""),"Pcs")</f>
        <v>Pcs</v>
      </c>
      <c r="I666" s="3" t="str">
        <f>IFERROR(__xludf.DUMMYFUNCTION("""COMPUTED_VALUE"""),"Untuk ganti semua tangga emergency di semua area")</f>
        <v>Untuk ganti semua tangga emergency di semua area</v>
      </c>
      <c r="J666" s="3" t="str">
        <f>IFERROR(__xludf.DUMMYFUNCTION("""COMPUTED_VALUE"""),"P-53293-00")</f>
        <v>P-53293-00</v>
      </c>
      <c r="K666" s="3" t="str">
        <f>IFERROR(__xludf.DUMMYFUNCTION("""COMPUTED_VALUE"""),"Approve")</f>
        <v>Approve</v>
      </c>
      <c r="L666" s="3" t="str">
        <f>IFERROR(__xludf.DUMMYFUNCTION("""COMPUTED_VALUE"""),"Normal")</f>
        <v>Normal</v>
      </c>
      <c r="M666" s="3" t="str">
        <f>IFERROR(__xludf.DUMMYFUNCTION("""COMPUTED_VALUE"""),"Non Urgent")</f>
        <v>Non Urgent</v>
      </c>
    </row>
    <row r="667">
      <c r="A667" s="4">
        <f>IFERROR(__xludf.DUMMYFUNCTION("""COMPUTED_VALUE"""),46134.593095254626)</f>
        <v>46134.5931</v>
      </c>
      <c r="B667" s="3" t="str">
        <f>IFERROR(__xludf.DUMMYFUNCTION("""COMPUTED_VALUE"""),"RIARO0087")</f>
        <v>RIARO0087</v>
      </c>
      <c r="C667" s="3" t="str">
        <f>IFERROR(__xludf.DUMMYFUNCTION("""COMPUTED_VALUE"""),"EJO")</f>
        <v>EJO</v>
      </c>
      <c r="D667" s="3" t="str">
        <f>IFERROR(__xludf.DUMMYFUNCTION("""COMPUTED_VALUE"""),"-")</f>
        <v>-</v>
      </c>
      <c r="E667" s="3" t="str">
        <f>IFERROR(__xludf.DUMMYFUNCTION("""COMPUTED_VALUE"""),"Lampu Emergency Tangga")</f>
        <v>Lampu Emergency Tangga</v>
      </c>
      <c r="F667" s="3" t="str">
        <f>IFERROR(__xludf.DUMMYFUNCTION("""COMPUTED_VALUE"""),"PHILIPS - Lampu Emergency TWS 200; ; ;")</f>
        <v>PHILIPS - Lampu Emergency TWS 200; ; ;</v>
      </c>
      <c r="G667" s="3">
        <f>IFERROR(__xludf.DUMMYFUNCTION("""COMPUTED_VALUE"""),10.0)</f>
        <v>10</v>
      </c>
      <c r="H667" s="3" t="str">
        <f>IFERROR(__xludf.DUMMYFUNCTION("""COMPUTED_VALUE"""),"Pcs")</f>
        <v>Pcs</v>
      </c>
      <c r="I667" s="3" t="str">
        <f>IFERROR(__xludf.DUMMYFUNCTION("""COMPUTED_VALUE"""),"Untuk ganti semua tangga emergency di semua area (REJECT BY MFH KARENA SUDAH DISCONTINUE, SILAHKAN CARI TIPE ALTERNATIFNYA)")</f>
        <v>Untuk ganti semua tangga emergency di semua area (REJECT BY MFH KARENA SUDAH DISCONTINUE, SILAHKAN CARI TIPE ALTERNATIFNYA)</v>
      </c>
      <c r="J667" s="3" t="str">
        <f>IFERROR(__xludf.DUMMYFUNCTION("""COMPUTED_VALUE"""),"Q-10573-00")</f>
        <v>Q-10573-00</v>
      </c>
      <c r="K667" s="3" t="str">
        <f>IFERROR(__xludf.DUMMYFUNCTION("""COMPUTED_VALUE"""),"Reject")</f>
        <v>Reject</v>
      </c>
      <c r="L667" s="3" t="str">
        <f>IFERROR(__xludf.DUMMYFUNCTION("""COMPUTED_VALUE"""),"Normal")</f>
        <v>Normal</v>
      </c>
      <c r="M667" s="3" t="str">
        <f>IFERROR(__xludf.DUMMYFUNCTION("""COMPUTED_VALUE"""),"Non Urgent")</f>
        <v>Non Urgent</v>
      </c>
    </row>
    <row r="668">
      <c r="A668" s="4">
        <f>IFERROR(__xludf.DUMMYFUNCTION("""COMPUTED_VALUE"""),46134.596282025464)</f>
        <v>46134.59628</v>
      </c>
      <c r="B668" s="3" t="str">
        <f>IFERROR(__xludf.DUMMYFUNCTION("""COMPUTED_VALUE"""),"RIARO0088")</f>
        <v>RIARO0088</v>
      </c>
      <c r="C668" s="3" t="str">
        <f>IFERROR(__xludf.DUMMYFUNCTION("""COMPUTED_VALUE"""),"EJO")</f>
        <v>EJO</v>
      </c>
      <c r="D668" s="3" t="str">
        <f>IFERROR(__xludf.DUMMYFUNCTION("""COMPUTED_VALUE"""),"-")</f>
        <v>-</v>
      </c>
      <c r="E668" s="3" t="str">
        <f>IFERROR(__xludf.DUMMYFUNCTION("""COMPUTED_VALUE"""),"PW SKID")</f>
        <v>PW SKID</v>
      </c>
      <c r="F668" s="3" t="str">
        <f>IFERROR(__xludf.DUMMYFUNCTION("""COMPUTED_VALUE"""),"General - Sanitary Diaphragma Pressure Gauge Membrane Conn. Ferrule 1.5 inch Center Back SS 316 0 s/d 10 bar; SPV; -; 1 Pc")</f>
        <v>General - Sanitary Diaphragma Pressure Gauge Membrane Conn. Ferrule 1.5 inch Center Back SS 316 0 s/d 10 bar; SPV; -; 1 Pc</v>
      </c>
      <c r="G668" s="3">
        <f>IFERROR(__xludf.DUMMYFUNCTION("""COMPUTED_VALUE"""),2.0)</f>
        <v>2</v>
      </c>
      <c r="H668" s="3" t="str">
        <f>IFERROR(__xludf.DUMMYFUNCTION("""COMPUTED_VALUE"""),"Pcs")</f>
        <v>Pcs</v>
      </c>
      <c r="I668" s="3" t="str">
        <f>IFERROR(__xludf.DUMMYFUNCTION("""COMPUTED_VALUE"""),"Untuk PG Tangki PW SKID")</f>
        <v>Untuk PG Tangki PW SKID</v>
      </c>
      <c r="J668" s="3" t="str">
        <f>IFERROR(__xludf.DUMMYFUNCTION("""COMPUTED_VALUE"""),"P-18140-00")</f>
        <v>P-18140-00</v>
      </c>
      <c r="K668" s="3" t="str">
        <f>IFERROR(__xludf.DUMMYFUNCTION("""COMPUTED_VALUE"""),"Approve")</f>
        <v>Approve</v>
      </c>
      <c r="L668" s="3" t="str">
        <f>IFERROR(__xludf.DUMMYFUNCTION("""COMPUTED_VALUE"""),"Normal")</f>
        <v>Normal</v>
      </c>
      <c r="M668" s="3" t="str">
        <f>IFERROR(__xludf.DUMMYFUNCTION("""COMPUTED_VALUE"""),"Non Urgent")</f>
        <v>Non Urgent</v>
      </c>
    </row>
    <row r="669">
      <c r="A669" s="4">
        <f>IFERROR(__xludf.DUMMYFUNCTION("""COMPUTED_VALUE"""),46134.64896170139)</f>
        <v>46134.64896</v>
      </c>
      <c r="B669" s="3" t="str">
        <f>IFERROR(__xludf.DUMMYFUNCTION("""COMPUTED_VALUE"""),"RIARO0089")</f>
        <v>RIARO0089</v>
      </c>
      <c r="C669" s="3" t="str">
        <f>IFERROR(__xludf.DUMMYFUNCTION("""COMPUTED_VALUE"""),"EJO")</f>
        <v>EJO</v>
      </c>
      <c r="D669" s="3" t="str">
        <f>IFERROR(__xludf.DUMMYFUNCTION("""COMPUTED_VALUE"""),"-")</f>
        <v>-</v>
      </c>
      <c r="E669" s="3" t="str">
        <f>IFERROR(__xludf.DUMMYFUNCTION("""COMPUTED_VALUE"""),"WWTP")</f>
        <v>WWTP</v>
      </c>
      <c r="F669" s="3" t="str">
        <f>IFERROR(__xludf.DUMMYFUNCTION("""COMPUTED_VALUE"""),"General - Vertical Float Level Switch; Wingel; VSS-2FJ-S4-L720-FS45-HT; 1 Pc")</f>
        <v>General - Vertical Float Level Switch; Wingel; VSS-2FJ-S4-L720-FS45-HT; 1 Pc</v>
      </c>
      <c r="G669" s="3">
        <f>IFERROR(__xludf.DUMMYFUNCTION("""COMPUTED_VALUE"""),2.0)</f>
        <v>2</v>
      </c>
      <c r="H669" s="3" t="str">
        <f>IFERROR(__xludf.DUMMYFUNCTION("""COMPUTED_VALUE"""),"Pcs")</f>
        <v>Pcs</v>
      </c>
      <c r="I669" s="3" t="str">
        <f>IFERROR(__xludf.DUMMYFUNCTION("""COMPUTED_VALUE"""),"Level Sensor Buat Kondensat")</f>
        <v>Level Sensor Buat Kondensat</v>
      </c>
      <c r="J669" s="3" t="str">
        <f>IFERROR(__xludf.DUMMYFUNCTION("""COMPUTED_VALUE"""),"P-54218-00")</f>
        <v>P-54218-00</v>
      </c>
      <c r="K669" s="3" t="str">
        <f>IFERROR(__xludf.DUMMYFUNCTION("""COMPUTED_VALUE"""),"Approve")</f>
        <v>Approve</v>
      </c>
      <c r="L669" s="3" t="str">
        <f>IFERROR(__xludf.DUMMYFUNCTION("""COMPUTED_VALUE"""),"Normal")</f>
        <v>Normal</v>
      </c>
      <c r="M669" s="3" t="str">
        <f>IFERROR(__xludf.DUMMYFUNCTION("""COMPUTED_VALUE"""),"Non Urgent")</f>
        <v>Non Urgent</v>
      </c>
    </row>
    <row r="670">
      <c r="A670" s="4">
        <f>IFERROR(__xludf.DUMMYFUNCTION("""COMPUTED_VALUE"""),46138.87230109954)</f>
        <v>46138.8723</v>
      </c>
      <c r="B670" s="3" t="str">
        <f>IFERROR(__xludf.DUMMYFUNCTION("""COMPUTED_VALUE"""),"SFHRO0045")</f>
        <v>SFHRO0045</v>
      </c>
      <c r="C670" s="3" t="str">
        <f>IFERROR(__xludf.DUMMYFUNCTION("""COMPUTED_VALUE"""),"EJO")</f>
        <v>EJO</v>
      </c>
      <c r="D670" s="3" t="str">
        <f>IFERROR(__xludf.DUMMYFUNCTION("""COMPUTED_VALUE"""),"EJO/2026/04/046")</f>
        <v>EJO/2026/04/046</v>
      </c>
      <c r="E670" s="3" t="str">
        <f>IFERROR(__xludf.DUMMYFUNCTION("""COMPUTED_VALUE"""),"Lantai 1")</f>
        <v>Lantai 1</v>
      </c>
      <c r="F670" s="3" t="str">
        <f>IFERROR(__xludf.DUMMYFUNCTION("""COMPUTED_VALUE"""),"Hardener / Obat dempul sanpolac; ; ; pack size per tube")</f>
        <v>Hardener / Obat dempul sanpolac; ; ; pack size per tube</v>
      </c>
      <c r="G670" s="3">
        <f>IFERROR(__xludf.DUMMYFUNCTION("""COMPUTED_VALUE"""),5.0)</f>
        <v>5</v>
      </c>
      <c r="H670" s="3" t="str">
        <f>IFERROR(__xludf.DUMMYFUNCTION("""COMPUTED_VALUE"""),"pcs")</f>
        <v>pcs</v>
      </c>
      <c r="I670" s="3" t="str">
        <f>IFERROR(__xludf.DUMMYFUNCTION("""COMPUTED_VALUE"""),"stock habis")</f>
        <v>stock habis</v>
      </c>
      <c r="J670" s="3" t="str">
        <f>IFERROR(__xludf.DUMMYFUNCTION("""COMPUTED_VALUE"""),"Q-60107-00")</f>
        <v>Q-60107-00</v>
      </c>
      <c r="K670" s="3" t="str">
        <f>IFERROR(__xludf.DUMMYFUNCTION("""COMPUTED_VALUE"""),"Approve")</f>
        <v>Approve</v>
      </c>
      <c r="L670" s="3" t="str">
        <f>IFERROR(__xludf.DUMMYFUNCTION("""COMPUTED_VALUE"""),"Normal")</f>
        <v>Normal</v>
      </c>
      <c r="M670" s="3" t="str">
        <f>IFERROR(__xludf.DUMMYFUNCTION("""COMPUTED_VALUE"""),"Non Urgent")</f>
        <v>Non Urgent</v>
      </c>
    </row>
    <row r="671">
      <c r="A671" s="4">
        <f>IFERROR(__xludf.DUMMYFUNCTION("""COMPUTED_VALUE"""),46150.26054189815)</f>
        <v>46150.26054</v>
      </c>
      <c r="B671" s="3" t="str">
        <f>IFERROR(__xludf.DUMMYFUNCTION("""COMPUTED_VALUE"""),"ROSRO0031")</f>
        <v>ROSRO0031</v>
      </c>
      <c r="C671" s="3" t="str">
        <f>IFERROR(__xludf.DUMMYFUNCTION("""COMPUTED_VALUE"""),"MIn Stok")</f>
        <v>MIn Stok</v>
      </c>
      <c r="D671" s="3" t="str">
        <f>IFERROR(__xludf.DUMMYFUNCTION("""COMPUTED_VALUE"""),"-")</f>
        <v>-</v>
      </c>
      <c r="E671" s="3" t="str">
        <f>IFERROR(__xludf.DUMMYFUNCTION("""COMPUTED_VALUE"""),"Autoclave")</f>
        <v>Autoclave</v>
      </c>
      <c r="F671" s="3" t="str">
        <f>IFERROR(__xludf.DUMMYFUNCTION("""COMPUTED_VALUE"""),"Autoclave Fedegari FVA2/A1 NB2963AT - Level Transmitter code 15218 2m p/n: CD050024; ; ;")</f>
        <v>Autoclave Fedegari FVA2/A1 NB2963AT - Level Transmitter code 15218 2m p/n: CD050024; ; ;</v>
      </c>
      <c r="G671" s="3">
        <f>IFERROR(__xludf.DUMMYFUNCTION("""COMPUTED_VALUE"""),4.0)</f>
        <v>4</v>
      </c>
      <c r="H671" s="3" t="str">
        <f>IFERROR(__xludf.DUMMYFUNCTION("""COMPUTED_VALUE"""),"pcs")</f>
        <v>pcs</v>
      </c>
      <c r="I671" s="3" t="str">
        <f>IFERROR(__xludf.DUMMYFUNCTION("""COMPUTED_VALUE"""),"-")</f>
        <v>-</v>
      </c>
      <c r="J671" s="3" t="str">
        <f>IFERROR(__xludf.DUMMYFUNCTION("""COMPUTED_VALUE"""),"O-52210-00")</f>
        <v>O-52210-00</v>
      </c>
      <c r="K671" s="3" t="str">
        <f>IFERROR(__xludf.DUMMYFUNCTION("""COMPUTED_VALUE"""),"Approve")</f>
        <v>Approve</v>
      </c>
      <c r="L671" s="3" t="str">
        <f>IFERROR(__xludf.DUMMYFUNCTION("""COMPUTED_VALUE"""),"Normal")</f>
        <v>Normal</v>
      </c>
      <c r="M671" s="3" t="str">
        <f>IFERROR(__xludf.DUMMYFUNCTION("""COMPUTED_VALUE"""),"Non Urgent")</f>
        <v>Non Urgent</v>
      </c>
    </row>
    <row r="672">
      <c r="A672" s="4">
        <f>IFERROR(__xludf.DUMMYFUNCTION("""COMPUTED_VALUE"""),46150.67701347222)</f>
        <v>46150.67701</v>
      </c>
      <c r="B672" s="3" t="str">
        <f>IFERROR(__xludf.DUMMYFUNCTION("""COMPUTED_VALUE"""),"MOBRO0083")</f>
        <v>MOBRO0083</v>
      </c>
      <c r="C672" s="3" t="str">
        <f>IFERROR(__xludf.DUMMYFUNCTION("""COMPUTED_VALUE"""),"Consumable")</f>
        <v>Consumable</v>
      </c>
      <c r="D672" s="3" t="str">
        <f>IFERROR(__xludf.DUMMYFUNCTION("""COMPUTED_VALUE"""),"-")</f>
        <v>-</v>
      </c>
      <c r="E672" s="3" t="str">
        <f>IFERROR(__xludf.DUMMYFUNCTION("""COMPUTED_VALUE"""),"Drawing Yoga")</f>
        <v>Drawing Yoga</v>
      </c>
      <c r="F672" s="3" t="str">
        <f>IFERROR(__xludf.DUMMYFUNCTION("""COMPUTED_VALUE"""),"Mouse; Logitech; M331 Silent Plus")</f>
        <v>Mouse; Logitech; M331 Silent Plus</v>
      </c>
      <c r="G672" s="3">
        <f>IFERROR(__xludf.DUMMYFUNCTION("""COMPUTED_VALUE"""),2.0)</f>
        <v>2</v>
      </c>
      <c r="H672" s="3" t="str">
        <f>IFERROR(__xludf.DUMMYFUNCTION("""COMPUTED_VALUE"""),"Pcs")</f>
        <v>Pcs</v>
      </c>
      <c r="I672" s="3" t="str">
        <f>IFERROR(__xludf.DUMMYFUNCTION("""COMPUTED_VALUE"""),"Untuk keperluan drawing laptop yoga")</f>
        <v>Untuk keperluan drawing laptop yoga</v>
      </c>
      <c r="J672" s="3" t="str">
        <f>IFERROR(__xludf.DUMMYFUNCTION("""COMPUTED_VALUE"""),"T-10005-00")</f>
        <v>T-10005-00</v>
      </c>
      <c r="K672" s="3" t="str">
        <f>IFERROR(__xludf.DUMMYFUNCTION("""COMPUTED_VALUE"""),"Approve")</f>
        <v>Approve</v>
      </c>
      <c r="L672" s="3" t="str">
        <f>IFERROR(__xludf.DUMMYFUNCTION("""COMPUTED_VALUE"""),"Normal")</f>
        <v>Normal</v>
      </c>
      <c r="M672" s="3" t="str">
        <f>IFERROR(__xludf.DUMMYFUNCTION("""COMPUTED_VALUE"""),"Non Urgent")</f>
        <v>Non Urgent</v>
      </c>
    </row>
    <row r="673">
      <c r="A673" s="4">
        <f>IFERROR(__xludf.DUMMYFUNCTION("""COMPUTED_VALUE"""),46150.939021886574)</f>
        <v>46150.93902</v>
      </c>
      <c r="B673" s="3" t="str">
        <f>IFERROR(__xludf.DUMMYFUNCTION("""COMPUTED_VALUE"""),"SFHRO0046")</f>
        <v>SFHRO0046</v>
      </c>
      <c r="C673" s="3" t="str">
        <f>IFERROR(__xludf.DUMMYFUNCTION("""COMPUTED_VALUE"""),"Consumable")</f>
        <v>Consumable</v>
      </c>
      <c r="D673" s="3" t="str">
        <f>IFERROR(__xludf.DUMMYFUNCTION("""COMPUTED_VALUE"""),"-")</f>
        <v>-</v>
      </c>
      <c r="E673" s="3" t="str">
        <f>IFERROR(__xludf.DUMMYFUNCTION("""COMPUTED_VALUE"""),"lantai 3")</f>
        <v>lantai 3</v>
      </c>
      <c r="F673" s="3" t="str">
        <f>IFERROR(__xludf.DUMMYFUNCTION("""COMPUTED_VALUE"""),"Keramik Granito Warna Crystal White Sand 60x60; Granito; ;")</f>
        <v>Keramik Granito Warna Crystal White Sand 60x60; Granito; ;</v>
      </c>
      <c r="G673" s="3">
        <f>IFERROR(__xludf.DUMMYFUNCTION("""COMPUTED_VALUE"""),4.0)</f>
        <v>4</v>
      </c>
      <c r="H673" s="3" t="str">
        <f>IFERROR(__xludf.DUMMYFUNCTION("""COMPUTED_VALUE"""),"dus")</f>
        <v>dus</v>
      </c>
      <c r="I673" s="3" t="str">
        <f>IFERROR(__xludf.DUMMYFUNCTION("""COMPUTED_VALUE"""),"-")</f>
        <v>-</v>
      </c>
      <c r="J673" s="3" t="str">
        <f>IFERROR(__xludf.DUMMYFUNCTION("""COMPUTED_VALUE"""),"Q-10985-00")</f>
        <v>Q-10985-00</v>
      </c>
      <c r="K673" s="3" t="str">
        <f>IFERROR(__xludf.DUMMYFUNCTION("""COMPUTED_VALUE"""),"Approve")</f>
        <v>Approve</v>
      </c>
      <c r="L673" s="3" t="str">
        <f>IFERROR(__xludf.DUMMYFUNCTION("""COMPUTED_VALUE"""),"Normal")</f>
        <v>Normal</v>
      </c>
      <c r="M673" s="3" t="str">
        <f>IFERROR(__xludf.DUMMYFUNCTION("""COMPUTED_VALUE"""),"Non Urgent")</f>
        <v>Non Urgent</v>
      </c>
    </row>
    <row r="674">
      <c r="A674" s="4">
        <f>IFERROR(__xludf.DUMMYFUNCTION("""COMPUTED_VALUE"""),46150.99078723379)</f>
        <v>46150.99079</v>
      </c>
      <c r="B674" s="3" t="str">
        <f>IFERROR(__xludf.DUMMYFUNCTION("""COMPUTED_VALUE"""),"MRNRO0048")</f>
        <v>MRNRO0048</v>
      </c>
      <c r="C674" s="3" t="str">
        <f>IFERROR(__xludf.DUMMYFUNCTION("""COMPUTED_VALUE"""),"EJO")</f>
        <v>EJO</v>
      </c>
      <c r="D674" s="3" t="str">
        <f>IFERROR(__xludf.DUMMYFUNCTION("""COMPUTED_VALUE"""),"EJO/2026/01/35
")</f>
        <v>EJO/2026/01/35
</v>
      </c>
      <c r="E674" s="3" t="str">
        <f>IFERROR(__xludf.DUMMYFUNCTION("""COMPUTED_VALUE"""),"Jendela")</f>
        <v>Jendela</v>
      </c>
      <c r="F674" s="3" t="str">
        <f>IFERROR(__xludf.DUMMYFUNCTION("""COMPUTED_VALUE"""),"Acrylic tebal 5mm ukr : 1000 x 2000")</f>
        <v>Acrylic tebal 5mm ukr : 1000 x 2000</v>
      </c>
      <c r="G674" s="3">
        <f>IFERROR(__xludf.DUMMYFUNCTION("""COMPUTED_VALUE"""),1.0)</f>
        <v>1</v>
      </c>
      <c r="H674" s="3" t="str">
        <f>IFERROR(__xludf.DUMMYFUNCTION("""COMPUTED_VALUE"""),"pcs")</f>
        <v>pcs</v>
      </c>
      <c r="I674" s="3" t="str">
        <f>IFERROR(__xludf.DUMMYFUNCTION("""COMPUTED_VALUE"""),"Untuk jendela yang pecah")</f>
        <v>Untuk jendela yang pecah</v>
      </c>
      <c r="J674" s="3" t="str">
        <f>IFERROR(__xludf.DUMMYFUNCTION("""COMPUTED_VALUE"""),"P-11818-00")</f>
        <v>P-11818-00</v>
      </c>
      <c r="K674" s="3" t="str">
        <f>IFERROR(__xludf.DUMMYFUNCTION("""COMPUTED_VALUE"""),"Reject")</f>
        <v>Reject</v>
      </c>
      <c r="L674" s="3" t="str">
        <f>IFERROR(__xludf.DUMMYFUNCTION("""COMPUTED_VALUE"""),"Normal")</f>
        <v>Normal</v>
      </c>
      <c r="M674" s="3" t="str">
        <f>IFERROR(__xludf.DUMMYFUNCTION("""COMPUTED_VALUE"""),"Non Urgent")</f>
        <v>Non Urgent</v>
      </c>
    </row>
    <row r="675">
      <c r="A675" s="4">
        <f>IFERROR(__xludf.DUMMYFUNCTION("""COMPUTED_VALUE"""),46154.50197199074)</f>
        <v>46154.50197</v>
      </c>
      <c r="B675" s="3" t="str">
        <f>IFERROR(__xludf.DUMMYFUNCTION("""COMPUTED_VALUE"""),"MRNRO0049")</f>
        <v>MRNRO0049</v>
      </c>
      <c r="C675" s="3" t="str">
        <f>IFERROR(__xludf.DUMMYFUNCTION("""COMPUTED_VALUE"""),"MIn Stok")</f>
        <v>MIn Stok</v>
      </c>
      <c r="D675" s="3" t="str">
        <f>IFERROR(__xludf.DUMMYFUNCTION("""COMPUTED_VALUE"""),"-")</f>
        <v>-</v>
      </c>
      <c r="E675" s="3" t="str">
        <f>IFERROR(__xludf.DUMMYFUNCTION("""COMPUTED_VALUE"""),"-")</f>
        <v>-</v>
      </c>
      <c r="F675" s="3" t="str">
        <f>IFERROR(__xludf.DUMMYFUNCTION("""COMPUTED_VALUE"""),"General - UV Lamp SD55-320W; Hanovia; 130071-0320-C; 1 pc")</f>
        <v>General - UV Lamp SD55-320W; Hanovia; 130071-0320-C; 1 pc</v>
      </c>
      <c r="G675" s="3">
        <f>IFERROR(__xludf.DUMMYFUNCTION("""COMPUTED_VALUE"""),2.0)</f>
        <v>2</v>
      </c>
      <c r="H675" s="3" t="str">
        <f>IFERROR(__xludf.DUMMYFUNCTION("""COMPUTED_VALUE"""),"pcs")</f>
        <v>pcs</v>
      </c>
      <c r="I675" s="3" t="str">
        <f>IFERROR(__xludf.DUMMYFUNCTION("""COMPUTED_VALUE"""),"pww skid")</f>
        <v>pww skid</v>
      </c>
      <c r="J675" s="3" t="str">
        <f>IFERROR(__xludf.DUMMYFUNCTION("""COMPUTED_VALUE"""),"P-14244-00")</f>
        <v>P-14244-00</v>
      </c>
      <c r="K675" s="3" t="str">
        <f>IFERROR(__xludf.DUMMYFUNCTION("""COMPUTED_VALUE"""),"Approve")</f>
        <v>Approve</v>
      </c>
      <c r="L675" s="3" t="str">
        <f>IFERROR(__xludf.DUMMYFUNCTION("""COMPUTED_VALUE"""),"Normal")</f>
        <v>Normal</v>
      </c>
      <c r="M675" s="3" t="str">
        <f>IFERROR(__xludf.DUMMYFUNCTION("""COMPUTED_VALUE"""),"Non Urgent")</f>
        <v>Non Urgent</v>
      </c>
    </row>
    <row r="676">
      <c r="A676" s="4">
        <f>IFERROR(__xludf.DUMMYFUNCTION("""COMPUTED_VALUE"""),46155.49358927083)</f>
        <v>46155.49359</v>
      </c>
      <c r="B676" s="3" t="str">
        <f>IFERROR(__xludf.DUMMYFUNCTION("""COMPUTED_VALUE"""),"ERARO0001")</f>
        <v>ERARO0001</v>
      </c>
      <c r="C676" s="3" t="str">
        <f>IFERROR(__xludf.DUMMYFUNCTION("""COMPUTED_VALUE"""),"EJO")</f>
        <v>EJO</v>
      </c>
      <c r="D676" s="3" t="str">
        <f>IFERROR(__xludf.DUMMYFUNCTION("""COMPUTED_VALUE"""),"EJO/2026/05/015")</f>
        <v>EJO/2026/05/015</v>
      </c>
      <c r="E676" s="3" t="str">
        <f>IFERROR(__xludf.DUMMYFUNCTION("""COMPUTED_VALUE"""),"Pack Hall")</f>
        <v>Pack Hall</v>
      </c>
      <c r="F676" s="3" t="str">
        <f>IFERROR(__xludf.DUMMYFUNCTION("""COMPUTED_VALUE"""),"General - Lampu TL LED Bright Boost 18 W; Philips; -; 1 unt")</f>
        <v>General - Lampu TL LED Bright Boost 18 W; Philips; -; 1 unt</v>
      </c>
      <c r="G676" s="3">
        <f>IFERROR(__xludf.DUMMYFUNCTION("""COMPUTED_VALUE"""),5.0)</f>
        <v>5</v>
      </c>
      <c r="H676" s="3" t="str">
        <f>IFERROR(__xludf.DUMMYFUNCTION("""COMPUTED_VALUE"""),"pcs")</f>
        <v>pcs</v>
      </c>
      <c r="I676" s="3" t="str">
        <f>IFERROR(__xludf.DUMMYFUNCTION("""COMPUTED_VALUE"""),"ganti lampu table inspection")</f>
        <v>ganti lampu table inspection</v>
      </c>
      <c r="J676" s="3" t="str">
        <f>IFERROR(__xludf.DUMMYFUNCTION("""COMPUTED_VALUE"""),"P-51894-00")</f>
        <v>P-51894-00</v>
      </c>
      <c r="K676" s="3" t="str">
        <f>IFERROR(__xludf.DUMMYFUNCTION("""COMPUTED_VALUE"""),"Approve")</f>
        <v>Approve</v>
      </c>
      <c r="L676" s="3" t="str">
        <f>IFERROR(__xludf.DUMMYFUNCTION("""COMPUTED_VALUE"""),"Normal")</f>
        <v>Normal</v>
      </c>
      <c r="M676" s="3" t="str">
        <f>IFERROR(__xludf.DUMMYFUNCTION("""COMPUTED_VALUE"""),"Non Urgent")</f>
        <v>Non Urgent</v>
      </c>
    </row>
    <row r="677">
      <c r="A677" s="4">
        <f>IFERROR(__xludf.DUMMYFUNCTION("""COMPUTED_VALUE"""),46155.4961666088)</f>
        <v>46155.49617</v>
      </c>
      <c r="B677" s="3" t="str">
        <f>IFERROR(__xludf.DUMMYFUNCTION("""COMPUTED_VALUE"""),"ERARO0002")</f>
        <v>ERARO0002</v>
      </c>
      <c r="C677" s="3" t="str">
        <f>IFERROR(__xludf.DUMMYFUNCTION("""COMPUTED_VALUE"""),"EJO")</f>
        <v>EJO</v>
      </c>
      <c r="D677" s="3" t="str">
        <f>IFERROR(__xludf.DUMMYFUNCTION("""COMPUTED_VALUE"""),"EJO/2026/05/015")</f>
        <v>EJO/2026/05/015</v>
      </c>
      <c r="E677" s="3" t="str">
        <f>IFERROR(__xludf.DUMMYFUNCTION("""COMPUTED_VALUE"""),"Pack Hall")</f>
        <v>Pack Hall</v>
      </c>
      <c r="F677" s="3" t="str">
        <f>IFERROR(__xludf.DUMMYFUNCTION("""COMPUTED_VALUE"""),"General - Lampu TL5 14 W G5; Philips; -; 1 unt")</f>
        <v>General - Lampu TL5 14 W G5; Philips; -; 1 unt</v>
      </c>
      <c r="G677" s="3">
        <f>IFERROR(__xludf.DUMMYFUNCTION("""COMPUTED_VALUE"""),5.0)</f>
        <v>5</v>
      </c>
      <c r="H677" s="3" t="str">
        <f>IFERROR(__xludf.DUMMYFUNCTION("""COMPUTED_VALUE"""),"pcs")</f>
        <v>pcs</v>
      </c>
      <c r="I677" s="3" t="str">
        <f>IFERROR(__xludf.DUMMYFUNCTION("""COMPUTED_VALUE"""),"ganti lampu table inspection")</f>
        <v>ganti lampu table inspection</v>
      </c>
      <c r="J677" s="3" t="str">
        <f>IFERROR(__xludf.DUMMYFUNCTION("""COMPUTED_VALUE"""),"P-51929-00")</f>
        <v>P-51929-00</v>
      </c>
      <c r="K677" s="3" t="str">
        <f>IFERROR(__xludf.DUMMYFUNCTION("""COMPUTED_VALUE"""),"Approve")</f>
        <v>Approve</v>
      </c>
      <c r="L677" s="3" t="str">
        <f>IFERROR(__xludf.DUMMYFUNCTION("""COMPUTED_VALUE"""),"Normal")</f>
        <v>Normal</v>
      </c>
      <c r="M677" s="3" t="str">
        <f>IFERROR(__xludf.DUMMYFUNCTION("""COMPUTED_VALUE"""),"Non Urgent")</f>
        <v>Non Urgent</v>
      </c>
    </row>
    <row r="678">
      <c r="A678" s="4">
        <f>IFERROR(__xludf.DUMMYFUNCTION("""COMPUTED_VALUE"""),46156.37053158565)</f>
        <v>46156.37053</v>
      </c>
      <c r="B678" s="3" t="str">
        <f>IFERROR(__xludf.DUMMYFUNCTION("""COMPUTED_VALUE"""),"RIARO0090")</f>
        <v>RIARO0090</v>
      </c>
      <c r="C678" s="3" t="str">
        <f>IFERROR(__xludf.DUMMYFUNCTION("""COMPUTED_VALUE"""),"EJO")</f>
        <v>EJO</v>
      </c>
      <c r="D678" s="3" t="str">
        <f>IFERROR(__xludf.DUMMYFUNCTION("""COMPUTED_VALUE"""),"-")</f>
        <v>-</v>
      </c>
      <c r="E678" s="3" t="str">
        <f>IFERROR(__xludf.DUMMYFUNCTION("""COMPUTED_VALUE"""),"All Area")</f>
        <v>All Area</v>
      </c>
      <c r="F678" s="3" t="str">
        <f>IFERROR(__xludf.DUMMYFUNCTION("""COMPUTED_VALUE"""),"General - Kabel NYAF Uk. 1 x 0.75mm, Warna Merah; Supreme; -; 100meter/roll")</f>
        <v>General - Kabel NYAF Uk. 1 x 0.75mm, Warna Merah; Supreme; -; 100meter/roll</v>
      </c>
      <c r="G678" s="3">
        <f>IFERROR(__xludf.DUMMYFUNCTION("""COMPUTED_VALUE"""),100.0)</f>
        <v>100</v>
      </c>
      <c r="H678" s="3" t="str">
        <f>IFERROR(__xludf.DUMMYFUNCTION("""COMPUTED_VALUE"""),"Mtr")</f>
        <v>Mtr</v>
      </c>
      <c r="I678" s="3" t="str">
        <f>IFERROR(__xludf.DUMMYFUNCTION("""COMPUTED_VALUE"""),"Buat Stok Kabel Krn Tunggal Habis")</f>
        <v>Buat Stok Kabel Krn Tunggal Habis</v>
      </c>
      <c r="J678" s="3" t="str">
        <f>IFERROR(__xludf.DUMMYFUNCTION("""COMPUTED_VALUE"""),"P-50274-00")</f>
        <v>P-50274-00</v>
      </c>
      <c r="K678" s="3" t="str">
        <f>IFERROR(__xludf.DUMMYFUNCTION("""COMPUTED_VALUE"""),"Approve")</f>
        <v>Approve</v>
      </c>
      <c r="L678" s="3" t="str">
        <f>IFERROR(__xludf.DUMMYFUNCTION("""COMPUTED_VALUE"""),"Normal")</f>
        <v>Normal</v>
      </c>
      <c r="M678" s="3" t="str">
        <f>IFERROR(__xludf.DUMMYFUNCTION("""COMPUTED_VALUE"""),"Non Urgent")</f>
        <v>Non Urgent</v>
      </c>
    </row>
    <row r="679">
      <c r="A679" s="4">
        <f>IFERROR(__xludf.DUMMYFUNCTION("""COMPUTED_VALUE"""),46156.37143658564)</f>
        <v>46156.37144</v>
      </c>
      <c r="B679" s="3" t="str">
        <f>IFERROR(__xludf.DUMMYFUNCTION("""COMPUTED_VALUE"""),"RIARO0091")</f>
        <v>RIARO0091</v>
      </c>
      <c r="C679" s="3" t="str">
        <f>IFERROR(__xludf.DUMMYFUNCTION("""COMPUTED_VALUE"""),"EJO")</f>
        <v>EJO</v>
      </c>
      <c r="D679" s="3" t="str">
        <f>IFERROR(__xludf.DUMMYFUNCTION("""COMPUTED_VALUE"""),"-")</f>
        <v>-</v>
      </c>
      <c r="E679" s="3" t="str">
        <f>IFERROR(__xludf.DUMMYFUNCTION("""COMPUTED_VALUE"""),"All Area")</f>
        <v>All Area</v>
      </c>
      <c r="F679" s="3" t="str">
        <f>IFERROR(__xludf.DUMMYFUNCTION("""COMPUTED_VALUE"""),"General - Baut L, SS, M3 x 30 mm + Mur + Ring; No Brand; -; 1 pcs")</f>
        <v>General - Baut L, SS, M3 x 30 mm + Mur + Ring; No Brand; -; 1 pcs</v>
      </c>
      <c r="G679" s="3">
        <f>IFERROR(__xludf.DUMMYFUNCTION("""COMPUTED_VALUE"""),100.0)</f>
        <v>100</v>
      </c>
      <c r="H679" s="3" t="str">
        <f>IFERROR(__xludf.DUMMYFUNCTION("""COMPUTED_VALUE"""),"Pcs")</f>
        <v>Pcs</v>
      </c>
      <c r="I679" s="3" t="str">
        <f>IFERROR(__xludf.DUMMYFUNCTION("""COMPUTED_VALUE"""),"Udah mau habis buat ganti lampu")</f>
        <v>Udah mau habis buat ganti lampu</v>
      </c>
      <c r="J679" s="3" t="str">
        <f>IFERROR(__xludf.DUMMYFUNCTION("""COMPUTED_VALUE"""),"O-19427-00")</f>
        <v>O-19427-00</v>
      </c>
      <c r="K679" s="3" t="str">
        <f>IFERROR(__xludf.DUMMYFUNCTION("""COMPUTED_VALUE"""),"Approve")</f>
        <v>Approve</v>
      </c>
      <c r="L679" s="3" t="str">
        <f>IFERROR(__xludf.DUMMYFUNCTION("""COMPUTED_VALUE"""),"Normal")</f>
        <v>Normal</v>
      </c>
      <c r="M679" s="3" t="str">
        <f>IFERROR(__xludf.DUMMYFUNCTION("""COMPUTED_VALUE"""),"Non Urgent")</f>
        <v>Non Urgent</v>
      </c>
    </row>
    <row r="680">
      <c r="A680" s="4">
        <f>IFERROR(__xludf.DUMMYFUNCTION("""COMPUTED_VALUE"""),46167.64830353009)</f>
        <v>46167.6483</v>
      </c>
      <c r="B680" s="3" t="str">
        <f>IFERROR(__xludf.DUMMYFUNCTION("""COMPUTED_VALUE"""),"KFFRO0001")</f>
        <v>KFFRO0001</v>
      </c>
      <c r="C680" s="3" t="str">
        <f>IFERROR(__xludf.DUMMYFUNCTION("""COMPUTED_VALUE"""),"EJO")</f>
        <v>EJO</v>
      </c>
      <c r="D680" s="3" t="str">
        <f>IFERROR(__xludf.DUMMYFUNCTION("""COMPUTED_VALUE"""),"2026/05/007")</f>
        <v>2026/05/007</v>
      </c>
      <c r="E680" s="3" t="str">
        <f>IFERROR(__xludf.DUMMYFUNCTION("""COMPUTED_VALUE"""),"drylab")</f>
        <v>drylab</v>
      </c>
      <c r="F680" s="3" t="str">
        <f>IFERROR(__xludf.DUMMYFUNCTION("""COMPUTED_VALUE"""),"SMC - Air Regulator type AR20-02BG-B")</f>
        <v>SMC - Air Regulator type AR20-02BG-B</v>
      </c>
      <c r="G680" s="3">
        <f>IFERROR(__xludf.DUMMYFUNCTION("""COMPUTED_VALUE"""),1.0)</f>
        <v>1</v>
      </c>
      <c r="H680" s="3" t="str">
        <f>IFERROR(__xludf.DUMMYFUNCTION("""COMPUTED_VALUE"""),"pcs")</f>
        <v>pcs</v>
      </c>
      <c r="I680" s="3" t="str">
        <f>IFERROR(__xludf.DUMMYFUNCTION("""COMPUTED_VALUE"""),"untuk mesin instrument baru PSD")</f>
        <v>untuk mesin instrument baru PSD</v>
      </c>
      <c r="J680" s="3" t="str">
        <f>IFERROR(__xludf.DUMMYFUNCTION("""COMPUTED_VALUE"""),"P-17875-00")</f>
        <v>P-17875-00</v>
      </c>
      <c r="K680" s="3" t="str">
        <f>IFERROR(__xludf.DUMMYFUNCTION("""COMPUTED_VALUE"""),"Waiting")</f>
        <v>Waiting</v>
      </c>
      <c r="L680" s="3" t="str">
        <f>IFERROR(__xludf.DUMMYFUNCTION("""COMPUTED_VALUE"""),"Waiting")</f>
        <v>Waiting</v>
      </c>
      <c r="M680" s="3" t="str">
        <f>IFERROR(__xludf.DUMMYFUNCTION("""COMPUTED_VALUE"""),"Non Urgent")</f>
        <v>Non Urgent</v>
      </c>
    </row>
    <row r="681">
      <c r="A681" s="4">
        <f>IFERROR(__xludf.DUMMYFUNCTION("""COMPUTED_VALUE"""),46178.637342326394)</f>
        <v>46178.63734</v>
      </c>
      <c r="B681" s="3" t="str">
        <f>IFERROR(__xludf.DUMMYFUNCTION("""COMPUTED_VALUE"""),"ROSRO0032")</f>
        <v>ROSRO0032</v>
      </c>
      <c r="C681" s="3" t="str">
        <f>IFERROR(__xludf.DUMMYFUNCTION("""COMPUTED_VALUE"""),"MIn Stok")</f>
        <v>MIn Stok</v>
      </c>
      <c r="D681" s="3" t="str">
        <f>IFERROR(__xludf.DUMMYFUNCTION("""COMPUTED_VALUE"""),"-")</f>
        <v>-</v>
      </c>
      <c r="E681" s="3" t="str">
        <f>IFERROR(__xludf.DUMMYFUNCTION("""COMPUTED_VALUE"""),"Mixing ")</f>
        <v>Mixing </v>
      </c>
      <c r="F681" s="3" t="str">
        <f>IFERROR(__xludf.DUMMYFUNCTION("""COMPUTED_VALUE"""),"General - Opto CapBT02T Operating Range 8 ppb - 60% O2 Sat P/N 30018857, Measured Pressure Resistance : 0-6 bar; Mettler Toledo; 30018857; 1 Pc")</f>
        <v>General - Opto CapBT02T Operating Range 8 ppb - 60% O2 Sat P/N 30018857, Measured Pressure Resistance : 0-6 bar; Mettler Toledo; 30018857; 1 Pc</v>
      </c>
      <c r="G681" s="3">
        <f>IFERROR(__xludf.DUMMYFUNCTION("""COMPUTED_VALUE"""),2.0)</f>
        <v>2</v>
      </c>
      <c r="H681" s="3" t="str">
        <f>IFERROR(__xludf.DUMMYFUNCTION("""COMPUTED_VALUE"""),"set")</f>
        <v>set</v>
      </c>
      <c r="I681" s="3" t="str">
        <f>IFERROR(__xludf.DUMMYFUNCTION("""COMPUTED_VALUE"""),"-")</f>
        <v>-</v>
      </c>
      <c r="J681" s="3" t="str">
        <f>IFERROR(__xludf.DUMMYFUNCTION("""COMPUTED_VALUE"""),"O-50827-00")</f>
        <v>O-50827-00</v>
      </c>
      <c r="K681" s="3" t="str">
        <f>IFERROR(__xludf.DUMMYFUNCTION("""COMPUTED_VALUE"""),"Waiting")</f>
        <v>Waiting</v>
      </c>
      <c r="L681" s="3" t="str">
        <f>IFERROR(__xludf.DUMMYFUNCTION("""COMPUTED_VALUE"""),"Waiting")</f>
        <v>Waiting</v>
      </c>
      <c r="M681" s="3" t="str">
        <f>IFERROR(__xludf.DUMMYFUNCTION("""COMPUTED_VALUE"""),"Non Urgent")</f>
        <v>Non Urgent</v>
      </c>
    </row>
    <row r="682">
      <c r="A682" s="4">
        <f>IFERROR(__xludf.DUMMYFUNCTION("""COMPUTED_VALUE"""),46179.56507519676)</f>
        <v>46179.56508</v>
      </c>
      <c r="B682" s="3" t="str">
        <f>IFERROR(__xludf.DUMMYFUNCTION("""COMPUTED_VALUE"""),"MRNRO0050")</f>
        <v>MRNRO0050</v>
      </c>
      <c r="C682" s="3" t="str">
        <f>IFERROR(__xludf.DUMMYFUNCTION("""COMPUTED_VALUE"""),"EJO")</f>
        <v>EJO</v>
      </c>
      <c r="D682" s="3" t="str">
        <f>IFERROR(__xludf.DUMMYFUNCTION("""COMPUTED_VALUE"""),"EJO/2026/04/096")</f>
        <v>EJO/2026/04/096</v>
      </c>
      <c r="E682" s="3" t="str">
        <f>IFERROR(__xludf.DUMMYFUNCTION("""COMPUTED_VALUE"""),"ahu c1-1")</f>
        <v>ahu c1-1</v>
      </c>
      <c r="F682" s="3" t="str">
        <f>IFERROR(__xludf.DUMMYFUNCTION("""COMPUTED_VALUE"""),"INVERTER,DANFOSS, VLT2980PT4B20STR0DBFOOA21C1 S/N 56670CA465")</f>
        <v>INVERTER,DANFOSS, VLT2980PT4B20STR0DBFOOA21C1 S/N 56670CA465</v>
      </c>
      <c r="G682" s="3">
        <f>IFERROR(__xludf.DUMMYFUNCTION("""COMPUTED_VALUE"""),1.0)</f>
        <v>1</v>
      </c>
      <c r="H682" s="3" t="str">
        <f>IFERROR(__xludf.DUMMYFUNCTION("""COMPUTED_VALUE"""),"pcs")</f>
        <v>pcs</v>
      </c>
      <c r="I682" s="3" t="str">
        <f>IFERROR(__xludf.DUMMYFUNCTION("""COMPUTED_VALUE"""),"untuk ahu c1-1")</f>
        <v>untuk ahu c1-1</v>
      </c>
      <c r="J682" s="3" t="str">
        <f>IFERROR(__xludf.DUMMYFUNCTION("""COMPUTED_VALUE"""),"P-15857-00")</f>
        <v>P-15857-00</v>
      </c>
      <c r="K682" s="3" t="str">
        <f>IFERROR(__xludf.DUMMYFUNCTION("""COMPUTED_VALUE"""),"Approve")</f>
        <v>Approve</v>
      </c>
      <c r="L682" s="3" t="str">
        <f>IFERROR(__xludf.DUMMYFUNCTION("""COMPUTED_VALUE"""),"Normal")</f>
        <v>Normal</v>
      </c>
      <c r="M682" s="3" t="str">
        <f>IFERROR(__xludf.DUMMYFUNCTION("""COMPUTED_VALUE"""),"Non Urgent")</f>
        <v>Non Urgent</v>
      </c>
    </row>
    <row r="683">
      <c r="A683" s="4">
        <f>IFERROR(__xludf.DUMMYFUNCTION("""COMPUTED_VALUE"""),46181.14300125)</f>
        <v>46181.143</v>
      </c>
      <c r="B683" s="3" t="str">
        <f>IFERROR(__xludf.DUMMYFUNCTION("""COMPUTED_VALUE"""),"RIARO0092")</f>
        <v>RIARO0092</v>
      </c>
      <c r="C683" s="3" t="str">
        <f>IFERROR(__xludf.DUMMYFUNCTION("""COMPUTED_VALUE"""),"Consumable")</f>
        <v>Consumable</v>
      </c>
      <c r="D683" s="3" t="str">
        <f>IFERROR(__xludf.DUMMYFUNCTION("""COMPUTED_VALUE"""),"-")</f>
        <v>-</v>
      </c>
      <c r="E683" s="3" t="str">
        <f>IFERROR(__xludf.DUMMYFUNCTION("""COMPUTED_VALUE"""),"All Area")</f>
        <v>All Area</v>
      </c>
      <c r="F683" s="3" t="str">
        <f>IFERROR(__xludf.DUMMYFUNCTION("""COMPUTED_VALUE"""),"STOP KONTAK LUBANG 4, BROCO")</f>
        <v>STOP KONTAK LUBANG 4, BROCO</v>
      </c>
      <c r="G683" s="3">
        <f>IFERROR(__xludf.DUMMYFUNCTION("""COMPUTED_VALUE"""),20.0)</f>
        <v>20</v>
      </c>
      <c r="H683" s="3" t="str">
        <f>IFERROR(__xludf.DUMMYFUNCTION("""COMPUTED_VALUE"""),"Pcs")</f>
        <v>Pcs</v>
      </c>
      <c r="I683" s="3" t="str">
        <f>IFERROR(__xludf.DUMMYFUNCTION("""COMPUTED_VALUE"""),"Habis")</f>
        <v>Habis</v>
      </c>
      <c r="J683" s="3" t="str">
        <f>IFERROR(__xludf.DUMMYFUNCTION("""COMPUTED_VALUE"""),"O-54015-00")</f>
        <v>O-54015-00</v>
      </c>
      <c r="K683" s="3" t="str">
        <f>IFERROR(__xludf.DUMMYFUNCTION("""COMPUTED_VALUE"""),"Approve")</f>
        <v>Approve</v>
      </c>
      <c r="L683" s="3" t="str">
        <f>IFERROR(__xludf.DUMMYFUNCTION("""COMPUTED_VALUE"""),"Normal")</f>
        <v>Normal</v>
      </c>
      <c r="M683" s="3" t="str">
        <f>IFERROR(__xludf.DUMMYFUNCTION("""COMPUTED_VALUE"""),"Non Urgent")</f>
        <v>Non Urgent</v>
      </c>
    </row>
    <row r="684">
      <c r="A684" s="4">
        <f>IFERROR(__xludf.DUMMYFUNCTION("""COMPUTED_VALUE"""),46181.143763078704)</f>
        <v>46181.14376</v>
      </c>
      <c r="B684" s="3" t="str">
        <f>IFERROR(__xludf.DUMMYFUNCTION("""COMPUTED_VALUE"""),"RIARO0093")</f>
        <v>RIARO0093</v>
      </c>
      <c r="C684" s="3" t="str">
        <f>IFERROR(__xludf.DUMMYFUNCTION("""COMPUTED_VALUE"""),"Consumable")</f>
        <v>Consumable</v>
      </c>
      <c r="D684" s="3" t="str">
        <f>IFERROR(__xludf.DUMMYFUNCTION("""COMPUTED_VALUE"""),"-")</f>
        <v>-</v>
      </c>
      <c r="E684" s="3" t="str">
        <f>IFERROR(__xludf.DUMMYFUNCTION("""COMPUTED_VALUE"""),"N2 Generator")</f>
        <v>N2 Generator</v>
      </c>
      <c r="F684" s="3" t="str">
        <f>IFERROR(__xludf.DUMMYFUNCTION("""COMPUTED_VALUE"""),"General - Element Filter 1 micron; NXE-400-Z; -; 1 pc")</f>
        <v>General - Element Filter 1 micron; NXE-400-Z; -; 1 pc</v>
      </c>
      <c r="G684" s="3">
        <f>IFERROR(__xludf.DUMMYFUNCTION("""COMPUTED_VALUE"""),1.0)</f>
        <v>1</v>
      </c>
      <c r="H684" s="3" t="str">
        <f>IFERROR(__xludf.DUMMYFUNCTION("""COMPUTED_VALUE"""),"Pcs")</f>
        <v>Pcs</v>
      </c>
      <c r="I684" s="3" t="str">
        <f>IFERROR(__xludf.DUMMYFUNCTION("""COMPUTED_VALUE"""),"Stok Habis")</f>
        <v>Stok Habis</v>
      </c>
      <c r="J684" s="3" t="str">
        <f>IFERROR(__xludf.DUMMYFUNCTION("""COMPUTED_VALUE"""),"P-15052-00")</f>
        <v>P-15052-00</v>
      </c>
      <c r="K684" s="3" t="str">
        <f>IFERROR(__xludf.DUMMYFUNCTION("""COMPUTED_VALUE"""),"Approve")</f>
        <v>Approve</v>
      </c>
      <c r="L684" s="3" t="str">
        <f>IFERROR(__xludf.DUMMYFUNCTION("""COMPUTED_VALUE"""),"Normal")</f>
        <v>Normal</v>
      </c>
      <c r="M684" s="3" t="str">
        <f>IFERROR(__xludf.DUMMYFUNCTION("""COMPUTED_VALUE"""),"Non Urgent")</f>
        <v>Non Urgent</v>
      </c>
    </row>
    <row r="685">
      <c r="A685" s="4">
        <f>IFERROR(__xludf.DUMMYFUNCTION("""COMPUTED_VALUE"""),46181.143786851855)</f>
        <v>46181.14379</v>
      </c>
      <c r="B685" s="3" t="str">
        <f>IFERROR(__xludf.DUMMYFUNCTION("""COMPUTED_VALUE"""),"RIARO0094")</f>
        <v>RIARO0094</v>
      </c>
      <c r="C685" s="3" t="str">
        <f>IFERROR(__xludf.DUMMYFUNCTION("""COMPUTED_VALUE"""),"Consumable")</f>
        <v>Consumable</v>
      </c>
      <c r="D685" s="3" t="str">
        <f>IFERROR(__xludf.DUMMYFUNCTION("""COMPUTED_VALUE"""),"-")</f>
        <v>-</v>
      </c>
      <c r="E685" s="3" t="str">
        <f>IFERROR(__xludf.DUMMYFUNCTION("""COMPUTED_VALUE"""),"N2 Generator")</f>
        <v>N2 Generator</v>
      </c>
      <c r="F685" s="3" t="str">
        <f>IFERROR(__xludf.DUMMYFUNCTION("""COMPUTED_VALUE"""),"General - Element Filter 0.01 micron; NXE-400-X; -; 1 pc")</f>
        <v>General - Element Filter 0.01 micron; NXE-400-X; -; 1 pc</v>
      </c>
      <c r="G685" s="3">
        <f>IFERROR(__xludf.DUMMYFUNCTION("""COMPUTED_VALUE"""),1.0)</f>
        <v>1</v>
      </c>
      <c r="H685" s="3" t="str">
        <f>IFERROR(__xludf.DUMMYFUNCTION("""COMPUTED_VALUE"""),"Pcs")</f>
        <v>Pcs</v>
      </c>
      <c r="I685" s="3" t="str">
        <f>IFERROR(__xludf.DUMMYFUNCTION("""COMPUTED_VALUE"""),"Stok Habis")</f>
        <v>Stok Habis</v>
      </c>
      <c r="J685" s="3" t="str">
        <f>IFERROR(__xludf.DUMMYFUNCTION("""COMPUTED_VALUE"""),"P-15053-00")</f>
        <v>P-15053-00</v>
      </c>
      <c r="K685" s="3" t="str">
        <f>IFERROR(__xludf.DUMMYFUNCTION("""COMPUTED_VALUE"""),"Approve")</f>
        <v>Approve</v>
      </c>
      <c r="L685" s="3" t="str">
        <f>IFERROR(__xludf.DUMMYFUNCTION("""COMPUTED_VALUE"""),"Normal")</f>
        <v>Normal</v>
      </c>
      <c r="M685" s="3" t="str">
        <f>IFERROR(__xludf.DUMMYFUNCTION("""COMPUTED_VALUE"""),"Non Urgent")</f>
        <v>Non Urgent</v>
      </c>
    </row>
    <row r="686">
      <c r="A686" s="4">
        <f>IFERROR(__xludf.DUMMYFUNCTION("""COMPUTED_VALUE"""),46181.143786851855)</f>
        <v>46181.14379</v>
      </c>
      <c r="B686" s="3" t="str">
        <f>IFERROR(__xludf.DUMMYFUNCTION("""COMPUTED_VALUE"""),"RIARO0095")</f>
        <v>RIARO0095</v>
      </c>
      <c r="C686" s="3" t="str">
        <f>IFERROR(__xludf.DUMMYFUNCTION("""COMPUTED_VALUE"""),"Consumable")</f>
        <v>Consumable</v>
      </c>
      <c r="D686" s="3" t="str">
        <f>IFERROR(__xludf.DUMMYFUNCTION("""COMPUTED_VALUE"""),"-")</f>
        <v>-</v>
      </c>
      <c r="E686" s="3" t="str">
        <f>IFERROR(__xludf.DUMMYFUNCTION("""COMPUTED_VALUE"""),"N2 Generator")</f>
        <v>N2 Generator</v>
      </c>
      <c r="F686" s="3" t="str">
        <f>IFERROR(__xludf.DUMMYFUNCTION("""COMPUTED_VALUE"""),"General - Element Filter for N2; NEXUS; NXE-90-Z; 1 pc")</f>
        <v>General - Element Filter for N2; NEXUS; NXE-90-Z; 1 pc</v>
      </c>
      <c r="G686" s="3">
        <f>IFERROR(__xludf.DUMMYFUNCTION("""COMPUTED_VALUE"""),1.0)</f>
        <v>1</v>
      </c>
      <c r="H686" s="3" t="str">
        <f>IFERROR(__xludf.DUMMYFUNCTION("""COMPUTED_VALUE"""),"Pcs")</f>
        <v>Pcs</v>
      </c>
      <c r="I686" s="3" t="str">
        <f>IFERROR(__xludf.DUMMYFUNCTION("""COMPUTED_VALUE"""),"Stok Habis NXE902")</f>
        <v>Stok Habis NXE902</v>
      </c>
      <c r="J686" s="3" t="str">
        <f>IFERROR(__xludf.DUMMYFUNCTION("""COMPUTED_VALUE"""),"P-17062-00")</f>
        <v>P-17062-00</v>
      </c>
      <c r="K686" s="3" t="str">
        <f>IFERROR(__xludf.DUMMYFUNCTION("""COMPUTED_VALUE"""),"Approve")</f>
        <v>Approve</v>
      </c>
      <c r="L686" s="3" t="str">
        <f>IFERROR(__xludf.DUMMYFUNCTION("""COMPUTED_VALUE"""),"Normal")</f>
        <v>Normal</v>
      </c>
      <c r="M686" s="3" t="str">
        <f>IFERROR(__xludf.DUMMYFUNCTION("""COMPUTED_VALUE"""),"Non Urgent")</f>
        <v>Non Urgent</v>
      </c>
    </row>
    <row r="687">
      <c r="A687" s="4">
        <f>IFERROR(__xludf.DUMMYFUNCTION("""COMPUTED_VALUE"""),46184.10259724537)</f>
        <v>46184.1026</v>
      </c>
      <c r="B687" s="3" t="str">
        <f>IFERROR(__xludf.DUMMYFUNCTION("""COMPUTED_VALUE"""),"BDURO0008")</f>
        <v>BDURO0008</v>
      </c>
      <c r="C687" s="3" t="str">
        <f>IFERROR(__xludf.DUMMYFUNCTION("""COMPUTED_VALUE"""),"MIn Stok")</f>
        <v>MIn Stok</v>
      </c>
      <c r="D687" s="3" t="str">
        <f>IFERROR(__xludf.DUMMYFUNCTION("""COMPUTED_VALUE"""),"-")</f>
        <v>-</v>
      </c>
      <c r="E687" s="3" t="str">
        <f>IFERROR(__xludf.DUMMYFUNCTION("""COMPUTED_VALUE"""),"Mixing")</f>
        <v>Mixing</v>
      </c>
      <c r="F687" s="3" t="str">
        <f>IFERROR(__xludf.DUMMYFUNCTION("""COMPUTED_VALUE"""),"General - Opto CapBT02T Operating Range 8 ppb - 60% O2 Sat P/N 30018857, Measured Pressure Resistance : 0-6 bar; Mettler Toledo; 30018857; 1 Pc")</f>
        <v>General - Opto CapBT02T Operating Range 8 ppb - 60% O2 Sat P/N 30018857, Measured Pressure Resistance : 0-6 bar; Mettler Toledo; 30018857; 1 Pc</v>
      </c>
      <c r="G687" s="3">
        <f>IFERROR(__xludf.DUMMYFUNCTION("""COMPUTED_VALUE"""),1.0)</f>
        <v>1</v>
      </c>
      <c r="H687" s="3" t="str">
        <f>IFERROR(__xludf.DUMMYFUNCTION("""COMPUTED_VALUE"""),"pcs")</f>
        <v>pcs</v>
      </c>
      <c r="I687" s="3" t="str">
        <f>IFERROR(__xludf.DUMMYFUNCTION("""COMPUTED_VALUE"""),"untuk stock, karena kemarin dilakukan perganrian optpcap")</f>
        <v>untuk stock, karena kemarin dilakukan perganrian optpcap</v>
      </c>
      <c r="J687" s="3" t="str">
        <f>IFERROR(__xludf.DUMMYFUNCTION("""COMPUTED_VALUE"""),"O-50827-00")</f>
        <v>O-50827-00</v>
      </c>
      <c r="K687" s="3" t="str">
        <f>IFERROR(__xludf.DUMMYFUNCTION("""COMPUTED_VALUE"""),"Approve")</f>
        <v>Approve</v>
      </c>
      <c r="L687" s="3" t="str">
        <f>IFERROR(__xludf.DUMMYFUNCTION("""COMPUTED_VALUE"""),"Normal")</f>
        <v>Normal</v>
      </c>
      <c r="M687" s="3" t="str">
        <f>IFERROR(__xludf.DUMMYFUNCTION("""COMPUTED_VALUE"""),"Non Urgent")</f>
        <v>Non Urgent</v>
      </c>
    </row>
    <row r="688">
      <c r="A688" s="4">
        <f>IFERROR(__xludf.DUMMYFUNCTION("""COMPUTED_VALUE"""),46185.48003271991)</f>
        <v>46185.48003</v>
      </c>
      <c r="B688" s="3" t="str">
        <f>IFERROR(__xludf.DUMMYFUNCTION("""COMPUTED_VALUE"""),"MOBRO0084")</f>
        <v>MOBRO0084</v>
      </c>
      <c r="C688" s="3" t="str">
        <f>IFERROR(__xludf.DUMMYFUNCTION("""COMPUTED_VALUE"""),"MIn Stok")</f>
        <v>MIn Stok</v>
      </c>
      <c r="D688" s="3" t="str">
        <f>IFERROR(__xludf.DUMMYFUNCTION("""COMPUTED_VALUE"""),"-")</f>
        <v>-</v>
      </c>
      <c r="E688" s="3" t="str">
        <f>IFERROR(__xludf.DUMMYFUNCTION("""COMPUTED_VALUE"""),"Water System")</f>
        <v>Water System</v>
      </c>
      <c r="F688" s="3" t="str">
        <f>IFERROR(__xludf.DUMMYFUNCTION("""COMPUTED_VALUE"""),"General - Emflon PFR membrane filter cartridge, 0.2 um sterilizing grade, 5-inch length, double-o-ring (silicone) with bayonet lock and flat end; Pall; AB05PFR2PVH4; 1 pcs")</f>
        <v>General - Emflon PFR membrane filter cartridge, 0.2 um sterilizing grade, 5-inch length, double-o-ring (silicone) with bayonet lock and flat end; Pall; AB05PFR2PVH4; 1 pcs</v>
      </c>
      <c r="G688" s="3">
        <f>IFERROR(__xludf.DUMMYFUNCTION("""COMPUTED_VALUE"""),2.0)</f>
        <v>2</v>
      </c>
      <c r="H688" s="3" t="str">
        <f>IFERROR(__xludf.DUMMYFUNCTION("""COMPUTED_VALUE"""),"Pcs")</f>
        <v>Pcs</v>
      </c>
      <c r="I688" s="3" t="str">
        <f>IFERROR(__xludf.DUMMYFUNCTION("""COMPUTED_VALUE"""),"Penggantian rutin Vent Vilter Water System")</f>
        <v>Penggantian rutin Vent Vilter Water System</v>
      </c>
      <c r="J688" s="3" t="str">
        <f>IFERROR(__xludf.DUMMYFUNCTION("""COMPUTED_VALUE"""),"O-12868-00")</f>
        <v>O-12868-00</v>
      </c>
      <c r="K688" s="3" t="str">
        <f>IFERROR(__xludf.DUMMYFUNCTION("""COMPUTED_VALUE"""),"Approve")</f>
        <v>Approve</v>
      </c>
      <c r="L688" s="3" t="str">
        <f>IFERROR(__xludf.DUMMYFUNCTION("""COMPUTED_VALUE"""),"Normal")</f>
        <v>Normal</v>
      </c>
      <c r="M688" s="3" t="str">
        <f>IFERROR(__xludf.DUMMYFUNCTION("""COMPUTED_VALUE"""),"Non Urgent")</f>
        <v>Non Urgent</v>
      </c>
    </row>
    <row r="689">
      <c r="A689" s="4">
        <f>IFERROR(__xludf.DUMMYFUNCTION("""COMPUTED_VALUE"""),46185.547453113424)</f>
        <v>46185.54745</v>
      </c>
      <c r="B689" s="3" t="str">
        <f>IFERROR(__xludf.DUMMYFUNCTION("""COMPUTED_VALUE"""),"MOBRO0085")</f>
        <v>MOBRO0085</v>
      </c>
      <c r="C689" s="3" t="str">
        <f>IFERROR(__xludf.DUMMYFUNCTION("""COMPUTED_VALUE"""),"MIn Stok")</f>
        <v>MIn Stok</v>
      </c>
      <c r="D689" s="3" t="str">
        <f>IFERROR(__xludf.DUMMYFUNCTION("""COMPUTED_VALUE"""),"-")</f>
        <v>-</v>
      </c>
      <c r="E689" s="3" t="str">
        <f>IFERROR(__xludf.DUMMYFUNCTION("""COMPUTED_VALUE"""),"Water System")</f>
        <v>Water System</v>
      </c>
      <c r="F689" s="3" t="str">
        <f>IFERROR(__xludf.DUMMYFUNCTION("""COMPUTED_VALUE"""),"Vent Filter HE Press 6.5 bar, temp. 40C ; Brand : NOVASIP ( PALL ) ; P/N : C3PFRPI , IT09556493 ; Pack Size : pcs")</f>
        <v>Vent Filter HE Press 6.5 bar, temp. 40C ; Brand : NOVASIP ( PALL ) ; P/N : C3PFRPI , IT09556493 ; Pack Size : pcs</v>
      </c>
      <c r="G689" s="3">
        <f>IFERROR(__xludf.DUMMYFUNCTION("""COMPUTED_VALUE"""),2.0)</f>
        <v>2</v>
      </c>
      <c r="H689" s="3" t="str">
        <f>IFERROR(__xludf.DUMMYFUNCTION("""COMPUTED_VALUE"""),"Pcs")</f>
        <v>Pcs</v>
      </c>
      <c r="I689" s="3" t="str">
        <f>IFERROR(__xludf.DUMMYFUNCTION("""COMPUTED_VALUE"""),"Penggantian rutin Vent Vilter Water System")</f>
        <v>Penggantian rutin Vent Vilter Water System</v>
      </c>
      <c r="J689" s="3" t="str">
        <f>IFERROR(__xludf.DUMMYFUNCTION("""COMPUTED_VALUE"""),"P-16972-00")</f>
        <v>P-16972-00</v>
      </c>
      <c r="K689" s="3" t="str">
        <f>IFERROR(__xludf.DUMMYFUNCTION("""COMPUTED_VALUE"""),"Approve")</f>
        <v>Approve</v>
      </c>
      <c r="L689" s="3" t="str">
        <f>IFERROR(__xludf.DUMMYFUNCTION("""COMPUTED_VALUE"""),"Normal")</f>
        <v>Normal</v>
      </c>
      <c r="M689" s="3" t="str">
        <f>IFERROR(__xludf.DUMMYFUNCTION("""COMPUTED_VALUE"""),"Non Urgent")</f>
        <v>Non Urgent</v>
      </c>
    </row>
    <row r="690">
      <c r="A690" s="4">
        <f>IFERROR(__xludf.DUMMYFUNCTION("""COMPUTED_VALUE"""),46185.54784868056)</f>
        <v>46185.54785</v>
      </c>
      <c r="B690" s="3" t="str">
        <f>IFERROR(__xludf.DUMMYFUNCTION("""COMPUTED_VALUE"""),"MOBRO0086")</f>
        <v>MOBRO0086</v>
      </c>
      <c r="C690" s="3" t="str">
        <f>IFERROR(__xludf.DUMMYFUNCTION("""COMPUTED_VALUE"""),"MIn Stok")</f>
        <v>MIn Stok</v>
      </c>
      <c r="D690" s="3" t="str">
        <f>IFERROR(__xludf.DUMMYFUNCTION("""COMPUTED_VALUE"""),"-")</f>
        <v>-</v>
      </c>
      <c r="E690" s="3" t="str">
        <f>IFERROR(__xludf.DUMMYFUNCTION("""COMPUTED_VALUE"""),"Water System")</f>
        <v>Water System</v>
      </c>
      <c r="F690" s="3" t="str">
        <f>IFERROR(__xludf.DUMMYFUNCTION("""COMPUTED_VALUE"""),"IMA F200 Filling Machine - Pall Mini Kleenpak Capsules with Supor EKV Membrane, Filter Capsule 4,1""/0,2 um/0,02 m2/Hydrophilic PVDF/code2/0,25-0,5"" hose barb; Pall; KA02DFLP8G; 1 pcs")</f>
        <v>IMA F200 Filling Machine - Pall Mini Kleenpak Capsules with Supor EKV Membrane, Filter Capsule 4,1"/0,2 um/0,02 m2/Hydrophilic PVDF/code2/0,25-0,5" hose barb; Pall; KA02DFLP8G; 1 pcs</v>
      </c>
      <c r="G690" s="3">
        <f>IFERROR(__xludf.DUMMYFUNCTION("""COMPUTED_VALUE"""),2.0)</f>
        <v>2</v>
      </c>
      <c r="H690" s="3" t="str">
        <f>IFERROR(__xludf.DUMMYFUNCTION("""COMPUTED_VALUE"""),"Pcs")</f>
        <v>Pcs</v>
      </c>
      <c r="I690" s="3" t="str">
        <f>IFERROR(__xludf.DUMMYFUNCTION("""COMPUTED_VALUE"""),"Penggantian rutin Vent Vilter Water System")</f>
        <v>Penggantian rutin Vent Vilter Water System</v>
      </c>
      <c r="J690" s="3" t="str">
        <f>IFERROR(__xludf.DUMMYFUNCTION("""COMPUTED_VALUE"""),"O-11287-00")</f>
        <v>O-11287-00</v>
      </c>
      <c r="K690" s="3" t="str">
        <f>IFERROR(__xludf.DUMMYFUNCTION("""COMPUTED_VALUE"""),"Approve")</f>
        <v>Approve</v>
      </c>
      <c r="L690" s="3" t="str">
        <f>IFERROR(__xludf.DUMMYFUNCTION("""COMPUTED_VALUE"""),"Normal")</f>
        <v>Normal</v>
      </c>
      <c r="M690" s="3" t="str">
        <f>IFERROR(__xludf.DUMMYFUNCTION("""COMPUTED_VALUE"""),"Non Urgent")</f>
        <v>Non Urgent</v>
      </c>
    </row>
    <row r="691">
      <c r="A691" s="4">
        <f>IFERROR(__xludf.DUMMYFUNCTION("""COMPUTED_VALUE"""),46185.54820877314)</f>
        <v>46185.54821</v>
      </c>
      <c r="B691" s="3" t="str">
        <f>IFERROR(__xludf.DUMMYFUNCTION("""COMPUTED_VALUE"""),"MOBRO0087")</f>
        <v>MOBRO0087</v>
      </c>
      <c r="C691" s="3" t="str">
        <f>IFERROR(__xludf.DUMMYFUNCTION("""COMPUTED_VALUE"""),"MIn Stok")</f>
        <v>MIn Stok</v>
      </c>
      <c r="D691" s="3" t="str">
        <f>IFERROR(__xludf.DUMMYFUNCTION("""COMPUTED_VALUE"""),"-")</f>
        <v>-</v>
      </c>
      <c r="E691" s="3" t="str">
        <f>IFERROR(__xludf.DUMMYFUNCTION("""COMPUTED_VALUE"""),"Water System")</f>
        <v>Water System</v>
      </c>
      <c r="F691" s="3" t="str">
        <f>IFERROR(__xludf.DUMMYFUNCTION("""COMPUTED_VALUE"""),"PALL - AB1PFR7PVH4, 0.2 um; ; ;")</f>
        <v>PALL - AB1PFR7PVH4, 0.2 um; ; ;</v>
      </c>
      <c r="G691" s="3">
        <f>IFERROR(__xludf.DUMMYFUNCTION("""COMPUTED_VALUE"""),2.0)</f>
        <v>2</v>
      </c>
      <c r="H691" s="3" t="str">
        <f>IFERROR(__xludf.DUMMYFUNCTION("""COMPUTED_VALUE"""),"Pcs")</f>
        <v>Pcs</v>
      </c>
      <c r="I691" s="3" t="str">
        <f>IFERROR(__xludf.DUMMYFUNCTION("""COMPUTED_VALUE"""),"Penggantian rutin Vent Vilter Water System")</f>
        <v>Penggantian rutin Vent Vilter Water System</v>
      </c>
      <c r="J691" s="3" t="str">
        <f>IFERROR(__xludf.DUMMYFUNCTION("""COMPUTED_VALUE"""),"P-17390-00")</f>
        <v>P-17390-00</v>
      </c>
      <c r="K691" s="3" t="str">
        <f>IFERROR(__xludf.DUMMYFUNCTION("""COMPUTED_VALUE"""),"Approve")</f>
        <v>Approve</v>
      </c>
      <c r="L691" s="3" t="str">
        <f>IFERROR(__xludf.DUMMYFUNCTION("""COMPUTED_VALUE"""),"Normal")</f>
        <v>Normal</v>
      </c>
      <c r="M691" s="3" t="str">
        <f>IFERROR(__xludf.DUMMYFUNCTION("""COMPUTED_VALUE"""),"Non Urgent")</f>
        <v>Non Urgent</v>
      </c>
    </row>
    <row r="692">
      <c r="A692" s="4">
        <f>IFERROR(__xludf.DUMMYFUNCTION("""COMPUTED_VALUE"""),46188.363196481485)</f>
        <v>46188.3632</v>
      </c>
      <c r="B692" s="3" t="str">
        <f>IFERROR(__xludf.DUMMYFUNCTION("""COMPUTED_VALUE"""),"ROSRO0033")</f>
        <v>ROSRO0033</v>
      </c>
      <c r="C692" s="3" t="str">
        <f>IFERROR(__xludf.DUMMYFUNCTION("""COMPUTED_VALUE"""),"Consumable")</f>
        <v>Consumable</v>
      </c>
      <c r="D692" s="3" t="str">
        <f>IFERROR(__xludf.DUMMYFUNCTION("""COMPUTED_VALUE"""),"-")</f>
        <v>-</v>
      </c>
      <c r="E692" s="3" t="str">
        <f>IFERROR(__xludf.DUMMYFUNCTION("""COMPUTED_VALUE"""),"Autoclave Terminal")</f>
        <v>Autoclave Terminal</v>
      </c>
      <c r="F692" s="3" t="str">
        <f>IFERROR(__xludf.DUMMYFUNCTION("""COMPUTED_VALUE"""),"PROXIMITY SENSOR, DATALOGIC M8 FLUSH 2X PNP NC IS-08-G2-S1")</f>
        <v>PROXIMITY SENSOR, DATALOGIC M8 FLUSH 2X PNP NC IS-08-G2-S1</v>
      </c>
      <c r="G692" s="3">
        <f>IFERROR(__xludf.DUMMYFUNCTION("""COMPUTED_VALUE"""),4.0)</f>
        <v>4</v>
      </c>
      <c r="H692" s="3" t="str">
        <f>IFERROR(__xludf.DUMMYFUNCTION("""COMPUTED_VALUE"""),"set")</f>
        <v>set</v>
      </c>
      <c r="I692" s="3" t="str">
        <f>IFERROR(__xludf.DUMMYFUNCTION("""COMPUTED_VALUE"""),"Buat Autoclave Terminal")</f>
        <v>Buat Autoclave Terminal</v>
      </c>
      <c r="J692" s="3" t="str">
        <f>IFERROR(__xludf.DUMMYFUNCTION("""COMPUTED_VALUE"""),"O-51721-00")</f>
        <v>O-51721-00</v>
      </c>
      <c r="K692" s="3" t="str">
        <f>IFERROR(__xludf.DUMMYFUNCTION("""COMPUTED_VALUE"""),"Approve")</f>
        <v>Approve</v>
      </c>
      <c r="L692" s="3" t="str">
        <f>IFERROR(__xludf.DUMMYFUNCTION("""COMPUTED_VALUE"""),"Normal")</f>
        <v>Normal</v>
      </c>
      <c r="M692" s="3" t="str">
        <f>IFERROR(__xludf.DUMMYFUNCTION("""COMPUTED_VALUE"""),"Non Urgent")</f>
        <v>Non Urgent</v>
      </c>
    </row>
    <row r="693">
      <c r="A693" s="4">
        <f>IFERROR(__xludf.DUMMYFUNCTION("""COMPUTED_VALUE"""),46192.42172734954)</f>
        <v>46192.42173</v>
      </c>
      <c r="B693" s="3" t="str">
        <f>IFERROR(__xludf.DUMMYFUNCTION("""COMPUTED_VALUE"""),"WAPRO0001")</f>
        <v>WAPRO0001</v>
      </c>
      <c r="C693" s="3" t="str">
        <f>IFERROR(__xludf.DUMMYFUNCTION("""COMPUTED_VALUE"""),"Consumable")</f>
        <v>Consumable</v>
      </c>
      <c r="D693" s="3" t="str">
        <f>IFERROR(__xludf.DUMMYFUNCTION("""COMPUTED_VALUE"""),"-")</f>
        <v>-</v>
      </c>
      <c r="E693" s="3" t="str">
        <f>IFERROR(__xludf.DUMMYFUNCTION("""COMPUTED_VALUE"""),"Workshop")</f>
        <v>Workshop</v>
      </c>
      <c r="F693" s="3" t="str">
        <f>IFERROR(__xludf.DUMMYFUNCTION("""COMPUTED_VALUE"""),"General - Kawat Las SS E-308 2.0mm; No Brand; -; 1 kg/pack")</f>
        <v>General - Kawat Las SS E-308 2.0mm; No Brand; -; 1 kg/pack</v>
      </c>
      <c r="G693" s="3">
        <f>IFERROR(__xludf.DUMMYFUNCTION("""COMPUTED_VALUE"""),2.0)</f>
        <v>2</v>
      </c>
      <c r="H693" s="3" t="str">
        <f>IFERROR(__xludf.DUMMYFUNCTION("""COMPUTED_VALUE"""),"Pcs")</f>
        <v>Pcs</v>
      </c>
      <c r="I693" s="3" t="str">
        <f>IFERROR(__xludf.DUMMYFUNCTION("""COMPUTED_VALUE"""),"penggunaan las material ss")</f>
        <v>penggunaan las material ss</v>
      </c>
      <c r="J693" s="3" t="str">
        <f>IFERROR(__xludf.DUMMYFUNCTION("""COMPUTED_VALUE"""),"P-20182-00")</f>
        <v>P-20182-00</v>
      </c>
      <c r="K693" s="3" t="str">
        <f>IFERROR(__xludf.DUMMYFUNCTION("""COMPUTED_VALUE"""),"Approve")</f>
        <v>Approve</v>
      </c>
      <c r="L693" s="3" t="str">
        <f>IFERROR(__xludf.DUMMYFUNCTION("""COMPUTED_VALUE"""),"Normal")</f>
        <v>Normal</v>
      </c>
      <c r="M693" s="3" t="str">
        <f>IFERROR(__xludf.DUMMYFUNCTION("""COMPUTED_VALUE"""),"Non Urgent")</f>
        <v>Non Urgent</v>
      </c>
    </row>
    <row r="694">
      <c r="A694" s="4">
        <f>IFERROR(__xludf.DUMMYFUNCTION("""COMPUTED_VALUE"""),46193.410595636575)</f>
        <v>46193.4106</v>
      </c>
      <c r="B694" s="3" t="str">
        <f>IFERROR(__xludf.DUMMYFUNCTION("""COMPUTED_VALUE"""),"MRNRO0051")</f>
        <v>MRNRO0051</v>
      </c>
      <c r="C694" s="3" t="str">
        <f>IFERROR(__xludf.DUMMYFUNCTION("""COMPUTED_VALUE"""),"EJO")</f>
        <v>EJO</v>
      </c>
      <c r="D694" s="3" t="str">
        <f>IFERROR(__xludf.DUMMYFUNCTION("""COMPUTED_VALUE"""),"EJO/2026/02/41")</f>
        <v>EJO/2026/02/41</v>
      </c>
      <c r="E694" s="3" t="str">
        <f>IFERROR(__xludf.DUMMYFUNCTION("""COMPUTED_VALUE"""),"workshop")</f>
        <v>workshop</v>
      </c>
      <c r="F694" s="3" t="str">
        <f>IFERROR(__xludf.DUMMYFUNCTION("""COMPUTED_VALUE"""),"General - Inline Duct Fan 6""; CKE; CDI-150; 1 pcs")</f>
        <v>General - Inline Duct Fan 6"; CKE; CDI-150; 1 pcs</v>
      </c>
      <c r="G694" s="3">
        <f>IFERROR(__xludf.DUMMYFUNCTION("""COMPUTED_VALUE"""),1.0)</f>
        <v>1</v>
      </c>
      <c r="H694" s="3" t="str">
        <f>IFERROR(__xludf.DUMMYFUNCTION("""COMPUTED_VALUE"""),"pcs")</f>
        <v>pcs</v>
      </c>
      <c r="I694" s="3" t="str">
        <f>IFERROR(__xludf.DUMMYFUNCTION("""COMPUTED_VALUE"""),"untuk workshop")</f>
        <v>untuk workshop</v>
      </c>
      <c r="J694" s="3" t="str">
        <f>IFERROR(__xludf.DUMMYFUNCTION("""COMPUTED_VALUE"""),"P-52228-00")</f>
        <v>P-52228-00</v>
      </c>
      <c r="K694" s="3" t="str">
        <f>IFERROR(__xludf.DUMMYFUNCTION("""COMPUTED_VALUE"""),"Approve")</f>
        <v>Approve</v>
      </c>
      <c r="L694" s="3" t="str">
        <f>IFERROR(__xludf.DUMMYFUNCTION("""COMPUTED_VALUE"""),"Normal")</f>
        <v>Normal</v>
      </c>
      <c r="M694" s="3" t="str">
        <f>IFERROR(__xludf.DUMMYFUNCTION("""COMPUTED_VALUE"""),"Non Urgent")</f>
        <v>Non Urgent</v>
      </c>
    </row>
    <row r="695">
      <c r="A695" s="4">
        <f>IFERROR(__xludf.DUMMYFUNCTION("""COMPUTED_VALUE"""),46195.8818983912)</f>
        <v>46195.8819</v>
      </c>
      <c r="B695" s="3" t="str">
        <f>IFERROR(__xludf.DUMMYFUNCTION("""COMPUTED_VALUE"""),"RIARO0096")</f>
        <v>RIARO0096</v>
      </c>
      <c r="C695" s="3" t="str">
        <f>IFERROR(__xludf.DUMMYFUNCTION("""COMPUTED_VALUE"""),"EJO")</f>
        <v>EJO</v>
      </c>
      <c r="D695" s="3" t="str">
        <f>IFERROR(__xludf.DUMMYFUNCTION("""COMPUTED_VALUE"""),"-")</f>
        <v>-</v>
      </c>
      <c r="E695" s="3" t="str">
        <f>IFERROR(__xludf.DUMMYFUNCTION("""COMPUTED_VALUE"""),"R Filling")</f>
        <v>R Filling</v>
      </c>
      <c r="F695" s="3" t="str">
        <f>IFERROR(__xludf.DUMMYFUNCTION("""COMPUTED_VALUE"""),"General - Cover Stop Kontak; Schneider; IEC 60529 BS5733; 1 pcs")</f>
        <v>General - Cover Stop Kontak; Schneider; IEC 60529 BS5733; 1 pcs</v>
      </c>
      <c r="G695" s="3">
        <f>IFERROR(__xludf.DUMMYFUNCTION("""COMPUTED_VALUE"""),2.0)</f>
        <v>2</v>
      </c>
      <c r="H695" s="3" t="str">
        <f>IFERROR(__xludf.DUMMYFUNCTION("""COMPUTED_VALUE"""),"Pcs")</f>
        <v>Pcs</v>
      </c>
      <c r="I695" s="3" t="str">
        <f>IFERROR(__xludf.DUMMYFUNCTION("""COMPUTED_VALUE"""),"Buat Project New Filling")</f>
        <v>Buat Project New Filling</v>
      </c>
      <c r="J695" s="3" t="str">
        <f>IFERROR(__xludf.DUMMYFUNCTION("""COMPUTED_VALUE"""),"P-54210-00")</f>
        <v>P-54210-00</v>
      </c>
      <c r="K695" s="3" t="str">
        <f>IFERROR(__xludf.DUMMYFUNCTION("""COMPUTED_VALUE"""),"Approve")</f>
        <v>Approve</v>
      </c>
      <c r="L695" s="3" t="str">
        <f>IFERROR(__xludf.DUMMYFUNCTION("""COMPUTED_VALUE"""),"Normal")</f>
        <v>Normal</v>
      </c>
      <c r="M695" s="3" t="str">
        <f>IFERROR(__xludf.DUMMYFUNCTION("""COMPUTED_VALUE"""),"Non Urgent")</f>
        <v>Non Urgent</v>
      </c>
    </row>
    <row r="696">
      <c r="A696" s="4">
        <f>IFERROR(__xludf.DUMMYFUNCTION("""COMPUTED_VALUE"""),46197.62707462963)</f>
        <v>46197.62707</v>
      </c>
      <c r="B696" s="3" t="str">
        <f>IFERROR(__xludf.DUMMYFUNCTION("""COMPUTED_VALUE"""),"RIARO0097")</f>
        <v>RIARO0097</v>
      </c>
      <c r="C696" s="3" t="str">
        <f>IFERROR(__xludf.DUMMYFUNCTION("""COMPUTED_VALUE"""),"EJO")</f>
        <v>EJO</v>
      </c>
      <c r="D696" s="3" t="str">
        <f>IFERROR(__xludf.DUMMYFUNCTION("""COMPUTED_VALUE"""),"-")</f>
        <v>-</v>
      </c>
      <c r="E696" s="3" t="str">
        <f>IFERROR(__xludf.DUMMYFUNCTION("""COMPUTED_VALUE"""),"AHU")</f>
        <v>AHU</v>
      </c>
      <c r="F696" s="3" t="str">
        <f>IFERROR(__xludf.DUMMYFUNCTION("""COMPUTED_VALUE"""),"General - Rotary Air Damper Actuator GDB166.1E; Siemens; S55499-D377; 1 pcs")</f>
        <v>General - Rotary Air Damper Actuator GDB166.1E; Siemens; S55499-D377; 1 pcs</v>
      </c>
      <c r="G696" s="3">
        <f>IFERROR(__xludf.DUMMYFUNCTION("""COMPUTED_VALUE"""),20.0)</f>
        <v>20</v>
      </c>
      <c r="H696" s="3" t="str">
        <f>IFERROR(__xludf.DUMMYFUNCTION("""COMPUTED_VALUE"""),"Pcs")</f>
        <v>Pcs</v>
      </c>
      <c r="I696" s="3" t="str">
        <f>IFERROR(__xludf.DUMMYFUNCTION("""COMPUTED_VALUE"""),"Untuk motorized vav")</f>
        <v>Untuk motorized vav</v>
      </c>
      <c r="J696" s="3" t="str">
        <f>IFERROR(__xludf.DUMMYFUNCTION("""COMPUTED_VALUE"""),"P-52017-00")</f>
        <v>P-52017-00</v>
      </c>
      <c r="K696" s="3" t="str">
        <f>IFERROR(__xludf.DUMMYFUNCTION("""COMPUTED_VALUE"""),"Approve")</f>
        <v>Approve</v>
      </c>
      <c r="L696" s="3" t="str">
        <f>IFERROR(__xludf.DUMMYFUNCTION("""COMPUTED_VALUE"""),"Normal")</f>
        <v>Normal</v>
      </c>
      <c r="M696" s="3" t="str">
        <f>IFERROR(__xludf.DUMMYFUNCTION("""COMPUTED_VALUE"""),"Non Urgent")</f>
        <v>Non Urgent</v>
      </c>
    </row>
    <row r="697">
      <c r="A697" s="4">
        <f>IFERROR(__xludf.DUMMYFUNCTION("""COMPUTED_VALUE"""),46204.94041495371)</f>
        <v>46204.94041</v>
      </c>
      <c r="B697" s="3" t="str">
        <f>IFERROR(__xludf.DUMMYFUNCTION("""COMPUTED_VALUE"""),"ROSRO0034")</f>
        <v>ROSRO0034</v>
      </c>
      <c r="C697" s="3" t="str">
        <f>IFERROR(__xludf.DUMMYFUNCTION("""COMPUTED_VALUE"""),"MIn Stok")</f>
        <v>MIn Stok</v>
      </c>
      <c r="D697" s="3" t="str">
        <f>IFERROR(__xludf.DUMMYFUNCTION("""COMPUTED_VALUE"""),"-")</f>
        <v>-</v>
      </c>
      <c r="E697" s="3" t="str">
        <f>IFERROR(__xludf.DUMMYFUNCTION("""COMPUTED_VALUE"""),"Autoclave Lab micro ")</f>
        <v>Autoclave Lab micro </v>
      </c>
      <c r="F697" s="3" t="str">
        <f>IFERROR(__xludf.DUMMYFUNCTION("""COMPUTED_VALUE"""),"Autoclave - Oring 70 x 59 x 5.5 mm Viton Custom/Lokal  -")</f>
        <v>Autoclave - Oring 70 x 59 x 5.5 mm Viton Custom/Lokal  -</v>
      </c>
      <c r="G697" s="3">
        <f>IFERROR(__xludf.DUMMYFUNCTION("""COMPUTED_VALUE"""),5.0)</f>
        <v>5</v>
      </c>
      <c r="H697" s="3" t="str">
        <f>IFERROR(__xludf.DUMMYFUNCTION("""COMPUTED_VALUE"""),"pcs")</f>
        <v>pcs</v>
      </c>
      <c r="I697" s="3" t="str">
        <f>IFERROR(__xludf.DUMMYFUNCTION("""COMPUTED_VALUE"""),"Buat Heater autoclave lab mikro ")</f>
        <v>Buat Heater autoclave lab mikro </v>
      </c>
      <c r="J697" s="3" t="str">
        <f>IFERROR(__xludf.DUMMYFUNCTION("""COMPUTED_VALUE"""),"O-20294-00")</f>
        <v>O-20294-00</v>
      </c>
      <c r="K697" s="3" t="str">
        <f>IFERROR(__xludf.DUMMYFUNCTION("""COMPUTED_VALUE"""),"Approve")</f>
        <v>Approve</v>
      </c>
      <c r="L697" s="3" t="str">
        <f>IFERROR(__xludf.DUMMYFUNCTION("""COMPUTED_VALUE"""),"Normal")</f>
        <v>Normal</v>
      </c>
      <c r="M697" s="3" t="str">
        <f>IFERROR(__xludf.DUMMYFUNCTION("""COMPUTED_VALUE"""),"Non Urgent")</f>
        <v>Non Urgent</v>
      </c>
    </row>
    <row r="698">
      <c r="A698" s="4">
        <f>IFERROR(__xludf.DUMMYFUNCTION("""COMPUTED_VALUE"""),46216.16260428241)</f>
        <v>46216.1626</v>
      </c>
      <c r="B698" s="3" t="str">
        <f>IFERROR(__xludf.DUMMYFUNCTION("""COMPUTED_VALUE"""),"ROSRO0035")</f>
        <v>ROSRO0035</v>
      </c>
      <c r="C698" s="3" t="str">
        <f>IFERROR(__xludf.DUMMYFUNCTION("""COMPUTED_VALUE"""),"EJO")</f>
        <v>EJO</v>
      </c>
      <c r="D698" s="3" t="str">
        <f>IFERROR(__xludf.DUMMYFUNCTION("""COMPUTED_VALUE"""),"EJO/2026/06/114")</f>
        <v>EJO/2026/06/114</v>
      </c>
      <c r="E698" s="3" t="str">
        <f>IFERROR(__xludf.DUMMYFUNCTION("""COMPUTED_VALUE"""),"Washing ")</f>
        <v>Washing </v>
      </c>
      <c r="F698" s="3" t="str">
        <f>IFERROR(__xludf.DUMMYFUNCTION("""COMPUTED_VALUE"""),"Strainer Machine - Strainer Crabs CR4 Capping 18X20 mm Custom/Lokal")</f>
        <v>Strainer Machine - Strainer Crabs CR4 Capping 18X20 mm Custom/Lokal</v>
      </c>
      <c r="G698" s="3">
        <f>IFERROR(__xludf.DUMMYFUNCTION("""COMPUTED_VALUE"""),1.0)</f>
        <v>1</v>
      </c>
      <c r="H698" s="3" t="str">
        <f>IFERROR(__xludf.DUMMYFUNCTION("""COMPUTED_VALUE"""),"pcs")</f>
        <v>pcs</v>
      </c>
      <c r="I698" s="3" t="str">
        <f>IFERROR(__xludf.DUMMYFUNCTION("""COMPUTED_VALUE"""),"drain washing ")</f>
        <v>drain washing </v>
      </c>
      <c r="J698" s="3" t="str">
        <f>IFERROR(__xludf.DUMMYFUNCTION("""COMPUTED_VALUE"""),"O-20292-00")</f>
        <v>O-20292-00</v>
      </c>
      <c r="K698" s="3" t="str">
        <f>IFERROR(__xludf.DUMMYFUNCTION("""COMPUTED_VALUE"""),"Approve")</f>
        <v>Approve</v>
      </c>
      <c r="L698" s="3" t="str">
        <f>IFERROR(__xludf.DUMMYFUNCTION("""COMPUTED_VALUE"""),"Normal")</f>
        <v>Normal</v>
      </c>
      <c r="M698" s="3" t="str">
        <f>IFERROR(__xludf.DUMMYFUNCTION("""COMPUTED_VALUE"""),"Non Urgent")</f>
        <v>Non Urgent</v>
      </c>
    </row>
    <row r="699">
      <c r="A699" s="4">
        <f>IFERROR(__xludf.DUMMYFUNCTION("""COMPUTED_VALUE"""),46218.749626909725)</f>
        <v>46218.74963</v>
      </c>
      <c r="B699" s="3" t="str">
        <f>IFERROR(__xludf.DUMMYFUNCTION("""COMPUTED_VALUE"""),"NDSRO0022")</f>
        <v>NDSRO0022</v>
      </c>
      <c r="C699" s="3" t="str">
        <f>IFERROR(__xludf.DUMMYFUNCTION("""COMPUTED_VALUE"""),"MIn Stok")</f>
        <v>MIn Stok</v>
      </c>
      <c r="D699" s="3" t="str">
        <f>IFERROR(__xludf.DUMMYFUNCTION("""COMPUTED_VALUE"""),"-")</f>
        <v>-</v>
      </c>
      <c r="E699" s="3" t="str">
        <f>IFERROR(__xludf.DUMMYFUNCTION("""COMPUTED_VALUE"""),"Cartoning")</f>
        <v>Cartoning</v>
      </c>
      <c r="F699" s="3" t="str">
        <f>IFERROR(__xludf.DUMMYFUNCTION("""COMPUTED_VALUE"""),"Marchesini MA255 Cartoning Machine - Flat Belt, 728 x 40 x 1 mm; Custom/Lokal; -; 1 unt")</f>
        <v>Marchesini MA255 Cartoning Machine - Flat Belt, 728 x 40 x 1 mm; Custom/Lokal; -; 1 unt</v>
      </c>
      <c r="G699" s="3">
        <f>IFERROR(__xludf.DUMMYFUNCTION("""COMPUTED_VALUE"""),2.0)</f>
        <v>2</v>
      </c>
      <c r="H699" s="3" t="str">
        <f>IFERROR(__xludf.DUMMYFUNCTION("""COMPUTED_VALUE"""),"Pcs")</f>
        <v>Pcs</v>
      </c>
      <c r="I699" s="3" t="str">
        <f>IFERROR(__xludf.DUMMYFUNCTION("""COMPUTED_VALUE"""),"untuk spare, karena di sparepart stock habis")</f>
        <v>untuk spare, karena di sparepart stock habis</v>
      </c>
      <c r="J699" s="3" t="str">
        <f>IFERROR(__xludf.DUMMYFUNCTION("""COMPUTED_VALUE"""),"O-13617-00")</f>
        <v>O-13617-00</v>
      </c>
      <c r="K699" s="3" t="str">
        <f>IFERROR(__xludf.DUMMYFUNCTION("""COMPUTED_VALUE"""),"Approve")</f>
        <v>Approve</v>
      </c>
      <c r="L699" s="3" t="str">
        <f>IFERROR(__xludf.DUMMYFUNCTION("""COMPUTED_VALUE"""),"Normal")</f>
        <v>Normal</v>
      </c>
      <c r="M699" s="3" t="str">
        <f>IFERROR(__xludf.DUMMYFUNCTION("""COMPUTED_VALUE"""),"Non Urgent")</f>
        <v>Non Urgent</v>
      </c>
    </row>
    <row r="700">
      <c r="A700" s="4">
        <f>IFERROR(__xludf.DUMMYFUNCTION("""COMPUTED_VALUE"""),46221.281111585646)</f>
        <v>46221.28111</v>
      </c>
      <c r="B700" s="3" t="str">
        <f>IFERROR(__xludf.DUMMYFUNCTION("""COMPUTED_VALUE"""),"ROSRO0036")</f>
        <v>ROSRO0036</v>
      </c>
      <c r="C700" s="3" t="str">
        <f>IFERROR(__xludf.DUMMYFUNCTION("""COMPUTED_VALUE"""),"MIn Stok")</f>
        <v>MIn Stok</v>
      </c>
      <c r="D700" s="3" t="str">
        <f>IFERROR(__xludf.DUMMYFUNCTION("""COMPUTED_VALUE"""),"-")</f>
        <v>-</v>
      </c>
      <c r="E700" s="3" t="str">
        <f>IFERROR(__xludf.DUMMYFUNCTION("""COMPUTED_VALUE"""),"crabs")</f>
        <v>crabs</v>
      </c>
      <c r="F700" s="3" t="str">
        <f>IFERROR(__xludf.DUMMYFUNCTION("""COMPUTED_VALUE"""),"cRABS Z064CR - Glove Port Pom White Uk: 227x310x15.25mm; Custom/Lokal; -; 1 Pc")</f>
        <v>cRABS Z064CR - Glove Port Pom White Uk: 227x310x15.25mm; Custom/Lokal; -; 1 Pc</v>
      </c>
      <c r="G700" s="3">
        <f>IFERROR(__xludf.DUMMYFUNCTION("""COMPUTED_VALUE"""),2.0)</f>
        <v>2</v>
      </c>
      <c r="H700" s="3" t="str">
        <f>IFERROR(__xludf.DUMMYFUNCTION("""COMPUTED_VALUE"""),"pcs")</f>
        <v>pcs</v>
      </c>
      <c r="I700" s="3" t="str">
        <f>IFERROR(__xludf.DUMMYFUNCTION("""COMPUTED_VALUE"""),"1 buat Spare 
1 buat pergantian di CR4 capping")</f>
        <v>1 buat Spare 
1 buat pergantian di CR4 capping</v>
      </c>
      <c r="J700" s="3" t="str">
        <f>IFERROR(__xludf.DUMMYFUNCTION("""COMPUTED_VALUE"""),"O-20918-00")</f>
        <v>O-20918-00</v>
      </c>
      <c r="K700" s="3" t="str">
        <f>IFERROR(__xludf.DUMMYFUNCTION("""COMPUTED_VALUE"""),"Approve")</f>
        <v>Approve</v>
      </c>
      <c r="L700" s="3" t="str">
        <f>IFERROR(__xludf.DUMMYFUNCTION("""COMPUTED_VALUE"""),"Normal")</f>
        <v>Normal</v>
      </c>
      <c r="M700" s="3" t="str">
        <f>IFERROR(__xludf.DUMMYFUNCTION("""COMPUTED_VALUE"""),"Non Urgent")</f>
        <v>Non Urgent</v>
      </c>
    </row>
    <row r="701">
      <c r="A701" s="4">
        <f>IFERROR(__xludf.DUMMYFUNCTION("""COMPUTED_VALUE"""),46225.60162252315)</f>
        <v>46225.60162</v>
      </c>
      <c r="B701" s="3" t="str">
        <f>IFERROR(__xludf.DUMMYFUNCTION("""COMPUTED_VALUE"""),"RIARO0098")</f>
        <v>RIARO0098</v>
      </c>
      <c r="C701" s="3" t="str">
        <f>IFERROR(__xludf.DUMMYFUNCTION("""COMPUTED_VALUE"""),"EJO")</f>
        <v>EJO</v>
      </c>
      <c r="D701" s="3" t="str">
        <f>IFERROR(__xludf.DUMMYFUNCTION("""COMPUTED_VALUE"""),"-")</f>
        <v>-</v>
      </c>
      <c r="E701" s="3" t="str">
        <f>IFERROR(__xludf.DUMMYFUNCTION("""COMPUTED_VALUE"""),"EF C1-41")</f>
        <v>EF C1-41</v>
      </c>
      <c r="F701" s="3" t="str">
        <f>IFERROR(__xludf.DUMMYFUNCTION("""COMPUTED_VALUE"""),"General - Actuator; Belimo; GMX120-3; 1 pcs")</f>
        <v>General - Actuator; Belimo; GMX120-3; 1 pcs</v>
      </c>
      <c r="G701" s="3">
        <f>IFERROR(__xludf.DUMMYFUNCTION("""COMPUTED_VALUE"""),1.0)</f>
        <v>1</v>
      </c>
      <c r="H701" s="3" t="str">
        <f>IFERROR(__xludf.DUMMYFUNCTION("""COMPUTED_VALUE"""),"Pcs")</f>
        <v>Pcs</v>
      </c>
      <c r="I701" s="3" t="str">
        <f>IFERROR(__xludf.DUMMYFUNCTION("""COMPUTED_VALUE"""),"Untuk motorized damper EF C1-41")</f>
        <v>Untuk motorized damper EF C1-41</v>
      </c>
      <c r="J701" s="3" t="str">
        <f>IFERROR(__xludf.DUMMYFUNCTION("""COMPUTED_VALUE"""),"P-53094-00")</f>
        <v>P-53094-00</v>
      </c>
      <c r="K701" s="3" t="str">
        <f>IFERROR(__xludf.DUMMYFUNCTION("""COMPUTED_VALUE"""),"Approve")</f>
        <v>Approve</v>
      </c>
      <c r="L701" s="3" t="str">
        <f>IFERROR(__xludf.DUMMYFUNCTION("""COMPUTED_VALUE"""),"Normal")</f>
        <v>Normal</v>
      </c>
      <c r="M701" s="3" t="str">
        <f>IFERROR(__xludf.DUMMYFUNCTION("""COMPUTED_VALUE"""),"Non Urgent")</f>
        <v>Non Urgent</v>
      </c>
    </row>
    <row r="702">
      <c r="A702" s="4">
        <f>IFERROR(__xludf.DUMMYFUNCTION("""COMPUTED_VALUE"""),46225.60261159722)</f>
        <v>46225.60261</v>
      </c>
      <c r="B702" s="3" t="str">
        <f>IFERROR(__xludf.DUMMYFUNCTION("""COMPUTED_VALUE"""),"RIARO0099")</f>
        <v>RIARO0099</v>
      </c>
      <c r="C702" s="3" t="str">
        <f>IFERROR(__xludf.DUMMYFUNCTION("""COMPUTED_VALUE"""),"EJO")</f>
        <v>EJO</v>
      </c>
      <c r="D702" s="3" t="str">
        <f>IFERROR(__xludf.DUMMYFUNCTION("""COMPUTED_VALUE"""),"-")</f>
        <v>-</v>
      </c>
      <c r="E702" s="3" t="str">
        <f>IFERROR(__xludf.DUMMYFUNCTION("""COMPUTED_VALUE"""),"EF D1-12")</f>
        <v>EF D1-12</v>
      </c>
      <c r="F702" s="3" t="str">
        <f>IFERROR(__xludf.DUMMYFUNCTION("""COMPUTED_VALUE"""),"General - Motorize Valve; Belimo; NMX 120-3; 1 pc")</f>
        <v>General - Motorize Valve; Belimo; NMX 120-3; 1 pc</v>
      </c>
      <c r="G702" s="3">
        <f>IFERROR(__xludf.DUMMYFUNCTION("""COMPUTED_VALUE"""),1.0)</f>
        <v>1</v>
      </c>
      <c r="H702" s="3" t="str">
        <f>IFERROR(__xludf.DUMMYFUNCTION("""COMPUTED_VALUE"""),"Pcs")</f>
        <v>Pcs</v>
      </c>
      <c r="I702" s="3" t="str">
        <f>IFERROR(__xludf.DUMMYFUNCTION("""COMPUTED_VALUE"""),"Untuk ganti motorized damper")</f>
        <v>Untuk ganti motorized damper</v>
      </c>
      <c r="J702" s="3" t="str">
        <f>IFERROR(__xludf.DUMMYFUNCTION("""COMPUTED_VALUE"""),"P-20637-00")</f>
        <v>P-20637-00</v>
      </c>
      <c r="K702" s="3" t="str">
        <f>IFERROR(__xludf.DUMMYFUNCTION("""COMPUTED_VALUE"""),"Approve")</f>
        <v>Approve</v>
      </c>
      <c r="L702" s="3" t="str">
        <f>IFERROR(__xludf.DUMMYFUNCTION("""COMPUTED_VALUE"""),"Normal")</f>
        <v>Normal</v>
      </c>
      <c r="M702" s="3" t="str">
        <f>IFERROR(__xludf.DUMMYFUNCTION("""COMPUTED_VALUE"""),"Non Urgent")</f>
        <v>Non Urgent</v>
      </c>
    </row>
    <row r="703">
      <c r="A703" s="4">
        <f>IFERROR(__xludf.DUMMYFUNCTION("""COMPUTED_VALUE"""),46225.60990728009)</f>
        <v>46225.60991</v>
      </c>
      <c r="B703" s="3" t="str">
        <f>IFERROR(__xludf.DUMMYFUNCTION("""COMPUTED_VALUE"""),"RIARO0100")</f>
        <v>RIARO0100</v>
      </c>
      <c r="C703" s="3" t="str">
        <f>IFERROR(__xludf.DUMMYFUNCTION("""COMPUTED_VALUE"""),"EJO")</f>
        <v>EJO</v>
      </c>
      <c r="D703" s="3" t="str">
        <f>IFERROR(__xludf.DUMMYFUNCTION("""COMPUTED_VALUE"""),"EJO/2026/08/024")</f>
        <v>EJO/2026/08/024</v>
      </c>
      <c r="E703" s="3" t="str">
        <f>IFERROR(__xludf.DUMMYFUNCTION("""COMPUTED_VALUE"""),"AHU C12")</f>
        <v>AHU C12</v>
      </c>
      <c r="F703" s="3" t="str">
        <f>IFERROR(__xludf.DUMMYFUNCTION("""COMPUTED_VALUE"""),"General - Actuator; Belimo; GMX120-3; 1 pcs")</f>
        <v>General - Actuator; Belimo; GMX120-3; 1 pcs</v>
      </c>
      <c r="G703" s="3">
        <f>IFERROR(__xludf.DUMMYFUNCTION("""COMPUTED_VALUE"""),1.0)</f>
        <v>1</v>
      </c>
      <c r="H703" s="3" t="str">
        <f>IFERROR(__xludf.DUMMYFUNCTION("""COMPUTED_VALUE"""),"Pcs")</f>
        <v>Pcs</v>
      </c>
      <c r="I703" s="3" t="str">
        <f>IFERROR(__xludf.DUMMYFUNCTION("""COMPUTED_VALUE"""),"Untuk ganti motorized damper")</f>
        <v>Untuk ganti motorized damper</v>
      </c>
      <c r="J703" s="3" t="str">
        <f>IFERROR(__xludf.DUMMYFUNCTION("""COMPUTED_VALUE"""),"P-53094-00")</f>
        <v>P-53094-00</v>
      </c>
      <c r="K703" s="3" t="str">
        <f>IFERROR(__xludf.DUMMYFUNCTION("""COMPUTED_VALUE"""),"Approve")</f>
        <v>Approve</v>
      </c>
      <c r="L703" s="3" t="str">
        <f>IFERROR(__xludf.DUMMYFUNCTION("""COMPUTED_VALUE"""),"Normal")</f>
        <v>Normal</v>
      </c>
      <c r="M703" s="3" t="str">
        <f>IFERROR(__xludf.DUMMYFUNCTION("""COMPUTED_VALUE"""),"Non Urgent")</f>
        <v>Non Urgent</v>
      </c>
    </row>
    <row r="704">
      <c r="A704" s="4">
        <f>IFERROR(__xludf.DUMMYFUNCTION("""COMPUTED_VALUE"""),46225.62660643518)</f>
        <v>46225.62661</v>
      </c>
      <c r="B704" s="3" t="str">
        <f>IFERROR(__xludf.DUMMYFUNCTION("""COMPUTED_VALUE"""),"RIARO0101")</f>
        <v>RIARO0101</v>
      </c>
      <c r="C704" s="3" t="str">
        <f>IFERROR(__xludf.DUMMYFUNCTION("""COMPUTED_VALUE"""),"EJO")</f>
        <v>EJO</v>
      </c>
      <c r="D704" s="3" t="str">
        <f>IFERROR(__xludf.DUMMYFUNCTION("""COMPUTED_VALUE"""),"EJO/2026/08/021")</f>
        <v>EJO/2026/08/021</v>
      </c>
      <c r="E704" s="3" t="str">
        <f>IFERROR(__xludf.DUMMYFUNCTION("""COMPUTED_VALUE"""),"EF D1-12")</f>
        <v>EF D1-12</v>
      </c>
      <c r="F704" s="3" t="str">
        <f>IFERROR(__xludf.DUMMYFUNCTION("""COMPUTED_VALUE"""),"General - Motorize Valve; Belimo; NMX 120-3; 1 pc")</f>
        <v>General - Motorize Valve; Belimo; NMX 120-3; 1 pc</v>
      </c>
      <c r="G704" s="3">
        <f>IFERROR(__xludf.DUMMYFUNCTION("""COMPUTED_VALUE"""),1.0)</f>
        <v>1</v>
      </c>
      <c r="H704" s="3" t="str">
        <f>IFERROR(__xludf.DUMMYFUNCTION("""COMPUTED_VALUE"""),"Pcs")</f>
        <v>Pcs</v>
      </c>
      <c r="I704" s="3" t="str">
        <f>IFERROR(__xludf.DUMMYFUNCTION("""COMPUTED_VALUE"""),"Untuk ganti motorized damper")</f>
        <v>Untuk ganti motorized damper</v>
      </c>
      <c r="J704" s="3" t="str">
        <f>IFERROR(__xludf.DUMMYFUNCTION("""COMPUTED_VALUE"""),"P-20637-00")</f>
        <v>P-20637-00</v>
      </c>
      <c r="K704" s="3" t="str">
        <f>IFERROR(__xludf.DUMMYFUNCTION("""COMPUTED_VALUE"""),"Approve")</f>
        <v>Approve</v>
      </c>
      <c r="L704" s="3" t="str">
        <f>IFERROR(__xludf.DUMMYFUNCTION("""COMPUTED_VALUE"""),"Normal")</f>
        <v>Normal</v>
      </c>
      <c r="M704" s="3" t="str">
        <f>IFERROR(__xludf.DUMMYFUNCTION("""COMPUTED_VALUE"""),"Non Urgent")</f>
        <v>Non Urgent</v>
      </c>
    </row>
    <row r="705">
      <c r="A705" s="4">
        <f>IFERROR(__xludf.DUMMYFUNCTION("""COMPUTED_VALUE"""),46225.62832565972)</f>
        <v>46225.62833</v>
      </c>
      <c r="B705" s="3" t="str">
        <f>IFERROR(__xludf.DUMMYFUNCTION("""COMPUTED_VALUE"""),"RIARO0102")</f>
        <v>RIARO0102</v>
      </c>
      <c r="C705" s="3" t="str">
        <f>IFERROR(__xludf.DUMMYFUNCTION("""COMPUTED_VALUE"""),"EJO")</f>
        <v>EJO</v>
      </c>
      <c r="D705" s="3" t="str">
        <f>IFERROR(__xludf.DUMMYFUNCTION("""COMPUTED_VALUE"""),"EJO/2026/08/022")</f>
        <v>EJO/2026/08/022</v>
      </c>
      <c r="E705" s="3" t="str">
        <f>IFERROR(__xludf.DUMMYFUNCTION("""COMPUTED_VALUE"""),"AHU D1-1")</f>
        <v>AHU D1-1</v>
      </c>
      <c r="F705" s="3" t="str">
        <f>IFERROR(__xludf.DUMMYFUNCTION("""COMPUTED_VALUE"""),"General - Motorize Valve; Belimo; NMX 120-3; 1 pc")</f>
        <v>General - Motorize Valve; Belimo; NMX 120-3; 1 pc</v>
      </c>
      <c r="G705" s="3">
        <f>IFERROR(__xludf.DUMMYFUNCTION("""COMPUTED_VALUE"""),1.0)</f>
        <v>1</v>
      </c>
      <c r="H705" s="3" t="str">
        <f>IFERROR(__xludf.DUMMYFUNCTION("""COMPUTED_VALUE"""),"Pcs")</f>
        <v>Pcs</v>
      </c>
      <c r="I705" s="3" t="str">
        <f>IFERROR(__xludf.DUMMYFUNCTION("""COMPUTED_VALUE"""),"Untuk ganti motorized damper")</f>
        <v>Untuk ganti motorized damper</v>
      </c>
      <c r="J705" s="3" t="str">
        <f>IFERROR(__xludf.DUMMYFUNCTION("""COMPUTED_VALUE"""),"P-20637-00")</f>
        <v>P-20637-00</v>
      </c>
      <c r="K705" s="3" t="str">
        <f>IFERROR(__xludf.DUMMYFUNCTION("""COMPUTED_VALUE"""),"Approve")</f>
        <v>Approve</v>
      </c>
      <c r="L705" s="3" t="str">
        <f>IFERROR(__xludf.DUMMYFUNCTION("""COMPUTED_VALUE"""),"Normal")</f>
        <v>Normal</v>
      </c>
      <c r="M705" s="3" t="str">
        <f>IFERROR(__xludf.DUMMYFUNCTION("""COMPUTED_VALUE"""),"Non Urgent")</f>
        <v>Non Urgent</v>
      </c>
    </row>
    <row r="706">
      <c r="A706" s="4">
        <f>IFERROR(__xludf.DUMMYFUNCTION("""COMPUTED_VALUE"""),46225.629403043975)</f>
        <v>46225.6294</v>
      </c>
      <c r="B706" s="3" t="str">
        <f>IFERROR(__xludf.DUMMYFUNCTION("""COMPUTED_VALUE"""),"RIARO0103")</f>
        <v>RIARO0103</v>
      </c>
      <c r="C706" s="3" t="str">
        <f>IFERROR(__xludf.DUMMYFUNCTION("""COMPUTED_VALUE"""),"EJO")</f>
        <v>EJO</v>
      </c>
      <c r="D706" s="3" t="str">
        <f>IFERROR(__xludf.DUMMYFUNCTION("""COMPUTED_VALUE"""),"EJO/2026/08/023")</f>
        <v>EJO/2026/08/023</v>
      </c>
      <c r="E706" s="3" t="str">
        <f>IFERROR(__xludf.DUMMYFUNCTION("""COMPUTED_VALUE"""),"AHU C13")</f>
        <v>AHU C13</v>
      </c>
      <c r="F706" s="3" t="str">
        <f>IFERROR(__xludf.DUMMYFUNCTION("""COMPUTED_VALUE"""),"General - Motorize Valve; Belimo; NMX 120-3; 1 pc")</f>
        <v>General - Motorize Valve; Belimo; NMX 120-3; 1 pc</v>
      </c>
      <c r="G706" s="3">
        <f>IFERROR(__xludf.DUMMYFUNCTION("""COMPUTED_VALUE"""),1.0)</f>
        <v>1</v>
      </c>
      <c r="H706" s="3" t="str">
        <f>IFERROR(__xludf.DUMMYFUNCTION("""COMPUTED_VALUE"""),"Pcs")</f>
        <v>Pcs</v>
      </c>
      <c r="I706" s="3" t="str">
        <f>IFERROR(__xludf.DUMMYFUNCTION("""COMPUTED_VALUE"""),"Untuk ganti motorized damper")</f>
        <v>Untuk ganti motorized damper</v>
      </c>
      <c r="J706" s="3" t="str">
        <f>IFERROR(__xludf.DUMMYFUNCTION("""COMPUTED_VALUE"""),"P-20637-00")</f>
        <v>P-20637-00</v>
      </c>
      <c r="K706" s="3" t="str">
        <f>IFERROR(__xludf.DUMMYFUNCTION("""COMPUTED_VALUE"""),"Approve")</f>
        <v>Approve</v>
      </c>
      <c r="L706" s="3" t="str">
        <f>IFERROR(__xludf.DUMMYFUNCTION("""COMPUTED_VALUE"""),"Normal")</f>
        <v>Normal</v>
      </c>
      <c r="M706" s="3" t="str">
        <f>IFERROR(__xludf.DUMMYFUNCTION("""COMPUTED_VALUE"""),"Non Urgent")</f>
        <v>Non Urgent</v>
      </c>
    </row>
    <row r="707">
      <c r="A707" s="4">
        <f>IFERROR(__xludf.DUMMYFUNCTION("""COMPUTED_VALUE"""),46225.64109975695)</f>
        <v>46225.6411</v>
      </c>
      <c r="B707" s="3" t="str">
        <f>IFERROR(__xludf.DUMMYFUNCTION("""COMPUTED_VALUE"""),"ROSRO0037")</f>
        <v>ROSRO0037</v>
      </c>
      <c r="C707" s="3" t="str">
        <f>IFERROR(__xludf.DUMMYFUNCTION("""COMPUTED_VALUE"""),"EJO")</f>
        <v>EJO</v>
      </c>
      <c r="D707" s="3" t="str">
        <f>IFERROR(__xludf.DUMMYFUNCTION("""COMPUTED_VALUE"""),"EJO Menyusul")</f>
        <v>EJO Menyusul</v>
      </c>
      <c r="E707" s="3" t="str">
        <f>IFERROR(__xludf.DUMMYFUNCTION("""COMPUTED_VALUE"""),"CC1000 retained")</f>
        <v>CC1000 retained</v>
      </c>
      <c r="F707" s="3" t="str">
        <f>IFERROR(__xludf.DUMMYFUNCTION("""COMPUTED_VALUE"""),"CC600L Machine - Coil Evaporator Uk. 40 cm x 15 x 15, Material Tembaga; Custom/Lokal; -; 1 Unit")</f>
        <v>CC600L Machine - Coil Evaporator Uk. 40 cm x 15 x 15, Material Tembaga; Custom/Lokal; -; 1 Unit</v>
      </c>
      <c r="G707" s="3">
        <f>IFERROR(__xludf.DUMMYFUNCTION("""COMPUTED_VALUE"""),1.0)</f>
        <v>1</v>
      </c>
      <c r="H707" s="3" t="str">
        <f>IFERROR(__xludf.DUMMYFUNCTION("""COMPUTED_VALUE"""),"pcs")</f>
        <v>pcs</v>
      </c>
      <c r="I707" s="3" t="str">
        <f>IFERROR(__xludf.DUMMYFUNCTION("""COMPUTED_VALUE"""),"buat CC 1000 Retained")</f>
        <v>buat CC 1000 Retained</v>
      </c>
      <c r="J707" s="3" t="str">
        <f>IFERROR(__xludf.DUMMYFUNCTION("""COMPUTED_VALUE"""),"O-19911-00")</f>
        <v>O-19911-00</v>
      </c>
      <c r="K707" s="3" t="str">
        <f>IFERROR(__xludf.DUMMYFUNCTION("""COMPUTED_VALUE"""),"Approve")</f>
        <v>Approve</v>
      </c>
      <c r="L707" s="3" t="str">
        <f>IFERROR(__xludf.DUMMYFUNCTION("""COMPUTED_VALUE"""),"Normal")</f>
        <v>Normal</v>
      </c>
      <c r="M707" s="3" t="str">
        <f>IFERROR(__xludf.DUMMYFUNCTION("""COMPUTED_VALUE"""),"Non Urgent")</f>
        <v>Non Urgent</v>
      </c>
    </row>
    <row r="708">
      <c r="A708" s="4">
        <f>IFERROR(__xludf.DUMMYFUNCTION("""COMPUTED_VALUE"""),46230.91515945602)</f>
        <v>46230.91516</v>
      </c>
      <c r="B708" s="3" t="str">
        <f>IFERROR(__xludf.DUMMYFUNCTION("""COMPUTED_VALUE"""),"NDSRO0023")</f>
        <v>NDSRO0023</v>
      </c>
      <c r="C708" s="3" t="str">
        <f>IFERROR(__xludf.DUMMYFUNCTION("""COMPUTED_VALUE"""),"MIn Stok")</f>
        <v>MIn Stok</v>
      </c>
      <c r="D708" s="3" t="str">
        <f>IFERROR(__xludf.DUMMYFUNCTION("""COMPUTED_VALUE"""),"-")</f>
        <v>-</v>
      </c>
      <c r="E708" s="3" t="str">
        <f>IFERROR(__xludf.DUMMYFUNCTION("""COMPUTED_VALUE"""),"BOD")</f>
        <v>BOD</v>
      </c>
      <c r="F708" s="3" t="str">
        <f>IFERROR(__xludf.DUMMYFUNCTION("""COMPUTED_VALUE"""),"General - Lampu TL T5 14 W White; Philips; -; 1 unt")</f>
        <v>General - Lampu TL T5 14 W White; Philips; -; 1 unt</v>
      </c>
      <c r="G708" s="3">
        <f>IFERROR(__xludf.DUMMYFUNCTION("""COMPUTED_VALUE"""),5.0)</f>
        <v>5</v>
      </c>
      <c r="H708" s="3" t="str">
        <f>IFERROR(__xludf.DUMMYFUNCTION("""COMPUTED_VALUE"""),"pcs")</f>
        <v>pcs</v>
      </c>
      <c r="I708" s="3" t="str">
        <f>IFERROR(__xludf.DUMMYFUNCTION("""COMPUTED_VALUE"""),"-")</f>
        <v>-</v>
      </c>
      <c r="J708" s="3" t="str">
        <f>IFERROR(__xludf.DUMMYFUNCTION("""COMPUTED_VALUE"""),"P-51559-00")</f>
        <v>P-51559-00</v>
      </c>
      <c r="K708" s="3" t="str">
        <f>IFERROR(__xludf.DUMMYFUNCTION("""COMPUTED_VALUE"""),"Waiting")</f>
        <v>Waiting</v>
      </c>
      <c r="L708" s="3" t="str">
        <f>IFERROR(__xludf.DUMMYFUNCTION("""COMPUTED_VALUE"""),"Waiting")</f>
        <v>Waiting</v>
      </c>
      <c r="M708" s="3" t="str">
        <f>IFERROR(__xludf.DUMMYFUNCTION("""COMPUTED_VALUE"""),"Non Urgent")</f>
        <v>Non Urgent</v>
      </c>
    </row>
    <row r="709">
      <c r="A709" s="4">
        <f>IFERROR(__xludf.DUMMYFUNCTION("""COMPUTED_VALUE"""),46233.63903380788)</f>
        <v>46233.63903</v>
      </c>
      <c r="B709" s="3" t="str">
        <f>IFERROR(__xludf.DUMMYFUNCTION("""COMPUTED_VALUE"""),"SFHRO0047")</f>
        <v>SFHRO0047</v>
      </c>
      <c r="C709" s="3" t="str">
        <f>IFERROR(__xludf.DUMMYFUNCTION("""COMPUTED_VALUE"""),"MIn Stok")</f>
        <v>MIn Stok</v>
      </c>
      <c r="D709" s="3" t="str">
        <f>IFERROR(__xludf.DUMMYFUNCTION("""COMPUTED_VALUE"""),"-")</f>
        <v>-</v>
      </c>
      <c r="E709" s="3" t="str">
        <f>IFERROR(__xludf.DUMMYFUNCTION("""COMPUTED_VALUE"""),"lantai 2")</f>
        <v>lantai 2</v>
      </c>
      <c r="F709" s="3" t="str">
        <f>IFERROR(__xludf.DUMMYFUNCTION("""COMPUTED_VALUE"""),"Kuas Cat Roller uk. 110 mm;No Brand;;pack size per set")</f>
        <v>Kuas Cat Roller uk. 110 mm;No Brand;;pack size per set</v>
      </c>
      <c r="G709" s="3">
        <f>IFERROR(__xludf.DUMMYFUNCTION("""COMPUTED_VALUE"""),30.0)</f>
        <v>30</v>
      </c>
      <c r="H709" s="3" t="str">
        <f>IFERROR(__xludf.DUMMYFUNCTION("""COMPUTED_VALUE"""),"pcs")</f>
        <v>pcs</v>
      </c>
      <c r="I709" s="3" t="str">
        <f>IFERROR(__xludf.DUMMYFUNCTION("""COMPUTED_VALUE"""),"-")</f>
        <v>-</v>
      </c>
      <c r="J709" s="3" t="str">
        <f>IFERROR(__xludf.DUMMYFUNCTION("""COMPUTED_VALUE"""),"Q-10153-00")</f>
        <v>Q-10153-00</v>
      </c>
      <c r="K709" s="3" t="str">
        <f>IFERROR(__xludf.DUMMYFUNCTION("""COMPUTED_VALUE"""),"Approve")</f>
        <v>Approve</v>
      </c>
      <c r="L709" s="3" t="str">
        <f>IFERROR(__xludf.DUMMYFUNCTION("""COMPUTED_VALUE"""),"Normal")</f>
        <v>Normal</v>
      </c>
      <c r="M709" s="3" t="str">
        <f>IFERROR(__xludf.DUMMYFUNCTION("""COMPUTED_VALUE"""),"Non Urgent")</f>
        <v>Non Urgent</v>
      </c>
    </row>
    <row r="710">
      <c r="A710" s="4">
        <f>IFERROR(__xludf.DUMMYFUNCTION("""COMPUTED_VALUE"""),46233.63916390046)</f>
        <v>46233.63916</v>
      </c>
      <c r="B710" s="3" t="str">
        <f>IFERROR(__xludf.DUMMYFUNCTION("""COMPUTED_VALUE"""),"SFHRO0048")</f>
        <v>SFHRO0048</v>
      </c>
      <c r="C710" s="3" t="str">
        <f>IFERROR(__xludf.DUMMYFUNCTION("""COMPUTED_VALUE"""),"MIn Stok")</f>
        <v>MIn Stok</v>
      </c>
      <c r="D710" s="3" t="str">
        <f>IFERROR(__xludf.DUMMYFUNCTION("""COMPUTED_VALUE"""),"-")</f>
        <v>-</v>
      </c>
      <c r="E710" s="3" t="str">
        <f>IFERROR(__xludf.DUMMYFUNCTION("""COMPUTED_VALUE"""),"lantai 2")</f>
        <v>lantai 2</v>
      </c>
      <c r="F710" s="3" t="str">
        <f>IFERROR(__xludf.DUMMYFUNCTION("""COMPUTED_VALUE"""),"Kuas Cat Roller uk. 230 mm;No Brand;;pack size per set")</f>
        <v>Kuas Cat Roller uk. 230 mm;No Brand;;pack size per set</v>
      </c>
      <c r="G710" s="3">
        <f>IFERROR(__xludf.DUMMYFUNCTION("""COMPUTED_VALUE"""),10.0)</f>
        <v>10</v>
      </c>
      <c r="H710" s="3" t="str">
        <f>IFERROR(__xludf.DUMMYFUNCTION("""COMPUTED_VALUE"""),"pcs")</f>
        <v>pcs</v>
      </c>
      <c r="I710" s="3" t="str">
        <f>IFERROR(__xludf.DUMMYFUNCTION("""COMPUTED_VALUE"""),"-")</f>
        <v>-</v>
      </c>
      <c r="J710" s="3" t="str">
        <f>IFERROR(__xludf.DUMMYFUNCTION("""COMPUTED_VALUE"""),"Q-10154-00")</f>
        <v>Q-10154-00</v>
      </c>
      <c r="K710" s="3" t="str">
        <f>IFERROR(__xludf.DUMMYFUNCTION("""COMPUTED_VALUE"""),"Approve")</f>
        <v>Approve</v>
      </c>
      <c r="L710" s="3" t="str">
        <f>IFERROR(__xludf.DUMMYFUNCTION("""COMPUTED_VALUE"""),"Normal")</f>
        <v>Normal</v>
      </c>
      <c r="M710" s="3" t="str">
        <f>IFERROR(__xludf.DUMMYFUNCTION("""COMPUTED_VALUE"""),"Non Urgent")</f>
        <v>Non Urgent</v>
      </c>
    </row>
    <row r="711">
      <c r="A711" s="4">
        <f>IFERROR(__xludf.DUMMYFUNCTION("""COMPUTED_VALUE"""),46233.66596554398)</f>
        <v>46233.66597</v>
      </c>
      <c r="B711" s="3" t="str">
        <f>IFERROR(__xludf.DUMMYFUNCTION("""COMPUTED_VALUE"""),"SFHRO0049")</f>
        <v>SFHRO0049</v>
      </c>
      <c r="C711" s="3" t="str">
        <f>IFERROR(__xludf.DUMMYFUNCTION("""COMPUTED_VALUE"""),"MIn Stok")</f>
        <v>MIn Stok</v>
      </c>
      <c r="D711" s="3" t="str">
        <f>IFERROR(__xludf.DUMMYFUNCTION("""COMPUTED_VALUE"""),"-")</f>
        <v>-</v>
      </c>
      <c r="E711" s="3" t="str">
        <f>IFERROR(__xludf.DUMMYFUNCTION("""COMPUTED_VALUE"""),"lantai 2")</f>
        <v>lantai 2</v>
      </c>
      <c r="F711" s="3" t="str">
        <f>IFERROR(__xludf.DUMMYFUNCTION("""COMPUTED_VALUE"""),"Compound / Kompon Gypsum;No Brand;;pack size 20 kg per pck")</f>
        <v>Compound / Kompon Gypsum;No Brand;;pack size 20 kg per pck</v>
      </c>
      <c r="G711" s="3">
        <f>IFERROR(__xludf.DUMMYFUNCTION("""COMPUTED_VALUE"""),5.0)</f>
        <v>5</v>
      </c>
      <c r="H711" s="3" t="str">
        <f>IFERROR(__xludf.DUMMYFUNCTION("""COMPUTED_VALUE"""),"sak")</f>
        <v>sak</v>
      </c>
      <c r="I711" s="3" t="str">
        <f>IFERROR(__xludf.DUMMYFUNCTION("""COMPUTED_VALUE"""),"-")</f>
        <v>-</v>
      </c>
      <c r="J711" s="3" t="str">
        <f>IFERROR(__xludf.DUMMYFUNCTION("""COMPUTED_VALUE"""),"Q-10302-00")</f>
        <v>Q-10302-00</v>
      </c>
      <c r="K711" s="3" t="str">
        <f>IFERROR(__xludf.DUMMYFUNCTION("""COMPUTED_VALUE"""),"Approve")</f>
        <v>Approve</v>
      </c>
      <c r="L711" s="3" t="str">
        <f>IFERROR(__xludf.DUMMYFUNCTION("""COMPUTED_VALUE"""),"Normal")</f>
        <v>Normal</v>
      </c>
      <c r="M711" s="3" t="str">
        <f>IFERROR(__xludf.DUMMYFUNCTION("""COMPUTED_VALUE"""),"Non Urgent")</f>
        <v>Non Urgent</v>
      </c>
    </row>
    <row r="712">
      <c r="A712" s="4">
        <f>IFERROR(__xludf.DUMMYFUNCTION("""COMPUTED_VALUE"""),46233.66660667824)</f>
        <v>46233.66661</v>
      </c>
      <c r="B712" s="3" t="str">
        <f>IFERROR(__xludf.DUMMYFUNCTION("""COMPUTED_VALUE"""),"SFHRO0050")</f>
        <v>SFHRO0050</v>
      </c>
      <c r="C712" s="3" t="str">
        <f>IFERROR(__xludf.DUMMYFUNCTION("""COMPUTED_VALUE"""),"Consumable")</f>
        <v>Consumable</v>
      </c>
      <c r="D712" s="3" t="str">
        <f>IFERROR(__xludf.DUMMYFUNCTION("""COMPUTED_VALUE"""),"-")</f>
        <v>-</v>
      </c>
      <c r="E712" s="3" t="str">
        <f>IFERROR(__xludf.DUMMYFUNCTION("""COMPUTED_VALUE"""),"lantai 2")</f>
        <v>lantai 2</v>
      </c>
      <c r="F712" s="3" t="str">
        <f>IFERROR(__xludf.DUMMYFUNCTION("""COMPUTED_VALUE"""),"Silicone Sealant, Silglaze, Type N10 Grey, pack size per pcs")</f>
        <v>Silicone Sealant, Silglaze, Type N10 Grey, pack size per pcs</v>
      </c>
      <c r="G712" s="3">
        <f>IFERROR(__xludf.DUMMYFUNCTION("""COMPUTED_VALUE"""),50.0)</f>
        <v>50</v>
      </c>
      <c r="H712" s="3" t="str">
        <f>IFERROR(__xludf.DUMMYFUNCTION("""COMPUTED_VALUE"""),"pcs")</f>
        <v>pcs</v>
      </c>
      <c r="I712" s="3" t="str">
        <f>IFERROR(__xludf.DUMMYFUNCTION("""COMPUTED_VALUE"""),"buat sealant lantai temuan pak kris")</f>
        <v>buat sealant lantai temuan pak kris</v>
      </c>
      <c r="J712" s="3" t="str">
        <f>IFERROR(__xludf.DUMMYFUNCTION("""COMPUTED_VALUE"""),"Q-60500-00")</f>
        <v>Q-60500-00</v>
      </c>
      <c r="K712" s="3" t="str">
        <f>IFERROR(__xludf.DUMMYFUNCTION("""COMPUTED_VALUE"""),"Approve")</f>
        <v>Approve</v>
      </c>
      <c r="L712" s="3" t="str">
        <f>IFERROR(__xludf.DUMMYFUNCTION("""COMPUTED_VALUE"""),"Normal")</f>
        <v>Normal</v>
      </c>
      <c r="M712" s="3" t="str">
        <f>IFERROR(__xludf.DUMMYFUNCTION("""COMPUTED_VALUE"""),"Non Urgent")</f>
        <v>Non Urgent</v>
      </c>
    </row>
    <row r="713">
      <c r="A713" s="4">
        <f>IFERROR(__xludf.DUMMYFUNCTION("""COMPUTED_VALUE"""),46233.6675984375)</f>
        <v>46233.6676</v>
      </c>
      <c r="B713" s="3" t="str">
        <f>IFERROR(__xludf.DUMMYFUNCTION("""COMPUTED_VALUE"""),"SFHRO0051")</f>
        <v>SFHRO0051</v>
      </c>
      <c r="C713" s="3" t="str">
        <f>IFERROR(__xludf.DUMMYFUNCTION("""COMPUTED_VALUE"""),"Consumable")</f>
        <v>Consumable</v>
      </c>
      <c r="D713" s="3" t="str">
        <f>IFERROR(__xludf.DUMMYFUNCTION("""COMPUTED_VALUE"""),"-")</f>
        <v>-</v>
      </c>
      <c r="E713" s="3" t="str">
        <f>IFERROR(__xludf.DUMMYFUNCTION("""COMPUTED_VALUE"""),"lantai 2")</f>
        <v>lantai 2</v>
      </c>
      <c r="F713" s="3" t="str">
        <f>IFERROR(__xludf.DUMMYFUNCTION("""COMPUTED_VALUE"""),"Cellotape / Lakban Kertas 1 inch warna Putih ; No Brand ; pack size per pcs")</f>
        <v>Cellotape / Lakban Kertas 1 inch warna Putih ; No Brand ; pack size per pcs</v>
      </c>
      <c r="G713" s="3">
        <f>IFERROR(__xludf.DUMMYFUNCTION("""COMPUTED_VALUE"""),50.0)</f>
        <v>50</v>
      </c>
      <c r="H713" s="3" t="str">
        <f>IFERROR(__xludf.DUMMYFUNCTION("""COMPUTED_VALUE"""),"pcs")</f>
        <v>pcs</v>
      </c>
      <c r="I713" s="3" t="str">
        <f>IFERROR(__xludf.DUMMYFUNCTION("""COMPUTED_VALUE"""),"-")</f>
        <v>-</v>
      </c>
      <c r="J713" s="3" t="str">
        <f>IFERROR(__xludf.DUMMYFUNCTION("""COMPUTED_VALUE"""),"T-80109-00")</f>
        <v>T-80109-00</v>
      </c>
      <c r="K713" s="3" t="str">
        <f>IFERROR(__xludf.DUMMYFUNCTION("""COMPUTED_VALUE"""),"Approve")</f>
        <v>Approve</v>
      </c>
      <c r="L713" s="3" t="str">
        <f>IFERROR(__xludf.DUMMYFUNCTION("""COMPUTED_VALUE"""),"Normal")</f>
        <v>Normal</v>
      </c>
      <c r="M713" s="3" t="str">
        <f>IFERROR(__xludf.DUMMYFUNCTION("""COMPUTED_VALUE"""),"Non Urgent")</f>
        <v>Non Urgent</v>
      </c>
    </row>
    <row r="714">
      <c r="A714" s="4">
        <f>IFERROR(__xludf.DUMMYFUNCTION("""COMPUTED_VALUE"""),46234.863553298615)</f>
        <v>46234.86355</v>
      </c>
      <c r="B714" s="3" t="str">
        <f>IFERROR(__xludf.DUMMYFUNCTION("""COMPUTED_VALUE"""),"SFHRO0052")</f>
        <v>SFHRO0052</v>
      </c>
      <c r="C714" s="3" t="str">
        <f>IFERROR(__xludf.DUMMYFUNCTION("""COMPUTED_VALUE"""),"Consumable")</f>
        <v>Consumable</v>
      </c>
      <c r="D714" s="3" t="str">
        <f>IFERROR(__xludf.DUMMYFUNCTION("""COMPUTED_VALUE"""),"-")</f>
        <v>-</v>
      </c>
      <c r="E714" s="3" t="str">
        <f>IFERROR(__xludf.DUMMYFUNCTION("""COMPUTED_VALUE"""),"lantai 2")</f>
        <v>lantai 2</v>
      </c>
      <c r="F714" s="3" t="str">
        <f>IFERROR(__xludf.DUMMYFUNCTION("""COMPUTED_VALUE"""),"Cat Tembok; ; ; - Cat Dulux Ambiance Brilliant White @ 20 Ltr")</f>
        <v>Cat Tembok; ; ; - Cat Dulux Ambiance Brilliant White @ 20 Ltr</v>
      </c>
      <c r="G714" s="3">
        <f>IFERROR(__xludf.DUMMYFUNCTION("""COMPUTED_VALUE"""),5.0)</f>
        <v>5</v>
      </c>
      <c r="H714" s="3" t="str">
        <f>IFERROR(__xludf.DUMMYFUNCTION("""COMPUTED_VALUE"""),"pel")</f>
        <v>pel</v>
      </c>
      <c r="I714" s="3" t="str">
        <f>IFERROR(__xludf.DUMMYFUNCTION("""COMPUTED_VALUE"""),"-")</f>
        <v>-</v>
      </c>
      <c r="J714" s="3" t="str">
        <f>IFERROR(__xludf.DUMMYFUNCTION("""COMPUTED_VALUE"""),"Q-10475-00")</f>
        <v>Q-10475-00</v>
      </c>
      <c r="K714" s="3" t="str">
        <f>IFERROR(__xludf.DUMMYFUNCTION("""COMPUTED_VALUE"""),"Approve")</f>
        <v>Approve</v>
      </c>
      <c r="L714" s="3" t="str">
        <f>IFERROR(__xludf.DUMMYFUNCTION("""COMPUTED_VALUE"""),"Normal")</f>
        <v>Normal</v>
      </c>
      <c r="M714" s="3" t="str">
        <f>IFERROR(__xludf.DUMMYFUNCTION("""COMPUTED_VALUE"""),"Non Urgent")</f>
        <v>Non Urgent</v>
      </c>
    </row>
    <row r="715">
      <c r="A715" s="4">
        <f>IFERROR(__xludf.DUMMYFUNCTION("""COMPUTED_VALUE"""),46238.17218084491)</f>
        <v>46238.17218</v>
      </c>
      <c r="B715" s="3" t="str">
        <f>IFERROR(__xludf.DUMMYFUNCTION("""COMPUTED_VALUE"""),"MRNRO0052")</f>
        <v>MRNRO0052</v>
      </c>
      <c r="C715" s="3" t="str">
        <f>IFERROR(__xludf.DUMMYFUNCTION("""COMPUTED_VALUE"""),"EJO")</f>
        <v>EJO</v>
      </c>
      <c r="D715" s="3" t="str">
        <f>IFERROR(__xludf.DUMMYFUNCTION("""COMPUTED_VALUE"""),"EJO/2026/07/021")</f>
        <v>EJO/2026/07/021</v>
      </c>
      <c r="E715" s="3" t="str">
        <f>IFERROR(__xludf.DUMMYFUNCTION("""COMPUTED_VALUE"""),"toilet lantai 2")</f>
        <v>toilet lantai 2</v>
      </c>
      <c r="F715" s="3" t="str">
        <f>IFERROR(__xludf.DUMMYFUNCTION("""COMPUTED_VALUE"""),"General - Elbow PVC 90 AW 1 1/2inch; Rucika; -; 1 Pc")</f>
        <v>General - Elbow PVC 90 AW 1 1/2inch; Rucika; -; 1 Pc</v>
      </c>
      <c r="G715" s="3">
        <f>IFERROR(__xludf.DUMMYFUNCTION("""COMPUTED_VALUE"""),5.0)</f>
        <v>5</v>
      </c>
      <c r="H715" s="3" t="str">
        <f>IFERROR(__xludf.DUMMYFUNCTION("""COMPUTED_VALUE"""),"pcs")</f>
        <v>pcs</v>
      </c>
      <c r="I715" s="3" t="str">
        <f>IFERROR(__xludf.DUMMYFUNCTION("""COMPUTED_VALUE"""),"untuk pipa bocor di atas plafon engineering")</f>
        <v>untuk pipa bocor di atas plafon engineering</v>
      </c>
      <c r="J715" s="3" t="str">
        <f>IFERROR(__xludf.DUMMYFUNCTION("""COMPUTED_VALUE"""),"P-10857-00")</f>
        <v>P-10857-00</v>
      </c>
      <c r="K715" s="3" t="str">
        <f>IFERROR(__xludf.DUMMYFUNCTION("""COMPUTED_VALUE"""),"Approve")</f>
        <v>Approve</v>
      </c>
      <c r="L715" s="3" t="str">
        <f>IFERROR(__xludf.DUMMYFUNCTION("""COMPUTED_VALUE"""),"Normal")</f>
        <v>Normal</v>
      </c>
      <c r="M715" s="3" t="str">
        <f>IFERROR(__xludf.DUMMYFUNCTION("""COMPUTED_VALUE"""),"Non Urgent")</f>
        <v>Non Urgent</v>
      </c>
    </row>
    <row r="716">
      <c r="A716" s="4">
        <f>IFERROR(__xludf.DUMMYFUNCTION("""COMPUTED_VALUE"""),46238.177333287036)</f>
        <v>46238.17733</v>
      </c>
      <c r="B716" s="3" t="str">
        <f>IFERROR(__xludf.DUMMYFUNCTION("""COMPUTED_VALUE"""),"MRNRO0053")</f>
        <v>MRNRO0053</v>
      </c>
      <c r="C716" s="3" t="str">
        <f>IFERROR(__xludf.DUMMYFUNCTION("""COMPUTED_VALUE"""),"EJO")</f>
        <v>EJO</v>
      </c>
      <c r="D716" s="3" t="str">
        <f>IFERROR(__xludf.DUMMYFUNCTION("""COMPUTED_VALUE"""),"EJO/2026/07/021")</f>
        <v>EJO/2026/07/021</v>
      </c>
      <c r="E716" s="3" t="str">
        <f>IFERROR(__xludf.DUMMYFUNCTION("""COMPUTED_VALUE"""),"toilet lantai 2")</f>
        <v>toilet lantai 2</v>
      </c>
      <c r="F716" s="3" t="str">
        <f>IFERROR(__xludf.DUMMYFUNCTION("""COMPUTED_VALUE"""),"General - Ball Valve PVC 1 1/2inch; No Brand; -; 1 pcs")</f>
        <v>General - Ball Valve PVC 1 1/2inch; No Brand; -; 1 pcs</v>
      </c>
      <c r="G716" s="3">
        <f>IFERROR(__xludf.DUMMYFUNCTION("""COMPUTED_VALUE"""),5.0)</f>
        <v>5</v>
      </c>
      <c r="H716" s="3" t="str">
        <f>IFERROR(__xludf.DUMMYFUNCTION("""COMPUTED_VALUE"""),"pcs")</f>
        <v>pcs</v>
      </c>
      <c r="I716" s="3" t="str">
        <f>IFERROR(__xludf.DUMMYFUNCTION("""COMPUTED_VALUE"""),"untuk pipa bocor di atas plafon engineering")</f>
        <v>untuk pipa bocor di atas plafon engineering</v>
      </c>
      <c r="J716" s="3" t="str">
        <f>IFERROR(__xludf.DUMMYFUNCTION("""COMPUTED_VALUE"""),"P-10389-00")</f>
        <v>P-10389-00</v>
      </c>
      <c r="K716" s="3" t="str">
        <f>IFERROR(__xludf.DUMMYFUNCTION("""COMPUTED_VALUE"""),"Approve")</f>
        <v>Approve</v>
      </c>
      <c r="L716" s="3" t="str">
        <f>IFERROR(__xludf.DUMMYFUNCTION("""COMPUTED_VALUE"""),"Normal")</f>
        <v>Normal</v>
      </c>
      <c r="M716" s="3" t="str">
        <f>IFERROR(__xludf.DUMMYFUNCTION("""COMPUTED_VALUE"""),"Non Urgent")</f>
        <v>Non Urgent</v>
      </c>
    </row>
    <row r="717">
      <c r="A717" s="4">
        <f>IFERROR(__xludf.DUMMYFUNCTION("""COMPUTED_VALUE"""),46240.8010968287)</f>
        <v>46240.8011</v>
      </c>
      <c r="B717" s="3" t="str">
        <f>IFERROR(__xludf.DUMMYFUNCTION("""COMPUTED_VALUE"""),"SFHRO0053")</f>
        <v>SFHRO0053</v>
      </c>
      <c r="C717" s="3" t="str">
        <f>IFERROR(__xludf.DUMMYFUNCTION("""COMPUTED_VALUE"""),"MIn Stok")</f>
        <v>MIn Stok</v>
      </c>
      <c r="D717" s="3" t="str">
        <f>IFERROR(__xludf.DUMMYFUNCTION("""COMPUTED_VALUE"""),"-")</f>
        <v>-</v>
      </c>
      <c r="E717" s="3" t="str">
        <f>IFERROR(__xludf.DUMMYFUNCTION("""COMPUTED_VALUE"""),"lantai 2")</f>
        <v>lantai 2</v>
      </c>
      <c r="F717" s="3" t="str">
        <f>IFERROR(__xludf.DUMMYFUNCTION("""COMPUTED_VALUE"""),"Polyfloor PFT-213 Ivory @ 20 KG")</f>
        <v>Polyfloor PFT-213 Ivory @ 20 KG</v>
      </c>
      <c r="G717" s="3">
        <f>IFERROR(__xludf.DUMMYFUNCTION("""COMPUTED_VALUE"""),2.0)</f>
        <v>2</v>
      </c>
      <c r="H717" s="3" t="str">
        <f>IFERROR(__xludf.DUMMYFUNCTION("""COMPUTED_VALUE"""),"pel")</f>
        <v>pel</v>
      </c>
      <c r="I717" s="3" t="str">
        <f>IFERROR(__xludf.DUMMYFUNCTION("""COMPUTED_VALUE"""),"stock abis")</f>
        <v>stock abis</v>
      </c>
      <c r="J717" s="3" t="str">
        <f>IFERROR(__xludf.DUMMYFUNCTION("""COMPUTED_VALUE"""),"Q-10005-00")</f>
        <v>Q-10005-00</v>
      </c>
      <c r="K717" s="3" t="str">
        <f>IFERROR(__xludf.DUMMYFUNCTION("""COMPUTED_VALUE"""),"Approve")</f>
        <v>Approve</v>
      </c>
      <c r="L717" s="3" t="str">
        <f>IFERROR(__xludf.DUMMYFUNCTION("""COMPUTED_VALUE"""),"Normal")</f>
        <v>Normal</v>
      </c>
      <c r="M717" s="3" t="str">
        <f>IFERROR(__xludf.DUMMYFUNCTION("""COMPUTED_VALUE"""),"Non Urgent")</f>
        <v>Non Urgent</v>
      </c>
    </row>
    <row r="718">
      <c r="A718" s="4">
        <f>IFERROR(__xludf.DUMMYFUNCTION("""COMPUTED_VALUE"""),46240.80255071759)</f>
        <v>46240.80255</v>
      </c>
      <c r="B718" s="3" t="str">
        <f>IFERROR(__xludf.DUMMYFUNCTION("""COMPUTED_VALUE"""),"SFHRO0054")</f>
        <v>SFHRO0054</v>
      </c>
      <c r="C718" s="3" t="str">
        <f>IFERROR(__xludf.DUMMYFUNCTION("""COMPUTED_VALUE"""),"Consumable")</f>
        <v>Consumable</v>
      </c>
      <c r="D718" s="3" t="str">
        <f>IFERROR(__xludf.DUMMYFUNCTION("""COMPUTED_VALUE"""),"-")</f>
        <v>-</v>
      </c>
      <c r="E718" s="3" t="str">
        <f>IFERROR(__xludf.DUMMYFUNCTION("""COMPUTED_VALUE"""),"lantai 2")</f>
        <v>lantai 2</v>
      </c>
      <c r="F718" s="3" t="str">
        <f>IFERROR(__xludf.DUMMYFUNCTION("""COMPUTED_VALUE"""),"Cat Decor Acrylic Enamel DAE - 550 / Solvent Based; Propan; TEAL 5412 - Warna Biru; pack size 20 liter per pail")</f>
        <v>Cat Decor Acrylic Enamel DAE - 550 / Solvent Based; Propan; TEAL 5412 - Warna Biru; pack size 20 liter per pail</v>
      </c>
      <c r="G718" s="3">
        <f>IFERROR(__xludf.DUMMYFUNCTION("""COMPUTED_VALUE"""),4.0)</f>
        <v>4</v>
      </c>
      <c r="H718" s="3" t="str">
        <f>IFERROR(__xludf.DUMMYFUNCTION("""COMPUTED_VALUE"""),"pel")</f>
        <v>pel</v>
      </c>
      <c r="I718" s="3" t="str">
        <f>IFERROR(__xludf.DUMMYFUNCTION("""COMPUTED_VALUE"""),"-")</f>
        <v>-</v>
      </c>
      <c r="J718" s="3" t="str">
        <f>IFERROR(__xludf.DUMMYFUNCTION("""COMPUTED_VALUE"""),"Q-60328-00")</f>
        <v>Q-60328-00</v>
      </c>
      <c r="K718" s="3" t="str">
        <f>IFERROR(__xludf.DUMMYFUNCTION("""COMPUTED_VALUE"""),"Approve")</f>
        <v>Approve</v>
      </c>
      <c r="L718" s="3" t="str">
        <f>IFERROR(__xludf.DUMMYFUNCTION("""COMPUTED_VALUE"""),"Normal")</f>
        <v>Normal</v>
      </c>
      <c r="M718" s="3" t="str">
        <f>IFERROR(__xludf.DUMMYFUNCTION("""COMPUTED_VALUE"""),"Non Urgent")</f>
        <v>Non Urgent</v>
      </c>
    </row>
    <row r="719">
      <c r="A719" s="4">
        <f>IFERROR(__xludf.DUMMYFUNCTION("""COMPUTED_VALUE"""),46245.702375416666)</f>
        <v>46245.70238</v>
      </c>
      <c r="B719" s="3" t="str">
        <f>IFERROR(__xludf.DUMMYFUNCTION("""COMPUTED_VALUE"""),"SFHRO0055")</f>
        <v>SFHRO0055</v>
      </c>
      <c r="C719" s="3" t="str">
        <f>IFERROR(__xludf.DUMMYFUNCTION("""COMPUTED_VALUE"""),"Consumable")</f>
        <v>Consumable</v>
      </c>
      <c r="D719" s="3" t="str">
        <f>IFERROR(__xludf.DUMMYFUNCTION("""COMPUTED_VALUE"""),"-")</f>
        <v>-</v>
      </c>
      <c r="E719" s="3" t="str">
        <f>IFERROR(__xludf.DUMMYFUNCTION("""COMPUTED_VALUE"""),"lantai 1")</f>
        <v>lantai 1</v>
      </c>
      <c r="F719" s="3" t="str">
        <f>IFERROR(__xludf.DUMMYFUNCTION("""COMPUTED_VALUE"""),"Cat Ftalit 113 Primrose @1kg")</f>
        <v>Cat Ftalit 113 Primrose @1kg</v>
      </c>
      <c r="G719" s="3">
        <f>IFERROR(__xludf.DUMMYFUNCTION("""COMPUTED_VALUE"""),3.0)</f>
        <v>3</v>
      </c>
      <c r="H719" s="3" t="str">
        <f>IFERROR(__xludf.DUMMYFUNCTION("""COMPUTED_VALUE"""),"kg")</f>
        <v>kg</v>
      </c>
      <c r="I719" s="3" t="str">
        <f>IFERROR(__xludf.DUMMYFUNCTION("""COMPUTED_VALUE"""),"-")</f>
        <v>-</v>
      </c>
      <c r="J719" s="3" t="str">
        <f>IFERROR(__xludf.DUMMYFUNCTION("""COMPUTED_VALUE"""),"Q-10064-00")</f>
        <v>Q-10064-00</v>
      </c>
      <c r="K719" s="3" t="str">
        <f>IFERROR(__xludf.DUMMYFUNCTION("""COMPUTED_VALUE"""),"Approve")</f>
        <v>Approve</v>
      </c>
      <c r="L719" s="3" t="str">
        <f>IFERROR(__xludf.DUMMYFUNCTION("""COMPUTED_VALUE"""),"Normal")</f>
        <v>Normal</v>
      </c>
      <c r="M719" s="3" t="str">
        <f>IFERROR(__xludf.DUMMYFUNCTION("""COMPUTED_VALUE"""),"Non Urgent")</f>
        <v>Non Urgent</v>
      </c>
    </row>
    <row r="720">
      <c r="A720" s="4">
        <f>IFERROR(__xludf.DUMMYFUNCTION("""COMPUTED_VALUE"""),46255.82219748843)</f>
        <v>46255.8222</v>
      </c>
      <c r="B720" s="3" t="str">
        <f>IFERROR(__xludf.DUMMYFUNCTION("""COMPUTED_VALUE"""),"AAARO0001")</f>
        <v>AAARO0001</v>
      </c>
      <c r="C720" s="3" t="str">
        <f>IFERROR(__xludf.DUMMYFUNCTION("""COMPUTED_VALUE"""),"Consumable")</f>
        <v>Consumable</v>
      </c>
      <c r="D720" s="3" t="str">
        <f>IFERROR(__xludf.DUMMYFUNCTION("""COMPUTED_VALUE"""),"EJO/2025/02/142")</f>
        <v>EJO/2025/02/142</v>
      </c>
      <c r="E720" s="3" t="str">
        <f>IFERROR(__xludf.DUMMYFUNCTION("""COMPUTED_VALUE"""),"Mixing Tank")</f>
        <v>Mixing Tank</v>
      </c>
      <c r="F720" s="3" t="str">
        <f>IFERROR(__xludf.DUMMYFUNCTION("""COMPUTED_VALUE"""),"SENSOR SUHU 2 x PT100 (DUPLEX), Jumo type 902810/13 Dia probe 6 mm, probe lenght 150 mm, conection threaded dia 29,1 mm. range temp. -15 ~ 150 oC.")</f>
        <v>SENSOR SUHU 2 x PT100 (DUPLEX), Jumo type 902810/13 Dia probe 6 mm, probe lenght 150 mm, conection threaded dia 29,1 mm. range temp. -15 ~ 150 oC.</v>
      </c>
      <c r="G720" s="3">
        <f>IFERROR(__xludf.DUMMYFUNCTION("""COMPUTED_VALUE"""),3.0)</f>
        <v>3</v>
      </c>
      <c r="H720" s="3" t="str">
        <f>IFERROR(__xludf.DUMMYFUNCTION("""COMPUTED_VALUE"""),"Pcs")</f>
        <v>Pcs</v>
      </c>
      <c r="I720" s="3" t="str">
        <f>IFERROR(__xludf.DUMMYFUNCTION("""COMPUTED_VALUE"""),"Needed date :  07-Mar-25")</f>
        <v>Needed date :  07-Mar-25</v>
      </c>
      <c r="J720" s="3" t="str">
        <f>IFERROR(__xludf.DUMMYFUNCTION("""COMPUTED_VALUE"""),"O-51742-00")</f>
        <v>O-51742-00</v>
      </c>
      <c r="K720" s="3" t="str">
        <f>IFERROR(__xludf.DUMMYFUNCTION("""COMPUTED_VALUE"""),"Approve")</f>
        <v>Approve</v>
      </c>
      <c r="L720" s="3" t="str">
        <f>IFERROR(__xludf.DUMMYFUNCTION("""COMPUTED_VALUE"""),"Urgent")</f>
        <v>Urgent</v>
      </c>
      <c r="M720" s="3" t="str">
        <f>IFERROR(__xludf.DUMMYFUNCTION("""COMPUTED_VALUE"""),"Approve")</f>
        <v>Approve</v>
      </c>
    </row>
    <row r="721">
      <c r="A721" s="4">
        <f>IFERROR(__xludf.DUMMYFUNCTION("""COMPUTED_VALUE"""),46255.82219748843)</f>
        <v>46255.8222</v>
      </c>
      <c r="B721" s="3" t="str">
        <f>IFERROR(__xludf.DUMMYFUNCTION("""COMPUTED_VALUE"""),"AAARO0002")</f>
        <v>AAARO0002</v>
      </c>
      <c r="C721" s="3" t="str">
        <f>IFERROR(__xludf.DUMMYFUNCTION("""COMPUTED_VALUE"""),"MIn Stok")</f>
        <v>MIn Stok</v>
      </c>
      <c r="D721" s="3" t="str">
        <f>IFERROR(__xludf.DUMMYFUNCTION("""COMPUTED_VALUE"""),"N/A")</f>
        <v>N/A</v>
      </c>
      <c r="E721" s="3" t="str">
        <f>IFERROR(__xludf.DUMMYFUNCTION("""COMPUTED_VALUE"""),"Mixing tank")</f>
        <v>Mixing tank</v>
      </c>
      <c r="F721" s="3" t="str">
        <f>IFERROR(__xludf.DUMMYFUNCTION("""COMPUTED_VALUE"""),"General - Lampu Halogen 20 W; Osram; -; 1 unt")</f>
        <v>General - Lampu Halogen 20 W; Osram; -; 1 unt</v>
      </c>
      <c r="G721" s="3">
        <f>IFERROR(__xludf.DUMMYFUNCTION("""COMPUTED_VALUE"""),4.0)</f>
        <v>4</v>
      </c>
      <c r="H721" s="3" t="str">
        <f>IFERROR(__xludf.DUMMYFUNCTION("""COMPUTED_VALUE"""),"Pcs")</f>
        <v>Pcs</v>
      </c>
      <c r="I721" s="3" t="str">
        <f>IFERROR(__xludf.DUMMYFUNCTION("""COMPUTED_VALUE"""),"Needed date :  07-Mar-25")</f>
        <v>Needed date :  07-Mar-25</v>
      </c>
      <c r="J721" s="3" t="str">
        <f>IFERROR(__xludf.DUMMYFUNCTION("""COMPUTED_VALUE"""),"#N/A")</f>
        <v>#N/A</v>
      </c>
      <c r="K721" s="3" t="str">
        <f>IFERROR(__xludf.DUMMYFUNCTION("""COMPUTED_VALUE"""),"Approve")</f>
        <v>Approve</v>
      </c>
      <c r="L721" s="3" t="str">
        <f>IFERROR(__xludf.DUMMYFUNCTION("""COMPUTED_VALUE"""),"Normal")</f>
        <v>Normal</v>
      </c>
      <c r="M721" s="3" t="str">
        <f>IFERROR(__xludf.DUMMYFUNCTION("""COMPUTED_VALUE"""),"Non Urgent")</f>
        <v>Non Urgent</v>
      </c>
    </row>
    <row r="722">
      <c r="A722" s="4">
        <f>IFERROR(__xludf.DUMMYFUNCTION("""COMPUTED_VALUE"""),46255.82219748843)</f>
        <v>46255.8222</v>
      </c>
      <c r="B722" s="3" t="str">
        <f>IFERROR(__xludf.DUMMYFUNCTION("""COMPUTED_VALUE"""),"AAARO0003")</f>
        <v>AAARO0003</v>
      </c>
      <c r="C722" s="3" t="str">
        <f>IFERROR(__xludf.DUMMYFUNCTION("""COMPUTED_VALUE"""),"Consumable")</f>
        <v>Consumable</v>
      </c>
      <c r="D722" s="3" t="str">
        <f>IFERROR(__xludf.DUMMYFUNCTION("""COMPUTED_VALUE"""),"NA")</f>
        <v>NA</v>
      </c>
      <c r="E722" s="3" t="str">
        <f>IFERROR(__xludf.DUMMYFUNCTION("""COMPUTED_VALUE"""),"Cartoning")</f>
        <v>Cartoning</v>
      </c>
      <c r="F722" s="3" t="str">
        <f>IFERROR(__xludf.DUMMYFUNCTION("""COMPUTED_VALUE"""),"Marchesini MA155 - Leaflet Grippet p/n:A920000005")</f>
        <v>Marchesini MA155 - Leaflet Grippet p/n:A920000005</v>
      </c>
      <c r="G722" s="3">
        <f>IFERROR(__xludf.DUMMYFUNCTION("""COMPUTED_VALUE"""),2.0)</f>
        <v>2</v>
      </c>
      <c r="H722" s="3" t="str">
        <f>IFERROR(__xludf.DUMMYFUNCTION("""COMPUTED_VALUE"""),"Pcs")</f>
        <v>Pcs</v>
      </c>
      <c r="I722" s="3" t="str">
        <f>IFERROR(__xludf.DUMMYFUNCTION("""COMPUTED_VALUE"""),"Needed date 27-Mar-25")</f>
        <v>Needed date 27-Mar-25</v>
      </c>
      <c r="J722" s="3" t="str">
        <f>IFERROR(__xludf.DUMMYFUNCTION("""COMPUTED_VALUE"""),"O-16588-00")</f>
        <v>O-16588-00</v>
      </c>
      <c r="K722" s="3" t="str">
        <f>IFERROR(__xludf.DUMMYFUNCTION("""COMPUTED_VALUE"""),"Approve")</f>
        <v>Approve</v>
      </c>
      <c r="L722" s="3" t="str">
        <f>IFERROR(__xludf.DUMMYFUNCTION("""COMPUTED_VALUE"""),"Normal")</f>
        <v>Normal</v>
      </c>
      <c r="M722" s="3" t="str">
        <f>IFERROR(__xludf.DUMMYFUNCTION("""COMPUTED_VALUE"""),"Non Urgent")</f>
        <v>Non Urgent</v>
      </c>
    </row>
    <row r="723">
      <c r="A723" s="4">
        <f>IFERROR(__xludf.DUMMYFUNCTION("""COMPUTED_VALUE"""),46255.82219748843)</f>
        <v>46255.8222</v>
      </c>
      <c r="B723" s="3" t="str">
        <f>IFERROR(__xludf.DUMMYFUNCTION("""COMPUTED_VALUE"""),"AAARO0004")</f>
        <v>AAARO0004</v>
      </c>
      <c r="C723" s="3" t="str">
        <f>IFERROR(__xludf.DUMMYFUNCTION("""COMPUTED_VALUE"""),"Consumable")</f>
        <v>Consumable</v>
      </c>
      <c r="D723" s="3" t="str">
        <f>IFERROR(__xludf.DUMMYFUNCTION("""COMPUTED_VALUE"""),"NA")</f>
        <v>NA</v>
      </c>
      <c r="E723" s="3" t="str">
        <f>IFERROR(__xludf.DUMMYFUNCTION("""COMPUTED_VALUE"""),"Cartoning")</f>
        <v>Cartoning</v>
      </c>
      <c r="F723" s="3" t="str">
        <f>IFERROR(__xludf.DUMMYFUNCTION("""COMPUTED_VALUE"""),"Marchesini MA155 - Conveyor Belt FNI-5E ER 1110 X 75 (SIL) p/n:C721411175")</f>
        <v>Marchesini MA155 - Conveyor Belt FNI-5E ER 1110 X 75 (SIL) p/n:C721411175</v>
      </c>
      <c r="G723" s="3">
        <f>IFERROR(__xludf.DUMMYFUNCTION("""COMPUTED_VALUE"""),2.0)</f>
        <v>2</v>
      </c>
      <c r="H723" s="3" t="str">
        <f>IFERROR(__xludf.DUMMYFUNCTION("""COMPUTED_VALUE"""),"Pcs")</f>
        <v>Pcs</v>
      </c>
      <c r="I723" s="3" t="str">
        <f>IFERROR(__xludf.DUMMYFUNCTION("""COMPUTED_VALUE"""),"Needed date 27-Mar-25")</f>
        <v>Needed date 27-Mar-25</v>
      </c>
      <c r="J723" s="3" t="str">
        <f>IFERROR(__xludf.DUMMYFUNCTION("""COMPUTED_VALUE"""),"O-16564-00")</f>
        <v>O-16564-00</v>
      </c>
      <c r="K723" s="3" t="str">
        <f>IFERROR(__xludf.DUMMYFUNCTION("""COMPUTED_VALUE"""),"Approve")</f>
        <v>Approve</v>
      </c>
      <c r="L723" s="3" t="str">
        <f>IFERROR(__xludf.DUMMYFUNCTION("""COMPUTED_VALUE"""),"Normal")</f>
        <v>Normal</v>
      </c>
      <c r="M723" s="3" t="str">
        <f>IFERROR(__xludf.DUMMYFUNCTION("""COMPUTED_VALUE"""),"Non Urgent")</f>
        <v>Non Urgent</v>
      </c>
    </row>
    <row r="724">
      <c r="A724" s="4">
        <f>IFERROR(__xludf.DUMMYFUNCTION("""COMPUTED_VALUE"""),46255.82219748843)</f>
        <v>46255.8222</v>
      </c>
      <c r="B724" s="3" t="str">
        <f>IFERROR(__xludf.DUMMYFUNCTION("""COMPUTED_VALUE"""),"AAARO0005")</f>
        <v>AAARO0005</v>
      </c>
      <c r="C724" s="3" t="str">
        <f>IFERROR(__xludf.DUMMYFUNCTION("""COMPUTED_VALUE"""),"Consumable")</f>
        <v>Consumable</v>
      </c>
      <c r="D724" s="3" t="str">
        <f>IFERROR(__xludf.DUMMYFUNCTION("""COMPUTED_VALUE"""),"AAABR0029")</f>
        <v>AAABR0029</v>
      </c>
      <c r="E724" s="3" t="str">
        <f>IFERROR(__xludf.DUMMYFUNCTION("""COMPUTED_VALUE"""),"Cartoning")</f>
        <v>Cartoning</v>
      </c>
      <c r="F724" s="3" t="str">
        <f>IFERROR(__xludf.DUMMYFUNCTION("""COMPUTED_VALUE"""),"Marchesini MA155 - Conveyor Belt NB-8E 1850 x 40 p/n:C720718540")</f>
        <v>Marchesini MA155 - Conveyor Belt NB-8E 1850 x 40 p/n:C720718540</v>
      </c>
      <c r="G724" s="3">
        <f>IFERROR(__xludf.DUMMYFUNCTION("""COMPUTED_VALUE"""),1.0)</f>
        <v>1</v>
      </c>
      <c r="H724" s="3" t="str">
        <f>IFERROR(__xludf.DUMMYFUNCTION("""COMPUTED_VALUE"""),"Pcs")</f>
        <v>Pcs</v>
      </c>
      <c r="I724" s="3" t="str">
        <f>IFERROR(__xludf.DUMMYFUNCTION("""COMPUTED_VALUE"""),"Needed date 27-Mar-25")</f>
        <v>Needed date 27-Mar-25</v>
      </c>
      <c r="J724" s="3" t="str">
        <f>IFERROR(__xludf.DUMMYFUNCTION("""COMPUTED_VALUE"""),"O-16566-00")</f>
        <v>O-16566-00</v>
      </c>
      <c r="K724" s="3" t="str">
        <f>IFERROR(__xludf.DUMMYFUNCTION("""COMPUTED_VALUE"""),"Approve")</f>
        <v>Approve</v>
      </c>
      <c r="L724" s="3" t="str">
        <f>IFERROR(__xludf.DUMMYFUNCTION("""COMPUTED_VALUE"""),"Normal")</f>
        <v>Normal</v>
      </c>
      <c r="M724" s="3" t="str">
        <f>IFERROR(__xludf.DUMMYFUNCTION("""COMPUTED_VALUE"""),"Non Urgent")</f>
        <v>Non Urgent</v>
      </c>
    </row>
    <row r="725">
      <c r="A725" s="4">
        <f>IFERROR(__xludf.DUMMYFUNCTION("""COMPUTED_VALUE"""),46255.82219748843)</f>
        <v>46255.8222</v>
      </c>
      <c r="B725" s="3" t="str">
        <f>IFERROR(__xludf.DUMMYFUNCTION("""COMPUTED_VALUE"""),"AAARO0006")</f>
        <v>AAARO0006</v>
      </c>
      <c r="C725" s="3" t="str">
        <f>IFERROR(__xludf.DUMMYFUNCTION("""COMPUTED_VALUE"""),"Consumable")</f>
        <v>Consumable</v>
      </c>
      <c r="D725" s="3" t="str">
        <f>IFERROR(__xludf.DUMMYFUNCTION("""COMPUTED_VALUE"""),"NA")</f>
        <v>NA</v>
      </c>
      <c r="E725" s="3" t="str">
        <f>IFERROR(__xludf.DUMMYFUNCTION("""COMPUTED_VALUE"""),"Cartoning")</f>
        <v>Cartoning</v>
      </c>
      <c r="F725" s="3" t="str">
        <f>IFERROR(__xludf.DUMMYFUNCTION("""COMPUTED_VALUE"""),"Marchesini MA155 - Conveyor Belt 1380 x 40 HA p/n:C720713840")</f>
        <v>Marchesini MA155 - Conveyor Belt 1380 x 40 HA p/n:C720713840</v>
      </c>
      <c r="G725" s="3">
        <f>IFERROR(__xludf.DUMMYFUNCTION("""COMPUTED_VALUE"""),1.0)</f>
        <v>1</v>
      </c>
      <c r="H725" s="3" t="str">
        <f>IFERROR(__xludf.DUMMYFUNCTION("""COMPUTED_VALUE"""),"pcs")</f>
        <v>pcs</v>
      </c>
      <c r="I725" s="3" t="str">
        <f>IFERROR(__xludf.DUMMYFUNCTION("""COMPUTED_VALUE"""),"Needed date 27-Mar-25")</f>
        <v>Needed date 27-Mar-25</v>
      </c>
      <c r="J725" s="3" t="str">
        <f>IFERROR(__xludf.DUMMYFUNCTION("""COMPUTED_VALUE"""),"O-16567-00")</f>
        <v>O-16567-00</v>
      </c>
      <c r="K725" s="3" t="str">
        <f>IFERROR(__xludf.DUMMYFUNCTION("""COMPUTED_VALUE"""),"Approve")</f>
        <v>Approve</v>
      </c>
      <c r="L725" s="3" t="str">
        <f>IFERROR(__xludf.DUMMYFUNCTION("""COMPUTED_VALUE"""),"Normal")</f>
        <v>Normal</v>
      </c>
      <c r="M725" s="3" t="str">
        <f>IFERROR(__xludf.DUMMYFUNCTION("""COMPUTED_VALUE"""),"Non Urgent")</f>
        <v>Non Urgent</v>
      </c>
    </row>
    <row r="726">
      <c r="A726" s="4">
        <f>IFERROR(__xludf.DUMMYFUNCTION("""COMPUTED_VALUE"""),46255.82219748843)</f>
        <v>46255.8222</v>
      </c>
      <c r="B726" s="3" t="str">
        <f>IFERROR(__xludf.DUMMYFUNCTION("""COMPUTED_VALUE"""),"AAARO0007")</f>
        <v>AAARO0007</v>
      </c>
      <c r="C726" s="3" t="str">
        <f>IFERROR(__xludf.DUMMYFUNCTION("""COMPUTED_VALUE"""),"MIn Stok")</f>
        <v>MIn Stok</v>
      </c>
      <c r="D726" s="3" t="str">
        <f>IFERROR(__xludf.DUMMYFUNCTION("""COMPUTED_VALUE"""),"NA")</f>
        <v>NA</v>
      </c>
      <c r="E726" s="3" t="str">
        <f>IFERROR(__xludf.DUMMYFUNCTION("""COMPUTED_VALUE"""),"Tunnel")</f>
        <v>Tunnel</v>
      </c>
      <c r="F726" s="3" t="str">
        <f>IFERROR(__xludf.DUMMYFUNCTION("""COMPUTED_VALUE"""),"STERILIZING CHAMBER HEATERS ;NO. 03 RIBBED HEATERS RCU - 1000W - 230VAC -50/60HZ MATERIAL AISI316/304, MECHANICAL DIMENSION:; LENGTH: 397 MM -CENTER DISTANCE: 50 MM HEATING BODY DIAMETER: 10 MM RIBBED DIAMETER: 22 MM;")</f>
        <v>STERILIZING CHAMBER HEATERS ;NO. 03 RIBBED HEATERS RCU - 1000W - 230VAC -50/60HZ MATERIAL AISI316/304, MECHANICAL DIMENSION:; LENGTH: 397 MM -CENTER DISTANCE: 50 MM HEATING BODY DIAMETER: 10 MM RIBBED DIAMETER: 22 MM;</v>
      </c>
      <c r="G726" s="3">
        <f>IFERROR(__xludf.DUMMYFUNCTION("""COMPUTED_VALUE"""),5.0)</f>
        <v>5</v>
      </c>
      <c r="H726" s="3" t="str">
        <f>IFERROR(__xludf.DUMMYFUNCTION("""COMPUTED_VALUE"""),"Pcs")</f>
        <v>Pcs</v>
      </c>
      <c r="I726" s="3" t="str">
        <f>IFERROR(__xludf.DUMMYFUNCTION("""COMPUTED_VALUE"""),"Needed date 07-Apr-25")</f>
        <v>Needed date 07-Apr-25</v>
      </c>
      <c r="J726" s="3" t="str">
        <f>IFERROR(__xludf.DUMMYFUNCTION("""COMPUTED_VALUE"""),"O-15669-00")</f>
        <v>O-15669-00</v>
      </c>
      <c r="K726" s="3" t="str">
        <f>IFERROR(__xludf.DUMMYFUNCTION("""COMPUTED_VALUE"""),"Approve")</f>
        <v>Approve</v>
      </c>
      <c r="L726" s="3" t="str">
        <f>IFERROR(__xludf.DUMMYFUNCTION("""COMPUTED_VALUE"""),"Normal")</f>
        <v>Normal</v>
      </c>
      <c r="M726" s="3" t="str">
        <f>IFERROR(__xludf.DUMMYFUNCTION("""COMPUTED_VALUE"""),"Non Urgent")</f>
        <v>Non Urgent</v>
      </c>
    </row>
    <row r="727">
      <c r="A727" s="4">
        <f>IFERROR(__xludf.DUMMYFUNCTION("""COMPUTED_VALUE"""),46255.82219748843)</f>
        <v>46255.8222</v>
      </c>
      <c r="B727" s="3" t="str">
        <f>IFERROR(__xludf.DUMMYFUNCTION("""COMPUTED_VALUE"""),"AAARO0008")</f>
        <v>AAARO0008</v>
      </c>
      <c r="C727" s="3" t="str">
        <f>IFERROR(__xludf.DUMMYFUNCTION("""COMPUTED_VALUE"""),"MIn Stok")</f>
        <v>MIn Stok</v>
      </c>
      <c r="D727" s="3" t="str">
        <f>IFERROR(__xludf.DUMMYFUNCTION("""COMPUTED_VALUE"""),"NA")</f>
        <v>NA</v>
      </c>
      <c r="E727" s="3" t="str">
        <f>IFERROR(__xludf.DUMMYFUNCTION("""COMPUTED_VALUE"""),"Tunnel")</f>
        <v>Tunnel</v>
      </c>
      <c r="F727" s="3" t="str">
        <f>IFERROR(__xludf.DUMMYFUNCTION("""COMPUTED_VALUE"""),"STERILIZING CHAMBER HEATERS ; NO. 15 RIBBED HEATERS RCU - 1200W - 230VAC - 50/60HZ - MATERIAL: AISI 304; DIMENSION 75X20 MM;")</f>
        <v>STERILIZING CHAMBER HEATERS ; NO. 15 RIBBED HEATERS RCU - 1200W - 230VAC - 50/60HZ - MATERIAL: AISI 304; DIMENSION 75X20 MM;</v>
      </c>
      <c r="G727" s="3">
        <f>IFERROR(__xludf.DUMMYFUNCTION("""COMPUTED_VALUE"""),10.0)</f>
        <v>10</v>
      </c>
      <c r="H727" s="3" t="str">
        <f>IFERROR(__xludf.DUMMYFUNCTION("""COMPUTED_VALUE"""),"Pcs")</f>
        <v>Pcs</v>
      </c>
      <c r="I727" s="3" t="str">
        <f>IFERROR(__xludf.DUMMYFUNCTION("""COMPUTED_VALUE"""),"Needed date 07-Apr-26")</f>
        <v>Needed date 07-Apr-26</v>
      </c>
      <c r="J727" s="3" t="str">
        <f>IFERROR(__xludf.DUMMYFUNCTION("""COMPUTED_VALUE"""),"O-15708-00")</f>
        <v>O-15708-00</v>
      </c>
      <c r="K727" s="3" t="str">
        <f>IFERROR(__xludf.DUMMYFUNCTION("""COMPUTED_VALUE"""),"Approve")</f>
        <v>Approve</v>
      </c>
      <c r="L727" s="3" t="str">
        <f>IFERROR(__xludf.DUMMYFUNCTION("""COMPUTED_VALUE"""),"Normal")</f>
        <v>Normal</v>
      </c>
      <c r="M727" s="3" t="str">
        <f>IFERROR(__xludf.DUMMYFUNCTION("""COMPUTED_VALUE"""),"Non Urgent")</f>
        <v>Non Urgent</v>
      </c>
    </row>
    <row r="728">
      <c r="A728" s="4">
        <f>IFERROR(__xludf.DUMMYFUNCTION("""COMPUTED_VALUE"""),46255.82219748843)</f>
        <v>46255.8222</v>
      </c>
      <c r="B728" s="3" t="str">
        <f>IFERROR(__xludf.DUMMYFUNCTION("""COMPUTED_VALUE"""),"AAARO0009")</f>
        <v>AAARO0009</v>
      </c>
      <c r="C728" s="3" t="str">
        <f>IFERROR(__xludf.DUMMYFUNCTION("""COMPUTED_VALUE"""),"MIn Stok")</f>
        <v>MIn Stok</v>
      </c>
      <c r="D728" s="3" t="str">
        <f>IFERROR(__xludf.DUMMYFUNCTION("""COMPUTED_VALUE"""),"NA")</f>
        <v>NA</v>
      </c>
      <c r="E728" s="3" t="str">
        <f>IFERROR(__xludf.DUMMYFUNCTION("""COMPUTED_VALUE"""),"EDM")</f>
        <v>EDM</v>
      </c>
      <c r="F728" s="3" t="str">
        <f>IFERROR(__xludf.DUMMYFUNCTION("""COMPUTED_VALUE"""),"General - Silicone Guide Infeed; Custom/Lokal; -; 1 Pc")</f>
        <v>General - Silicone Guide Infeed; Custom/Lokal; -; 1 Pc</v>
      </c>
      <c r="G728" s="3">
        <f>IFERROR(__xludf.DUMMYFUNCTION("""COMPUTED_VALUE"""),1.0)</f>
        <v>1</v>
      </c>
      <c r="H728" s="3" t="str">
        <f>IFERROR(__xludf.DUMMYFUNCTION("""COMPUTED_VALUE"""),"Set")</f>
        <v>Set</v>
      </c>
      <c r="I728" s="3" t="str">
        <f>IFERROR(__xludf.DUMMYFUNCTION("""COMPUTED_VALUE"""),"Needed date 07-Apr-25")</f>
        <v>Needed date 07-Apr-25</v>
      </c>
      <c r="J728" s="3" t="str">
        <f>IFERROR(__xludf.DUMMYFUNCTION("""COMPUTED_VALUE"""),"O-18446-00")</f>
        <v>O-18446-00</v>
      </c>
      <c r="K728" s="3" t="str">
        <f>IFERROR(__xludf.DUMMYFUNCTION("""COMPUTED_VALUE"""),"Approve")</f>
        <v>Approve</v>
      </c>
      <c r="L728" s="3" t="str">
        <f>IFERROR(__xludf.DUMMYFUNCTION("""COMPUTED_VALUE"""),"Normal")</f>
        <v>Normal</v>
      </c>
      <c r="M728" s="3" t="str">
        <f>IFERROR(__xludf.DUMMYFUNCTION("""COMPUTED_VALUE"""),"Non Urgent")</f>
        <v>Non Urgent</v>
      </c>
    </row>
    <row r="729">
      <c r="A729" s="4">
        <f>IFERROR(__xludf.DUMMYFUNCTION("""COMPUTED_VALUE"""),46255.82219748843)</f>
        <v>46255.8222</v>
      </c>
      <c r="B729" s="3" t="str">
        <f>IFERROR(__xludf.DUMMYFUNCTION("""COMPUTED_VALUE"""),"AAARO0010")</f>
        <v>AAARO0010</v>
      </c>
      <c r="C729" s="3" t="str">
        <f>IFERROR(__xludf.DUMMYFUNCTION("""COMPUTED_VALUE"""),"MIn Stok")</f>
        <v>MIn Stok</v>
      </c>
      <c r="D729" s="3" t="str">
        <f>IFERROR(__xludf.DUMMYFUNCTION("""COMPUTED_VALUE"""),"NA")</f>
        <v>NA</v>
      </c>
      <c r="E729" s="3" t="str">
        <f>IFERROR(__xludf.DUMMYFUNCTION("""COMPUTED_VALUE"""),"EDM")</f>
        <v>EDM</v>
      </c>
      <c r="F729" s="3" t="str">
        <f>IFERROR(__xludf.DUMMYFUNCTION("""COMPUTED_VALUE"""),"General - Silicone Guide Outfeed; Custom/Lokal; -; 1 Pc")</f>
        <v>General - Silicone Guide Outfeed; Custom/Lokal; -; 1 Pc</v>
      </c>
      <c r="G729" s="3">
        <f>IFERROR(__xludf.DUMMYFUNCTION("""COMPUTED_VALUE"""),1.0)</f>
        <v>1</v>
      </c>
      <c r="H729" s="3" t="str">
        <f>IFERROR(__xludf.DUMMYFUNCTION("""COMPUTED_VALUE"""),"Set")</f>
        <v>Set</v>
      </c>
      <c r="I729" s="3" t="str">
        <f>IFERROR(__xludf.DUMMYFUNCTION("""COMPUTED_VALUE"""),"Needed date 07-Apr-25")</f>
        <v>Needed date 07-Apr-25</v>
      </c>
      <c r="J729" s="3" t="str">
        <f>IFERROR(__xludf.DUMMYFUNCTION("""COMPUTED_VALUE"""),"O-18447-00")</f>
        <v>O-18447-00</v>
      </c>
      <c r="K729" s="3" t="str">
        <f>IFERROR(__xludf.DUMMYFUNCTION("""COMPUTED_VALUE"""),"Approve")</f>
        <v>Approve</v>
      </c>
      <c r="L729" s="3" t="str">
        <f>IFERROR(__xludf.DUMMYFUNCTION("""COMPUTED_VALUE"""),"Normal")</f>
        <v>Normal</v>
      </c>
      <c r="M729" s="3" t="str">
        <f>IFERROR(__xludf.DUMMYFUNCTION("""COMPUTED_VALUE"""),"Non Urgent")</f>
        <v>Non Urgent</v>
      </c>
    </row>
    <row r="730">
      <c r="A730" s="4">
        <f>IFERROR(__xludf.DUMMYFUNCTION("""COMPUTED_VALUE"""),46255.82219748843)</f>
        <v>46255.8222</v>
      </c>
      <c r="B730" s="3" t="str">
        <f>IFERROR(__xludf.DUMMYFUNCTION("""COMPUTED_VALUE"""),"AAARO0011")</f>
        <v>AAARO0011</v>
      </c>
      <c r="C730" s="3" t="str">
        <f>IFERROR(__xludf.DUMMYFUNCTION("""COMPUTED_VALUE"""),"EJO")</f>
        <v>EJO</v>
      </c>
      <c r="D730" s="3" t="str">
        <f>IFERROR(__xludf.DUMMYFUNCTION("""COMPUTED_VALUE"""),"NA")</f>
        <v>NA</v>
      </c>
      <c r="E730" s="3" t="str">
        <f>IFERROR(__xludf.DUMMYFUNCTION("""COMPUTED_VALUE"""),"BOD Incubator")</f>
        <v>BOD Incubator</v>
      </c>
      <c r="F730" s="3" t="str">
        <f>IFERROR(__xludf.DUMMYFUNCTION("""COMPUTED_VALUE"""),"Relay / RXM 2AB2P7 / 230 V / 50-60 Hz / 12 A / 250 VAC")</f>
        <v>Relay / RXM 2AB2P7 / 230 V / 50-60 Hz / 12 A / 250 VAC</v>
      </c>
      <c r="G730" s="3">
        <f>IFERROR(__xludf.DUMMYFUNCTION("""COMPUTED_VALUE"""),10.0)</f>
        <v>10</v>
      </c>
      <c r="H730" s="3" t="str">
        <f>IFERROR(__xludf.DUMMYFUNCTION("""COMPUTED_VALUE"""),"Pcs")</f>
        <v>Pcs</v>
      </c>
      <c r="I730" s="3" t="str">
        <f>IFERROR(__xludf.DUMMYFUNCTION("""COMPUTED_VALUE"""),"Needed date 13-Sep-25")</f>
        <v>Needed date 13-Sep-25</v>
      </c>
      <c r="J730" s="3" t="str">
        <f>IFERROR(__xludf.DUMMYFUNCTION("""COMPUTED_VALUE"""),"#N/A")</f>
        <v>#N/A</v>
      </c>
      <c r="K730" s="3" t="str">
        <f>IFERROR(__xludf.DUMMYFUNCTION("""COMPUTED_VALUE"""),"Approve")</f>
        <v>Approve</v>
      </c>
      <c r="L730" s="3" t="str">
        <f>IFERROR(__xludf.DUMMYFUNCTION("""COMPUTED_VALUE"""),"Normal")</f>
        <v>Normal</v>
      </c>
      <c r="M730" s="3" t="str">
        <f>IFERROR(__xludf.DUMMYFUNCTION("""COMPUTED_VALUE"""),"Non Urgent")</f>
        <v>Non Urgent</v>
      </c>
    </row>
    <row r="731">
      <c r="A731" s="4">
        <f>IFERROR(__xludf.DUMMYFUNCTION("""COMPUTED_VALUE"""),46255.82219748843)</f>
        <v>46255.8222</v>
      </c>
      <c r="B731" s="3" t="str">
        <f>IFERROR(__xludf.DUMMYFUNCTION("""COMPUTED_VALUE"""),"AAARO0012")</f>
        <v>AAARO0012</v>
      </c>
      <c r="C731" s="3" t="str">
        <f>IFERROR(__xludf.DUMMYFUNCTION("""COMPUTED_VALUE"""),"EJO")</f>
        <v>EJO</v>
      </c>
      <c r="D731" s="3" t="str">
        <f>IFERROR(__xludf.DUMMYFUNCTION("""COMPUTED_VALUE"""),"EJO/2025/09/108")</f>
        <v>EJO/2025/09/108</v>
      </c>
      <c r="E731" s="3" t="str">
        <f>IFERROR(__xludf.DUMMYFUNCTION("""COMPUTED_VALUE"""),"meja inspeksi packhall")</f>
        <v>meja inspeksi packhall</v>
      </c>
      <c r="F731" s="3" t="str">
        <f>IFERROR(__xludf.DUMMYFUNCTION("""COMPUTED_VALUE"""),"Cabel Tie Mount 30 x 30 mm; Sigma; ;")</f>
        <v>Cabel Tie Mount 30 x 30 mm; Sigma; ;</v>
      </c>
      <c r="G731" s="3">
        <f>IFERROR(__xludf.DUMMYFUNCTION("""COMPUTED_VALUE"""),1.0)</f>
        <v>1</v>
      </c>
      <c r="H731" s="3" t="str">
        <f>IFERROR(__xludf.DUMMYFUNCTION("""COMPUTED_VALUE"""),"pack")</f>
        <v>pack</v>
      </c>
      <c r="I731" s="3" t="str">
        <f>IFERROR(__xludf.DUMMYFUNCTION("""COMPUTED_VALUE"""),"Needed date 29-Oct-25")</f>
        <v>Needed date 29-Oct-25</v>
      </c>
      <c r="J731" s="3" t="str">
        <f>IFERROR(__xludf.DUMMYFUNCTION("""COMPUTED_VALUE"""),"P-19080-00")</f>
        <v>P-19080-00</v>
      </c>
      <c r="K731" s="3" t="str">
        <f>IFERROR(__xludf.DUMMYFUNCTION("""COMPUTED_VALUE"""),"Approve")</f>
        <v>Approve</v>
      </c>
      <c r="L731" s="3" t="str">
        <f>IFERROR(__xludf.DUMMYFUNCTION("""COMPUTED_VALUE"""),"Normal")</f>
        <v>Normal</v>
      </c>
      <c r="M731" s="3" t="str">
        <f>IFERROR(__xludf.DUMMYFUNCTION("""COMPUTED_VALUE"""),"Non Urgent")</f>
        <v>Non Urgent</v>
      </c>
    </row>
    <row r="732">
      <c r="A732" s="4">
        <f>IFERROR(__xludf.DUMMYFUNCTION("""COMPUTED_VALUE"""),46255.82219748843)</f>
        <v>46255.8222</v>
      </c>
      <c r="B732" s="3" t="str">
        <f>IFERROR(__xludf.DUMMYFUNCTION("""COMPUTED_VALUE"""),"AAARO0013")</f>
        <v>AAARO0013</v>
      </c>
      <c r="C732" s="3" t="str">
        <f>IFERROR(__xludf.DUMMYFUNCTION("""COMPUTED_VALUE"""),"EJO")</f>
        <v>EJO</v>
      </c>
      <c r="D732" s="3" t="str">
        <f>IFERROR(__xludf.DUMMYFUNCTION("""COMPUTED_VALUE"""),"EJO/2025/09/108")</f>
        <v>EJO/2025/09/108</v>
      </c>
      <c r="E732" s="3" t="str">
        <f>IFERROR(__xludf.DUMMYFUNCTION("""COMPUTED_VALUE"""),"meja inspeksi packhall")</f>
        <v>meja inspeksi packhall</v>
      </c>
      <c r="F732" s="3" t="str">
        <f>IFERROR(__xludf.DUMMYFUNCTION("""COMPUTED_VALUE"""),"STEKER 1 PHASE, BROCO")</f>
        <v>STEKER 1 PHASE, BROCO</v>
      </c>
      <c r="G732" s="3">
        <f>IFERROR(__xludf.DUMMYFUNCTION("""COMPUTED_VALUE"""),3.0)</f>
        <v>3</v>
      </c>
      <c r="H732" s="3" t="str">
        <f>IFERROR(__xludf.DUMMYFUNCTION("""COMPUTED_VALUE"""),"pcs")</f>
        <v>pcs</v>
      </c>
      <c r="I732" s="3" t="str">
        <f>IFERROR(__xludf.DUMMYFUNCTION("""COMPUTED_VALUE"""),"Needed date 29-Oct-25 (REJECT BY MFH KARENA STOK MASIH SANGAT BANYAK)")</f>
        <v>Needed date 29-Oct-25 (REJECT BY MFH KARENA STOK MASIH SANGAT BANYAK)</v>
      </c>
      <c r="J732" s="3" t="str">
        <f>IFERROR(__xludf.DUMMYFUNCTION("""COMPUTED_VALUE"""),"O-54014-00")</f>
        <v>O-54014-00</v>
      </c>
      <c r="K732" s="3" t="str">
        <f>IFERROR(__xludf.DUMMYFUNCTION("""COMPUTED_VALUE"""),"Reject")</f>
        <v>Reject</v>
      </c>
      <c r="L732" s="3" t="str">
        <f>IFERROR(__xludf.DUMMYFUNCTION("""COMPUTED_VALUE"""),"Normal")</f>
        <v>Normal</v>
      </c>
      <c r="M732" s="3" t="str">
        <f>IFERROR(__xludf.DUMMYFUNCTION("""COMPUTED_VALUE"""),"Non Urgent")</f>
        <v>Non Urgent</v>
      </c>
    </row>
    <row r="733">
      <c r="A733" s="4">
        <f>IFERROR(__xludf.DUMMYFUNCTION("""COMPUTED_VALUE"""),46255.82219748843)</f>
        <v>46255.8222</v>
      </c>
      <c r="B733" s="3" t="str">
        <f>IFERROR(__xludf.DUMMYFUNCTION("""COMPUTED_VALUE"""),"AAARO0014")</f>
        <v>AAARO0014</v>
      </c>
      <c r="C733" s="3" t="str">
        <f>IFERROR(__xludf.DUMMYFUNCTION("""COMPUTED_VALUE"""),"EJO")</f>
        <v>EJO</v>
      </c>
      <c r="D733" s="3" t="str">
        <f>IFERROR(__xludf.DUMMYFUNCTION("""COMPUTED_VALUE"""),"EJO/2025/10/51")</f>
        <v>EJO/2025/10/51</v>
      </c>
      <c r="E733" s="3" t="str">
        <f>IFERROR(__xludf.DUMMYFUNCTION("""COMPUTED_VALUE"""),"AHU cRABS sensor TE 0111")</f>
        <v>AHU cRABS sensor TE 0111</v>
      </c>
      <c r="F733" s="3" t="str">
        <f>IFERROR(__xludf.DUMMYFUNCTION("""COMPUTED_VALUE"""),"RTD - Single Element. Built according to directive 94/9/CE ATEX II 2GD Ex d IIC T6; Temperature Rang; ; ;")</f>
        <v>RTD - Single Element. Built according to directive 94/9/CE ATEX II 2GD Ex d IIC T6; Temperature Rang; ; ;</v>
      </c>
      <c r="G733" s="3">
        <f>IFERROR(__xludf.DUMMYFUNCTION("""COMPUTED_VALUE"""),2.0)</f>
        <v>2</v>
      </c>
      <c r="H733" s="3" t="str">
        <f>IFERROR(__xludf.DUMMYFUNCTION("""COMPUTED_VALUE"""),"unit")</f>
        <v>unit</v>
      </c>
      <c r="I733" s="3" t="str">
        <f>IFERROR(__xludf.DUMMYFUNCTION("""COMPUTED_VALUE"""),"RTD - Single Element. Built according to directive 94/9/CE ATEX II 2GD Ex 
IIC T6 Temperature Range -40°/60°
Serial no. ORC294-12
Brand Master
part no 25220")</f>
        <v>RTD - Single Element. Built according to directive 94/9/CE ATEX II 2GD Ex 
IIC T6 Temperature Range -40°/60°
Serial no. ORC294-12
Brand Master
part no 25220</v>
      </c>
      <c r="J733" s="3" t="str">
        <f>IFERROR(__xludf.DUMMYFUNCTION("""COMPUTED_VALUE"""),"O-51818-00")</f>
        <v>O-51818-00</v>
      </c>
      <c r="K733" s="3" t="str">
        <f>IFERROR(__xludf.DUMMYFUNCTION("""COMPUTED_VALUE"""),"Approve")</f>
        <v>Approve</v>
      </c>
      <c r="L733" s="3" t="str">
        <f>IFERROR(__xludf.DUMMYFUNCTION("""COMPUTED_VALUE"""),"Normal")</f>
        <v>Normal</v>
      </c>
      <c r="M733" s="3" t="str">
        <f>IFERROR(__xludf.DUMMYFUNCTION("""COMPUTED_VALUE"""),"Non Urgent")</f>
        <v>Non Urgent</v>
      </c>
    </row>
    <row r="734">
      <c r="A734" s="4">
        <f>IFERROR(__xludf.DUMMYFUNCTION("""COMPUTED_VALUE"""),46255.82219748843)</f>
        <v>46255.8222</v>
      </c>
      <c r="B734" s="3" t="str">
        <f>IFERROR(__xludf.DUMMYFUNCTION("""COMPUTED_VALUE"""),"AAARO0015")</f>
        <v>AAARO0015</v>
      </c>
      <c r="C734" s="3" t="str">
        <f>IFERROR(__xludf.DUMMYFUNCTION("""COMPUTED_VALUE"""),"MIn Stok")</f>
        <v>MIn Stok</v>
      </c>
      <c r="D734" s="3" t="str">
        <f>IFERROR(__xludf.DUMMYFUNCTION("""COMPUTED_VALUE"""),"NA")</f>
        <v>NA</v>
      </c>
      <c r="E734" s="3" t="str">
        <f>IFERROR(__xludf.DUMMYFUNCTION("""COMPUTED_VALUE"""),"Washing")</f>
        <v>Washing</v>
      </c>
      <c r="F734" s="3" t="str">
        <f>IFERROR(__xludf.DUMMYFUNCTION("""COMPUTED_VALUE"""),"DOOR SAFETY SWITCHES ; SCHMERSAL ; PROXIMITY SENSOR , BNS-260 FOR DOOR")</f>
        <v>DOOR SAFETY SWITCHES ; SCHMERSAL ; PROXIMITY SENSOR , BNS-260 FOR DOOR</v>
      </c>
      <c r="G734" s="3">
        <f>IFERROR(__xludf.DUMMYFUNCTION("""COMPUTED_VALUE"""),2.0)</f>
        <v>2</v>
      </c>
      <c r="H734" s="3" t="str">
        <f>IFERROR(__xludf.DUMMYFUNCTION("""COMPUTED_VALUE"""),"pcs")</f>
        <v>pcs</v>
      </c>
      <c r="I734" s="3" t="str">
        <f>IFERROR(__xludf.DUMMYFUNCTION("""COMPUTED_VALUE"""),"BNS260-11Z-ST-R")</f>
        <v>BNS260-11Z-ST-R</v>
      </c>
      <c r="J734" s="3" t="str">
        <f>IFERROR(__xludf.DUMMYFUNCTION("""COMPUTED_VALUE"""),"O-15582-00")</f>
        <v>O-15582-00</v>
      </c>
      <c r="K734" s="3" t="str">
        <f>IFERROR(__xludf.DUMMYFUNCTION("""COMPUTED_VALUE"""),"Approve")</f>
        <v>Approve</v>
      </c>
      <c r="L734" s="3" t="str">
        <f>IFERROR(__xludf.DUMMYFUNCTION("""COMPUTED_VALUE"""),"Normal")</f>
        <v>Normal</v>
      </c>
      <c r="M734" s="3" t="str">
        <f>IFERROR(__xludf.DUMMYFUNCTION("""COMPUTED_VALUE"""),"Non Urgent")</f>
        <v>Non Urgent</v>
      </c>
    </row>
    <row r="735">
      <c r="A735" s="4">
        <f>IFERROR(__xludf.DUMMYFUNCTION("""COMPUTED_VALUE"""),46255.82219748843)</f>
        <v>46255.8222</v>
      </c>
      <c r="B735" s="3" t="str">
        <f>IFERROR(__xludf.DUMMYFUNCTION("""COMPUTED_VALUE"""),"AAARO0016")</f>
        <v>AAARO0016</v>
      </c>
      <c r="C735" s="3" t="str">
        <f>IFERROR(__xludf.DUMMYFUNCTION("""COMPUTED_VALUE"""),"MIn Stok")</f>
        <v>MIn Stok</v>
      </c>
      <c r="D735" s="3" t="str">
        <f>IFERROR(__xludf.DUMMYFUNCTION("""COMPUTED_VALUE"""),"NA")</f>
        <v>NA</v>
      </c>
      <c r="E735" s="3" t="str">
        <f>IFERROR(__xludf.DUMMYFUNCTION("""COMPUTED_VALUE"""),"Washing")</f>
        <v>Washing</v>
      </c>
      <c r="F735" s="3" t="str">
        <f>IFERROR(__xludf.DUMMYFUNCTION("""COMPUTED_VALUE"""),"DOOR SAFETY SWITCHES ; SCHMERSAL ; PROXIMITY SENSOR , BNS-260 FOR DOOR")</f>
        <v>DOOR SAFETY SWITCHES ; SCHMERSAL ; PROXIMITY SENSOR , BNS-260 FOR DOOR</v>
      </c>
      <c r="G735" s="3">
        <f>IFERROR(__xludf.DUMMYFUNCTION("""COMPUTED_VALUE"""),2.0)</f>
        <v>2</v>
      </c>
      <c r="H735" s="3" t="str">
        <f>IFERROR(__xludf.DUMMYFUNCTION("""COMPUTED_VALUE"""),"pcs")</f>
        <v>pcs</v>
      </c>
      <c r="I735" s="3" t="str">
        <f>IFERROR(__xludf.DUMMYFUNCTION("""COMPUTED_VALUE"""),"BNS260-11Z-ST-L")</f>
        <v>BNS260-11Z-ST-L</v>
      </c>
      <c r="J735" s="3" t="str">
        <f>IFERROR(__xludf.DUMMYFUNCTION("""COMPUTED_VALUE"""),"O-15582-00")</f>
        <v>O-15582-00</v>
      </c>
      <c r="K735" s="3" t="str">
        <f>IFERROR(__xludf.DUMMYFUNCTION("""COMPUTED_VALUE"""),"Approve")</f>
        <v>Approve</v>
      </c>
      <c r="L735" s="3" t="str">
        <f>IFERROR(__xludf.DUMMYFUNCTION("""COMPUTED_VALUE"""),"Normal")</f>
        <v>Normal</v>
      </c>
      <c r="M735" s="3" t="str">
        <f>IFERROR(__xludf.DUMMYFUNCTION("""COMPUTED_VALUE"""),"Non Urgent")</f>
        <v>Non Urgent</v>
      </c>
    </row>
    <row r="736">
      <c r="A736" s="4">
        <f>IFERROR(__xludf.DUMMYFUNCTION("""COMPUTED_VALUE"""),46255.82219748843)</f>
        <v>46255.8222</v>
      </c>
      <c r="B736" s="3" t="str">
        <f>IFERROR(__xludf.DUMMYFUNCTION("""COMPUTED_VALUE"""),"AAARO0017")</f>
        <v>AAARO0017</v>
      </c>
      <c r="C736" s="3" t="str">
        <f>IFERROR(__xludf.DUMMYFUNCTION("""COMPUTED_VALUE"""),"MIn Stok")</f>
        <v>MIn Stok</v>
      </c>
      <c r="D736" s="3" t="str">
        <f>IFERROR(__xludf.DUMMYFUNCTION("""COMPUTED_VALUE"""),"NA")</f>
        <v>NA</v>
      </c>
      <c r="E736" s="3" t="str">
        <f>IFERROR(__xludf.DUMMYFUNCTION("""COMPUTED_VALUE"""),"Washing")</f>
        <v>Washing</v>
      </c>
      <c r="F736" s="3" t="str">
        <f>IFERROR(__xludf.DUMMYFUNCTION("""COMPUTED_VALUE"""),"DOOR SAFETY SWITCHES ; SCHMERSAL ; MAGNET BPS-260")</f>
        <v>DOOR SAFETY SWITCHES ; SCHMERSAL ; MAGNET BPS-260</v>
      </c>
      <c r="G736" s="3">
        <f>IFERROR(__xludf.DUMMYFUNCTION("""COMPUTED_VALUE"""),2.0)</f>
        <v>2</v>
      </c>
      <c r="H736" s="3" t="str">
        <f>IFERROR(__xludf.DUMMYFUNCTION("""COMPUTED_VALUE"""),"pcs")</f>
        <v>pcs</v>
      </c>
      <c r="I736" s="3" t="str">
        <f>IFERROR(__xludf.DUMMYFUNCTION("""COMPUTED_VALUE"""),"magnetnya safety door")</f>
        <v>magnetnya safety door</v>
      </c>
      <c r="J736" s="3" t="str">
        <f>IFERROR(__xludf.DUMMYFUNCTION("""COMPUTED_VALUE"""),"O-15581-00")</f>
        <v>O-15581-00</v>
      </c>
      <c r="K736" s="3" t="str">
        <f>IFERROR(__xludf.DUMMYFUNCTION("""COMPUTED_VALUE"""),"Approve")</f>
        <v>Approve</v>
      </c>
      <c r="L736" s="3" t="str">
        <f>IFERROR(__xludf.DUMMYFUNCTION("""COMPUTED_VALUE"""),"Normal")</f>
        <v>Normal</v>
      </c>
      <c r="M736" s="3" t="str">
        <f>IFERROR(__xludf.DUMMYFUNCTION("""COMPUTED_VALUE"""),"Non Urgent")</f>
        <v>Non Urgent</v>
      </c>
    </row>
    <row r="737">
      <c r="A737" s="4">
        <f>IFERROR(__xludf.DUMMYFUNCTION("""COMPUTED_VALUE"""),46255.82219748843)</f>
        <v>46255.8222</v>
      </c>
      <c r="B737" s="3" t="str">
        <f>IFERROR(__xludf.DUMMYFUNCTION("""COMPUTED_VALUE"""),"AAARO0018")</f>
        <v>AAARO0018</v>
      </c>
      <c r="C737" s="3" t="str">
        <f>IFERROR(__xludf.DUMMYFUNCTION("""COMPUTED_VALUE"""),"EJO")</f>
        <v>EJO</v>
      </c>
      <c r="D737" s="3" t="str">
        <f>IFERROR(__xludf.DUMMYFUNCTION("""COMPUTED_VALUE"""),"menyusul")</f>
        <v>menyusul</v>
      </c>
      <c r="E737" s="3" t="str">
        <f>IFERROR(__xludf.DUMMYFUNCTION("""COMPUTED_VALUE"""),"Huber")</f>
        <v>Huber</v>
      </c>
      <c r="F737" s="3" t="str">
        <f>IFERROR(__xludf.DUMMYFUNCTION("""COMPUTED_VALUE"""),"General - Kabel NYAF Uk. 1 x 0.75mm, Warna Merah; Supreme; -; 100meter/roll")</f>
        <v>General - Kabel NYAF Uk. 1 x 0.75mm, Warna Merah; Supreme; -; 100meter/roll</v>
      </c>
      <c r="G737" s="3">
        <f>IFERROR(__xludf.DUMMYFUNCTION("""COMPUTED_VALUE"""),1.0)</f>
        <v>1</v>
      </c>
      <c r="H737" s="3" t="str">
        <f>IFERROR(__xludf.DUMMYFUNCTION("""COMPUTED_VALUE"""),"roll")</f>
        <v>roll</v>
      </c>
      <c r="I737" s="3" t="str">
        <f>IFERROR(__xludf.DUMMYFUNCTION("""COMPUTED_VALUE"""),"NYAF 1x0.75 mm")</f>
        <v>NYAF 1x0.75 mm</v>
      </c>
      <c r="J737" s="3" t="str">
        <f>IFERROR(__xludf.DUMMYFUNCTION("""COMPUTED_VALUE"""),"#N/A")</f>
        <v>#N/A</v>
      </c>
      <c r="K737" s="3" t="str">
        <f>IFERROR(__xludf.DUMMYFUNCTION("""COMPUTED_VALUE"""),"Approve")</f>
        <v>Approve</v>
      </c>
      <c r="L737" s="3" t="str">
        <f>IFERROR(__xludf.DUMMYFUNCTION("""COMPUTED_VALUE"""),"Urgent")</f>
        <v>Urgent</v>
      </c>
      <c r="M737" s="3" t="str">
        <f>IFERROR(__xludf.DUMMYFUNCTION("""COMPUTED_VALUE"""),"Approve")</f>
        <v>Approve</v>
      </c>
    </row>
    <row r="738">
      <c r="A738" s="4">
        <f>IFERROR(__xludf.DUMMYFUNCTION("""COMPUTED_VALUE"""),46255.82219748843)</f>
        <v>46255.8222</v>
      </c>
      <c r="B738" s="3" t="str">
        <f>IFERROR(__xludf.DUMMYFUNCTION("""COMPUTED_VALUE"""),"AAARO0019")</f>
        <v>AAARO0019</v>
      </c>
      <c r="C738" s="3" t="str">
        <f>IFERROR(__xludf.DUMMYFUNCTION("""COMPUTED_VALUE"""),"EJO")</f>
        <v>EJO</v>
      </c>
      <c r="D738" s="3" t="str">
        <f>IFERROR(__xludf.DUMMYFUNCTION("""COMPUTED_VALUE"""),"menyusul")</f>
        <v>menyusul</v>
      </c>
      <c r="E738" s="3" t="str">
        <f>IFERROR(__xludf.DUMMYFUNCTION("""COMPUTED_VALUE"""),"Huber")</f>
        <v>Huber</v>
      </c>
      <c r="F738" s="3" t="str">
        <f>IFERROR(__xludf.DUMMYFUNCTION("""COMPUTED_VALUE"""),"General - Kabel NYAF 1x0.75mm, Warna Biru; JEMBO; -; 1 meter")</f>
        <v>General - Kabel NYAF 1x0.75mm, Warna Biru; JEMBO; -; 1 meter</v>
      </c>
      <c r="G738" s="3">
        <f>IFERROR(__xludf.DUMMYFUNCTION("""COMPUTED_VALUE"""),1.0)</f>
        <v>1</v>
      </c>
      <c r="H738" s="3" t="str">
        <f>IFERROR(__xludf.DUMMYFUNCTION("""COMPUTED_VALUE"""),"roll")</f>
        <v>roll</v>
      </c>
      <c r="I738" s="3" t="str">
        <f>IFERROR(__xludf.DUMMYFUNCTION("""COMPUTED_VALUE"""),"warna biru")</f>
        <v>warna biru</v>
      </c>
      <c r="J738" s="3" t="str">
        <f>IFERROR(__xludf.DUMMYFUNCTION("""COMPUTED_VALUE"""),"#N/A")</f>
        <v>#N/A</v>
      </c>
      <c r="K738" s="3" t="str">
        <f>IFERROR(__xludf.DUMMYFUNCTION("""COMPUTED_VALUE"""),"Approve")</f>
        <v>Approve</v>
      </c>
      <c r="L738" s="3" t="str">
        <f>IFERROR(__xludf.DUMMYFUNCTION("""COMPUTED_VALUE"""),"Urgent")</f>
        <v>Urgent</v>
      </c>
      <c r="M738" s="3" t="str">
        <f>IFERROR(__xludf.DUMMYFUNCTION("""COMPUTED_VALUE"""),"Approve")</f>
        <v>Approve</v>
      </c>
    </row>
    <row r="739">
      <c r="A739" s="4">
        <f>IFERROR(__xludf.DUMMYFUNCTION("""COMPUTED_VALUE"""),46255.82219748843)</f>
        <v>46255.8222</v>
      </c>
      <c r="B739" s="3" t="str">
        <f>IFERROR(__xludf.DUMMYFUNCTION("""COMPUTED_VALUE"""),"AAARO0020")</f>
        <v>AAARO0020</v>
      </c>
      <c r="C739" s="3" t="str">
        <f>IFERROR(__xludf.DUMMYFUNCTION("""COMPUTED_VALUE"""),"EJO")</f>
        <v>EJO</v>
      </c>
      <c r="D739" s="3" t="str">
        <f>IFERROR(__xludf.DUMMYFUNCTION("""COMPUTED_VALUE"""),"menyusul")</f>
        <v>menyusul</v>
      </c>
      <c r="E739" s="3" t="str">
        <f>IFERROR(__xludf.DUMMYFUNCTION("""COMPUTED_VALUE"""),"Huber")</f>
        <v>Huber</v>
      </c>
      <c r="F739" s="3" t="str">
        <f>IFERROR(__xludf.DUMMYFUNCTION("""COMPUTED_VALUE"""),"General - Panel Box Uk. 20 x 30 x 15cm; No Brand; -; 1 pc")</f>
        <v>General - Panel Box Uk. 20 x 30 x 15cm; No Brand; -; 1 pc</v>
      </c>
      <c r="G739" s="3">
        <f>IFERROR(__xludf.DUMMYFUNCTION("""COMPUTED_VALUE"""),1.0)</f>
        <v>1</v>
      </c>
      <c r="H739" s="3" t="str">
        <f>IFERROR(__xludf.DUMMYFUNCTION("""COMPUTED_VALUE"""),"box")</f>
        <v>box</v>
      </c>
      <c r="I739" s="3" t="str">
        <f>IFERROR(__xludf.DUMMYFUNCTION("""COMPUTED_VALUE"""),"warna putih")</f>
        <v>warna putih</v>
      </c>
      <c r="J739" s="3" t="str">
        <f>IFERROR(__xludf.DUMMYFUNCTION("""COMPUTED_VALUE"""),"#N/A")</f>
        <v>#N/A</v>
      </c>
      <c r="K739" s="3" t="str">
        <f>IFERROR(__xludf.DUMMYFUNCTION("""COMPUTED_VALUE"""),"Approve")</f>
        <v>Approve</v>
      </c>
      <c r="L739" s="3" t="str">
        <f>IFERROR(__xludf.DUMMYFUNCTION("""COMPUTED_VALUE"""),"Urgent")</f>
        <v>Urgent</v>
      </c>
      <c r="M739" s="3" t="str">
        <f>IFERROR(__xludf.DUMMYFUNCTION("""COMPUTED_VALUE"""),"Approve")</f>
        <v>Approve</v>
      </c>
    </row>
    <row r="740">
      <c r="A740" s="4">
        <f>IFERROR(__xludf.DUMMYFUNCTION("""COMPUTED_VALUE"""),46255.82219748843)</f>
        <v>46255.8222</v>
      </c>
      <c r="B740" s="3" t="str">
        <f>IFERROR(__xludf.DUMMYFUNCTION("""COMPUTED_VALUE"""),"AAARO0021")</f>
        <v>AAARO0021</v>
      </c>
      <c r="C740" s="3" t="str">
        <f>IFERROR(__xludf.DUMMYFUNCTION("""COMPUTED_VALUE"""),"EJO")</f>
        <v>EJO</v>
      </c>
      <c r="D740" s="3" t="str">
        <f>IFERROR(__xludf.DUMMYFUNCTION("""COMPUTED_VALUE"""),"menyusul")</f>
        <v>menyusul</v>
      </c>
      <c r="E740" s="3" t="str">
        <f>IFERROR(__xludf.DUMMYFUNCTION("""COMPUTED_VALUE"""),"Huber")</f>
        <v>Huber</v>
      </c>
      <c r="F740" s="3" t="str">
        <f>IFERROR(__xludf.DUMMYFUNCTION("""COMPUTED_VALUE"""),"General - Key Selector Switch; Autonics; S2KR-4CK2AM; 1 pc")</f>
        <v>General - Key Selector Switch; Autonics; S2KR-4CK2AM; 1 pc</v>
      </c>
      <c r="G740" s="3">
        <f>IFERROR(__xludf.DUMMYFUNCTION("""COMPUTED_VALUE"""),2.0)</f>
        <v>2</v>
      </c>
      <c r="H740" s="3" t="str">
        <f>IFERROR(__xludf.DUMMYFUNCTION("""COMPUTED_VALUE"""),"pcs")</f>
        <v>pcs</v>
      </c>
      <c r="I740" s="3" t="str">
        <f>IFERROR(__xludf.DUMMYFUNCTION("""COMPUTED_VALUE"""),"include auxiliary contact  ; 2 posisi")</f>
        <v>include auxiliary contact  ; 2 posisi</v>
      </c>
      <c r="J740" s="3" t="str">
        <f>IFERROR(__xludf.DUMMYFUNCTION("""COMPUTED_VALUE"""),"#N/A")</f>
        <v>#N/A</v>
      </c>
      <c r="K740" s="3" t="str">
        <f>IFERROR(__xludf.DUMMYFUNCTION("""COMPUTED_VALUE"""),"Approve")</f>
        <v>Approve</v>
      </c>
      <c r="L740" s="3" t="str">
        <f>IFERROR(__xludf.DUMMYFUNCTION("""COMPUTED_VALUE"""),"Urgent")</f>
        <v>Urgent</v>
      </c>
      <c r="M740" s="3" t="str">
        <f>IFERROR(__xludf.DUMMYFUNCTION("""COMPUTED_VALUE"""),"Approve")</f>
        <v>Approve</v>
      </c>
    </row>
    <row r="741">
      <c r="A741" s="4">
        <f>IFERROR(__xludf.DUMMYFUNCTION("""COMPUTED_VALUE"""),46255.82219748843)</f>
        <v>46255.8222</v>
      </c>
      <c r="B741" s="3" t="str">
        <f>IFERROR(__xludf.DUMMYFUNCTION("""COMPUTED_VALUE"""),"AAARO0022")</f>
        <v>AAARO0022</v>
      </c>
      <c r="C741" s="3" t="str">
        <f>IFERROR(__xludf.DUMMYFUNCTION("""COMPUTED_VALUE"""),"EJO")</f>
        <v>EJO</v>
      </c>
      <c r="D741" s="3" t="str">
        <f>IFERROR(__xludf.DUMMYFUNCTION("""COMPUTED_VALUE"""),"menyusul")</f>
        <v>menyusul</v>
      </c>
      <c r="E741" s="3" t="str">
        <f>IFERROR(__xludf.DUMMYFUNCTION("""COMPUTED_VALUE"""),"Huber")</f>
        <v>Huber</v>
      </c>
      <c r="F741" s="3" t="str">
        <f>IFERROR(__xludf.DUMMYFUNCTION("""COMPUTED_VALUE"""),"General - Solid State Relay 3-32 VDC - 330 VAC 25 A; Fotek; SSR 3-32; 1 Pc")</f>
        <v>General - Solid State Relay 3-32 VDC - 330 VAC 25 A; Fotek; SSR 3-32; 1 Pc</v>
      </c>
      <c r="G741" s="3">
        <f>IFERROR(__xludf.DUMMYFUNCTION("""COMPUTED_VALUE"""),2.0)</f>
        <v>2</v>
      </c>
      <c r="H741" s="3" t="str">
        <f>IFERROR(__xludf.DUMMYFUNCTION("""COMPUTED_VALUE"""),"pcs")</f>
        <v>pcs</v>
      </c>
      <c r="I741" s="3" t="str">
        <f>IFERROR(__xludf.DUMMYFUNCTION("""COMPUTED_VALUE"""),"FOTEK ; SSR-25 DA")</f>
        <v>FOTEK ; SSR-25 DA</v>
      </c>
      <c r="J741" s="3" t="str">
        <f>IFERROR(__xludf.DUMMYFUNCTION("""COMPUTED_VALUE"""),"O-51967-00")</f>
        <v>O-51967-00</v>
      </c>
      <c r="K741" s="3" t="str">
        <f>IFERROR(__xludf.DUMMYFUNCTION("""COMPUTED_VALUE"""),"Approve")</f>
        <v>Approve</v>
      </c>
      <c r="L741" s="3" t="str">
        <f>IFERROR(__xludf.DUMMYFUNCTION("""COMPUTED_VALUE"""),"Urgent")</f>
        <v>Urgent</v>
      </c>
      <c r="M741" s="3" t="str">
        <f>IFERROR(__xludf.DUMMYFUNCTION("""COMPUTED_VALUE"""),"Approve")</f>
        <v>Approve</v>
      </c>
    </row>
    <row r="742">
      <c r="A742" s="4">
        <f>IFERROR(__xludf.DUMMYFUNCTION("""COMPUTED_VALUE"""),46255.82219748843)</f>
        <v>46255.8222</v>
      </c>
      <c r="B742" s="3" t="str">
        <f>IFERROR(__xludf.DUMMYFUNCTION("""COMPUTED_VALUE"""),"AAARO0023")</f>
        <v>AAARO0023</v>
      </c>
      <c r="C742" s="3" t="str">
        <f>IFERROR(__xludf.DUMMYFUNCTION("""COMPUTED_VALUE"""),"EJO")</f>
        <v>EJO</v>
      </c>
      <c r="D742" s="3" t="str">
        <f>IFERROR(__xludf.DUMMYFUNCTION("""COMPUTED_VALUE"""),"menyusul")</f>
        <v>menyusul</v>
      </c>
      <c r="E742" s="3" t="str">
        <f>IFERROR(__xludf.DUMMYFUNCTION("""COMPUTED_VALUE"""),"Huber")</f>
        <v>Huber</v>
      </c>
      <c r="F742" s="3" t="str">
        <f>IFERROR(__xludf.DUMMYFUNCTION("""COMPUTED_VALUE"""),"General - Relay 220-240 VAC; Omron; MY4N; 1 Pc")</f>
        <v>General - Relay 220-240 VAC; Omron; MY4N; 1 Pc</v>
      </c>
      <c r="G742" s="3">
        <f>IFERROR(__xludf.DUMMYFUNCTION("""COMPUTED_VALUE"""),5.0)</f>
        <v>5</v>
      </c>
      <c r="H742" s="3" t="str">
        <f>IFERROR(__xludf.DUMMYFUNCTION("""COMPUTED_VALUE"""),"pcs")</f>
        <v>pcs</v>
      </c>
      <c r="I742" s="3" t="str">
        <f>IFERROR(__xludf.DUMMYFUNCTION("""COMPUTED_VALUE"""),"OMRON")</f>
        <v>OMRON</v>
      </c>
      <c r="J742" s="3" t="str">
        <f>IFERROR(__xludf.DUMMYFUNCTION("""COMPUTED_VALUE"""),"O-50863-00")</f>
        <v>O-50863-00</v>
      </c>
      <c r="K742" s="3" t="str">
        <f>IFERROR(__xludf.DUMMYFUNCTION("""COMPUTED_VALUE"""),"Approve")</f>
        <v>Approve</v>
      </c>
      <c r="L742" s="3" t="str">
        <f>IFERROR(__xludf.DUMMYFUNCTION("""COMPUTED_VALUE"""),"Urgent")</f>
        <v>Urgent</v>
      </c>
      <c r="M742" s="3" t="str">
        <f>IFERROR(__xludf.DUMMYFUNCTION("""COMPUTED_VALUE"""),"Approve")</f>
        <v>Approve</v>
      </c>
    </row>
    <row r="743">
      <c r="A743" s="4">
        <f>IFERROR(__xludf.DUMMYFUNCTION("""COMPUTED_VALUE"""),46255.871175127315)</f>
        <v>46255.87118</v>
      </c>
      <c r="B743" s="3" t="str">
        <f>IFERROR(__xludf.DUMMYFUNCTION("""COMPUTED_VALUE"""),"SFHRO0056")</f>
        <v>SFHRO0056</v>
      </c>
      <c r="C743" s="3" t="str">
        <f>IFERROR(__xludf.DUMMYFUNCTION("""COMPUTED_VALUE"""),"Consumable")</f>
        <v>Consumable</v>
      </c>
      <c r="D743" s="3" t="str">
        <f>IFERROR(__xludf.DUMMYFUNCTION("""COMPUTED_VALUE"""),"-")</f>
        <v>-</v>
      </c>
      <c r="E743" s="3" t="str">
        <f>IFERROR(__xludf.DUMMYFUNCTION("""COMPUTED_VALUE"""),"lantai 2")</f>
        <v>lantai 2</v>
      </c>
      <c r="F743" s="3" t="str">
        <f>IFERROR(__xludf.DUMMYFUNCTION("""COMPUTED_VALUE"""),"Cat Ambiance Lakestone 44537M Tinting; Dulux; ;")</f>
        <v>Cat Ambiance Lakestone 44537M Tinting; Dulux; ;</v>
      </c>
      <c r="G743" s="3">
        <f>IFERROR(__xludf.DUMMYFUNCTION("""COMPUTED_VALUE"""),2.0)</f>
        <v>2</v>
      </c>
      <c r="H743" s="3" t="str">
        <f>IFERROR(__xludf.DUMMYFUNCTION("""COMPUTED_VALUE"""),"pel")</f>
        <v>pel</v>
      </c>
      <c r="I743" s="3" t="str">
        <f>IFERROR(__xludf.DUMMYFUNCTION("""COMPUTED_VALUE"""),"-")</f>
        <v>-</v>
      </c>
      <c r="J743" s="3" t="str">
        <f>IFERROR(__xludf.DUMMYFUNCTION("""COMPUTED_VALUE"""),"Q-10829-00")</f>
        <v>Q-10829-00</v>
      </c>
      <c r="K743" s="3" t="str">
        <f>IFERROR(__xludf.DUMMYFUNCTION("""COMPUTED_VALUE"""),"Approve")</f>
        <v>Approve</v>
      </c>
      <c r="L743" s="3" t="str">
        <f>IFERROR(__xludf.DUMMYFUNCTION("""COMPUTED_VALUE"""),"Normal")</f>
        <v>Normal</v>
      </c>
      <c r="M743" s="3" t="str">
        <f>IFERROR(__xludf.DUMMYFUNCTION("""COMPUTED_VALUE"""),"Non Urgent")</f>
        <v>Non Urgent</v>
      </c>
    </row>
    <row r="744">
      <c r="A744" s="4">
        <f>IFERROR(__xludf.DUMMYFUNCTION("""COMPUTED_VALUE"""),46262.84448984954)</f>
        <v>46262.84449</v>
      </c>
      <c r="B744" s="3" t="str">
        <f>IFERROR(__xludf.DUMMYFUNCTION("""COMPUTED_VALUE"""),"ROSRO0038")</f>
        <v>ROSRO0038</v>
      </c>
      <c r="C744" s="3" t="str">
        <f>IFERROR(__xludf.DUMMYFUNCTION("""COMPUTED_VALUE"""),"Consumable")</f>
        <v>Consumable</v>
      </c>
      <c r="D744" s="3" t="str">
        <f>IFERROR(__xludf.DUMMYFUNCTION("""COMPUTED_VALUE"""),"-")</f>
        <v>-</v>
      </c>
      <c r="E744" s="3" t="str">
        <f>IFERROR(__xludf.DUMMYFUNCTION("""COMPUTED_VALUE"""),"Filling")</f>
        <v>Filling</v>
      </c>
      <c r="F744" s="3" t="str">
        <f>IFERROR(__xludf.DUMMYFUNCTION("""COMPUTED_VALUE"""),"Filling VFM100 - Oring Silicone ID 6,96mm OD 10,34 Tebal 1,69mm; Custom/Lokal; -; 1 Pc")</f>
        <v>Filling VFM100 - Oring Silicone ID 6,96mm OD 10,34 Tebal 1,69mm; Custom/Lokal; -; 1 Pc</v>
      </c>
      <c r="G744" s="3">
        <f>IFERROR(__xludf.DUMMYFUNCTION("""COMPUTED_VALUE"""),20.0)</f>
        <v>20</v>
      </c>
      <c r="H744" s="3" t="str">
        <f>IFERROR(__xludf.DUMMYFUNCTION("""COMPUTED_VALUE"""),"Pcs")</f>
        <v>Pcs</v>
      </c>
      <c r="I744" s="3" t="str">
        <f>IFERROR(__xludf.DUMMYFUNCTION("""COMPUTED_VALUE"""),"Head stoper filling")</f>
        <v>Head stoper filling</v>
      </c>
      <c r="J744" s="3" t="str">
        <f>IFERROR(__xludf.DUMMYFUNCTION("""COMPUTED_VALUE"""),"O-21703-00")</f>
        <v>O-21703-00</v>
      </c>
      <c r="K744" s="3" t="str">
        <f>IFERROR(__xludf.DUMMYFUNCTION("""COMPUTED_VALUE"""),"Approve")</f>
        <v>Approve</v>
      </c>
      <c r="L744" s="3" t="str">
        <f>IFERROR(__xludf.DUMMYFUNCTION("""COMPUTED_VALUE"""),"Normal")</f>
        <v>Normal</v>
      </c>
      <c r="M744" s="3" t="str">
        <f>IFERROR(__xludf.DUMMYFUNCTION("""COMPUTED_VALUE"""),"Non Urgent")</f>
        <v>Non Urgent</v>
      </c>
    </row>
    <row r="745">
      <c r="A745" s="4">
        <f>IFERROR(__xludf.DUMMYFUNCTION("""COMPUTED_VALUE"""),46262.88575918982)</f>
        <v>46262.88576</v>
      </c>
      <c r="B745" s="3" t="str">
        <f>IFERROR(__xludf.DUMMYFUNCTION("""COMPUTED_VALUE"""),"SFHRO0057")</f>
        <v>SFHRO0057</v>
      </c>
      <c r="C745" s="3" t="str">
        <f>IFERROR(__xludf.DUMMYFUNCTION("""COMPUTED_VALUE"""),"Consumable")</f>
        <v>Consumable</v>
      </c>
      <c r="D745" s="3" t="str">
        <f>IFERROR(__xludf.DUMMYFUNCTION("""COMPUTED_VALUE"""),"-")</f>
        <v>-</v>
      </c>
      <c r="E745" s="3" t="str">
        <f>IFERROR(__xludf.DUMMYFUNCTION("""COMPUTED_VALUE"""),"lantai 2")</f>
        <v>lantai 2</v>
      </c>
      <c r="F745" s="3" t="str">
        <f>IFERROR(__xludf.DUMMYFUNCTION("""COMPUTED_VALUE"""),"Cat Durogloss DR-2000; Propan; Type Spiders Web 90YY 73/040; 0,9 L/can")</f>
        <v>Cat Durogloss DR-2000; Propan; Type Spiders Web 90YY 73/040; 0,9 L/can</v>
      </c>
      <c r="G745" s="3">
        <f>IFERROR(__xludf.DUMMYFUNCTION("""COMPUTED_VALUE"""),5.0)</f>
        <v>5</v>
      </c>
      <c r="H745" s="3" t="str">
        <f>IFERROR(__xludf.DUMMYFUNCTION("""COMPUTED_VALUE"""),"liter")</f>
        <v>liter</v>
      </c>
      <c r="I745" s="3" t="str">
        <f>IFERROR(__xludf.DUMMYFUNCTION("""COMPUTED_VALUE"""),"-")</f>
        <v>-</v>
      </c>
      <c r="J745" s="3" t="str">
        <f>IFERROR(__xludf.DUMMYFUNCTION("""COMPUTED_VALUE"""),"Q-60405-00")</f>
        <v>Q-60405-00</v>
      </c>
      <c r="K745" s="3" t="str">
        <f>IFERROR(__xludf.DUMMYFUNCTION("""COMPUTED_VALUE"""),"Approve")</f>
        <v>Approve</v>
      </c>
      <c r="L745" s="3" t="str">
        <f>IFERROR(__xludf.DUMMYFUNCTION("""COMPUTED_VALUE"""),"Normal")</f>
        <v>Normal</v>
      </c>
      <c r="M745" s="3" t="str">
        <f>IFERROR(__xludf.DUMMYFUNCTION("""COMPUTED_VALUE"""),"Non Urgent")</f>
        <v>Non Urgent</v>
      </c>
    </row>
    <row r="746">
      <c r="A746" s="4">
        <f>IFERROR(__xludf.DUMMYFUNCTION("""COMPUTED_VALUE"""),46266.950218680555)</f>
        <v>46266.95022</v>
      </c>
      <c r="B746" s="3" t="str">
        <f>IFERROR(__xludf.DUMMYFUNCTION("""COMPUTED_VALUE"""),"MRNRO0054")</f>
        <v>MRNRO0054</v>
      </c>
      <c r="C746" s="3" t="str">
        <f>IFERROR(__xludf.DUMMYFUNCTION("""COMPUTED_VALUE"""),"EJO")</f>
        <v>EJO</v>
      </c>
      <c r="D746" s="3" t="str">
        <f>IFERROR(__xludf.DUMMYFUNCTION("""COMPUTED_VALUE"""),"EJO/2026/05/028")</f>
        <v>EJO/2026/05/028</v>
      </c>
      <c r="E746" s="3" t="str">
        <f>IFERROR(__xludf.DUMMYFUNCTION("""COMPUTED_VALUE"""),"WWTP")</f>
        <v>WWTP</v>
      </c>
      <c r="F746" s="3" t="str">
        <f>IFERROR(__xludf.DUMMYFUNCTION("""COMPUTED_VALUE"""),"General - Pompa Magnetik 150W 1 phase; Sanso; PMD 1564; 1 Unit")</f>
        <v>General - Pompa Magnetik 150W 1 phase; Sanso; PMD 1564; 1 Unit</v>
      </c>
      <c r="G746" s="3">
        <f>IFERROR(__xludf.DUMMYFUNCTION("""COMPUTED_VALUE"""),1.0)</f>
        <v>1</v>
      </c>
      <c r="H746" s="3" t="str">
        <f>IFERROR(__xludf.DUMMYFUNCTION("""COMPUTED_VALUE"""),"pcs")</f>
        <v>pcs</v>
      </c>
      <c r="I746" s="3" t="str">
        <f>IFERROR(__xludf.DUMMYFUNCTION("""COMPUTED_VALUE"""),"Untuk pompa transfer ke cfm rusak 1 ")</f>
        <v>Untuk pompa transfer ke cfm rusak 1 </v>
      </c>
      <c r="J746" s="3" t="str">
        <f>IFERROR(__xludf.DUMMYFUNCTION("""COMPUTED_VALUE"""),"P-53050-00")</f>
        <v>P-53050-00</v>
      </c>
      <c r="K746" s="3" t="str">
        <f>IFERROR(__xludf.DUMMYFUNCTION("""COMPUTED_VALUE"""),"Approve")</f>
        <v>Approve</v>
      </c>
      <c r="L746" s="3" t="str">
        <f>IFERROR(__xludf.DUMMYFUNCTION("""COMPUTED_VALUE"""),"Normal")</f>
        <v>Normal</v>
      </c>
      <c r="M746" s="3" t="str">
        <f>IFERROR(__xludf.DUMMYFUNCTION("""COMPUTED_VALUE"""),"Non Urgent")</f>
        <v>Non Urgent</v>
      </c>
    </row>
    <row r="747">
      <c r="A747" s="4">
        <f>IFERROR(__xludf.DUMMYFUNCTION("""COMPUTED_VALUE"""),46272.29273902778)</f>
        <v>46272.29274</v>
      </c>
      <c r="B747" s="3" t="str">
        <f>IFERROR(__xludf.DUMMYFUNCTION("""COMPUTED_VALUE"""),"SFHRO0059")</f>
        <v>SFHRO0059</v>
      </c>
      <c r="C747" s="3" t="str">
        <f>IFERROR(__xludf.DUMMYFUNCTION("""COMPUTED_VALUE"""),"Consumable")</f>
        <v>Consumable</v>
      </c>
      <c r="D747" s="3" t="str">
        <f>IFERROR(__xludf.DUMMYFUNCTION("""COMPUTED_VALUE"""),"-")</f>
        <v>-</v>
      </c>
      <c r="E747" s="3" t="str">
        <f>IFERROR(__xludf.DUMMYFUNCTION("""COMPUTED_VALUE"""),"lantai  2")</f>
        <v>lantai  2</v>
      </c>
      <c r="F747" s="3" t="str">
        <f>IFERROR(__xludf.DUMMYFUNCTION("""COMPUTED_VALUE"""),"Handle Pintu Bulat, Elbow Press Lock; Meroni; N13NE TB127;")</f>
        <v>Handle Pintu Bulat, Elbow Press Lock; Meroni; N13NE TB127;</v>
      </c>
      <c r="G747" s="3">
        <f>IFERROR(__xludf.DUMMYFUNCTION("""COMPUTED_VALUE"""),4.0)</f>
        <v>4</v>
      </c>
      <c r="H747" s="3" t="str">
        <f>IFERROR(__xludf.DUMMYFUNCTION("""COMPUTED_VALUE"""),"pcs")</f>
        <v>pcs</v>
      </c>
      <c r="I747" s="3" t="str">
        <f>IFERROR(__xludf.DUMMYFUNCTION("""COMPUTED_VALUE"""),"-")</f>
        <v>-</v>
      </c>
      <c r="J747" s="3" t="str">
        <f>IFERROR(__xludf.DUMMYFUNCTION("""COMPUTED_VALUE"""),"Q-60401-00")</f>
        <v>Q-60401-00</v>
      </c>
      <c r="K747" s="3" t="str">
        <f>IFERROR(__xludf.DUMMYFUNCTION("""COMPUTED_VALUE"""),"Approve")</f>
        <v>Approve</v>
      </c>
      <c r="L747" s="3" t="str">
        <f>IFERROR(__xludf.DUMMYFUNCTION("""COMPUTED_VALUE"""),"Normal")</f>
        <v>Normal</v>
      </c>
      <c r="M747" s="3" t="str">
        <f>IFERROR(__xludf.DUMMYFUNCTION("""COMPUTED_VALUE"""),"Non Urgent")</f>
        <v>Non Urgent</v>
      </c>
    </row>
    <row r="748">
      <c r="A748" s="4">
        <f>IFERROR(__xludf.DUMMYFUNCTION("""COMPUTED_VALUE"""),46272.292790555555)</f>
        <v>46272.29279</v>
      </c>
      <c r="B748" s="3" t="str">
        <f>IFERROR(__xludf.DUMMYFUNCTION("""COMPUTED_VALUE"""),"SFHRO0058")</f>
        <v>SFHRO0058</v>
      </c>
      <c r="C748" s="3" t="str">
        <f>IFERROR(__xludf.DUMMYFUNCTION("""COMPUTED_VALUE"""),"Consumable")</f>
        <v>Consumable</v>
      </c>
      <c r="D748" s="3" t="str">
        <f>IFERROR(__xludf.DUMMYFUNCTION("""COMPUTED_VALUE"""),"-")</f>
        <v>-</v>
      </c>
      <c r="E748" s="3" t="str">
        <f>IFERROR(__xludf.DUMMYFUNCTION("""COMPUTED_VALUE"""),"lantai 2")</f>
        <v>lantai 2</v>
      </c>
      <c r="F748" s="3" t="str">
        <f>IFERROR(__xludf.DUMMYFUNCTION("""COMPUTED_VALUE"""),"Besi siku SS 304 40x40x3x6000")</f>
        <v>Besi siku SS 304 40x40x3x6000</v>
      </c>
      <c r="G748" s="3">
        <f>IFERROR(__xludf.DUMMYFUNCTION("""COMPUTED_VALUE"""),4.0)</f>
        <v>4</v>
      </c>
      <c r="H748" s="3" t="str">
        <f>IFERROR(__xludf.DUMMYFUNCTION("""COMPUTED_VALUE"""),"btgt")</f>
        <v>btgt</v>
      </c>
      <c r="I748" s="3" t="str">
        <f>IFERROR(__xludf.DUMMYFUNCTION("""COMPUTED_VALUE"""),"buat  siku dinding")</f>
        <v>buat  siku dinding</v>
      </c>
      <c r="J748" s="3" t="str">
        <f>IFERROR(__xludf.DUMMYFUNCTION("""COMPUTED_VALUE"""),"P-11974-00")</f>
        <v>P-11974-00</v>
      </c>
      <c r="K748" s="3" t="str">
        <f>IFERROR(__xludf.DUMMYFUNCTION("""COMPUTED_VALUE"""),"Approve")</f>
        <v>Approve</v>
      </c>
      <c r="L748" s="3" t="str">
        <f>IFERROR(__xludf.DUMMYFUNCTION("""COMPUTED_VALUE"""),"Normal")</f>
        <v>Normal</v>
      </c>
      <c r="M748" s="3" t="str">
        <f>IFERROR(__xludf.DUMMYFUNCTION("""COMPUTED_VALUE"""),"Non Urgent")</f>
        <v>Non Urgent</v>
      </c>
    </row>
    <row r="749">
      <c r="A749" s="4">
        <f>IFERROR(__xludf.DUMMYFUNCTION("""COMPUTED_VALUE"""),46274.42842173611)</f>
        <v>46274.42842</v>
      </c>
      <c r="B749" s="3" t="str">
        <f>IFERROR(__xludf.DUMMYFUNCTION("""COMPUTED_VALUE"""),"ANORO0010")</f>
        <v>ANORO0010</v>
      </c>
      <c r="C749" s="3" t="str">
        <f>IFERROR(__xludf.DUMMYFUNCTION("""COMPUTED_VALUE"""),"Consumable")</f>
        <v>Consumable</v>
      </c>
      <c r="D749" s="3" t="str">
        <f>IFERROR(__xludf.DUMMYFUNCTION("""COMPUTED_VALUE"""),"-")</f>
        <v>-</v>
      </c>
      <c r="E749" s="3" t="str">
        <f>IFERROR(__xludf.DUMMYFUNCTION("""COMPUTED_VALUE"""),"Exhaust Fan ")</f>
        <v>Exhaust Fan </v>
      </c>
      <c r="F749" s="3" t="str">
        <f>IFERROR(__xludf.DUMMYFUNCTION("""COMPUTED_VALUE"""),"SPA 1120 Brand : Optibelt / Bando Merah; Optibelt; ;")</f>
        <v>SPA 1120 Brand : Optibelt / Bando Merah; Optibelt; ;</v>
      </c>
      <c r="G749" s="3">
        <f>IFERROR(__xludf.DUMMYFUNCTION("""COMPUTED_VALUE"""),10.0)</f>
        <v>10</v>
      </c>
      <c r="H749" s="3" t="str">
        <f>IFERROR(__xludf.DUMMYFUNCTION("""COMPUTED_VALUE"""),"pcs")</f>
        <v>pcs</v>
      </c>
      <c r="I749" s="3" t="str">
        <f>IFERROR(__xludf.DUMMYFUNCTION("""COMPUTED_VALUE"""),"untuk stock dan untuk ganti di EF ahu ")</f>
        <v>untuk stock dan untuk ganti di EF ahu </v>
      </c>
      <c r="J749" s="3" t="str">
        <f>IFERROR(__xludf.DUMMYFUNCTION("""COMPUTED_VALUE"""),"O-15489-00")</f>
        <v>O-15489-00</v>
      </c>
      <c r="K749" s="3" t="str">
        <f>IFERROR(__xludf.DUMMYFUNCTION("""COMPUTED_VALUE"""),"Approve")</f>
        <v>Approve</v>
      </c>
      <c r="L749" s="3" t="str">
        <f>IFERROR(__xludf.DUMMYFUNCTION("""COMPUTED_VALUE"""),"Normal")</f>
        <v>Normal</v>
      </c>
      <c r="M749" s="3" t="str">
        <f>IFERROR(__xludf.DUMMYFUNCTION("""COMPUTED_VALUE"""),"Non Urgent")</f>
        <v>Non Urgent</v>
      </c>
    </row>
    <row r="750">
      <c r="A750" s="4">
        <f>IFERROR(__xludf.DUMMYFUNCTION("""COMPUTED_VALUE"""),46275.2945744213)</f>
        <v>46275.29457</v>
      </c>
      <c r="B750" s="3" t="str">
        <f>IFERROR(__xludf.DUMMYFUNCTION("""COMPUTED_VALUE"""),"SFHRO0060")</f>
        <v>SFHRO0060</v>
      </c>
      <c r="C750" s="3" t="str">
        <f>IFERROR(__xludf.DUMMYFUNCTION("""COMPUTED_VALUE"""),"Consumable")</f>
        <v>Consumable</v>
      </c>
      <c r="D750" s="3" t="str">
        <f>IFERROR(__xludf.DUMMYFUNCTION("""COMPUTED_VALUE"""),"-")</f>
        <v>-</v>
      </c>
      <c r="E750" s="3" t="str">
        <f>IFERROR(__xludf.DUMMYFUNCTION("""COMPUTED_VALUE"""),"lantai 2")</f>
        <v>lantai 2</v>
      </c>
      <c r="F750" s="3" t="str">
        <f>IFERROR(__xludf.DUMMYFUNCTION("""COMPUTED_VALUE"""),"HPL Edging Abu 2.2cm; Taco; ;")</f>
        <v>HPL Edging Abu 2.2cm; Taco; ;</v>
      </c>
      <c r="G750" s="3">
        <f>IFERROR(__xludf.DUMMYFUNCTION("""COMPUTED_VALUE"""),3.0)</f>
        <v>3</v>
      </c>
      <c r="H750" s="3" t="str">
        <f>IFERROR(__xludf.DUMMYFUNCTION("""COMPUTED_VALUE"""),"mter")</f>
        <v>mter</v>
      </c>
      <c r="I750" s="3" t="str">
        <f>IFERROR(__xludf.DUMMYFUNCTION("""COMPUTED_VALUE"""),"-")</f>
        <v>-</v>
      </c>
      <c r="J750" s="3" t="str">
        <f>IFERROR(__xludf.DUMMYFUNCTION("""COMPUTED_VALUE"""),"Q-10987-00")</f>
        <v>Q-10987-00</v>
      </c>
      <c r="K750" s="3" t="str">
        <f>IFERROR(__xludf.DUMMYFUNCTION("""COMPUTED_VALUE"""),"Reject")</f>
        <v>Reject</v>
      </c>
      <c r="L750" s="3" t="str">
        <f>IFERROR(__xludf.DUMMYFUNCTION("""COMPUTED_VALUE"""),"Normal")</f>
        <v>Normal</v>
      </c>
      <c r="M750" s="3" t="str">
        <f>IFERROR(__xludf.DUMMYFUNCTION("""COMPUTED_VALUE"""),"Non Urgent")</f>
        <v>Non Urgent</v>
      </c>
    </row>
    <row r="751">
      <c r="A751" s="4">
        <f>IFERROR(__xludf.DUMMYFUNCTION("""COMPUTED_VALUE"""),46275.46967363426)</f>
        <v>46275.46967</v>
      </c>
      <c r="B751" s="3" t="str">
        <f>IFERROR(__xludf.DUMMYFUNCTION("""COMPUTED_VALUE"""),"NDSRO0024")</f>
        <v>NDSRO0024</v>
      </c>
      <c r="C751" s="3" t="str">
        <f>IFERROR(__xludf.DUMMYFUNCTION("""COMPUTED_VALUE"""),"MIn Stok")</f>
        <v>MIn Stok</v>
      </c>
      <c r="D751" s="3" t="str">
        <f>IFERROR(__xludf.DUMMYFUNCTION("""COMPUTED_VALUE"""),"-")</f>
        <v>-</v>
      </c>
      <c r="E751" s="3" t="str">
        <f>IFERROR(__xludf.DUMMYFUNCTION("""COMPUTED_VALUE"""),"MV60")</f>
        <v>MV60</v>
      </c>
      <c r="F751" s="3" t="str">
        <f>IFERROR(__xludf.DUMMYFUNCTION("""COMPUTED_VALUE"""),"Mixing Tank Adam - Pressure Transmitter d trans P31 type: 402050/000 TN : 43010260 -1.5 bar rel, DC10..30V. 4..20mA 2-6 JUMO")</f>
        <v>Mixing Tank Adam - Pressure Transmitter d trans P31 type: 402050/000 TN : 43010260 -1.5 bar rel, DC10..30V. 4..20mA 2-6 JUMO</v>
      </c>
      <c r="G751" s="3">
        <f>IFERROR(__xludf.DUMMYFUNCTION("""COMPUTED_VALUE"""),2.0)</f>
        <v>2</v>
      </c>
      <c r="H751" s="3" t="str">
        <f>IFERROR(__xludf.DUMMYFUNCTION("""COMPUTED_VALUE"""),"Pcs")</f>
        <v>Pcs</v>
      </c>
      <c r="I751" s="3" t="str">
        <f>IFERROR(__xludf.DUMMYFUNCTION("""COMPUTED_VALUE"""),"Spare")</f>
        <v>Spare</v>
      </c>
      <c r="J751" s="3" t="str">
        <f>IFERROR(__xludf.DUMMYFUNCTION("""COMPUTED_VALUE"""),"O-51071-00")</f>
        <v>O-51071-00</v>
      </c>
      <c r="K751" s="3" t="str">
        <f>IFERROR(__xludf.DUMMYFUNCTION("""COMPUTED_VALUE"""),"Approve")</f>
        <v>Approve</v>
      </c>
      <c r="L751" s="3" t="str">
        <f>IFERROR(__xludf.DUMMYFUNCTION("""COMPUTED_VALUE"""),"Normal")</f>
        <v>Normal</v>
      </c>
      <c r="M751" s="3" t="str">
        <f>IFERROR(__xludf.DUMMYFUNCTION("""COMPUTED_VALUE"""),"Non Urgent")</f>
        <v>Non Urgent</v>
      </c>
    </row>
    <row r="752">
      <c r="A752" s="4">
        <f>IFERROR(__xludf.DUMMYFUNCTION("""COMPUTED_VALUE"""),46276.29018721065)</f>
        <v>46276.29019</v>
      </c>
      <c r="B752" s="3" t="str">
        <f>IFERROR(__xludf.DUMMYFUNCTION("""COMPUTED_VALUE"""),"SFHRO0061")</f>
        <v>SFHRO0061</v>
      </c>
      <c r="C752" s="3" t="str">
        <f>IFERROR(__xludf.DUMMYFUNCTION("""COMPUTED_VALUE"""),"Consumable")</f>
        <v>Consumable</v>
      </c>
      <c r="D752" s="3" t="str">
        <f>IFERROR(__xludf.DUMMYFUNCTION("""COMPUTED_VALUE"""),"-")</f>
        <v>-</v>
      </c>
      <c r="E752" s="3" t="str">
        <f>IFERROR(__xludf.DUMMYFUNCTION("""COMPUTED_VALUE"""),"lantai 2")</f>
        <v>lantai 2</v>
      </c>
      <c r="F752" s="3" t="str">
        <f>IFERROR(__xludf.DUMMYFUNCTION("""COMPUTED_VALUE"""),"Handle Pintu Bulat, Elbow Press Lock; Meroni; N13NE TB127;")</f>
        <v>Handle Pintu Bulat, Elbow Press Lock; Meroni; N13NE TB127;</v>
      </c>
      <c r="G752" s="3">
        <f>IFERROR(__xludf.DUMMYFUNCTION("""COMPUTED_VALUE"""),4.0)</f>
        <v>4</v>
      </c>
      <c r="H752" s="3" t="str">
        <f>IFERROR(__xludf.DUMMYFUNCTION("""COMPUTED_VALUE"""),"pasang")</f>
        <v>pasang</v>
      </c>
      <c r="I752" s="3" t="str">
        <f>IFERROR(__xludf.DUMMYFUNCTION("""COMPUTED_VALUE"""),"-")</f>
        <v>-</v>
      </c>
      <c r="J752" s="3" t="str">
        <f>IFERROR(__xludf.DUMMYFUNCTION("""COMPUTED_VALUE"""),"Q-60401-00")</f>
        <v>Q-60401-00</v>
      </c>
      <c r="K752" s="3" t="str">
        <f>IFERROR(__xludf.DUMMYFUNCTION("""COMPUTED_VALUE"""),"Approve")</f>
        <v>Approve</v>
      </c>
      <c r="L752" s="3" t="str">
        <f>IFERROR(__xludf.DUMMYFUNCTION("""COMPUTED_VALUE"""),"Normal")</f>
        <v>Normal</v>
      </c>
      <c r="M752" s="3" t="str">
        <f>IFERROR(__xludf.DUMMYFUNCTION("""COMPUTED_VALUE"""),"Non Urgent")</f>
        <v>Non Urgent</v>
      </c>
    </row>
    <row r="753">
      <c r="A753" s="4">
        <f>IFERROR(__xludf.DUMMYFUNCTION("""COMPUTED_VALUE"""),46276.29147578703)</f>
        <v>46276.29148</v>
      </c>
      <c r="B753" s="3" t="str">
        <f>IFERROR(__xludf.DUMMYFUNCTION("""COMPUTED_VALUE"""),"SFHRO0062")</f>
        <v>SFHRO0062</v>
      </c>
      <c r="C753" s="3" t="str">
        <f>IFERROR(__xludf.DUMMYFUNCTION("""COMPUTED_VALUE"""),"Consumable")</f>
        <v>Consumable</v>
      </c>
      <c r="D753" s="3" t="str">
        <f>IFERROR(__xludf.DUMMYFUNCTION("""COMPUTED_VALUE"""),"-")</f>
        <v>-</v>
      </c>
      <c r="E753" s="3" t="str">
        <f>IFERROR(__xludf.DUMMYFUNCTION("""COMPUTED_VALUE"""),"lantai 2 ")</f>
        <v>lantai 2 </v>
      </c>
      <c r="F753" s="3" t="str">
        <f>IFERROR(__xludf.DUMMYFUNCTION("""COMPUTED_VALUE"""),"Door Closer Type: TS77 Hold Open; DORMA; ;")</f>
        <v>Door Closer Type: TS77 Hold Open; DORMA; ;</v>
      </c>
      <c r="G753" s="3">
        <f>IFERROR(__xludf.DUMMYFUNCTION("""COMPUTED_VALUE"""),4.0)</f>
        <v>4</v>
      </c>
      <c r="H753" s="3" t="str">
        <f>IFERROR(__xludf.DUMMYFUNCTION("""COMPUTED_VALUE"""),"pcs")</f>
        <v>pcs</v>
      </c>
      <c r="I753" s="3" t="str">
        <f>IFERROR(__xludf.DUMMYFUNCTION("""COMPUTED_VALUE"""),"-")</f>
        <v>-</v>
      </c>
      <c r="J753" s="3" t="str">
        <f>IFERROR(__xludf.DUMMYFUNCTION("""COMPUTED_VALUE"""),"Q-10817-00")</f>
        <v>Q-10817-00</v>
      </c>
      <c r="K753" s="3" t="str">
        <f>IFERROR(__xludf.DUMMYFUNCTION("""COMPUTED_VALUE"""),"Approve")</f>
        <v>Approve</v>
      </c>
      <c r="L753" s="3" t="str">
        <f>IFERROR(__xludf.DUMMYFUNCTION("""COMPUTED_VALUE"""),"Normal")</f>
        <v>Normal</v>
      </c>
      <c r="M753" s="3" t="str">
        <f>IFERROR(__xludf.DUMMYFUNCTION("""COMPUTED_VALUE"""),"Non Urgent")</f>
        <v>Non Urgent</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4.88"/>
    <col customWidth="1" min="3" max="3" width="9.63"/>
    <col customWidth="1" min="4" max="4" width="6.25"/>
    <col customWidth="1" min="5" max="5" width="9.88"/>
    <col customWidth="1" min="6" max="6" width="13.38"/>
    <col customWidth="1" min="7" max="7" width="22.5"/>
    <col customWidth="1" min="8" max="8" width="4.88"/>
    <col customWidth="1" min="9" max="9" width="3.75"/>
    <col customWidth="1" min="10" max="10" width="4.63"/>
    <col customWidth="1" min="11" max="11" width="17.88"/>
    <col customWidth="1" min="12" max="12" width="4.75"/>
    <col customWidth="1" min="13" max="13" width="17.63"/>
    <col customWidth="1" min="14" max="14" width="7.75"/>
    <col customWidth="1" min="15" max="15" width="11.88"/>
  </cols>
  <sheetData>
    <row r="1">
      <c r="A1" s="1" t="s">
        <v>0</v>
      </c>
      <c r="B1" s="1" t="s">
        <v>1</v>
      </c>
      <c r="C1" s="1" t="s">
        <v>2</v>
      </c>
      <c r="D1" s="1" t="s">
        <v>3</v>
      </c>
      <c r="E1" s="1" t="s">
        <v>4</v>
      </c>
      <c r="F1" s="1" t="s">
        <v>5</v>
      </c>
      <c r="G1" s="1" t="s">
        <v>13</v>
      </c>
      <c r="H1" s="1" t="s">
        <v>15</v>
      </c>
      <c r="I1" s="1" t="s">
        <v>6</v>
      </c>
      <c r="J1" s="1" t="s">
        <v>7</v>
      </c>
      <c r="K1" s="1" t="s">
        <v>16</v>
      </c>
      <c r="L1" s="1" t="s">
        <v>8</v>
      </c>
      <c r="M1" s="1" t="s">
        <v>10</v>
      </c>
      <c r="N1" s="1" t="s">
        <v>11</v>
      </c>
      <c r="O1" s="1" t="s">
        <v>12</v>
      </c>
      <c r="P1" s="2"/>
      <c r="Q1" s="2"/>
      <c r="R1" s="2"/>
      <c r="S1" s="2"/>
      <c r="T1" s="2"/>
      <c r="U1" s="2"/>
      <c r="V1" s="2"/>
      <c r="W1" s="2"/>
      <c r="X1" s="2"/>
      <c r="Y1" s="2"/>
      <c r="Z1" s="2"/>
    </row>
    <row r="2">
      <c r="A2" s="4">
        <f>IFERROR(__xludf.DUMMYFUNCTION("if(isna(QUERY({IMPORTRANGE(""1cQjqA9e_ROK_DL6lhwLlY--XdPO9xNC43VbfdVxxWsE"",""Baru!B2:P"");IMPORTRANGE(""1z0nfI7RRQosYkqwM9LryCqReZEv89IqX7saa3TwWdVc"",""Baru!B2:P"");IMPORTRANGE(""1YudYBN9S2lChWfS_pkwKtR9lFC12LcgIj6RggVc2iFo"", ""Baru!B2:P""); IMPORTRANG"&amp;"E(""1eINJ6HsAv5BvWrtwtk13CXExduMoD_WkrMSKy3LJlCM"", ""Baru!B2:P"");importrange(""1OeurbDSDkvtHP1YfNsN7uf9Bh_zQ0fKnU6JJvS-fUmk"",""Baru!B2:P"");importrange(""1o_G3OiybOBm1PhEKlTlMmcfRpd7w0N2lsKOv_Q-iB_c"",""Baru!B2:P"");importrange(""1EHW0nnlfros-DP7FeVO8w"&amp;"dSGjz_E0M22VyvMVuQAb4Y"",""Baru!B2:P"");importrange(""1NvtqqkLL5FCQ2wJLsbulp8Yl05UgqaMnYHMx6xAbRuM"",""Baru!B2:P"");importrange(""1lLIK3NQUx_vn2Or3MY4mnuTooWiDsfTuxQZJcuiZ_PU"",""Baru!B2:P"");importrange(""18DIWpGrQi5sH3iEsnKXxiVF3WHvl5gqUy2R8lI2oPnk"","""&amp;"Baru!B2:P"");importrange(""1JYjxtMhJvmfzKBh16HDiTo1lpJaIJdusWLOMRTcWyG8"",""Baru!B2:P"");importrange(""1pWfC8L9aOX-jH40t_eDbTYyag0jSXu2kttrNRmUoGyg"",""Baru!B2:P"");importrange(""1R9Rwojmbt4YrHUeqVzIgXbY7DagAvEb1-RzGUjJpMV8"",""Baru!B2:P"");importrange("""&amp;"1J4sZpKQpEWWldTKvmaqG1RUM6HH3juujFam5dK-MJ2I"",""Baru!B2:P"");importrange(""1E4F_drOMHfl9nmGdjuVVKsBj4LihHj_ug7mzoCiv_yw"",""Baru!B2:P"");importrange(""1nCi_wyNHV1dHm6H1xxgptdUxG-Va9z6VEv44geRfT3s"",""Baru!B2:P"")}, ""SELECT * WHERE Col1 IS NOT NULL ORDER"&amp;" BY Col1 ASC"")),"""",QUERY({IMPORTRANGE(""1cQjqA9e_ROK_DL6lhwLlY--XdPO9xNC43VbfdVxxWsE"",""Baru!B2:P"");IMPORTRANGE(""1z0nfI7RRQosYkqwM9LryCqReZEv89IqX7saa3TwWdVc"",""Baru!B2:P"");IMPORTRANGE(""1YudYBN9S2lChWfS_pkwKtR9lFC12LcgIj6RggVc2iFo"", ""Baru!B2:P"&amp;"""); IMPORTRANGE(""1eINJ6HsAv5BvWrtwtk13CXExduMoD_WkrMSKy3LJlCM"", ""Baru!B2:P"");importrange(""1OeurbDSDkvtHP1YfNsN7uf9Bh_zQ0fKnU6JJvS-fUmk"",""Baru!B2:P"");importrange(""1o_G3OiybOBm1PhEKlTlMmcfRpd7w0N2lsKOv_Q-iB_c"",""Baru!B2:P"");importrange(""1EHW0nn"&amp;"lfros-DP7FeVO8wdSGjz_E0M22VyvMVuQAb4Y"",""Baru!B2:P"");importrange(""1NvtqqkLL5FCQ2wJLsbulp8Yl05UgqaMnYHMx6xAbRuM"",""Baru!B2:P"");importrange(""1lLIK3NQUx_vn2Or3MY4mnuTooWiDsfTuxQZJcuiZ_PU"",""Baru!B2:P"");importrange(""18DIWpGrQi5sH3iEsnKXxiVF3WHvl5gqUy"&amp;"2R8lI2oPnk"",""Baru!B2:P"");importrange(""1JYjxtMhJvmfzKBh16HDiTo1lpJaIJdusWLOMRTcWyG8"",""Baru!B2:P"");importrange(""1pWfC8L9aOX-jH40t_eDbTYyag0jSXu2kttrNRmUoGyg"",""Baru!B2:P"");importrange(""1R9Rwojmbt4YrHUeqVzIgXbY7DagAvEb1-RzGUjJpMV8"",""Baru!B2:P"")"&amp;";importrange(""1J4sZpKQpEWWldTKvmaqG1RUM6HH3juujFam5dK-MJ2I"",""Baru!B2:P"");importrange(""1E4F_drOMHfl9nmGdjuVVKsBj4LihHj_ug7mzoCiv_yw"",""Baru!B2:P"");importrange(""1nCi_wyNHV1dHm6H1xxgptdUxG-Va9z6VEv44geRfT3s"",""Baru!B2:P"")}, ""SELECT * WHERE Col1 IS"&amp;" NOT NULL ORDER BY Col1 ASC""))"),45677.591567986114)</f>
        <v>45677.59157</v>
      </c>
      <c r="B2" s="3" t="str">
        <f>IFERROR(__xludf.DUMMYFUNCTION("""COMPUTED_VALUE"""),"ROSBR0001")</f>
        <v>ROSBR0001</v>
      </c>
      <c r="C2" s="3" t="str">
        <f>IFERROR(__xludf.DUMMYFUNCTION("""COMPUTED_VALUE"""),"Consumable")</f>
        <v>Consumable</v>
      </c>
      <c r="D2" s="3" t="str">
        <f>IFERROR(__xludf.DUMMYFUNCTION("""COMPUTED_VALUE"""),"NA")</f>
        <v>NA</v>
      </c>
      <c r="E2" s="3" t="str">
        <f>IFERROR(__xludf.DUMMYFUNCTION("""COMPUTED_VALUE"""),"Capsuling, Tableting, dan Coating")</f>
        <v>Capsuling, Tableting, dan Coating</v>
      </c>
      <c r="F2" s="3" t="str">
        <f>IFERROR(__xludf.DUMMYFUNCTION("""COMPUTED_VALUE"""),"Buckhel ( Kuncian Spanset)")</f>
        <v>Buckhel ( Kuncian Spanset)</v>
      </c>
      <c r="G2" s="3" t="str">
        <f>IFERROR(__xludf.DUMMYFUNCTION("""COMPUTED_VALUE"""),"Buckle CB5 Galvanized Steel Buckle strapping Cordstrap 16MM Hook Tali")</f>
        <v>Buckle CB5 Galvanized Steel Buckle strapping Cordstrap 16MM Hook Tali</v>
      </c>
      <c r="H2" s="3" t="str">
        <f>IFERROR(__xludf.DUMMYFUNCTION("""COMPUTED_VALUE"""),"General")</f>
        <v>General</v>
      </c>
      <c r="I2" s="3">
        <f>IFERROR(__xludf.DUMMYFUNCTION("""COMPUTED_VALUE"""),200.0)</f>
        <v>200</v>
      </c>
      <c r="J2" s="3" t="str">
        <f>IFERROR(__xludf.DUMMYFUNCTION("""COMPUTED_VALUE"""),"pcs")</f>
        <v>pcs</v>
      </c>
      <c r="K2" s="5" t="str">
        <f>IFERROR(__xludf.DUMMYFUNCTION("""COMPUTED_VALUE"""),"https://www.tokopedia.com/pt-longtime/buckle-cb5-galvanized-steel-buckle-strapping-cordstrap-16mm-hook-tali")</f>
        <v>https://www.tokopedia.com/pt-longtime/buckle-cb5-galvanized-steel-buckle-strapping-cordstrap-16mm-hook-tali</v>
      </c>
      <c r="L2" s="3" t="str">
        <f>IFERROR(__xludf.DUMMYFUNCTION("""COMPUTED_VALUE"""),"-")</f>
        <v>-</v>
      </c>
      <c r="M2" s="3" t="str">
        <f>IFERROR(__xludf.DUMMYFUNCTION("""COMPUTED_VALUE"""),"Reject")</f>
        <v>Reject</v>
      </c>
      <c r="N2" s="3" t="str">
        <f>IFERROR(__xludf.DUMMYFUNCTION("""COMPUTED_VALUE"""),"Normal")</f>
        <v>Normal</v>
      </c>
      <c r="O2" s="3" t="str">
        <f>IFERROR(__xludf.DUMMYFUNCTION("""COMPUTED_VALUE"""),"Non Urgent")</f>
        <v>Non Urgent</v>
      </c>
    </row>
    <row r="3">
      <c r="A3" s="4">
        <f>IFERROR(__xludf.DUMMYFUNCTION("""COMPUTED_VALUE"""),45677.604551944445)</f>
        <v>45677.60455</v>
      </c>
      <c r="B3" s="3" t="str">
        <f>IFERROR(__xludf.DUMMYFUNCTION("""COMPUTED_VALUE"""),"ROSBR0002")</f>
        <v>ROSBR0002</v>
      </c>
      <c r="C3" s="3" t="str">
        <f>IFERROR(__xludf.DUMMYFUNCTION("""COMPUTED_VALUE"""),"Consumable")</f>
        <v>Consumable</v>
      </c>
      <c r="D3" s="3" t="str">
        <f>IFERROR(__xludf.DUMMYFUNCTION("""COMPUTED_VALUE"""),"NA")</f>
        <v>NA</v>
      </c>
      <c r="E3" s="3" t="str">
        <f>IFERROR(__xludf.DUMMYFUNCTION("""COMPUTED_VALUE"""),"Capsuling, Tableting, dan Coating")</f>
        <v>Capsuling, Tableting, dan Coating</v>
      </c>
      <c r="F3" s="3" t="str">
        <f>IFERROR(__xludf.DUMMYFUNCTION("""COMPUTED_VALUE"""),"Tali Webbing")</f>
        <v>Tali Webbing</v>
      </c>
      <c r="G3" s="3" t="str">
        <f>IFERROR(__xludf.DUMMYFUNCTION("""COMPUTED_VALUE"""),"Tali Webbing ratchet tie down Roll ketebalan 4mm,pjang 50 m")</f>
        <v>Tali Webbing ratchet tie down Roll ketebalan 4mm,pjang 50 m</v>
      </c>
      <c r="H3" s="3" t="str">
        <f>IFERROR(__xludf.DUMMYFUNCTION("""COMPUTED_VALUE"""),"General")</f>
        <v>General</v>
      </c>
      <c r="I3" s="3">
        <f>IFERROR(__xludf.DUMMYFUNCTION("""COMPUTED_VALUE"""),8.0)</f>
        <v>8</v>
      </c>
      <c r="J3" s="3" t="str">
        <f>IFERROR(__xludf.DUMMYFUNCTION("""COMPUTED_VALUE"""),"Roll")</f>
        <v>Roll</v>
      </c>
      <c r="K3" s="5" t="str">
        <f>IFERROR(__xludf.DUMMYFUNCTION("""COMPUTED_VALUE"""),"https://www.tokopedia.com/afnteknik/tali-webbing-ratchet-tie-down-roll-ketebalan-4mm-pjang-50-m")</f>
        <v>https://www.tokopedia.com/afnteknik/tali-webbing-ratchet-tie-down-roll-ketebalan-4mm-pjang-50-m</v>
      </c>
      <c r="L3" s="3" t="str">
        <f>IFERROR(__xludf.DUMMYFUNCTION("""COMPUTED_VALUE"""),"-")</f>
        <v>-</v>
      </c>
      <c r="M3" s="3" t="str">
        <f>IFERROR(__xludf.DUMMYFUNCTION("""COMPUTED_VALUE"""),"Reject")</f>
        <v>Reject</v>
      </c>
      <c r="N3" s="3" t="str">
        <f>IFERROR(__xludf.DUMMYFUNCTION("""COMPUTED_VALUE"""),"Normal")</f>
        <v>Normal</v>
      </c>
      <c r="O3" s="3" t="str">
        <f>IFERROR(__xludf.DUMMYFUNCTION("""COMPUTED_VALUE"""),"Non Urgent")</f>
        <v>Non Urgent</v>
      </c>
    </row>
    <row r="4">
      <c r="A4" s="4">
        <f>IFERROR(__xludf.DUMMYFUNCTION("""COMPUTED_VALUE"""),45678.58479591435)</f>
        <v>45678.5848</v>
      </c>
      <c r="B4" s="3" t="str">
        <f>IFERROR(__xludf.DUMMYFUNCTION("""COMPUTED_VALUE"""),"SFHBR0001")</f>
        <v>SFHBR0001</v>
      </c>
      <c r="C4" s="3" t="str">
        <f>IFERROR(__xludf.DUMMYFUNCTION("""COMPUTED_VALUE"""),"Consumable")</f>
        <v>Consumable</v>
      </c>
      <c r="D4" s="3" t="str">
        <f>IFERROR(__xludf.DUMMYFUNCTION("""COMPUTED_VALUE"""),"-")</f>
        <v>-</v>
      </c>
      <c r="E4" s="3" t="str">
        <f>IFERROR(__xludf.DUMMYFUNCTION("""COMPUTED_VALUE"""),"lantai 2 ")</f>
        <v>lantai 2 </v>
      </c>
      <c r="F4" s="3" t="str">
        <f>IFERROR(__xludf.DUMMYFUNCTION("""COMPUTED_VALUE"""),"koas  cat")</f>
        <v>koas  cat</v>
      </c>
      <c r="G4" s="3" t="str">
        <f>IFERROR(__xludf.DUMMYFUNCTION("""COMPUTED_VALUE"""),"ukuran  5inc")</f>
        <v>ukuran  5inc</v>
      </c>
      <c r="H4" s="3" t="str">
        <f>IFERROR(__xludf.DUMMYFUNCTION("""COMPUTED_VALUE"""),"Eterna ")</f>
        <v>Eterna </v>
      </c>
      <c r="I4" s="3">
        <f>IFERROR(__xludf.DUMMYFUNCTION("""COMPUTED_VALUE"""),10.0)</f>
        <v>10</v>
      </c>
      <c r="J4" s="3" t="str">
        <f>IFERROR(__xludf.DUMMYFUNCTION("""COMPUTED_VALUE"""),"pcs")</f>
        <v>pcs</v>
      </c>
      <c r="K4" s="5" t="str">
        <f>IFERROR(__xludf.DUMMYFUNCTION("""COMPUTED_VALUE"""),"https://tokopedia.link/JiPCRMlMkQb")</f>
        <v>https://tokopedia.link/JiPCRMlMkQb</v>
      </c>
      <c r="L4" s="3" t="str">
        <f>IFERROR(__xludf.DUMMYFUNCTION("""COMPUTED_VALUE"""),"-")</f>
        <v>-</v>
      </c>
      <c r="M4" s="3" t="str">
        <f>IFERROR(__xludf.DUMMYFUNCTION("""COMPUTED_VALUE"""),"Reject")</f>
        <v>Reject</v>
      </c>
      <c r="N4" s="3" t="str">
        <f>IFERROR(__xludf.DUMMYFUNCTION("""COMPUTED_VALUE"""),"Normal")</f>
        <v>Normal</v>
      </c>
      <c r="O4" s="3" t="str">
        <f>IFERROR(__xludf.DUMMYFUNCTION("""COMPUTED_VALUE"""),"Non Urgent")</f>
        <v>Non Urgent</v>
      </c>
    </row>
    <row r="5">
      <c r="A5" s="4">
        <f>IFERROR(__xludf.DUMMYFUNCTION("""COMPUTED_VALUE"""),45678.5874640162)</f>
        <v>45678.58746</v>
      </c>
      <c r="B5" s="3" t="str">
        <f>IFERROR(__xludf.DUMMYFUNCTION("""COMPUTED_VALUE"""),"SFHBR0002")</f>
        <v>SFHBR0002</v>
      </c>
      <c r="C5" s="3" t="str">
        <f>IFERROR(__xludf.DUMMYFUNCTION("""COMPUTED_VALUE"""),"Consumable")</f>
        <v>Consumable</v>
      </c>
      <c r="D5" s="3" t="str">
        <f>IFERROR(__xludf.DUMMYFUNCTION("""COMPUTED_VALUE"""),"-")</f>
        <v>-</v>
      </c>
      <c r="E5" s="3" t="str">
        <f>IFERROR(__xludf.DUMMYFUNCTION("""COMPUTED_VALUE"""),"lantai 2")</f>
        <v>lantai 2</v>
      </c>
      <c r="F5" s="3" t="str">
        <f>IFERROR(__xludf.DUMMYFUNCTION("""COMPUTED_VALUE"""),"kape plastik ")</f>
        <v>kape plastik </v>
      </c>
      <c r="G5" s="3" t="str">
        <f>IFERROR(__xludf.DUMMYFUNCTION("""COMPUTED_VALUE"""),"ukuran  5 inc dan  bahan pvc")</f>
        <v>ukuran  5 inc dan  bahan pvc</v>
      </c>
      <c r="H5" s="3" t="str">
        <f>IFERROR(__xludf.DUMMYFUNCTION("""COMPUTED_VALUE"""),"prima ")</f>
        <v>prima </v>
      </c>
      <c r="I5" s="3">
        <f>IFERROR(__xludf.DUMMYFUNCTION("""COMPUTED_VALUE"""),10.0)</f>
        <v>10</v>
      </c>
      <c r="J5" s="3" t="str">
        <f>IFERROR(__xludf.DUMMYFUNCTION("""COMPUTED_VALUE"""),"pcs")</f>
        <v>pcs</v>
      </c>
      <c r="K5" s="5" t="str">
        <f>IFERROR(__xludf.DUMMYFUNCTION("""COMPUTED_VALUE"""),"https://tokopedia.link/xwdeezvMkQb")</f>
        <v>https://tokopedia.link/xwdeezvMkQb</v>
      </c>
      <c r="L5" s="3" t="str">
        <f>IFERROR(__xludf.DUMMYFUNCTION("""COMPUTED_VALUE"""),"-")</f>
        <v>-</v>
      </c>
      <c r="M5" s="3" t="str">
        <f>IFERROR(__xludf.DUMMYFUNCTION("""COMPUTED_VALUE"""),"Approve")</f>
        <v>Approve</v>
      </c>
      <c r="N5" s="3" t="str">
        <f>IFERROR(__xludf.DUMMYFUNCTION("""COMPUTED_VALUE"""),"Normal")</f>
        <v>Normal</v>
      </c>
      <c r="O5" s="3" t="str">
        <f>IFERROR(__xludf.DUMMYFUNCTION("""COMPUTED_VALUE"""),"Non Urgent")</f>
        <v>Non Urgent</v>
      </c>
    </row>
    <row r="6">
      <c r="A6" s="4">
        <f>IFERROR(__xludf.DUMMYFUNCTION("""COMPUTED_VALUE"""),45679.48693741898)</f>
        <v>45679.48694</v>
      </c>
      <c r="B6" s="3" t="str">
        <f>IFERROR(__xludf.DUMMYFUNCTION("""COMPUTED_VALUE"""),"MOBBR0001")</f>
        <v>MOBBR0001</v>
      </c>
      <c r="C6" s="3" t="str">
        <f>IFERROR(__xludf.DUMMYFUNCTION("""COMPUTED_VALUE"""),"Consumable")</f>
        <v>Consumable</v>
      </c>
      <c r="D6" s="3" t="str">
        <f>IFERROR(__xludf.DUMMYFUNCTION("""COMPUTED_VALUE"""),"-")</f>
        <v>-</v>
      </c>
      <c r="E6" s="3" t="str">
        <f>IFERROR(__xludf.DUMMYFUNCTION("""COMPUTED_VALUE"""),"Plambing Building")</f>
        <v>Plambing Building</v>
      </c>
      <c r="F6" s="3" t="str">
        <f>IFERROR(__xludf.DUMMYFUNCTION("""COMPUTED_VALUE"""),"Fitting PVC - Sock PVC 1.5""")</f>
        <v>Fitting PVC - Sock PVC 1.5"</v>
      </c>
      <c r="G6" s="3" t="str">
        <f>IFERROR(__xludf.DUMMYFUNCTION("""COMPUTED_VALUE"""),"Fitting PVC - Sock PVC 1.5""")</f>
        <v>Fitting PVC - Sock PVC 1.5"</v>
      </c>
      <c r="H6" s="3" t="str">
        <f>IFERROR(__xludf.DUMMYFUNCTION("""COMPUTED_VALUE"""),"Rucika")</f>
        <v>Rucika</v>
      </c>
      <c r="I6" s="3">
        <f>IFERROR(__xludf.DUMMYFUNCTION("""COMPUTED_VALUE"""),4.0)</f>
        <v>4</v>
      </c>
      <c r="J6" s="3" t="str">
        <f>IFERROR(__xludf.DUMMYFUNCTION("""COMPUTED_VALUE"""),"Pcs")</f>
        <v>Pcs</v>
      </c>
      <c r="K6" s="5" t="str">
        <f>IFERROR(__xludf.DUMMYFUNCTION("""COMPUTED_VALUE"""),"https://www.tokopedia.com/rajasambungan/sock-aw-1-5-inch-shock-tanpa-drat-fitting-pralon-soket-pvc-rucika?utm_source=google&amp;utm_medium=organic&amp;utm_campaign=pdp-seo")</f>
        <v>https://www.tokopedia.com/rajasambungan/sock-aw-1-5-inch-shock-tanpa-drat-fitting-pralon-soket-pvc-rucika?utm_source=google&amp;utm_medium=organic&amp;utm_campaign=pdp-seo</v>
      </c>
      <c r="L6" s="3" t="str">
        <f>IFERROR(__xludf.DUMMYFUNCTION("""COMPUTED_VALUE"""),"-")</f>
        <v>-</v>
      </c>
      <c r="M6" s="3" t="str">
        <f>IFERROR(__xludf.DUMMYFUNCTION("""COMPUTED_VALUE"""),"Approve")</f>
        <v>Approve</v>
      </c>
      <c r="N6" s="3" t="str">
        <f>IFERROR(__xludf.DUMMYFUNCTION("""COMPUTED_VALUE"""),"Normal")</f>
        <v>Normal</v>
      </c>
      <c r="O6" s="3" t="str">
        <f>IFERROR(__xludf.DUMMYFUNCTION("""COMPUTED_VALUE"""),"Non Urgent")</f>
        <v>Non Urgent</v>
      </c>
    </row>
    <row r="7">
      <c r="A7" s="4">
        <f>IFERROR(__xludf.DUMMYFUNCTION("""COMPUTED_VALUE"""),45679.489123321764)</f>
        <v>45679.48912</v>
      </c>
      <c r="B7" s="3" t="str">
        <f>IFERROR(__xludf.DUMMYFUNCTION("""COMPUTED_VALUE"""),"MOBBR0002")</f>
        <v>MOBBR0002</v>
      </c>
      <c r="C7" s="3" t="str">
        <f>IFERROR(__xludf.DUMMYFUNCTION("""COMPUTED_VALUE"""),"Consumable")</f>
        <v>Consumable</v>
      </c>
      <c r="D7" s="3" t="str">
        <f>IFERROR(__xludf.DUMMYFUNCTION("""COMPUTED_VALUE"""),"-")</f>
        <v>-</v>
      </c>
      <c r="E7" s="3" t="str">
        <f>IFERROR(__xludf.DUMMYFUNCTION("""COMPUTED_VALUE"""),"Plambing Building")</f>
        <v>Plambing Building</v>
      </c>
      <c r="F7" s="3" t="str">
        <f>IFERROR(__xludf.DUMMYFUNCTION("""COMPUTED_VALUE"""),"Fitting PVC - Sock PVC 2.5""")</f>
        <v>Fitting PVC - Sock PVC 2.5"</v>
      </c>
      <c r="G7" s="3" t="str">
        <f>IFERROR(__xludf.DUMMYFUNCTION("""COMPUTED_VALUE"""),"Fitting PVC - Sock PVC 2.5""")</f>
        <v>Fitting PVC - Sock PVC 2.5"</v>
      </c>
      <c r="H7" s="3" t="str">
        <f>IFERROR(__xludf.DUMMYFUNCTION("""COMPUTED_VALUE"""),"Rucika")</f>
        <v>Rucika</v>
      </c>
      <c r="I7" s="3">
        <f>IFERROR(__xludf.DUMMYFUNCTION("""COMPUTED_VALUE"""),4.0)</f>
        <v>4</v>
      </c>
      <c r="J7" s="3" t="str">
        <f>IFERROR(__xludf.DUMMYFUNCTION("""COMPUTED_VALUE"""),"Pcs")</f>
        <v>Pcs</v>
      </c>
      <c r="K7" s="5" t="str">
        <f>IFERROR(__xludf.DUMMYFUNCTION("""COMPUTED_VALUE"""),"https://www.tokopedia.com/rajasambungan/sock-aw-2-5-inch-shock-tanpa-drat-fitting-pralon-soket-pvc-rucika")</f>
        <v>https://www.tokopedia.com/rajasambungan/sock-aw-2-5-inch-shock-tanpa-drat-fitting-pralon-soket-pvc-rucika</v>
      </c>
      <c r="L7" s="3" t="str">
        <f>IFERROR(__xludf.DUMMYFUNCTION("""COMPUTED_VALUE"""),"-")</f>
        <v>-</v>
      </c>
      <c r="M7" s="3" t="str">
        <f>IFERROR(__xludf.DUMMYFUNCTION("""COMPUTED_VALUE"""),"Approve")</f>
        <v>Approve</v>
      </c>
      <c r="N7" s="3" t="str">
        <f>IFERROR(__xludf.DUMMYFUNCTION("""COMPUTED_VALUE"""),"Normal")</f>
        <v>Normal</v>
      </c>
      <c r="O7" s="3" t="str">
        <f>IFERROR(__xludf.DUMMYFUNCTION("""COMPUTED_VALUE"""),"Non Urgent")</f>
        <v>Non Urgent</v>
      </c>
    </row>
    <row r="8">
      <c r="A8" s="4">
        <f>IFERROR(__xludf.DUMMYFUNCTION("""COMPUTED_VALUE"""),45679.49178275463)</f>
        <v>45679.49178</v>
      </c>
      <c r="B8" s="3" t="str">
        <f>IFERROR(__xludf.DUMMYFUNCTION("""COMPUTED_VALUE"""),"MOBBR0003")</f>
        <v>MOBBR0003</v>
      </c>
      <c r="C8" s="3" t="str">
        <f>IFERROR(__xludf.DUMMYFUNCTION("""COMPUTED_VALUE"""),"Consumable")</f>
        <v>Consumable</v>
      </c>
      <c r="D8" s="3" t="str">
        <f>IFERROR(__xludf.DUMMYFUNCTION("""COMPUTED_VALUE"""),"-")</f>
        <v>-</v>
      </c>
      <c r="E8" s="3" t="str">
        <f>IFERROR(__xludf.DUMMYFUNCTION("""COMPUTED_VALUE"""),"Plambing Building")</f>
        <v>Plambing Building</v>
      </c>
      <c r="F8" s="3" t="str">
        <f>IFERROR(__xludf.DUMMYFUNCTION("""COMPUTED_VALUE"""),"Fitting PVC - Tee PVC 1.5""")</f>
        <v>Fitting PVC - Tee PVC 1.5"</v>
      </c>
      <c r="G8" s="3" t="str">
        <f>IFERROR(__xludf.DUMMYFUNCTION("""COMPUTED_VALUE"""),"Fitting PVC - Tee PVC 1.5""")</f>
        <v>Fitting PVC - Tee PVC 1.5"</v>
      </c>
      <c r="H8" s="3" t="str">
        <f>IFERROR(__xludf.DUMMYFUNCTION("""COMPUTED_VALUE"""),"Rucika")</f>
        <v>Rucika</v>
      </c>
      <c r="I8" s="3">
        <f>IFERROR(__xludf.DUMMYFUNCTION("""COMPUTED_VALUE"""),4.0)</f>
        <v>4</v>
      </c>
      <c r="J8" s="3" t="str">
        <f>IFERROR(__xludf.DUMMYFUNCTION("""COMPUTED_VALUE"""),"Pcs")</f>
        <v>Pcs</v>
      </c>
      <c r="K8" s="5" t="str">
        <f>IFERROR(__xludf.DUMMYFUNCTION("""COMPUTED_VALUE"""),"https://www.tokopedia.com/m88-cibubur/tee-1-1-2-inch-rucika-d-1-5-1-5-pvc-sambungan-pipa")</f>
        <v>https://www.tokopedia.com/m88-cibubur/tee-1-1-2-inch-rucika-d-1-5-1-5-pvc-sambungan-pipa</v>
      </c>
      <c r="L8" s="3" t="str">
        <f>IFERROR(__xludf.DUMMYFUNCTION("""COMPUTED_VALUE"""),"-")</f>
        <v>-</v>
      </c>
      <c r="M8" s="3" t="str">
        <f>IFERROR(__xludf.DUMMYFUNCTION("""COMPUTED_VALUE"""),"Approve")</f>
        <v>Approve</v>
      </c>
      <c r="N8" s="3" t="str">
        <f>IFERROR(__xludf.DUMMYFUNCTION("""COMPUTED_VALUE"""),"Normal")</f>
        <v>Normal</v>
      </c>
      <c r="O8" s="3" t="str">
        <f>IFERROR(__xludf.DUMMYFUNCTION("""COMPUTED_VALUE"""),"Non Urgent")</f>
        <v>Non Urgent</v>
      </c>
    </row>
    <row r="9">
      <c r="A9" s="4">
        <f>IFERROR(__xludf.DUMMYFUNCTION("""COMPUTED_VALUE"""),45679.49250216435)</f>
        <v>45679.4925</v>
      </c>
      <c r="B9" s="3" t="str">
        <f>IFERROR(__xludf.DUMMYFUNCTION("""COMPUTED_VALUE"""),"MOBBR0004")</f>
        <v>MOBBR0004</v>
      </c>
      <c r="C9" s="3" t="str">
        <f>IFERROR(__xludf.DUMMYFUNCTION("""COMPUTED_VALUE"""),"Consumable")</f>
        <v>Consumable</v>
      </c>
      <c r="D9" s="3" t="str">
        <f>IFERROR(__xludf.DUMMYFUNCTION("""COMPUTED_VALUE"""),"-")</f>
        <v>-</v>
      </c>
      <c r="E9" s="3" t="str">
        <f>IFERROR(__xludf.DUMMYFUNCTION("""COMPUTED_VALUE"""),"Plambing Building")</f>
        <v>Plambing Building</v>
      </c>
      <c r="F9" s="3" t="str">
        <f>IFERROR(__xludf.DUMMYFUNCTION("""COMPUTED_VALUE"""),"Fitting PVC - Tee PVC 2.5""")</f>
        <v>Fitting PVC - Tee PVC 2.5"</v>
      </c>
      <c r="G9" s="3" t="str">
        <f>IFERROR(__xludf.DUMMYFUNCTION("""COMPUTED_VALUE"""),"Fitting PVC - Tee PVC 2.5""")</f>
        <v>Fitting PVC - Tee PVC 2.5"</v>
      </c>
      <c r="H9" s="3" t="str">
        <f>IFERROR(__xludf.DUMMYFUNCTION("""COMPUTED_VALUE"""),"Rucika")</f>
        <v>Rucika</v>
      </c>
      <c r="I9" s="3">
        <f>IFERROR(__xludf.DUMMYFUNCTION("""COMPUTED_VALUE"""),4.0)</f>
        <v>4</v>
      </c>
      <c r="J9" s="3" t="str">
        <f>IFERROR(__xludf.DUMMYFUNCTION("""COMPUTED_VALUE"""),"Pcs")</f>
        <v>Pcs</v>
      </c>
      <c r="K9" s="5" t="str">
        <f>IFERROR(__xludf.DUMMYFUNCTION("""COMPUTED_VALUE"""),"https://www.tokopedia.com/lajiah2/tee-pvc-d-2-5-inch-sambungan-fitting-pipa-pvc-t-2-5-inci-in-cabang-3?extParam=ivf%3Dfalse%26keyword%3Dpipa-2-5%26src%3Dsearch&amp;refined=true")</f>
        <v>https://www.tokopedia.com/lajiah2/tee-pvc-d-2-5-inch-sambungan-fitting-pipa-pvc-t-2-5-inci-in-cabang-3?extParam=ivf%3Dfalse%26keyword%3Dpipa-2-5%26src%3Dsearch&amp;refined=true</v>
      </c>
      <c r="L9" s="3" t="str">
        <f>IFERROR(__xludf.DUMMYFUNCTION("""COMPUTED_VALUE"""),"-")</f>
        <v>-</v>
      </c>
      <c r="M9" s="3" t="str">
        <f>IFERROR(__xludf.DUMMYFUNCTION("""COMPUTED_VALUE"""),"Approve")</f>
        <v>Approve</v>
      </c>
      <c r="N9" s="3" t="str">
        <f>IFERROR(__xludf.DUMMYFUNCTION("""COMPUTED_VALUE"""),"Normal")</f>
        <v>Normal</v>
      </c>
      <c r="O9" s="3" t="str">
        <f>IFERROR(__xludf.DUMMYFUNCTION("""COMPUTED_VALUE"""),"Non Urgent")</f>
        <v>Non Urgent</v>
      </c>
    </row>
    <row r="10">
      <c r="A10" s="4">
        <f>IFERROR(__xludf.DUMMYFUNCTION("""COMPUTED_VALUE"""),45679.493272615735)</f>
        <v>45679.49327</v>
      </c>
      <c r="B10" s="3" t="str">
        <f>IFERROR(__xludf.DUMMYFUNCTION("""COMPUTED_VALUE"""),"MOBBR0005")</f>
        <v>MOBBR0005</v>
      </c>
      <c r="C10" s="3" t="str">
        <f>IFERROR(__xludf.DUMMYFUNCTION("""COMPUTED_VALUE"""),"Consumable")</f>
        <v>Consumable</v>
      </c>
      <c r="D10" s="3" t="str">
        <f>IFERROR(__xludf.DUMMYFUNCTION("""COMPUTED_VALUE"""),"-")</f>
        <v>-</v>
      </c>
      <c r="E10" s="3" t="str">
        <f>IFERROR(__xludf.DUMMYFUNCTION("""COMPUTED_VALUE"""),"Plambing Building")</f>
        <v>Plambing Building</v>
      </c>
      <c r="F10" s="3" t="str">
        <f>IFERROR(__xludf.DUMMYFUNCTION("""COMPUTED_VALUE"""),"Fitting PVC - Water Mur PVC 2.5""")</f>
        <v>Fitting PVC - Water Mur PVC 2.5"</v>
      </c>
      <c r="G10" s="3" t="str">
        <f>IFERROR(__xludf.DUMMYFUNCTION("""COMPUTED_VALUE"""),"Fitting PVC - Water Mur PVC 2.5""")</f>
        <v>Fitting PVC - Water Mur PVC 2.5"</v>
      </c>
      <c r="H10" s="3" t="str">
        <f>IFERROR(__xludf.DUMMYFUNCTION("""COMPUTED_VALUE"""),"Rucika")</f>
        <v>Rucika</v>
      </c>
      <c r="I10" s="3">
        <f>IFERROR(__xludf.DUMMYFUNCTION("""COMPUTED_VALUE"""),4.0)</f>
        <v>4</v>
      </c>
      <c r="J10" s="3" t="str">
        <f>IFERROR(__xludf.DUMMYFUNCTION("""COMPUTED_VALUE"""),"Pcs")</f>
        <v>Pcs</v>
      </c>
      <c r="K10" s="5" t="str">
        <f>IFERROR(__xludf.DUMMYFUNCTION("""COMPUTED_VALUE"""),"https://www.monotaro.id/items/s044154165.html?utm_source=google&amp;utm_medium=pla&amp;utm_campaign=1672206402&amp;utm_content=88187085595&amp;utm_term=cpcless_500_more1min_more3_clicks_noclick_others&amp;gad_source=4&amp;gclid=Cj0KCQiAy8K8BhCZARIsAKJ8sfR3JheFG81w58bLuvHbdKIN7I_"&amp;"TZtvV_FDTPiTS5yfIPuawtYGj0wgaAsBLEALw_wcB")</f>
        <v>https://www.monotaro.id/items/s044154165.html?utm_source=google&amp;utm_medium=pla&amp;utm_campaign=1672206402&amp;utm_content=88187085595&amp;utm_term=cpcless_500_more1min_more3_clicks_noclick_others&amp;gad_source=4&amp;gclid=Cj0KCQiAy8K8BhCZARIsAKJ8sfR3JheFG81w58bLuvHbdKIN7I_TZtvV_FDTPiTS5yfIPuawtYGj0wgaAsBLEALw_wcB</v>
      </c>
      <c r="L10" s="3" t="str">
        <f>IFERROR(__xludf.DUMMYFUNCTION("""COMPUTED_VALUE"""),"-")</f>
        <v>-</v>
      </c>
      <c r="M10" s="3" t="str">
        <f>IFERROR(__xludf.DUMMYFUNCTION("""COMPUTED_VALUE"""),"Approve")</f>
        <v>Approve</v>
      </c>
      <c r="N10" s="3" t="str">
        <f>IFERROR(__xludf.DUMMYFUNCTION("""COMPUTED_VALUE"""),"Normal")</f>
        <v>Normal</v>
      </c>
      <c r="O10" s="3" t="str">
        <f>IFERROR(__xludf.DUMMYFUNCTION("""COMPUTED_VALUE"""),"Non Urgent")</f>
        <v>Non Urgent</v>
      </c>
    </row>
    <row r="11">
      <c r="A11" s="4">
        <f>IFERROR(__xludf.DUMMYFUNCTION("""COMPUTED_VALUE"""),45679.494418240734)</f>
        <v>45679.49442</v>
      </c>
      <c r="B11" s="3" t="str">
        <f>IFERROR(__xludf.DUMMYFUNCTION("""COMPUTED_VALUE"""),"MOBBR0006")</f>
        <v>MOBBR0006</v>
      </c>
      <c r="C11" s="3" t="str">
        <f>IFERROR(__xludf.DUMMYFUNCTION("""COMPUTED_VALUE"""),"Consumable")</f>
        <v>Consumable</v>
      </c>
      <c r="D11" s="3" t="str">
        <f>IFERROR(__xludf.DUMMYFUNCTION("""COMPUTED_VALUE"""),"-")</f>
        <v>-</v>
      </c>
      <c r="E11" s="3" t="str">
        <f>IFERROR(__xludf.DUMMYFUNCTION("""COMPUTED_VALUE"""),"Plambing Building")</f>
        <v>Plambing Building</v>
      </c>
      <c r="F11" s="3" t="str">
        <f>IFERROR(__xludf.DUMMYFUNCTION("""COMPUTED_VALUE"""),"Fitting PVC - Water Mur PVC 1""")</f>
        <v>Fitting PVC - Water Mur PVC 1"</v>
      </c>
      <c r="G11" s="3" t="str">
        <f>IFERROR(__xludf.DUMMYFUNCTION("""COMPUTED_VALUE"""),"Fitting PVC - Water Mur PVC 1""")</f>
        <v>Fitting PVC - Water Mur PVC 1"</v>
      </c>
      <c r="H11" s="3" t="str">
        <f>IFERROR(__xludf.DUMMYFUNCTION("""COMPUTED_VALUE"""),"Rucika")</f>
        <v>Rucika</v>
      </c>
      <c r="I11" s="3">
        <f>IFERROR(__xludf.DUMMYFUNCTION("""COMPUTED_VALUE"""),4.0)</f>
        <v>4</v>
      </c>
      <c r="J11" s="3" t="str">
        <f>IFERROR(__xludf.DUMMYFUNCTION("""COMPUTED_VALUE"""),"Pcs")</f>
        <v>Pcs</v>
      </c>
      <c r="K11" s="5" t="str">
        <f>IFERROR(__xludf.DUMMYFUNCTION("""COMPUTED_VALUE"""),"https://www.monotaro.id/items/s044355524.html?utm_source=google&amp;utm_medium=pla&amp;utm_campaign=1672206402&amp;utm_content=88187085595&amp;utm_term=cpcless_500_more1min_more3_clicks_noclick_badbrand&amp;gad_source=4&amp;gclid=Cj0KCQiAy8K8BhCZARIsAKJ8sfQfokzSeLh_STV_PgW4TRj7m"&amp;"hdErFRMIaQsqLWbD6nTW0OekKbuSa8aAh6qEALw_wcB")</f>
        <v>https://www.monotaro.id/items/s044355524.html?utm_source=google&amp;utm_medium=pla&amp;utm_campaign=1672206402&amp;utm_content=88187085595&amp;utm_term=cpcless_500_more1min_more3_clicks_noclick_badbrand&amp;gad_source=4&amp;gclid=Cj0KCQiAy8K8BhCZARIsAKJ8sfQfokzSeLh_STV_PgW4TRj7mhdErFRMIaQsqLWbD6nTW0OekKbuSa8aAh6qEALw_wcB</v>
      </c>
      <c r="L11" s="3" t="str">
        <f>IFERROR(__xludf.DUMMYFUNCTION("""COMPUTED_VALUE"""),"-")</f>
        <v>-</v>
      </c>
      <c r="M11" s="3" t="str">
        <f>IFERROR(__xludf.DUMMYFUNCTION("""COMPUTED_VALUE"""),"Approve")</f>
        <v>Approve</v>
      </c>
      <c r="N11" s="3" t="str">
        <f>IFERROR(__xludf.DUMMYFUNCTION("""COMPUTED_VALUE"""),"Normal")</f>
        <v>Normal</v>
      </c>
      <c r="O11" s="3" t="str">
        <f>IFERROR(__xludf.DUMMYFUNCTION("""COMPUTED_VALUE"""),"Non Urgent")</f>
        <v>Non Urgent</v>
      </c>
    </row>
    <row r="12">
      <c r="A12" s="4">
        <f>IFERROR(__xludf.DUMMYFUNCTION("""COMPUTED_VALUE"""),45679.50596162037)</f>
        <v>45679.50596</v>
      </c>
      <c r="B12" s="3" t="str">
        <f>IFERROR(__xludf.DUMMYFUNCTION("""COMPUTED_VALUE"""),"MOBBR0007")</f>
        <v>MOBBR0007</v>
      </c>
      <c r="C12" s="3" t="str">
        <f>IFERROR(__xludf.DUMMYFUNCTION("""COMPUTED_VALUE"""),"Consumable")</f>
        <v>Consumable</v>
      </c>
      <c r="D12" s="3" t="str">
        <f>IFERROR(__xludf.DUMMYFUNCTION("""COMPUTED_VALUE"""),"-")</f>
        <v>-</v>
      </c>
      <c r="E12" s="3" t="str">
        <f>IFERROR(__xludf.DUMMYFUNCTION("""COMPUTED_VALUE"""),"Ruang Gas QC")</f>
        <v>Ruang Gas QC</v>
      </c>
      <c r="F12" s="3" t="str">
        <f>IFERROR(__xludf.DUMMYFUNCTION("""COMPUTED_VALUE"""),"Regulator Gas Helium")</f>
        <v>Regulator Gas Helium</v>
      </c>
      <c r="G12" s="3" t="str">
        <f>IFERROR(__xludf.DUMMYFUNCTION("""COMPUTED_VALUE"""),"Morris Regulator Harris Two Stages 96-15M-HE Helium")</f>
        <v>Morris Regulator Harris Two Stages 96-15M-HE Helium</v>
      </c>
      <c r="H12" s="3" t="str">
        <f>IFERROR(__xludf.DUMMYFUNCTION("""COMPUTED_VALUE"""),"Morris")</f>
        <v>Morris</v>
      </c>
      <c r="I12" s="3">
        <f>IFERROR(__xludf.DUMMYFUNCTION("""COMPUTED_VALUE"""),1.0)</f>
        <v>1</v>
      </c>
      <c r="J12" s="3" t="str">
        <f>IFERROR(__xludf.DUMMYFUNCTION("""COMPUTED_VALUE"""),"Pcs")</f>
        <v>Pcs</v>
      </c>
      <c r="K12" s="5" t="str">
        <f>IFERROR(__xludf.DUMMYFUNCTION("""COMPUTED_VALUE"""),"https://www.monotaro.id/s013385101.html")</f>
        <v>https://www.monotaro.id/s013385101.html</v>
      </c>
      <c r="L12" s="3" t="str">
        <f>IFERROR(__xludf.DUMMYFUNCTION("""COMPUTED_VALUE"""),"-")</f>
        <v>-</v>
      </c>
      <c r="M12" s="3" t="str">
        <f>IFERROR(__xludf.DUMMYFUNCTION("""COMPUTED_VALUE"""),"Approve")</f>
        <v>Approve</v>
      </c>
      <c r="N12" s="3" t="str">
        <f>IFERROR(__xludf.DUMMYFUNCTION("""COMPUTED_VALUE"""),"Normal")</f>
        <v>Normal</v>
      </c>
      <c r="O12" s="3" t="str">
        <f>IFERROR(__xludf.DUMMYFUNCTION("""COMPUTED_VALUE"""),"Non Urgent")</f>
        <v>Non Urgent</v>
      </c>
    </row>
    <row r="13">
      <c r="A13" s="4">
        <f>IFERROR(__xludf.DUMMYFUNCTION("""COMPUTED_VALUE"""),45679.50860945601)</f>
        <v>45679.50861</v>
      </c>
      <c r="B13" s="3" t="str">
        <f>IFERROR(__xludf.DUMMYFUNCTION("""COMPUTED_VALUE"""),"MOBBR0008")</f>
        <v>MOBBR0008</v>
      </c>
      <c r="C13" s="3" t="str">
        <f>IFERROR(__xludf.DUMMYFUNCTION("""COMPUTED_VALUE"""),"Consumable")</f>
        <v>Consumable</v>
      </c>
      <c r="D13" s="3" t="str">
        <f>IFERROR(__xludf.DUMMYFUNCTION("""COMPUTED_VALUE"""),"-")</f>
        <v>-</v>
      </c>
      <c r="E13" s="3" t="str">
        <f>IFERROR(__xludf.DUMMYFUNCTION("""COMPUTED_VALUE"""),"Plambing Building")</f>
        <v>Plambing Building</v>
      </c>
      <c r="F13" s="3" t="str">
        <f>IFERROR(__xludf.DUMMYFUNCTION("""COMPUTED_VALUE"""),"Fitting PVC - Reducer PVC 1"" - 2""")</f>
        <v>Fitting PVC - Reducer PVC 1" - 2"</v>
      </c>
      <c r="G13" s="3" t="str">
        <f>IFERROR(__xludf.DUMMYFUNCTION("""COMPUTED_VALUE"""),"Fitting PVC - Reducer PVC 1"" - 2""")</f>
        <v>Fitting PVC - Reducer PVC 1" - 2"</v>
      </c>
      <c r="H13" s="3" t="str">
        <f>IFERROR(__xludf.DUMMYFUNCTION("""COMPUTED_VALUE"""),"Rucika")</f>
        <v>Rucika</v>
      </c>
      <c r="I13" s="3">
        <f>IFERROR(__xludf.DUMMYFUNCTION("""COMPUTED_VALUE"""),4.0)</f>
        <v>4</v>
      </c>
      <c r="J13" s="3" t="str">
        <f>IFERROR(__xludf.DUMMYFUNCTION("""COMPUTED_VALUE"""),"Pcs")</f>
        <v>Pcs</v>
      </c>
      <c r="K13" s="5" t="str">
        <f>IFERROR(__xludf.DUMMYFUNCTION("""COMPUTED_VALUE"""),"https://www.tokopedia.com/depibangunan/reducing-socket-vsok-1-x-1-2-inch-aw-rucika-fitting-pvc-vlok-sok")</f>
        <v>https://www.tokopedia.com/depibangunan/reducing-socket-vsok-1-x-1-2-inch-aw-rucika-fitting-pvc-vlok-sok</v>
      </c>
      <c r="L13" s="3" t="str">
        <f>IFERROR(__xludf.DUMMYFUNCTION("""COMPUTED_VALUE"""),"-")</f>
        <v>-</v>
      </c>
      <c r="M13" s="3" t="str">
        <f>IFERROR(__xludf.DUMMYFUNCTION("""COMPUTED_VALUE"""),"Approve")</f>
        <v>Approve</v>
      </c>
      <c r="N13" s="3" t="str">
        <f>IFERROR(__xludf.DUMMYFUNCTION("""COMPUTED_VALUE"""),"Normal")</f>
        <v>Normal</v>
      </c>
      <c r="O13" s="3" t="str">
        <f>IFERROR(__xludf.DUMMYFUNCTION("""COMPUTED_VALUE"""),"Non Urgent")</f>
        <v>Non Urgent</v>
      </c>
    </row>
    <row r="14">
      <c r="A14" s="4">
        <f>IFERROR(__xludf.DUMMYFUNCTION("""COMPUTED_VALUE"""),45679.51542798611)</f>
        <v>45679.51543</v>
      </c>
      <c r="B14" s="3" t="str">
        <f>IFERROR(__xludf.DUMMYFUNCTION("""COMPUTED_VALUE"""),"MOBBR0009")</f>
        <v>MOBBR0009</v>
      </c>
      <c r="C14" s="3" t="str">
        <f>IFERROR(__xludf.DUMMYFUNCTION("""COMPUTED_VALUE"""),"EJO")</f>
        <v>EJO</v>
      </c>
      <c r="D14" s="3" t="str">
        <f>IFERROR(__xludf.DUMMYFUNCTION("""COMPUTED_VALUE"""),"-")</f>
        <v>-</v>
      </c>
      <c r="E14" s="3" t="str">
        <f>IFERROR(__xludf.DUMMYFUNCTION("""COMPUTED_VALUE"""),"Intercom Wireless Office WH")</f>
        <v>Intercom Wireless Office WH</v>
      </c>
      <c r="F14" s="3" t="str">
        <f>IFERROR(__xludf.DUMMYFUNCTION("""COMPUTED_VALUE"""),"Intercom Wireless")</f>
        <v>Intercom Wireless</v>
      </c>
      <c r="G14" s="3" t="str">
        <f>IFERROR(__xludf.DUMMYFUNCTION("""COMPUTED_VALUE"""),"Commax Intercom WI-4C ")</f>
        <v>Commax Intercom WI-4C </v>
      </c>
      <c r="H14" s="3" t="str">
        <f>IFERROR(__xludf.DUMMYFUNCTION("""COMPUTED_VALUE"""),"Commax")</f>
        <v>Commax</v>
      </c>
      <c r="I14" s="3">
        <f>IFERROR(__xludf.DUMMYFUNCTION("""COMPUTED_VALUE"""),2.0)</f>
        <v>2</v>
      </c>
      <c r="J14" s="3" t="str">
        <f>IFERROR(__xludf.DUMMYFUNCTION("""COMPUTED_VALUE"""),"Pcs")</f>
        <v>Pcs</v>
      </c>
      <c r="K14" s="5" t="str">
        <f>IFERROR(__xludf.DUMMYFUNCTION("""COMPUTED_VALUE"""),"https://www.tokopedia.com/onlinekios/commax-wi-4c-sepasang-intercom-wireless?utm_source=google&amp;utm_medium=organic&amp;utm_campaign=pdp")</f>
        <v>https://www.tokopedia.com/onlinekios/commax-wi-4c-sepasang-intercom-wireless?utm_source=google&amp;utm_medium=organic&amp;utm_campaign=pdp</v>
      </c>
      <c r="L14" s="3" t="str">
        <f>IFERROR(__xludf.DUMMYFUNCTION("""COMPUTED_VALUE"""),"Hubungi Pak anwar 089510517774")</f>
        <v>Hubungi Pak anwar 089510517774</v>
      </c>
      <c r="M14" s="3" t="str">
        <f>IFERROR(__xludf.DUMMYFUNCTION("""COMPUTED_VALUE"""),"Approve")</f>
        <v>Approve</v>
      </c>
      <c r="N14" s="3" t="str">
        <f>IFERROR(__xludf.DUMMYFUNCTION("""COMPUTED_VALUE"""),"Normal")</f>
        <v>Normal</v>
      </c>
      <c r="O14" s="3" t="str">
        <f>IFERROR(__xludf.DUMMYFUNCTION("""COMPUTED_VALUE"""),"Non Urgent")</f>
        <v>Non Urgent</v>
      </c>
    </row>
    <row r="15">
      <c r="A15" s="4">
        <f>IFERROR(__xludf.DUMMYFUNCTION("""COMPUTED_VALUE"""),45679.59618357639)</f>
        <v>45679.59618</v>
      </c>
      <c r="B15" s="3" t="str">
        <f>IFERROR(__xludf.DUMMYFUNCTION("""COMPUTED_VALUE"""),"ROSBR0003")</f>
        <v>ROSBR0003</v>
      </c>
      <c r="C15" s="3" t="str">
        <f>IFERROR(__xludf.DUMMYFUNCTION("""COMPUTED_VALUE"""),"Consumable")</f>
        <v>Consumable</v>
      </c>
      <c r="D15" s="3" t="str">
        <f>IFERROR(__xludf.DUMMYFUNCTION("""COMPUTED_VALUE"""),"NA")</f>
        <v>NA</v>
      </c>
      <c r="E15" s="3" t="str">
        <f>IFERROR(__xludf.DUMMYFUNCTION("""COMPUTED_VALUE"""),"Capsuling, Tableting, dan Coating")</f>
        <v>Capsuling, Tableting, dan Coating</v>
      </c>
      <c r="F15" s="3" t="str">
        <f>IFERROR(__xludf.DUMMYFUNCTION("""COMPUTED_VALUE"""),"Buckhel ( Kuncian Spanset)")</f>
        <v>Buckhel ( Kuncian Spanset)</v>
      </c>
      <c r="G15" s="3" t="str">
        <f>IFERROR(__xludf.DUMMYFUNCTION("""COMPUTED_VALUE"""),"Buckle CB5 Galvanized Steel Buckle strapping Cordstrap 16MM Hook Tali")</f>
        <v>Buckle CB5 Galvanized Steel Buckle strapping Cordstrap 16MM Hook Tali</v>
      </c>
      <c r="H15" s="3" t="str">
        <f>IFERROR(__xludf.DUMMYFUNCTION("""COMPUTED_VALUE"""),"General")</f>
        <v>General</v>
      </c>
      <c r="I15" s="3">
        <f>IFERROR(__xludf.DUMMYFUNCTION("""COMPUTED_VALUE"""),312.0)</f>
        <v>312</v>
      </c>
      <c r="J15" s="3" t="str">
        <f>IFERROR(__xludf.DUMMYFUNCTION("""COMPUTED_VALUE"""),"pcs")</f>
        <v>pcs</v>
      </c>
      <c r="K15" s="5" t="str">
        <f>IFERROR(__xludf.DUMMYFUNCTION("""COMPUTED_VALUE"""),"https://www.tokopedia.com/pt-longtime/buckle-cb5-galvanized-steel-buckle-strapping-cordstrap-16mm-hook-tali")</f>
        <v>https://www.tokopedia.com/pt-longtime/buckle-cb5-galvanized-steel-buckle-strapping-cordstrap-16mm-hook-tali</v>
      </c>
      <c r="L15" s="5" t="str">
        <f>IFERROR(__xludf.DUMMYFUNCTION("""COMPUTED_VALUE"""),"https://drive.google.com/file/d/1eBvaxc7AjHsaoSnzSdwhswU5OueVqOuq/view?usp=drive_link")</f>
        <v>https://drive.google.com/file/d/1eBvaxc7AjHsaoSnzSdwhswU5OueVqOuq/view?usp=drive_link</v>
      </c>
      <c r="M15" s="3" t="str">
        <f>IFERROR(__xludf.DUMMYFUNCTION("""COMPUTED_VALUE"""),"Approve")</f>
        <v>Approve</v>
      </c>
      <c r="N15" s="3" t="str">
        <f>IFERROR(__xludf.DUMMYFUNCTION("""COMPUTED_VALUE"""),"Normal")</f>
        <v>Normal</v>
      </c>
      <c r="O15" s="3" t="str">
        <f>IFERROR(__xludf.DUMMYFUNCTION("""COMPUTED_VALUE"""),"Non Urgent")</f>
        <v>Non Urgent</v>
      </c>
    </row>
    <row r="16">
      <c r="A16" s="4">
        <f>IFERROR(__xludf.DUMMYFUNCTION("""COMPUTED_VALUE"""),45679.604100578705)</f>
        <v>45679.6041</v>
      </c>
      <c r="B16" s="3" t="str">
        <f>IFERROR(__xludf.DUMMYFUNCTION("""COMPUTED_VALUE"""),"ROSBR0004")</f>
        <v>ROSBR0004</v>
      </c>
      <c r="C16" s="3" t="str">
        <f>IFERROR(__xludf.DUMMYFUNCTION("""COMPUTED_VALUE"""),"Consumable")</f>
        <v>Consumable</v>
      </c>
      <c r="D16" s="3" t="str">
        <f>IFERROR(__xludf.DUMMYFUNCTION("""COMPUTED_VALUE"""),"NA")</f>
        <v>NA</v>
      </c>
      <c r="E16" s="3" t="str">
        <f>IFERROR(__xludf.DUMMYFUNCTION("""COMPUTED_VALUE"""),"Capsuling, Tableting, dan Coating")</f>
        <v>Capsuling, Tableting, dan Coating</v>
      </c>
      <c r="F16" s="3" t="str">
        <f>IFERROR(__xludf.DUMMYFUNCTION("""COMPUTED_VALUE"""),"Tali Webbing (Spanset)")</f>
        <v>Tali Webbing (Spanset)</v>
      </c>
      <c r="G16" s="3" t="str">
        <f>IFERROR(__xludf.DUMMYFUNCTION("""COMPUTED_VALUE"""),"Tali Webbing ratchet tie down Roll ketebalan 4mm,pjang 50 m")</f>
        <v>Tali Webbing ratchet tie down Roll ketebalan 4mm,pjang 50 m</v>
      </c>
      <c r="H16" s="3" t="str">
        <f>IFERROR(__xludf.DUMMYFUNCTION("""COMPUTED_VALUE"""),"General")</f>
        <v>General</v>
      </c>
      <c r="I16" s="3">
        <f>IFERROR(__xludf.DUMMYFUNCTION("""COMPUTED_VALUE"""),13.0)</f>
        <v>13</v>
      </c>
      <c r="J16" s="3" t="str">
        <f>IFERROR(__xludf.DUMMYFUNCTION("""COMPUTED_VALUE"""),"Roll")</f>
        <v>Roll</v>
      </c>
      <c r="K16" s="5" t="str">
        <f>IFERROR(__xludf.DUMMYFUNCTION("""COMPUTED_VALUE"""),"https://www.tokopedia.com/afnteknik/tali-webbing-ratchet-tie-down-roll-ketebalan-4mm-pjang-50-m")</f>
        <v>https://www.tokopedia.com/afnteknik/tali-webbing-ratchet-tie-down-roll-ketebalan-4mm-pjang-50-m</v>
      </c>
      <c r="L16" s="5" t="str">
        <f>IFERROR(__xludf.DUMMYFUNCTION("""COMPUTED_VALUE"""),"https://drive.google.com/file/d/1hC4f0O07MBcnaiwecavt9yDoV67_K-GE/view?usp=drive_link")</f>
        <v>https://drive.google.com/file/d/1hC4f0O07MBcnaiwecavt9yDoV67_K-GE/view?usp=drive_link</v>
      </c>
      <c r="M16" s="3" t="str">
        <f>IFERROR(__xludf.DUMMYFUNCTION("""COMPUTED_VALUE"""),"Approve")</f>
        <v>Approve</v>
      </c>
      <c r="N16" s="3" t="str">
        <f>IFERROR(__xludf.DUMMYFUNCTION("""COMPUTED_VALUE"""),"Normal")</f>
        <v>Normal</v>
      </c>
      <c r="O16" s="3" t="str">
        <f>IFERROR(__xludf.DUMMYFUNCTION("""COMPUTED_VALUE"""),"Non Urgent")</f>
        <v>Non Urgent</v>
      </c>
    </row>
    <row r="17">
      <c r="A17" s="4">
        <f>IFERROR(__xludf.DUMMYFUNCTION("""COMPUTED_VALUE"""),45680.382373796296)</f>
        <v>45680.38237</v>
      </c>
      <c r="B17" s="3" t="str">
        <f>IFERROR(__xludf.DUMMYFUNCTION("""COMPUTED_VALUE"""),"MOBBR0010")</f>
        <v>MOBBR0010</v>
      </c>
      <c r="C17" s="3" t="str">
        <f>IFERROR(__xludf.DUMMYFUNCTION("""COMPUTED_VALUE"""),"Consumable")</f>
        <v>Consumable</v>
      </c>
      <c r="D17" s="3" t="str">
        <f>IFERROR(__xludf.DUMMYFUNCTION("""COMPUTED_VALUE"""),"-")</f>
        <v>-</v>
      </c>
      <c r="E17" s="3" t="str">
        <f>IFERROR(__xludf.DUMMYFUNCTION("""COMPUTED_VALUE"""),"Plambing Building")</f>
        <v>Plambing Building</v>
      </c>
      <c r="F17" s="3" t="str">
        <f>IFERROR(__xludf.DUMMYFUNCTION("""COMPUTED_VALUE"""),"Fitting PVC - Water Mur PVC 1.5""")</f>
        <v>Fitting PVC - Water Mur PVC 1.5"</v>
      </c>
      <c r="G17" s="3" t="str">
        <f>IFERROR(__xludf.DUMMYFUNCTION("""COMPUTED_VALUE"""),"Fitting PVC - Water Mur PVC 1.5""")</f>
        <v>Fitting PVC - Water Mur PVC 1.5"</v>
      </c>
      <c r="H17" s="3" t="str">
        <f>IFERROR(__xludf.DUMMYFUNCTION("""COMPUTED_VALUE"""),"Rucika")</f>
        <v>Rucika</v>
      </c>
      <c r="I17" s="3">
        <f>IFERROR(__xludf.DUMMYFUNCTION("""COMPUTED_VALUE"""),4.0)</f>
        <v>4</v>
      </c>
      <c r="J17" s="3" t="str">
        <f>IFERROR(__xludf.DUMMYFUNCTION("""COMPUTED_VALUE"""),"Pcs")</f>
        <v>Pcs</v>
      </c>
      <c r="K17" s="5" t="str">
        <f>IFERROR(__xludf.DUMMYFUNCTION("""COMPUTED_VALUE"""),"https://www.monotaro.id/items/s044355494.html?utm_source=google&amp;utm_medium=pla&amp;utm_campaign=1672206402&amp;utm_content=88187085595&amp;utm_term=cpcless_500_more1min_more3_clicks_noclick_badbrand&amp;gad_source=4&amp;gclid=Cj0KCQiAy8K8BhCZARIsAKJ8sfRH6nJC7tVOQFd2uy58LoYSy"&amp;"sHem5Zy2YQO3wqhAGiFbZYn743OTGcaAoRnEALw_wcB")</f>
        <v>https://www.monotaro.id/items/s044355494.html?utm_source=google&amp;utm_medium=pla&amp;utm_campaign=1672206402&amp;utm_content=88187085595&amp;utm_term=cpcless_500_more1min_more3_clicks_noclick_badbrand&amp;gad_source=4&amp;gclid=Cj0KCQiAy8K8BhCZARIsAKJ8sfRH6nJC7tVOQFd2uy58LoYSysHem5Zy2YQO3wqhAGiFbZYn743OTGcaAoRnEALw_wcB</v>
      </c>
      <c r="L17" s="3" t="str">
        <f>IFERROR(__xludf.DUMMYFUNCTION("""COMPUTED_VALUE"""),"-")</f>
        <v>-</v>
      </c>
      <c r="M17" s="3" t="str">
        <f>IFERROR(__xludf.DUMMYFUNCTION("""COMPUTED_VALUE"""),"Approve")</f>
        <v>Approve</v>
      </c>
      <c r="N17" s="3" t="str">
        <f>IFERROR(__xludf.DUMMYFUNCTION("""COMPUTED_VALUE"""),"Normal")</f>
        <v>Normal</v>
      </c>
      <c r="O17" s="3" t="str">
        <f>IFERROR(__xludf.DUMMYFUNCTION("""COMPUTED_VALUE"""),"Non Urgent")</f>
        <v>Non Urgent</v>
      </c>
    </row>
    <row r="18">
      <c r="A18" s="4">
        <f>IFERROR(__xludf.DUMMYFUNCTION("""COMPUTED_VALUE"""),45680.383995509255)</f>
        <v>45680.384</v>
      </c>
      <c r="B18" s="3" t="str">
        <f>IFERROR(__xludf.DUMMYFUNCTION("""COMPUTED_VALUE"""),"MOBBR0011")</f>
        <v>MOBBR0011</v>
      </c>
      <c r="C18" s="3" t="str">
        <f>IFERROR(__xludf.DUMMYFUNCTION("""COMPUTED_VALUE"""),"Consumable")</f>
        <v>Consumable</v>
      </c>
      <c r="D18" s="3" t="str">
        <f>IFERROR(__xludf.DUMMYFUNCTION("""COMPUTED_VALUE"""),"-")</f>
        <v>-</v>
      </c>
      <c r="E18" s="3" t="str">
        <f>IFERROR(__xludf.DUMMYFUNCTION("""COMPUTED_VALUE"""),"Plambing Building")</f>
        <v>Plambing Building</v>
      </c>
      <c r="F18" s="3" t="str">
        <f>IFERROR(__xludf.DUMMYFUNCTION("""COMPUTED_VALUE"""),"PVC - Dop 3/4""")</f>
        <v>PVC - Dop 3/4"</v>
      </c>
      <c r="G18" s="3" t="str">
        <f>IFERROR(__xludf.DUMMYFUNCTION("""COMPUTED_VALUE"""),"PVC - Dop 3/4""")</f>
        <v>PVC - Dop 3/4"</v>
      </c>
      <c r="H18" s="3" t="str">
        <f>IFERROR(__xludf.DUMMYFUNCTION("""COMPUTED_VALUE"""),"Rucika")</f>
        <v>Rucika</v>
      </c>
      <c r="I18" s="3">
        <f>IFERROR(__xludf.DUMMYFUNCTION("""COMPUTED_VALUE"""),4.0)</f>
        <v>4</v>
      </c>
      <c r="J18" s="3" t="str">
        <f>IFERROR(__xludf.DUMMYFUNCTION("""COMPUTED_VALUE"""),"Pcs")</f>
        <v>Pcs</v>
      </c>
      <c r="K18" s="5" t="str">
        <f>IFERROR(__xludf.DUMMYFUNCTION("""COMPUTED_VALUE"""),"https://shopee.co.id/product/193832839/8457384467?gads_t_sig=VTJGc2RHVmtYMTlxTFVSVVRrdENkVzBLS2xuUGZzMlQ5NjlFWklmRkZjUU9pQWFXSnBIeTRnYWV3eGVqT2RWR3Q0ZVBSNElESE9Sd3BRQlRhc0ZkK2xlVFVFTm1wRnVhODVrSXpPamUyWjAwWXdHcFZINmRJd0xlUEhOU0pJS0k&amp;gad_source=4&amp;gclid=Cj0"&amp;"KCQiAy8K8BhCZARIsAKJ8sfSVxeEF-f6OUgltFQqg0tuXGCMZSK6CfHpWO7rqVNnAE3JMcqdzzNoaAvlMEALw_wcB")</f>
        <v>https://shopee.co.id/product/193832839/8457384467?gads_t_sig=VTJGc2RHVmtYMTlxTFVSVVRrdENkVzBLS2xuUGZzMlQ5NjlFWklmRkZjUU9pQWFXSnBIeTRnYWV3eGVqT2RWR3Q0ZVBSNElESE9Sd3BRQlRhc0ZkK2xlVFVFTm1wRnVhODVrSXpPamUyWjAwWXdHcFZINmRJd0xlUEhOU0pJS0k&amp;gad_source=4&amp;gclid=Cj0KCQiAy8K8BhCZARIsAKJ8sfSVxeEF-f6OUgltFQqg0tuXGCMZSK6CfHpWO7rqVNnAE3JMcqdzzNoaAvlMEALw_wcB</v>
      </c>
      <c r="L18" s="3" t="str">
        <f>IFERROR(__xludf.DUMMYFUNCTION("""COMPUTED_VALUE"""),"-")</f>
        <v>-</v>
      </c>
      <c r="M18" s="3" t="str">
        <f>IFERROR(__xludf.DUMMYFUNCTION("""COMPUTED_VALUE"""),"Approve")</f>
        <v>Approve</v>
      </c>
      <c r="N18" s="3" t="str">
        <f>IFERROR(__xludf.DUMMYFUNCTION("""COMPUTED_VALUE"""),"Normal")</f>
        <v>Normal</v>
      </c>
      <c r="O18" s="3" t="str">
        <f>IFERROR(__xludf.DUMMYFUNCTION("""COMPUTED_VALUE"""),"Non Urgent")</f>
        <v>Non Urgent</v>
      </c>
    </row>
    <row r="19">
      <c r="A19" s="4">
        <f>IFERROR(__xludf.DUMMYFUNCTION("""COMPUTED_VALUE"""),45684.634351423614)</f>
        <v>45684.63435</v>
      </c>
      <c r="B19" s="3" t="str">
        <f>IFERROR(__xludf.DUMMYFUNCTION("""COMPUTED_VALUE"""),"MOBBR0012")</f>
        <v>MOBBR0012</v>
      </c>
      <c r="C19" s="3" t="str">
        <f>IFERROR(__xludf.DUMMYFUNCTION("""COMPUTED_VALUE"""),"EJO")</f>
        <v>EJO</v>
      </c>
      <c r="D19" s="3" t="str">
        <f>IFERROR(__xludf.DUMMYFUNCTION("""COMPUTED_VALUE"""),"EJO/2025/01/108")</f>
        <v>EJO/2025/01/108</v>
      </c>
      <c r="E19" s="3" t="str">
        <f>IFERROR(__xludf.DUMMYFUNCTION("""COMPUTED_VALUE"""),"Plumbing")</f>
        <v>Plumbing</v>
      </c>
      <c r="F19" s="3" t="str">
        <f>IFERROR(__xludf.DUMMYFUNCTION("""COMPUTED_VALUE"""),"Gate Valve Kitz")</f>
        <v>Gate Valve Kitz</v>
      </c>
      <c r="G19" s="3" t="str">
        <f>IFERROR(__xludf.DUMMYFUNCTION("""COMPUTED_VALUE"""),"Gate Valve Kitz 2 1/2"" ")</f>
        <v>Gate Valve Kitz 2 1/2" </v>
      </c>
      <c r="H19" s="3" t="str">
        <f>IFERROR(__xludf.DUMMYFUNCTION("""COMPUTED_VALUE"""),"KITZ")</f>
        <v>KITZ</v>
      </c>
      <c r="I19" s="3">
        <f>IFERROR(__xludf.DUMMYFUNCTION("""COMPUTED_VALUE"""),2.0)</f>
        <v>2</v>
      </c>
      <c r="J19" s="3" t="str">
        <f>IFERROR(__xludf.DUMMYFUNCTION("""COMPUTED_VALUE"""),"Pcs")</f>
        <v>Pcs</v>
      </c>
      <c r="K19" s="5" t="str">
        <f>IFERROR(__xludf.DUMMYFUNCTION("""COMPUTED_VALUE"""),"https://www.tokopedia.com/valvekitz/gate-valve-2-1-2-inch-kitz-original-japan?utm_source=google&amp;utm_medium=organic&amp;utm_campaign=pdp")</f>
        <v>https://www.tokopedia.com/valvekitz/gate-valve-2-1-2-inch-kitz-original-japan?utm_source=google&amp;utm_medium=organic&amp;utm_campaign=pdp</v>
      </c>
      <c r="L19" s="3" t="str">
        <f>IFERROR(__xludf.DUMMYFUNCTION("""COMPUTED_VALUE"""),"-")</f>
        <v>-</v>
      </c>
      <c r="M19" s="3" t="str">
        <f>IFERROR(__xludf.DUMMYFUNCTION("""COMPUTED_VALUE"""),"Approve")</f>
        <v>Approve</v>
      </c>
      <c r="N19" s="3" t="str">
        <f>IFERROR(__xludf.DUMMYFUNCTION("""COMPUTED_VALUE"""),"Normal")</f>
        <v>Normal</v>
      </c>
      <c r="O19" s="3" t="str">
        <f>IFERROR(__xludf.DUMMYFUNCTION("""COMPUTED_VALUE"""),"Non Urgent")</f>
        <v>Non Urgent</v>
      </c>
    </row>
    <row r="20">
      <c r="A20" s="4">
        <f>IFERROR(__xludf.DUMMYFUNCTION("""COMPUTED_VALUE"""),45685.50748862268)</f>
        <v>45685.50749</v>
      </c>
      <c r="B20" s="3" t="str">
        <f>IFERROR(__xludf.DUMMYFUNCTION("""COMPUTED_VALUE"""),"ROSBR0005")</f>
        <v>ROSBR0005</v>
      </c>
      <c r="C20" s="3" t="str">
        <f>IFERROR(__xludf.DUMMYFUNCTION("""COMPUTED_VALUE"""),"EJO")</f>
        <v>EJO</v>
      </c>
      <c r="D20" s="3" t="str">
        <f>IFERROR(__xludf.DUMMYFUNCTION("""COMPUTED_VALUE"""),"EJO/2025/01/26")</f>
        <v>EJO/2025/01/26</v>
      </c>
      <c r="E20" s="3" t="str">
        <f>IFERROR(__xludf.DUMMYFUNCTION("""COMPUTED_VALUE"""),"Mixing")</f>
        <v>Mixing</v>
      </c>
      <c r="F20" s="3" t="str">
        <f>IFERROR(__xludf.DUMMYFUNCTION("""COMPUTED_VALUE"""),"Cover Tray Pelindung Tubing ")</f>
        <v>Cover Tray Pelindung Tubing </v>
      </c>
      <c r="G20" s="3" t="str">
        <f>IFERROR(__xludf.DUMMYFUNCTION("""COMPUTED_VALUE"""),"Tray Kabel 30x 50x 1000 mm Pengelasan Plate Mat'l SUS 304")</f>
        <v>Tray Kabel 30x 50x 1000 mm Pengelasan Plate Mat'l SUS 304</v>
      </c>
      <c r="H20" s="3" t="str">
        <f>IFERROR(__xludf.DUMMYFUNCTION("""COMPUTED_VALUE"""),"General")</f>
        <v>General</v>
      </c>
      <c r="I20" s="3">
        <f>IFERROR(__xludf.DUMMYFUNCTION("""COMPUTED_VALUE"""),2.0)</f>
        <v>2</v>
      </c>
      <c r="J20" s="3" t="str">
        <f>IFERROR(__xludf.DUMMYFUNCTION("""COMPUTED_VALUE"""),"Pcs")</f>
        <v>Pcs</v>
      </c>
      <c r="K20" s="5" t="str">
        <f>IFERROR(__xludf.DUMMYFUNCTION("""COMPUTED_VALUE"""),"https://drive.google.com/file/d/1TkNDjWAzuCMnA1K4CWfEoTBYgDHKjKe1/view?usp=drive_link")</f>
        <v>https://drive.google.com/file/d/1TkNDjWAzuCMnA1K4CWfEoTBYgDHKjKe1/view?usp=drive_link</v>
      </c>
      <c r="L20" s="5" t="str">
        <f>IFERROR(__xludf.DUMMYFUNCTION("""COMPUTED_VALUE"""),"https://drive.google.com/file/d/1cpyV30xyHQ171i0SzClFf3CzmunZOKQL/view?usp=drive_link")</f>
        <v>https://drive.google.com/file/d/1cpyV30xyHQ171i0SzClFf3CzmunZOKQL/view?usp=drive_link</v>
      </c>
      <c r="M20" s="3" t="str">
        <f>IFERROR(__xludf.DUMMYFUNCTION("""COMPUTED_VALUE"""),"Approve")</f>
        <v>Approve</v>
      </c>
      <c r="N20" s="3" t="str">
        <f>IFERROR(__xludf.DUMMYFUNCTION("""COMPUTED_VALUE"""),"Normal")</f>
        <v>Normal</v>
      </c>
      <c r="O20" s="3" t="str">
        <f>IFERROR(__xludf.DUMMYFUNCTION("""COMPUTED_VALUE"""),"Non Urgent")</f>
        <v>Non Urgent</v>
      </c>
    </row>
    <row r="21">
      <c r="A21" s="4">
        <f>IFERROR(__xludf.DUMMYFUNCTION("""COMPUTED_VALUE"""),45685.70989032408)</f>
        <v>45685.70989</v>
      </c>
      <c r="B21" s="3" t="str">
        <f>IFERROR(__xludf.DUMMYFUNCTION("""COMPUTED_VALUE"""),"MRNBR0001")</f>
        <v>MRNBR0001</v>
      </c>
      <c r="C21" s="3" t="str">
        <f>IFERROR(__xludf.DUMMYFUNCTION("""COMPUTED_VALUE"""),"EJO")</f>
        <v>EJO</v>
      </c>
      <c r="D21" s="3" t="str">
        <f>IFERROR(__xludf.DUMMYFUNCTION("""COMPUTED_VALUE"""),"EJO/2024/12/150")</f>
        <v>EJO/2024/12/150</v>
      </c>
      <c r="E21" s="3" t="str">
        <f>IFERROR(__xludf.DUMMYFUNCTION("""COMPUTED_VALUE"""),"Loker sepatu")</f>
        <v>Loker sepatu</v>
      </c>
      <c r="F21" s="3" t="str">
        <f>IFERROR(__xludf.DUMMYFUNCTION("""COMPUTED_VALUE"""),"Exhaust")</f>
        <v>Exhaust</v>
      </c>
      <c r="G21" s="3" t="str">
        <f>IFERROR(__xludf.DUMMYFUNCTION("""COMPUTED_VALUE"""),"24CDQNA")</f>
        <v>24CDQNA</v>
      </c>
      <c r="H21" s="3" t="str">
        <f>IFERROR(__xludf.DUMMYFUNCTION("""COMPUTED_VALUE"""),"KDK")</f>
        <v>KDK</v>
      </c>
      <c r="I21" s="3">
        <f>IFERROR(__xludf.DUMMYFUNCTION("""COMPUTED_VALUE"""),2.0)</f>
        <v>2</v>
      </c>
      <c r="J21" s="3" t="str">
        <f>IFERROR(__xludf.DUMMYFUNCTION("""COMPUTED_VALUE"""),"unit")</f>
        <v>unit</v>
      </c>
      <c r="K21" s="5" t="str">
        <f>IFERROR(__xludf.DUMMYFUNCTION("""COMPUTED_VALUE"""),"https://kdk.co.id/product/detail/24")</f>
        <v>https://kdk.co.id/product/detail/24</v>
      </c>
      <c r="L21" s="3" t="str">
        <f>IFERROR(__xludf.DUMMYFUNCTION("""COMPUTED_VALUE"""),"untuk di loker")</f>
        <v>untuk di loker</v>
      </c>
      <c r="M21" s="3" t="str">
        <f>IFERROR(__xludf.DUMMYFUNCTION("""COMPUTED_VALUE"""),"Approve")</f>
        <v>Approve</v>
      </c>
      <c r="N21" s="3" t="str">
        <f>IFERROR(__xludf.DUMMYFUNCTION("""COMPUTED_VALUE"""),"Normal")</f>
        <v>Normal</v>
      </c>
      <c r="O21" s="3" t="str">
        <f>IFERROR(__xludf.DUMMYFUNCTION("""COMPUTED_VALUE"""),"Non Urgent")</f>
        <v>Non Urgent</v>
      </c>
    </row>
    <row r="22">
      <c r="A22" s="4">
        <f>IFERROR(__xludf.DUMMYFUNCTION("""COMPUTED_VALUE"""),45688.2731081713)</f>
        <v>45688.27311</v>
      </c>
      <c r="B22" s="3" t="str">
        <f>IFERROR(__xludf.DUMMYFUNCTION("""COMPUTED_VALUE"""),"RIABR0001")</f>
        <v>RIABR0001</v>
      </c>
      <c r="C22" s="3" t="str">
        <f>IFERROR(__xludf.DUMMYFUNCTION("""COMPUTED_VALUE"""),"EJO")</f>
        <v>EJO</v>
      </c>
      <c r="D22" s="3" t="str">
        <f>IFERROR(__xludf.DUMMYFUNCTION("""COMPUTED_VALUE"""),"EJO/2025/01/30")</f>
        <v>EJO/2025/01/30</v>
      </c>
      <c r="E22" s="3" t="str">
        <f>IFERROR(__xludf.DUMMYFUNCTION("""COMPUTED_VALUE"""),"AHU F22")</f>
        <v>AHU F22</v>
      </c>
      <c r="F22" s="3" t="str">
        <f>IFERROR(__xludf.DUMMYFUNCTION("""COMPUTED_VALUE"""),"LCD Inverter")</f>
        <v>LCD Inverter</v>
      </c>
      <c r="G22" s="3" t="str">
        <f>IFERROR(__xludf.DUMMYFUNCTION("""COMPUTED_VALUE"""),"Control Panel LCP 102 Danfoss display inverter keypad")</f>
        <v>Control Panel LCP 102 Danfoss display inverter keypad</v>
      </c>
      <c r="H22" s="3" t="str">
        <f>IFERROR(__xludf.DUMMYFUNCTION("""COMPUTED_VALUE"""),"Danfoss")</f>
        <v>Danfoss</v>
      </c>
      <c r="I22" s="3">
        <f>IFERROR(__xludf.DUMMYFUNCTION("""COMPUTED_VALUE"""),1.0)</f>
        <v>1</v>
      </c>
      <c r="J22" s="3" t="str">
        <f>IFERROR(__xludf.DUMMYFUNCTION("""COMPUTED_VALUE"""),"Pcs")</f>
        <v>Pcs</v>
      </c>
      <c r="K22" s="5" t="str">
        <f>IFERROR(__xludf.DUMMYFUNCTION("""COMPUTED_VALUE"""),"https://www.tokopedia.com/zentama/control-panel-lcp-102-danfoss-display-inverter-kiped?extParam=ivf%3Dfalse%26keyword%3Dlcp+danfoss%26search_id%3D2025013023320395B43E7F03282537D7CP%26src%3Dsearch")</f>
        <v>https://www.tokopedia.com/zentama/control-panel-lcp-102-danfoss-display-inverter-kiped?extParam=ivf%3Dfalse%26keyword%3Dlcp+danfoss%26search_id%3D2025013023320395B43E7F03282537D7CP%26src%3Dsearch</v>
      </c>
      <c r="L22" s="3" t="str">
        <f>IFERROR(__xludf.DUMMYFUNCTION("""COMPUTED_VALUE"""),"LCD Inverter AHU Danfoss Vignet, ini buat gantinya")</f>
        <v>LCD Inverter AHU Danfoss Vignet, ini buat gantinya</v>
      </c>
      <c r="M22" s="3" t="str">
        <f>IFERROR(__xludf.DUMMYFUNCTION("""COMPUTED_VALUE"""),"Approve")</f>
        <v>Approve</v>
      </c>
      <c r="N22" s="3" t="str">
        <f>IFERROR(__xludf.DUMMYFUNCTION("""COMPUTED_VALUE"""),"Normal")</f>
        <v>Normal</v>
      </c>
      <c r="O22" s="3" t="str">
        <f>IFERROR(__xludf.DUMMYFUNCTION("""COMPUTED_VALUE"""),"Non Urgent")</f>
        <v>Non Urgent</v>
      </c>
    </row>
    <row r="23">
      <c r="A23" s="4">
        <f>IFERROR(__xludf.DUMMYFUNCTION("""COMPUTED_VALUE"""),45688.275967395835)</f>
        <v>45688.27597</v>
      </c>
      <c r="B23" s="3" t="str">
        <f>IFERROR(__xludf.DUMMYFUNCTION("""COMPUTED_VALUE"""),"RIABR0002")</f>
        <v>RIABR0002</v>
      </c>
      <c r="C23" s="3" t="str">
        <f>IFERROR(__xludf.DUMMYFUNCTION("""COMPUTED_VALUE"""),"EJO")</f>
        <v>EJO</v>
      </c>
      <c r="D23" s="3" t="str">
        <f>IFERROR(__xludf.DUMMYFUNCTION("""COMPUTED_VALUE"""),"EJO/2025/01/40")</f>
        <v>EJO/2025/01/40</v>
      </c>
      <c r="E23" s="3" t="str">
        <f>IFERROR(__xludf.DUMMYFUNCTION("""COMPUTED_VALUE"""),"AHU B12")</f>
        <v>AHU B12</v>
      </c>
      <c r="F23" s="3" t="str">
        <f>IFERROR(__xludf.DUMMYFUNCTION("""COMPUTED_VALUE"""),"Regin Heater")</f>
        <v>Regin Heater</v>
      </c>
      <c r="G23" s="3" t="str">
        <f>IFERROR(__xludf.DUMMYFUNCTION("""COMPUTED_VALUE"""),"PULSER230X010Electric heating controller for external input signal 0-10 V, 230 V AC or 400 V AC, wall mounting
Electric heating controller for external 0...10 V DC control signal")</f>
        <v>PULSER230X010Electric heating controller for external input signal 0-10 V, 230 V AC or 400 V AC, wall mounting
Electric heating controller for external 0...10 V DC control signal</v>
      </c>
      <c r="H23" s="3" t="str">
        <f>IFERROR(__xludf.DUMMYFUNCTION("""COMPUTED_VALUE"""),"Regin")</f>
        <v>Regin</v>
      </c>
      <c r="I23" s="3">
        <f>IFERROR(__xludf.DUMMYFUNCTION("""COMPUTED_VALUE"""),1.0)</f>
        <v>1</v>
      </c>
      <c r="J23" s="3" t="str">
        <f>IFERROR(__xludf.DUMMYFUNCTION("""COMPUTED_VALUE"""),"Pcs")</f>
        <v>Pcs</v>
      </c>
      <c r="K23" s="5" t="str">
        <f>IFERROR(__xludf.DUMMYFUNCTION("""COMPUTED_VALUE"""),"https://www.regincontrols.com/en/se/products/controllers/electric-heating-controllers/pulser-1-or-2-phase/electric-heating-controller-for-external-input-signal-0-10-v-230-v-ac-or-400-v-ac-wall-mounting-p11457/pulser230x010/")</f>
        <v>https://www.regincontrols.com/en/se/products/controllers/electric-heating-controllers/pulser-1-or-2-phase/electric-heating-controller-for-external-input-signal-0-10-v-230-v-ac-or-400-v-ac-wall-mounting-p11457/pulser230x010/</v>
      </c>
      <c r="L23" s="3" t="str">
        <f>IFERROR(__xludf.DUMMYFUNCTION("""COMPUTED_VALUE"""),"Regin Heater AHU B12 Ada Yang Mati")</f>
        <v>Regin Heater AHU B12 Ada Yang Mati</v>
      </c>
      <c r="M23" s="3" t="str">
        <f>IFERROR(__xludf.DUMMYFUNCTION("""COMPUTED_VALUE"""),"Approve")</f>
        <v>Approve</v>
      </c>
      <c r="N23" s="3" t="str">
        <f>IFERROR(__xludf.DUMMYFUNCTION("""COMPUTED_VALUE"""),"Normal")</f>
        <v>Normal</v>
      </c>
      <c r="O23" s="3" t="str">
        <f>IFERROR(__xludf.DUMMYFUNCTION("""COMPUTED_VALUE"""),"Non Urgent")</f>
        <v>Non Urgent</v>
      </c>
    </row>
    <row r="24">
      <c r="A24" s="4">
        <f>IFERROR(__xludf.DUMMYFUNCTION("""COMPUTED_VALUE"""),45688.27733950232)</f>
        <v>45688.27734</v>
      </c>
      <c r="B24" s="3" t="str">
        <f>IFERROR(__xludf.DUMMYFUNCTION("""COMPUTED_VALUE"""),"RIABR0003")</f>
        <v>RIABR0003</v>
      </c>
      <c r="C24" s="3" t="str">
        <f>IFERROR(__xludf.DUMMYFUNCTION("""COMPUTED_VALUE"""),"EJO")</f>
        <v>EJO</v>
      </c>
      <c r="D24" s="3" t="str">
        <f>IFERROR(__xludf.DUMMYFUNCTION("""COMPUTED_VALUE"""),"EJO/2025/01/69")</f>
        <v>EJO/2025/01/69</v>
      </c>
      <c r="E24" s="3" t="str">
        <f>IFERROR(__xludf.DUMMYFUNCTION("""COMPUTED_VALUE"""),"F32")</f>
        <v>F32</v>
      </c>
      <c r="F24" s="3" t="str">
        <f>IFERROR(__xludf.DUMMYFUNCTION("""COMPUTED_VALUE"""),"LCD Inverter")</f>
        <v>LCD Inverter</v>
      </c>
      <c r="G24" s="3" t="str">
        <f>IFERROR(__xludf.DUMMYFUNCTION("""COMPUTED_VALUE"""),"Control Panel LCP 102 Danfoss display inverter keypad")</f>
        <v>Control Panel LCP 102 Danfoss display inverter keypad</v>
      </c>
      <c r="H24" s="3" t="str">
        <f>IFERROR(__xludf.DUMMYFUNCTION("""COMPUTED_VALUE"""),"Danfoss")</f>
        <v>Danfoss</v>
      </c>
      <c r="I24" s="3">
        <f>IFERROR(__xludf.DUMMYFUNCTION("""COMPUTED_VALUE"""),1.0)</f>
        <v>1</v>
      </c>
      <c r="J24" s="3" t="str">
        <f>IFERROR(__xludf.DUMMYFUNCTION("""COMPUTED_VALUE"""),"Pcs")</f>
        <v>Pcs</v>
      </c>
      <c r="K24" s="5" t="str">
        <f>IFERROR(__xludf.DUMMYFUNCTION("""COMPUTED_VALUE"""),"https://www.tokopedia.com/zentama/control-panel-lcp-102-danfoss-display-inverter-kiped?extParam=ivf%3Dfalse%26keyword%3Dlcp+danfoss%26search_id%3D2025013023320395B43E7F03282537D7CP%26src%3Dsearch")</f>
        <v>https://www.tokopedia.com/zentama/control-panel-lcp-102-danfoss-display-inverter-kiped?extParam=ivf%3Dfalse%26keyword%3Dlcp+danfoss%26search_id%3D2025013023320395B43E7F03282537D7CP%26src%3Dsearch</v>
      </c>
      <c r="L24" s="3" t="str">
        <f>IFERROR(__xludf.DUMMYFUNCTION("""COMPUTED_VALUE"""),"LCD Inverter AHU Danfoss Vignet, ini buat gantinya")</f>
        <v>LCD Inverter AHU Danfoss Vignet, ini buat gantinya</v>
      </c>
      <c r="M24" s="3" t="str">
        <f>IFERROR(__xludf.DUMMYFUNCTION("""COMPUTED_VALUE"""),"Approve")</f>
        <v>Approve</v>
      </c>
      <c r="N24" s="3" t="str">
        <f>IFERROR(__xludf.DUMMYFUNCTION("""COMPUTED_VALUE"""),"Normal")</f>
        <v>Normal</v>
      </c>
      <c r="O24" s="3" t="str">
        <f>IFERROR(__xludf.DUMMYFUNCTION("""COMPUTED_VALUE"""),"Non Urgent")</f>
        <v>Non Urgent</v>
      </c>
    </row>
    <row r="25">
      <c r="A25" s="4">
        <f>IFERROR(__xludf.DUMMYFUNCTION("""COMPUTED_VALUE"""),45688.2850531713)</f>
        <v>45688.28505</v>
      </c>
      <c r="B25" s="3" t="str">
        <f>IFERROR(__xludf.DUMMYFUNCTION("""COMPUTED_VALUE"""),"RIABR0004")</f>
        <v>RIABR0004</v>
      </c>
      <c r="C25" s="3" t="str">
        <f>IFERROR(__xludf.DUMMYFUNCTION("""COMPUTED_VALUE"""),"EJO")</f>
        <v>EJO</v>
      </c>
      <c r="D25" s="3" t="str">
        <f>IFERROR(__xludf.DUMMYFUNCTION("""COMPUTED_VALUE"""),"EJO/2024/08/49")</f>
        <v>EJO/2024/08/49</v>
      </c>
      <c r="E25" s="3" t="str">
        <f>IFERROR(__xludf.DUMMYFUNCTION("""COMPUTED_VALUE"""),"Produksi")</f>
        <v>Produksi</v>
      </c>
      <c r="F25" s="3" t="str">
        <f>IFERROR(__xludf.DUMMYFUNCTION("""COMPUTED_VALUE"""),"Baterai Lampu Emergency")</f>
        <v>Baterai Lampu Emergency</v>
      </c>
      <c r="G25" s="3" t="str">
        <f>IFERROR(__xludf.DUMMYFUNCTION("""COMPUTED_VALUE"""),"baterai nicad emergency TL biasa 6v hokistar")</f>
        <v>baterai nicad emergency TL biasa 6v hokistar</v>
      </c>
      <c r="H25" s="3" t="str">
        <f>IFERROR(__xludf.DUMMYFUNCTION("""COMPUTED_VALUE"""),"Hokistar")</f>
        <v>Hokistar</v>
      </c>
      <c r="I25" s="3">
        <f>IFERROR(__xludf.DUMMYFUNCTION("""COMPUTED_VALUE"""),10.0)</f>
        <v>10</v>
      </c>
      <c r="J25" s="3" t="str">
        <f>IFERROR(__xludf.DUMMYFUNCTION("""COMPUTED_VALUE"""),"Pcs")</f>
        <v>Pcs</v>
      </c>
      <c r="K25" s="5" t="str">
        <f>IFERROR(__xludf.DUMMYFUNCTION("""COMPUTED_VALUE"""),"https://www.tokopedia.com/solarwinid/baterai-nicad-emergency-tl-biasa-6v-hokistar?extParam=ivf%3Dfalse%26keyword%3Dhokistar+emergency%26search_id%3D20250130234919E5AF7B92904D6F2F3EKQ%26src%3Dsearch")</f>
        <v>https://www.tokopedia.com/solarwinid/baterai-nicad-emergency-tl-biasa-6v-hokistar?extParam=ivf%3Dfalse%26keyword%3Dhokistar+emergency%26search_id%3D20250130234919E5AF7B92904D6F2F3EKQ%26src%3Dsearch</v>
      </c>
      <c r="L25" s="3" t="str">
        <f>IFERROR(__xludf.DUMMYFUNCTION("""COMPUTED_VALUE"""),"Baterai Lampu Emergency Rusak Di Corridor Produksi")</f>
        <v>Baterai Lampu Emergency Rusak Di Corridor Produksi</v>
      </c>
      <c r="M25" s="3" t="str">
        <f>IFERROR(__xludf.DUMMYFUNCTION("""COMPUTED_VALUE"""),"Approve")</f>
        <v>Approve</v>
      </c>
      <c r="N25" s="3" t="str">
        <f>IFERROR(__xludf.DUMMYFUNCTION("""COMPUTED_VALUE"""),"Normal")</f>
        <v>Normal</v>
      </c>
      <c r="O25" s="3" t="str">
        <f>IFERROR(__xludf.DUMMYFUNCTION("""COMPUTED_VALUE"""),"Non Urgent")</f>
        <v>Non Urgent</v>
      </c>
    </row>
    <row r="26">
      <c r="A26" s="4">
        <f>IFERROR(__xludf.DUMMYFUNCTION("""COMPUTED_VALUE"""),45688.2909409375)</f>
        <v>45688.29094</v>
      </c>
      <c r="B26" s="3" t="str">
        <f>IFERROR(__xludf.DUMMYFUNCTION("""COMPUTED_VALUE"""),"RIABR0005")</f>
        <v>RIABR0005</v>
      </c>
      <c r="C26" s="3" t="str">
        <f>IFERROR(__xludf.DUMMYFUNCTION("""COMPUTED_VALUE"""),"EJO")</f>
        <v>EJO</v>
      </c>
      <c r="D26" s="3" t="str">
        <f>IFERROR(__xludf.DUMMYFUNCTION("""COMPUTED_VALUE"""),"EJO/2024/12/09")</f>
        <v>EJO/2024/12/09</v>
      </c>
      <c r="E26" s="3" t="str">
        <f>IFERROR(__xludf.DUMMYFUNCTION("""COMPUTED_VALUE"""),"HO")</f>
        <v>HO</v>
      </c>
      <c r="F26" s="3" t="str">
        <f>IFERROR(__xludf.DUMMYFUNCTION("""COMPUTED_VALUE"""),"Baterai Lampu Emergency")</f>
        <v>Baterai Lampu Emergency</v>
      </c>
      <c r="G26" s="3" t="str">
        <f>IFERROR(__xludf.DUMMYFUNCTION("""COMPUTED_VALUE"""),"baterai nicad emergency TL biasa 6v hokistar")</f>
        <v>baterai nicad emergency TL biasa 6v hokistar</v>
      </c>
      <c r="H26" s="3" t="str">
        <f>IFERROR(__xludf.DUMMYFUNCTION("""COMPUTED_VALUE"""),"Hokistar")</f>
        <v>Hokistar</v>
      </c>
      <c r="I26" s="3">
        <f>IFERROR(__xludf.DUMMYFUNCTION("""COMPUTED_VALUE"""),5.0)</f>
        <v>5</v>
      </c>
      <c r="J26" s="3" t="str">
        <f>IFERROR(__xludf.DUMMYFUNCTION("""COMPUTED_VALUE"""),"Pcs")</f>
        <v>Pcs</v>
      </c>
      <c r="K26" s="5" t="str">
        <f>IFERROR(__xludf.DUMMYFUNCTION("""COMPUTED_VALUE"""),"https://www.tokopedia.com/solarwinid/baterai-nicad-emergency-tl-biasa-6v-hokistar?extParam=ivf%3Dfalse%26keyword%3Dhokistar+emergency%26search_id%3D20250130234919E5AF7B92904D6F2F3EKQ%26src%3Dsearch")</f>
        <v>https://www.tokopedia.com/solarwinid/baterai-nicad-emergency-tl-biasa-6v-hokistar?extParam=ivf%3Dfalse%26keyword%3Dhokistar+emergency%26search_id%3D20250130234919E5AF7B92904D6F2F3EKQ%26src%3Dsearch</v>
      </c>
      <c r="L26" s="3" t="str">
        <f>IFERROR(__xludf.DUMMYFUNCTION("""COMPUTED_VALUE"""),"Baterai Lampu Emergency Rusak Di Corridor HO")</f>
        <v>Baterai Lampu Emergency Rusak Di Corridor HO</v>
      </c>
      <c r="M26" s="3" t="str">
        <f>IFERROR(__xludf.DUMMYFUNCTION("""COMPUTED_VALUE"""),"Approve")</f>
        <v>Approve</v>
      </c>
      <c r="N26" s="3" t="str">
        <f>IFERROR(__xludf.DUMMYFUNCTION("""COMPUTED_VALUE"""),"Normal")</f>
        <v>Normal</v>
      </c>
      <c r="O26" s="3" t="str">
        <f>IFERROR(__xludf.DUMMYFUNCTION("""COMPUTED_VALUE"""),"Non Urgent")</f>
        <v>Non Urgent</v>
      </c>
    </row>
    <row r="27">
      <c r="A27" s="4">
        <f>IFERROR(__xludf.DUMMYFUNCTION("""COMPUTED_VALUE"""),45688.29599300926)</f>
        <v>45688.29599</v>
      </c>
      <c r="B27" s="3" t="str">
        <f>IFERROR(__xludf.DUMMYFUNCTION("""COMPUTED_VALUE"""),"RIABR0006")</f>
        <v>RIABR0006</v>
      </c>
      <c r="C27" s="3" t="str">
        <f>IFERROR(__xludf.DUMMYFUNCTION("""COMPUTED_VALUE"""),"EJO")</f>
        <v>EJO</v>
      </c>
      <c r="D27" s="3" t="str">
        <f>IFERROR(__xludf.DUMMYFUNCTION("""COMPUTED_VALUE"""),"EJO/2024/12/09")</f>
        <v>EJO/2024/12/09</v>
      </c>
      <c r="E27" s="3" t="str">
        <f>IFERROR(__xludf.DUMMYFUNCTION("""COMPUTED_VALUE"""),"Tangga HO")</f>
        <v>Tangga HO</v>
      </c>
      <c r="F27" s="3" t="str">
        <f>IFERROR(__xludf.DUMMYFUNCTION("""COMPUTED_VALUE"""),"Lampu Emergency")</f>
        <v>Lampu Emergency</v>
      </c>
      <c r="G27" s="3" t="str">
        <f>IFERROR(__xludf.DUMMYFUNCTION("""COMPUTED_VALUE"""),"LAMPU EMERGENCY TL LED 16WATT - WATERPROOF IP65 - 1X 16 WATT")</f>
        <v>LAMPU EMERGENCY TL LED 16WATT - WATERPROOF IP65 - 1X 16 WATT</v>
      </c>
      <c r="H27" s="3" t="str">
        <f>IFERROR(__xludf.DUMMYFUNCTION("""COMPUTED_VALUE"""),"-")</f>
        <v>-</v>
      </c>
      <c r="I27" s="3">
        <f>IFERROR(__xludf.DUMMYFUNCTION("""COMPUTED_VALUE"""),5.0)</f>
        <v>5</v>
      </c>
      <c r="J27" s="3" t="str">
        <f>IFERROR(__xludf.DUMMYFUNCTION("""COMPUTED_VALUE"""),"Pcs")</f>
        <v>Pcs</v>
      </c>
      <c r="K27" s="5" t="str">
        <f>IFERROR(__xludf.DUMMYFUNCTION("""COMPUTED_VALUE"""),"https://www.tokopedia.com/asolusindo/lampu-emergency-tl-led-16watt-waterproof-ip65-1x-16-watt-b5e6e")</f>
        <v>https://www.tokopedia.com/asolusindo/lampu-emergency-tl-led-16watt-waterproof-ip65-1x-16-watt-b5e6e</v>
      </c>
      <c r="L27" s="3" t="str">
        <f>IFERROR(__xludf.DUMMYFUNCTION("""COMPUTED_VALUE"""),"Lampu Emergency Tangga Sudah Banyak Rusak")</f>
        <v>Lampu Emergency Tangga Sudah Banyak Rusak</v>
      </c>
      <c r="M27" s="3" t="str">
        <f>IFERROR(__xludf.DUMMYFUNCTION("""COMPUTED_VALUE"""),"Approve")</f>
        <v>Approve</v>
      </c>
      <c r="N27" s="3" t="str">
        <f>IFERROR(__xludf.DUMMYFUNCTION("""COMPUTED_VALUE"""),"Normal")</f>
        <v>Normal</v>
      </c>
      <c r="O27" s="3" t="str">
        <f>IFERROR(__xludf.DUMMYFUNCTION("""COMPUTED_VALUE"""),"Non Urgent")</f>
        <v>Non Urgent</v>
      </c>
    </row>
    <row r="28">
      <c r="A28" s="4">
        <f>IFERROR(__xludf.DUMMYFUNCTION("""COMPUTED_VALUE"""),45688.42307068287)</f>
        <v>45688.42307</v>
      </c>
      <c r="B28" s="3" t="str">
        <f>IFERROR(__xludf.DUMMYFUNCTION("""COMPUTED_VALUE"""),"ROSBR0006")</f>
        <v>ROSBR0006</v>
      </c>
      <c r="C28" s="3" t="str">
        <f>IFERROR(__xludf.DUMMYFUNCTION("""COMPUTED_VALUE"""),"EJO")</f>
        <v>EJO</v>
      </c>
      <c r="D28" s="3" t="str">
        <f>IFERROR(__xludf.DUMMYFUNCTION("""COMPUTED_VALUE"""),"2025/01/151")</f>
        <v>2025/01/151</v>
      </c>
      <c r="E28" s="3" t="str">
        <f>IFERROR(__xludf.DUMMYFUNCTION("""COMPUTED_VALUE"""),"Vial Washing")</f>
        <v>Vial Washing</v>
      </c>
      <c r="F28" s="3" t="str">
        <f>IFERROR(__xludf.DUMMYFUNCTION("""COMPUTED_VALUE"""),"Spray Gun CA")</f>
        <v>Spray Gun CA</v>
      </c>
      <c r="G28" s="3" t="str">
        <f>IFERROR(__xludf.DUMMYFUNCTION("""COMPUTED_VALUE"""),"DG-10 Kompresor Udara Gun 1/4 ""Air Duster Spray Gun - Tanpa Bubble")</f>
        <v>DG-10 Kompresor Udara Gun 1/4 "Air Duster Spray Gun - Tanpa Bubble</v>
      </c>
      <c r="H28" s="3" t="str">
        <f>IFERROR(__xludf.DUMMYFUNCTION("""COMPUTED_VALUE"""),"General")</f>
        <v>General</v>
      </c>
      <c r="I28" s="3">
        <f>IFERROR(__xludf.DUMMYFUNCTION("""COMPUTED_VALUE"""),2.0)</f>
        <v>2</v>
      </c>
      <c r="J28" s="3" t="str">
        <f>IFERROR(__xludf.DUMMYFUNCTION("""COMPUTED_VALUE"""),"Pcs")</f>
        <v>Pcs</v>
      </c>
      <c r="K28" s="5" t="str">
        <f>IFERROR(__xludf.DUMMYFUNCTION("""COMPUTED_VALUE"""),"https://www.tokopedia.com/peonyglodok/dg-10-kompresor-udara-gun-1-4-air-duster-spray-gun-tanpa-bubble")</f>
        <v>https://www.tokopedia.com/peonyglodok/dg-10-kompresor-udara-gun-1-4-air-duster-spray-gun-tanpa-bubble</v>
      </c>
      <c r="L28" s="3" t="str">
        <f>IFERROR(__xludf.DUMMYFUNCTION("""COMPUTED_VALUE"""),"-")</f>
        <v>-</v>
      </c>
      <c r="M28" s="3" t="str">
        <f>IFERROR(__xludf.DUMMYFUNCTION("""COMPUTED_VALUE"""),"Approve")</f>
        <v>Approve</v>
      </c>
      <c r="N28" s="3" t="str">
        <f>IFERROR(__xludf.DUMMYFUNCTION("""COMPUTED_VALUE"""),"Normal")</f>
        <v>Normal</v>
      </c>
      <c r="O28" s="3" t="str">
        <f>IFERROR(__xludf.DUMMYFUNCTION("""COMPUTED_VALUE"""),"Non Urgent")</f>
        <v>Non Urgent</v>
      </c>
    </row>
    <row r="29">
      <c r="A29" s="4">
        <f>IFERROR(__xludf.DUMMYFUNCTION("""COMPUTED_VALUE"""),45691.60329695602)</f>
        <v>45691.6033</v>
      </c>
      <c r="B29" s="3" t="str">
        <f>IFERROR(__xludf.DUMMYFUNCTION("""COMPUTED_VALUE"""),"MOBBR0013")</f>
        <v>MOBBR0013</v>
      </c>
      <c r="C29" s="3" t="str">
        <f>IFERROR(__xludf.DUMMYFUNCTION("""COMPUTED_VALUE"""),"EJO")</f>
        <v>EJO</v>
      </c>
      <c r="D29" s="3" t="str">
        <f>IFERROR(__xludf.DUMMYFUNCTION("""COMPUTED_VALUE"""),"EJO/2025/01/11")</f>
        <v>EJO/2025/01/11</v>
      </c>
      <c r="E29" s="3" t="str">
        <f>IFERROR(__xludf.DUMMYFUNCTION("""COMPUTED_VALUE"""),"WFI SKID")</f>
        <v>WFI SKID</v>
      </c>
      <c r="F29" s="3" t="str">
        <f>IFERROR(__xludf.DUMMYFUNCTION("""COMPUTED_VALUE"""),"PG Spirax Sarco")</f>
        <v>PG Spirax Sarco</v>
      </c>
      <c r="G29" s="3" t="str">
        <f>IFERROR(__xludf.DUMMYFUNCTION("""COMPUTED_VALUE"""),"Pressure gauge SPIRAX SARCO 4""- 10kg (drat 3/8""inch)")</f>
        <v>Pressure gauge SPIRAX SARCO 4"- 10kg (drat 3/8"inch)</v>
      </c>
      <c r="H29" s="3" t="str">
        <f>IFERROR(__xludf.DUMMYFUNCTION("""COMPUTED_VALUE"""),"SPIRAX SARCO")</f>
        <v>SPIRAX SARCO</v>
      </c>
      <c r="I29" s="3">
        <f>IFERROR(__xludf.DUMMYFUNCTION("""COMPUTED_VALUE"""),2.0)</f>
        <v>2</v>
      </c>
      <c r="J29" s="3" t="str">
        <f>IFERROR(__xludf.DUMMYFUNCTION("""COMPUTED_VALUE"""),"Pcs")</f>
        <v>Pcs</v>
      </c>
      <c r="K29" s="5" t="str">
        <f>IFERROR(__xludf.DUMMYFUNCTION("""COMPUTED_VALUE"""),"https://www.tokopedia.com/sinarberdikari/pressure-gauge-spirax-sarco-4-10kg-drat-3-8-inch")</f>
        <v>https://www.tokopedia.com/sinarberdikari/pressure-gauge-spirax-sarco-4-10kg-drat-3-8-inch</v>
      </c>
      <c r="L29" s="3" t="str">
        <f>IFERROR(__xludf.DUMMYFUNCTION("""COMPUTED_VALUE"""),"-")</f>
        <v>-</v>
      </c>
      <c r="M29" s="3" t="str">
        <f>IFERROR(__xludf.DUMMYFUNCTION("""COMPUTED_VALUE"""),"Approve")</f>
        <v>Approve</v>
      </c>
      <c r="N29" s="3" t="str">
        <f>IFERROR(__xludf.DUMMYFUNCTION("""COMPUTED_VALUE"""),"Normal")</f>
        <v>Normal</v>
      </c>
      <c r="O29" s="3" t="str">
        <f>IFERROR(__xludf.DUMMYFUNCTION("""COMPUTED_VALUE"""),"Non Urgent")</f>
        <v>Non Urgent</v>
      </c>
    </row>
    <row r="30">
      <c r="A30" s="4">
        <f>IFERROR(__xludf.DUMMYFUNCTION("""COMPUTED_VALUE"""),45691.621258287036)</f>
        <v>45691.62126</v>
      </c>
      <c r="B30" s="3" t="str">
        <f>IFERROR(__xludf.DUMMYFUNCTION("""COMPUTED_VALUE"""),"MOBBR0014")</f>
        <v>MOBBR0014</v>
      </c>
      <c r="C30" s="3" t="str">
        <f>IFERROR(__xludf.DUMMYFUNCTION("""COMPUTED_VALUE"""),"EJO")</f>
        <v>EJO</v>
      </c>
      <c r="D30" s="3" t="str">
        <f>IFERROR(__xludf.DUMMYFUNCTION("""COMPUTED_VALUE"""),"EJO/2024/12/161")</f>
        <v>EJO/2024/12/161</v>
      </c>
      <c r="E30" s="3" t="str">
        <f>IFERROR(__xludf.DUMMYFUNCTION("""COMPUTED_VALUE"""),"N2 Generator")</f>
        <v>N2 Generator</v>
      </c>
      <c r="F30" s="3" t="str">
        <f>IFERROR(__xludf.DUMMYFUNCTION("""COMPUTED_VALUE"""),"Male Connection")</f>
        <v>Male Connection</v>
      </c>
      <c r="G30" s="3" t="str">
        <f>IFERROR(__xludf.DUMMYFUNCTION("""COMPUTED_VALUE"""),"M6-MC-NPT4-316")</f>
        <v>M6-MC-NPT4-316</v>
      </c>
      <c r="H30" s="3" t="str">
        <f>IFERROR(__xludf.DUMMYFUNCTION("""COMPUTED_VALUE"""),"CIR-LOK")</f>
        <v>CIR-LOK</v>
      </c>
      <c r="I30" s="3">
        <f>IFERROR(__xludf.DUMMYFUNCTION("""COMPUTED_VALUE"""),6.0)</f>
        <v>6</v>
      </c>
      <c r="J30" s="3" t="str">
        <f>IFERROR(__xludf.DUMMYFUNCTION("""COMPUTED_VALUE"""),"Pcs")</f>
        <v>Pcs</v>
      </c>
      <c r="K30" s="5" t="str">
        <f>IFERROR(__xludf.DUMMYFUNCTION("""COMPUTED_VALUE"""),"https://www.hikelok.com/m6-mc-npt4-316-product/")</f>
        <v>https://www.hikelok.com/m6-mc-npt4-316-product/</v>
      </c>
      <c r="L30" s="3" t="str">
        <f>IFERROR(__xludf.DUMMYFUNCTION("""COMPUTED_VALUE"""),"-")</f>
        <v>-</v>
      </c>
      <c r="M30" s="3" t="str">
        <f>IFERROR(__xludf.DUMMYFUNCTION("""COMPUTED_VALUE"""),"Approve")</f>
        <v>Approve</v>
      </c>
      <c r="N30" s="3" t="str">
        <f>IFERROR(__xludf.DUMMYFUNCTION("""COMPUTED_VALUE"""),"Normal")</f>
        <v>Normal</v>
      </c>
      <c r="O30" s="3" t="str">
        <f>IFERROR(__xludf.DUMMYFUNCTION("""COMPUTED_VALUE"""),"Non Urgent")</f>
        <v>Non Urgent</v>
      </c>
    </row>
    <row r="31">
      <c r="A31" s="4">
        <f>IFERROR(__xludf.DUMMYFUNCTION("""COMPUTED_VALUE"""),45691.63591788194)</f>
        <v>45691.63592</v>
      </c>
      <c r="B31" s="3" t="str">
        <f>IFERROR(__xludf.DUMMYFUNCTION("""COMPUTED_VALUE"""),"MOBBR0015")</f>
        <v>MOBBR0015</v>
      </c>
      <c r="C31" s="3" t="str">
        <f>IFERROR(__xludf.DUMMYFUNCTION("""COMPUTED_VALUE"""),"EJO")</f>
        <v>EJO</v>
      </c>
      <c r="D31" s="3" t="str">
        <f>IFERROR(__xludf.DUMMYFUNCTION("""COMPUTED_VALUE"""),"EJO/2024/12/161")</f>
        <v>EJO/2024/12/161</v>
      </c>
      <c r="E31" s="3" t="str">
        <f>IFERROR(__xludf.DUMMYFUNCTION("""COMPUTED_VALUE"""),"N2 Generator")</f>
        <v>N2 Generator</v>
      </c>
      <c r="F31" s="3" t="str">
        <f>IFERROR(__xludf.DUMMYFUNCTION("""COMPUTED_VALUE"""),"Elbow Male Connection")</f>
        <v>Elbow Male Connection</v>
      </c>
      <c r="G31" s="3" t="str">
        <f>IFERROR(__xludf.DUMMYFUNCTION("""COMPUTED_VALUE"""),"6MM x 1/4 Male Elbow Connector Tube OD 6 MM x 1/4 NPT Stainless Steel")</f>
        <v>6MM x 1/4 Male Elbow Connector Tube OD 6 MM x 1/4 NPT Stainless Steel</v>
      </c>
      <c r="H31" s="3" t="str">
        <f>IFERROR(__xludf.DUMMYFUNCTION("""COMPUTED_VALUE"""),"FitLok")</f>
        <v>FitLok</v>
      </c>
      <c r="I31" s="3">
        <f>IFERROR(__xludf.DUMMYFUNCTION("""COMPUTED_VALUE"""),6.0)</f>
        <v>6</v>
      </c>
      <c r="J31" s="3" t="str">
        <f>IFERROR(__xludf.DUMMYFUNCTION("""COMPUTED_VALUE"""),"Pcs")</f>
        <v>Pcs</v>
      </c>
      <c r="K31" s="5" t="str">
        <f>IFERROR(__xludf.DUMMYFUNCTION("""COMPUTED_VALUE"""),"https://www.tokopedia.com/pusatpneumatic/6mm-x-1-4-male-elbow-connector-tube-od-6-mm-x-1-4-npt-stainless-steel")</f>
        <v>https://www.tokopedia.com/pusatpneumatic/6mm-x-1-4-male-elbow-connector-tube-od-6-mm-x-1-4-npt-stainless-steel</v>
      </c>
      <c r="L31" s="3" t="str">
        <f>IFERROR(__xludf.DUMMYFUNCTION("""COMPUTED_VALUE"""),"-")</f>
        <v>-</v>
      </c>
      <c r="M31" s="3" t="str">
        <f>IFERROR(__xludf.DUMMYFUNCTION("""COMPUTED_VALUE"""),"Approve")</f>
        <v>Approve</v>
      </c>
      <c r="N31" s="3" t="str">
        <f>IFERROR(__xludf.DUMMYFUNCTION("""COMPUTED_VALUE"""),"Normal")</f>
        <v>Normal</v>
      </c>
      <c r="O31" s="3" t="str">
        <f>IFERROR(__xludf.DUMMYFUNCTION("""COMPUTED_VALUE"""),"Non Urgent")</f>
        <v>Non Urgent</v>
      </c>
    </row>
    <row r="32">
      <c r="A32" s="4">
        <f>IFERROR(__xludf.DUMMYFUNCTION("""COMPUTED_VALUE"""),45691.657104432874)</f>
        <v>45691.6571</v>
      </c>
      <c r="B32" s="3" t="str">
        <f>IFERROR(__xludf.DUMMYFUNCTION("""COMPUTED_VALUE"""),"RIABR0007")</f>
        <v>RIABR0007</v>
      </c>
      <c r="C32" s="3" t="str">
        <f>IFERROR(__xludf.DUMMYFUNCTION("""COMPUTED_VALUE"""),"EJO")</f>
        <v>EJO</v>
      </c>
      <c r="D32" s="3" t="str">
        <f>IFERROR(__xludf.DUMMYFUNCTION("""COMPUTED_VALUE"""),"EJO/2024/12/138")</f>
        <v>EJO/2024/12/138</v>
      </c>
      <c r="E32" s="3" t="str">
        <f>IFERROR(__xludf.DUMMYFUNCTION("""COMPUTED_VALUE"""),"Cooling Water")</f>
        <v>Cooling Water</v>
      </c>
      <c r="F32" s="3" t="str">
        <f>IFERROR(__xludf.DUMMYFUNCTION("""COMPUTED_VALUE"""),"Solenoid Valve")</f>
        <v>Solenoid Valve</v>
      </c>
      <c r="G32" s="3" t="str">
        <f>IFERROR(__xludf.DUMMYFUNCTION("""COMPUTED_VALUE"""),"Brand yoshitake
Made in japan
Type DP-10
Voltase 110-220V, Size 1 inch
Press 0.05-1.0MPA
Fluid steam water oil.air
Max temp 180°©")</f>
        <v>Brand yoshitake
Made in japan
Type DP-10
Voltase 110-220V, Size 1 inch
Press 0.05-1.0MPA
Fluid steam water oil.air
Max temp 180°©</v>
      </c>
      <c r="H32" s="3" t="str">
        <f>IFERROR(__xludf.DUMMYFUNCTION("""COMPUTED_VALUE"""),"Yoshitake")</f>
        <v>Yoshitake</v>
      </c>
      <c r="I32" s="3">
        <f>IFERROR(__xludf.DUMMYFUNCTION("""COMPUTED_VALUE"""),3.0)</f>
        <v>3</v>
      </c>
      <c r="J32" s="3" t="str">
        <f>IFERROR(__xludf.DUMMYFUNCTION("""COMPUTED_VALUE"""),"Pcs")</f>
        <v>Pcs</v>
      </c>
      <c r="K32" s="5" t="str">
        <f>IFERROR(__xludf.DUMMYFUNCTION("""COMPUTED_VALUE"""),"https://www.tokopedia.com/valveshop95/solenoid-valve-steam-yoshitake-25a-dp10-ac110v-ac220v-drat-1-inch?extParam=ivf%3Dfalse%26keyword%3Dsolenoid+valve+1+inch&amp;src=topads")</f>
        <v>https://www.tokopedia.com/valveshop95/solenoid-valve-steam-yoshitake-25a-dp10-ac110v-ac220v-drat-1-inch?extParam=ivf%3Dfalse%26keyword%3Dsolenoid+valve+1+inch&amp;src=topads</v>
      </c>
      <c r="L32" s="3" t="str">
        <f>IFERROR(__xludf.DUMMYFUNCTION("""COMPUTED_VALUE"""),"SV Bocor")</f>
        <v>SV Bocor</v>
      </c>
      <c r="M32" s="3" t="str">
        <f>IFERROR(__xludf.DUMMYFUNCTION("""COMPUTED_VALUE"""),"Approve")</f>
        <v>Approve</v>
      </c>
      <c r="N32" s="3" t="str">
        <f>IFERROR(__xludf.DUMMYFUNCTION("""COMPUTED_VALUE"""),"Normal")</f>
        <v>Normal</v>
      </c>
      <c r="O32" s="3" t="str">
        <f>IFERROR(__xludf.DUMMYFUNCTION("""COMPUTED_VALUE"""),"Non Urgent")</f>
        <v>Non Urgent</v>
      </c>
    </row>
    <row r="33">
      <c r="A33" s="4">
        <f>IFERROR(__xludf.DUMMYFUNCTION("""COMPUTED_VALUE"""),45691.94213246529)</f>
        <v>45691.94213</v>
      </c>
      <c r="B33" s="3" t="str">
        <f>IFERROR(__xludf.DUMMYFUNCTION("""COMPUTED_VALUE"""),"MRNBR0002")</f>
        <v>MRNBR0002</v>
      </c>
      <c r="C33" s="3" t="str">
        <f>IFERROR(__xludf.DUMMYFUNCTION("""COMPUTED_VALUE"""),"EJO")</f>
        <v>EJO</v>
      </c>
      <c r="D33" s="3" t="str">
        <f>IFERROR(__xludf.DUMMYFUNCTION("""COMPUTED_VALUE"""),"Ejo/2025/01/118")</f>
        <v>Ejo/2025/01/118</v>
      </c>
      <c r="E33" s="3" t="str">
        <f>IFERROR(__xludf.DUMMYFUNCTION("""COMPUTED_VALUE"""),"hot water")</f>
        <v>hot water</v>
      </c>
      <c r="F33" s="3" t="str">
        <f>IFERROR(__xludf.DUMMYFUNCTION("""COMPUTED_VALUE"""),"wafer check valve")</f>
        <v>wafer check valve</v>
      </c>
      <c r="G33" s="3" t="str">
        <f>IFERROR(__xludf.DUMMYFUNCTION("""COMPUTED_VALUE"""),"DN50")</f>
        <v>DN50</v>
      </c>
      <c r="H33" s="3" t="str">
        <f>IFERROR(__xludf.DUMMYFUNCTION("""COMPUTED_VALUE"""),"yumming valve")</f>
        <v>yumming valve</v>
      </c>
      <c r="I33" s="3">
        <f>IFERROR(__xludf.DUMMYFUNCTION("""COMPUTED_VALUE"""),2.0)</f>
        <v>2</v>
      </c>
      <c r="J33" s="3" t="str">
        <f>IFERROR(__xludf.DUMMYFUNCTION("""COMPUTED_VALUE"""),"pcs")</f>
        <v>pcs</v>
      </c>
      <c r="K33" s="5" t="str">
        <f>IFERROR(__xludf.DUMMYFUNCTION("""COMPUTED_VALUE"""),"http://www.ym-valves.com/products/check-valve/wafer-check-valve.html?gad_source=1&amp;gclid=CjwKCAiA74G9BhAEEiwA8kNfpaR5a7CEedeP0AynfYoOX9Px7-Ywgh2dQUILGPSU-R4473c5i1_NUxoC0AYQAvD_BwE")</f>
        <v>http://www.ym-valves.com/products/check-valve/wafer-check-valve.html?gad_source=1&amp;gclid=CjwKCAiA74G9BhAEEiwA8kNfpaR5a7CEedeP0AynfYoOX9Px7-Ywgh2dQUILGPSU-R4473c5i1_NUxoC0AYQAvD_BwE</v>
      </c>
      <c r="L33" s="3" t="str">
        <f>IFERROR(__xludf.DUMMYFUNCTION("""COMPUTED_VALUE"""),"hot water")</f>
        <v>hot water</v>
      </c>
      <c r="M33" s="3" t="str">
        <f>IFERROR(__xludf.DUMMYFUNCTION("""COMPUTED_VALUE"""),"Approve")</f>
        <v>Approve</v>
      </c>
      <c r="N33" s="3" t="str">
        <f>IFERROR(__xludf.DUMMYFUNCTION("""COMPUTED_VALUE"""),"Normal")</f>
        <v>Normal</v>
      </c>
      <c r="O33" s="3" t="str">
        <f>IFERROR(__xludf.DUMMYFUNCTION("""COMPUTED_VALUE"""),"Non Urgent")</f>
        <v>Non Urgent</v>
      </c>
    </row>
    <row r="34">
      <c r="A34" s="4">
        <f>IFERROR(__xludf.DUMMYFUNCTION("""COMPUTED_VALUE"""),45692.57083173611)</f>
        <v>45692.57083</v>
      </c>
      <c r="B34" s="3" t="str">
        <f>IFERROR(__xludf.DUMMYFUNCTION("""COMPUTED_VALUE"""),"RIABR0008")</f>
        <v>RIABR0008</v>
      </c>
      <c r="C34" s="3" t="str">
        <f>IFERROR(__xludf.DUMMYFUNCTION("""COMPUTED_VALUE"""),"EJO")</f>
        <v>EJO</v>
      </c>
      <c r="D34" s="3" t="str">
        <f>IFERROR(__xludf.DUMMYFUNCTION("""COMPUTED_VALUE"""),"EJO/2025/01/34")</f>
        <v>EJO/2025/01/34</v>
      </c>
      <c r="E34" s="3" t="str">
        <f>IFERROR(__xludf.DUMMYFUNCTION("""COMPUTED_VALUE"""),"Hot Water")</f>
        <v>Hot Water</v>
      </c>
      <c r="F34" s="3" t="str">
        <f>IFERROR(__xludf.DUMMYFUNCTION("""COMPUTED_VALUE"""),"Filter Panel")</f>
        <v>Filter Panel</v>
      </c>
      <c r="G34" s="3" t="str">
        <f>IFERROR(__xludf.DUMMYFUNCTION("""COMPUTED_VALUE"""),"Filter Panel Size 4 Inch untuk ukuran fan 12 x 12")</f>
        <v>Filter Panel Size 4 Inch untuk ukuran fan 12 x 12</v>
      </c>
      <c r="H34" s="3" t="str">
        <f>IFERROR(__xludf.DUMMYFUNCTION("""COMPUTED_VALUE"""),"-")</f>
        <v>-</v>
      </c>
      <c r="I34" s="3">
        <f>IFERROR(__xludf.DUMMYFUNCTION("""COMPUTED_VALUE"""),2.0)</f>
        <v>2</v>
      </c>
      <c r="J34" s="3" t="str">
        <f>IFERROR(__xludf.DUMMYFUNCTION("""COMPUTED_VALUE"""),"Pcs")</f>
        <v>Pcs</v>
      </c>
      <c r="K34" s="5" t="str">
        <f>IFERROR(__xludf.DUMMYFUNCTION("""COMPUTED_VALUE"""),"https://www.tokopedia.com/lfi/filter-exhaust-fan-panel-4-inch-uk-12-cm?extParam=ivf%3Dfalse%26keyword%3Dexhaust+fan+panel%26search_id%3D20241226002341AD7B26CBBF4C2F0F7CLS%26src%3Dsearch")</f>
        <v>https://www.tokopedia.com/lfi/filter-exhaust-fan-panel-4-inch-uk-12-cm?extParam=ivf%3Dfalse%26keyword%3Dexhaust+fan+panel%26search_id%3D20241226002341AD7B26CBBF4C2F0F7CLS%26src%3Dsearch</v>
      </c>
      <c r="L34" s="3" t="str">
        <f>IFERROR(__xludf.DUMMYFUNCTION("""COMPUTED_VALUE"""),"EJO Improvement")</f>
        <v>EJO Improvement</v>
      </c>
      <c r="M34" s="3" t="str">
        <f>IFERROR(__xludf.DUMMYFUNCTION("""COMPUTED_VALUE"""),"Approve")</f>
        <v>Approve</v>
      </c>
      <c r="N34" s="3" t="str">
        <f>IFERROR(__xludf.DUMMYFUNCTION("""COMPUTED_VALUE"""),"Normal")</f>
        <v>Normal</v>
      </c>
      <c r="O34" s="3" t="str">
        <f>IFERROR(__xludf.DUMMYFUNCTION("""COMPUTED_VALUE"""),"Non Urgent")</f>
        <v>Non Urgent</v>
      </c>
    </row>
    <row r="35">
      <c r="A35" s="4">
        <f>IFERROR(__xludf.DUMMYFUNCTION("""COMPUTED_VALUE"""),45692.575986041666)</f>
        <v>45692.57599</v>
      </c>
      <c r="B35" s="3" t="str">
        <f>IFERROR(__xludf.DUMMYFUNCTION("""COMPUTED_VALUE"""),"RIABR0009")</f>
        <v>RIABR0009</v>
      </c>
      <c r="C35" s="3" t="str">
        <f>IFERROR(__xludf.DUMMYFUNCTION("""COMPUTED_VALUE"""),"EJO")</f>
        <v>EJO</v>
      </c>
      <c r="D35" s="3" t="str">
        <f>IFERROR(__xludf.DUMMYFUNCTION("""COMPUTED_VALUE"""),"EJO/2024/08/58")</f>
        <v>EJO/2024/08/58</v>
      </c>
      <c r="E35" s="3" t="str">
        <f>IFERROR(__xludf.DUMMYFUNCTION("""COMPUTED_VALUE"""),"WWTP")</f>
        <v>WWTP</v>
      </c>
      <c r="F35" s="3" t="str">
        <f>IFERROR(__xludf.DUMMYFUNCTION("""COMPUTED_VALUE"""),"Pompa Transfer")</f>
        <v>Pompa Transfer</v>
      </c>
      <c r="G35" s="3" t="str">
        <f>IFERROR(__xludf.DUMMYFUNCTION("""COMPUTED_VALUE"""),"CM 3-3 A-R-A-E AVBE C1-A-A-N")</f>
        <v>CM 3-3 A-R-A-E AVBE C1-A-A-N</v>
      </c>
      <c r="H35" s="3" t="str">
        <f>IFERROR(__xludf.DUMMYFUNCTION("""COMPUTED_VALUE"""),"Grundfos")</f>
        <v>Grundfos</v>
      </c>
      <c r="I35" s="3">
        <f>IFERROR(__xludf.DUMMYFUNCTION("""COMPUTED_VALUE"""),2.0)</f>
        <v>2</v>
      </c>
      <c r="J35" s="3" t="str">
        <f>IFERROR(__xludf.DUMMYFUNCTION("""COMPUTED_VALUE"""),"Pcs")</f>
        <v>Pcs</v>
      </c>
      <c r="K35" s="5" t="str">
        <f>IFERROR(__xludf.DUMMYFUNCTION("""COMPUTED_VALUE"""),"https://drive.google.com/file/d/1YGQNPS9CHgtje6FGEN-yKJfMxP3K-eEh/view?usp=drive_link")</f>
        <v>https://drive.google.com/file/d/1YGQNPS9CHgtje6FGEN-yKJfMxP3K-eEh/view?usp=drive_link</v>
      </c>
      <c r="L35" s="3" t="str">
        <f>IFERROR(__xludf.DUMMYFUNCTION("""COMPUTED_VALUE"""),"Pompa Trasnfer A rusak, beli 2 buat spare")</f>
        <v>Pompa Trasnfer A rusak, beli 2 buat spare</v>
      </c>
      <c r="M35" s="3" t="str">
        <f>IFERROR(__xludf.DUMMYFUNCTION("""COMPUTED_VALUE"""),"Approve")</f>
        <v>Approve</v>
      </c>
      <c r="N35" s="3" t="str">
        <f>IFERROR(__xludf.DUMMYFUNCTION("""COMPUTED_VALUE"""),"Normal")</f>
        <v>Normal</v>
      </c>
      <c r="O35" s="3" t="str">
        <f>IFERROR(__xludf.DUMMYFUNCTION("""COMPUTED_VALUE"""),"Non Urgent")</f>
        <v>Non Urgent</v>
      </c>
    </row>
    <row r="36">
      <c r="A36" s="4">
        <f>IFERROR(__xludf.DUMMYFUNCTION("""COMPUTED_VALUE"""),45692.60933953704)</f>
        <v>45692.60934</v>
      </c>
      <c r="B36" s="3" t="str">
        <f>IFERROR(__xludf.DUMMYFUNCTION("""COMPUTED_VALUE"""),"RIABR0010")</f>
        <v>RIABR0010</v>
      </c>
      <c r="C36" s="3" t="str">
        <f>IFERROR(__xludf.DUMMYFUNCTION("""COMPUTED_VALUE"""),"EJO")</f>
        <v>EJO</v>
      </c>
      <c r="D36" s="3" t="str">
        <f>IFERROR(__xludf.DUMMYFUNCTION("""COMPUTED_VALUE"""),"EJO/2024/08/58")</f>
        <v>EJO/2024/08/58</v>
      </c>
      <c r="E36" s="3" t="str">
        <f>IFERROR(__xludf.DUMMYFUNCTION("""COMPUTED_VALUE"""),"WWTP")</f>
        <v>WWTP</v>
      </c>
      <c r="F36" s="3" t="str">
        <f>IFERROR(__xludf.DUMMYFUNCTION("""COMPUTED_VALUE"""),"Pompa Transfer")</f>
        <v>Pompa Transfer</v>
      </c>
      <c r="G36" s="3" t="str">
        <f>IFERROR(__xludf.DUMMYFUNCTION("""COMPUTED_VALUE"""),"CM 3-3 A-R-A-E AVBE C1-A-A-N")</f>
        <v>CM 3-3 A-R-A-E AVBE C1-A-A-N</v>
      </c>
      <c r="H36" s="3" t="str">
        <f>IFERROR(__xludf.DUMMYFUNCTION("""COMPUTED_VALUE"""),"Grundfos")</f>
        <v>Grundfos</v>
      </c>
      <c r="I36" s="3">
        <f>IFERROR(__xludf.DUMMYFUNCTION("""COMPUTED_VALUE"""),2.0)</f>
        <v>2</v>
      </c>
      <c r="J36" s="3" t="str">
        <f>IFERROR(__xludf.DUMMYFUNCTION("""COMPUTED_VALUE"""),"Pcs")</f>
        <v>Pcs</v>
      </c>
      <c r="K36" s="5" t="str">
        <f>IFERROR(__xludf.DUMMYFUNCTION("""COMPUTED_VALUE"""),"https://drive.google.com/file/d/1YGQNPS9CHgtje6FGEN-yKJfMxP3K-eEh/view?usp=drive_link")</f>
        <v>https://drive.google.com/file/d/1YGQNPS9CHgtje6FGEN-yKJfMxP3K-eEh/view?usp=drive_link</v>
      </c>
      <c r="L36" s="3" t="str">
        <f>IFERROR(__xludf.DUMMYFUNCTION("""COMPUTED_VALUE"""),"Pompa Trasnfer A rusak, beli 2 buat spare")</f>
        <v>Pompa Trasnfer A rusak, beli 2 buat spare</v>
      </c>
      <c r="M36" s="3" t="str">
        <f>IFERROR(__xludf.DUMMYFUNCTION("""COMPUTED_VALUE"""),"Reject")</f>
        <v>Reject</v>
      </c>
      <c r="N36" s="3" t="str">
        <f>IFERROR(__xludf.DUMMYFUNCTION("""COMPUTED_VALUE"""),"Normal")</f>
        <v>Normal</v>
      </c>
      <c r="O36" s="3" t="str">
        <f>IFERROR(__xludf.DUMMYFUNCTION("""COMPUTED_VALUE"""),"Non Urgent")</f>
        <v>Non Urgent</v>
      </c>
    </row>
    <row r="37">
      <c r="A37" s="4">
        <f>IFERROR(__xludf.DUMMYFUNCTION("""COMPUTED_VALUE"""),45692.68169960647)</f>
        <v>45692.6817</v>
      </c>
      <c r="B37" s="3" t="str">
        <f>IFERROR(__xludf.DUMMYFUNCTION("""COMPUTED_VALUE"""),"RIABR0011")</f>
        <v>RIABR0011</v>
      </c>
      <c r="C37" s="3" t="str">
        <f>IFERROR(__xludf.DUMMYFUNCTION("""COMPUTED_VALUE"""),"EJO")</f>
        <v>EJO</v>
      </c>
      <c r="D37" s="3" t="str">
        <f>IFERROR(__xludf.DUMMYFUNCTION("""COMPUTED_VALUE"""),"EJO/2024/12/153")</f>
        <v>EJO/2024/12/153</v>
      </c>
      <c r="E37" s="3" t="str">
        <f>IFERROR(__xludf.DUMMYFUNCTION("""COMPUTED_VALUE"""),"WWTP")</f>
        <v>WWTP</v>
      </c>
      <c r="F37" s="3" t="str">
        <f>IFERROR(__xludf.DUMMYFUNCTION("""COMPUTED_VALUE"""),"Level Switch")</f>
        <v>Level Switch</v>
      </c>
      <c r="G37" s="3" t="str">
        <f>IFERROR(__xludf.DUMMYFUNCTION("""COMPUTED_VALUE"""),"Sensor Level dan Control Unit Tangki Naocl. Merk Wingel ")</f>
        <v>Sensor Level dan Control Unit Tangki Naocl. Merk Wingel </v>
      </c>
      <c r="H37" s="3" t="str">
        <f>IFERROR(__xludf.DUMMYFUNCTION("""COMPUTED_VALUE"""),"Wingel")</f>
        <v>Wingel</v>
      </c>
      <c r="I37" s="3">
        <f>IFERROR(__xludf.DUMMYFUNCTION("""COMPUTED_VALUE"""),2.0)</f>
        <v>2</v>
      </c>
      <c r="J37" s="3" t="str">
        <f>IFERROR(__xludf.DUMMYFUNCTION("""COMPUTED_VALUE"""),"Set")</f>
        <v>Set</v>
      </c>
      <c r="K37" s="5" t="str">
        <f>IFERROR(__xludf.DUMMYFUNCTION("""COMPUTED_VALUE"""),"https://drive.google.com/file/d/1YE9To6RWOVeSyT_g1aFXGlp7-pF3EBto/view?usp=drivesdk")</f>
        <v>https://drive.google.com/file/d/1YE9To6RWOVeSyT_g1aFXGlp7-pF3EBto/view?usp=drivesdk</v>
      </c>
      <c r="L37" s="3" t="str">
        <f>IFERROR(__xludf.DUMMYFUNCTION("""COMPUTED_VALUE"""),"Level Switch Naocl dan SMBS perlu ganti.")</f>
        <v>Level Switch Naocl dan SMBS perlu ganti.</v>
      </c>
      <c r="M37" s="3" t="str">
        <f>IFERROR(__xludf.DUMMYFUNCTION("""COMPUTED_VALUE"""),"Approve")</f>
        <v>Approve</v>
      </c>
      <c r="N37" s="3" t="str">
        <f>IFERROR(__xludf.DUMMYFUNCTION("""COMPUTED_VALUE"""),"Normal")</f>
        <v>Normal</v>
      </c>
      <c r="O37" s="3" t="str">
        <f>IFERROR(__xludf.DUMMYFUNCTION("""COMPUTED_VALUE"""),"Non Urgent")</f>
        <v>Non Urgent</v>
      </c>
    </row>
    <row r="38">
      <c r="A38" s="4">
        <f>IFERROR(__xludf.DUMMYFUNCTION("""COMPUTED_VALUE"""),45694.59800484953)</f>
        <v>45694.598</v>
      </c>
      <c r="B38" s="3" t="str">
        <f>IFERROR(__xludf.DUMMYFUNCTION("""COMPUTED_VALUE"""),"NDSBR0001")</f>
        <v>NDSBR0001</v>
      </c>
      <c r="C38" s="3" t="str">
        <f>IFERROR(__xludf.DUMMYFUNCTION("""COMPUTED_VALUE"""),"EJO")</f>
        <v>EJO</v>
      </c>
      <c r="D38" s="3" t="str">
        <f>IFERROR(__xludf.DUMMYFUNCTION("""COMPUTED_VALUE"""),"EJO/2025/01/68")</f>
        <v>EJO/2025/01/68</v>
      </c>
      <c r="E38" s="3" t="str">
        <f>IFERROR(__xludf.DUMMYFUNCTION("""COMPUTED_VALUE"""),"Filling")</f>
        <v>Filling</v>
      </c>
      <c r="F38" s="3" t="str">
        <f>IFERROR(__xludf.DUMMYFUNCTION("""COMPUTED_VALUE"""),"Clamp Ferrule")</f>
        <v>Clamp Ferrule</v>
      </c>
      <c r="G38" s="3" t="str">
        <f>IFERROR(__xludf.DUMMYFUNCTION("""COMPUTED_VALUE"""),"sanitary, ukuran 3/4 inch")</f>
        <v>sanitary, ukuran 3/4 inch</v>
      </c>
      <c r="H38" s="3" t="str">
        <f>IFERROR(__xludf.DUMMYFUNCTION("""COMPUTED_VALUE"""),"-")</f>
        <v>-</v>
      </c>
      <c r="I38" s="3">
        <f>IFERROR(__xludf.DUMMYFUNCTION("""COMPUTED_VALUE"""),10.0)</f>
        <v>10</v>
      </c>
      <c r="J38" s="3" t="str">
        <f>IFERROR(__xludf.DUMMYFUNCTION("""COMPUTED_VALUE"""),"Pcs")</f>
        <v>Pcs</v>
      </c>
      <c r="K38" s="5" t="str">
        <f>IFERROR(__xludf.DUMMYFUNCTION("""COMPUTED_VALUE"""),"https://www.tokopedia.com/cahabtek/clamp-ferrule-sanitary-3-4-inch")</f>
        <v>https://www.tokopedia.com/cahabtek/clamp-ferrule-sanitary-3-4-inch</v>
      </c>
      <c r="L38" s="3" t="str">
        <f>IFERROR(__xludf.DUMMYFUNCTION("""COMPUTED_VALUE"""),"-")</f>
        <v>-</v>
      </c>
      <c r="M38" s="3" t="str">
        <f>IFERROR(__xludf.DUMMYFUNCTION("""COMPUTED_VALUE"""),"Approve")</f>
        <v>Approve</v>
      </c>
      <c r="N38" s="3" t="str">
        <f>IFERROR(__xludf.DUMMYFUNCTION("""COMPUTED_VALUE"""),"Normal")</f>
        <v>Normal</v>
      </c>
      <c r="O38" s="3" t="str">
        <f>IFERROR(__xludf.DUMMYFUNCTION("""COMPUTED_VALUE"""),"Non Urgent")</f>
        <v>Non Urgent</v>
      </c>
    </row>
    <row r="39">
      <c r="A39" s="4">
        <f>IFERROR(__xludf.DUMMYFUNCTION("""COMPUTED_VALUE"""),45695.55478181713)</f>
        <v>45695.55478</v>
      </c>
      <c r="B39" s="3" t="str">
        <f>IFERROR(__xludf.DUMMYFUNCTION("""COMPUTED_VALUE"""),"SFHBR0003")</f>
        <v>SFHBR0003</v>
      </c>
      <c r="C39" s="3" t="str">
        <f>IFERROR(__xludf.DUMMYFUNCTION("""COMPUTED_VALUE"""),"Consumable")</f>
        <v>Consumable</v>
      </c>
      <c r="D39" s="3" t="str">
        <f>IFERROR(__xludf.DUMMYFUNCTION("""COMPUTED_VALUE"""),"-")</f>
        <v>-</v>
      </c>
      <c r="E39" s="3" t="str">
        <f>IFERROR(__xludf.DUMMYFUNCTION("""COMPUTED_VALUE"""),"lantai 2")</f>
        <v>lantai 2</v>
      </c>
      <c r="F39" s="3" t="str">
        <f>IFERROR(__xludf.DUMMYFUNCTION("""COMPUTED_VALUE"""),"coumpond sandwich")</f>
        <v>coumpond sandwich</v>
      </c>
      <c r="G39" s="3" t="str">
        <f>IFERROR(__xludf.DUMMYFUNCTION("""COMPUTED_VALUE"""),"cuompond")</f>
        <v>cuompond</v>
      </c>
      <c r="H39" s="3" t="str">
        <f>IFERROR(__xludf.DUMMYFUNCTION("""COMPUTED_VALUE"""),"rubbing ")</f>
        <v>rubbing </v>
      </c>
      <c r="I39" s="3">
        <f>IFERROR(__xludf.DUMMYFUNCTION("""COMPUTED_VALUE"""),4.0)</f>
        <v>4</v>
      </c>
      <c r="J39" s="3" t="str">
        <f>IFERROR(__xludf.DUMMYFUNCTION("""COMPUTED_VALUE"""),"kg")</f>
        <v>kg</v>
      </c>
      <c r="K39" s="5" t="str">
        <f>IFERROR(__xludf.DUMMYFUNCTION("""COMPUTED_VALUE"""),"https://tokopedia.link/nPYHUFgOMQb")</f>
        <v>https://tokopedia.link/nPYHUFgOMQb</v>
      </c>
      <c r="L39" s="3" t="str">
        <f>IFERROR(__xludf.DUMMYFUNCTION("""COMPUTED_VALUE"""),"-")</f>
        <v>-</v>
      </c>
      <c r="M39" s="3" t="str">
        <f>IFERROR(__xludf.DUMMYFUNCTION("""COMPUTED_VALUE"""),"Approve")</f>
        <v>Approve</v>
      </c>
      <c r="N39" s="3" t="str">
        <f>IFERROR(__xludf.DUMMYFUNCTION("""COMPUTED_VALUE"""),"Normal")</f>
        <v>Normal</v>
      </c>
      <c r="O39" s="3" t="str">
        <f>IFERROR(__xludf.DUMMYFUNCTION("""COMPUTED_VALUE"""),"Non Urgent")</f>
        <v>Non Urgent</v>
      </c>
    </row>
    <row r="40">
      <c r="A40" s="4">
        <f>IFERROR(__xludf.DUMMYFUNCTION("""COMPUTED_VALUE"""),45695.56057479166)</f>
        <v>45695.56057</v>
      </c>
      <c r="B40" s="3" t="str">
        <f>IFERROR(__xludf.DUMMYFUNCTION("""COMPUTED_VALUE"""),"SFHBR0004")</f>
        <v>SFHBR0004</v>
      </c>
      <c r="C40" s="3" t="str">
        <f>IFERROR(__xludf.DUMMYFUNCTION("""COMPUTED_VALUE"""),"Consumable")</f>
        <v>Consumable</v>
      </c>
      <c r="D40" s="3" t="str">
        <f>IFERROR(__xludf.DUMMYFUNCTION("""COMPUTED_VALUE"""),"-")</f>
        <v>-</v>
      </c>
      <c r="E40" s="3" t="str">
        <f>IFERROR(__xludf.DUMMYFUNCTION("""COMPUTED_VALUE"""),"lantai 2")</f>
        <v>lantai 2</v>
      </c>
      <c r="F40" s="3" t="str">
        <f>IFERROR(__xludf.DUMMYFUNCTION("""COMPUTED_VALUE"""),"semen putih")</f>
        <v>semen putih</v>
      </c>
      <c r="G40" s="3" t="str">
        <f>IFERROR(__xludf.DUMMYFUNCTION("""COMPUTED_VALUE"""),"dempul buat dinding")</f>
        <v>dempul buat dinding</v>
      </c>
      <c r="H40" s="3" t="str">
        <f>IFERROR(__xludf.DUMMYFUNCTION("""COMPUTED_VALUE"""),"tiga roda")</f>
        <v>tiga roda</v>
      </c>
      <c r="I40" s="3">
        <f>IFERROR(__xludf.DUMMYFUNCTION("""COMPUTED_VALUE"""),80.0)</f>
        <v>80</v>
      </c>
      <c r="J40" s="3" t="str">
        <f>IFERROR(__xludf.DUMMYFUNCTION("""COMPUTED_VALUE"""),"kg")</f>
        <v>kg</v>
      </c>
      <c r="K40" s="5" t="str">
        <f>IFERROR(__xludf.DUMMYFUNCTION("""COMPUTED_VALUE"""),"https://tokopedia.link/dObyhZVOMQb")</f>
        <v>https://tokopedia.link/dObyhZVOMQb</v>
      </c>
      <c r="L40" s="3" t="str">
        <f>IFERROR(__xludf.DUMMYFUNCTION("""COMPUTED_VALUE"""),"-")</f>
        <v>-</v>
      </c>
      <c r="M40" s="3" t="str">
        <f>IFERROR(__xludf.DUMMYFUNCTION("""COMPUTED_VALUE"""),"Approve")</f>
        <v>Approve</v>
      </c>
      <c r="N40" s="3" t="str">
        <f>IFERROR(__xludf.DUMMYFUNCTION("""COMPUTED_VALUE"""),"Normal")</f>
        <v>Normal</v>
      </c>
      <c r="O40" s="3" t="str">
        <f>IFERROR(__xludf.DUMMYFUNCTION("""COMPUTED_VALUE"""),"Non Urgent")</f>
        <v>Non Urgent</v>
      </c>
    </row>
    <row r="41">
      <c r="A41" s="4">
        <f>IFERROR(__xludf.DUMMYFUNCTION("""COMPUTED_VALUE"""),45696.26774259259)</f>
        <v>45696.26774</v>
      </c>
      <c r="B41" s="3" t="str">
        <f>IFERROR(__xludf.DUMMYFUNCTION("""COMPUTED_VALUE"""),"RIABR0012")</f>
        <v>RIABR0012</v>
      </c>
      <c r="C41" s="3" t="str">
        <f>IFERROR(__xludf.DUMMYFUNCTION("""COMPUTED_VALUE"""),"EJO")</f>
        <v>EJO</v>
      </c>
      <c r="D41" s="3" t="str">
        <f>IFERROR(__xludf.DUMMYFUNCTION("""COMPUTED_VALUE"""),"EJO/2024/12/68")</f>
        <v>EJO/2024/12/68</v>
      </c>
      <c r="E41" s="3" t="str">
        <f>IFERROR(__xludf.DUMMYFUNCTION("""COMPUTED_VALUE"""),"Building Lt 4")</f>
        <v>Building Lt 4</v>
      </c>
      <c r="F41" s="3" t="str">
        <f>IFERROR(__xludf.DUMMYFUNCTION("""COMPUTED_VALUE"""),"Ballast")</f>
        <v>Ballast</v>
      </c>
      <c r="G41" s="3" t="str">
        <f>IFERROR(__xludf.DUMMYFUNCTION("""COMPUTED_VALUE"""),"Talled SMPS 300 TLD 12 volt Driver")</f>
        <v>Talled SMPS 300 TLD 12 volt Driver</v>
      </c>
      <c r="H41" s="3" t="str">
        <f>IFERROR(__xludf.DUMMYFUNCTION("""COMPUTED_VALUE"""),"Talled")</f>
        <v>Talled</v>
      </c>
      <c r="I41" s="3">
        <f>IFERROR(__xludf.DUMMYFUNCTION("""COMPUTED_VALUE"""),2.0)</f>
        <v>2</v>
      </c>
      <c r="J41" s="3" t="str">
        <f>IFERROR(__xludf.DUMMYFUNCTION("""COMPUTED_VALUE"""),"Pcs")</f>
        <v>Pcs</v>
      </c>
      <c r="K41" s="5" t="str">
        <f>IFERROR(__xludf.DUMMYFUNCTION("""COMPUTED_VALUE"""),"https://www.tokopedia.com/industrialgs/talled-smps-300-tld-12-volt-driver-led-waterproof-trafo-made-in-korea-1729968416309740548?extParam=ivf%3Dfalse%26keyword%3Dtalled+smps+300+tld+12%26search_id%3D20250207232458E5AF7B92904D6F00CUT4%26src%3Dsearch")</f>
        <v>https://www.tokopedia.com/industrialgs/talled-smps-300-tld-12-volt-driver-led-waterproof-trafo-made-in-korea-1729968416309740548?extParam=ivf%3Dfalse%26keyword%3Dtalled+smps+300+tld+12%26search_id%3D20250207232458E5AF7B92904D6F00CUT4%26src%3Dsearch</v>
      </c>
      <c r="L41" s="3" t="str">
        <f>IFERROR(__xludf.DUMMYFUNCTION("""COMPUTED_VALUE"""),"Ballast rusak")</f>
        <v>Ballast rusak</v>
      </c>
      <c r="M41" s="3" t="str">
        <f>IFERROR(__xludf.DUMMYFUNCTION("""COMPUTED_VALUE"""),"Approve")</f>
        <v>Approve</v>
      </c>
      <c r="N41" s="3" t="str">
        <f>IFERROR(__xludf.DUMMYFUNCTION("""COMPUTED_VALUE"""),"Normal")</f>
        <v>Normal</v>
      </c>
      <c r="O41" s="3" t="str">
        <f>IFERROR(__xludf.DUMMYFUNCTION("""COMPUTED_VALUE"""),"Non Urgent")</f>
        <v>Non Urgent</v>
      </c>
    </row>
    <row r="42">
      <c r="A42" s="4">
        <f>IFERROR(__xludf.DUMMYFUNCTION("""COMPUTED_VALUE"""),45696.27971736111)</f>
        <v>45696.27972</v>
      </c>
      <c r="B42" s="3" t="str">
        <f>IFERROR(__xludf.DUMMYFUNCTION("""COMPUTED_VALUE"""),"RIABR0013")</f>
        <v>RIABR0013</v>
      </c>
      <c r="C42" s="3" t="str">
        <f>IFERROR(__xludf.DUMMYFUNCTION("""COMPUTED_VALUE"""),"EJO")</f>
        <v>EJO</v>
      </c>
      <c r="D42" s="3" t="str">
        <f>IFERROR(__xludf.DUMMYFUNCTION("""COMPUTED_VALUE"""),"EJO/2024/12/68")</f>
        <v>EJO/2024/12/68</v>
      </c>
      <c r="E42" s="3" t="str">
        <f>IFERROR(__xludf.DUMMYFUNCTION("""COMPUTED_VALUE"""),"Building Lt 4")</f>
        <v>Building Lt 4</v>
      </c>
      <c r="F42" s="3" t="str">
        <f>IFERROR(__xludf.DUMMYFUNCTION("""COMPUTED_VALUE"""),"Lampu LED")</f>
        <v>Lampu LED</v>
      </c>
      <c r="G42" s="3" t="str">
        <f>IFERROR(__xludf.DUMMYFUNCTION("""COMPUTED_VALUE"""),"SAMSUNG Lampu LED Modul 5730 SMD 12v DC 3 Mata 12 v volt Module")</f>
        <v>SAMSUNG Lampu LED Modul 5730 SMD 12v DC 3 Mata 12 v volt Module</v>
      </c>
      <c r="H42" s="3" t="str">
        <f>IFERROR(__xludf.DUMMYFUNCTION("""COMPUTED_VALUE"""),"Samsung")</f>
        <v>Samsung</v>
      </c>
      <c r="I42" s="3">
        <f>IFERROR(__xludf.DUMMYFUNCTION("""COMPUTED_VALUE"""),20.0)</f>
        <v>20</v>
      </c>
      <c r="J42" s="3" t="str">
        <f>IFERROR(__xludf.DUMMYFUNCTION("""COMPUTED_VALUE"""),"Pcs")</f>
        <v>Pcs</v>
      </c>
      <c r="K42" s="5" t="str">
        <f>IFERROR(__xludf.DUMMYFUNCTION("""COMPUTED_VALUE"""),"https://www.tokopedia.com/adn-official/samsung-lampu-led-modul-5730-smd-12v-dc-3-mata-12-v-volt-module-ori-putih?extParam=ivf%3Dfalse%26keyword%3Dlampu+led+12+volt+3+mata%26search_id%3D202502072340407D715104E2EFC91EFQIA%26src%3Dsearch")</f>
        <v>https://www.tokopedia.com/adn-official/samsung-lampu-led-modul-5730-smd-12v-dc-3-mata-12-v-volt-module-ori-putih?extParam=ivf%3Dfalse%26keyword%3Dlampu+led+12+volt+3+mata%26search_id%3D202502072340407D715104E2EFC91EFQIA%26src%3Dsearch</v>
      </c>
      <c r="L42" s="3" t="str">
        <f>IFERROR(__xludf.DUMMYFUNCTION("""COMPUTED_VALUE"""),"Lampu Buat Logo O Fonko")</f>
        <v>Lampu Buat Logo O Fonko</v>
      </c>
      <c r="M42" s="3" t="str">
        <f>IFERROR(__xludf.DUMMYFUNCTION("""COMPUTED_VALUE"""),"Approve")</f>
        <v>Approve</v>
      </c>
      <c r="N42" s="3" t="str">
        <f>IFERROR(__xludf.DUMMYFUNCTION("""COMPUTED_VALUE"""),"Normal")</f>
        <v>Normal</v>
      </c>
      <c r="O42" s="3" t="str">
        <f>IFERROR(__xludf.DUMMYFUNCTION("""COMPUTED_VALUE"""),"Non Urgent")</f>
        <v>Non Urgent</v>
      </c>
    </row>
    <row r="43">
      <c r="A43" s="4">
        <f>IFERROR(__xludf.DUMMYFUNCTION("""COMPUTED_VALUE"""),45696.29381403935)</f>
        <v>45696.29381</v>
      </c>
      <c r="B43" s="3" t="str">
        <f>IFERROR(__xludf.DUMMYFUNCTION("""COMPUTED_VALUE"""),"RIABR0014")</f>
        <v>RIABR0014</v>
      </c>
      <c r="C43" s="3" t="str">
        <f>IFERROR(__xludf.DUMMYFUNCTION("""COMPUTED_VALUE"""),"EJO")</f>
        <v>EJO</v>
      </c>
      <c r="D43" s="3" t="str">
        <f>IFERROR(__xludf.DUMMYFUNCTION("""COMPUTED_VALUE"""),"EJO/2025/02/45")</f>
        <v>EJO/2025/02/45</v>
      </c>
      <c r="E43" s="3" t="str">
        <f>IFERROR(__xludf.DUMMYFUNCTION("""COMPUTED_VALUE"""),"WWTP")</f>
        <v>WWTP</v>
      </c>
      <c r="F43" s="3" t="str">
        <f>IFERROR(__xludf.DUMMYFUNCTION("""COMPUTED_VALUE"""),"Solenoid Valve")</f>
        <v>Solenoid Valve</v>
      </c>
      <c r="G43" s="3" t="str">
        <f>IFERROR(__xludf.DUMMYFUNCTION("""COMPUTED_VALUE"""),"solenoid valve emc 1 inch stainless 304 220 VAC")</f>
        <v>solenoid valve emc 1 inch stainless 304 220 VAC</v>
      </c>
      <c r="H43" s="3" t="str">
        <f>IFERROR(__xludf.DUMMYFUNCTION("""COMPUTED_VALUE"""),"EMC")</f>
        <v>EMC</v>
      </c>
      <c r="I43" s="3">
        <f>IFERROR(__xludf.DUMMYFUNCTION("""COMPUTED_VALUE"""),3.0)</f>
        <v>3</v>
      </c>
      <c r="J43" s="3" t="str">
        <f>IFERROR(__xludf.DUMMYFUNCTION("""COMPUTED_VALUE"""),"Pcs")</f>
        <v>Pcs</v>
      </c>
      <c r="K43" s="5" t="str">
        <f>IFERROR(__xludf.DUMMYFUNCTION("""COMPUTED_VALUE"""),"https://www.tokopedia.com/ciptajayateknik/solenoid-valve-emc-1-inch-stainless-304?extParam=ivf%3Dfalse%26keyword%3Dsolenoid+valve+1+inch%26search_id%3D20250208000026D9721EA3F54E2D2075HO%26src%3Dsearch")</f>
        <v>https://www.tokopedia.com/ciptajayateknik/solenoid-valve-emc-1-inch-stainless-304?extParam=ivf%3Dfalse%26keyword%3Dsolenoid+valve+1+inch%26search_id%3D20250208000026D9721EA3F54E2D2075HO%26src%3Dsearch</v>
      </c>
      <c r="L43" s="3" t="str">
        <f>IFERROR(__xludf.DUMMYFUNCTION("""COMPUTED_VALUE"""),"SV WWTP Bocor ada 2 pcs")</f>
        <v>SV WWTP Bocor ada 2 pcs</v>
      </c>
      <c r="M43" s="3" t="str">
        <f>IFERROR(__xludf.DUMMYFUNCTION("""COMPUTED_VALUE"""),"Approve")</f>
        <v>Approve</v>
      </c>
      <c r="N43" s="3" t="str">
        <f>IFERROR(__xludf.DUMMYFUNCTION("""COMPUTED_VALUE"""),"Normal")</f>
        <v>Normal</v>
      </c>
      <c r="O43" s="3" t="str">
        <f>IFERROR(__xludf.DUMMYFUNCTION("""COMPUTED_VALUE"""),"Non Urgent")</f>
        <v>Non Urgent</v>
      </c>
    </row>
    <row r="44">
      <c r="A44" s="4">
        <f>IFERROR(__xludf.DUMMYFUNCTION("""COMPUTED_VALUE"""),45697.703081736116)</f>
        <v>45697.70308</v>
      </c>
      <c r="B44" s="3" t="str">
        <f>IFERROR(__xludf.DUMMYFUNCTION("""COMPUTED_VALUE"""),"INNBR0001")</f>
        <v>INNBR0001</v>
      </c>
      <c r="C44" s="3" t="str">
        <f>IFERROR(__xludf.DUMMYFUNCTION("""COMPUTED_VALUE"""),"Critical Part")</f>
        <v>Critical Part</v>
      </c>
      <c r="D44" s="3" t="str">
        <f>IFERROR(__xludf.DUMMYFUNCTION("""COMPUTED_VALUE"""),"-")</f>
        <v>-</v>
      </c>
      <c r="E44" s="3" t="str">
        <f>IFERROR(__xludf.DUMMYFUNCTION("""COMPUTED_VALUE"""),"Cartoning")</f>
        <v>Cartoning</v>
      </c>
      <c r="F44" s="3" t="str">
        <f>IFERROR(__xludf.DUMMYFUNCTION("""COMPUTED_VALUE"""),"Toothed belt 240 L 075")</f>
        <v>Toothed belt 240 L 075</v>
      </c>
      <c r="G44" s="3" t="str">
        <f>IFERROR(__xludf.DUMMYFUNCTION("""COMPUTED_VALUE"""),"Sesuai penawaran")</f>
        <v>Sesuai penawaran</v>
      </c>
      <c r="H44" s="3" t="str">
        <f>IFERROR(__xludf.DUMMYFUNCTION("""COMPUTED_VALUE"""),"NA")</f>
        <v>NA</v>
      </c>
      <c r="I44" s="3">
        <f>IFERROR(__xludf.DUMMYFUNCTION("""COMPUTED_VALUE"""),1.0)</f>
        <v>1</v>
      </c>
      <c r="J44" s="3" t="str">
        <f>IFERROR(__xludf.DUMMYFUNCTION("""COMPUTED_VALUE"""),"Pcs")</f>
        <v>Pcs</v>
      </c>
      <c r="K44" s="5" t="str">
        <f>IFERROR(__xludf.DUMMYFUNCTION("""COMPUTED_VALUE"""),"https://drive.google.com/drive/folders/1EKMzaK4ks98e51fyzunPQmus_nVke1w3?usp=drive_link")</f>
        <v>https://drive.google.com/drive/folders/1EKMzaK4ks98e51fyzunPQmus_nVke1w3?usp=drive_link</v>
      </c>
      <c r="L44" s="3" t="str">
        <f>IFERROR(__xludf.DUMMYFUNCTION("""COMPUTED_VALUE"""),"-")</f>
        <v>-</v>
      </c>
      <c r="M44" s="3" t="str">
        <f>IFERROR(__xludf.DUMMYFUNCTION("""COMPUTED_VALUE"""),"Approve")</f>
        <v>Approve</v>
      </c>
      <c r="N44" s="3" t="str">
        <f>IFERROR(__xludf.DUMMYFUNCTION("""COMPUTED_VALUE"""),"Normal")</f>
        <v>Normal</v>
      </c>
      <c r="O44" s="3" t="str">
        <f>IFERROR(__xludf.DUMMYFUNCTION("""COMPUTED_VALUE"""),"Non Urgent")</f>
        <v>Non Urgent</v>
      </c>
    </row>
    <row r="45">
      <c r="A45" s="4">
        <f>IFERROR(__xludf.DUMMYFUNCTION("""COMPUTED_VALUE"""),45697.70315533565)</f>
        <v>45697.70316</v>
      </c>
      <c r="B45" s="3" t="str">
        <f>IFERROR(__xludf.DUMMYFUNCTION("""COMPUTED_VALUE"""),"INNBR0002")</f>
        <v>INNBR0002</v>
      </c>
      <c r="C45" s="3" t="str">
        <f>IFERROR(__xludf.DUMMYFUNCTION("""COMPUTED_VALUE"""),"Critical Part")</f>
        <v>Critical Part</v>
      </c>
      <c r="D45" s="3" t="str">
        <f>IFERROR(__xludf.DUMMYFUNCTION("""COMPUTED_VALUE"""),"-")</f>
        <v>-</v>
      </c>
      <c r="E45" s="3" t="str">
        <f>IFERROR(__xludf.DUMMYFUNCTION("""COMPUTED_VALUE"""),"Cartoning")</f>
        <v>Cartoning</v>
      </c>
      <c r="F45" s="3" t="str">
        <f>IFERROR(__xludf.DUMMYFUNCTION("""COMPUTED_VALUE"""),"Spring plate")</f>
        <v>Spring plate</v>
      </c>
      <c r="G45" s="3" t="str">
        <f>IFERROR(__xludf.DUMMYFUNCTION("""COMPUTED_VALUE"""),"Sesuai penawaran")</f>
        <v>Sesuai penawaran</v>
      </c>
      <c r="H45" s="3" t="str">
        <f>IFERROR(__xludf.DUMMYFUNCTION("""COMPUTED_VALUE"""),"GUK")</f>
        <v>GUK</v>
      </c>
      <c r="I45" s="3">
        <f>IFERROR(__xludf.DUMMYFUNCTION("""COMPUTED_VALUE"""),6.0)</f>
        <v>6</v>
      </c>
      <c r="J45" s="3" t="str">
        <f>IFERROR(__xludf.DUMMYFUNCTION("""COMPUTED_VALUE"""),"Pcs")</f>
        <v>Pcs</v>
      </c>
      <c r="K45" s="5" t="str">
        <f>IFERROR(__xludf.DUMMYFUNCTION("""COMPUTED_VALUE"""),"https://drive.google.com/drive/folders/1EKMzaK4ks98e51fyzunPQmus_nVke1w3?usp=drive_link")</f>
        <v>https://drive.google.com/drive/folders/1EKMzaK4ks98e51fyzunPQmus_nVke1w3?usp=drive_link</v>
      </c>
      <c r="L45" s="3" t="str">
        <f>IFERROR(__xludf.DUMMYFUNCTION("""COMPUTED_VALUE"""),"-")</f>
        <v>-</v>
      </c>
      <c r="M45" s="3" t="str">
        <f>IFERROR(__xludf.DUMMYFUNCTION("""COMPUTED_VALUE"""),"Approve")</f>
        <v>Approve</v>
      </c>
      <c r="N45" s="3" t="str">
        <f>IFERROR(__xludf.DUMMYFUNCTION("""COMPUTED_VALUE"""),"Normal")</f>
        <v>Normal</v>
      </c>
      <c r="O45" s="3" t="str">
        <f>IFERROR(__xludf.DUMMYFUNCTION("""COMPUTED_VALUE"""),"Non Urgent")</f>
        <v>Non Urgent</v>
      </c>
    </row>
    <row r="46">
      <c r="A46" s="4">
        <f>IFERROR(__xludf.DUMMYFUNCTION("""COMPUTED_VALUE"""),45697.70315533565)</f>
        <v>45697.70316</v>
      </c>
      <c r="B46" s="3" t="str">
        <f>IFERROR(__xludf.DUMMYFUNCTION("""COMPUTED_VALUE"""),"INNBR0003")</f>
        <v>INNBR0003</v>
      </c>
      <c r="C46" s="3" t="str">
        <f>IFERROR(__xludf.DUMMYFUNCTION("""COMPUTED_VALUE"""),"Critical Part")</f>
        <v>Critical Part</v>
      </c>
      <c r="D46" s="3" t="str">
        <f>IFERROR(__xludf.DUMMYFUNCTION("""COMPUTED_VALUE"""),"-")</f>
        <v>-</v>
      </c>
      <c r="E46" s="3" t="str">
        <f>IFERROR(__xludf.DUMMYFUNCTION("""COMPUTED_VALUE"""),"Cartoning")</f>
        <v>Cartoning</v>
      </c>
      <c r="F46" s="3" t="str">
        <f>IFERROR(__xludf.DUMMYFUNCTION("""COMPUTED_VALUE"""),"Lower belt shaft complete")</f>
        <v>Lower belt shaft complete</v>
      </c>
      <c r="G46" s="3" t="str">
        <f>IFERROR(__xludf.DUMMYFUNCTION("""COMPUTED_VALUE"""),"Sesuai penawaran")</f>
        <v>Sesuai penawaran</v>
      </c>
      <c r="H46" s="3" t="str">
        <f>IFERROR(__xludf.DUMMYFUNCTION("""COMPUTED_VALUE"""),"GUK")</f>
        <v>GUK</v>
      </c>
      <c r="I46" s="3">
        <f>IFERROR(__xludf.DUMMYFUNCTION("""COMPUTED_VALUE"""),1.0)</f>
        <v>1</v>
      </c>
      <c r="J46" s="3" t="str">
        <f>IFERROR(__xludf.DUMMYFUNCTION("""COMPUTED_VALUE"""),"Pcs")</f>
        <v>Pcs</v>
      </c>
      <c r="K46" s="5" t="str">
        <f>IFERROR(__xludf.DUMMYFUNCTION("""COMPUTED_VALUE"""),"https://drive.google.com/drive/folders/1EKMzaK4ks98e51fyzunPQmus_nVke1w3?usp=drive_link")</f>
        <v>https://drive.google.com/drive/folders/1EKMzaK4ks98e51fyzunPQmus_nVke1w3?usp=drive_link</v>
      </c>
      <c r="L46" s="3" t="str">
        <f>IFERROR(__xludf.DUMMYFUNCTION("""COMPUTED_VALUE"""),"REJECT BY MFH KARENA PINJAM DARI FPP DAN HANYA PERLU RELINING")</f>
        <v>REJECT BY MFH KARENA PINJAM DARI FPP DAN HANYA PERLU RELINING</v>
      </c>
      <c r="M46" s="3" t="str">
        <f>IFERROR(__xludf.DUMMYFUNCTION("""COMPUTED_VALUE"""),"Reject")</f>
        <v>Reject</v>
      </c>
      <c r="N46" s="3" t="str">
        <f>IFERROR(__xludf.DUMMYFUNCTION("""COMPUTED_VALUE"""),"Normal")</f>
        <v>Normal</v>
      </c>
      <c r="O46" s="3" t="str">
        <f>IFERROR(__xludf.DUMMYFUNCTION("""COMPUTED_VALUE"""),"Non Urgent")</f>
        <v>Non Urgent</v>
      </c>
    </row>
    <row r="47">
      <c r="A47" s="4">
        <f>IFERROR(__xludf.DUMMYFUNCTION("""COMPUTED_VALUE"""),45697.70315533565)</f>
        <v>45697.70316</v>
      </c>
      <c r="B47" s="3" t="str">
        <f>IFERROR(__xludf.DUMMYFUNCTION("""COMPUTED_VALUE"""),"INNBR0004")</f>
        <v>INNBR0004</v>
      </c>
      <c r="C47" s="3" t="str">
        <f>IFERROR(__xludf.DUMMYFUNCTION("""COMPUTED_VALUE"""),"Critical Part")</f>
        <v>Critical Part</v>
      </c>
      <c r="D47" s="3" t="str">
        <f>IFERROR(__xludf.DUMMYFUNCTION("""COMPUTED_VALUE"""),"-")</f>
        <v>-</v>
      </c>
      <c r="E47" s="3" t="str">
        <f>IFERROR(__xludf.DUMMYFUNCTION("""COMPUTED_VALUE"""),"Cartoning")</f>
        <v>Cartoning</v>
      </c>
      <c r="F47" s="3" t="str">
        <f>IFERROR(__xludf.DUMMYFUNCTION("""COMPUTED_VALUE"""),"Upper belt shaft complete")</f>
        <v>Upper belt shaft complete</v>
      </c>
      <c r="G47" s="3" t="str">
        <f>IFERROR(__xludf.DUMMYFUNCTION("""COMPUTED_VALUE"""),"Sesuai penawaran")</f>
        <v>Sesuai penawaran</v>
      </c>
      <c r="H47" s="3" t="str">
        <f>IFERROR(__xludf.DUMMYFUNCTION("""COMPUTED_VALUE"""),"GUK")</f>
        <v>GUK</v>
      </c>
      <c r="I47" s="3">
        <f>IFERROR(__xludf.DUMMYFUNCTION("""COMPUTED_VALUE"""),1.0)</f>
        <v>1</v>
      </c>
      <c r="J47" s="3" t="str">
        <f>IFERROR(__xludf.DUMMYFUNCTION("""COMPUTED_VALUE"""),"Pcs")</f>
        <v>Pcs</v>
      </c>
      <c r="K47" s="5" t="str">
        <f>IFERROR(__xludf.DUMMYFUNCTION("""COMPUTED_VALUE"""),"https://drive.google.com/drive/folders/1EKMzaK4ks98e51fyzunPQmus_nVke1w3?usp=drive_link")</f>
        <v>https://drive.google.com/drive/folders/1EKMzaK4ks98e51fyzunPQmus_nVke1w3?usp=drive_link</v>
      </c>
      <c r="L47" s="3" t="str">
        <f>IFERROR(__xludf.DUMMYFUNCTION("""COMPUTED_VALUE"""),"REJECT BY MFH KARENA PINJAM DARI FPP DAN HANYA PERLU RELINING")</f>
        <v>REJECT BY MFH KARENA PINJAM DARI FPP DAN HANYA PERLU RELINING</v>
      </c>
      <c r="M47" s="3" t="str">
        <f>IFERROR(__xludf.DUMMYFUNCTION("""COMPUTED_VALUE"""),"Reject")</f>
        <v>Reject</v>
      </c>
      <c r="N47" s="3" t="str">
        <f>IFERROR(__xludf.DUMMYFUNCTION("""COMPUTED_VALUE"""),"Normal")</f>
        <v>Normal</v>
      </c>
      <c r="O47" s="3" t="str">
        <f>IFERROR(__xludf.DUMMYFUNCTION("""COMPUTED_VALUE"""),"Non Urgent")</f>
        <v>Non Urgent</v>
      </c>
    </row>
    <row r="48">
      <c r="A48" s="4">
        <f>IFERROR(__xludf.DUMMYFUNCTION("""COMPUTED_VALUE"""),45697.70315533565)</f>
        <v>45697.70316</v>
      </c>
      <c r="B48" s="3" t="str">
        <f>IFERROR(__xludf.DUMMYFUNCTION("""COMPUTED_VALUE"""),"INNBR0005")</f>
        <v>INNBR0005</v>
      </c>
      <c r="C48" s="3" t="str">
        <f>IFERROR(__xludf.DUMMYFUNCTION("""COMPUTED_VALUE"""),"Critical Part")</f>
        <v>Critical Part</v>
      </c>
      <c r="D48" s="3" t="str">
        <f>IFERROR(__xludf.DUMMYFUNCTION("""COMPUTED_VALUE"""),"-")</f>
        <v>-</v>
      </c>
      <c r="E48" s="3" t="str">
        <f>IFERROR(__xludf.DUMMYFUNCTION("""COMPUTED_VALUE"""),"Cartoning")</f>
        <v>Cartoning</v>
      </c>
      <c r="F48" s="3" t="str">
        <f>IFERROR(__xludf.DUMMYFUNCTION("""COMPUTED_VALUE"""),"Combination folding roller 4")</f>
        <v>Combination folding roller 4</v>
      </c>
      <c r="G48" s="3" t="str">
        <f>IFERROR(__xludf.DUMMYFUNCTION("""COMPUTED_VALUE"""),"Sesuai penawaran")</f>
        <v>Sesuai penawaran</v>
      </c>
      <c r="H48" s="3" t="str">
        <f>IFERROR(__xludf.DUMMYFUNCTION("""COMPUTED_VALUE"""),"GUK")</f>
        <v>GUK</v>
      </c>
      <c r="I48" s="3">
        <f>IFERROR(__xludf.DUMMYFUNCTION("""COMPUTED_VALUE"""),1.0)</f>
        <v>1</v>
      </c>
      <c r="J48" s="3" t="str">
        <f>IFERROR(__xludf.DUMMYFUNCTION("""COMPUTED_VALUE"""),"Pcs")</f>
        <v>Pcs</v>
      </c>
      <c r="K48" s="5" t="str">
        <f>IFERROR(__xludf.DUMMYFUNCTION("""COMPUTED_VALUE"""),"https://drive.google.com/drive/folders/1EKMzaK4ks98e51fyzunPQmus_nVke1w3?usp=drive_link")</f>
        <v>https://drive.google.com/drive/folders/1EKMzaK4ks98e51fyzunPQmus_nVke1w3?usp=drive_link</v>
      </c>
      <c r="L48" s="3" t="str">
        <f>IFERROR(__xludf.DUMMYFUNCTION("""COMPUTED_VALUE"""),"REJECT BY MFH KARENA PINJAM DARI FPP DAN HANYA PERLU RELINING")</f>
        <v>REJECT BY MFH KARENA PINJAM DARI FPP DAN HANYA PERLU RELINING</v>
      </c>
      <c r="M48" s="3" t="str">
        <f>IFERROR(__xludf.DUMMYFUNCTION("""COMPUTED_VALUE"""),"Reject")</f>
        <v>Reject</v>
      </c>
      <c r="N48" s="3" t="str">
        <f>IFERROR(__xludf.DUMMYFUNCTION("""COMPUTED_VALUE"""),"Normal")</f>
        <v>Normal</v>
      </c>
      <c r="O48" s="3" t="str">
        <f>IFERROR(__xludf.DUMMYFUNCTION("""COMPUTED_VALUE"""),"Non Urgent")</f>
        <v>Non Urgent</v>
      </c>
    </row>
    <row r="49">
      <c r="A49" s="4">
        <f>IFERROR(__xludf.DUMMYFUNCTION("""COMPUTED_VALUE"""),45697.70315533565)</f>
        <v>45697.70316</v>
      </c>
      <c r="B49" s="3" t="str">
        <f>IFERROR(__xludf.DUMMYFUNCTION("""COMPUTED_VALUE"""),"INNBR0006")</f>
        <v>INNBR0006</v>
      </c>
      <c r="C49" s="3" t="str">
        <f>IFERROR(__xludf.DUMMYFUNCTION("""COMPUTED_VALUE"""),"Critical Part")</f>
        <v>Critical Part</v>
      </c>
      <c r="D49" s="3" t="str">
        <f>IFERROR(__xludf.DUMMYFUNCTION("""COMPUTED_VALUE"""),"-")</f>
        <v>-</v>
      </c>
      <c r="E49" s="3" t="str">
        <f>IFERROR(__xludf.DUMMYFUNCTION("""COMPUTED_VALUE"""),"Cartoning")</f>
        <v>Cartoning</v>
      </c>
      <c r="F49" s="3" t="str">
        <f>IFERROR(__xludf.DUMMYFUNCTION("""COMPUTED_VALUE"""),"Combination folding roller 2 and 6")</f>
        <v>Combination folding roller 2 and 6</v>
      </c>
      <c r="G49" s="3" t="str">
        <f>IFERROR(__xludf.DUMMYFUNCTION("""COMPUTED_VALUE"""),"Sesuai penawaran")</f>
        <v>Sesuai penawaran</v>
      </c>
      <c r="H49" s="3" t="str">
        <f>IFERROR(__xludf.DUMMYFUNCTION("""COMPUTED_VALUE"""),"GUK")</f>
        <v>GUK</v>
      </c>
      <c r="I49" s="3">
        <f>IFERROR(__xludf.DUMMYFUNCTION("""COMPUTED_VALUE"""),2.0)</f>
        <v>2</v>
      </c>
      <c r="J49" s="3" t="str">
        <f>IFERROR(__xludf.DUMMYFUNCTION("""COMPUTED_VALUE"""),"Pcs")</f>
        <v>Pcs</v>
      </c>
      <c r="K49" s="5" t="str">
        <f>IFERROR(__xludf.DUMMYFUNCTION("""COMPUTED_VALUE"""),"https://drive.google.com/drive/folders/1EKMzaK4ks98e51fyzunPQmus_nVke1w3?usp=drive_link")</f>
        <v>https://drive.google.com/drive/folders/1EKMzaK4ks98e51fyzunPQmus_nVke1w3?usp=drive_link</v>
      </c>
      <c r="L49" s="3" t="str">
        <f>IFERROR(__xludf.DUMMYFUNCTION("""COMPUTED_VALUE"""),"REJECT BY MFH KARENA PINJAM DARI FPP DAN HANYA PERLU RELINING")</f>
        <v>REJECT BY MFH KARENA PINJAM DARI FPP DAN HANYA PERLU RELINING</v>
      </c>
      <c r="M49" s="3" t="str">
        <f>IFERROR(__xludf.DUMMYFUNCTION("""COMPUTED_VALUE"""),"Reject")</f>
        <v>Reject</v>
      </c>
      <c r="N49" s="3" t="str">
        <f>IFERROR(__xludf.DUMMYFUNCTION("""COMPUTED_VALUE"""),"Normal")</f>
        <v>Normal</v>
      </c>
      <c r="O49" s="3" t="str">
        <f>IFERROR(__xludf.DUMMYFUNCTION("""COMPUTED_VALUE"""),"Non Urgent")</f>
        <v>Non Urgent</v>
      </c>
    </row>
    <row r="50">
      <c r="A50" s="4">
        <f>IFERROR(__xludf.DUMMYFUNCTION("""COMPUTED_VALUE"""),45697.70315533565)</f>
        <v>45697.70316</v>
      </c>
      <c r="B50" s="3" t="str">
        <f>IFERROR(__xludf.DUMMYFUNCTION("""COMPUTED_VALUE"""),"INNBR0007")</f>
        <v>INNBR0007</v>
      </c>
      <c r="C50" s="3" t="str">
        <f>IFERROR(__xludf.DUMMYFUNCTION("""COMPUTED_VALUE"""),"Critical Part")</f>
        <v>Critical Part</v>
      </c>
      <c r="D50" s="3" t="str">
        <f>IFERROR(__xludf.DUMMYFUNCTION("""COMPUTED_VALUE"""),"-")</f>
        <v>-</v>
      </c>
      <c r="E50" s="3" t="str">
        <f>IFERROR(__xludf.DUMMYFUNCTION("""COMPUTED_VALUE"""),"Cartoning")</f>
        <v>Cartoning</v>
      </c>
      <c r="F50" s="3" t="str">
        <f>IFERROR(__xludf.DUMMYFUNCTION("""COMPUTED_VALUE"""),"Combination folding roller 1, 3 and 5")</f>
        <v>Combination folding roller 1, 3 and 5</v>
      </c>
      <c r="G50" s="3" t="str">
        <f>IFERROR(__xludf.DUMMYFUNCTION("""COMPUTED_VALUE"""),"Sesuai penawaran")</f>
        <v>Sesuai penawaran</v>
      </c>
      <c r="H50" s="3" t="str">
        <f>IFERROR(__xludf.DUMMYFUNCTION("""COMPUTED_VALUE"""),"GUK")</f>
        <v>GUK</v>
      </c>
      <c r="I50" s="3">
        <f>IFERROR(__xludf.DUMMYFUNCTION("""COMPUTED_VALUE"""),3.0)</f>
        <v>3</v>
      </c>
      <c r="J50" s="3" t="str">
        <f>IFERROR(__xludf.DUMMYFUNCTION("""COMPUTED_VALUE"""),"Pcs")</f>
        <v>Pcs</v>
      </c>
      <c r="K50" s="5" t="str">
        <f>IFERROR(__xludf.DUMMYFUNCTION("""COMPUTED_VALUE"""),"https://drive.google.com/drive/folders/1EKMzaK4ks98e51fyzunPQmus_nVke1w3?usp=drive_link")</f>
        <v>https://drive.google.com/drive/folders/1EKMzaK4ks98e51fyzunPQmus_nVke1w3?usp=drive_link</v>
      </c>
      <c r="L50" s="3" t="str">
        <f>IFERROR(__xludf.DUMMYFUNCTION("""COMPUTED_VALUE"""),"REJECT BY MFH KARENA PINJAM DARI FPP DAN HANYA PERLU RELINING")</f>
        <v>REJECT BY MFH KARENA PINJAM DARI FPP DAN HANYA PERLU RELINING</v>
      </c>
      <c r="M50" s="3" t="str">
        <f>IFERROR(__xludf.DUMMYFUNCTION("""COMPUTED_VALUE"""),"Reject")</f>
        <v>Reject</v>
      </c>
      <c r="N50" s="3" t="str">
        <f>IFERROR(__xludf.DUMMYFUNCTION("""COMPUTED_VALUE"""),"Normal")</f>
        <v>Normal</v>
      </c>
      <c r="O50" s="3" t="str">
        <f>IFERROR(__xludf.DUMMYFUNCTION("""COMPUTED_VALUE"""),"Non Urgent")</f>
        <v>Non Urgent</v>
      </c>
    </row>
    <row r="51">
      <c r="A51" s="4">
        <f>IFERROR(__xludf.DUMMYFUNCTION("""COMPUTED_VALUE"""),45697.70315533565)</f>
        <v>45697.70316</v>
      </c>
      <c r="B51" s="3" t="str">
        <f>IFERROR(__xludf.DUMMYFUNCTION("""COMPUTED_VALUE"""),"INNBR0008")</f>
        <v>INNBR0008</v>
      </c>
      <c r="C51" s="3" t="str">
        <f>IFERROR(__xludf.DUMMYFUNCTION("""COMPUTED_VALUE"""),"Critical Part")</f>
        <v>Critical Part</v>
      </c>
      <c r="D51" s="3" t="str">
        <f>IFERROR(__xludf.DUMMYFUNCTION("""COMPUTED_VALUE"""),"-")</f>
        <v>-</v>
      </c>
      <c r="E51" s="3" t="str">
        <f>IFERROR(__xludf.DUMMYFUNCTION("""COMPUTED_VALUE"""),"Cartoning")</f>
        <v>Cartoning</v>
      </c>
      <c r="F51" s="3" t="str">
        <f>IFERROR(__xludf.DUMMYFUNCTION("""COMPUTED_VALUE"""),"Combination folding roller 2 and 6")</f>
        <v>Combination folding roller 2 and 6</v>
      </c>
      <c r="G51" s="3" t="str">
        <f>IFERROR(__xludf.DUMMYFUNCTION("""COMPUTED_VALUE"""),"Sesuai penawaran")</f>
        <v>Sesuai penawaran</v>
      </c>
      <c r="H51" s="3" t="str">
        <f>IFERROR(__xludf.DUMMYFUNCTION("""COMPUTED_VALUE"""),"GUK")</f>
        <v>GUK</v>
      </c>
      <c r="I51" s="3">
        <f>IFERROR(__xludf.DUMMYFUNCTION("""COMPUTED_VALUE"""),2.0)</f>
        <v>2</v>
      </c>
      <c r="J51" s="3" t="str">
        <f>IFERROR(__xludf.DUMMYFUNCTION("""COMPUTED_VALUE"""),"Pcs")</f>
        <v>Pcs</v>
      </c>
      <c r="K51" s="5" t="str">
        <f>IFERROR(__xludf.DUMMYFUNCTION("""COMPUTED_VALUE"""),"https://drive.google.com/drive/folders/1EKMzaK4ks98e51fyzunPQmus_nVke1w3?usp=drive_link")</f>
        <v>https://drive.google.com/drive/folders/1EKMzaK4ks98e51fyzunPQmus_nVke1w3?usp=drive_link</v>
      </c>
      <c r="L51" s="3" t="str">
        <f>IFERROR(__xludf.DUMMYFUNCTION("""COMPUTED_VALUE"""),"REJECT BY MFH KARENA PINJAM DARI FPP DAN HANYA PERLU RELINING")</f>
        <v>REJECT BY MFH KARENA PINJAM DARI FPP DAN HANYA PERLU RELINING</v>
      </c>
      <c r="M51" s="3" t="str">
        <f>IFERROR(__xludf.DUMMYFUNCTION("""COMPUTED_VALUE"""),"Reject")</f>
        <v>Reject</v>
      </c>
      <c r="N51" s="3" t="str">
        <f>IFERROR(__xludf.DUMMYFUNCTION("""COMPUTED_VALUE"""),"Normal")</f>
        <v>Normal</v>
      </c>
      <c r="O51" s="3" t="str">
        <f>IFERROR(__xludf.DUMMYFUNCTION("""COMPUTED_VALUE"""),"Non Urgent")</f>
        <v>Non Urgent</v>
      </c>
    </row>
    <row r="52">
      <c r="A52" s="4">
        <f>IFERROR(__xludf.DUMMYFUNCTION("""COMPUTED_VALUE"""),45697.70315533565)</f>
        <v>45697.70316</v>
      </c>
      <c r="B52" s="3" t="str">
        <f>IFERROR(__xludf.DUMMYFUNCTION("""COMPUTED_VALUE"""),"INNBR0009")</f>
        <v>INNBR0009</v>
      </c>
      <c r="C52" s="3" t="str">
        <f>IFERROR(__xludf.DUMMYFUNCTION("""COMPUTED_VALUE"""),"Critical Part")</f>
        <v>Critical Part</v>
      </c>
      <c r="D52" s="3" t="str">
        <f>IFERROR(__xludf.DUMMYFUNCTION("""COMPUTED_VALUE"""),"-")</f>
        <v>-</v>
      </c>
      <c r="E52" s="3" t="str">
        <f>IFERROR(__xludf.DUMMYFUNCTION("""COMPUTED_VALUE"""),"Cartoning")</f>
        <v>Cartoning</v>
      </c>
      <c r="F52" s="3" t="str">
        <f>IFERROR(__xludf.DUMMYFUNCTION("""COMPUTED_VALUE"""),"Combination folding roller 4")</f>
        <v>Combination folding roller 4</v>
      </c>
      <c r="G52" s="3" t="str">
        <f>IFERROR(__xludf.DUMMYFUNCTION("""COMPUTED_VALUE"""),"Sesuai penawaran")</f>
        <v>Sesuai penawaran</v>
      </c>
      <c r="H52" s="3" t="str">
        <f>IFERROR(__xludf.DUMMYFUNCTION("""COMPUTED_VALUE"""),"GUK")</f>
        <v>GUK</v>
      </c>
      <c r="I52" s="3">
        <f>IFERROR(__xludf.DUMMYFUNCTION("""COMPUTED_VALUE"""),1.0)</f>
        <v>1</v>
      </c>
      <c r="J52" s="3" t="str">
        <f>IFERROR(__xludf.DUMMYFUNCTION("""COMPUTED_VALUE"""),"Pcs")</f>
        <v>Pcs</v>
      </c>
      <c r="K52" s="5" t="str">
        <f>IFERROR(__xludf.DUMMYFUNCTION("""COMPUTED_VALUE"""),"https://drive.google.com/drive/folders/1EKMzaK4ks98e51fyzunPQmus_nVke1w3?usp=drive_link")</f>
        <v>https://drive.google.com/drive/folders/1EKMzaK4ks98e51fyzunPQmus_nVke1w3?usp=drive_link</v>
      </c>
      <c r="L52" s="3" t="str">
        <f>IFERROR(__xludf.DUMMYFUNCTION("""COMPUTED_VALUE"""),"REJECT BY MFH KARENA PINJAM DARI FPP DAN HANYA PERLU RELINING")</f>
        <v>REJECT BY MFH KARENA PINJAM DARI FPP DAN HANYA PERLU RELINING</v>
      </c>
      <c r="M52" s="3" t="str">
        <f>IFERROR(__xludf.DUMMYFUNCTION("""COMPUTED_VALUE"""),"Reject")</f>
        <v>Reject</v>
      </c>
      <c r="N52" s="3" t="str">
        <f>IFERROR(__xludf.DUMMYFUNCTION("""COMPUTED_VALUE"""),"Normal")</f>
        <v>Normal</v>
      </c>
      <c r="O52" s="3" t="str">
        <f>IFERROR(__xludf.DUMMYFUNCTION("""COMPUTED_VALUE"""),"Non Urgent")</f>
        <v>Non Urgent</v>
      </c>
    </row>
    <row r="53">
      <c r="A53" s="4">
        <f>IFERROR(__xludf.DUMMYFUNCTION("""COMPUTED_VALUE"""),45697.70315533565)</f>
        <v>45697.70316</v>
      </c>
      <c r="B53" s="3" t="str">
        <f>IFERROR(__xludf.DUMMYFUNCTION("""COMPUTED_VALUE"""),"INNBR0010")</f>
        <v>INNBR0010</v>
      </c>
      <c r="C53" s="3" t="str">
        <f>IFERROR(__xludf.DUMMYFUNCTION("""COMPUTED_VALUE"""),"Critical Part")</f>
        <v>Critical Part</v>
      </c>
      <c r="D53" s="3" t="str">
        <f>IFERROR(__xludf.DUMMYFUNCTION("""COMPUTED_VALUE"""),"-")</f>
        <v>-</v>
      </c>
      <c r="E53" s="3" t="str">
        <f>IFERROR(__xludf.DUMMYFUNCTION("""COMPUTED_VALUE"""),"Cartoning")</f>
        <v>Cartoning</v>
      </c>
      <c r="F53" s="3" t="str">
        <f>IFERROR(__xludf.DUMMYFUNCTION("""COMPUTED_VALUE"""),"Tension spring")</f>
        <v>Tension spring</v>
      </c>
      <c r="G53" s="3" t="str">
        <f>IFERROR(__xludf.DUMMYFUNCTION("""COMPUTED_VALUE"""),"Sesuai penawaran")</f>
        <v>Sesuai penawaran</v>
      </c>
      <c r="H53" s="3" t="str">
        <f>IFERROR(__xludf.DUMMYFUNCTION("""COMPUTED_VALUE"""),"GUK")</f>
        <v>GUK</v>
      </c>
      <c r="I53" s="3">
        <f>IFERROR(__xludf.DUMMYFUNCTION("""COMPUTED_VALUE"""),2.0)</f>
        <v>2</v>
      </c>
      <c r="J53" s="3" t="str">
        <f>IFERROR(__xludf.DUMMYFUNCTION("""COMPUTED_VALUE"""),"Pcs")</f>
        <v>Pcs</v>
      </c>
      <c r="K53" s="5" t="str">
        <f>IFERROR(__xludf.DUMMYFUNCTION("""COMPUTED_VALUE"""),"https://drive.google.com/drive/folders/1EKMzaK4ks98e51fyzunPQmus_nVke1w3?usp=drive_link")</f>
        <v>https://drive.google.com/drive/folders/1EKMzaK4ks98e51fyzunPQmus_nVke1w3?usp=drive_link</v>
      </c>
      <c r="L53" s="3" t="str">
        <f>IFERROR(__xludf.DUMMYFUNCTION("""COMPUTED_VALUE"""),"-")</f>
        <v>-</v>
      </c>
      <c r="M53" s="3" t="str">
        <f>IFERROR(__xludf.DUMMYFUNCTION("""COMPUTED_VALUE"""),"Approve")</f>
        <v>Approve</v>
      </c>
      <c r="N53" s="3" t="str">
        <f>IFERROR(__xludf.DUMMYFUNCTION("""COMPUTED_VALUE"""),"Normal")</f>
        <v>Normal</v>
      </c>
      <c r="O53" s="3" t="str">
        <f>IFERROR(__xludf.DUMMYFUNCTION("""COMPUTED_VALUE"""),"Non Urgent")</f>
        <v>Non Urgent</v>
      </c>
    </row>
    <row r="54">
      <c r="A54" s="4">
        <f>IFERROR(__xludf.DUMMYFUNCTION("""COMPUTED_VALUE"""),45697.732682754635)</f>
        <v>45697.73268</v>
      </c>
      <c r="B54" s="3" t="str">
        <f>IFERROR(__xludf.DUMMYFUNCTION("""COMPUTED_VALUE"""),"INNBR0012")</f>
        <v>INNBR0012</v>
      </c>
      <c r="C54" s="3" t="str">
        <f>IFERROR(__xludf.DUMMYFUNCTION("""COMPUTED_VALUE"""),"EJO")</f>
        <v>EJO</v>
      </c>
      <c r="D54" s="3" t="str">
        <f>IFERROR(__xludf.DUMMYFUNCTION("""COMPUTED_VALUE"""),"EJO/2025/02/105")</f>
        <v>EJO/2025/02/105</v>
      </c>
      <c r="E54" s="3" t="str">
        <f>IFERROR(__xludf.DUMMYFUNCTION("""COMPUTED_VALUE"""),"Autoclave Terminal")</f>
        <v>Autoclave Terminal</v>
      </c>
      <c r="F54" s="3" t="str">
        <f>IFERROR(__xludf.DUMMYFUNCTION("""COMPUTED_VALUE"""),"Power Base TeSys LUB32, 32A Schneider")</f>
        <v>Power Base TeSys LUB32, 32A Schneider</v>
      </c>
      <c r="G54" s="3" t="str">
        <f>IFERROR(__xludf.DUMMYFUNCTION("""COMPUTED_VALUE"""),"Sesuai penawaran")</f>
        <v>Sesuai penawaran</v>
      </c>
      <c r="H54" s="3" t="str">
        <f>IFERROR(__xludf.DUMMYFUNCTION("""COMPUTED_VALUE"""),"Schneider")</f>
        <v>Schneider</v>
      </c>
      <c r="I54" s="3">
        <f>IFERROR(__xludf.DUMMYFUNCTION("""COMPUTED_VALUE"""),2.0)</f>
        <v>2</v>
      </c>
      <c r="J54" s="3" t="str">
        <f>IFERROR(__xludf.DUMMYFUNCTION("""COMPUTED_VALUE"""),"Pcs")</f>
        <v>Pcs</v>
      </c>
      <c r="K54" s="5" t="str">
        <f>IFERROR(__xludf.DUMMYFUNCTION("""COMPUTED_VALUE"""),"https://drive.google.com/drive/folders/1G3cIZcwv7Y3w7dzznNZKN0ruRpsHdvkI?usp=drive_link")</f>
        <v>https://drive.google.com/drive/folders/1G3cIZcwv7Y3w7dzznNZKN0ruRpsHdvkI?usp=drive_link</v>
      </c>
      <c r="L54" s="3" t="str">
        <f>IFERROR(__xludf.DUMMYFUNCTION("""COMPUTED_VALUE"""),"-")</f>
        <v>-</v>
      </c>
      <c r="M54" s="3" t="str">
        <f>IFERROR(__xludf.DUMMYFUNCTION("""COMPUTED_VALUE"""),"Approve")</f>
        <v>Approve</v>
      </c>
      <c r="N54" s="3" t="str">
        <f>IFERROR(__xludf.DUMMYFUNCTION("""COMPUTED_VALUE"""),"Urgent")</f>
        <v>Urgent</v>
      </c>
      <c r="O54" s="3" t="str">
        <f>IFERROR(__xludf.DUMMYFUNCTION("""COMPUTED_VALUE"""),"Reject")</f>
        <v>Reject</v>
      </c>
    </row>
    <row r="55">
      <c r="A55" s="4">
        <f>IFERROR(__xludf.DUMMYFUNCTION("""COMPUTED_VALUE"""),45697.73605521991)</f>
        <v>45697.73606</v>
      </c>
      <c r="B55" s="3" t="str">
        <f>IFERROR(__xludf.DUMMYFUNCTION("""COMPUTED_VALUE"""),"INNBR0013")</f>
        <v>INNBR0013</v>
      </c>
      <c r="C55" s="3" t="str">
        <f>IFERROR(__xludf.DUMMYFUNCTION("""COMPUTED_VALUE"""),"Consumable")</f>
        <v>Consumable</v>
      </c>
      <c r="D55" s="3" t="str">
        <f>IFERROR(__xludf.DUMMYFUNCTION("""COMPUTED_VALUE"""),"-")</f>
        <v>-</v>
      </c>
      <c r="E55" s="3" t="str">
        <f>IFERROR(__xludf.DUMMYFUNCTION("""COMPUTED_VALUE"""),"Washing")</f>
        <v>Washing</v>
      </c>
      <c r="F55" s="3" t="str">
        <f>IFERROR(__xludf.DUMMYFUNCTION("""COMPUTED_VALUE"""),"Oil Seal TC 15x24x7, NOK")</f>
        <v>Oil Seal TC 15x24x7, NOK</v>
      </c>
      <c r="G55" s="3" t="str">
        <f>IFERROR(__xludf.DUMMYFUNCTION("""COMPUTED_VALUE"""),"-")</f>
        <v>-</v>
      </c>
      <c r="H55" s="3" t="str">
        <f>IFERROR(__xludf.DUMMYFUNCTION("""COMPUTED_VALUE"""),"NOK")</f>
        <v>NOK</v>
      </c>
      <c r="I55" s="3">
        <f>IFERROR(__xludf.DUMMYFUNCTION("""COMPUTED_VALUE"""),5.0)</f>
        <v>5</v>
      </c>
      <c r="J55" s="3" t="str">
        <f>IFERROR(__xludf.DUMMYFUNCTION("""COMPUTED_VALUE"""),"Pcs")</f>
        <v>Pcs</v>
      </c>
      <c r="K55" s="5" t="str">
        <f>IFERROR(__xludf.DUMMYFUNCTION("""COMPUTED_VALUE"""),"https://drive.google.com/drive/folders/1G3cIZcwv7Y3w7dzznNZKN0ruRpsHdvkI?usp=drive_link")</f>
        <v>https://drive.google.com/drive/folders/1G3cIZcwv7Y3w7dzznNZKN0ruRpsHdvkI?usp=drive_link</v>
      </c>
      <c r="L55" s="3" t="str">
        <f>IFERROR(__xludf.DUMMYFUNCTION("""COMPUTED_VALUE"""),"-")</f>
        <v>-</v>
      </c>
      <c r="M55" s="3" t="str">
        <f>IFERROR(__xludf.DUMMYFUNCTION("""COMPUTED_VALUE"""),"Approve")</f>
        <v>Approve</v>
      </c>
      <c r="N55" s="3" t="str">
        <f>IFERROR(__xludf.DUMMYFUNCTION("""COMPUTED_VALUE"""),"Normal")</f>
        <v>Normal</v>
      </c>
      <c r="O55" s="3" t="str">
        <f>IFERROR(__xludf.DUMMYFUNCTION("""COMPUTED_VALUE"""),"Non Urgent")</f>
        <v>Non Urgent</v>
      </c>
    </row>
    <row r="56">
      <c r="A56" s="4">
        <f>IFERROR(__xludf.DUMMYFUNCTION("""COMPUTED_VALUE"""),45698.44957414352)</f>
        <v>45698.44957</v>
      </c>
      <c r="B56" s="3" t="str">
        <f>IFERROR(__xludf.DUMMYFUNCTION("""COMPUTED_VALUE"""),"NDSBR0002")</f>
        <v>NDSBR0002</v>
      </c>
      <c r="C56" s="3" t="str">
        <f>IFERROR(__xludf.DUMMYFUNCTION("""COMPUTED_VALUE"""),"EJO")</f>
        <v>EJO</v>
      </c>
      <c r="D56" s="3" t="str">
        <f>IFERROR(__xludf.DUMMYFUNCTION("""COMPUTED_VALUE"""),"EJO/2025/02/75")</f>
        <v>EJO/2025/02/75</v>
      </c>
      <c r="E56" s="3" t="str">
        <f>IFERROR(__xludf.DUMMYFUNCTION("""COMPUTED_VALUE"""),"Labeling")</f>
        <v>Labeling</v>
      </c>
      <c r="F56" s="3" t="str">
        <f>IFERROR(__xludf.DUMMYFUNCTION("""COMPUTED_VALUE"""),"Wrap Around Belt")</f>
        <v>Wrap Around Belt</v>
      </c>
      <c r="G56" s="3" t="str">
        <f>IFERROR(__xludf.DUMMYFUNCTION("""COMPUTED_VALUE"""),"Material SUS, Aluminum Metal &amp; Sponge")</f>
        <v>Material SUS, Aluminum Metal &amp; Sponge</v>
      </c>
      <c r="H56" s="3"/>
      <c r="I56" s="3">
        <f>IFERROR(__xludf.DUMMYFUNCTION("""COMPUTED_VALUE"""),3.0)</f>
        <v>3</v>
      </c>
      <c r="J56" s="3" t="str">
        <f>IFERROR(__xludf.DUMMYFUNCTION("""COMPUTED_VALUE"""),"Pcs")</f>
        <v>Pcs</v>
      </c>
      <c r="K56" s="5" t="str">
        <f>IFERROR(__xludf.DUMMYFUNCTION("""COMPUTED_VALUE"""),"https://drive.google.com/file/d/1G4atjSOJkMEcwCStqwGkxVezQF9m-uWf/view?usp=drive_link")</f>
        <v>https://drive.google.com/file/d/1G4atjSOJkMEcwCStqwGkxVezQF9m-uWf/view?usp=drive_link</v>
      </c>
      <c r="L56" s="3" t="str">
        <f>IFERROR(__xludf.DUMMYFUNCTION("""COMPUTED_VALUE"""),"Minta tolong dicoba penawaran ke Chiyyen")</f>
        <v>Minta tolong dicoba penawaran ke Chiyyen</v>
      </c>
      <c r="M56" s="3" t="str">
        <f>IFERROR(__xludf.DUMMYFUNCTION("""COMPUTED_VALUE"""),"Approve")</f>
        <v>Approve</v>
      </c>
      <c r="N56" s="3" t="str">
        <f>IFERROR(__xludf.DUMMYFUNCTION("""COMPUTED_VALUE"""),"Urgent")</f>
        <v>Urgent</v>
      </c>
      <c r="O56" s="3" t="str">
        <f>IFERROR(__xludf.DUMMYFUNCTION("""COMPUTED_VALUE"""),"Reject")</f>
        <v>Reject</v>
      </c>
    </row>
    <row r="57">
      <c r="A57" s="4">
        <f>IFERROR(__xludf.DUMMYFUNCTION("""COMPUTED_VALUE"""),45699.19456452546)</f>
        <v>45699.19456</v>
      </c>
      <c r="B57" s="3" t="str">
        <f>IFERROR(__xludf.DUMMYFUNCTION("""COMPUTED_VALUE"""),"SFHBR0005")</f>
        <v>SFHBR0005</v>
      </c>
      <c r="C57" s="3" t="str">
        <f>IFERROR(__xludf.DUMMYFUNCTION("""COMPUTED_VALUE"""),"Consumable")</f>
        <v>Consumable</v>
      </c>
      <c r="D57" s="3" t="str">
        <f>IFERROR(__xludf.DUMMYFUNCTION("""COMPUTED_VALUE"""),"-")</f>
        <v>-</v>
      </c>
      <c r="E57" s="3" t="str">
        <f>IFERROR(__xludf.DUMMYFUNCTION("""COMPUTED_VALUE"""),"lantai 2")</f>
        <v>lantai 2</v>
      </c>
      <c r="F57" s="3" t="str">
        <f>IFERROR(__xludf.DUMMYFUNCTION("""COMPUTED_VALUE"""),"mesin bor")</f>
        <v>mesin bor</v>
      </c>
      <c r="G57" s="3" t="str">
        <f>IFERROR(__xludf.DUMMYFUNCTION("""COMPUTED_VALUE"""),"mesin bor  tangan")</f>
        <v>mesin bor  tangan</v>
      </c>
      <c r="H57" s="3" t="str">
        <f>IFERROR(__xludf.DUMMYFUNCTION("""COMPUTED_VALUE"""),"bocsh")</f>
        <v>bocsh</v>
      </c>
      <c r="I57" s="3">
        <f>IFERROR(__xludf.DUMMYFUNCTION("""COMPUTED_VALUE"""),1.0)</f>
        <v>1</v>
      </c>
      <c r="J57" s="3" t="str">
        <f>IFERROR(__xludf.DUMMYFUNCTION("""COMPUTED_VALUE"""),"pcs")</f>
        <v>pcs</v>
      </c>
      <c r="K57" s="5" t="str">
        <f>IFERROR(__xludf.DUMMYFUNCTION("""COMPUTED_VALUE"""),"https://tokopedia.link/n1yiw7PQSQb")</f>
        <v>https://tokopedia.link/n1yiw7PQSQb</v>
      </c>
      <c r="L57" s="3" t="str">
        <f>IFERROR(__xludf.DUMMYFUNCTION("""COMPUTED_VALUE"""),"-")</f>
        <v>-</v>
      </c>
      <c r="M57" s="3" t="str">
        <f>IFERROR(__xludf.DUMMYFUNCTION("""COMPUTED_VALUE"""),"Reject")</f>
        <v>Reject</v>
      </c>
      <c r="N57" s="3" t="str">
        <f>IFERROR(__xludf.DUMMYFUNCTION("""COMPUTED_VALUE"""),"Normal")</f>
        <v>Normal</v>
      </c>
      <c r="O57" s="3" t="str">
        <f>IFERROR(__xludf.DUMMYFUNCTION("""COMPUTED_VALUE"""),"Non Urgent")</f>
        <v>Non Urgent</v>
      </c>
    </row>
    <row r="58">
      <c r="A58" s="4">
        <f>IFERROR(__xludf.DUMMYFUNCTION("""COMPUTED_VALUE"""),45699.6596987037)</f>
        <v>45699.6597</v>
      </c>
      <c r="B58" s="3" t="str">
        <f>IFERROR(__xludf.DUMMYFUNCTION("""COMPUTED_VALUE"""),"SFHBR0006")</f>
        <v>SFHBR0006</v>
      </c>
      <c r="C58" s="3" t="str">
        <f>IFERROR(__xludf.DUMMYFUNCTION("""COMPUTED_VALUE"""),"Consumable")</f>
        <v>Consumable</v>
      </c>
      <c r="D58" s="3" t="str">
        <f>IFERROR(__xludf.DUMMYFUNCTION("""COMPUTED_VALUE"""),"-")</f>
        <v>-</v>
      </c>
      <c r="E58" s="3" t="str">
        <f>IFERROR(__xludf.DUMMYFUNCTION("""COMPUTED_VALUE"""),"lantai 2 ")</f>
        <v>lantai 2 </v>
      </c>
      <c r="F58" s="3" t="str">
        <f>IFERROR(__xludf.DUMMYFUNCTION("""COMPUTED_VALUE"""),"cat dulux buat flafon")</f>
        <v>cat dulux buat flafon</v>
      </c>
      <c r="G58" s="3" t="str">
        <f>IFERROR(__xludf.DUMMYFUNCTION("""COMPUTED_VALUE"""),"cat Dulux Catylac  putih 1501N flafon")</f>
        <v>cat Dulux Catylac  putih 1501N flafon</v>
      </c>
      <c r="H58" s="3" t="str">
        <f>IFERROR(__xludf.DUMMYFUNCTION("""COMPUTED_VALUE"""),"dulux")</f>
        <v>dulux</v>
      </c>
      <c r="I58" s="3">
        <f>IFERROR(__xludf.DUMMYFUNCTION("""COMPUTED_VALUE"""),5.0)</f>
        <v>5</v>
      </c>
      <c r="J58" s="3" t="str">
        <f>IFERROR(__xludf.DUMMYFUNCTION("""COMPUTED_VALUE"""),"Pel")</f>
        <v>Pel</v>
      </c>
      <c r="K58" s="5" t="str">
        <f>IFERROR(__xludf.DUMMYFUNCTION("""COMPUTED_VALUE"""),"https://www.tokopedia.com/toko-material-ol/cat-tembok-interior-dulux-catylac-putih-dan-warna-25kg-1730699744622773664?utm_source=salinlink&amp;utm_medium=share&amp;utm_campaign=pdp-kiluasz685fi-15961026197-0")</f>
        <v>https://www.tokopedia.com/toko-material-ol/cat-tembok-interior-dulux-catylac-putih-dan-warna-25kg-1730699744622773664?utm_source=salinlink&amp;utm_medium=share&amp;utm_campaign=pdp-kiluasz685fi-15961026197-0</v>
      </c>
      <c r="L58" s="3" t="str">
        <f>IFERROR(__xludf.DUMMYFUNCTION("""COMPUTED_VALUE"""),"-")</f>
        <v>-</v>
      </c>
      <c r="M58" s="3" t="str">
        <f>IFERROR(__xludf.DUMMYFUNCTION("""COMPUTED_VALUE"""),"Approve")</f>
        <v>Approve</v>
      </c>
      <c r="N58" s="3" t="str">
        <f>IFERROR(__xludf.DUMMYFUNCTION("""COMPUTED_VALUE"""),"Normal")</f>
        <v>Normal</v>
      </c>
      <c r="O58" s="3" t="str">
        <f>IFERROR(__xludf.DUMMYFUNCTION("""COMPUTED_VALUE"""),"Non Urgent")</f>
        <v>Non Urgent</v>
      </c>
    </row>
    <row r="59">
      <c r="A59" s="4">
        <f>IFERROR(__xludf.DUMMYFUNCTION("""COMPUTED_VALUE"""),45702.09946612269)</f>
        <v>45702.09947</v>
      </c>
      <c r="B59" s="3" t="str">
        <f>IFERROR(__xludf.DUMMYFUNCTION("""COMPUTED_VALUE"""),"SFHBR0007")</f>
        <v>SFHBR0007</v>
      </c>
      <c r="C59" s="3" t="str">
        <f>IFERROR(__xludf.DUMMYFUNCTION("""COMPUTED_VALUE"""),"Consumable")</f>
        <v>Consumable</v>
      </c>
      <c r="D59" s="3" t="str">
        <f>IFERROR(__xludf.DUMMYFUNCTION("""COMPUTED_VALUE"""),"-")</f>
        <v>-</v>
      </c>
      <c r="E59" s="3" t="str">
        <f>IFERROR(__xludf.DUMMYFUNCTION("""COMPUTED_VALUE"""),"lantai 2")</f>
        <v>lantai 2</v>
      </c>
      <c r="F59" s="3" t="str">
        <f>IFERROR(__xludf.DUMMYFUNCTION("""COMPUTED_VALUE"""),"cat propan buat sandwich panel")</f>
        <v>cat propan buat sandwich panel</v>
      </c>
      <c r="G59" s="3" t="str">
        <f>IFERROR(__xludf.DUMMYFUNCTION("""COMPUTED_VALUE"""),"propan DR-2000 GLOOS BASE A + PASTA")</f>
        <v>propan DR-2000 GLOOS BASE A + PASTA</v>
      </c>
      <c r="H59" s="3" t="str">
        <f>IFERROR(__xludf.DUMMYFUNCTION("""COMPUTED_VALUE"""),"propan")</f>
        <v>propan</v>
      </c>
      <c r="I59" s="3">
        <f>IFERROR(__xludf.DUMMYFUNCTION("""COMPUTED_VALUE"""),3.0)</f>
        <v>3</v>
      </c>
      <c r="J59" s="3" t="str">
        <f>IFERROR(__xludf.DUMMYFUNCTION("""COMPUTED_VALUE"""),"pel")</f>
        <v>pel</v>
      </c>
      <c r="K59" s="3" t="str">
        <f>IFERROR(__xludf.DUMMYFUNCTION("""COMPUTED_VALUE"""),"propan durogloss spiders web 90YY73/040")</f>
        <v>propan durogloss spiders web 90YY73/040</v>
      </c>
      <c r="L59" s="3" t="str">
        <f>IFERROR(__xludf.DUMMYFUNCTION("""COMPUTED_VALUE"""),"-")</f>
        <v>-</v>
      </c>
      <c r="M59" s="3" t="str">
        <f>IFERROR(__xludf.DUMMYFUNCTION("""COMPUTED_VALUE"""),"Approve")</f>
        <v>Approve</v>
      </c>
      <c r="N59" s="3" t="str">
        <f>IFERROR(__xludf.DUMMYFUNCTION("""COMPUTED_VALUE"""),"Normal")</f>
        <v>Normal</v>
      </c>
      <c r="O59" s="3" t="str">
        <f>IFERROR(__xludf.DUMMYFUNCTION("""COMPUTED_VALUE"""),"Non Urgent")</f>
        <v>Non Urgent</v>
      </c>
    </row>
    <row r="60">
      <c r="A60" s="4">
        <f>IFERROR(__xludf.DUMMYFUNCTION("""COMPUTED_VALUE"""),45702.41300871527)</f>
        <v>45702.41301</v>
      </c>
      <c r="B60" s="3" t="str">
        <f>IFERROR(__xludf.DUMMYFUNCTION("""COMPUTED_VALUE"""),"INNBR0011")</f>
        <v>INNBR0011</v>
      </c>
      <c r="C60" s="3" t="str">
        <f>IFERROR(__xludf.DUMMYFUNCTION("""COMPUTED_VALUE"""),"EJO")</f>
        <v>EJO</v>
      </c>
      <c r="D60" s="3" t="str">
        <f>IFERROR(__xludf.DUMMYFUNCTION("""COMPUTED_VALUE"""),"EJO/2025/02/105")</f>
        <v>EJO/2025/02/105</v>
      </c>
      <c r="E60" s="3" t="str">
        <f>IFERROR(__xludf.DUMMYFUNCTION("""COMPUTED_VALUE"""),"Autoclave Terminal")</f>
        <v>Autoclave Terminal</v>
      </c>
      <c r="F60" s="3" t="str">
        <f>IFERROR(__xludf.DUMMYFUNCTION("""COMPUTED_VALUE"""),"Advanced Control Unit LUCB05BL, 24VDC 1.25-5A Schneider")</f>
        <v>Advanced Control Unit LUCB05BL, 24VDC 1.25-5A Schneider</v>
      </c>
      <c r="G60" s="3" t="str">
        <f>IFERROR(__xludf.DUMMYFUNCTION("""COMPUTED_VALUE"""),"Sesuai penawaran")</f>
        <v>Sesuai penawaran</v>
      </c>
      <c r="H60" s="3" t="str">
        <f>IFERROR(__xludf.DUMMYFUNCTION("""COMPUTED_VALUE"""),"Schneider")</f>
        <v>Schneider</v>
      </c>
      <c r="I60" s="3">
        <f>IFERROR(__xludf.DUMMYFUNCTION("""COMPUTED_VALUE"""),2.0)</f>
        <v>2</v>
      </c>
      <c r="J60" s="3" t="str">
        <f>IFERROR(__xludf.DUMMYFUNCTION("""COMPUTED_VALUE"""),"Pcs")</f>
        <v>Pcs</v>
      </c>
      <c r="K60" s="5" t="str">
        <f>IFERROR(__xludf.DUMMYFUNCTION("""COMPUTED_VALUE"""),"https://drive.google.com/drive/folders/1G3cIZcwv7Y3w7dzznNZKN0ruRpsHdvkI?usp=drive_link")</f>
        <v>https://drive.google.com/drive/folders/1G3cIZcwv7Y3w7dzznNZKN0ruRpsHdvkI?usp=drive_link</v>
      </c>
      <c r="L60" s="3" t="str">
        <f>IFERROR(__xludf.DUMMYFUNCTION("""COMPUTED_VALUE"""),"-")</f>
        <v>-</v>
      </c>
      <c r="M60" s="3" t="str">
        <f>IFERROR(__xludf.DUMMYFUNCTION("""COMPUTED_VALUE"""),"Approve")</f>
        <v>Approve</v>
      </c>
      <c r="N60" s="3" t="str">
        <f>IFERROR(__xludf.DUMMYFUNCTION("""COMPUTED_VALUE"""),"Urgent")</f>
        <v>Urgent</v>
      </c>
      <c r="O60" s="3" t="str">
        <f>IFERROR(__xludf.DUMMYFUNCTION("""COMPUTED_VALUE"""),"Reject")</f>
        <v>Reject</v>
      </c>
    </row>
    <row r="61">
      <c r="A61" s="4">
        <f>IFERROR(__xludf.DUMMYFUNCTION("""COMPUTED_VALUE"""),45703.62409789352)</f>
        <v>45703.6241</v>
      </c>
      <c r="B61" s="3" t="str">
        <f>IFERROR(__xludf.DUMMYFUNCTION("""COMPUTED_VALUE"""),"ROSBR0007")</f>
        <v>ROSBR0007</v>
      </c>
      <c r="C61" s="3" t="str">
        <f>IFERROR(__xludf.DUMMYFUNCTION("""COMPUTED_VALUE"""),"EJO")</f>
        <v>EJO</v>
      </c>
      <c r="D61" s="3" t="str">
        <f>IFERROR(__xludf.DUMMYFUNCTION("""COMPUTED_VALUE"""),"EJO/2025/02/79")</f>
        <v>EJO/2025/02/79</v>
      </c>
      <c r="E61" s="3" t="str">
        <f>IFERROR(__xludf.DUMMYFUNCTION("""COMPUTED_VALUE"""),"Vial Washing")</f>
        <v>Vial Washing</v>
      </c>
      <c r="F61" s="3" t="str">
        <f>IFERROR(__xludf.DUMMYFUNCTION("""COMPUTED_VALUE"""),"Mur U-Nuts ")</f>
        <v>Mur U-Nuts </v>
      </c>
      <c r="G61" s="3" t="str">
        <f>IFERROR(__xludf.DUMMYFUNCTION("""COMPUTED_VALUE"""),"Single Item : UNUTSZ                 Pkg : PACK-UNUTS                     Body Material: SU304 or Equivalent                          Friction Ring Material : SUS301                                 Screw Precision: JIS6H                          Part Numb"&amp;"er type: M4                          Pitch: 0.7                                        S (Refrence Dim.): 7                                          H (Refrence Dim.) : 3.8                                                                                   "&amp;"                         m : 3                                                              (e): 8.1")</f>
        <v>Single Item : UNUTSZ                 Pkg : PACK-UNUTS                     Body Material: SU304 or Equivalent                          Friction Ring Material : SUS301                                 Screw Precision: JIS6H                          Part Number type: M4                          Pitch: 0.7                                        S (Refrence Dim.): 7                                          H (Refrence Dim.) : 3.8                                                                                                            m : 3                                                              (e): 8.1</v>
      </c>
      <c r="H61" s="3" t="str">
        <f>IFERROR(__xludf.DUMMYFUNCTION("""COMPUTED_VALUE"""),"Misumi")</f>
        <v>Misumi</v>
      </c>
      <c r="I61" s="3">
        <f>IFERROR(__xludf.DUMMYFUNCTION("""COMPUTED_VALUE"""),100.0)</f>
        <v>100</v>
      </c>
      <c r="J61" s="3" t="str">
        <f>IFERROR(__xludf.DUMMYFUNCTION("""COMPUTED_VALUE"""),"Pac")</f>
        <v>Pac</v>
      </c>
      <c r="K61" s="5" t="str">
        <f>IFERROR(__xludf.DUMMYFUNCTION("""COMPUTED_VALUE"""),"https://id.misumi-ec.com/vona2/detail/221005674670/?KWSearch=Mur+U-Nuts+&amp;searchFlow=results2products&amp;list=PageSearchResult")</f>
        <v>https://id.misumi-ec.com/vona2/detail/221005674670/?KWSearch=Mur+U-Nuts+&amp;searchFlow=results2products&amp;list=PageSearchResult</v>
      </c>
      <c r="L61" s="3" t="str">
        <f>IFERROR(__xludf.DUMMYFUNCTION("""COMPUTED_VALUE"""),"REJECT BY MFH KARENA TIPE YANG SAMA DARI MISUMI TIDAK BISA SUPPLY DAN BELUM ADA KONFIRM BALIK DARI USER")</f>
        <v>REJECT BY MFH KARENA TIPE YANG SAMA DARI MISUMI TIDAK BISA SUPPLY DAN BELUM ADA KONFIRM BALIK DARI USER</v>
      </c>
      <c r="M61" s="3" t="str">
        <f>IFERROR(__xludf.DUMMYFUNCTION("""COMPUTED_VALUE"""),"Reject")</f>
        <v>Reject</v>
      </c>
      <c r="N61" s="3" t="str">
        <f>IFERROR(__xludf.DUMMYFUNCTION("""COMPUTED_VALUE"""),"Urgent")</f>
        <v>Urgent</v>
      </c>
      <c r="O61" s="3" t="str">
        <f>IFERROR(__xludf.DUMMYFUNCTION("""COMPUTED_VALUE"""),"Non Urgent")</f>
        <v>Non Urgent</v>
      </c>
    </row>
    <row r="62">
      <c r="A62" s="4">
        <f>IFERROR(__xludf.DUMMYFUNCTION("""COMPUTED_VALUE"""),45705.505491006945)</f>
        <v>45705.50549</v>
      </c>
      <c r="B62" s="3" t="str">
        <f>IFERROR(__xludf.DUMMYFUNCTION("""COMPUTED_VALUE"""),"MOBBR0016")</f>
        <v>MOBBR0016</v>
      </c>
      <c r="C62" s="3" t="str">
        <f>IFERROR(__xludf.DUMMYFUNCTION("""COMPUTED_VALUE"""),"EJO")</f>
        <v>EJO</v>
      </c>
      <c r="D62" s="3" t="str">
        <f>IFERROR(__xludf.DUMMYFUNCTION("""COMPUTED_VALUE"""),"EJO/2025/02/127")</f>
        <v>EJO/2025/02/127</v>
      </c>
      <c r="E62" s="3" t="str">
        <f>IFERROR(__xludf.DUMMYFUNCTION("""COMPUTED_VALUE"""),"Plambing Building")</f>
        <v>Plambing Building</v>
      </c>
      <c r="F62" s="3" t="str">
        <f>IFERROR(__xludf.DUMMYFUNCTION("""COMPUTED_VALUE"""),"Pipa PVC")</f>
        <v>Pipa PVC</v>
      </c>
      <c r="G62" s="3" t="str">
        <f>IFERROR(__xludf.DUMMYFUNCTION("""COMPUTED_VALUE"""),"RUCIKA - Pipa PVC aw dia 2 1/2inch")</f>
        <v>RUCIKA - Pipa PVC aw dia 2 1/2inch</v>
      </c>
      <c r="H62" s="3" t="str">
        <f>IFERROR(__xludf.DUMMYFUNCTION("""COMPUTED_VALUE"""),"Rucika")</f>
        <v>Rucika</v>
      </c>
      <c r="I62" s="3">
        <f>IFERROR(__xludf.DUMMYFUNCTION("""COMPUTED_VALUE"""),6.0)</f>
        <v>6</v>
      </c>
      <c r="J62" s="3" t="str">
        <f>IFERROR(__xludf.DUMMYFUNCTION("""COMPUTED_VALUE"""),"Pcs")</f>
        <v>Pcs</v>
      </c>
      <c r="K62" s="5" t="str">
        <f>IFERROR(__xludf.DUMMYFUNCTION("""COMPUTED_VALUE"""),"https://shopee.co.id/PIPA-PVC-RUCIKA-2-1-2-inch-ABU-JIS-AW-VP-4-meter-i.139075405.7650982111")</f>
        <v>https://shopee.co.id/PIPA-PVC-RUCIKA-2-1-2-inch-ABU-JIS-AW-VP-4-meter-i.139075405.7650982111</v>
      </c>
      <c r="L62" s="3" t="str">
        <f>IFERROR(__xludf.DUMMYFUNCTION("""COMPUTED_VALUE"""),"Urgent Untuk penggantian piperack")</f>
        <v>Urgent Untuk penggantian piperack</v>
      </c>
      <c r="M62" s="3" t="str">
        <f>IFERROR(__xludf.DUMMYFUNCTION("""COMPUTED_VALUE"""),"Approve")</f>
        <v>Approve</v>
      </c>
      <c r="N62" s="3" t="str">
        <f>IFERROR(__xludf.DUMMYFUNCTION("""COMPUTED_VALUE"""),"Normal")</f>
        <v>Normal</v>
      </c>
      <c r="O62" s="3" t="str">
        <f>IFERROR(__xludf.DUMMYFUNCTION("""COMPUTED_VALUE"""),"Non Urgent")</f>
        <v>Non Urgent</v>
      </c>
    </row>
    <row r="63">
      <c r="A63" s="4">
        <f>IFERROR(__xludf.DUMMYFUNCTION("""COMPUTED_VALUE"""),45705.50774033565)</f>
        <v>45705.50774</v>
      </c>
      <c r="B63" s="3" t="str">
        <f>IFERROR(__xludf.DUMMYFUNCTION("""COMPUTED_VALUE"""),"MOBBR0017")</f>
        <v>MOBBR0017</v>
      </c>
      <c r="C63" s="3" t="str">
        <f>IFERROR(__xludf.DUMMYFUNCTION("""COMPUTED_VALUE"""),"Consumable")</f>
        <v>Consumable</v>
      </c>
      <c r="D63" s="3" t="str">
        <f>IFERROR(__xludf.DUMMYFUNCTION("""COMPUTED_VALUE"""),"-")</f>
        <v>-</v>
      </c>
      <c r="E63" s="3" t="str">
        <f>IFERROR(__xludf.DUMMYFUNCTION("""COMPUTED_VALUE"""),"Plambing Building")</f>
        <v>Plambing Building</v>
      </c>
      <c r="F63" s="3" t="str">
        <f>IFERROR(__xludf.DUMMYFUNCTION("""COMPUTED_VALUE"""),"Pipa PVC")</f>
        <v>Pipa PVC</v>
      </c>
      <c r="G63" s="3" t="str">
        <f>IFERROR(__xludf.DUMMYFUNCTION("""COMPUTED_VALUE"""),"RUCIKA - Pipa PVC aw dia 1 1/4inch")</f>
        <v>RUCIKA - Pipa PVC aw dia 1 1/4inch</v>
      </c>
      <c r="H63" s="3" t="str">
        <f>IFERROR(__xludf.DUMMYFUNCTION("""COMPUTED_VALUE"""),"Rucika")</f>
        <v>Rucika</v>
      </c>
      <c r="I63" s="3">
        <f>IFERROR(__xludf.DUMMYFUNCTION("""COMPUTED_VALUE"""),6.0)</f>
        <v>6</v>
      </c>
      <c r="J63" s="3" t="str">
        <f>IFERROR(__xludf.DUMMYFUNCTION("""COMPUTED_VALUE"""),"Pcs")</f>
        <v>Pcs</v>
      </c>
      <c r="K63" s="5" t="str">
        <f>IFERROR(__xludf.DUMMYFUNCTION("""COMPUTED_VALUE"""),"https://www.tokopedia.com/jsmmartofficial/rucika-pipa-air-pvc-1-1-4-inch-abu-abu-aw")</f>
        <v>https://www.tokopedia.com/jsmmartofficial/rucika-pipa-air-pvc-1-1-4-inch-abu-abu-aw</v>
      </c>
      <c r="L63" s="3" t="str">
        <f>IFERROR(__xludf.DUMMYFUNCTION("""COMPUTED_VALUE"""),"Untuk penggantian FW di Canteen")</f>
        <v>Untuk penggantian FW di Canteen</v>
      </c>
      <c r="M63" s="3" t="str">
        <f>IFERROR(__xludf.DUMMYFUNCTION("""COMPUTED_VALUE"""),"Approve")</f>
        <v>Approve</v>
      </c>
      <c r="N63" s="3" t="str">
        <f>IFERROR(__xludf.DUMMYFUNCTION("""COMPUTED_VALUE"""),"Normal")</f>
        <v>Normal</v>
      </c>
      <c r="O63" s="3" t="str">
        <f>IFERROR(__xludf.DUMMYFUNCTION("""COMPUTED_VALUE"""),"Non Urgent")</f>
        <v>Non Urgent</v>
      </c>
    </row>
    <row r="64">
      <c r="A64" s="4">
        <f>IFERROR(__xludf.DUMMYFUNCTION("""COMPUTED_VALUE"""),45705.678691701396)</f>
        <v>45705.67869</v>
      </c>
      <c r="B64" s="3" t="str">
        <f>IFERROR(__xludf.DUMMYFUNCTION("""COMPUTED_VALUE"""),"ANOBR0001")</f>
        <v>ANOBR0001</v>
      </c>
      <c r="C64" s="3" t="str">
        <f>IFERROR(__xludf.DUMMYFUNCTION("""COMPUTED_VALUE"""),"EJO")</f>
        <v>EJO</v>
      </c>
      <c r="D64" s="3" t="str">
        <f>IFERROR(__xludf.DUMMYFUNCTION("""COMPUTED_VALUE"""),"EJO/2025/02/62")</f>
        <v>EJO/2025/02/62</v>
      </c>
      <c r="E64" s="3" t="str">
        <f>IFERROR(__xludf.DUMMYFUNCTION("""COMPUTED_VALUE"""),"washing tunnel")</f>
        <v>washing tunnel</v>
      </c>
      <c r="F64" s="3" t="str">
        <f>IFERROR(__xludf.DUMMYFUNCTION("""COMPUTED_VALUE"""),"slit coupling long")</f>
        <v>slit coupling long</v>
      </c>
      <c r="G64" s="3" t="str">
        <f>IFERROR(__xludf.DUMMYFUNCTION("""COMPUTED_VALUE"""),"E-LMPL16-6-6.35")</f>
        <v>E-LMPL16-6-6.35</v>
      </c>
      <c r="H64" s="3" t="str">
        <f>IFERROR(__xludf.DUMMYFUNCTION("""COMPUTED_VALUE"""),"MISUMI")</f>
        <v>MISUMI</v>
      </c>
      <c r="I64" s="3">
        <f>IFERROR(__xludf.DUMMYFUNCTION("""COMPUTED_VALUE"""),5.0)</f>
        <v>5</v>
      </c>
      <c r="J64" s="3" t="str">
        <f>IFERROR(__xludf.DUMMYFUNCTION("""COMPUTED_VALUE"""),"pcs")</f>
        <v>pcs</v>
      </c>
      <c r="K64" s="5" t="str">
        <f>IFERROR(__xludf.DUMMYFUNCTION("""COMPUTED_VALUE"""),"https://id.misumi-ec.com/vona2/detail/110310701099/?Tab=codeList")</f>
        <v>https://id.misumi-ec.com/vona2/detail/110310701099/?Tab=codeList</v>
      </c>
      <c r="L64" s="3" t="str">
        <f>IFERROR(__xludf.DUMMYFUNCTION("""COMPUTED_VALUE"""),"untuk stock penggantian coupling jika ada kerusakan")</f>
        <v>untuk stock penggantian coupling jika ada kerusakan</v>
      </c>
      <c r="M64" s="3" t="str">
        <f>IFERROR(__xludf.DUMMYFUNCTION("""COMPUTED_VALUE"""),"Approve")</f>
        <v>Approve</v>
      </c>
      <c r="N64" s="3" t="str">
        <f>IFERROR(__xludf.DUMMYFUNCTION("""COMPUTED_VALUE"""),"Urgent")</f>
        <v>Urgent</v>
      </c>
      <c r="O64" s="3" t="str">
        <f>IFERROR(__xludf.DUMMYFUNCTION("""COMPUTED_VALUE"""),"Reject")</f>
        <v>Reject</v>
      </c>
    </row>
    <row r="65">
      <c r="A65" s="4">
        <f>IFERROR(__xludf.DUMMYFUNCTION("""COMPUTED_VALUE"""),45706.87065966435)</f>
        <v>45706.87066</v>
      </c>
      <c r="B65" s="3" t="str">
        <f>IFERROR(__xludf.DUMMYFUNCTION("""COMPUTED_VALUE"""),"INNBR0014")</f>
        <v>INNBR0014</v>
      </c>
      <c r="C65" s="3" t="str">
        <f>IFERROR(__xludf.DUMMYFUNCTION("""COMPUTED_VALUE"""),"EJO")</f>
        <v>EJO</v>
      </c>
      <c r="D65" s="3" t="str">
        <f>IFERROR(__xludf.DUMMYFUNCTION("""COMPUTED_VALUE"""),"EJO/2024/12/62")</f>
        <v>EJO/2024/12/62</v>
      </c>
      <c r="E65" s="3" t="str">
        <f>IFERROR(__xludf.DUMMYFUNCTION("""COMPUTED_VALUE"""),"Cartoning")</f>
        <v>Cartoning</v>
      </c>
      <c r="F65" s="3" t="str">
        <f>IFERROR(__xludf.DUMMYFUNCTION("""COMPUTED_VALUE"""),"Conveyor belt PU Transparan ukuran :
1120x75x1,1mm")</f>
        <v>Conveyor belt PU Transparan ukuran :
1120x75x1,1mm</v>
      </c>
      <c r="G65" s="3" t="str">
        <f>IFERROR(__xludf.DUMMYFUNCTION("""COMPUTED_VALUE"""),"-")</f>
        <v>-</v>
      </c>
      <c r="H65" s="3" t="str">
        <f>IFERROR(__xludf.DUMMYFUNCTION("""COMPUTED_VALUE"""),"Na")</f>
        <v>Na</v>
      </c>
      <c r="I65" s="3">
        <f>IFERROR(__xludf.DUMMYFUNCTION("""COMPUTED_VALUE"""),3.0)</f>
        <v>3</v>
      </c>
      <c r="J65" s="3" t="str">
        <f>IFERROR(__xludf.DUMMYFUNCTION("""COMPUTED_VALUE"""),"Pcs")</f>
        <v>Pcs</v>
      </c>
      <c r="K65" s="5" t="str">
        <f>IFERROR(__xludf.DUMMYFUNCTION("""COMPUTED_VALUE"""),"https://drive.google.com/file/d/1FuchjV4fj775NNVmhKTLGdR9WU7r5yNh/view?usp=drive_link")</f>
        <v>https://drive.google.com/file/d/1FuchjV4fj775NNVmhKTLGdR9WU7r5yNh/view?usp=drive_link</v>
      </c>
      <c r="L65" s="3" t="str">
        <f>IFERROR(__xludf.DUMMYFUNCTION("""COMPUTED_VALUE"""),"-")</f>
        <v>-</v>
      </c>
      <c r="M65" s="3" t="str">
        <f>IFERROR(__xludf.DUMMYFUNCTION("""COMPUTED_VALUE"""),"Approve")</f>
        <v>Approve</v>
      </c>
      <c r="N65" s="3" t="str">
        <f>IFERROR(__xludf.DUMMYFUNCTION("""COMPUTED_VALUE"""),"Urgent")</f>
        <v>Urgent</v>
      </c>
      <c r="O65" s="3" t="str">
        <f>IFERROR(__xludf.DUMMYFUNCTION("""COMPUTED_VALUE"""),"Reject")</f>
        <v>Reject</v>
      </c>
    </row>
    <row r="66">
      <c r="A66" s="4">
        <f>IFERROR(__xludf.DUMMYFUNCTION("""COMPUTED_VALUE"""),45707.43580172454)</f>
        <v>45707.4358</v>
      </c>
      <c r="B66" s="3" t="str">
        <f>IFERROR(__xludf.DUMMYFUNCTION("""COMPUTED_VALUE"""),"SFHBR0008")</f>
        <v>SFHBR0008</v>
      </c>
      <c r="C66" s="3" t="str">
        <f>IFERROR(__xludf.DUMMYFUNCTION("""COMPUTED_VALUE"""),"EJO")</f>
        <v>EJO</v>
      </c>
      <c r="D66" s="3" t="str">
        <f>IFERROR(__xludf.DUMMYFUNCTION("""COMPUTED_VALUE"""),"EJO/2025/02/108")</f>
        <v>EJO/2025/02/108</v>
      </c>
      <c r="E66" s="3" t="str">
        <f>IFERROR(__xludf.DUMMYFUNCTION("""COMPUTED_VALUE"""),"lantai 1")</f>
        <v>lantai 1</v>
      </c>
      <c r="F66" s="3" t="str">
        <f>IFERROR(__xludf.DUMMYFUNCTION("""COMPUTED_VALUE"""),"kawat wire mesh")</f>
        <v>kawat wire mesh</v>
      </c>
      <c r="G66" s="3" t="str">
        <f>IFERROR(__xludf.DUMMYFUNCTION("""COMPUTED_VALUE"""),"mesh 30 stanlis 304")</f>
        <v>mesh 30 stanlis 304</v>
      </c>
      <c r="H66" s="3" t="str">
        <f>IFERROR(__xludf.DUMMYFUNCTION("""COMPUTED_VALUE"""),"wire mesh ")</f>
        <v>wire mesh </v>
      </c>
      <c r="I66" s="3">
        <f>IFERROR(__xludf.DUMMYFUNCTION("""COMPUTED_VALUE"""),10.0)</f>
        <v>10</v>
      </c>
      <c r="J66" s="3" t="str">
        <f>IFERROR(__xludf.DUMMYFUNCTION("""COMPUTED_VALUE"""),"meter ")</f>
        <v>meter </v>
      </c>
      <c r="K66" s="5" t="str">
        <f>IFERROR(__xludf.DUMMYFUNCTION("""COMPUTED_VALUE"""),"https://tokopedia.link/99TlfcAw6Qb")</f>
        <v>https://tokopedia.link/99TlfcAw6Qb</v>
      </c>
      <c r="L66" s="3" t="str">
        <f>IFERROR(__xludf.DUMMYFUNCTION("""COMPUTED_VALUE"""),"-")</f>
        <v>-</v>
      </c>
      <c r="M66" s="3" t="str">
        <f>IFERROR(__xludf.DUMMYFUNCTION("""COMPUTED_VALUE"""),"Approve")</f>
        <v>Approve</v>
      </c>
      <c r="N66" s="3" t="str">
        <f>IFERROR(__xludf.DUMMYFUNCTION("""COMPUTED_VALUE"""),"Normal")</f>
        <v>Normal</v>
      </c>
      <c r="O66" s="3" t="str">
        <f>IFERROR(__xludf.DUMMYFUNCTION("""COMPUTED_VALUE"""),"Non Urgent")</f>
        <v>Non Urgent</v>
      </c>
    </row>
    <row r="67">
      <c r="A67" s="4">
        <f>IFERROR(__xludf.DUMMYFUNCTION("""COMPUTED_VALUE"""),45708.408935405096)</f>
        <v>45708.40894</v>
      </c>
      <c r="B67" s="3" t="str">
        <f>IFERROR(__xludf.DUMMYFUNCTION("""COMPUTED_VALUE"""),"RIABR0015")</f>
        <v>RIABR0015</v>
      </c>
      <c r="C67" s="3" t="str">
        <f>IFERROR(__xludf.DUMMYFUNCTION("""COMPUTED_VALUE"""),"EJO")</f>
        <v>EJO</v>
      </c>
      <c r="D67" s="3" t="str">
        <f>IFERROR(__xludf.DUMMYFUNCTION("""COMPUTED_VALUE"""),"EJO/2024/11/86")</f>
        <v>EJO/2024/11/86</v>
      </c>
      <c r="E67" s="3" t="str">
        <f>IFERROR(__xludf.DUMMYFUNCTION("""COMPUTED_VALUE"""),"PW SKID")</f>
        <v>PW SKID</v>
      </c>
      <c r="F67" s="3" t="str">
        <f>IFERROR(__xludf.DUMMYFUNCTION("""COMPUTED_VALUE"""),"UV Lamp TOC Anatel")</f>
        <v>UV Lamp TOC Anatel</v>
      </c>
      <c r="G67" s="3" t="str">
        <f>IFERROR(__xludf.DUMMYFUNCTION("""COMPUTED_VALUE"""),"TYPE FG6002601")</f>
        <v>TYPE FG6002601</v>
      </c>
      <c r="H67" s="3" t="str">
        <f>IFERROR(__xludf.DUMMYFUNCTION("""COMPUTED_VALUE"""),"Hach")</f>
        <v>Hach</v>
      </c>
      <c r="I67" s="3">
        <f>IFERROR(__xludf.DUMMYFUNCTION("""COMPUTED_VALUE"""),1.0)</f>
        <v>1</v>
      </c>
      <c r="J67" s="3" t="str">
        <f>IFERROR(__xludf.DUMMYFUNCTION("""COMPUTED_VALUE"""),"Pcs")</f>
        <v>Pcs</v>
      </c>
      <c r="K67" s="5" t="str">
        <f>IFERROR(__xludf.DUMMYFUNCTION("""COMPUTED_VALUE"""),"https://www.google.com/url?sa=i&amp;url=https%3A%2F%2Fveritaqua.com%2Fproducts%2Freplacement-lamp-for-anatel-a643-or-toc600&amp;psig=AOvVaw1bLUJdia409OUlIY0KIRHk&amp;ust=1740106090113000&amp;source=images&amp;cd=vfe&amp;opi=89978449&amp;ved=0CBQQjRxqFwoTCICpj76e0YsDFQAAAAAdAAAAABAE")</f>
        <v>https://www.google.com/url?sa=i&amp;url=https%3A%2F%2Fveritaqua.com%2Fproducts%2Freplacement-lamp-for-anatel-a643-or-toc600&amp;psig=AOvVaw1bLUJdia409OUlIY0KIRHk&amp;ust=1740106090113000&amp;source=images&amp;cd=vfe&amp;opi=89978449&amp;ved=0CBQQjRxqFwoTCICpj76e0YsDFQAAAAAdAAAAABAE</v>
      </c>
      <c r="L67" s="3" t="str">
        <f>IFERROR(__xludf.DUMMYFUNCTION("""COMPUTED_VALUE"""),"Minta tolong carikan supplier atau vendor yang punya part tersebut ya. Karena ini ada alarm pada TOC PW Skid. Udah nanya beberapa vendor infonya belum ada.")</f>
        <v>Minta tolong carikan supplier atau vendor yang punya part tersebut ya. Karena ini ada alarm pada TOC PW Skid. Udah nanya beberapa vendor infonya belum ada.</v>
      </c>
      <c r="M67" s="3" t="str">
        <f>IFERROR(__xludf.DUMMYFUNCTION("""COMPUTED_VALUE"""),"Reject")</f>
        <v>Reject</v>
      </c>
      <c r="N67" s="3" t="str">
        <f>IFERROR(__xludf.DUMMYFUNCTION("""COMPUTED_VALUE"""),"Normal")</f>
        <v>Normal</v>
      </c>
      <c r="O67" s="3" t="str">
        <f>IFERROR(__xludf.DUMMYFUNCTION("""COMPUTED_VALUE"""),"Non Urgent")</f>
        <v>Non Urgent</v>
      </c>
    </row>
    <row r="68">
      <c r="A68" s="4">
        <f>IFERROR(__xludf.DUMMYFUNCTION("""COMPUTED_VALUE"""),45708.63963178241)</f>
        <v>45708.63963</v>
      </c>
      <c r="B68" s="3" t="str">
        <f>IFERROR(__xludf.DUMMYFUNCTION("""COMPUTED_VALUE"""),"ANOBR0002")</f>
        <v>ANOBR0002</v>
      </c>
      <c r="C68" s="3" t="str">
        <f>IFERROR(__xludf.DUMMYFUNCTION("""COMPUTED_VALUE"""),"EJO")</f>
        <v>EJO</v>
      </c>
      <c r="D68" s="3" t="str">
        <f>IFERROR(__xludf.DUMMYFUNCTION("""COMPUTED_VALUE"""),"EJO/2025/02/62")</f>
        <v>EJO/2025/02/62</v>
      </c>
      <c r="E68" s="3" t="str">
        <f>IFERROR(__xludf.DUMMYFUNCTION("""COMPUTED_VALUE"""),"washing tunnel")</f>
        <v>washing tunnel</v>
      </c>
      <c r="F68" s="3" t="str">
        <f>IFERROR(__xludf.DUMMYFUNCTION("""COMPUTED_VALUE"""),"Baut pengunci Coupling")</f>
        <v>Baut pengunci Coupling</v>
      </c>
      <c r="G68" s="3" t="str">
        <f>IFERROR(__xludf.DUMMYFUNCTION("""COMPUTED_VALUE"""),"M4x4mm, pitch 0.7")</f>
        <v>M4x4mm, pitch 0.7</v>
      </c>
      <c r="H68" s="3" t="str">
        <f>IFERROR(__xludf.DUMMYFUNCTION("""COMPUTED_VALUE"""),"-")</f>
        <v>-</v>
      </c>
      <c r="I68" s="3">
        <f>IFERROR(__xludf.DUMMYFUNCTION("""COMPUTED_VALUE"""),100.0)</f>
        <v>100</v>
      </c>
      <c r="J68" s="3" t="str">
        <f>IFERROR(__xludf.DUMMYFUNCTION("""COMPUTED_VALUE"""),"Pcs")</f>
        <v>Pcs</v>
      </c>
      <c r="K68" s="5" t="str">
        <f>IFERROR(__xludf.DUMMYFUNCTION("""COMPUTED_VALUE"""),"https://tokopedia.link/TVtna2rC8Qb")</f>
        <v>https://tokopedia.link/TVtna2rC8Qb</v>
      </c>
      <c r="L68" s="3" t="str">
        <f>IFERROR(__xludf.DUMMYFUNCTION("""COMPUTED_VALUE"""),"untuk stock penggantian jika baut selek atau dol")</f>
        <v>untuk stock penggantian jika baut selek atau dol</v>
      </c>
      <c r="M68" s="3" t="str">
        <f>IFERROR(__xludf.DUMMYFUNCTION("""COMPUTED_VALUE"""),"Approve")</f>
        <v>Approve</v>
      </c>
      <c r="N68" s="3" t="str">
        <f>IFERROR(__xludf.DUMMYFUNCTION("""COMPUTED_VALUE"""),"Normal")</f>
        <v>Normal</v>
      </c>
      <c r="O68" s="3" t="str">
        <f>IFERROR(__xludf.DUMMYFUNCTION("""COMPUTED_VALUE"""),"Non Urgent")</f>
        <v>Non Urgent</v>
      </c>
    </row>
    <row r="69">
      <c r="A69" s="4">
        <f>IFERROR(__xludf.DUMMYFUNCTION("""COMPUTED_VALUE"""),45708.64757615741)</f>
        <v>45708.64758</v>
      </c>
      <c r="B69" s="3" t="str">
        <f>IFERROR(__xludf.DUMMYFUNCTION("""COMPUTED_VALUE"""),"ROSBR0008")</f>
        <v>ROSBR0008</v>
      </c>
      <c r="C69" s="3" t="str">
        <f>IFERROR(__xludf.DUMMYFUNCTION("""COMPUTED_VALUE"""),"EJO")</f>
        <v>EJO</v>
      </c>
      <c r="D69" s="3" t="str">
        <f>IFERROR(__xludf.DUMMYFUNCTION("""COMPUTED_VALUE"""),"EJO/2025/02/115")</f>
        <v>EJO/2025/02/115</v>
      </c>
      <c r="E69" s="3" t="str">
        <f>IFERROR(__xludf.DUMMYFUNCTION("""COMPUTED_VALUE"""),"mixing Mv 60L")</f>
        <v>mixing Mv 60L</v>
      </c>
      <c r="F69" s="3" t="str">
        <f>IFERROR(__xludf.DUMMYFUNCTION("""COMPUTED_VALUE"""),"O-Ring")</f>
        <v>O-Ring</v>
      </c>
      <c r="G69" s="3" t="str">
        <f>IFERROR(__xludf.DUMMYFUNCTION("""COMPUTED_VALUE"""),"o-Ring viton 
material viton
ukuran 
ID : 64mm
OD : 69 mm
tebal : 2,5mm")</f>
        <v>o-Ring viton 
material viton
ukuran 
ID : 64mm
OD : 69 mm
tebal : 2,5mm</v>
      </c>
      <c r="H69" s="3" t="str">
        <f>IFERROR(__xludf.DUMMYFUNCTION("""COMPUTED_VALUE"""),"General")</f>
        <v>General</v>
      </c>
      <c r="I69" s="3">
        <f>IFERROR(__xludf.DUMMYFUNCTION("""COMPUTED_VALUE"""),10.0)</f>
        <v>10</v>
      </c>
      <c r="J69" s="3" t="str">
        <f>IFERROR(__xludf.DUMMYFUNCTION("""COMPUTED_VALUE"""),"pcs")</f>
        <v>pcs</v>
      </c>
      <c r="K69" s="3" t="str">
        <f>IFERROR(__xludf.DUMMYFUNCTION("""COMPUTED_VALUE"""),"-")</f>
        <v>-</v>
      </c>
      <c r="L69" s="3" t="str">
        <f>IFERROR(__xludf.DUMMYFUNCTION("""COMPUTED_VALUE"""),"-")</f>
        <v>-</v>
      </c>
      <c r="M69" s="3" t="str">
        <f>IFERROR(__xludf.DUMMYFUNCTION("""COMPUTED_VALUE"""),"Approve")</f>
        <v>Approve</v>
      </c>
      <c r="N69" s="3" t="str">
        <f>IFERROR(__xludf.DUMMYFUNCTION("""COMPUTED_VALUE"""),"Normal")</f>
        <v>Normal</v>
      </c>
      <c r="O69" s="3" t="str">
        <f>IFERROR(__xludf.DUMMYFUNCTION("""COMPUTED_VALUE"""),"Non Urgent")</f>
        <v>Non Urgent</v>
      </c>
    </row>
    <row r="70">
      <c r="A70" s="4">
        <f>IFERROR(__xludf.DUMMYFUNCTION("""COMPUTED_VALUE"""),45708.65289321759)</f>
        <v>45708.65289</v>
      </c>
      <c r="B70" s="3" t="str">
        <f>IFERROR(__xludf.DUMMYFUNCTION("""COMPUTED_VALUE"""),"ANOBR0003")</f>
        <v>ANOBR0003</v>
      </c>
      <c r="C70" s="3" t="str">
        <f>IFERROR(__xludf.DUMMYFUNCTION("""COMPUTED_VALUE"""),"Consumable")</f>
        <v>Consumable</v>
      </c>
      <c r="D70" s="3" t="str">
        <f>IFERROR(__xludf.DUMMYFUNCTION("""COMPUTED_VALUE"""),"-")</f>
        <v>-</v>
      </c>
      <c r="E70" s="3" t="str">
        <f>IFERROR(__xludf.DUMMYFUNCTION("""COMPUTED_VALUE"""),"keperluan mesin las ")</f>
        <v>keperluan mesin las </v>
      </c>
      <c r="F70" s="3" t="str">
        <f>IFERROR(__xludf.DUMMYFUNCTION("""COMPUTED_VALUE"""),"Peralatan las argon, tungsten,keramik,collet,body collet")</f>
        <v>Peralatan las argon, tungsten,keramik,collet,body collet</v>
      </c>
      <c r="G70" s="3" t="str">
        <f>IFERROR(__xludf.DUMMYFUNCTION("""COMPUTED_VALUE"""),"-")</f>
        <v>-</v>
      </c>
      <c r="H70" s="3" t="str">
        <f>IFERROR(__xludf.DUMMYFUNCTION("""COMPUTED_VALUE"""),"-")</f>
        <v>-</v>
      </c>
      <c r="I70" s="3">
        <f>IFERROR(__xludf.DUMMYFUNCTION("""COMPUTED_VALUE"""),1.0)</f>
        <v>1</v>
      </c>
      <c r="J70" s="3" t="str">
        <f>IFERROR(__xludf.DUMMYFUNCTION("""COMPUTED_VALUE"""),"set")</f>
        <v>set</v>
      </c>
      <c r="K70" s="5" t="str">
        <f>IFERROR(__xludf.DUMMYFUNCTION("""COMPUTED_VALUE"""),"https://shopee.co.id/product/322184538/26855481658?gads_t_sig=VTJGc2RHVmtYMTlxTFVSVVRrdENkWVp3RFo3Mkw5czd4Z0hzdEF1WVFibGlnUHJLRWZqb3BIWDNvMVRDS2wyclk3WnRHdzNBVVJQZDhXRmpmWVBabXNZeGdLQ050VDZSejFIWHFaOXFFenVaZ2w0TCs3eVdrVkNsQVBVNERPUWY&amp;gad_source=1&amp;gclid=EA"&amp;"IaIQobChMIo_yureGCiQMVExqDAx3eLSi8EAQYBCABEgIjxPD_BwE")</f>
        <v>https://shopee.co.id/product/322184538/26855481658?gads_t_sig=VTJGc2RHVmtYMTlxTFVSVVRrdENkWVp3RFo3Mkw5czd4Z0hzdEF1WVFibGlnUHJLRWZqb3BIWDNvMVRDS2wyclk3WnRHdzNBVVJQZDhXRmpmWVBabXNZeGdLQ050VDZSejFIWHFaOXFFenVaZ2w0TCs3eVdrVkNsQVBVNERPUWY&amp;gad_source=1&amp;gclid=EAIaIQobChMIo_yureGCiQMVExqDAx3eLSi8EAQYBCABEgIjxPD_BwE</v>
      </c>
      <c r="L70" s="3" t="str">
        <f>IFERROR(__xludf.DUMMYFUNCTION("""COMPUTED_VALUE"""),"untuk keperluan pengelasan")</f>
        <v>untuk keperluan pengelasan</v>
      </c>
      <c r="M70" s="3" t="str">
        <f>IFERROR(__xludf.DUMMYFUNCTION("""COMPUTED_VALUE"""),"Approve")</f>
        <v>Approve</v>
      </c>
      <c r="N70" s="3" t="str">
        <f>IFERROR(__xludf.DUMMYFUNCTION("""COMPUTED_VALUE"""),"Normal")</f>
        <v>Normal</v>
      </c>
      <c r="O70" s="3" t="str">
        <f>IFERROR(__xludf.DUMMYFUNCTION("""COMPUTED_VALUE"""),"Non Urgent")</f>
        <v>Non Urgent</v>
      </c>
    </row>
    <row r="71">
      <c r="A71" s="4">
        <f>IFERROR(__xludf.DUMMYFUNCTION("""COMPUTED_VALUE"""),45708.65408222222)</f>
        <v>45708.65408</v>
      </c>
      <c r="B71" s="3" t="str">
        <f>IFERROR(__xludf.DUMMYFUNCTION("""COMPUTED_VALUE"""),"ANOBR0004")</f>
        <v>ANOBR0004</v>
      </c>
      <c r="C71" s="3" t="str">
        <f>IFERROR(__xludf.DUMMYFUNCTION("""COMPUTED_VALUE"""),"Consumable")</f>
        <v>Consumable</v>
      </c>
      <c r="D71" s="3" t="str">
        <f>IFERROR(__xludf.DUMMYFUNCTION("""COMPUTED_VALUE"""),"-")</f>
        <v>-</v>
      </c>
      <c r="E71" s="3" t="str">
        <f>IFERROR(__xludf.DUMMYFUNCTION("""COMPUTED_VALUE"""),"mesin gerinda")</f>
        <v>mesin gerinda</v>
      </c>
      <c r="F71" s="3" t="str">
        <f>IFERROR(__xludf.DUMMYFUNCTION("""COMPUTED_VALUE"""),"Mata gerinda poles stainless")</f>
        <v>Mata gerinda poles stainless</v>
      </c>
      <c r="G71" s="3" t="str">
        <f>IFERROR(__xludf.DUMMYFUNCTION("""COMPUTED_VALUE"""),"-")</f>
        <v>-</v>
      </c>
      <c r="H71" s="3" t="str">
        <f>IFERROR(__xludf.DUMMYFUNCTION("""COMPUTED_VALUE"""),"-")</f>
        <v>-</v>
      </c>
      <c r="I71" s="3">
        <f>IFERROR(__xludf.DUMMYFUNCTION("""COMPUTED_VALUE"""),1.0)</f>
        <v>1</v>
      </c>
      <c r="J71" s="3" t="str">
        <f>IFERROR(__xludf.DUMMYFUNCTION("""COMPUTED_VALUE"""),"box")</f>
        <v>box</v>
      </c>
      <c r="K71" s="5" t="str">
        <f>IFERROR(__xludf.DUMMYFUNCTION("""COMPUTED_VALUE"""),"https://www.monotaro.id/s029279722.html")</f>
        <v>https://www.monotaro.id/s029279722.html</v>
      </c>
      <c r="L71" s="3" t="str">
        <f>IFERROR(__xludf.DUMMYFUNCTION("""COMPUTED_VALUE"""),"keperluan menggerinda")</f>
        <v>keperluan menggerinda</v>
      </c>
      <c r="M71" s="3" t="str">
        <f>IFERROR(__xludf.DUMMYFUNCTION("""COMPUTED_VALUE"""),"Approve")</f>
        <v>Approve</v>
      </c>
      <c r="N71" s="3" t="str">
        <f>IFERROR(__xludf.DUMMYFUNCTION("""COMPUTED_VALUE"""),"Normal")</f>
        <v>Normal</v>
      </c>
      <c r="O71" s="3" t="str">
        <f>IFERROR(__xludf.DUMMYFUNCTION("""COMPUTED_VALUE"""),"Non Urgent")</f>
        <v>Non Urgent</v>
      </c>
    </row>
    <row r="72">
      <c r="A72" s="4">
        <f>IFERROR(__xludf.DUMMYFUNCTION("""COMPUTED_VALUE"""),45708.65895222222)</f>
        <v>45708.65895</v>
      </c>
      <c r="B72" s="3" t="str">
        <f>IFERROR(__xludf.DUMMYFUNCTION("""COMPUTED_VALUE"""),"ANOBR0005")</f>
        <v>ANOBR0005</v>
      </c>
      <c r="C72" s="3" t="str">
        <f>IFERROR(__xludf.DUMMYFUNCTION("""COMPUTED_VALUE"""),"Consumable")</f>
        <v>Consumable</v>
      </c>
      <c r="D72" s="3" t="str">
        <f>IFERROR(__xludf.DUMMYFUNCTION("""COMPUTED_VALUE"""),"-")</f>
        <v>-</v>
      </c>
      <c r="E72" s="3" t="str">
        <f>IFERROR(__xludf.DUMMYFUNCTION("""COMPUTED_VALUE"""),"mesin las")</f>
        <v>mesin las</v>
      </c>
      <c r="F72" s="3" t="str">
        <f>IFERROR(__xludf.DUMMYFUNCTION("""COMPUTED_VALUE"""),"Kaca kedok las hitam")</f>
        <v>Kaca kedok las hitam</v>
      </c>
      <c r="G72" s="3" t="str">
        <f>IFERROR(__xludf.DUMMYFUNCTION("""COMPUTED_VALUE"""),"LZ DIN10")</f>
        <v>LZ DIN10</v>
      </c>
      <c r="H72" s="3" t="str">
        <f>IFERROR(__xludf.DUMMYFUNCTION("""COMPUTED_VALUE"""),"-")</f>
        <v>-</v>
      </c>
      <c r="I72" s="3">
        <f>IFERROR(__xludf.DUMMYFUNCTION("""COMPUTED_VALUE"""),1.0)</f>
        <v>1</v>
      </c>
      <c r="J72" s="3" t="str">
        <f>IFERROR(__xludf.DUMMYFUNCTION("""COMPUTED_VALUE"""),"box")</f>
        <v>box</v>
      </c>
      <c r="K72" s="5" t="str">
        <f>IFERROR(__xludf.DUMMYFUNCTION("""COMPUTED_VALUE"""),"https://www.monotaro.id/s039285997.html")</f>
        <v>https://www.monotaro.id/s039285997.html</v>
      </c>
      <c r="L72" s="3" t="str">
        <f>IFERROR(__xludf.DUMMYFUNCTION("""COMPUTED_VALUE"""),"keperluan pengelasan")</f>
        <v>keperluan pengelasan</v>
      </c>
      <c r="M72" s="3" t="str">
        <f>IFERROR(__xludf.DUMMYFUNCTION("""COMPUTED_VALUE"""),"Approve")</f>
        <v>Approve</v>
      </c>
      <c r="N72" s="3" t="str">
        <f>IFERROR(__xludf.DUMMYFUNCTION("""COMPUTED_VALUE"""),"Normal")</f>
        <v>Normal</v>
      </c>
      <c r="O72" s="3" t="str">
        <f>IFERROR(__xludf.DUMMYFUNCTION("""COMPUTED_VALUE"""),"Non Urgent")</f>
        <v>Non Urgent</v>
      </c>
    </row>
    <row r="73">
      <c r="A73" s="4">
        <f>IFERROR(__xludf.DUMMYFUNCTION("""COMPUTED_VALUE"""),45708.662424594906)</f>
        <v>45708.66242</v>
      </c>
      <c r="B73" s="3" t="str">
        <f>IFERROR(__xludf.DUMMYFUNCTION("""COMPUTED_VALUE"""),"ANOBR0006")</f>
        <v>ANOBR0006</v>
      </c>
      <c r="C73" s="3" t="str">
        <f>IFERROR(__xludf.DUMMYFUNCTION("""COMPUTED_VALUE"""),"Consumable")</f>
        <v>Consumable</v>
      </c>
      <c r="D73" s="3" t="str">
        <f>IFERROR(__xludf.DUMMYFUNCTION("""COMPUTED_VALUE"""),"-")</f>
        <v>-</v>
      </c>
      <c r="E73" s="3" t="str">
        <f>IFERROR(__xludf.DUMMYFUNCTION("""COMPUTED_VALUE"""),"mesin las")</f>
        <v>mesin las</v>
      </c>
      <c r="F73" s="3" t="str">
        <f>IFERROR(__xludf.DUMMYFUNCTION("""COMPUTED_VALUE"""),"kawat las argon stainless steel")</f>
        <v>kawat las argon stainless steel</v>
      </c>
      <c r="G73" s="3" t="str">
        <f>IFERROR(__xludf.DUMMYFUNCTION("""COMPUTED_VALUE"""),"kawat las ss 308 size 1.6")</f>
        <v>kawat las ss 308 size 1.6</v>
      </c>
      <c r="H73" s="3" t="str">
        <f>IFERROR(__xludf.DUMMYFUNCTION("""COMPUTED_VALUE"""),"-")</f>
        <v>-</v>
      </c>
      <c r="I73" s="3">
        <f>IFERROR(__xludf.DUMMYFUNCTION("""COMPUTED_VALUE"""),2.0)</f>
        <v>2</v>
      </c>
      <c r="J73" s="3" t="str">
        <f>IFERROR(__xludf.DUMMYFUNCTION("""COMPUTED_VALUE"""),"kg")</f>
        <v>kg</v>
      </c>
      <c r="K73" s="5" t="str">
        <f>IFERROR(__xludf.DUMMYFUNCTION("""COMPUTED_VALUE"""),"https://www.monotaro.id/s011234999.html")</f>
        <v>https://www.monotaro.id/s011234999.html</v>
      </c>
      <c r="L73" s="3" t="str">
        <f>IFERROR(__xludf.DUMMYFUNCTION("""COMPUTED_VALUE"""),"keperluan pengelasan")</f>
        <v>keperluan pengelasan</v>
      </c>
      <c r="M73" s="3" t="str">
        <f>IFERROR(__xludf.DUMMYFUNCTION("""COMPUTED_VALUE"""),"Approve")</f>
        <v>Approve</v>
      </c>
      <c r="N73" s="3" t="str">
        <f>IFERROR(__xludf.DUMMYFUNCTION("""COMPUTED_VALUE"""),"Normal")</f>
        <v>Normal</v>
      </c>
      <c r="O73" s="3" t="str">
        <f>IFERROR(__xludf.DUMMYFUNCTION("""COMPUTED_VALUE"""),"Non Urgent")</f>
        <v>Non Urgent</v>
      </c>
    </row>
    <row r="74">
      <c r="A74" s="4">
        <f>IFERROR(__xludf.DUMMYFUNCTION("""COMPUTED_VALUE"""),45708.66446137732)</f>
        <v>45708.66446</v>
      </c>
      <c r="B74" s="3" t="str">
        <f>IFERROR(__xludf.DUMMYFUNCTION("""COMPUTED_VALUE"""),"ANOBR0007")</f>
        <v>ANOBR0007</v>
      </c>
      <c r="C74" s="3" t="str">
        <f>IFERROR(__xludf.DUMMYFUNCTION("""COMPUTED_VALUE"""),"Consumable")</f>
        <v>Consumable</v>
      </c>
      <c r="D74" s="3" t="str">
        <f>IFERROR(__xludf.DUMMYFUNCTION("""COMPUTED_VALUE"""),"-")</f>
        <v>-</v>
      </c>
      <c r="E74" s="3" t="str">
        <f>IFERROR(__xludf.DUMMYFUNCTION("""COMPUTED_VALUE"""),"mesin gerinda")</f>
        <v>mesin gerinda</v>
      </c>
      <c r="F74" s="3" t="str">
        <f>IFERROR(__xludf.DUMMYFUNCTION("""COMPUTED_VALUE"""),"facesield APD gerinda")</f>
        <v>facesield APD gerinda</v>
      </c>
      <c r="G74" s="3" t="str">
        <f>IFERROR(__xludf.DUMMYFUNCTION("""COMPUTED_VALUE"""),"-")</f>
        <v>-</v>
      </c>
      <c r="H74" s="3" t="str">
        <f>IFERROR(__xludf.DUMMYFUNCTION("""COMPUTED_VALUE"""),"-")</f>
        <v>-</v>
      </c>
      <c r="I74" s="3">
        <f>IFERROR(__xludf.DUMMYFUNCTION("""COMPUTED_VALUE"""),2.0)</f>
        <v>2</v>
      </c>
      <c r="J74" s="3" t="str">
        <f>IFERROR(__xludf.DUMMYFUNCTION("""COMPUTED_VALUE"""),"pcs")</f>
        <v>pcs</v>
      </c>
      <c r="K74" s="5" t="str">
        <f>IFERROR(__xludf.DUMMYFUNCTION("""COMPUTED_VALUE"""),"https://shopee.co.id/pelindung-wajah-Full-Face-Shield-Safety-Muka-APD-Gerinda-Visor-FACESHIELD-Safety-i.198818354.20980645147")</f>
        <v>https://shopee.co.id/pelindung-wajah-Full-Face-Shield-Safety-Muka-APD-Gerinda-Visor-FACESHIELD-Safety-i.198818354.20980645147</v>
      </c>
      <c r="L74" s="3" t="str">
        <f>IFERROR(__xludf.DUMMYFUNCTION("""COMPUTED_VALUE"""),"keperluan menggerinda")</f>
        <v>keperluan menggerinda</v>
      </c>
      <c r="M74" s="3" t="str">
        <f>IFERROR(__xludf.DUMMYFUNCTION("""COMPUTED_VALUE"""),"Approve")</f>
        <v>Approve</v>
      </c>
      <c r="N74" s="3" t="str">
        <f>IFERROR(__xludf.DUMMYFUNCTION("""COMPUTED_VALUE"""),"Normal")</f>
        <v>Normal</v>
      </c>
      <c r="O74" s="3" t="str">
        <f>IFERROR(__xludf.DUMMYFUNCTION("""COMPUTED_VALUE"""),"Non Urgent")</f>
        <v>Non Urgent</v>
      </c>
    </row>
    <row r="75">
      <c r="A75" s="4">
        <f>IFERROR(__xludf.DUMMYFUNCTION("""COMPUTED_VALUE"""),45708.66570855324)</f>
        <v>45708.66571</v>
      </c>
      <c r="B75" s="3" t="str">
        <f>IFERROR(__xludf.DUMMYFUNCTION("""COMPUTED_VALUE"""),"ANOBR0008")</f>
        <v>ANOBR0008</v>
      </c>
      <c r="C75" s="3" t="str">
        <f>IFERROR(__xludf.DUMMYFUNCTION("""COMPUTED_VALUE"""),"Consumable")</f>
        <v>Consumable</v>
      </c>
      <c r="D75" s="3" t="str">
        <f>IFERROR(__xludf.DUMMYFUNCTION("""COMPUTED_VALUE"""),"-")</f>
        <v>-</v>
      </c>
      <c r="E75" s="3" t="str">
        <f>IFERROR(__xludf.DUMMYFUNCTION("""COMPUTED_VALUE"""),"mesin las")</f>
        <v>mesin las</v>
      </c>
      <c r="F75" s="3" t="str">
        <f>IFERROR(__xludf.DUMMYFUNCTION("""COMPUTED_VALUE"""),"Elektroda SS 308 Size 2,6x300mm")</f>
        <v>Elektroda SS 308 Size 2,6x300mm</v>
      </c>
      <c r="G75" s="3" t="str">
        <f>IFERROR(__xludf.DUMMYFUNCTION("""COMPUTED_VALUE"""),"-")</f>
        <v>-</v>
      </c>
      <c r="H75" s="3" t="str">
        <f>IFERROR(__xludf.DUMMYFUNCTION("""COMPUTED_VALUE"""),"-")</f>
        <v>-</v>
      </c>
      <c r="I75" s="3">
        <f>IFERROR(__xludf.DUMMYFUNCTION("""COMPUTED_VALUE"""),1.0)</f>
        <v>1</v>
      </c>
      <c r="J75" s="3" t="str">
        <f>IFERROR(__xludf.DUMMYFUNCTION("""COMPUTED_VALUE"""),"kg")</f>
        <v>kg</v>
      </c>
      <c r="K75" s="5" t="str">
        <f>IFERROR(__xludf.DUMMYFUNCTION("""COMPUTED_VALUE"""),"https://tokopedia.link/k8YszrwhLNb")</f>
        <v>https://tokopedia.link/k8YszrwhLNb</v>
      </c>
      <c r="L75" s="3" t="str">
        <f>IFERROR(__xludf.DUMMYFUNCTION("""COMPUTED_VALUE"""),"keperluan pengelasan")</f>
        <v>keperluan pengelasan</v>
      </c>
      <c r="M75" s="3" t="str">
        <f>IFERROR(__xludf.DUMMYFUNCTION("""COMPUTED_VALUE"""),"Approve")</f>
        <v>Approve</v>
      </c>
      <c r="N75" s="3" t="str">
        <f>IFERROR(__xludf.DUMMYFUNCTION("""COMPUTED_VALUE"""),"Normal")</f>
        <v>Normal</v>
      </c>
      <c r="O75" s="3" t="str">
        <f>IFERROR(__xludf.DUMMYFUNCTION("""COMPUTED_VALUE"""),"Non Urgent")</f>
        <v>Non Urgent</v>
      </c>
    </row>
    <row r="76">
      <c r="A76" s="4">
        <f>IFERROR(__xludf.DUMMYFUNCTION("""COMPUTED_VALUE"""),45708.66689751158)</f>
        <v>45708.6669</v>
      </c>
      <c r="B76" s="3" t="str">
        <f>IFERROR(__xludf.DUMMYFUNCTION("""COMPUTED_VALUE"""),"ANOBR0009")</f>
        <v>ANOBR0009</v>
      </c>
      <c r="C76" s="3" t="str">
        <f>IFERROR(__xludf.DUMMYFUNCTION("""COMPUTED_VALUE"""),"Consumable")</f>
        <v>Consumable</v>
      </c>
      <c r="D76" s="3" t="str">
        <f>IFERROR(__xludf.DUMMYFUNCTION("""COMPUTED_VALUE"""),"-")</f>
        <v>-</v>
      </c>
      <c r="E76" s="3" t="str">
        <f>IFERROR(__xludf.DUMMYFUNCTION("""COMPUTED_VALUE"""),"mesin las")</f>
        <v>mesin las</v>
      </c>
      <c r="F76" s="3" t="str">
        <f>IFERROR(__xludf.DUMMYFUNCTION("""COMPUTED_VALUE"""),"kaca kedok las bening")</f>
        <v>kaca kedok las bening</v>
      </c>
      <c r="G76" s="3" t="str">
        <f>IFERROR(__xludf.DUMMYFUNCTION("""COMPUTED_VALUE"""),"-")</f>
        <v>-</v>
      </c>
      <c r="H76" s="3" t="str">
        <f>IFERROR(__xludf.DUMMYFUNCTION("""COMPUTED_VALUE"""),"-")</f>
        <v>-</v>
      </c>
      <c r="I76" s="3">
        <f>IFERROR(__xludf.DUMMYFUNCTION("""COMPUTED_VALUE"""),2.0)</f>
        <v>2</v>
      </c>
      <c r="J76" s="3" t="str">
        <f>IFERROR(__xludf.DUMMYFUNCTION("""COMPUTED_VALUE"""),"pcs")</f>
        <v>pcs</v>
      </c>
      <c r="K76" s="5" t="str">
        <f>IFERROR(__xludf.DUMMYFUNCTION("""COMPUTED_VALUE"""),"https://shopee.co.id/product/566750862/13033066823?gads_t_sig=VTJGc2RHVmtYMTlxTFVSVVRrdENkWVp3RFo3Mkw5czd4Z0hzdEF1WVFibGgrUmpiTWdoMHJJWjd4c2syNi8zaklya05yRnYzUmJpZWFBN3k2OXE1aGU1bzFVTzdVK2liMTJ2azBPeGZORm1ld3hJSFl0eFhqMGtTRmFIUFQ3YkU&amp;gad_source=1&amp;gclid=EA"&amp;"IaIQobChMIqcbNvuqUiQMVM6RmAh2B1xyXEAQYAiABEgJqp_D_BwE")</f>
        <v>https://shopee.co.id/product/566750862/13033066823?gads_t_sig=VTJGc2RHVmtYMTlxTFVSVVRrdENkWVp3RFo3Mkw5czd4Z0hzdEF1WVFibGgrUmpiTWdoMHJJWjd4c2syNi8zaklya05yRnYzUmJpZWFBN3k2OXE1aGU1bzFVTzdVK2liMTJ2azBPeGZORm1ld3hJSFl0eFhqMGtTRmFIUFQ3YkU&amp;gad_source=1&amp;gclid=EAIaIQobChMIqcbNvuqUiQMVM6RmAh2B1xyXEAQYAiABEgJqp_D_BwE</v>
      </c>
      <c r="L76" s="3" t="str">
        <f>IFERROR(__xludf.DUMMYFUNCTION("""COMPUTED_VALUE"""),"keperluan pengelasan")</f>
        <v>keperluan pengelasan</v>
      </c>
      <c r="M76" s="3" t="str">
        <f>IFERROR(__xludf.DUMMYFUNCTION("""COMPUTED_VALUE"""),"Approve")</f>
        <v>Approve</v>
      </c>
      <c r="N76" s="3" t="str">
        <f>IFERROR(__xludf.DUMMYFUNCTION("""COMPUTED_VALUE"""),"Normal")</f>
        <v>Normal</v>
      </c>
      <c r="O76" s="3" t="str">
        <f>IFERROR(__xludf.DUMMYFUNCTION("""COMPUTED_VALUE"""),"Non Urgent")</f>
        <v>Non Urgent</v>
      </c>
    </row>
    <row r="77">
      <c r="A77" s="4">
        <f>IFERROR(__xludf.DUMMYFUNCTION("""COMPUTED_VALUE"""),45712.48573388889)</f>
        <v>45712.48573</v>
      </c>
      <c r="B77" s="3" t="str">
        <f>IFERROR(__xludf.DUMMYFUNCTION("""COMPUTED_VALUE"""),"RIABR0016")</f>
        <v>RIABR0016</v>
      </c>
      <c r="C77" s="3" t="str">
        <f>IFERROR(__xludf.DUMMYFUNCTION("""COMPUTED_VALUE"""),"EJO")</f>
        <v>EJO</v>
      </c>
      <c r="D77" s="3" t="str">
        <f>IFERROR(__xludf.DUMMYFUNCTION("""COMPUTED_VALUE"""),"EJO/2025/02/89")</f>
        <v>EJO/2025/02/89</v>
      </c>
      <c r="E77" s="3" t="str">
        <f>IFERROR(__xludf.DUMMYFUNCTION("""COMPUTED_VALUE"""),"HO")</f>
        <v>HO</v>
      </c>
      <c r="F77" s="3" t="str">
        <f>IFERROR(__xludf.DUMMYFUNCTION("""COMPUTED_VALUE"""),"Kabel Audio")</f>
        <v>Kabel Audio</v>
      </c>
      <c r="G77" s="3" t="str">
        <f>IFERROR(__xludf.DUMMYFUNCTION("""COMPUTED_VALUE"""),"8471 Belden Shielded")</f>
        <v>8471 Belden Shielded</v>
      </c>
      <c r="H77" s="3" t="str">
        <f>IFERROR(__xludf.DUMMYFUNCTION("""COMPUTED_VALUE"""),"Belden")</f>
        <v>Belden</v>
      </c>
      <c r="I77" s="3">
        <f>IFERROR(__xludf.DUMMYFUNCTION("""COMPUTED_VALUE"""),50.0)</f>
        <v>50</v>
      </c>
      <c r="J77" s="3" t="str">
        <f>IFERROR(__xludf.DUMMYFUNCTION("""COMPUTED_VALUE"""),"Mtr")</f>
        <v>Mtr</v>
      </c>
      <c r="K77" s="5" t="str">
        <f>IFERROR(__xludf.DUMMYFUNCTION("""COMPUTED_VALUE"""),"https://www.tokopedia.com/rizqula-berkah/potongan-8471-belden-1pair-unshielded-audio-sound-contro-cable-16awg?extParam=ivf%3Dfalse%26keyword%3Dkabel+audio+shielded&amp;src=topads")</f>
        <v>https://www.tokopedia.com/rizqula-berkah/potongan-8471-belden-1pair-unshielded-audio-sound-contro-cable-16awg?extParam=ivf%3Dfalse%26keyword%3Dkabel+audio+shielded&amp;src=topads</v>
      </c>
      <c r="L77" s="3" t="str">
        <f>IFERROR(__xludf.DUMMYFUNCTION("""COMPUTED_VALUE"""),"Buat EJO mindah mic pada peging ke meja arya. Butuh kabel audio 50 meter.")</f>
        <v>Buat EJO mindah mic pada peging ke meja arya. Butuh kabel audio 50 meter.</v>
      </c>
      <c r="M77" s="3" t="str">
        <f>IFERROR(__xludf.DUMMYFUNCTION("""COMPUTED_VALUE"""),"Approve")</f>
        <v>Approve</v>
      </c>
      <c r="N77" s="3" t="str">
        <f>IFERROR(__xludf.DUMMYFUNCTION("""COMPUTED_VALUE"""),"Normal")</f>
        <v>Normal</v>
      </c>
      <c r="O77" s="3" t="str">
        <f>IFERROR(__xludf.DUMMYFUNCTION("""COMPUTED_VALUE"""),"Non Urgent")</f>
        <v>Non Urgent</v>
      </c>
    </row>
    <row r="78">
      <c r="A78" s="4">
        <f>IFERROR(__xludf.DUMMYFUNCTION("""COMPUTED_VALUE"""),45712.495239895834)</f>
        <v>45712.49524</v>
      </c>
      <c r="B78" s="3" t="str">
        <f>IFERROR(__xludf.DUMMYFUNCTION("""COMPUTED_VALUE"""),"RIABR0017")</f>
        <v>RIABR0017</v>
      </c>
      <c r="C78" s="3" t="str">
        <f>IFERROR(__xludf.DUMMYFUNCTION("""COMPUTED_VALUE"""),"EJO")</f>
        <v>EJO</v>
      </c>
      <c r="D78" s="3" t="str">
        <f>IFERROR(__xludf.DUMMYFUNCTION("""COMPUTED_VALUE"""),"EJO/2025/02/114")</f>
        <v>EJO/2025/02/114</v>
      </c>
      <c r="E78" s="3" t="str">
        <f>IFERROR(__xludf.DUMMYFUNCTION("""COMPUTED_VALUE"""),"Server")</f>
        <v>Server</v>
      </c>
      <c r="F78" s="3" t="str">
        <f>IFERROR(__xludf.DUMMYFUNCTION("""COMPUTED_VALUE"""),"Kabel Duct")</f>
        <v>Kabel Duct</v>
      </c>
      <c r="G78" s="3" t="str">
        <f>IFERROR(__xludf.DUMMYFUNCTION("""COMPUTED_VALUE"""),"Ukuran 65 x 65 Lubang")</f>
        <v>Ukuran 65 x 65 Lubang</v>
      </c>
      <c r="H78" s="3" t="str">
        <f>IFERROR(__xludf.DUMMYFUNCTION("""COMPUTED_VALUE"""),"-")</f>
        <v>-</v>
      </c>
      <c r="I78" s="3">
        <f>IFERROR(__xludf.DUMMYFUNCTION("""COMPUTED_VALUE"""),3.0)</f>
        <v>3</v>
      </c>
      <c r="J78" s="3" t="str">
        <f>IFERROR(__xludf.DUMMYFUNCTION("""COMPUTED_VALUE"""),"Btg")</f>
        <v>Btg</v>
      </c>
      <c r="K78" s="5" t="str">
        <f>IFERROR(__xludf.DUMMYFUNCTION("""COMPUTED_VALUE"""),"https://www.tokopedia.com/jasonleonardo/kabel-duct-65-x-65-abu-abu-lubang-pm?extParam=ivf%3Dfalse%26keyword%3Dkabel+duct+65+x+65&amp;src=topads")</f>
        <v>https://www.tokopedia.com/jasonleonardo/kabel-duct-65-x-65-abu-abu-lubang-pm?extParam=ivf%3Dfalse%26keyword%3Dkabel+duct+65+x+65&amp;src=topads</v>
      </c>
      <c r="L78" s="3" t="str">
        <f>IFERROR(__xludf.DUMMYFUNCTION("""COMPUTED_VALUE"""),"Digunakan untuk nutup kabel duct dibawah panel alarm system server, temuan 5r")</f>
        <v>Digunakan untuk nutup kabel duct dibawah panel alarm system server, temuan 5r</v>
      </c>
      <c r="M78" s="3" t="str">
        <f>IFERROR(__xludf.DUMMYFUNCTION("""COMPUTED_VALUE"""),"Approve")</f>
        <v>Approve</v>
      </c>
      <c r="N78" s="3" t="str">
        <f>IFERROR(__xludf.DUMMYFUNCTION("""COMPUTED_VALUE"""),"Normal")</f>
        <v>Normal</v>
      </c>
      <c r="O78" s="3" t="str">
        <f>IFERROR(__xludf.DUMMYFUNCTION("""COMPUTED_VALUE"""),"Non Urgent")</f>
        <v>Non Urgent</v>
      </c>
    </row>
    <row r="79">
      <c r="A79" s="4">
        <f>IFERROR(__xludf.DUMMYFUNCTION("""COMPUTED_VALUE"""),45712.515023900465)</f>
        <v>45712.51502</v>
      </c>
      <c r="B79" s="3" t="str">
        <f>IFERROR(__xludf.DUMMYFUNCTION("""COMPUTED_VALUE"""),"RIABR0018")</f>
        <v>RIABR0018</v>
      </c>
      <c r="C79" s="3" t="str">
        <f>IFERROR(__xludf.DUMMYFUNCTION("""COMPUTED_VALUE"""),"EJO")</f>
        <v>EJO</v>
      </c>
      <c r="D79" s="3" t="str">
        <f>IFERROR(__xludf.DUMMYFUNCTION("""COMPUTED_VALUE"""),"EJO/2025/01/119")</f>
        <v>EJO/2025/01/119</v>
      </c>
      <c r="E79" s="3" t="str">
        <f>IFERROR(__xludf.DUMMYFUNCTION("""COMPUTED_VALUE"""),"Shutter Door")</f>
        <v>Shutter Door</v>
      </c>
      <c r="F79" s="3" t="str">
        <f>IFERROR(__xludf.DUMMYFUNCTION("""COMPUTED_VALUE"""),"Tirai Shutter Door")</f>
        <v>Tirai Shutter Door</v>
      </c>
      <c r="G79" s="3" t="str">
        <f>IFERROR(__xludf.DUMMYFUNCTION("""COMPUTED_VALUE"""),"Tirai Terpal Shutter Door")</f>
        <v>Tirai Terpal Shutter Door</v>
      </c>
      <c r="H79" s="3" t="str">
        <f>IFERROR(__xludf.DUMMYFUNCTION("""COMPUTED_VALUE"""),"-")</f>
        <v>-</v>
      </c>
      <c r="I79" s="3">
        <f>IFERROR(__xludf.DUMMYFUNCTION("""COMPUTED_VALUE"""),1.0)</f>
        <v>1</v>
      </c>
      <c r="J79" s="3" t="str">
        <f>IFERROR(__xludf.DUMMYFUNCTION("""COMPUTED_VALUE"""),"Set")</f>
        <v>Set</v>
      </c>
      <c r="K79" s="3" t="str">
        <f>IFERROR(__xludf.DUMMYFUNCTION("""COMPUTED_VALUE"""),"-")</f>
        <v>-</v>
      </c>
      <c r="L79" s="3" t="str">
        <f>IFERROR(__xludf.DUMMYFUNCTION("""COMPUTED_VALUE"""),"Minta tolong carikan vendornya, ini yang kemarin sudah cek, penawaran ke fadil, mintol nanti di proses ya jika sudah ada penawaran")</f>
        <v>Minta tolong carikan vendornya, ini yang kemarin sudah cek, penawaran ke fadil, mintol nanti di proses ya jika sudah ada penawaran</v>
      </c>
      <c r="M79" s="3" t="str">
        <f>IFERROR(__xludf.DUMMYFUNCTION("""COMPUTED_VALUE"""),"Reject")</f>
        <v>Reject</v>
      </c>
      <c r="N79" s="3" t="str">
        <f>IFERROR(__xludf.DUMMYFUNCTION("""COMPUTED_VALUE"""),"Normal")</f>
        <v>Normal</v>
      </c>
      <c r="O79" s="3" t="str">
        <f>IFERROR(__xludf.DUMMYFUNCTION("""COMPUTED_VALUE"""),"Non Urgent")</f>
        <v>Non Urgent</v>
      </c>
    </row>
    <row r="80">
      <c r="A80" s="4">
        <f>IFERROR(__xludf.DUMMYFUNCTION("""COMPUTED_VALUE"""),45712.51626326388)</f>
        <v>45712.51626</v>
      </c>
      <c r="B80" s="3" t="str">
        <f>IFERROR(__xludf.DUMMYFUNCTION("""COMPUTED_VALUE"""),"RIABR0019")</f>
        <v>RIABR0019</v>
      </c>
      <c r="C80" s="3" t="str">
        <f>IFERROR(__xludf.DUMMYFUNCTION("""COMPUTED_VALUE"""),"EJO")</f>
        <v>EJO</v>
      </c>
      <c r="D80" s="3" t="str">
        <f>IFERROR(__xludf.DUMMYFUNCTION("""COMPUTED_VALUE"""),"EJO/2025/01/119")</f>
        <v>EJO/2025/01/119</v>
      </c>
      <c r="E80" s="3" t="str">
        <f>IFERROR(__xludf.DUMMYFUNCTION("""COMPUTED_VALUE"""),"Shutter Door")</f>
        <v>Shutter Door</v>
      </c>
      <c r="F80" s="3" t="str">
        <f>IFERROR(__xludf.DUMMYFUNCTION("""COMPUTED_VALUE"""),"Rubber Tirai Shutter Door")</f>
        <v>Rubber Tirai Shutter Door</v>
      </c>
      <c r="G80" s="3" t="str">
        <f>IFERROR(__xludf.DUMMYFUNCTION("""COMPUTED_VALUE"""),"Tirai Terpal Shutter Door Rubber")</f>
        <v>Tirai Terpal Shutter Door Rubber</v>
      </c>
      <c r="H80" s="3" t="str">
        <f>IFERROR(__xludf.DUMMYFUNCTION("""COMPUTED_VALUE"""),"-")</f>
        <v>-</v>
      </c>
      <c r="I80" s="3">
        <f>IFERROR(__xludf.DUMMYFUNCTION("""COMPUTED_VALUE"""),1.0)</f>
        <v>1</v>
      </c>
      <c r="J80" s="3" t="str">
        <f>IFERROR(__xludf.DUMMYFUNCTION("""COMPUTED_VALUE"""),"Set")</f>
        <v>Set</v>
      </c>
      <c r="K80" s="3" t="str">
        <f>IFERROR(__xludf.DUMMYFUNCTION("""COMPUTED_VALUE"""),"-")</f>
        <v>-</v>
      </c>
      <c r="L80" s="3" t="str">
        <f>IFERROR(__xludf.DUMMYFUNCTION("""COMPUTED_VALUE"""),"Minta tolong carikan vendornya, ini yang kemarin sudah cek, penawaran ke fadil, mintol nanti di proses ya jika sudah ada penawaran")</f>
        <v>Minta tolong carikan vendornya, ini yang kemarin sudah cek, penawaran ke fadil, mintol nanti di proses ya jika sudah ada penawaran</v>
      </c>
      <c r="M80" s="3" t="str">
        <f>IFERROR(__xludf.DUMMYFUNCTION("""COMPUTED_VALUE"""),"Reject")</f>
        <v>Reject</v>
      </c>
      <c r="N80" s="3" t="str">
        <f>IFERROR(__xludf.DUMMYFUNCTION("""COMPUTED_VALUE"""),"Normal")</f>
        <v>Normal</v>
      </c>
      <c r="O80" s="3" t="str">
        <f>IFERROR(__xludf.DUMMYFUNCTION("""COMPUTED_VALUE"""),"Non Urgent")</f>
        <v>Non Urgent</v>
      </c>
    </row>
    <row r="81">
      <c r="A81" s="4">
        <f>IFERROR(__xludf.DUMMYFUNCTION("""COMPUTED_VALUE"""),45712.51840177083)</f>
        <v>45712.5184</v>
      </c>
      <c r="B81" s="3" t="str">
        <f>IFERROR(__xludf.DUMMYFUNCTION("""COMPUTED_VALUE"""),"RIABR0020")</f>
        <v>RIABR0020</v>
      </c>
      <c r="C81" s="3" t="str">
        <f>IFERROR(__xludf.DUMMYFUNCTION("""COMPUTED_VALUE"""),"EJO")</f>
        <v>EJO</v>
      </c>
      <c r="D81" s="3" t="str">
        <f>IFERROR(__xludf.DUMMYFUNCTION("""COMPUTED_VALUE"""),"EJO/2024/11/95")</f>
        <v>EJO/2024/11/95</v>
      </c>
      <c r="E81" s="3" t="str">
        <f>IFERROR(__xludf.DUMMYFUNCTION("""COMPUTED_VALUE"""),"Kantin")</f>
        <v>Kantin</v>
      </c>
      <c r="F81" s="3" t="str">
        <f>IFERROR(__xludf.DUMMYFUNCTION("""COMPUTED_VALUE"""),"Pengunci Lemari")</f>
        <v>Pengunci Lemari</v>
      </c>
      <c r="G81" s="3" t="str">
        <f>IFERROR(__xludf.DUMMYFUNCTION("""COMPUTED_VALUE"""),"Kunci Laci Lemari Loker Slide HUBEN Mekar HL-505
Diameter Silinder : 19 mm
Material Silinder : Zinc Alloy
Material Kerangka : Zinc Alloy")</f>
        <v>Kunci Laci Lemari Loker Slide HUBEN Mekar HL-505
Diameter Silinder : 19 mm
Material Silinder : Zinc Alloy
Material Kerangka : Zinc Alloy</v>
      </c>
      <c r="H81" s="3" t="str">
        <f>IFERROR(__xludf.DUMMYFUNCTION("""COMPUTED_VALUE"""),"Huben")</f>
        <v>Huben</v>
      </c>
      <c r="I81" s="3">
        <f>IFERROR(__xludf.DUMMYFUNCTION("""COMPUTED_VALUE"""),4.0)</f>
        <v>4</v>
      </c>
      <c r="J81" s="3" t="str">
        <f>IFERROR(__xludf.DUMMYFUNCTION("""COMPUTED_VALUE"""),"Pcs")</f>
        <v>Pcs</v>
      </c>
      <c r="K81" s="5" t="str">
        <f>IFERROR(__xludf.DUMMYFUNCTION("""COMPUTED_VALUE"""),"https://www.tokopedia.com/tokocatpaswarna/kunci-laci-lemari-loker-slide-huben-mekar-hl-505?extParam=ivf%3Dfalse%26keyword%3Dkunci+lemari+slide%26search_id%3D202502240507135A2B7C3ED7DFF42C7G63%26src%3Dsearch")</f>
        <v>https://www.tokopedia.com/tokocatpaswarna/kunci-laci-lemari-loker-slide-huben-mekar-hl-505?extParam=ivf%3Dfalse%26keyword%3Dkunci+lemari+slide%26search_id%3D202502240507135A2B7C3ED7DFF42C7G63%26src%3Dsearch</v>
      </c>
      <c r="L81" s="3" t="str">
        <f>IFERROR(__xludf.DUMMYFUNCTION("""COMPUTED_VALUE"""),"Untuk pengunci lemari kitchen set di pantry warehouse.")</f>
        <v>Untuk pengunci lemari kitchen set di pantry warehouse.</v>
      </c>
      <c r="M81" s="3" t="str">
        <f>IFERROR(__xludf.DUMMYFUNCTION("""COMPUTED_VALUE"""),"Approve")</f>
        <v>Approve</v>
      </c>
      <c r="N81" s="3" t="str">
        <f>IFERROR(__xludf.DUMMYFUNCTION("""COMPUTED_VALUE"""),"Normal")</f>
        <v>Normal</v>
      </c>
      <c r="O81" s="3" t="str">
        <f>IFERROR(__xludf.DUMMYFUNCTION("""COMPUTED_VALUE"""),"Non Urgent")</f>
        <v>Non Urgent</v>
      </c>
    </row>
    <row r="82">
      <c r="A82" s="4">
        <f>IFERROR(__xludf.DUMMYFUNCTION("""COMPUTED_VALUE"""),45712.55976002315)</f>
        <v>45712.55976</v>
      </c>
      <c r="B82" s="3" t="str">
        <f>IFERROR(__xludf.DUMMYFUNCTION("""COMPUTED_VALUE"""),"ANOBR0010")</f>
        <v>ANOBR0010</v>
      </c>
      <c r="C82" s="3" t="str">
        <f>IFERROR(__xludf.DUMMYFUNCTION("""COMPUTED_VALUE"""),"EJO")</f>
        <v>EJO</v>
      </c>
      <c r="D82" s="3" t="str">
        <f>IFERROR(__xludf.DUMMYFUNCTION("""COMPUTED_VALUE"""),"EJO/2025/02/170")</f>
        <v>EJO/2025/02/170</v>
      </c>
      <c r="E82" s="3" t="str">
        <f>IFERROR(__xludf.DUMMYFUNCTION("""COMPUTED_VALUE"""),"Autoclave decontame")</f>
        <v>Autoclave decontame</v>
      </c>
      <c r="F82" s="3" t="str">
        <f>IFERROR(__xludf.DUMMYFUNCTION("""COMPUTED_VALUE"""),"oring seal")</f>
        <v>oring seal</v>
      </c>
      <c r="G82" s="3" t="str">
        <f>IFERROR(__xludf.DUMMYFUNCTION("""COMPUTED_VALUE"""),"silicon OD : 15, ID: 11, T: 1,7")</f>
        <v>silicon OD : 15, ID: 11, T: 1,7</v>
      </c>
      <c r="H82" s="3" t="str">
        <f>IFERROR(__xludf.DUMMYFUNCTION("""COMPUTED_VALUE"""),"-")</f>
        <v>-</v>
      </c>
      <c r="I82" s="3">
        <f>IFERROR(__xludf.DUMMYFUNCTION("""COMPUTED_VALUE"""),10.0)</f>
        <v>10</v>
      </c>
      <c r="J82" s="3" t="str">
        <f>IFERROR(__xludf.DUMMYFUNCTION("""COMPUTED_VALUE"""),"pcs")</f>
        <v>pcs</v>
      </c>
      <c r="K82" s="3" t="str">
        <f>IFERROR(__xludf.DUMMYFUNCTION("""COMPUTED_VALUE"""),"-")</f>
        <v>-</v>
      </c>
      <c r="L82" s="3" t="str">
        <f>IFERROR(__xludf.DUMMYFUNCTION("""COMPUTED_VALUE"""),"keperluan ganti part di autoclave decontam")</f>
        <v>keperluan ganti part di autoclave decontam</v>
      </c>
      <c r="M82" s="3" t="str">
        <f>IFERROR(__xludf.DUMMYFUNCTION("""COMPUTED_VALUE"""),"Approve")</f>
        <v>Approve</v>
      </c>
      <c r="N82" s="3" t="str">
        <f>IFERROR(__xludf.DUMMYFUNCTION("""COMPUTED_VALUE"""),"Normal")</f>
        <v>Normal</v>
      </c>
      <c r="O82" s="3" t="str">
        <f>IFERROR(__xludf.DUMMYFUNCTION("""COMPUTED_VALUE"""),"Non Urgent")</f>
        <v>Non Urgent</v>
      </c>
    </row>
    <row r="83">
      <c r="A83" s="4">
        <f>IFERROR(__xludf.DUMMYFUNCTION("""COMPUTED_VALUE"""),45712.559842187504)</f>
        <v>45712.55984</v>
      </c>
      <c r="B83" s="3" t="str">
        <f>IFERROR(__xludf.DUMMYFUNCTION("""COMPUTED_VALUE"""),"ANOBR0011")</f>
        <v>ANOBR0011</v>
      </c>
      <c r="C83" s="3" t="str">
        <f>IFERROR(__xludf.DUMMYFUNCTION("""COMPUTED_VALUE"""),"EJO")</f>
        <v>EJO</v>
      </c>
      <c r="D83" s="3" t="str">
        <f>IFERROR(__xludf.DUMMYFUNCTION("""COMPUTED_VALUE"""),"EJO/2025/02/170")</f>
        <v>EJO/2025/02/170</v>
      </c>
      <c r="E83" s="3" t="str">
        <f>IFERROR(__xludf.DUMMYFUNCTION("""COMPUTED_VALUE"""),"Autoclave decontame")</f>
        <v>Autoclave decontame</v>
      </c>
      <c r="F83" s="3" t="str">
        <f>IFERROR(__xludf.DUMMYFUNCTION("""COMPUTED_VALUE"""),"oring seal")</f>
        <v>oring seal</v>
      </c>
      <c r="G83" s="3" t="str">
        <f>IFERROR(__xludf.DUMMYFUNCTION("""COMPUTED_VALUE"""),"EPDM OD: 15, ID: 9.5, T: 1.9 (Bentuk gepeng)")</f>
        <v>EPDM OD: 15, ID: 9.5, T: 1.9 (Bentuk gepeng)</v>
      </c>
      <c r="H83" s="3" t="str">
        <f>IFERROR(__xludf.DUMMYFUNCTION("""COMPUTED_VALUE"""),"-")</f>
        <v>-</v>
      </c>
      <c r="I83" s="3">
        <f>IFERROR(__xludf.DUMMYFUNCTION("""COMPUTED_VALUE"""),10.0)</f>
        <v>10</v>
      </c>
      <c r="J83" s="3" t="str">
        <f>IFERROR(__xludf.DUMMYFUNCTION("""COMPUTED_VALUE"""),"pcs")</f>
        <v>pcs</v>
      </c>
      <c r="K83" s="3" t="str">
        <f>IFERROR(__xludf.DUMMYFUNCTION("""COMPUTED_VALUE"""),"-")</f>
        <v>-</v>
      </c>
      <c r="L83" s="3" t="str">
        <f>IFERROR(__xludf.DUMMYFUNCTION("""COMPUTED_VALUE"""),"keperluan ganti part di autoclave decontam")</f>
        <v>keperluan ganti part di autoclave decontam</v>
      </c>
      <c r="M83" s="3" t="str">
        <f>IFERROR(__xludf.DUMMYFUNCTION("""COMPUTED_VALUE"""),"Approve")</f>
        <v>Approve</v>
      </c>
      <c r="N83" s="3" t="str">
        <f>IFERROR(__xludf.DUMMYFUNCTION("""COMPUTED_VALUE"""),"Normal")</f>
        <v>Normal</v>
      </c>
      <c r="O83" s="3" t="str">
        <f>IFERROR(__xludf.DUMMYFUNCTION("""COMPUTED_VALUE"""),"Non Urgent")</f>
        <v>Non Urgent</v>
      </c>
    </row>
    <row r="84">
      <c r="A84" s="4">
        <f>IFERROR(__xludf.DUMMYFUNCTION("""COMPUTED_VALUE"""),45712.58252472222)</f>
        <v>45712.58252</v>
      </c>
      <c r="B84" s="3" t="str">
        <f>IFERROR(__xludf.DUMMYFUNCTION("""COMPUTED_VALUE"""),"RIABR0022")</f>
        <v>RIABR0022</v>
      </c>
      <c r="C84" s="3" t="str">
        <f>IFERROR(__xludf.DUMMYFUNCTION("""COMPUTED_VALUE"""),"EJO")</f>
        <v>EJO</v>
      </c>
      <c r="D84" s="3" t="str">
        <f>IFERROR(__xludf.DUMMYFUNCTION("""COMPUTED_VALUE"""),"EJO/2025/02/126")</f>
        <v>EJO/2025/02/126</v>
      </c>
      <c r="E84" s="3" t="str">
        <f>IFERROR(__xludf.DUMMYFUNCTION("""COMPUTED_VALUE"""),"AHU E1-3")</f>
        <v>AHU E1-3</v>
      </c>
      <c r="F84" s="3" t="str">
        <f>IFERROR(__xludf.DUMMYFUNCTION("""COMPUTED_VALUE"""),"LCD Inverter")</f>
        <v>LCD Inverter</v>
      </c>
      <c r="G84" s="3" t="str">
        <f>IFERROR(__xludf.DUMMYFUNCTION("""COMPUTED_VALUE"""),"Control Panel LCP 102 Danfoss display inverter keypad")</f>
        <v>Control Panel LCP 102 Danfoss display inverter keypad</v>
      </c>
      <c r="H84" s="3" t="str">
        <f>IFERROR(__xludf.DUMMYFUNCTION("""COMPUTED_VALUE"""),"Danfoss")</f>
        <v>Danfoss</v>
      </c>
      <c r="I84" s="3">
        <f>IFERROR(__xludf.DUMMYFUNCTION("""COMPUTED_VALUE"""),1.0)</f>
        <v>1</v>
      </c>
      <c r="J84" s="3" t="str">
        <f>IFERROR(__xludf.DUMMYFUNCTION("""COMPUTED_VALUE"""),"Pcs")</f>
        <v>Pcs</v>
      </c>
      <c r="K84" s="5" t="str">
        <f>IFERROR(__xludf.DUMMYFUNCTION("""COMPUTED_VALUE"""),"https://www.tokopedia.com/zentama/control-panel-lcp-102-danfoss-display-inverter-kiped?extParam=ivf%3Dfalse%26keyword%3Dlcp+danfoss%26search_id%3D2025013023320395B43E7F03282537D7CP%26src%3Dsearch")</f>
        <v>https://www.tokopedia.com/zentama/control-panel-lcp-102-danfoss-display-inverter-kiped?extParam=ivf%3Dfalse%26keyword%3Dlcp+danfoss%26search_id%3D2025013023320395B43E7F03282537D7CP%26src%3Dsearch</v>
      </c>
      <c r="L84" s="3" t="str">
        <f>IFERROR(__xludf.DUMMYFUNCTION("""COMPUTED_VALUE"""),"LCD Inverter AHU Danfoss Vignet, ini buat gantinya")</f>
        <v>LCD Inverter AHU Danfoss Vignet, ini buat gantinya</v>
      </c>
      <c r="M84" s="3" t="str">
        <f>IFERROR(__xludf.DUMMYFUNCTION("""COMPUTED_VALUE"""),"Approve")</f>
        <v>Approve</v>
      </c>
      <c r="N84" s="3" t="str">
        <f>IFERROR(__xludf.DUMMYFUNCTION("""COMPUTED_VALUE"""),"Normal")</f>
        <v>Normal</v>
      </c>
      <c r="O84" s="3" t="str">
        <f>IFERROR(__xludf.DUMMYFUNCTION("""COMPUTED_VALUE"""),"Non Urgent")</f>
        <v>Non Urgent</v>
      </c>
    </row>
    <row r="85">
      <c r="A85" s="4">
        <f>IFERROR(__xludf.DUMMYFUNCTION("""COMPUTED_VALUE"""),45713.3941837963)</f>
        <v>45713.39418</v>
      </c>
      <c r="B85" s="3" t="str">
        <f>IFERROR(__xludf.DUMMYFUNCTION("""COMPUTED_VALUE"""),"SHFBR0001")</f>
        <v>SHFBR0001</v>
      </c>
      <c r="C85" s="3" t="str">
        <f>IFERROR(__xludf.DUMMYFUNCTION("""COMPUTED_VALUE"""),"EJO")</f>
        <v>EJO</v>
      </c>
      <c r="D85" s="3" t="str">
        <f>IFERROR(__xludf.DUMMYFUNCTION("""COMPUTED_VALUE"""),"EJO/2024/12/158")</f>
        <v>EJO/2024/12/158</v>
      </c>
      <c r="E85" s="3" t="str">
        <f>IFERROR(__xludf.DUMMYFUNCTION("""COMPUTED_VALUE"""),"Tank Hot Water OSD")</f>
        <v>Tank Hot Water OSD</v>
      </c>
      <c r="F85" s="3" t="str">
        <f>IFERROR(__xludf.DUMMYFUNCTION("""COMPUTED_VALUE"""),"PIpa 1 Inch Aw")</f>
        <v>PIpa 1 Inch Aw</v>
      </c>
      <c r="G85" s="3" t="str">
        <f>IFERROR(__xludf.DUMMYFUNCTION("""COMPUTED_VALUE"""),"pipa PVC yang AW yang warna ABU ")</f>
        <v>pipa PVC yang AW yang warna ABU </v>
      </c>
      <c r="H85" s="3" t="str">
        <f>IFERROR(__xludf.DUMMYFUNCTION("""COMPUTED_VALUE"""),"Rucika")</f>
        <v>Rucika</v>
      </c>
      <c r="I85" s="3">
        <f>IFERROR(__xludf.DUMMYFUNCTION("""COMPUTED_VALUE"""),4.0)</f>
        <v>4</v>
      </c>
      <c r="J85" s="3" t="str">
        <f>IFERROR(__xludf.DUMMYFUNCTION("""COMPUTED_VALUE"""),"Btg")</f>
        <v>Btg</v>
      </c>
      <c r="K85" s="5" t="str">
        <f>IFERROR(__xludf.DUMMYFUNCTION("""COMPUTED_VALUE"""),"https://www.tokopedia.com/discovery/rekomendasi?recomProdId=13450055747&amp;utm_source=google&amp;utm_medium=cpc&amp;utm_campaign=0000-0000-gg-pmax-bend-voo-tcpa-act-ord-pg-id51pgce51-0000-alon-gshp&amp;utm_term=13450055747&amp;ref=googleshopping&amp;c=21543673600&amp;m=283064554&amp;gc"&amp;"lsrc=aw.ds&amp;gad_source=4")</f>
        <v>https://www.tokopedia.com/discovery/rekomendasi?recomProdId=13450055747&amp;utm_source=google&amp;utm_medium=cpc&amp;utm_campaign=0000-0000-gg-pmax-bend-voo-tcpa-act-ord-pg-id51pgce51-0000-alon-gshp&amp;utm_term=13450055747&amp;ref=googleshopping&amp;c=21543673600&amp;m=283064554&amp;gclsrc=aw.ds&amp;gad_source=4</v>
      </c>
      <c r="L85" s="3" t="str">
        <f>IFERROR(__xludf.DUMMYFUNCTION("""COMPUTED_VALUE"""),"Pipa PVC 1 Inch AW JIS yang warna ABU")</f>
        <v>Pipa PVC 1 Inch AW JIS yang warna ABU</v>
      </c>
      <c r="M85" s="3" t="str">
        <f>IFERROR(__xludf.DUMMYFUNCTION("""COMPUTED_VALUE"""),"Approve")</f>
        <v>Approve</v>
      </c>
      <c r="N85" s="3" t="str">
        <f>IFERROR(__xludf.DUMMYFUNCTION("""COMPUTED_VALUE"""),"Normal")</f>
        <v>Normal</v>
      </c>
      <c r="O85" s="3" t="str">
        <f>IFERROR(__xludf.DUMMYFUNCTION("""COMPUTED_VALUE"""),"Non Urgent")</f>
        <v>Non Urgent</v>
      </c>
    </row>
    <row r="86">
      <c r="A86" s="4">
        <f>IFERROR(__xludf.DUMMYFUNCTION("""COMPUTED_VALUE"""),45713.3987574537)</f>
        <v>45713.39876</v>
      </c>
      <c r="B86" s="3" t="str">
        <f>IFERROR(__xludf.DUMMYFUNCTION("""COMPUTED_VALUE"""),"SHFBR0002")</f>
        <v>SHFBR0002</v>
      </c>
      <c r="C86" s="3" t="str">
        <f>IFERROR(__xludf.DUMMYFUNCTION("""COMPUTED_VALUE"""),"EJO")</f>
        <v>EJO</v>
      </c>
      <c r="D86" s="3" t="str">
        <f>IFERROR(__xludf.DUMMYFUNCTION("""COMPUTED_VALUE"""),"EJO/2024/12/158")</f>
        <v>EJO/2024/12/158</v>
      </c>
      <c r="E86" s="3" t="str">
        <f>IFERROR(__xludf.DUMMYFUNCTION("""COMPUTED_VALUE"""),"Tank Hot Water OSD")</f>
        <v>Tank Hot Water OSD</v>
      </c>
      <c r="F86" s="3" t="str">
        <f>IFERROR(__xludf.DUMMYFUNCTION("""COMPUTED_VALUE"""),"Gate Valve 2 Inch")</f>
        <v>Gate Valve 2 Inch</v>
      </c>
      <c r="G86" s="3" t="str">
        <f>IFERROR(__xludf.DUMMYFUNCTION("""COMPUTED_VALUE"""),"Gate Valve 2 Inch ")</f>
        <v>Gate Valve 2 Inch </v>
      </c>
      <c r="H86" s="3" t="str">
        <f>IFERROR(__xludf.DUMMYFUNCTION("""COMPUTED_VALUE"""),"Kitz")</f>
        <v>Kitz</v>
      </c>
      <c r="I86" s="3">
        <f>IFERROR(__xludf.DUMMYFUNCTION("""COMPUTED_VALUE"""),2.0)</f>
        <v>2</v>
      </c>
      <c r="J86" s="3" t="str">
        <f>IFERROR(__xludf.DUMMYFUNCTION("""COMPUTED_VALUE"""),"Pcs")</f>
        <v>Pcs</v>
      </c>
      <c r="K86" s="5" t="str">
        <f>IFERROR(__xludf.DUMMYFUNCTION("""COMPUTED_VALUE"""),"https://shopee.co.id/product/4401445/19973815449?gads_t_sig=VTJGc2RHVmtYMTlxTFVSVVRrdENkVEg0SDd3VWo1MDQyT052d3EvY1B4WlA0WStXZUtwcVc5OWY1ZjZJNmJOdFJubHlteVNIZ3MwMDE1T1BGdXozaERpaUc2ZG5oalBFSlp0RU82SmxDYmNIU0J4Vk9TNjlYejZSTnl1UHJyREk")</f>
        <v>https://shopee.co.id/product/4401445/19973815449?gads_t_sig=VTJGc2RHVmtYMTlxTFVSVVRrdENkVEg0SDd3VWo1MDQyT052d3EvY1B4WlA0WStXZUtwcVc5OWY1ZjZJNmJOdFJubHlteVNIZ3MwMDE1T1BGdXozaERpaUc2ZG5oalBFSlp0RU82SmxDYmNIU0J4Vk9TNjlYejZSTnl1UHJyREk</v>
      </c>
      <c r="L86" s="3" t="str">
        <f>IFERROR(__xludf.DUMMYFUNCTION("""COMPUTED_VALUE"""),"Gate Valve 2 Inch (kitz) untuk PVC")</f>
        <v>Gate Valve 2 Inch (kitz) untuk PVC</v>
      </c>
      <c r="M86" s="3" t="str">
        <f>IFERROR(__xludf.DUMMYFUNCTION("""COMPUTED_VALUE"""),"Approve")</f>
        <v>Approve</v>
      </c>
      <c r="N86" s="3" t="str">
        <f>IFERROR(__xludf.DUMMYFUNCTION("""COMPUTED_VALUE"""),"Normal")</f>
        <v>Normal</v>
      </c>
      <c r="O86" s="3" t="str">
        <f>IFERROR(__xludf.DUMMYFUNCTION("""COMPUTED_VALUE"""),"Non Urgent")</f>
        <v>Non Urgent</v>
      </c>
    </row>
    <row r="87">
      <c r="A87" s="4">
        <f>IFERROR(__xludf.DUMMYFUNCTION("""COMPUTED_VALUE"""),45713.404929247685)</f>
        <v>45713.40493</v>
      </c>
      <c r="B87" s="3" t="str">
        <f>IFERROR(__xludf.DUMMYFUNCTION("""COMPUTED_VALUE"""),"SHFBR0003")</f>
        <v>SHFBR0003</v>
      </c>
      <c r="C87" s="3" t="str">
        <f>IFERROR(__xludf.DUMMYFUNCTION("""COMPUTED_VALUE"""),"EJO")</f>
        <v>EJO</v>
      </c>
      <c r="D87" s="3" t="str">
        <f>IFERROR(__xludf.DUMMYFUNCTION("""COMPUTED_VALUE"""),"EJO/2024/12/158")</f>
        <v>EJO/2024/12/158</v>
      </c>
      <c r="E87" s="3" t="str">
        <f>IFERROR(__xludf.DUMMYFUNCTION("""COMPUTED_VALUE"""),"Tank Hot Water OSD")</f>
        <v>Tank Hot Water OSD</v>
      </c>
      <c r="F87" s="3" t="str">
        <f>IFERROR(__xludf.DUMMYFUNCTION("""COMPUTED_VALUE"""),"Hanger Clam/kelm Gantungan  2 Inch ")</f>
        <v>Hanger Clam/kelm Gantungan  2 Inch </v>
      </c>
      <c r="G87" s="3" t="str">
        <f>IFERROR(__xludf.DUMMYFUNCTION("""COMPUTED_VALUE"""),"Hanger clam/ klem gantungan untuk klem dan support pipa PVC 2 inch ")</f>
        <v>Hanger clam/ klem gantungan untuk klem dan support pipa PVC 2 inch </v>
      </c>
      <c r="H87" s="3" t="str">
        <f>IFERROR(__xludf.DUMMYFUNCTION("""COMPUTED_VALUE"""),"-")</f>
        <v>-</v>
      </c>
      <c r="I87" s="3">
        <f>IFERROR(__xludf.DUMMYFUNCTION("""COMPUTED_VALUE"""),15.0)</f>
        <v>15</v>
      </c>
      <c r="J87" s="3" t="str">
        <f>IFERROR(__xludf.DUMMYFUNCTION("""COMPUTED_VALUE"""),"Pcs")</f>
        <v>Pcs</v>
      </c>
      <c r="K87" s="5" t="str">
        <f>IFERROR(__xludf.DUMMYFUNCTION("""COMPUTED_VALUE"""),"https://www.tokopedia.com/discovery/rekomendasi?recomProdId=863672718&amp;utm_source=google&amp;utm_medium=cpc&amp;utm_campaign=0000-0000-gg-pmax-bend-voo-tcpa-act-ord-pg-id51pgce51-0000-alon-gshp&amp;utm_term=863672718&amp;ref=googleshopping&amp;c=21543673600&amp;m=287358447&amp;gclsrc"&amp;"=aw.ds&amp;gad_source=4")</f>
        <v>https://www.tokopedia.com/discovery/rekomendasi?recomProdId=863672718&amp;utm_source=google&amp;utm_medium=cpc&amp;utm_campaign=0000-0000-gg-pmax-bend-voo-tcpa-act-ord-pg-id51pgce51-0000-alon-gshp&amp;utm_term=863672718&amp;ref=googleshopping&amp;c=21543673600&amp;m=287358447&amp;gclsrc=aw.ds&amp;gad_source=4</v>
      </c>
      <c r="L87" s="3" t="str">
        <f>IFERROR(__xludf.DUMMYFUNCTION("""COMPUTED_VALUE"""),"Klem gantungan/ hanger gantungan buat support pipa 2 inch ")</f>
        <v>Klem gantungan/ hanger gantungan buat support pipa 2 inch </v>
      </c>
      <c r="M87" s="3" t="str">
        <f>IFERROR(__xludf.DUMMYFUNCTION("""COMPUTED_VALUE"""),"Approve")</f>
        <v>Approve</v>
      </c>
      <c r="N87" s="3" t="str">
        <f>IFERROR(__xludf.DUMMYFUNCTION("""COMPUTED_VALUE"""),"Normal")</f>
        <v>Normal</v>
      </c>
      <c r="O87" s="3" t="str">
        <f>IFERROR(__xludf.DUMMYFUNCTION("""COMPUTED_VALUE"""),"Non Urgent")</f>
        <v>Non Urgent</v>
      </c>
    </row>
    <row r="88">
      <c r="A88" s="4">
        <f>IFERROR(__xludf.DUMMYFUNCTION("""COMPUTED_VALUE"""),45713.40760268518)</f>
        <v>45713.4076</v>
      </c>
      <c r="B88" s="3" t="str">
        <f>IFERROR(__xludf.DUMMYFUNCTION("""COMPUTED_VALUE"""),"SHFBR0004")</f>
        <v>SHFBR0004</v>
      </c>
      <c r="C88" s="3" t="str">
        <f>IFERROR(__xludf.DUMMYFUNCTION("""COMPUTED_VALUE"""),"EJO")</f>
        <v>EJO</v>
      </c>
      <c r="D88" s="3" t="str">
        <f>IFERROR(__xludf.DUMMYFUNCTION("""COMPUTED_VALUE"""),"EJO/2024/12/158")</f>
        <v>EJO/2024/12/158</v>
      </c>
      <c r="E88" s="3" t="str">
        <f>IFERROR(__xludf.DUMMYFUNCTION("""COMPUTED_VALUE"""),"Tank Hot Water OSD")</f>
        <v>Tank Hot Water OSD</v>
      </c>
      <c r="F88" s="3" t="str">
        <f>IFERROR(__xludf.DUMMYFUNCTION("""COMPUTED_VALUE"""),"Socket pipa 2 inch ")</f>
        <v>Socket pipa 2 inch </v>
      </c>
      <c r="G88" s="3" t="str">
        <f>IFERROR(__xludf.DUMMYFUNCTION("""COMPUTED_VALUE"""),"Socket Pipa PVC 2 Inch AW JIS yang warna abu")</f>
        <v>Socket Pipa PVC 2 Inch AW JIS yang warna abu</v>
      </c>
      <c r="H88" s="3" t="str">
        <f>IFERROR(__xludf.DUMMYFUNCTION("""COMPUTED_VALUE"""),"Rucika")</f>
        <v>Rucika</v>
      </c>
      <c r="I88" s="3">
        <f>IFERROR(__xludf.DUMMYFUNCTION("""COMPUTED_VALUE"""),6.0)</f>
        <v>6</v>
      </c>
      <c r="J88" s="3" t="str">
        <f>IFERROR(__xludf.DUMMYFUNCTION("""COMPUTED_VALUE"""),"Pcs")</f>
        <v>Pcs</v>
      </c>
      <c r="K88" s="5" t="str">
        <f>IFERROR(__xludf.DUMMYFUNCTION("""COMPUTED_VALUE"""),"https://www.monotaro.id/items/s044354671.html?utm_source=google&amp;utm_medium=pla&amp;utm_campaign=1672206402&amp;utm_content=88187085595&amp;utm_term=readystock_cat_group_2_pricebrand_group_2&amp;gad_source=4&amp;gclid=Cj0KCQjwkN--BhDkARIsAD_mnIpf52KCxx5u1mGTdPld-wvL5e3dQsZ81K"&amp;"0kgAUXzWbwh-s2idQOjM8aAoR0EALw_wcB")</f>
        <v>https://www.monotaro.id/items/s044354671.html?utm_source=google&amp;utm_medium=pla&amp;utm_campaign=1672206402&amp;utm_content=88187085595&amp;utm_term=readystock_cat_group_2_pricebrand_group_2&amp;gad_source=4&amp;gclid=Cj0KCQjwkN--BhDkARIsAD_mnIpf52KCxx5u1mGTdPld-wvL5e3dQsZ81K0kgAUXzWbwh-s2idQOjM8aAoR0EALw_wcB</v>
      </c>
      <c r="L88" s="3" t="str">
        <f>IFERROR(__xludf.DUMMYFUNCTION("""COMPUTED_VALUE"""),"Socket Pipa PVC 2 Inch AW JIS yang warna abu")</f>
        <v>Socket Pipa PVC 2 Inch AW JIS yang warna abu</v>
      </c>
      <c r="M88" s="3" t="str">
        <f>IFERROR(__xludf.DUMMYFUNCTION("""COMPUTED_VALUE"""),"Approve")</f>
        <v>Approve</v>
      </c>
      <c r="N88" s="3" t="str">
        <f>IFERROR(__xludf.DUMMYFUNCTION("""COMPUTED_VALUE"""),"Normal")</f>
        <v>Normal</v>
      </c>
      <c r="O88" s="3" t="str">
        <f>IFERROR(__xludf.DUMMYFUNCTION("""COMPUTED_VALUE"""),"Non Urgent")</f>
        <v>Non Urgent</v>
      </c>
    </row>
    <row r="89">
      <c r="A89" s="4">
        <f>IFERROR(__xludf.DUMMYFUNCTION("""COMPUTED_VALUE"""),45713.40834474537)</f>
        <v>45713.40834</v>
      </c>
      <c r="B89" s="3" t="str">
        <f>IFERROR(__xludf.DUMMYFUNCTION("""COMPUTED_VALUE"""),"SHFBR0005")</f>
        <v>SHFBR0005</v>
      </c>
      <c r="C89" s="3" t="str">
        <f>IFERROR(__xludf.DUMMYFUNCTION("""COMPUTED_VALUE"""),"EJO")</f>
        <v>EJO</v>
      </c>
      <c r="D89" s="3" t="str">
        <f>IFERROR(__xludf.DUMMYFUNCTION("""COMPUTED_VALUE"""),"EJO/2024/12/158")</f>
        <v>EJO/2024/12/158</v>
      </c>
      <c r="E89" s="3" t="str">
        <f>IFERROR(__xludf.DUMMYFUNCTION("""COMPUTED_VALUE"""),"Tank Hot Water OSD")</f>
        <v>Tank Hot Water OSD</v>
      </c>
      <c r="F89" s="3" t="str">
        <f>IFERROR(__xludf.DUMMYFUNCTION("""COMPUTED_VALUE"""),"Reducer PIpa 2 inch ke 1 Inch ")</f>
        <v>Reducer PIpa 2 inch ke 1 Inch </v>
      </c>
      <c r="G89" s="3" t="str">
        <f>IFERROR(__xludf.DUMMYFUNCTION("""COMPUTED_VALUE"""),"Reducer Pipa PVC 2 inch AW JIS ke 1 Inch AW JIS")</f>
        <v>Reducer Pipa PVC 2 inch AW JIS ke 1 Inch AW JIS</v>
      </c>
      <c r="H89" s="3" t="str">
        <f>IFERROR(__xludf.DUMMYFUNCTION("""COMPUTED_VALUE"""),"Rucika")</f>
        <v>Rucika</v>
      </c>
      <c r="I89" s="3">
        <f>IFERROR(__xludf.DUMMYFUNCTION("""COMPUTED_VALUE"""),5.0)</f>
        <v>5</v>
      </c>
      <c r="J89" s="3" t="str">
        <f>IFERROR(__xludf.DUMMYFUNCTION("""COMPUTED_VALUE"""),"Pcs")</f>
        <v>Pcs</v>
      </c>
      <c r="K89" s="5" t="str">
        <f>IFERROR(__xludf.DUMMYFUNCTION("""COMPUTED_VALUE"""),"https://www.monotaro.id/items/s039476586.html?utm_source=google&amp;utm_medium=pla&amp;utm_campaign=1672206402&amp;utm_content=88187085595&amp;utm_term=others_cat_group_2_pricebrand_group_1&amp;gad_source=4&amp;gclid=Cj0KCQjwkN--BhDkARIsAD_mnIqgSgWRxHVavwcOfmzK0BMez1qGxkak2oqIYq"&amp;"oMzGUyfDUvxLqeItgaAqZiEALw_wcB")</f>
        <v>https://www.monotaro.id/items/s039476586.html?utm_source=google&amp;utm_medium=pla&amp;utm_campaign=1672206402&amp;utm_content=88187085595&amp;utm_term=others_cat_group_2_pricebrand_group_1&amp;gad_source=4&amp;gclid=Cj0KCQjwkN--BhDkARIsAD_mnIqgSgWRxHVavwcOfmzK0BMez1qGxkak2oqIYqoMzGUyfDUvxLqeItgaAqZiEALw_wcB</v>
      </c>
      <c r="L89" s="3" t="str">
        <f>IFERROR(__xludf.DUMMYFUNCTION("""COMPUTED_VALUE"""),"Reducer Pipa PVC 2 inch AW JIS ke 1 Inch AW JIS warna ABU (REJECT  BY MFH KARENA ADA TIPE EKSISTING)")</f>
        <v>Reducer Pipa PVC 2 inch AW JIS ke 1 Inch AW JIS warna ABU (REJECT  BY MFH KARENA ADA TIPE EKSISTING)</v>
      </c>
      <c r="M89" s="3" t="str">
        <f>IFERROR(__xludf.DUMMYFUNCTION("""COMPUTED_VALUE"""),"Reject")</f>
        <v>Reject</v>
      </c>
      <c r="N89" s="3" t="str">
        <f>IFERROR(__xludf.DUMMYFUNCTION("""COMPUTED_VALUE"""),"Normal")</f>
        <v>Normal</v>
      </c>
      <c r="O89" s="3" t="str">
        <f>IFERROR(__xludf.DUMMYFUNCTION("""COMPUTED_VALUE"""),"Non Urgent")</f>
        <v>Non Urgent</v>
      </c>
    </row>
    <row r="90">
      <c r="A90" s="4">
        <f>IFERROR(__xludf.DUMMYFUNCTION("""COMPUTED_VALUE"""),45713.412935428234)</f>
        <v>45713.41294</v>
      </c>
      <c r="B90" s="3" t="str">
        <f>IFERROR(__xludf.DUMMYFUNCTION("""COMPUTED_VALUE"""),"SHFBR0006")</f>
        <v>SHFBR0006</v>
      </c>
      <c r="C90" s="3" t="str">
        <f>IFERROR(__xludf.DUMMYFUNCTION("""COMPUTED_VALUE"""),"EJO")</f>
        <v>EJO</v>
      </c>
      <c r="D90" s="3" t="str">
        <f>IFERROR(__xludf.DUMMYFUNCTION("""COMPUTED_VALUE"""),"EJO/2025/01/79")</f>
        <v>EJO/2025/01/79</v>
      </c>
      <c r="E90" s="3" t="str">
        <f>IFERROR(__xludf.DUMMYFUNCTION("""COMPUTED_VALUE"""),"Office QA")</f>
        <v>Office QA</v>
      </c>
      <c r="F90" s="3" t="str">
        <f>IFERROR(__xludf.DUMMYFUNCTION("""COMPUTED_VALUE"""),"KabelDuck Setengah lingkaran")</f>
        <v>KabelDuck Setengah lingkaran</v>
      </c>
      <c r="G90" s="3" t="str">
        <f>IFERROR(__xludf.DUMMYFUNCTION("""COMPUTED_VALUE"""),"Kabel Duck Setengah Lingkaran 50 X 15")</f>
        <v>Kabel Duck Setengah Lingkaran 50 X 15</v>
      </c>
      <c r="H90" s="3" t="str">
        <f>IFERROR(__xludf.DUMMYFUNCTION("""COMPUTED_VALUE"""),"-")</f>
        <v>-</v>
      </c>
      <c r="I90" s="3">
        <f>IFERROR(__xludf.DUMMYFUNCTION("""COMPUTED_VALUE"""),3.0)</f>
        <v>3</v>
      </c>
      <c r="J90" s="3" t="str">
        <f>IFERROR(__xludf.DUMMYFUNCTION("""COMPUTED_VALUE"""),"Pcs")</f>
        <v>Pcs</v>
      </c>
      <c r="K90" s="5" t="str">
        <f>IFERROR(__xludf.DUMMYFUNCTION("""COMPUTED_VALUE"""),"https://www.monotaro.id/items/s007558250.html?utm_source=google&amp;utm_medium=pla&amp;utm_campaign=1672206402&amp;utm_content=88187085595&amp;utm_term=readystock_cat_group_3_pricebrand_group_1&amp;gad_source=4&amp;gclid=Cj0KCQjwkN--BhDkARIsAD_mnIqkp0iZ2kIF7qbatQgTPpIGOjXgJs1tHK"&amp;"dj3XhgCUZifMuarwrjfBQaAuWSEALw_wcB")</f>
        <v>https://www.monotaro.id/items/s007558250.html?utm_source=google&amp;utm_medium=pla&amp;utm_campaign=1672206402&amp;utm_content=88187085595&amp;utm_term=readystock_cat_group_3_pricebrand_group_1&amp;gad_source=4&amp;gclid=Cj0KCQjwkN--BhDkARIsAD_mnIqkp0iZ2kIF7qbatQgTPpIGOjXgJs1tHKdj3XhgCUZifMuarwrjfBQaAuWSEALw_wcB</v>
      </c>
      <c r="L90" s="3" t="str">
        <f>IFERROR(__xludf.DUMMYFUNCTION("""COMPUTED_VALUE"""),"Kabel Duck Setengah Lingkaran dengan ukuran 50 x 15")</f>
        <v>Kabel Duck Setengah Lingkaran dengan ukuran 50 x 15</v>
      </c>
      <c r="M90" s="3" t="str">
        <f>IFERROR(__xludf.DUMMYFUNCTION("""COMPUTED_VALUE"""),"Approve")</f>
        <v>Approve</v>
      </c>
      <c r="N90" s="3" t="str">
        <f>IFERROR(__xludf.DUMMYFUNCTION("""COMPUTED_VALUE"""),"Normal")</f>
        <v>Normal</v>
      </c>
      <c r="O90" s="3" t="str">
        <f>IFERROR(__xludf.DUMMYFUNCTION("""COMPUTED_VALUE"""),"Non Urgent")</f>
        <v>Non Urgent</v>
      </c>
    </row>
    <row r="91">
      <c r="A91" s="4">
        <f>IFERROR(__xludf.DUMMYFUNCTION("""COMPUTED_VALUE"""),45713.74955267362)</f>
        <v>45713.74955</v>
      </c>
      <c r="B91" s="3" t="str">
        <f>IFERROR(__xludf.DUMMYFUNCTION("""COMPUTED_VALUE"""),"MOBBR0018")</f>
        <v>MOBBR0018</v>
      </c>
      <c r="C91" s="3" t="str">
        <f>IFERROR(__xludf.DUMMYFUNCTION("""COMPUTED_VALUE"""),"EJO")</f>
        <v>EJO</v>
      </c>
      <c r="D91" s="3" t="str">
        <f>IFERROR(__xludf.DUMMYFUNCTION("""COMPUTED_VALUE"""),"EJO/2025/02/57")</f>
        <v>EJO/2025/02/57</v>
      </c>
      <c r="E91" s="3" t="str">
        <f>IFERROR(__xludf.DUMMYFUNCTION("""COMPUTED_VALUE"""),"PSG")</f>
        <v>PSG</v>
      </c>
      <c r="F91" s="3" t="str">
        <f>IFERROR(__xludf.DUMMYFUNCTION("""COMPUTED_VALUE"""),"Gland Packing")</f>
        <v>Gland Packing</v>
      </c>
      <c r="G91" s="3" t="str">
        <f>IFERROR(__xludf.DUMMYFUNCTION("""COMPUTED_VALUE"""),"SEALING STRIP, KWO CELLFLON R D6MM")</f>
        <v>SEALING STRIP, KWO CELLFLON R D6MM</v>
      </c>
      <c r="H91" s="3" t="str">
        <f>IFERROR(__xludf.DUMMYFUNCTION("""COMPUTED_VALUE"""),"-")</f>
        <v>-</v>
      </c>
      <c r="I91" s="3">
        <f>IFERROR(__xludf.DUMMYFUNCTION("""COMPUTED_VALUE"""),1.0)</f>
        <v>1</v>
      </c>
      <c r="J91" s="3" t="str">
        <f>IFERROR(__xludf.DUMMYFUNCTION("""COMPUTED_VALUE"""),"Pcs")</f>
        <v>Pcs</v>
      </c>
      <c r="K91" s="5" t="str">
        <f>IFERROR(__xludf.DUMMYFUNCTION("""COMPUTED_VALUE"""),"https://drive.google.com/file/d/12c2MtJCV8bh6iGglEf3M-ARdyyUYpt5m/view?usp=drive_link")</f>
        <v>https://drive.google.com/file/d/12c2MtJCV8bh6iGglEf3M-ARdyyUYpt5m/view?usp=drive_link</v>
      </c>
      <c r="L91" s="3" t="str">
        <f>IFERROR(__xludf.DUMMYFUNCTION("""COMPUTED_VALUE"""),"Urgent Karna Colomn Bocor")</f>
        <v>Urgent Karna Colomn Bocor</v>
      </c>
      <c r="M91" s="3" t="str">
        <f>IFERROR(__xludf.DUMMYFUNCTION("""COMPUTED_VALUE"""),"Reject")</f>
        <v>Reject</v>
      </c>
      <c r="N91" s="3" t="str">
        <f>IFERROR(__xludf.DUMMYFUNCTION("""COMPUTED_VALUE"""),"Normal")</f>
        <v>Normal</v>
      </c>
      <c r="O91" s="3" t="str">
        <f>IFERROR(__xludf.DUMMYFUNCTION("""COMPUTED_VALUE"""),"Non Urgent")</f>
        <v>Non Urgent</v>
      </c>
    </row>
    <row r="92">
      <c r="A92" s="4">
        <f>IFERROR(__xludf.DUMMYFUNCTION("""COMPUTED_VALUE"""),45713.94654012731)</f>
        <v>45713.94654</v>
      </c>
      <c r="B92" s="3" t="str">
        <f>IFERROR(__xludf.DUMMYFUNCTION("""COMPUTED_VALUE"""),"MOBBR0019")</f>
        <v>MOBBR0019</v>
      </c>
      <c r="C92" s="3" t="str">
        <f>IFERROR(__xludf.DUMMYFUNCTION("""COMPUTED_VALUE"""),"Consumable")</f>
        <v>Consumable</v>
      </c>
      <c r="D92" s="3" t="str">
        <f>IFERROR(__xludf.DUMMYFUNCTION("""COMPUTED_VALUE"""),"-")</f>
        <v>-</v>
      </c>
      <c r="E92" s="3" t="str">
        <f>IFERROR(__xludf.DUMMYFUNCTION("""COMPUTED_VALUE"""),"AC")</f>
        <v>AC</v>
      </c>
      <c r="F92" s="3" t="str">
        <f>IFERROR(__xludf.DUMMYFUNCTION("""COMPUTED_VALUE"""),"Freon")</f>
        <v>Freon</v>
      </c>
      <c r="G92" s="3" t="str">
        <f>IFERROR(__xludf.DUMMYFUNCTION("""COMPUTED_VALUE""")," 407C 407 R407 USA")</f>
        <v> 407C 407 R407 USA</v>
      </c>
      <c r="H92" s="3" t="str">
        <f>IFERROR(__xludf.DUMMYFUNCTION("""COMPUTED_VALUE"""),"Dupont ")</f>
        <v>Dupont </v>
      </c>
      <c r="I92" s="3">
        <f>IFERROR(__xludf.DUMMYFUNCTION("""COMPUTED_VALUE"""),2.0)</f>
        <v>2</v>
      </c>
      <c r="J92" s="3" t="str">
        <f>IFERROR(__xludf.DUMMYFUNCTION("""COMPUTED_VALUE"""),"Pcs")</f>
        <v>Pcs</v>
      </c>
      <c r="K92" s="5" t="str">
        <f>IFERROR(__xludf.DUMMYFUNCTION("""COMPUTED_VALUE"""),"https://www.tokopedia.com/ggtekhnik/freon-dupont-suva-407c-407-r407-usa?extParam=ivf%3Dfalse%26keyword%3Dfreon+r407&amp;src=topads")</f>
        <v>https://www.tokopedia.com/ggtekhnik/freon-dupont-suva-407c-407-r407-usa?extParam=ivf%3Dfalse%26keyword%3Dfreon+r407&amp;src=topads</v>
      </c>
      <c r="L92" s="3" t="str">
        <f>IFERROR(__xludf.DUMMYFUNCTION("""COMPUTED_VALUE"""),"Pengantian Freon Baru")</f>
        <v>Pengantian Freon Baru</v>
      </c>
      <c r="M92" s="3" t="str">
        <f>IFERROR(__xludf.DUMMYFUNCTION("""COMPUTED_VALUE"""),"Approve")</f>
        <v>Approve</v>
      </c>
      <c r="N92" s="3" t="str">
        <f>IFERROR(__xludf.DUMMYFUNCTION("""COMPUTED_VALUE"""),"Normal")</f>
        <v>Normal</v>
      </c>
      <c r="O92" s="3" t="str">
        <f>IFERROR(__xludf.DUMMYFUNCTION("""COMPUTED_VALUE"""),"Non Urgent")</f>
        <v>Non Urgent</v>
      </c>
    </row>
    <row r="93">
      <c r="A93" s="4">
        <f>IFERROR(__xludf.DUMMYFUNCTION("""COMPUTED_VALUE"""),45713.996482800925)</f>
        <v>45713.99648</v>
      </c>
      <c r="B93" s="3" t="str">
        <f>IFERROR(__xludf.DUMMYFUNCTION("""COMPUTED_VALUE"""),"SFHBR0009")</f>
        <v>SFHBR0009</v>
      </c>
      <c r="C93" s="3" t="str">
        <f>IFERROR(__xludf.DUMMYFUNCTION("""COMPUTED_VALUE"""),"Consumable")</f>
        <v>Consumable</v>
      </c>
      <c r="D93" s="3" t="str">
        <f>IFERROR(__xludf.DUMMYFUNCTION("""COMPUTED_VALUE"""),"-")</f>
        <v>-</v>
      </c>
      <c r="E93" s="3" t="str">
        <f>IFERROR(__xludf.DUMMYFUNCTION("""COMPUTED_VALUE"""),"lantai 1")</f>
        <v>lantai 1</v>
      </c>
      <c r="F93" s="3" t="str">
        <f>IFERROR(__xludf.DUMMYFUNCTION("""COMPUTED_VALUE"""),"door stopper ")</f>
        <v>door stopper </v>
      </c>
      <c r="G93" s="3" t="str">
        <f>IFERROR(__xludf.DUMMYFUNCTION("""COMPUTED_VALUE"""),"door stopper magnetic dekson MDS 889 SN")</f>
        <v>door stopper magnetic dekson MDS 889 SN</v>
      </c>
      <c r="H93" s="3" t="str">
        <f>IFERROR(__xludf.DUMMYFUNCTION("""COMPUTED_VALUE"""),"dekson")</f>
        <v>dekson</v>
      </c>
      <c r="I93" s="3">
        <f>IFERROR(__xludf.DUMMYFUNCTION("""COMPUTED_VALUE"""),35.0)</f>
        <v>35</v>
      </c>
      <c r="J93" s="3" t="str">
        <f>IFERROR(__xludf.DUMMYFUNCTION("""COMPUTED_VALUE"""),"pcs")</f>
        <v>pcs</v>
      </c>
      <c r="K93" s="5" t="str">
        <f>IFERROR(__xludf.DUMMYFUNCTION("""COMPUTED_VALUE"""),"https://www.tokopedia.com/palemkuncihrd/door-stopper-magnetic-dekson-mds-889-sn?utm_source=salinlink&amp;utm_medium=share&amp;utm_campaign=pdp-m2ax7rt8wzbd-701476599-0")</f>
        <v>https://www.tokopedia.com/palemkuncihrd/door-stopper-magnetic-dekson-mds-889-sn?utm_source=salinlink&amp;utm_medium=share&amp;utm_campaign=pdp-m2ax7rt8wzbd-701476599-0</v>
      </c>
      <c r="L93" s="3" t="str">
        <f>IFERROR(__xludf.DUMMYFUNCTION("""COMPUTED_VALUE"""),"-")</f>
        <v>-</v>
      </c>
      <c r="M93" s="3" t="str">
        <f>IFERROR(__xludf.DUMMYFUNCTION("""COMPUTED_VALUE"""),"Approve")</f>
        <v>Approve</v>
      </c>
      <c r="N93" s="3" t="str">
        <f>IFERROR(__xludf.DUMMYFUNCTION("""COMPUTED_VALUE"""),"Urgent")</f>
        <v>Urgent</v>
      </c>
      <c r="O93" s="3" t="str">
        <f>IFERROR(__xludf.DUMMYFUNCTION("""COMPUTED_VALUE"""),"Reject")</f>
        <v>Reject</v>
      </c>
    </row>
    <row r="94">
      <c r="A94" s="4">
        <f>IFERROR(__xludf.DUMMYFUNCTION("""COMPUTED_VALUE"""),45713.999412627316)</f>
        <v>45713.99941</v>
      </c>
      <c r="B94" s="3" t="str">
        <f>IFERROR(__xludf.DUMMYFUNCTION("""COMPUTED_VALUE"""),"SFHBR0010")</f>
        <v>SFHBR0010</v>
      </c>
      <c r="C94" s="3" t="str">
        <f>IFERROR(__xludf.DUMMYFUNCTION("""COMPUTED_VALUE"""),"Consumable")</f>
        <v>Consumable</v>
      </c>
      <c r="D94" s="3" t="str">
        <f>IFERROR(__xludf.DUMMYFUNCTION("""COMPUTED_VALUE"""),"-")</f>
        <v>-</v>
      </c>
      <c r="E94" s="3" t="str">
        <f>IFERROR(__xludf.DUMMYFUNCTION("""COMPUTED_VALUE"""),"lantai 2")</f>
        <v>lantai 2</v>
      </c>
      <c r="F94" s="3" t="str">
        <f>IFERROR(__xludf.DUMMYFUNCTION("""COMPUTED_VALUE"""),"karet ban")</f>
        <v>karet ban</v>
      </c>
      <c r="G94" s="3" t="str">
        <f>IFERROR(__xludf.DUMMYFUNCTION("""COMPUTED_VALUE"""),"tali karet ban")</f>
        <v>tali karet ban</v>
      </c>
      <c r="H94" s="3"/>
      <c r="I94" s="3">
        <f>IFERROR(__xludf.DUMMYFUNCTION("""COMPUTED_VALUE"""),20.0)</f>
        <v>20</v>
      </c>
      <c r="J94" s="3" t="str">
        <f>IFERROR(__xludf.DUMMYFUNCTION("""COMPUTED_VALUE"""),"mtr")</f>
        <v>mtr</v>
      </c>
      <c r="K94" s="5" t="str">
        <f>IFERROR(__xludf.DUMMYFUNCTION("""COMPUTED_VALUE"""),"https://tokopedia.link/Wu42ntfqhRb")</f>
        <v>https://tokopedia.link/Wu42ntfqhRb</v>
      </c>
      <c r="L94" s="3" t="str">
        <f>IFERROR(__xludf.DUMMYFUNCTION("""COMPUTED_VALUE"""),"-")</f>
        <v>-</v>
      </c>
      <c r="M94" s="3" t="str">
        <f>IFERROR(__xludf.DUMMYFUNCTION("""COMPUTED_VALUE"""),"Approve")</f>
        <v>Approve</v>
      </c>
      <c r="N94" s="3" t="str">
        <f>IFERROR(__xludf.DUMMYFUNCTION("""COMPUTED_VALUE"""),"Urgent")</f>
        <v>Urgent</v>
      </c>
      <c r="O94" s="3" t="str">
        <f>IFERROR(__xludf.DUMMYFUNCTION("""COMPUTED_VALUE"""),"Approve")</f>
        <v>Approve</v>
      </c>
    </row>
    <row r="95">
      <c r="A95" s="4">
        <f>IFERROR(__xludf.DUMMYFUNCTION("""COMPUTED_VALUE"""),45714.36542666667)</f>
        <v>45714.36543</v>
      </c>
      <c r="B95" s="3" t="str">
        <f>IFERROR(__xludf.DUMMYFUNCTION("""COMPUTED_VALUE"""),"MRNBR0003")</f>
        <v>MRNBR0003</v>
      </c>
      <c r="C95" s="3" t="str">
        <f>IFERROR(__xludf.DUMMYFUNCTION("""COMPUTED_VALUE"""),"EJO")</f>
        <v>EJO</v>
      </c>
      <c r="D95" s="3" t="str">
        <f>IFERROR(__xludf.DUMMYFUNCTION("""COMPUTED_VALUE"""),"EJO/2024/12/150")</f>
        <v>EJO/2024/12/150</v>
      </c>
      <c r="E95" s="3" t="str">
        <f>IFERROR(__xludf.DUMMYFUNCTION("""COMPUTED_VALUE"""),"Loker sepatu")</f>
        <v>Loker sepatu</v>
      </c>
      <c r="F95" s="3" t="str">
        <f>IFERROR(__xludf.DUMMYFUNCTION("""COMPUTED_VALUE"""),"ducting flexible")</f>
        <v>ducting flexible</v>
      </c>
      <c r="G95" s="3" t="str">
        <f>IFERROR(__xludf.DUMMYFUNCTION("""COMPUTED_VALUE"""),"4 inch")</f>
        <v>4 inch</v>
      </c>
      <c r="H95" s="3" t="str">
        <f>IFERROR(__xludf.DUMMYFUNCTION("""COMPUTED_VALUE"""),"NA")</f>
        <v>NA</v>
      </c>
      <c r="I95" s="3">
        <f>IFERROR(__xludf.DUMMYFUNCTION("""COMPUTED_VALUE"""),3.0)</f>
        <v>3</v>
      </c>
      <c r="J95" s="3" t="str">
        <f>IFERROR(__xludf.DUMMYFUNCTION("""COMPUTED_VALUE"""),"unit")</f>
        <v>unit</v>
      </c>
      <c r="K95" s="5" t="str">
        <f>IFERROR(__xludf.DUMMYFUNCTION("""COMPUTED_VALUE"""),"https://www.tokopedia.com/juragankithcen/flexible-ducting-4-in-pipa-aluminium-exhaust-4-inchi-selang-pembuangan?txsc=google&amp;utm_source=google&amp;utm_medium=cpc&amp;utm_campaign=0000-0000-gg-pmax-bend-voo-tros-act-ord-pg-id51pgce51-0000-alon-gshp&amp;utm_term=5689413"&amp;"304&amp;ref=googleshopping&amp;c=21627648432&amp;m=398720654&amp;gclsrc=aw.ds&amp;gad_source=1")</f>
        <v>https://www.tokopedia.com/juragankithcen/flexible-ducting-4-in-pipa-aluminium-exhaust-4-inchi-selang-pembuangan?txsc=google&amp;utm_source=google&amp;utm_medium=cpc&amp;utm_campaign=0000-0000-gg-pmax-bend-voo-tros-act-ord-pg-id51pgce51-0000-alon-gshp&amp;utm_term=5689413304&amp;ref=googleshopping&amp;c=21627648432&amp;m=398720654&amp;gclsrc=aw.ds&amp;gad_source=1</v>
      </c>
      <c r="L95" s="3" t="str">
        <f>IFERROR(__xludf.DUMMYFUNCTION("""COMPUTED_VALUE"""),"untuk loker sepatu eng")</f>
        <v>untuk loker sepatu eng</v>
      </c>
      <c r="M95" s="3" t="str">
        <f>IFERROR(__xludf.DUMMYFUNCTION("""COMPUTED_VALUE"""),"Approve")</f>
        <v>Approve</v>
      </c>
      <c r="N95" s="3" t="str">
        <f>IFERROR(__xludf.DUMMYFUNCTION("""COMPUTED_VALUE"""),"Normal")</f>
        <v>Normal</v>
      </c>
      <c r="O95" s="3" t="str">
        <f>IFERROR(__xludf.DUMMYFUNCTION("""COMPUTED_VALUE"""),"Non Urgent")</f>
        <v>Non Urgent</v>
      </c>
    </row>
    <row r="96">
      <c r="A96" s="4">
        <f>IFERROR(__xludf.DUMMYFUNCTION("""COMPUTED_VALUE"""),45715.413608622686)</f>
        <v>45715.41361</v>
      </c>
      <c r="B96" s="3" t="str">
        <f>IFERROR(__xludf.DUMMYFUNCTION("""COMPUTED_VALUE"""),"ANOBR0012")</f>
        <v>ANOBR0012</v>
      </c>
      <c r="C96" s="3" t="str">
        <f>IFERROR(__xludf.DUMMYFUNCTION("""COMPUTED_VALUE"""),"Consumable")</f>
        <v>Consumable</v>
      </c>
      <c r="D96" s="3" t="str">
        <f>IFERROR(__xludf.DUMMYFUNCTION("""COMPUTED_VALUE"""),"-")</f>
        <v>-</v>
      </c>
      <c r="E96" s="3" t="str">
        <f>IFERROR(__xludf.DUMMYFUNCTION("""COMPUTED_VALUE"""),"Workshop")</f>
        <v>Workshop</v>
      </c>
      <c r="F96" s="3" t="str">
        <f>IFERROR(__xludf.DUMMYFUNCTION("""COMPUTED_VALUE"""),"Alat Tap dan Snei")</f>
        <v>Alat Tap dan Snei</v>
      </c>
      <c r="G96" s="3" t="str">
        <f>IFERROR(__xludf.DUMMYFUNCTION("""COMPUTED_VALUE"""),"M4x0.7")</f>
        <v>M4x0.7</v>
      </c>
      <c r="H96" s="3" t="str">
        <f>IFERROR(__xludf.DUMMYFUNCTION("""COMPUTED_VALUE"""),"-")</f>
        <v>-</v>
      </c>
      <c r="I96" s="3">
        <f>IFERROR(__xludf.DUMMYFUNCTION("""COMPUTED_VALUE"""),3.0)</f>
        <v>3</v>
      </c>
      <c r="J96" s="3" t="str">
        <f>IFERROR(__xludf.DUMMYFUNCTION("""COMPUTED_VALUE"""),"pcs")</f>
        <v>pcs</v>
      </c>
      <c r="K96" s="3" t="str">
        <f>IFERROR(__xludf.DUMMYFUNCTION("""COMPUTED_VALUE"""),"https://bnc.lt/a/key_live_abhHgIh1DQiuPxdBNg9EXepdDugwwkHr?channel=salinlink&amp;feature=share&amp;campaign=PDP-1pdy85pv675c-13209102039-0&amp;sdk=web2.63.0&amp;source=web-sdk&amp;data=eyIkb2dfdGl0bGUiOiJ8SE9UU0FMRXwgSEFORCBUQVAgTTQgWCAwLDcgVEFQIE0gNFgwLDcgVEFQIE0gNCBYIDAsNy"&amp;"BNTSBIU1MgQlVLQU4gVEFQIiwiJG9nX2Rlc2NyaXB0aW9uIjoiRGFyaSBBREVBVEFORzUyNSIsIiRvZ19pbWFnZV91cmwiOiJodHRwczovL2ltYWdlcy50b2tvcGVkaWEubmV0L2ltZy9jYWNoZS81MDAtc3F1YXJlL2hEam1rUS8yMDI0LzUvMy83NmQ2NjhlZi1hMTNiLTQ2MGItOTc3Zi1hYjI3N2NiZjg3YTEuanBnIiwiJGRlc2t0b3Bfd"&amp;"XJsIjoiaHR0cHM6Ly93d3cudG9rb3BlZGlhLmNvbS9hZGVhdGFuZzUyNS9ob3RzYWxlLWhhbmQtdGFwLW00LXgtMC03LXRhcC1tLTR4MC03LXRhcC1tLTQteC0wLTctbW0taHNzLWJ1a2FuLXRhcCIsIiRhbmRyb2lkX2RlZXBsaW5rX3BhdGgiOiJodHRwczovL3d3dy50b2tvcGVkaWEuY29tL2FkZWF0YW5nNTI1L2hvdHNhbGUtaGFuZC10"&amp;"YXAtbTQteC0wLTctdGFwLW0tNHgwLTctdGFwLW0tNC14LTAtNy1tbS1oc3MtYnVrYW4tdGFwIiwiJGlvc19kZWVwbGlua19wYXRoIjoiaHR0cHM6Ly93d3cudG9rb3BlZGlhLmNvbS9hZGVhdGFuZzUyNS9ob3RzYWxlLWhhbmQtdGFwLW00LXgtMC03LXRhcC1tLTR4MC03LXRhcC1tLTQteC0wLTctbW0taHNzLWJ1a2FuLXRhcCIsIiRhbmR"&amp;"yb2lkX3VybCI6Imh0dHBzOi8vd3d3LnRva29wZWRpYS5jb20vYWRlYXRhbmc1MjUvaG90c2FsZS1oYW5kLXRhcC1tNC14LTAtNy10YXAtbS00eDAtNy10YXAtbS00LXgtMC03LW1tLWhzcy1idWthbi10YXAiLCIkaW9zX3VybCI6Imh0dHBzOi8vd3d3LnRva29wZWRpYS5jb20vYWRlYXRhbmc1MjUvaG90c2FsZS1oYW5kLXRhcC1tNC14LT"&amp;"AtNy10YXAtbS00eDAtNy10YXAtbS00LXgtMC03LW1tLWhzcy1idWthbi10YXAiLCIkY2Fub25pY2FsX3VybCI6Imh0dHBzOi8vd3d3LnRva29wZWRpYS5jb20vYWRlYXRhbmc1MjUvaG90c2FsZS1oYW5kLXRhcC1tNC14LTAtNy10YXAtbS00eDAtNy10YXAtbS00LXgtMC03LW1tLWhzcy1idWthbi10YXAiLCIkb2dfdmlkZW8iOm51bGwsI"&amp;"iRvZ190eXBlIjoicHJvZHVjdCJ9")</f>
        <v>https://bnc.lt/a/key_live_abhHgIh1DQiuPxdBNg9EXepdDugwwkHr?channel=salinlink&amp;feature=share&amp;campaign=PDP-1pdy85pv675c-13209102039-0&amp;sdk=web2.63.0&amp;source=web-sdk&amp;data=eyIkb2dfdGl0bGUiOiJ8SE9UU0FMRXwgSEFORCBUQVAgTTQgWCAwLDcgVEFQIE0gNFgwLDcgVEFQIE0gNCBYIDAsNyBNTSBIU1MgQlVLQU4gVEFQIiwiJG9nX2Rlc2NyaXB0aW9uIjoiRGFyaSBBREVBVEFORzUyNSIsIiRvZ19pbWFnZV91cmwiOiJodHRwczovL2ltYWdlcy50b2tvcGVkaWEubmV0L2ltZy9jYWNoZS81MDAtc3F1YXJlL2hEam1rUS8yMDI0LzUvMy83NmQ2NjhlZi1hMTNiLTQ2MGItOTc3Zi1hYjI3N2NiZjg3YTEuanBnIiwiJGRlc2t0b3BfdXJsIjoiaHR0cHM6Ly93d3cudG9rb3BlZGlhLmNvbS9hZGVhdGFuZzUyNS9ob3RzYWxlLWhhbmQtdGFwLW00LXgtMC03LXRhcC1tLTR4MC03LXRhcC1tLTQteC0wLTctbW0taHNzLWJ1a2FuLXRhcCIsIiRhbmRyb2lkX2RlZXBsaW5rX3BhdGgiOiJodHRwczovL3d3dy50b2tvcGVkaWEuY29tL2FkZWF0YW5nNTI1L2hvdHNhbGUtaGFuZC10YXAtbTQteC0wLTctdGFwLW0tNHgwLTctdGFwLW0tNC14LTAtNy1tbS1oc3MtYnVrYW4tdGFwIiwiJGlvc19kZWVwbGlua19wYXRoIjoiaHR0cHM6Ly93d3cudG9rb3BlZGlhLmNvbS9hZGVhdGFuZzUyNS9ob3RzYWxlLWhhbmQtdGFwLW00LXgtMC03LXRhcC1tLTR4MC03LXRhcC1tLTQteC0wLTctbW0taHNzLWJ1a2FuLXRhcCIsIiRhbmRyb2lkX3VybCI6Imh0dHBzOi8vd3d3LnRva29wZWRpYS5jb20vYWRlYXRhbmc1MjUvaG90c2FsZS1oYW5kLXRhcC1tNC14LTAtNy10YXAtbS00eDAtNy10YXAtbS00LXgtMC03LW1tLWhzcy1idWthbi10YXAiLCIkaW9zX3VybCI6Imh0dHBzOi8vd3d3LnRva29wZWRpYS5jb20vYWRlYXRhbmc1MjUvaG90c2FsZS1oYW5kLXRhcC1tNC14LTAtNy10YXAtbS00eDAtNy10YXAtbS00LXgtMC03LW1tLWhzcy1idWthbi10YXAiLCIkY2Fub25pY2FsX3VybCI6Imh0dHBzOi8vd3d3LnRva29wZWRpYS5jb20vYWRlYXRhbmc1MjUvaG90c2FsZS1oYW5kLXRhcC1tNC14LTAtNy10YXAtbS00eDAtNy10YXAtbS00LXgtMC03LW1tLWhzcy1idWthbi10YXAiLCIkb2dfdmlkZW8iOm51bGwsIiRvZ190eXBlIjoicHJvZHVjdCJ9</v>
      </c>
      <c r="L96" s="3" t="str">
        <f>IFERROR(__xludf.DUMMYFUNCTION("""COMPUTED_VALUE"""),"Keperluan Tap dan snei")</f>
        <v>Keperluan Tap dan snei</v>
      </c>
      <c r="M96" s="3" t="str">
        <f>IFERROR(__xludf.DUMMYFUNCTION("""COMPUTED_VALUE"""),"Approve")</f>
        <v>Approve</v>
      </c>
      <c r="N96" s="3" t="str">
        <f>IFERROR(__xludf.DUMMYFUNCTION("""COMPUTED_VALUE"""),"Normal")</f>
        <v>Normal</v>
      </c>
      <c r="O96" s="3" t="str">
        <f>IFERROR(__xludf.DUMMYFUNCTION("""COMPUTED_VALUE"""),"Non Urgent")</f>
        <v>Non Urgent</v>
      </c>
    </row>
    <row r="97">
      <c r="A97" s="4">
        <f>IFERROR(__xludf.DUMMYFUNCTION("""COMPUTED_VALUE"""),45715.41855144676)</f>
        <v>45715.41855</v>
      </c>
      <c r="B97" s="3" t="str">
        <f>IFERROR(__xludf.DUMMYFUNCTION("""COMPUTED_VALUE"""),"ANOBR0013")</f>
        <v>ANOBR0013</v>
      </c>
      <c r="C97" s="3" t="str">
        <f>IFERROR(__xludf.DUMMYFUNCTION("""COMPUTED_VALUE"""),"Consumable")</f>
        <v>Consumable</v>
      </c>
      <c r="D97" s="3" t="str">
        <f>IFERROR(__xludf.DUMMYFUNCTION("""COMPUTED_VALUE"""),"-")</f>
        <v>-</v>
      </c>
      <c r="E97" s="3" t="str">
        <f>IFERROR(__xludf.DUMMYFUNCTION("""COMPUTED_VALUE"""),"Workshop")</f>
        <v>Workshop</v>
      </c>
      <c r="F97" s="3" t="str">
        <f>IFERROR(__xludf.DUMMYFUNCTION("""COMPUTED_VALUE"""),"Alat Tap dan Snei")</f>
        <v>Alat Tap dan Snei</v>
      </c>
      <c r="G97" s="3" t="str">
        <f>IFERROR(__xludf.DUMMYFUNCTION("""COMPUTED_VALUE"""),"M3x0.5")</f>
        <v>M3x0.5</v>
      </c>
      <c r="H97" s="3" t="str">
        <f>IFERROR(__xludf.DUMMYFUNCTION("""COMPUTED_VALUE"""),"-")</f>
        <v>-</v>
      </c>
      <c r="I97" s="3">
        <f>IFERROR(__xludf.DUMMYFUNCTION("""COMPUTED_VALUE"""),3.0)</f>
        <v>3</v>
      </c>
      <c r="J97" s="3" t="str">
        <f>IFERROR(__xludf.DUMMYFUNCTION("""COMPUTED_VALUE"""),"pcs")</f>
        <v>pcs</v>
      </c>
      <c r="K97" s="3" t="str">
        <f>IFERROR(__xludf.DUMMYFUNCTION("""COMPUTED_VALUE"""),"https://bnc.lt/a/key_live_abhHgIh1DQiuPxdBNg9EXepdDugwwkHr?channel=salinlink&amp;feature=share&amp;campaign=PDP-8vj2d50lf2l6-12796259313-0&amp;sdk=web2.63.0&amp;source=web-sdk&amp;data=eyIkb2dfdGl0bGUiOiJIYW5kIFRhcCBTS0MgTTN4MC41IC8gU0tDIE1hdGEgVGFwIE0zeDAuIDUgKGlzaSAzcGNzKS"&amp;"IsIiRvZ19kZXNjcmlwdGlvbiI6IkRhcmkgUk1TIFRla25payIsIiRvZ19pbWFnZV91cmwiOiJodHRwczovL2ltYWdlcy50b2tvcGVkaWEubmV0L2ltZy9jYWNoZS81MDAtc3F1YXJlL1ZxYmNtTS8yMDI0LzIvMjQvMzcyMmQ4YzEtNWUxNS00ZTk3LWIyMzQtMTFlZGM4Mzg3ZGU2LmpwZyIsIiRkZXNrdG9wX3VybCI6Imh0dHBzOi8vd3d3L"&amp;"nRva29wZWRpYS5jb20vcmNidG9vbHMvaGFuZC10YXAtc2tjLW0zeDAtNS1za2MtbWF0YS10YXAtbTN4MC01LWlzaS0zcGNzIiwiJGFuZHJvaWRfZGVlcGxpbmtfcGF0aCI6Imh0dHBzOi8vd3d3LnRva29wZWRpYS5jb20vcmNidG9vbHMvaGFuZC10YXAtc2tjLW0zeDAtNS1za2MtbWF0YS10YXAtbTN4MC01LWlzaS0zcGNzIiwiJGlvc19k"&amp;"ZWVwbGlua19wYXRoIjoiaHR0cHM6Ly93d3cudG9rb3BlZGlhLmNvbS9yY2J0b29scy9oYW5kLXRhcC1za2MtbTN4MC01LXNrYy1tYXRhLXRhcC1tM3gwLTUtaXNpLTNwY3MiLCIkYW5kcm9pZF91cmwiOiJodHRwczovL3d3dy50b2tvcGVkaWEuY29tL3JjYnRvb2xzL2hhbmQtdGFwLXNrYy1tM3gwLTUtc2tjLW1hdGEtdGFwLW0zeDAtNS1"&amp;"pc2ktM3BjcyIsIiRpb3NfdXJsIjoiaHR0cHM6Ly93d3cudG9rb3BlZGlhLmNvbS9yY2J0b29scy9oYW5kLXRhcC1za2MtbTN4MC01LXNrYy1tYXRhLXRhcC1tM3gwLTUtaXNpLTNwY3MiLCIkY2Fub25pY2FsX3VybCI6Imh0dHBzOi8vd3d3LnRva29wZWRpYS5jb20vcmNidG9vbHMvaGFuZC10YXAtc2tjLW0zeDAtNS1za2MtbWF0YS10YX"&amp;"AtbTN4MC01LWlzaS0zcGNzP2V4dFBhcmFtPWl2ZiUzRGZhbHNlJTI2a2V5d29yZCUzRHRhcCttM3gwLjUmc3JjPXRvcGFkcyIsIiRvZ192aWRlbyI6bnVsbCwiJG9nX3R5cGUiOiJwcm9kdWN0In0%3D")</f>
        <v>https://bnc.lt/a/key_live_abhHgIh1DQiuPxdBNg9EXepdDugwwkHr?channel=salinlink&amp;feature=share&amp;campaign=PDP-8vj2d50lf2l6-12796259313-0&amp;sdk=web2.63.0&amp;source=web-sdk&amp;data=eyIkb2dfdGl0bGUiOiJIYW5kIFRhcCBTS0MgTTN4MC41IC8gU0tDIE1hdGEgVGFwIE0zeDAuIDUgKGlzaSAzcGNzKSIsIiRvZ19kZXNjcmlwdGlvbiI6IkRhcmkgUk1TIFRla25payIsIiRvZ19pbWFnZV91cmwiOiJodHRwczovL2ltYWdlcy50b2tvcGVkaWEubmV0L2ltZy9jYWNoZS81MDAtc3F1YXJlL1ZxYmNtTS8yMDI0LzIvMjQvMzcyMmQ4YzEtNWUxNS00ZTk3LWIyMzQtMTFlZGM4Mzg3ZGU2LmpwZyIsIiRkZXNrdG9wX3VybCI6Imh0dHBzOi8vd3d3LnRva29wZWRpYS5jb20vcmNidG9vbHMvaGFuZC10YXAtc2tjLW0zeDAtNS1za2MtbWF0YS10YXAtbTN4MC01LWlzaS0zcGNzIiwiJGFuZHJvaWRfZGVlcGxpbmtfcGF0aCI6Imh0dHBzOi8vd3d3LnRva29wZWRpYS5jb20vcmNidG9vbHMvaGFuZC10YXAtc2tjLW0zeDAtNS1za2MtbWF0YS10YXAtbTN4MC01LWlzaS0zcGNzIiwiJGlvc19kZWVwbGlua19wYXRoIjoiaHR0cHM6Ly93d3cudG9rb3BlZGlhLmNvbS9yY2J0b29scy9oYW5kLXRhcC1za2MtbTN4MC01LXNrYy1tYXRhLXRhcC1tM3gwLTUtaXNpLTNwY3MiLCIkYW5kcm9pZF91cmwiOiJodHRwczovL3d3dy50b2tvcGVkaWEuY29tL3JjYnRvb2xzL2hhbmQtdGFwLXNrYy1tM3gwLTUtc2tjLW1hdGEtdGFwLW0zeDAtNS1pc2ktM3BjcyIsIiRpb3NfdXJsIjoiaHR0cHM6Ly93d3cudG9rb3BlZGlhLmNvbS9yY2J0b29scy9oYW5kLXRhcC1za2MtbTN4MC01LXNrYy1tYXRhLXRhcC1tM3gwLTUtaXNpLTNwY3MiLCIkY2Fub25pY2FsX3VybCI6Imh0dHBzOi8vd3d3LnRva29wZWRpYS5jb20vcmNidG9vbHMvaGFuZC10YXAtc2tjLW0zeDAtNS1za2MtbWF0YS10YXAtbTN4MC01LWlzaS0zcGNzP2V4dFBhcmFtPWl2ZiUzRGZhbHNlJTI2a2V5d29yZCUzRHRhcCttM3gwLjUmc3JjPXRvcGFkcyIsIiRvZ192aWRlbyI6bnVsbCwiJG9nX3R5cGUiOiJwcm9kdWN0In0%3D</v>
      </c>
      <c r="L97" s="3" t="str">
        <f>IFERROR(__xludf.DUMMYFUNCTION("""COMPUTED_VALUE"""),"Keperluan Tap dan snei")</f>
        <v>Keperluan Tap dan snei</v>
      </c>
      <c r="M97" s="3" t="str">
        <f>IFERROR(__xludf.DUMMYFUNCTION("""COMPUTED_VALUE"""),"Approve")</f>
        <v>Approve</v>
      </c>
      <c r="N97" s="3" t="str">
        <f>IFERROR(__xludf.DUMMYFUNCTION("""COMPUTED_VALUE"""),"Normal")</f>
        <v>Normal</v>
      </c>
      <c r="O97" s="3" t="str">
        <f>IFERROR(__xludf.DUMMYFUNCTION("""COMPUTED_VALUE"""),"Non Urgent")</f>
        <v>Non Urgent</v>
      </c>
    </row>
    <row r="98">
      <c r="A98" s="4">
        <f>IFERROR(__xludf.DUMMYFUNCTION("""COMPUTED_VALUE"""),45715.421505046295)</f>
        <v>45715.42151</v>
      </c>
      <c r="B98" s="3" t="str">
        <f>IFERROR(__xludf.DUMMYFUNCTION("""COMPUTED_VALUE"""),"ANOBR0014")</f>
        <v>ANOBR0014</v>
      </c>
      <c r="C98" s="3" t="str">
        <f>IFERROR(__xludf.DUMMYFUNCTION("""COMPUTED_VALUE"""),"Consumable")</f>
        <v>Consumable</v>
      </c>
      <c r="D98" s="3" t="str">
        <f>IFERROR(__xludf.DUMMYFUNCTION("""COMPUTED_VALUE"""),"-")</f>
        <v>-</v>
      </c>
      <c r="E98" s="3" t="str">
        <f>IFERROR(__xludf.DUMMYFUNCTION("""COMPUTED_VALUE"""),"Workshop")</f>
        <v>Workshop</v>
      </c>
      <c r="F98" s="3" t="str">
        <f>IFERROR(__xludf.DUMMYFUNCTION("""COMPUTED_VALUE"""),"Alat Tap dan Snei")</f>
        <v>Alat Tap dan Snei</v>
      </c>
      <c r="G98" s="3" t="str">
        <f>IFERROR(__xludf.DUMMYFUNCTION("""COMPUTED_VALUE"""),"M5x0.8")</f>
        <v>M5x0.8</v>
      </c>
      <c r="H98" s="3" t="str">
        <f>IFERROR(__xludf.DUMMYFUNCTION("""COMPUTED_VALUE"""),"-")</f>
        <v>-</v>
      </c>
      <c r="I98" s="3">
        <f>IFERROR(__xludf.DUMMYFUNCTION("""COMPUTED_VALUE"""),3.0)</f>
        <v>3</v>
      </c>
      <c r="J98" s="3" t="str">
        <f>IFERROR(__xludf.DUMMYFUNCTION("""COMPUTED_VALUE"""),"pcs")</f>
        <v>pcs</v>
      </c>
      <c r="K98" s="3" t="str">
        <f>IFERROR(__xludf.DUMMYFUNCTION("""COMPUTED_VALUE"""),"https://bnc.lt/a/key_live_abhHgIh1DQiuPxdBNg9EXepdDugwwkHr?channel=salinlink&amp;feature=share&amp;campaign=PDP-26c8sdgdamg7-12713092252-0&amp;sdk=web2.63.0&amp;source=web-sdk&amp;data=eyIkb2dfdGl0bGUiOiJIYW5kIFRhcCBNNXgwLjggU0tDIC8gSGFuZCBUYXAgSFNTIE1lcmsgU2tjIDFzZXQvaXNpID"&amp;"NwY3MiLCIkb2dfZGVzY3JpcHRpb24iOiJEYXJpIFJNUyBUZWtuaWsiLCIkb2dfaW1hZ2VfdXJsIjoiaHR0cHM6Ly9pbWFnZXMudG9rb3BlZGlhLm5ldC9pbWcvY2FjaGUvNTAwLXNxdWFyZS9WcWJjbU0vMjAyNC8yLzEwLzZmYjVkYjExLTFkM2UtNDMyNC1iMjAyLWMyNTI3YThkMWQ2YS5qcGciLCIkZGVza3RvcF91cmwiOiJodHRwczovL"&amp;"3d3dy50b2tvcGVkaWEuY29tL3JjYnRvb2xzL2hhbmQtdGFwLW01eDAtOC1za2MtaGFuZC10YXAtaHNzLW1lcmstc2tjLTFzZXQtaXNpLTNwY3MiLCIkYW5kcm9pZF9kZWVwbGlua19wYXRoIjoiaHR0cHM6Ly93d3cudG9rb3BlZGlhLmNvbS9yY2J0b29scy9oYW5kLXRhcC1tNXgwLTgtc2tjLWhhbmQtdGFwLWhzcy1tZXJrLXNrYy0xc2V0"&amp;"LWlzaS0zcGNzIiwiJGlvc19kZWVwbGlua19wYXRoIjoiaHR0cHM6Ly93d3cudG9rb3BlZGlhLmNvbS9yY2J0b29scy9oYW5kLXRhcC1tNXgwLTgtc2tjLWhhbmQtdGFwLWhzcy1tZXJrLXNrYy0xc2V0LWlzaS0zcGNzIiwiJGFuZHJvaWRfdXJsIjoiaHR0cHM6Ly93d3cudG9rb3BlZGlhLmNvbS9yY2J0b29scy9oYW5kLXRhcC1tNXgwLTg"&amp;"tc2tjLWhhbmQtdGFwLWhzcy1tZXJrLXNrYy0xc2V0LWlzaS0zcGNzIiwiJGlvc191cmwiOiJodHRwczovL3d3dy50b2tvcGVkaWEuY29tL3JjYnRvb2xzL2hhbmQtdGFwLW01eDAtOC1za2MtaGFuZC10YXAtaHNzLW1lcmstc2tjLTFzZXQtaXNpLTNwY3MiLCIkY2Fub25pY2FsX3VybCI6Imh0dHBzOi8vd3d3LnRva29wZWRpYS5jb20vcm"&amp;"NidG9vbHMvaGFuZC10YXAtbTV4MC04LXNrYy1oYW5kLXRhcC1oc3MtbWVyay1za2MtMXNldC1pc2ktM3Bjcz9leHRQYXJhbT1pdmYlM0RmYWxzZSUyNmtleXdvcmQlM0R0YXArbTV4MC44JnNyYz10b3BhZHMiLCIkb2dfdmlkZW8iOm51bGwsIiRvZ190eXBlIjoicHJvZHVjdCJ9")</f>
        <v>https://bnc.lt/a/key_live_abhHgIh1DQiuPxdBNg9EXepdDugwwkHr?channel=salinlink&amp;feature=share&amp;campaign=PDP-26c8sdgdamg7-12713092252-0&amp;sdk=web2.63.0&amp;source=web-sdk&amp;data=eyIkb2dfdGl0bGUiOiJIYW5kIFRhcCBNNXgwLjggU0tDIC8gSGFuZCBUYXAgSFNTIE1lcmsgU2tjIDFzZXQvaXNpIDNwY3MiLCIkb2dfZGVzY3JpcHRpb24iOiJEYXJpIFJNUyBUZWtuaWsiLCIkb2dfaW1hZ2VfdXJsIjoiaHR0cHM6Ly9pbWFnZXMudG9rb3BlZGlhLm5ldC9pbWcvY2FjaGUvNTAwLXNxdWFyZS9WcWJjbU0vMjAyNC8yLzEwLzZmYjVkYjExLTFkM2UtNDMyNC1iMjAyLWMyNTI3YThkMWQ2YS5qcGciLCIkZGVza3RvcF91cmwiOiJodHRwczovL3d3dy50b2tvcGVkaWEuY29tL3JjYnRvb2xzL2hhbmQtdGFwLW01eDAtOC1za2MtaGFuZC10YXAtaHNzLW1lcmstc2tjLTFzZXQtaXNpLTNwY3MiLCIkYW5kcm9pZF9kZWVwbGlua19wYXRoIjoiaHR0cHM6Ly93d3cudG9rb3BlZGlhLmNvbS9yY2J0b29scy9oYW5kLXRhcC1tNXgwLTgtc2tjLWhhbmQtdGFwLWhzcy1tZXJrLXNrYy0xc2V0LWlzaS0zcGNzIiwiJGlvc19kZWVwbGlua19wYXRoIjoiaHR0cHM6Ly93d3cudG9rb3BlZGlhLmNvbS9yY2J0b29scy9oYW5kLXRhcC1tNXgwLTgtc2tjLWhhbmQtdGFwLWhzcy1tZXJrLXNrYy0xc2V0LWlzaS0zcGNzIiwiJGFuZHJvaWRfdXJsIjoiaHR0cHM6Ly93d3cudG9rb3BlZGlhLmNvbS9yY2J0b29scy9oYW5kLXRhcC1tNXgwLTgtc2tjLWhhbmQtdGFwLWhzcy1tZXJrLXNrYy0xc2V0LWlzaS0zcGNzIiwiJGlvc191cmwiOiJodHRwczovL3d3dy50b2tvcGVkaWEuY29tL3JjYnRvb2xzL2hhbmQtdGFwLW01eDAtOC1za2MtaGFuZC10YXAtaHNzLW1lcmstc2tjLTFzZXQtaXNpLTNwY3MiLCIkY2Fub25pY2FsX3VybCI6Imh0dHBzOi8vd3d3LnRva29wZWRpYS5jb20vcmNidG9vbHMvaGFuZC10YXAtbTV4MC04LXNrYy1oYW5kLXRhcC1oc3MtbWVyay1za2MtMXNldC1pc2ktM3Bjcz9leHRQYXJhbT1pdmYlM0RmYWxzZSUyNmtleXdvcmQlM0R0YXArbTV4MC44JnNyYz10b3BhZHMiLCIkb2dfdmlkZW8iOm51bGwsIiRvZ190eXBlIjoicHJvZHVjdCJ9</v>
      </c>
      <c r="L98" s="3" t="str">
        <f>IFERROR(__xludf.DUMMYFUNCTION("""COMPUTED_VALUE"""),"Keperluan Tap dan snei")</f>
        <v>Keperluan Tap dan snei</v>
      </c>
      <c r="M98" s="3" t="str">
        <f>IFERROR(__xludf.DUMMYFUNCTION("""COMPUTED_VALUE"""),"Approve")</f>
        <v>Approve</v>
      </c>
      <c r="N98" s="3" t="str">
        <f>IFERROR(__xludf.DUMMYFUNCTION("""COMPUTED_VALUE"""),"Normal")</f>
        <v>Normal</v>
      </c>
      <c r="O98" s="3" t="str">
        <f>IFERROR(__xludf.DUMMYFUNCTION("""COMPUTED_VALUE"""),"Non Urgent")</f>
        <v>Non Urgent</v>
      </c>
    </row>
    <row r="99">
      <c r="A99" s="4">
        <f>IFERROR(__xludf.DUMMYFUNCTION("""COMPUTED_VALUE"""),45715.43380225694)</f>
        <v>45715.4338</v>
      </c>
      <c r="B99" s="3" t="str">
        <f>IFERROR(__xludf.DUMMYFUNCTION("""COMPUTED_VALUE"""),"ANOBR0015")</f>
        <v>ANOBR0015</v>
      </c>
      <c r="C99" s="3" t="str">
        <f>IFERROR(__xludf.DUMMYFUNCTION("""COMPUTED_VALUE"""),"Consumable")</f>
        <v>Consumable</v>
      </c>
      <c r="D99" s="3" t="str">
        <f>IFERROR(__xludf.DUMMYFUNCTION("""COMPUTED_VALUE"""),"-")</f>
        <v>-</v>
      </c>
      <c r="E99" s="3" t="str">
        <f>IFERROR(__xludf.DUMMYFUNCTION("""COMPUTED_VALUE"""),"Workshop")</f>
        <v>Workshop</v>
      </c>
      <c r="F99" s="3" t="str">
        <f>IFERROR(__xludf.DUMMYFUNCTION("""COMPUTED_VALUE"""),"Alat Tap dan Snei")</f>
        <v>Alat Tap dan Snei</v>
      </c>
      <c r="G99" s="3" t="str">
        <f>IFERROR(__xludf.DUMMYFUNCTION("""COMPUTED_VALUE"""),"M6x1.0")</f>
        <v>M6x1.0</v>
      </c>
      <c r="H99" s="3" t="str">
        <f>IFERROR(__xludf.DUMMYFUNCTION("""COMPUTED_VALUE"""),"-")</f>
        <v>-</v>
      </c>
      <c r="I99" s="3">
        <f>IFERROR(__xludf.DUMMYFUNCTION("""COMPUTED_VALUE"""),3.0)</f>
        <v>3</v>
      </c>
      <c r="J99" s="3" t="str">
        <f>IFERROR(__xludf.DUMMYFUNCTION("""COMPUTED_VALUE"""),"pcs")</f>
        <v>pcs</v>
      </c>
      <c r="K99" s="3" t="str">
        <f>IFERROR(__xludf.DUMMYFUNCTION("""COMPUTED_VALUE"""),"https://bnc.lt/a/key_live_abhHgIh1DQiuPxdBNg9EXepdDugwwkHr?channel=salinlink&amp;feature=share&amp;campaign=PDP-2i7lwk8qq2o3-13171771298-0&amp;sdk=web2.63.0&amp;source=web-sdk&amp;data=eyIkb2dfdGl0bGUiOiJTS0MgT3JhbmdlIEhhbmQgVGFwIE02eDEuMCBNYXRhIEhhbmQgVGFwcyBTY3JldyBQZW1idW"&amp;"F0IERyYXQiLCIkb2dfZGVzY3JpcHRpb24iOiJEYXJpIFBULiBHTElTVEFHRU4iLCIkb2dfaW1hZ2VfdXJsIjoiaHR0cHM6Ly9pbWFnZXMudG9rb3BlZGlhLm5ldC9pbWcvY2FjaGUvNTAwLXNxdWFyZS9WcWJjbU0vMjAyNC81LzMxL2U5MTI5NzFiLTM2YjktNDlmYi1hZWUwLTAyZTcxZTEyNTY3Ny5qcGciLCIkZGVza3RvcF91cmwiOiJod"&amp;"HRwczovL3d3dy50b2tvcGVkaWEuY29tL2dsaXN0YWdlbnB0L3NrYy1vcmFuZ2UtaGFuZC10YXAtbTZ4MS0wLW1hdGEtaGFuZC10YXBzLXNjcmV3LXBlbWJ1YXQtZHJhdCIsIiRhbmRyb2lkX2RlZXBsaW5rX3BhdGgiOiJodHRwczovL3d3dy50b2tvcGVkaWEuY29tL2dsaXN0YWdlbnB0L3NrYy1vcmFuZ2UtaGFuZC10YXAtbTZ4MS0wLW1h"&amp;"dGEtaGFuZC10YXBzLXNjcmV3LXBlbWJ1YXQtZHJhdCIsIiRpb3NfZGVlcGxpbmtfcGF0aCI6Imh0dHBzOi8vd3d3LnRva29wZWRpYS5jb20vZ2xpc3RhZ2VucHQvc2tjLW9yYW5nZS1oYW5kLXRhcC1tNngxLTAtbWF0YS1oYW5kLXRhcHMtc2NyZXctcGVtYnVhdC1kcmF0IiwiJGFuZHJvaWRfdXJsIjoiaHR0cHM6Ly93d3cudG9rb3BlZGl"&amp;"hLmNvbS9nbGlzdGFnZW5wdC9za2Mtb3JhbmdlLWhhbmQtdGFwLW02eDEtMC1tYXRhLWhhbmQtdGFwcy1zY3Jldy1wZW1idWF0LWRyYXQiLCIkaW9zX3VybCI6Imh0dHBzOi8vd3d3LnRva29wZWRpYS5jb20vZ2xpc3RhZ2VucHQvc2tjLW9yYW5nZS1oYW5kLXRhcC1tNngxLTAtbWF0YS1oYW5kLXRhcHMtc2NyZXctcGVtYnVhdC1kcmF0Ii"&amp;"wiJGNhbm9uaWNhbF91cmwiOiJodHRwczovL3d3dy50b2tvcGVkaWEuY29tL2dsaXN0YWdlbnB0L3NrYy1vcmFuZ2UtaGFuZC10YXAtbTZ4MS0wLW1hdGEtaGFuZC10YXBzLXNjcmV3LXBlbWJ1YXQtZHJhdD9leHRQYXJhbT1pdmYlM0RmYWxzZSUyNmtleXdvcmQlM0RtNngxLjAlMjZzZWFyY2hfaWQlM0QyMDI1MDIyNzAzMjgxNDdBN0RGQ"&amp;"jc2QTA0MzE3MTE0TUFCJTI2c3JjJTNEc2VhcmNoIiwiJG9nX3ZpZGVvIjpudWxsLCIkb2dfdHlwZSI6InByb2R1Y3QifQ%3D%3D")</f>
        <v>https://bnc.lt/a/key_live_abhHgIh1DQiuPxdBNg9EXepdDugwwkHr?channel=salinlink&amp;feature=share&amp;campaign=PDP-2i7lwk8qq2o3-13171771298-0&amp;sdk=web2.63.0&amp;source=web-sdk&amp;data=eyIkb2dfdGl0bGUiOiJTS0MgT3JhbmdlIEhhbmQgVGFwIE02eDEuMCBNYXRhIEhhbmQgVGFwcyBTY3JldyBQZW1idWF0IERyYXQiLCIkb2dfZGVzY3JpcHRpb24iOiJEYXJpIFBULiBHTElTVEFHRU4iLCIkb2dfaW1hZ2VfdXJsIjoiaHR0cHM6Ly9pbWFnZXMudG9rb3BlZGlhLm5ldC9pbWcvY2FjaGUvNTAwLXNxdWFyZS9WcWJjbU0vMjAyNC81LzMxL2U5MTI5NzFiLTM2YjktNDlmYi1hZWUwLTAyZTcxZTEyNTY3Ny5qcGciLCIkZGVza3RvcF91cmwiOiJodHRwczovL3d3dy50b2tvcGVkaWEuY29tL2dsaXN0YWdlbnB0L3NrYy1vcmFuZ2UtaGFuZC10YXAtbTZ4MS0wLW1hdGEtaGFuZC10YXBzLXNjcmV3LXBlbWJ1YXQtZHJhdCIsIiRhbmRyb2lkX2RlZXBsaW5rX3BhdGgiOiJodHRwczovL3d3dy50b2tvcGVkaWEuY29tL2dsaXN0YWdlbnB0L3NrYy1vcmFuZ2UtaGFuZC10YXAtbTZ4MS0wLW1hdGEtaGFuZC10YXBzLXNjcmV3LXBlbWJ1YXQtZHJhdCIsIiRpb3NfZGVlcGxpbmtfcGF0aCI6Imh0dHBzOi8vd3d3LnRva29wZWRpYS5jb20vZ2xpc3RhZ2VucHQvc2tjLW9yYW5nZS1oYW5kLXRhcC1tNngxLTAtbWF0YS1oYW5kLXRhcHMtc2NyZXctcGVtYnVhdC1kcmF0IiwiJGFuZHJvaWRfdXJsIjoiaHR0cHM6Ly93d3cudG9rb3BlZGlhLmNvbS9nbGlzdGFnZW5wdC9za2Mtb3JhbmdlLWhhbmQtdGFwLW02eDEtMC1tYXRhLWhhbmQtdGFwcy1zY3Jldy1wZW1idWF0LWRyYXQiLCIkaW9zX3VybCI6Imh0dHBzOi8vd3d3LnRva29wZWRpYS5jb20vZ2xpc3RhZ2VucHQvc2tjLW9yYW5nZS1oYW5kLXRhcC1tNngxLTAtbWF0YS1oYW5kLXRhcHMtc2NyZXctcGVtYnVhdC1kcmF0IiwiJGNhbm9uaWNhbF91cmwiOiJodHRwczovL3d3dy50b2tvcGVkaWEuY29tL2dsaXN0YWdlbnB0L3NrYy1vcmFuZ2UtaGFuZC10YXAtbTZ4MS0wLW1hdGEtaGFuZC10YXBzLXNjcmV3LXBlbWJ1YXQtZHJhdD9leHRQYXJhbT1pdmYlM0RmYWxzZSUyNmtleXdvcmQlM0RtNngxLjAlMjZzZWFyY2hfaWQlM0QyMDI1MDIyNzAzMjgxNDdBN0RGQjc2QTA0MzE3MTE0TUFCJTI2c3JjJTNEc2VhcmNoIiwiJG9nX3ZpZGVvIjpudWxsLCIkb2dfdHlwZSI6InByb2R1Y3QifQ%3D%3D</v>
      </c>
      <c r="L99" s="3" t="str">
        <f>IFERROR(__xludf.DUMMYFUNCTION("""COMPUTED_VALUE"""),"Keperluan Tap dan snei")</f>
        <v>Keperluan Tap dan snei</v>
      </c>
      <c r="M99" s="3" t="str">
        <f>IFERROR(__xludf.DUMMYFUNCTION("""COMPUTED_VALUE"""),"Approve")</f>
        <v>Approve</v>
      </c>
      <c r="N99" s="3" t="str">
        <f>IFERROR(__xludf.DUMMYFUNCTION("""COMPUTED_VALUE"""),"Normal")</f>
        <v>Normal</v>
      </c>
      <c r="O99" s="3" t="str">
        <f>IFERROR(__xludf.DUMMYFUNCTION("""COMPUTED_VALUE"""),"Non Urgent")</f>
        <v>Non Urgent</v>
      </c>
    </row>
    <row r="100">
      <c r="A100" s="4">
        <f>IFERROR(__xludf.DUMMYFUNCTION("""COMPUTED_VALUE"""),45715.43703217593)</f>
        <v>45715.43703</v>
      </c>
      <c r="B100" s="3" t="str">
        <f>IFERROR(__xludf.DUMMYFUNCTION("""COMPUTED_VALUE"""),"ANOBR0016")</f>
        <v>ANOBR0016</v>
      </c>
      <c r="C100" s="3" t="str">
        <f>IFERROR(__xludf.DUMMYFUNCTION("""COMPUTED_VALUE"""),"Consumable")</f>
        <v>Consumable</v>
      </c>
      <c r="D100" s="3" t="str">
        <f>IFERROR(__xludf.DUMMYFUNCTION("""COMPUTED_VALUE"""),"-")</f>
        <v>-</v>
      </c>
      <c r="E100" s="3" t="str">
        <f>IFERROR(__xludf.DUMMYFUNCTION("""COMPUTED_VALUE"""),"Workshop")</f>
        <v>Workshop</v>
      </c>
      <c r="F100" s="3" t="str">
        <f>IFERROR(__xludf.DUMMYFUNCTION("""COMPUTED_VALUE"""),"Alat Tap dan Snei")</f>
        <v>Alat Tap dan Snei</v>
      </c>
      <c r="G100" s="3" t="str">
        <f>IFERROR(__xludf.DUMMYFUNCTION("""COMPUTED_VALUE"""),"Stang Tap")</f>
        <v>Stang Tap</v>
      </c>
      <c r="H100" s="3" t="str">
        <f>IFERROR(__xludf.DUMMYFUNCTION("""COMPUTED_VALUE"""),"Tekiro")</f>
        <v>Tekiro</v>
      </c>
      <c r="I100" s="3">
        <f>IFERROR(__xludf.DUMMYFUNCTION("""COMPUTED_VALUE"""),1.0)</f>
        <v>1</v>
      </c>
      <c r="J100" s="3" t="str">
        <f>IFERROR(__xludf.DUMMYFUNCTION("""COMPUTED_VALUE"""),"pcs")</f>
        <v>pcs</v>
      </c>
      <c r="K100" s="3" t="str">
        <f>IFERROR(__xludf.DUMMYFUNCTION("""COMPUTED_VALUE"""),"https://bnc.lt/a/key_live_abhHgIh1DQiuPxdBNg9EXepdDugwwkHr?channel=salinlink&amp;feature=share&amp;campaign=PDP-8k6b33ikpws8-3214828453-0&amp;sdk=web2.63.0&amp;source=web-sdk&amp;data=eyIkb2dfdGl0bGUiOiJIQU5ETEUgR2FnYW5nIFRBUCBCQUxJSyBTdGFuZyBTY3JldyBFeHRyYWN0b3IgLSBURUtJUk8"&amp;"gTTEgTTEwIE0zIE0xMiAtIE0xLU0xMCIsIiRvZ19kZXNjcmlwdGlvbiI6IkRhcmkgTWFocnVtYWgiLCIkb2dfaW1hZ2VfdXJsIjoiaHR0cHM6Ly9pbWFnZXMudG9rb3BlZGlhLm5ldC9pbWcvbURjUUJ5LzIwMjQvOS8xMy84OTQ4OTM1YS05Mzk3LTQwYmEtOTMwNy1jYWM3NzJlNzliYTgucG5nIiwiJGRlc2t0b3BfdXJsIjoiaHR0cHM6Ly"&amp;"93d3cudG9rb3BlZGlhLmNvbS9tYWhydW1haC9oYW5kbGUtZ2FnYW5nLXRhcC1iYWxpay1zdGFuZy1zY3Jldy1leHRyYWN0b3ItdGVraXJvLW0xLW0xMC1tMy1tMTItbTEtbTEwIiwiJGFuZHJvaWRfZGVlcGxpbmtfcGF0aCI6Imh0dHBzOi8vd3d3LnRva29wZWRpYS5jb20vbWFocnVtYWgvaGFuZGxlLWdhZ2FuZy10YXAtYmFsaWstc3Rhb"&amp;"mctc2NyZXctZXh0cmFjdG9yLXRla2lyby1tMS1tMTAtbTMtbTEyLW0xLW0xMCIsIiRpb3NfZGVlcGxpbmtfcGF0aCI6Imh0dHBzOi8vd3d3LnRva29wZWRpYS5jb20vbWFocnVtYWgvaGFuZGxlLWdhZ2FuZy10YXAtYmFsaWstc3Rhbmctc2NyZXctZXh0cmFjdG9yLXRla2lyby1tMS1tMTAtbTMtbTEyLW0xLW0xMCIsIiRhbmRyb2lkX3Vy"&amp;"bCI6Imh0dHBzOi8vd3d3LnRva29wZWRpYS5jb20vbWFocnVtYWgvaGFuZGxlLWdhZ2FuZy10YXAtYmFsaWstc3Rhbmctc2NyZXctZXh0cmFjdG9yLXRla2lyby1tMS1tMTAtbTMtbTEyLW0xLW0xMCIsIiRpb3NfdXJsIjoiaHR0cHM6Ly93d3cudG9rb3BlZGlhLmNvbS9tYWhydW1haC9oYW5kbGUtZ2FnYW5nLXRhcC1iYWxpay1zdGFuZy1"&amp;"zY3Jldy1leHRyYWN0b3ItdGVraXJvLW0xLW0xMC1tMy1tMTItbTEtbTEwIiwiJGNhbm9uaWNhbF91cmwiOiJodHRwczovL3d3dy50b2tvcGVkaWEuY29tL21haHJ1bWFoL2hhbmRsZS1nYWdhbmctdGFwLWJhbGlrLXN0YW5nLXNjcmV3LWV4dHJhY3Rvci10ZWtpcm8tbTEtbTEwLW0zLW0xMi1tMS1tMTA%2FZXh0UGFyYW09aXZmJTNEZmFs"&amp;"c2UlMjZrZXl3b3JkJTNEc3RhbmcrdGFwJTI2c2VhcmNoX2lkJTNEMjAyNTAyMjcwMzMwMDVBQTlGMEQwMUIwODhDRjI0OVREVCUyNnNyYyUzRHNlYXJjaCIsIiRvZ192aWRlbyI6bnVsbCwiJG9nX3R5cGUiOiJwcm9kdWN0In0%3D")</f>
        <v>https://bnc.lt/a/key_live_abhHgIh1DQiuPxdBNg9EXepdDugwwkHr?channel=salinlink&amp;feature=share&amp;campaign=PDP-8k6b33ikpws8-3214828453-0&amp;sdk=web2.63.0&amp;source=web-sdk&amp;data=eyIkb2dfdGl0bGUiOiJIQU5ETEUgR2FnYW5nIFRBUCBCQUxJSyBTdGFuZyBTY3JldyBFeHRyYWN0b3IgLSBURUtJUk8gTTEgTTEwIE0zIE0xMiAtIE0xLU0xMCIsIiRvZ19kZXNjcmlwdGlvbiI6IkRhcmkgTWFocnVtYWgiLCIkb2dfaW1hZ2VfdXJsIjoiaHR0cHM6Ly9pbWFnZXMudG9rb3BlZGlhLm5ldC9pbWcvbURjUUJ5LzIwMjQvOS8xMy84OTQ4OTM1YS05Mzk3LTQwYmEtOTMwNy1jYWM3NzJlNzliYTgucG5nIiwiJGRlc2t0b3BfdXJsIjoiaHR0cHM6Ly93d3cudG9rb3BlZGlhLmNvbS9tYWhydW1haC9oYW5kbGUtZ2FnYW5nLXRhcC1iYWxpay1zdGFuZy1zY3Jldy1leHRyYWN0b3ItdGVraXJvLW0xLW0xMC1tMy1tMTItbTEtbTEwIiwiJGFuZHJvaWRfZGVlcGxpbmtfcGF0aCI6Imh0dHBzOi8vd3d3LnRva29wZWRpYS5jb20vbWFocnVtYWgvaGFuZGxlLWdhZ2FuZy10YXAtYmFsaWstc3Rhbmctc2NyZXctZXh0cmFjdG9yLXRla2lyby1tMS1tMTAtbTMtbTEyLW0xLW0xMCIsIiRpb3NfZGVlcGxpbmtfcGF0aCI6Imh0dHBzOi8vd3d3LnRva29wZWRpYS5jb20vbWFocnVtYWgvaGFuZGxlLWdhZ2FuZy10YXAtYmFsaWstc3Rhbmctc2NyZXctZXh0cmFjdG9yLXRla2lyby1tMS1tMTAtbTMtbTEyLW0xLW0xMCIsIiRhbmRyb2lkX3VybCI6Imh0dHBzOi8vd3d3LnRva29wZWRpYS5jb20vbWFocnVtYWgvaGFuZGxlLWdhZ2FuZy10YXAtYmFsaWstc3Rhbmctc2NyZXctZXh0cmFjdG9yLXRla2lyby1tMS1tMTAtbTMtbTEyLW0xLW0xMCIsIiRpb3NfdXJsIjoiaHR0cHM6Ly93d3cudG9rb3BlZGlhLmNvbS9tYWhydW1haC9oYW5kbGUtZ2FnYW5nLXRhcC1iYWxpay1zdGFuZy1zY3Jldy1leHRyYWN0b3ItdGVraXJvLW0xLW0xMC1tMy1tMTItbTEtbTEwIiwiJGNhbm9uaWNhbF91cmwiOiJodHRwczovL3d3dy50b2tvcGVkaWEuY29tL21haHJ1bWFoL2hhbmRsZS1nYWdhbmctdGFwLWJhbGlrLXN0YW5nLXNjcmV3LWV4dHJhY3Rvci10ZWtpcm8tbTEtbTEwLW0zLW0xMi1tMS1tMTA%2FZXh0UGFyYW09aXZmJTNEZmFsc2UlMjZrZXl3b3JkJTNEc3RhbmcrdGFwJTI2c2VhcmNoX2lkJTNEMjAyNTAyMjcwMzMwMDVBQTlGMEQwMUIwODhDRjI0OVREVCUyNnNyYyUzRHNlYXJjaCIsIiRvZ192aWRlbyI6bnVsbCwiJG9nX3R5cGUiOiJwcm9kdWN0In0%3D</v>
      </c>
      <c r="L100" s="3" t="str">
        <f>IFERROR(__xludf.DUMMYFUNCTION("""COMPUTED_VALUE"""),"Keperluan Tap dan snei")</f>
        <v>Keperluan Tap dan snei</v>
      </c>
      <c r="M100" s="3" t="str">
        <f>IFERROR(__xludf.DUMMYFUNCTION("""COMPUTED_VALUE"""),"Approve")</f>
        <v>Approve</v>
      </c>
      <c r="N100" s="3" t="str">
        <f>IFERROR(__xludf.DUMMYFUNCTION("""COMPUTED_VALUE"""),"Normal")</f>
        <v>Normal</v>
      </c>
      <c r="O100" s="3" t="str">
        <f>IFERROR(__xludf.DUMMYFUNCTION("""COMPUTED_VALUE"""),"Non Urgent")</f>
        <v>Non Urgent</v>
      </c>
    </row>
    <row r="101">
      <c r="A101" s="4">
        <f>IFERROR(__xludf.DUMMYFUNCTION("""COMPUTED_VALUE"""),45715.46579297454)</f>
        <v>45715.46579</v>
      </c>
      <c r="B101" s="3" t="str">
        <f>IFERROR(__xludf.DUMMYFUNCTION("""COMPUTED_VALUE"""),"NDSBR0003")</f>
        <v>NDSBR0003</v>
      </c>
      <c r="C101" s="3" t="str">
        <f>IFERROR(__xludf.DUMMYFUNCTION("""COMPUTED_VALUE"""),"EJO")</f>
        <v>EJO</v>
      </c>
      <c r="D101" s="3" t="str">
        <f>IFERROR(__xludf.DUMMYFUNCTION("""COMPUTED_VALUE"""),"EJO/2024/12/147")</f>
        <v>EJO/2024/12/147</v>
      </c>
      <c r="E101" s="3" t="str">
        <f>IFERROR(__xludf.DUMMYFUNCTION("""COMPUTED_VALUE"""),"Mixing Tank MV 200")</f>
        <v>Mixing Tank MV 200</v>
      </c>
      <c r="F101" s="3" t="str">
        <f>IFERROR(__xludf.DUMMYFUNCTION("""COMPUTED_VALUE"""),"Gasket Ferrule ")</f>
        <v>Gasket Ferrule </v>
      </c>
      <c r="G101" s="3" t="str">
        <f>IFERROR(__xludf.DUMMYFUNCTION("""COMPUTED_VALUE"""),"Material EPDM, 6""")</f>
        <v>Material EPDM, 6"</v>
      </c>
      <c r="H101" s="3" t="str">
        <f>IFERROR(__xludf.DUMMYFUNCTION("""COMPUTED_VALUE"""),"-")</f>
        <v>-</v>
      </c>
      <c r="I101" s="3">
        <f>IFERROR(__xludf.DUMMYFUNCTION("""COMPUTED_VALUE"""),4.0)</f>
        <v>4</v>
      </c>
      <c r="J101" s="3" t="str">
        <f>IFERROR(__xludf.DUMMYFUNCTION("""COMPUTED_VALUE"""),"Pcs")</f>
        <v>Pcs</v>
      </c>
      <c r="K101" s="5" t="str">
        <f>IFERROR(__xludf.DUMMYFUNCTION("""COMPUTED_VALUE"""),"https://www.google.com/search?sca_esv=53b09118edbda9fc&amp;rlz=1C1GCEA_enID1076ID1076&amp;sxsrf=AHTn8zr5oshrwPuVZ4GYerDABE855Pmegg:1740628146184&amp;q=gasket+ferrule+EPDM+6Inch&amp;udm=2&amp;fbs=ABzOT_CB5rTOeVClh44GCXZQydERP1BnZ_6U4iXdAZ_ZkT8a3yweG-ROKJaX8AZ4e4IzcHWttziSCpXz"&amp;"7Kk4unvbthF53f5zm-k1xtQ8Cs1ebCGDwGhGJiiASqBYq1w_9uOUzkHFllm2si9-ahMJTMQdEAiFQbyINXSh6GkB3Mr9fR7Exc5E8c51RwZOU9HzyF7XbDLzSYJ0wedcOqWn1gpH5jI5CiUChw&amp;sa=X&amp;ved=2ahUKEwj1l9uS-eKLAxV2TDABHbbnDBIQtKgLegQIEBAB&amp;biw=1366&amp;bih=611&amp;dpr=1")</f>
        <v>https://www.google.com/search?sca_esv=53b09118edbda9fc&amp;rlz=1C1GCEA_enID1076ID1076&amp;sxsrf=AHTn8zr5oshrwPuVZ4GYerDABE855Pmegg:1740628146184&amp;q=gasket+ferrule+EPDM+6Inch&amp;udm=2&amp;fbs=ABzOT_CB5rTOeVClh44GCXZQydERP1BnZ_6U4iXdAZ_ZkT8a3yweG-ROKJaX8AZ4e4IzcHWttziSCpXz7Kk4unvbthF53f5zm-k1xtQ8Cs1ebCGDwGhGJiiASqBYq1w_9uOUzkHFllm2si9-ahMJTMQdEAiFQbyINXSh6GkB3Mr9fR7Exc5E8c51RwZOU9HzyF7XbDLzSYJ0wedcOqWn1gpH5jI5CiUChw&amp;sa=X&amp;ved=2ahUKEwj1l9uS-eKLAxV2TDABHbbnDBIQtKgLegQIEBAB&amp;biw=1366&amp;bih=611&amp;dpr=1</v>
      </c>
      <c r="L101" s="3" t="str">
        <f>IFERROR(__xludf.DUMMYFUNCTION("""COMPUTED_VALUE"""),"-")</f>
        <v>-</v>
      </c>
      <c r="M101" s="3" t="str">
        <f>IFERROR(__xludf.DUMMYFUNCTION("""COMPUTED_VALUE"""),"Approve")</f>
        <v>Approve</v>
      </c>
      <c r="N101" s="3" t="str">
        <f>IFERROR(__xludf.DUMMYFUNCTION("""COMPUTED_VALUE"""),"Urgent")</f>
        <v>Urgent</v>
      </c>
      <c r="O101" s="3" t="str">
        <f>IFERROR(__xludf.DUMMYFUNCTION("""COMPUTED_VALUE"""),"Reject")</f>
        <v>Reject</v>
      </c>
    </row>
    <row r="102">
      <c r="A102" s="4">
        <f>IFERROR(__xludf.DUMMYFUNCTION("""COMPUTED_VALUE"""),45715.47366626157)</f>
        <v>45715.47367</v>
      </c>
      <c r="B102" s="3" t="str">
        <f>IFERROR(__xludf.DUMMYFUNCTION("""COMPUTED_VALUE"""),"NDSBR0004")</f>
        <v>NDSBR0004</v>
      </c>
      <c r="C102" s="3" t="str">
        <f>IFERROR(__xludf.DUMMYFUNCTION("""COMPUTED_VALUE"""),"EJO")</f>
        <v>EJO</v>
      </c>
      <c r="D102" s="3" t="str">
        <f>IFERROR(__xludf.DUMMYFUNCTION("""COMPUTED_VALUE"""),"EJO/2024/08/27")</f>
        <v>EJO/2024/08/27</v>
      </c>
      <c r="E102" s="3" t="str">
        <f>IFERROR(__xludf.DUMMYFUNCTION("""COMPUTED_VALUE"""),"Vial Washing")</f>
        <v>Vial Washing</v>
      </c>
      <c r="F102" s="3" t="str">
        <f>IFERROR(__xludf.DUMMYFUNCTION("""COMPUTED_VALUE"""),"Baut L Tanam")</f>
        <v>Baut L Tanam</v>
      </c>
      <c r="G102" s="3" t="str">
        <f>IFERROR(__xludf.DUMMYFUNCTION("""COMPUTED_VALUE"""),"M 5x0,8x10")</f>
        <v>M 5x0,8x10</v>
      </c>
      <c r="H102" s="3" t="str">
        <f>IFERROR(__xludf.DUMMYFUNCTION("""COMPUTED_VALUE"""),"-")</f>
        <v>-</v>
      </c>
      <c r="I102" s="3">
        <f>IFERROR(__xludf.DUMMYFUNCTION("""COMPUTED_VALUE"""),100.0)</f>
        <v>100</v>
      </c>
      <c r="J102" s="3" t="str">
        <f>IFERROR(__xludf.DUMMYFUNCTION("""COMPUTED_VALUE"""),"Pcs")</f>
        <v>Pcs</v>
      </c>
      <c r="K102" s="5" t="str">
        <f>IFERROR(__xludf.DUMMYFUNCTION("""COMPUTED_VALUE"""),"https://www.tokopedia.com/bautfasterner/baut-l-tanam-stainless-m5-x-10-drat-0-8-ss-304-baut-l-tanam-m5x10-ss")</f>
        <v>https://www.tokopedia.com/bautfasterner/baut-l-tanam-stainless-m5-x-10-drat-0-8-ss-304-baut-l-tanam-m5x10-ss</v>
      </c>
      <c r="L102" s="3" t="str">
        <f>IFERROR(__xludf.DUMMYFUNCTION("""COMPUTED_VALUE"""),"-")</f>
        <v>-</v>
      </c>
      <c r="M102" s="3" t="str">
        <f>IFERROR(__xludf.DUMMYFUNCTION("""COMPUTED_VALUE"""),"Approve")</f>
        <v>Approve</v>
      </c>
      <c r="N102" s="3" t="str">
        <f>IFERROR(__xludf.DUMMYFUNCTION("""COMPUTED_VALUE"""),"Normal")</f>
        <v>Normal</v>
      </c>
      <c r="O102" s="3" t="str">
        <f>IFERROR(__xludf.DUMMYFUNCTION("""COMPUTED_VALUE"""),"Non Urgent")</f>
        <v>Non Urgent</v>
      </c>
    </row>
    <row r="103">
      <c r="A103" s="4">
        <f>IFERROR(__xludf.DUMMYFUNCTION("""COMPUTED_VALUE"""),45715.48699853009)</f>
        <v>45715.487</v>
      </c>
      <c r="B103" s="3" t="str">
        <f>IFERROR(__xludf.DUMMYFUNCTION("""COMPUTED_VALUE"""),"INNBR0015")</f>
        <v>INNBR0015</v>
      </c>
      <c r="C103" s="3" t="str">
        <f>IFERROR(__xludf.DUMMYFUNCTION("""COMPUTED_VALUE"""),"Critical Part")</f>
        <v>Critical Part</v>
      </c>
      <c r="D103" s="3" t="str">
        <f>IFERROR(__xludf.DUMMYFUNCTION("""COMPUTED_VALUE"""),"-")</f>
        <v>-</v>
      </c>
      <c r="E103" s="3" t="str">
        <f>IFERROR(__xludf.DUMMYFUNCTION("""COMPUTED_VALUE"""),"Mixing (jaket heater cremophor)")</f>
        <v>Mixing (jaket heater cremophor)</v>
      </c>
      <c r="F103" s="3" t="str">
        <f>IFERROR(__xludf.DUMMYFUNCTION("""COMPUTED_VALUE"""),"HEATER JAKET (HEATING CABLE +THERMOSTAT) UK 1790 X 330MM 230V 2000W P.KABEL 5 METER")</f>
        <v>HEATER JAKET (HEATING CABLE +THERMOSTAT) UK 1790 X 330MM 230V 2000W P.KABEL 5 METER</v>
      </c>
      <c r="G103" s="3" t="str">
        <f>IFERROR(__xludf.DUMMYFUNCTION("""COMPUTED_VALUE"""),"Sesuai penawaran")</f>
        <v>Sesuai penawaran</v>
      </c>
      <c r="H103" s="3" t="str">
        <f>IFERROR(__xludf.DUMMYFUNCTION("""COMPUTED_VALUE"""),"USM (Custom)")</f>
        <v>USM (Custom)</v>
      </c>
      <c r="I103" s="3">
        <f>IFERROR(__xludf.DUMMYFUNCTION("""COMPUTED_VALUE"""),1.0)</f>
        <v>1</v>
      </c>
      <c r="J103" s="3" t="str">
        <f>IFERROR(__xludf.DUMMYFUNCTION("""COMPUTED_VALUE"""),"Unit")</f>
        <v>Unit</v>
      </c>
      <c r="K103" s="5" t="str">
        <f>IFERROR(__xludf.DUMMYFUNCTION("""COMPUTED_VALUE"""),"https://drive.google.com/file/d/1qzcQhvDISYnLlvisNE8FSMavU5MXw66w/view?usp=drive_link")</f>
        <v>https://drive.google.com/file/d/1qzcQhvDISYnLlvisNE8FSMavU5MXw66w/view?usp=drive_link</v>
      </c>
      <c r="L103" s="3" t="str">
        <f>IFERROR(__xludf.DUMMYFUNCTION("""COMPUTED_VALUE"""),"-")</f>
        <v>-</v>
      </c>
      <c r="M103" s="3" t="str">
        <f>IFERROR(__xludf.DUMMYFUNCTION("""COMPUTED_VALUE"""),"Approve")</f>
        <v>Approve</v>
      </c>
      <c r="N103" s="3" t="str">
        <f>IFERROR(__xludf.DUMMYFUNCTION("""COMPUTED_VALUE"""),"Normal")</f>
        <v>Normal</v>
      </c>
      <c r="O103" s="3" t="str">
        <f>IFERROR(__xludf.DUMMYFUNCTION("""COMPUTED_VALUE"""),"Non Urgent")</f>
        <v>Non Urgent</v>
      </c>
    </row>
    <row r="104">
      <c r="A104" s="4">
        <f>IFERROR(__xludf.DUMMYFUNCTION("""COMPUTED_VALUE"""),45715.95977559027)</f>
        <v>45715.95978</v>
      </c>
      <c r="B104" s="3" t="str">
        <f>IFERROR(__xludf.DUMMYFUNCTION("""COMPUTED_VALUE"""),"AAABR0001")</f>
        <v>AAABR0001</v>
      </c>
      <c r="C104" s="3" t="str">
        <f>IFERROR(__xludf.DUMMYFUNCTION("""COMPUTED_VALUE"""),"Consumable")</f>
        <v>Consumable</v>
      </c>
      <c r="D104" s="3" t="str">
        <f>IFERROR(__xludf.DUMMYFUNCTION("""COMPUTED_VALUE"""),"NA")</f>
        <v>NA</v>
      </c>
      <c r="E104" s="3" t="str">
        <f>IFERROR(__xludf.DUMMYFUNCTION("""COMPUTED_VALUE"""),"Cartoning")</f>
        <v>Cartoning</v>
      </c>
      <c r="F104" s="3" t="str">
        <f>IFERROR(__xludf.DUMMYFUNCTION("""COMPUTED_VALUE"""),"Toothed Belt")</f>
        <v>Toothed Belt</v>
      </c>
      <c r="G104" s="3" t="str">
        <f>IFERROR(__xludf.DUMMYFUNCTION("""COMPUTED_VALUE"""),"390 ; L050 ; C261390050")</f>
        <v>390 ; L050 ; C261390050</v>
      </c>
      <c r="H104" s="3" t="str">
        <f>IFERROR(__xludf.DUMMYFUNCTION("""COMPUTED_VALUE"""),"Marchesini")</f>
        <v>Marchesini</v>
      </c>
      <c r="I104" s="3">
        <f>IFERROR(__xludf.DUMMYFUNCTION("""COMPUTED_VALUE"""),2.0)</f>
        <v>2</v>
      </c>
      <c r="J104" s="3" t="str">
        <f>IFERROR(__xludf.DUMMYFUNCTION("""COMPUTED_VALUE"""),"Pcs")</f>
        <v>Pcs</v>
      </c>
      <c r="K104" s="5" t="str">
        <f>IFERROR(__xludf.DUMMYFUNCTION("""COMPUTED_VALUE"""),"https://drive.google.com/file/d/1S99AibyP8-AQtLu-xgnHBMf2c8YPnk1h/view?usp=sharing")</f>
        <v>https://drive.google.com/file/d/1S99AibyP8-AQtLu-xgnHBMf2c8YPnk1h/view?usp=sharing</v>
      </c>
      <c r="L104" s="3" t="str">
        <f>IFERROR(__xludf.DUMMYFUNCTION("""COMPUTED_VALUE"""),"Needed Date : 27-Mar-25")</f>
        <v>Needed Date : 27-Mar-25</v>
      </c>
      <c r="M104" s="3" t="str">
        <f>IFERROR(__xludf.DUMMYFUNCTION("""COMPUTED_VALUE"""),"Approve")</f>
        <v>Approve</v>
      </c>
      <c r="N104" s="3" t="str">
        <f>IFERROR(__xludf.DUMMYFUNCTION("""COMPUTED_VALUE"""),"Normal")</f>
        <v>Normal</v>
      </c>
      <c r="O104" s="3" t="str">
        <f>IFERROR(__xludf.DUMMYFUNCTION("""COMPUTED_VALUE"""),"Non Urgent")</f>
        <v>Non Urgent</v>
      </c>
    </row>
    <row r="105">
      <c r="A105" s="4">
        <f>IFERROR(__xludf.DUMMYFUNCTION("""COMPUTED_VALUE"""),45720.48712806713)</f>
        <v>45720.48713</v>
      </c>
      <c r="B105" s="3" t="str">
        <f>IFERROR(__xludf.DUMMYFUNCTION("""COMPUTED_VALUE"""),"SFHBR0011")</f>
        <v>SFHBR0011</v>
      </c>
      <c r="C105" s="3" t="str">
        <f>IFERROR(__xludf.DUMMYFUNCTION("""COMPUTED_VALUE"""),"EJO")</f>
        <v>EJO</v>
      </c>
      <c r="D105" s="3" t="str">
        <f>IFERROR(__xludf.DUMMYFUNCTION("""COMPUTED_VALUE"""),"EJO/2025/01/127")</f>
        <v>EJO/2025/01/127</v>
      </c>
      <c r="E105" s="3" t="str">
        <f>IFERROR(__xludf.DUMMYFUNCTION("""COMPUTED_VALUE"""),"lantai 1")</f>
        <v>lantai 1</v>
      </c>
      <c r="F105" s="3" t="str">
        <f>IFERROR(__xludf.DUMMYFUNCTION("""COMPUTED_VALUE"""),"cat batu alam")</f>
        <v>cat batu alam</v>
      </c>
      <c r="G105" s="3" t="str">
        <f>IFERROR(__xludf.DUMMYFUNCTION("""COMPUTED_VALUE"""),"pernis pelapis batu alam, Golden horse")</f>
        <v>pernis pelapis batu alam, Golden horse</v>
      </c>
      <c r="H105" s="3" t="str">
        <f>IFERROR(__xludf.DUMMYFUNCTION("""COMPUTED_VALUE"""),"stone coat")</f>
        <v>stone coat</v>
      </c>
      <c r="I105" s="3">
        <f>IFERROR(__xludf.DUMMYFUNCTION("""COMPUTED_VALUE"""),4.0)</f>
        <v>4</v>
      </c>
      <c r="J105" s="3" t="str">
        <f>IFERROR(__xludf.DUMMYFUNCTION("""COMPUTED_VALUE"""),"pel")</f>
        <v>pel</v>
      </c>
      <c r="K105" s="5" t="str">
        <f>IFERROR(__xludf.DUMMYFUNCTION("""COMPUTED_VALUE"""),"https://id.shp.ee/tygSdzm")</f>
        <v>https://id.shp.ee/tygSdzm</v>
      </c>
      <c r="L105" s="3" t="str">
        <f>IFERROR(__xludf.DUMMYFUNCTION("""COMPUTED_VALUE"""),"-")</f>
        <v>-</v>
      </c>
      <c r="M105" s="3" t="str">
        <f>IFERROR(__xludf.DUMMYFUNCTION("""COMPUTED_VALUE"""),"Approve")</f>
        <v>Approve</v>
      </c>
      <c r="N105" s="3" t="str">
        <f>IFERROR(__xludf.DUMMYFUNCTION("""COMPUTED_VALUE"""),"Normal")</f>
        <v>Normal</v>
      </c>
      <c r="O105" s="3" t="str">
        <f>IFERROR(__xludf.DUMMYFUNCTION("""COMPUTED_VALUE"""),"Non Urgent")</f>
        <v>Non Urgent</v>
      </c>
    </row>
    <row r="106">
      <c r="A106" s="4">
        <f>IFERROR(__xludf.DUMMYFUNCTION("""COMPUTED_VALUE"""),45720.665606400464)</f>
        <v>45720.66561</v>
      </c>
      <c r="B106" s="3" t="str">
        <f>IFERROR(__xludf.DUMMYFUNCTION("""COMPUTED_VALUE"""),"NDSBR0005")</f>
        <v>NDSBR0005</v>
      </c>
      <c r="C106" s="3" t="str">
        <f>IFERROR(__xludf.DUMMYFUNCTION("""COMPUTED_VALUE"""),"Consumable")</f>
        <v>Consumable</v>
      </c>
      <c r="D106" s="3" t="str">
        <f>IFERROR(__xludf.DUMMYFUNCTION("""COMPUTED_VALUE"""),"-")</f>
        <v>-</v>
      </c>
      <c r="E106" s="3" t="str">
        <f>IFERROR(__xludf.DUMMYFUNCTION("""COMPUTED_VALUE"""),"Tablet Press")</f>
        <v>Tablet Press</v>
      </c>
      <c r="F106" s="3" t="str">
        <f>IFERROR(__xludf.DUMMYFUNCTION("""COMPUTED_VALUE"""),"Mobilux EP 2")</f>
        <v>Mobilux EP 2</v>
      </c>
      <c r="G106" s="3" t="str">
        <f>IFERROR(__xludf.DUMMYFUNCTION("""COMPUTED_VALUE"""),"ISO VG 150")</f>
        <v>ISO VG 150</v>
      </c>
      <c r="H106" s="3" t="str">
        <f>IFERROR(__xludf.DUMMYFUNCTION("""COMPUTED_VALUE"""),"Mobil")</f>
        <v>Mobil</v>
      </c>
      <c r="I106" s="3">
        <f>IFERROR(__xludf.DUMMYFUNCTION("""COMPUTED_VALUE"""),1.0)</f>
        <v>1</v>
      </c>
      <c r="J106" s="3" t="str">
        <f>IFERROR(__xludf.DUMMYFUNCTION("""COMPUTED_VALUE"""),"pcs")</f>
        <v>pcs</v>
      </c>
      <c r="K106" s="5" t="str">
        <f>IFERROR(__xludf.DUMMYFUNCTION("""COMPUTED_VALUE"""),"https://www.tokopedia.com/lubricants/grease-mobilux-ep-2-lithium-grease-packing-original-mobil-pail-16kg?txsc=google&amp;utm_source=google&amp;utm_medium=cpc&amp;utm_campaign=0000-0000-gg-pmax-bend-voo-tcpa-act-ord-pg-id51pgce51-0000-alon-gshp&amp;utm_term=15824685200&amp;re"&amp;"f=googleshopping&amp;c=21543673600&amp;m=667148562&amp;gclsrc=aw.ds&amp;gad_source=1")</f>
        <v>https://www.tokopedia.com/lubricants/grease-mobilux-ep-2-lithium-grease-packing-original-mobil-pail-16kg?txsc=google&amp;utm_source=google&amp;utm_medium=cpc&amp;utm_campaign=0000-0000-gg-pmax-bend-voo-tcpa-act-ord-pg-id51pgce51-0000-alon-gshp&amp;utm_term=15824685200&amp;ref=googleshopping&amp;c=21543673600&amp;m=667148562&amp;gclsrc=aw.ds&amp;gad_source=1</v>
      </c>
      <c r="L106" s="3" t="str">
        <f>IFERROR(__xludf.DUMMYFUNCTION("""COMPUTED_VALUE"""),"-")</f>
        <v>-</v>
      </c>
      <c r="M106" s="3" t="str">
        <f>IFERROR(__xludf.DUMMYFUNCTION("""COMPUTED_VALUE"""),"Approve")</f>
        <v>Approve</v>
      </c>
      <c r="N106" s="3" t="str">
        <f>IFERROR(__xludf.DUMMYFUNCTION("""COMPUTED_VALUE"""),"Urgent")</f>
        <v>Urgent</v>
      </c>
      <c r="O106" s="3" t="str">
        <f>IFERROR(__xludf.DUMMYFUNCTION("""COMPUTED_VALUE"""),"Reject")</f>
        <v>Reject</v>
      </c>
    </row>
    <row r="107">
      <c r="A107" s="4">
        <f>IFERROR(__xludf.DUMMYFUNCTION("""COMPUTED_VALUE"""),45720.87244997685)</f>
        <v>45720.87245</v>
      </c>
      <c r="B107" s="3" t="str">
        <f>IFERROR(__xludf.DUMMYFUNCTION("""COMPUTED_VALUE"""),"RIABR0023")</f>
        <v>RIABR0023</v>
      </c>
      <c r="C107" s="3" t="str">
        <f>IFERROR(__xludf.DUMMYFUNCTION("""COMPUTED_VALUE"""),"Consumable")</f>
        <v>Consumable</v>
      </c>
      <c r="D107" s="3" t="str">
        <f>IFERROR(__xludf.DUMMYFUNCTION("""COMPUTED_VALUE"""),"-")</f>
        <v>-</v>
      </c>
      <c r="E107" s="3" t="str">
        <f>IFERROR(__xludf.DUMMYFUNCTION("""COMPUTED_VALUE"""),"PW SKID")</f>
        <v>PW SKID</v>
      </c>
      <c r="F107" s="3" t="str">
        <f>IFERROR(__xludf.DUMMYFUNCTION("""COMPUTED_VALUE"""),"Membrane Diagfarm")</f>
        <v>Membrane Diagfarm</v>
      </c>
      <c r="G107" s="3" t="str">
        <f>IFERROR(__xludf.DUMMYFUNCTION("""COMPUTED_VALUE"""),"MG65 GEMU Membrane Diagfram PTFE")</f>
        <v>MG65 GEMU Membrane Diagfram PTFE</v>
      </c>
      <c r="H107" s="3" t="str">
        <f>IFERROR(__xludf.DUMMYFUNCTION("""COMPUTED_VALUE"""),"GEMU")</f>
        <v>GEMU</v>
      </c>
      <c r="I107" s="3">
        <f>IFERROR(__xludf.DUMMYFUNCTION("""COMPUTED_VALUE"""),3.0)</f>
        <v>3</v>
      </c>
      <c r="J107" s="3" t="str">
        <f>IFERROR(__xludf.DUMMYFUNCTION("""COMPUTED_VALUE"""),"Pcs")</f>
        <v>Pcs</v>
      </c>
      <c r="K107" s="5" t="str">
        <f>IFERROR(__xludf.DUMMYFUNCTION("""COMPUTED_VALUE"""),"https://5.imimg.com/data5/SELLER/Default/2021/12/QS/JO/YM/79299811/diaphragm-spare.png")</f>
        <v>https://5.imimg.com/data5/SELLER/Default/2021/12/QS/JO/YM/79299811/diaphragm-spare.png</v>
      </c>
      <c r="L107" s="3" t="str">
        <f>IFERROR(__xludf.DUMMYFUNCTION("""COMPUTED_VALUE"""),"Untuk ganti di PoU FD, MG65 tidak ada di item code, ini tk bikin di item baru ")</f>
        <v>Untuk ganti di PoU FD, MG65 tidak ada di item code, ini tk bikin di item baru </v>
      </c>
      <c r="M107" s="3" t="str">
        <f>IFERROR(__xludf.DUMMYFUNCTION("""COMPUTED_VALUE"""),"Reject")</f>
        <v>Reject</v>
      </c>
      <c r="N107" s="3" t="str">
        <f>IFERROR(__xludf.DUMMYFUNCTION("""COMPUTED_VALUE"""),"Normal")</f>
        <v>Normal</v>
      </c>
      <c r="O107" s="3" t="str">
        <f>IFERROR(__xludf.DUMMYFUNCTION("""COMPUTED_VALUE"""),"Non Urgent")</f>
        <v>Non Urgent</v>
      </c>
    </row>
    <row r="108">
      <c r="A108" s="4">
        <f>IFERROR(__xludf.DUMMYFUNCTION("""COMPUTED_VALUE"""),45721.48966414352)</f>
        <v>45721.48966</v>
      </c>
      <c r="B108" s="3" t="str">
        <f>IFERROR(__xludf.DUMMYFUNCTION("""COMPUTED_VALUE"""),"MOBBR0020")</f>
        <v>MOBBR0020</v>
      </c>
      <c r="C108" s="3" t="str">
        <f>IFERROR(__xludf.DUMMYFUNCTION("""COMPUTED_VALUE"""),"EJO")</f>
        <v>EJO</v>
      </c>
      <c r="D108" s="3" t="str">
        <f>IFERROR(__xludf.DUMMYFUNCTION("""COMPUTED_VALUE"""),"EJO/2025/02/162")</f>
        <v>EJO/2025/02/162</v>
      </c>
      <c r="E108" s="3" t="str">
        <f>IFERROR(__xludf.DUMMYFUNCTION("""COMPUTED_VALUE"""),"Sump Pit WWTP")</f>
        <v>Sump Pit WWTP</v>
      </c>
      <c r="F108" s="3" t="str">
        <f>IFERROR(__xludf.DUMMYFUNCTION("""COMPUTED_VALUE"""),"Submarsible Pump")</f>
        <v>Submarsible Pump</v>
      </c>
      <c r="G108" s="3" t="str">
        <f>IFERROR(__xludf.DUMMYFUNCTION("""COMPUTED_VALUE"""),"UNILIFT AP50.50.11.A1V")</f>
        <v>UNILIFT AP50.50.11.A1V</v>
      </c>
      <c r="H108" s="3" t="str">
        <f>IFERROR(__xludf.DUMMYFUNCTION("""COMPUTED_VALUE"""),"Grundfos")</f>
        <v>Grundfos</v>
      </c>
      <c r="I108" s="3">
        <f>IFERROR(__xludf.DUMMYFUNCTION("""COMPUTED_VALUE"""),1.0)</f>
        <v>1</v>
      </c>
      <c r="J108" s="3" t="str">
        <f>IFERROR(__xludf.DUMMYFUNCTION("""COMPUTED_VALUE"""),"Pcs")</f>
        <v>Pcs</v>
      </c>
      <c r="K108" s="5" t="str">
        <f>IFERROR(__xludf.DUMMYFUNCTION("""COMPUTED_VALUE"""),"https://product-selection.grundfos.com/products/unilift-ap/unilift-ap50/unilift-ap505011a1v-96010566?pumpsystemid=2603139592&amp;tab=variant-curves")</f>
        <v>https://product-selection.grundfos.com/products/unilift-ap/unilift-ap50/unilift-ap505011a1v-96010566?pumpsystemid=2603139592&amp;tab=variant-curves</v>
      </c>
      <c r="L108" s="3" t="str">
        <f>IFERROR(__xludf.DUMMYFUNCTION("""COMPUTED_VALUE"""),"Penggantian pompa rusak")</f>
        <v>Penggantian pompa rusak</v>
      </c>
      <c r="M108" s="3" t="str">
        <f>IFERROR(__xludf.DUMMYFUNCTION("""COMPUTED_VALUE"""),"Reject")</f>
        <v>Reject</v>
      </c>
      <c r="N108" s="3" t="str">
        <f>IFERROR(__xludf.DUMMYFUNCTION("""COMPUTED_VALUE"""),"Normal")</f>
        <v>Normal</v>
      </c>
      <c r="O108" s="3" t="str">
        <f>IFERROR(__xludf.DUMMYFUNCTION("""COMPUTED_VALUE"""),"Non Urgent")</f>
        <v>Non Urgent</v>
      </c>
    </row>
    <row r="109">
      <c r="A109" s="4">
        <f>IFERROR(__xludf.DUMMYFUNCTION("""COMPUTED_VALUE"""),45721.62852252315)</f>
        <v>45721.62852</v>
      </c>
      <c r="B109" s="3" t="str">
        <f>IFERROR(__xludf.DUMMYFUNCTION("""COMPUTED_VALUE"""),"RIABR0024")</f>
        <v>RIABR0024</v>
      </c>
      <c r="C109" s="3" t="str">
        <f>IFERROR(__xludf.DUMMYFUNCTION("""COMPUTED_VALUE"""),"EJO")</f>
        <v>EJO</v>
      </c>
      <c r="D109" s="3" t="str">
        <f>IFERROR(__xludf.DUMMYFUNCTION("""COMPUTED_VALUE"""),"EJO/2025/02/57")</f>
        <v>EJO/2025/02/57</v>
      </c>
      <c r="E109" s="3" t="str">
        <f>IFERROR(__xludf.DUMMYFUNCTION("""COMPUTED_VALUE"""),"PSG")</f>
        <v>PSG</v>
      </c>
      <c r="F109" s="3" t="str">
        <f>IFERROR(__xludf.DUMMYFUNCTION("""COMPUTED_VALUE"""),"Gasket Kolom")</f>
        <v>Gasket Kolom</v>
      </c>
      <c r="G109" s="3" t="str">
        <f>IFERROR(__xludf.DUMMYFUNCTION("""COMPUTED_VALUE"""),"P15040709F
SEALING STRIP, KWO CELLFLON R D6MM")</f>
        <v>P15040709F
SEALING STRIP, KWO CELLFLON R D6MM</v>
      </c>
      <c r="H109" s="3" t="str">
        <f>IFERROR(__xludf.DUMMYFUNCTION("""COMPUTED_VALUE"""),"Lokal")</f>
        <v>Lokal</v>
      </c>
      <c r="I109" s="3">
        <f>IFERROR(__xludf.DUMMYFUNCTION("""COMPUTED_VALUE"""),1.0)</f>
        <v>1</v>
      </c>
      <c r="J109" s="3" t="str">
        <f>IFERROR(__xludf.DUMMYFUNCTION("""COMPUTED_VALUE"""),"Set")</f>
        <v>Set</v>
      </c>
      <c r="K109" s="5" t="str">
        <f>IFERROR(__xludf.DUMMYFUNCTION("""COMPUTED_VALUE"""),"https://drive.google.com/file/d/1FgfCBrvcopWq6SdyYKbcoHEvieBmSkfo/view?usp=sharing")</f>
        <v>https://drive.google.com/file/d/1FgfCBrvcopWq6SdyYKbcoHEvieBmSkfo/view?usp=sharing</v>
      </c>
      <c r="L109" s="3" t="str">
        <f>IFERROR(__xludf.DUMMYFUNCTION("""COMPUTED_VALUE"""),"Beli untuk mengganti gasket kolom PSG")</f>
        <v>Beli untuk mengganti gasket kolom PSG</v>
      </c>
      <c r="M109" s="3" t="str">
        <f>IFERROR(__xludf.DUMMYFUNCTION("""COMPUTED_VALUE"""),"Reject")</f>
        <v>Reject</v>
      </c>
      <c r="N109" s="3" t="str">
        <f>IFERROR(__xludf.DUMMYFUNCTION("""COMPUTED_VALUE"""),"Normal")</f>
        <v>Normal</v>
      </c>
      <c r="O109" s="3" t="str">
        <f>IFERROR(__xludf.DUMMYFUNCTION("""COMPUTED_VALUE"""),"Non Urgent")</f>
        <v>Non Urgent</v>
      </c>
    </row>
    <row r="110">
      <c r="A110" s="4">
        <f>IFERROR(__xludf.DUMMYFUNCTION("""COMPUTED_VALUE"""),45721.915733124995)</f>
        <v>45721.91573</v>
      </c>
      <c r="B110" s="3" t="str">
        <f>IFERROR(__xludf.DUMMYFUNCTION("""COMPUTED_VALUE"""),"RIABR0025")</f>
        <v>RIABR0025</v>
      </c>
      <c r="C110" s="3" t="str">
        <f>IFERROR(__xludf.DUMMYFUNCTION("""COMPUTED_VALUE"""),"Consumable")</f>
        <v>Consumable</v>
      </c>
      <c r="D110" s="3" t="str">
        <f>IFERROR(__xludf.DUMMYFUNCTION("""COMPUTED_VALUE"""),"-")</f>
        <v>-</v>
      </c>
      <c r="E110" s="3" t="str">
        <f>IFERROR(__xludf.DUMMYFUNCTION("""COMPUTED_VALUE"""),"Forklift")</f>
        <v>Forklift</v>
      </c>
      <c r="F110" s="3" t="str">
        <f>IFERROR(__xludf.DUMMYFUNCTION("""COMPUTED_VALUE"""),"Air Aki")</f>
        <v>Air Aki</v>
      </c>
      <c r="G110" s="3" t="str">
        <f>IFERROR(__xludf.DUMMYFUNCTION("""COMPUTED_VALUE"""),"Aquadest (Aqua Destilata) yaitu air yang dihasilkan dari satu kali proses destilasi/penyulingan, sering disebut air murni.
")</f>
        <v>Aquadest (Aqua Destilata) yaitu air yang dihasilkan dari satu kali proses destilasi/penyulingan, sering disebut air murni.
</v>
      </c>
      <c r="H110" s="3" t="str">
        <f>IFERROR(__xludf.DUMMYFUNCTION("""COMPUTED_VALUE"""),"Aquadest")</f>
        <v>Aquadest</v>
      </c>
      <c r="I110" s="3">
        <f>IFERROR(__xludf.DUMMYFUNCTION("""COMPUTED_VALUE"""),20.0)</f>
        <v>20</v>
      </c>
      <c r="J110" s="3" t="str">
        <f>IFERROR(__xludf.DUMMYFUNCTION("""COMPUTED_VALUE"""),"Ltr")</f>
        <v>Ltr</v>
      </c>
      <c r="K110" s="5" t="str">
        <f>IFERROR(__xludf.DUMMYFUNCTION("""COMPUTED_VALUE"""),"https://www.tokopedia.com/maximum/aquadest-akuades-aquades-air-suling-air-aki-radiator-20-liter?extParam=ivf%3Dfalse%26keyword%3Dair+aquades+aki&amp;src=topads")</f>
        <v>https://www.tokopedia.com/maximum/aquadest-akuades-aquades-air-suling-air-aki-radiator-20-liter?extParam=ivf%3Dfalse%26keyword%3Dair+aquades+aki&amp;src=topads</v>
      </c>
      <c r="L110" s="3" t="str">
        <f>IFERROR(__xludf.DUMMYFUNCTION("""COMPUTED_VALUE"""),"Buat isi air aki di forklift, rutinan tiap bulan estimasi 4 liter, buat stock dulu beli 1 jerigen")</f>
        <v>Buat isi air aki di forklift, rutinan tiap bulan estimasi 4 liter, buat stock dulu beli 1 jerigen</v>
      </c>
      <c r="M110" s="3" t="str">
        <f>IFERROR(__xludf.DUMMYFUNCTION("""COMPUTED_VALUE"""),"Approve")</f>
        <v>Approve</v>
      </c>
      <c r="N110" s="3" t="str">
        <f>IFERROR(__xludf.DUMMYFUNCTION("""COMPUTED_VALUE"""),"Normal")</f>
        <v>Normal</v>
      </c>
      <c r="O110" s="3" t="str">
        <f>IFERROR(__xludf.DUMMYFUNCTION("""COMPUTED_VALUE"""),"Non Urgent")</f>
        <v>Non Urgent</v>
      </c>
    </row>
    <row r="111">
      <c r="A111" s="4">
        <f>IFERROR(__xludf.DUMMYFUNCTION("""COMPUTED_VALUE"""),45722.40214248843)</f>
        <v>45722.40214</v>
      </c>
      <c r="B111" s="3" t="str">
        <f>IFERROR(__xludf.DUMMYFUNCTION("""COMPUTED_VALUE"""),"SFHBR0012")</f>
        <v>SFHBR0012</v>
      </c>
      <c r="C111" s="3" t="str">
        <f>IFERROR(__xludf.DUMMYFUNCTION("""COMPUTED_VALUE"""),"EJO")</f>
        <v>EJO</v>
      </c>
      <c r="D111" s="3" t="str">
        <f>IFERROR(__xludf.DUMMYFUNCTION("""COMPUTED_VALUE"""),"EJO/2025/03/36")</f>
        <v>EJO/2025/03/36</v>
      </c>
      <c r="E111" s="3" t="str">
        <f>IFERROR(__xludf.DUMMYFUNCTION("""COMPUTED_VALUE"""),"lantai 1")</f>
        <v>lantai 1</v>
      </c>
      <c r="F111" s="3" t="str">
        <f>IFERROR(__xludf.DUMMYFUNCTION("""COMPUTED_VALUE"""),"hardener sanpolac")</f>
        <v>hardener sanpolac</v>
      </c>
      <c r="G111" s="3" t="str">
        <f>IFERROR(__xludf.DUMMYFUNCTION("""COMPUTED_VALUE"""),"obat dempul hardener")</f>
        <v>obat dempul hardener</v>
      </c>
      <c r="H111" s="3" t="str">
        <f>IFERROR(__xludf.DUMMYFUNCTION("""COMPUTED_VALUE"""),"obat dempul hardener")</f>
        <v>obat dempul hardener</v>
      </c>
      <c r="I111" s="3">
        <f>IFERROR(__xludf.DUMMYFUNCTION("""COMPUTED_VALUE"""),3.0)</f>
        <v>3</v>
      </c>
      <c r="J111" s="3" t="str">
        <f>IFERROR(__xludf.DUMMYFUNCTION("""COMPUTED_VALUE"""),"kg")</f>
        <v>kg</v>
      </c>
      <c r="K111" s="5" t="str">
        <f>IFERROR(__xludf.DUMMYFUNCTION("""COMPUTED_VALUE"""),"https://www.tokopedia.com/tb-calvin/obat-dempul-sanpolac-hardener?utm_source=salinlink&amp;utm_medium=share&amp;utm_campaign=pdp-qhtaqvu09ez2-3391862473-0")</f>
        <v>https://www.tokopedia.com/tb-calvin/obat-dempul-sanpolac-hardener?utm_source=salinlink&amp;utm_medium=share&amp;utm_campaign=pdp-qhtaqvu09ez2-3391862473-0</v>
      </c>
      <c r="L111" s="3" t="str">
        <f>IFERROR(__xludf.DUMMYFUNCTION("""COMPUTED_VALUE"""),"-")</f>
        <v>-</v>
      </c>
      <c r="M111" s="3" t="str">
        <f>IFERROR(__xludf.DUMMYFUNCTION("""COMPUTED_VALUE"""),"Approve")</f>
        <v>Approve</v>
      </c>
      <c r="N111" s="3" t="str">
        <f>IFERROR(__xludf.DUMMYFUNCTION("""COMPUTED_VALUE"""),"Normal")</f>
        <v>Normal</v>
      </c>
      <c r="O111" s="3" t="str">
        <f>IFERROR(__xludf.DUMMYFUNCTION("""COMPUTED_VALUE"""),"Non Urgent")</f>
        <v>Non Urgent</v>
      </c>
    </row>
    <row r="112">
      <c r="A112" s="4">
        <f>IFERROR(__xludf.DUMMYFUNCTION("""COMPUTED_VALUE"""),45723.46938396991)</f>
        <v>45723.46938</v>
      </c>
      <c r="B112" s="3" t="str">
        <f>IFERROR(__xludf.DUMMYFUNCTION("""COMPUTED_VALUE"""),"SFHBR0013")</f>
        <v>SFHBR0013</v>
      </c>
      <c r="C112" s="3" t="str">
        <f>IFERROR(__xludf.DUMMYFUNCTION("""COMPUTED_VALUE"""),"Consumable")</f>
        <v>Consumable</v>
      </c>
      <c r="D112" s="3" t="str">
        <f>IFERROR(__xludf.DUMMYFUNCTION("""COMPUTED_VALUE"""),"-")</f>
        <v>-</v>
      </c>
      <c r="E112" s="3" t="str">
        <f>IFERROR(__xludf.DUMMYFUNCTION("""COMPUTED_VALUE"""),"FIP Luar")</f>
        <v>FIP Luar</v>
      </c>
      <c r="F112" s="3" t="str">
        <f>IFERROR(__xludf.DUMMYFUNCTION("""COMPUTED_VALUE"""),"Wearpack")</f>
        <v>Wearpack</v>
      </c>
      <c r="G112" s="3" t="str">
        <f>IFERROR(__xludf.DUMMYFUNCTION("""COMPUTED_VALUE"""),"Ukuran XL")</f>
        <v>Ukuran XL</v>
      </c>
      <c r="H112" s="3" t="str">
        <f>IFERROR(__xludf.DUMMYFUNCTION("""COMPUTED_VALUE"""),"MM Safety")</f>
        <v>MM Safety</v>
      </c>
      <c r="I112" s="3">
        <f>IFERROR(__xludf.DUMMYFUNCTION("""COMPUTED_VALUE"""),2.0)</f>
        <v>2</v>
      </c>
      <c r="J112" s="3" t="str">
        <f>IFERROR(__xludf.DUMMYFUNCTION("""COMPUTED_VALUE"""),"Pcs")</f>
        <v>Pcs</v>
      </c>
      <c r="K112" s="5" t="str">
        <f>IFERROR(__xludf.DUMMYFUNCTION("""COMPUTED_VALUE"""),"https://www.tokopedia.com/mmsafety/wearpack-safety-coverall-imj-baju-kerja-semi-cotton-biru-dongker-l?extParam=ivf%3Dfalse%26keyword%3Dwearpack+safety+coverall%26search_id%3D20250307042426570092C3363B14036ONG%26src%3Dsearch")</f>
        <v>https://www.tokopedia.com/mmsafety/wearpack-safety-coverall-imj-baju-kerja-semi-cotton-biru-dongker-l?extParam=ivf%3Dfalse%26keyword%3Dwearpack+safety+coverall%26search_id%3D20250307042426570092C3363B14036ONG%26src%3Dsearch</v>
      </c>
      <c r="L112" s="3" t="str">
        <f>IFERROR(__xludf.DUMMYFUNCTION("""COMPUTED_VALUE"""),"Menggantian baju wearpack luar yang sudah rusak")</f>
        <v>Menggantian baju wearpack luar yang sudah rusak</v>
      </c>
      <c r="M112" s="3" t="str">
        <f>IFERROR(__xludf.DUMMYFUNCTION("""COMPUTED_VALUE"""),"Approve")</f>
        <v>Approve</v>
      </c>
      <c r="N112" s="3" t="str">
        <f>IFERROR(__xludf.DUMMYFUNCTION("""COMPUTED_VALUE"""),"Normal")</f>
        <v>Normal</v>
      </c>
      <c r="O112" s="3" t="str">
        <f>IFERROR(__xludf.DUMMYFUNCTION("""COMPUTED_VALUE"""),"Non Urgent")</f>
        <v>Non Urgent</v>
      </c>
    </row>
    <row r="113">
      <c r="A113" s="4">
        <f>IFERROR(__xludf.DUMMYFUNCTION("""COMPUTED_VALUE"""),45723.476641608795)</f>
        <v>45723.47664</v>
      </c>
      <c r="B113" s="3" t="str">
        <f>IFERROR(__xludf.DUMMYFUNCTION("""COMPUTED_VALUE"""),"SFHBR0014")</f>
        <v>SFHBR0014</v>
      </c>
      <c r="C113" s="3" t="str">
        <f>IFERROR(__xludf.DUMMYFUNCTION("""COMPUTED_VALUE"""),"Consumable")</f>
        <v>Consumable</v>
      </c>
      <c r="D113" s="3" t="str">
        <f>IFERROR(__xludf.DUMMYFUNCTION("""COMPUTED_VALUE"""),"-")</f>
        <v>-</v>
      </c>
      <c r="E113" s="3" t="str">
        <f>IFERROR(__xludf.DUMMYFUNCTION("""COMPUTED_VALUE"""),"FIP Luar")</f>
        <v>FIP Luar</v>
      </c>
      <c r="F113" s="3" t="str">
        <f>IFERROR(__xludf.DUMMYFUNCTION("""COMPUTED_VALUE"""),"Wearpack")</f>
        <v>Wearpack</v>
      </c>
      <c r="G113" s="3" t="str">
        <f>IFERROR(__xludf.DUMMYFUNCTION("""COMPUTED_VALUE"""),"Ukuran 2XL")</f>
        <v>Ukuran 2XL</v>
      </c>
      <c r="H113" s="3" t="str">
        <f>IFERROR(__xludf.DUMMYFUNCTION("""COMPUTED_VALUE"""),"MM Safety")</f>
        <v>MM Safety</v>
      </c>
      <c r="I113" s="3">
        <f>IFERROR(__xludf.DUMMYFUNCTION("""COMPUTED_VALUE"""),2.0)</f>
        <v>2</v>
      </c>
      <c r="J113" s="3" t="str">
        <f>IFERROR(__xludf.DUMMYFUNCTION("""COMPUTED_VALUE"""),"Pcs")</f>
        <v>Pcs</v>
      </c>
      <c r="K113" s="5" t="str">
        <f>IFERROR(__xludf.DUMMYFUNCTION("""COMPUTED_VALUE"""),"https://www.tokopedia.com/mmsafety/wearpack-safety-coverall-imj-baju-kerja-semi-cotton-biru-dongker-l?extParam=ivf%3Dfalse%26keyword%3Dwearpack+safety+coverall%26search_id%3D20250307042426570092C3363B14036ONG%26src%3Dsearch")</f>
        <v>https://www.tokopedia.com/mmsafety/wearpack-safety-coverall-imj-baju-kerja-semi-cotton-biru-dongker-l?extParam=ivf%3Dfalse%26keyword%3Dwearpack+safety+coverall%26search_id%3D20250307042426570092C3363B14036ONG%26src%3Dsearch</v>
      </c>
      <c r="L113" s="3" t="str">
        <f>IFERROR(__xludf.DUMMYFUNCTION("""COMPUTED_VALUE"""),"Menggantian baju wearpack luar yang sudah rusak")</f>
        <v>Menggantian baju wearpack luar yang sudah rusak</v>
      </c>
      <c r="M113" s="3" t="str">
        <f>IFERROR(__xludf.DUMMYFUNCTION("""COMPUTED_VALUE"""),"Approve")</f>
        <v>Approve</v>
      </c>
      <c r="N113" s="3" t="str">
        <f>IFERROR(__xludf.DUMMYFUNCTION("""COMPUTED_VALUE"""),"Normal")</f>
        <v>Normal</v>
      </c>
      <c r="O113" s="3" t="str">
        <f>IFERROR(__xludf.DUMMYFUNCTION("""COMPUTED_VALUE"""),"Non Urgent")</f>
        <v>Non Urgent</v>
      </c>
    </row>
    <row r="114">
      <c r="A114" s="4">
        <f>IFERROR(__xludf.DUMMYFUNCTION("""COMPUTED_VALUE"""),45723.476641608795)</f>
        <v>45723.47664</v>
      </c>
      <c r="B114" s="3" t="str">
        <f>IFERROR(__xludf.DUMMYFUNCTION("""COMPUTED_VALUE"""),"SFHBR0015")</f>
        <v>SFHBR0015</v>
      </c>
      <c r="C114" s="3" t="str">
        <f>IFERROR(__xludf.DUMMYFUNCTION("""COMPUTED_VALUE"""),"Consumable")</f>
        <v>Consumable</v>
      </c>
      <c r="D114" s="3" t="str">
        <f>IFERROR(__xludf.DUMMYFUNCTION("""COMPUTED_VALUE"""),"-")</f>
        <v>-</v>
      </c>
      <c r="E114" s="3" t="str">
        <f>IFERROR(__xludf.DUMMYFUNCTION("""COMPUTED_VALUE"""),"FIP Luar")</f>
        <v>FIP Luar</v>
      </c>
      <c r="F114" s="3" t="str">
        <f>IFERROR(__xludf.DUMMYFUNCTION("""COMPUTED_VALUE"""),"Wearpack")</f>
        <v>Wearpack</v>
      </c>
      <c r="G114" s="3" t="str">
        <f>IFERROR(__xludf.DUMMYFUNCTION("""COMPUTED_VALUE"""),"Ukuran 3XL")</f>
        <v>Ukuran 3XL</v>
      </c>
      <c r="H114" s="3" t="str">
        <f>IFERROR(__xludf.DUMMYFUNCTION("""COMPUTED_VALUE"""),"MM Safety")</f>
        <v>MM Safety</v>
      </c>
      <c r="I114" s="3">
        <f>IFERROR(__xludf.DUMMYFUNCTION("""COMPUTED_VALUE"""),2.0)</f>
        <v>2</v>
      </c>
      <c r="J114" s="3" t="str">
        <f>IFERROR(__xludf.DUMMYFUNCTION("""COMPUTED_VALUE"""),"Pcs")</f>
        <v>Pcs</v>
      </c>
      <c r="K114" s="5" t="str">
        <f>IFERROR(__xludf.DUMMYFUNCTION("""COMPUTED_VALUE"""),"https://www.tokopedia.com/mmsafety/wearpack-safety-coverall-imj-baju-kerja-semi-cotton-biru-dongker-l?extParam=ivf%3Dfalse%26keyword%3Dwearpack+safety+coverall%26search_id%3D20250307042426570092C3363B14036ONG%26src%3Dsearch")</f>
        <v>https://www.tokopedia.com/mmsafety/wearpack-safety-coverall-imj-baju-kerja-semi-cotton-biru-dongker-l?extParam=ivf%3Dfalse%26keyword%3Dwearpack+safety+coverall%26search_id%3D20250307042426570092C3363B14036ONG%26src%3Dsearch</v>
      </c>
      <c r="L114" s="3" t="str">
        <f>IFERROR(__xludf.DUMMYFUNCTION("""COMPUTED_VALUE"""),"Menggantian baju wearpack luar yang sudah rusak")</f>
        <v>Menggantian baju wearpack luar yang sudah rusak</v>
      </c>
      <c r="M114" s="3" t="str">
        <f>IFERROR(__xludf.DUMMYFUNCTION("""COMPUTED_VALUE"""),"Approve")</f>
        <v>Approve</v>
      </c>
      <c r="N114" s="3" t="str">
        <f>IFERROR(__xludf.DUMMYFUNCTION("""COMPUTED_VALUE"""),"Normal")</f>
        <v>Normal</v>
      </c>
      <c r="O114" s="3" t="str">
        <f>IFERROR(__xludf.DUMMYFUNCTION("""COMPUTED_VALUE"""),"Non Urgent")</f>
        <v>Non Urgent</v>
      </c>
    </row>
    <row r="115">
      <c r="A115" s="4">
        <f>IFERROR(__xludf.DUMMYFUNCTION("""COMPUTED_VALUE"""),45723.60668484954)</f>
        <v>45723.60668</v>
      </c>
      <c r="B115" s="3" t="str">
        <f>IFERROR(__xludf.DUMMYFUNCTION("""COMPUTED_VALUE"""),"ROSBR0009")</f>
        <v>ROSBR0009</v>
      </c>
      <c r="C115" s="3" t="str">
        <f>IFERROR(__xludf.DUMMYFUNCTION("""COMPUTED_VALUE"""),"EJO")</f>
        <v>EJO</v>
      </c>
      <c r="D115" s="3" t="str">
        <f>IFERROR(__xludf.DUMMYFUNCTION("""COMPUTED_VALUE"""),"EJO/2025/02/145")</f>
        <v>EJO/2025/02/145</v>
      </c>
      <c r="E115" s="3" t="str">
        <f>IFERROR(__xludf.DUMMYFUNCTION("""COMPUTED_VALUE"""),"isolator Dispensing (steril)")</f>
        <v>isolator Dispensing (steril)</v>
      </c>
      <c r="F115" s="3" t="str">
        <f>IFERROR(__xludf.DUMMYFUNCTION("""COMPUTED_VALUE"""),"Roda Tangki Limbah dispensing (steril)")</f>
        <v>Roda Tangki Limbah dispensing (steril)</v>
      </c>
      <c r="G115" s="3" t="str">
        <f>IFERROR(__xludf.DUMMYFUNCTION("""COMPUTED_VALUE"""),"Roda Tangki
Material roda : Polyurethane
Diameter : 50mm (2inch)
Tebal : 25mm")</f>
        <v>Roda Tangki
Material roda : Polyurethane
Diameter : 50mm (2inch)
Tebal : 25mm</v>
      </c>
      <c r="H115" s="3" t="str">
        <f>IFERROR(__xludf.DUMMYFUNCTION("""COMPUTED_VALUE"""),"General")</f>
        <v>General</v>
      </c>
      <c r="I115" s="3">
        <f>IFERROR(__xludf.DUMMYFUNCTION("""COMPUTED_VALUE"""),4.0)</f>
        <v>4</v>
      </c>
      <c r="J115" s="3" t="str">
        <f>IFERROR(__xludf.DUMMYFUNCTION("""COMPUTED_VALUE"""),"pcs")</f>
        <v>pcs</v>
      </c>
      <c r="K115" s="5" t="str">
        <f>IFERROR(__xludf.DUMMYFUNCTION("""COMPUTED_VALUE"""),"https://drive.google.com/drive/folders/1-2wcowGdh5idQxL6Dnn-oo4kRt3i0jx_?usp=drive_link")</f>
        <v>https://drive.google.com/drive/folders/1-2wcowGdh5idQxL6Dnn-oo4kRt3i0jx_?usp=drive_link</v>
      </c>
      <c r="L115" s="3" t="str">
        <f>IFERROR(__xludf.DUMMYFUNCTION("""COMPUTED_VALUE"""),"belikan Rodanya Saja ")</f>
        <v>belikan Rodanya Saja </v>
      </c>
      <c r="M115" s="3" t="str">
        <f>IFERROR(__xludf.DUMMYFUNCTION("""COMPUTED_VALUE"""),"Approve")</f>
        <v>Approve</v>
      </c>
      <c r="N115" s="3" t="str">
        <f>IFERROR(__xludf.DUMMYFUNCTION("""COMPUTED_VALUE"""),"Normal")</f>
        <v>Normal</v>
      </c>
      <c r="O115" s="3" t="str">
        <f>IFERROR(__xludf.DUMMYFUNCTION("""COMPUTED_VALUE"""),"Non Urgent")</f>
        <v>Non Urgent</v>
      </c>
    </row>
    <row r="116">
      <c r="A116" s="4">
        <f>IFERROR(__xludf.DUMMYFUNCTION("""COMPUTED_VALUE"""),45723.61943324074)</f>
        <v>45723.61943</v>
      </c>
      <c r="B116" s="3" t="str">
        <f>IFERROR(__xludf.DUMMYFUNCTION("""COMPUTED_VALUE"""),"ROSBR0010")</f>
        <v>ROSBR0010</v>
      </c>
      <c r="C116" s="3" t="str">
        <f>IFERROR(__xludf.DUMMYFUNCTION("""COMPUTED_VALUE"""),"EJO")</f>
        <v>EJO</v>
      </c>
      <c r="D116" s="3" t="str">
        <f>IFERROR(__xludf.DUMMYFUNCTION("""COMPUTED_VALUE"""),"EJO/2025/03/64")</f>
        <v>EJO/2025/03/64</v>
      </c>
      <c r="E116" s="3" t="str">
        <f>IFERROR(__xludf.DUMMYFUNCTION("""COMPUTED_VALUE"""),"Washbay")</f>
        <v>Washbay</v>
      </c>
      <c r="F116" s="3" t="str">
        <f>IFERROR(__xludf.DUMMYFUNCTION("""COMPUTED_VALUE"""),"Roda Tangki limbah washbay")</f>
        <v>Roda Tangki limbah washbay</v>
      </c>
      <c r="G116" s="3" t="str">
        <f>IFERROR(__xludf.DUMMYFUNCTION("""COMPUTED_VALUE"""),"Roda Tangki 
Material Roda ; Polyurethane 
Diameter Roda : 75mm (2inch)
Tebal : 32mm
ukuran plat  
panjang : 97mm
lebar : 70mm
diameter lubang baut : 7.4mm")</f>
        <v>Roda Tangki 
Material Roda ; Polyurethane 
Diameter Roda : 75mm (2inch)
Tebal : 32mm
ukuran plat  
panjang : 97mm
lebar : 70mm
diameter lubang baut : 7.4mm</v>
      </c>
      <c r="H116" s="3" t="str">
        <f>IFERROR(__xludf.DUMMYFUNCTION("""COMPUTED_VALUE"""),"General")</f>
        <v>General</v>
      </c>
      <c r="I116" s="3">
        <f>IFERROR(__xludf.DUMMYFUNCTION("""COMPUTED_VALUE"""),1.0)</f>
        <v>1</v>
      </c>
      <c r="J116" s="3" t="str">
        <f>IFERROR(__xludf.DUMMYFUNCTION("""COMPUTED_VALUE"""),"set")</f>
        <v>set</v>
      </c>
      <c r="K116" s="5" t="str">
        <f>IFERROR(__xludf.DUMMYFUNCTION("""COMPUTED_VALUE"""),"https://www.tokopedia.com/tokoberkatanugerah/roda-trolley-pu-merah-3-inch-1set-2rem-2mati-1730818546328438075?extParam=ivf%3Dfalse%26keyword%3Droda+troli+pu+merah+3+inch+1set+%282rem%2B2mati%29%26search_id%3D20250307080831C73A1F58F088462C0NQZ%26src%3Dsear"&amp;"ch")</f>
        <v>https://www.tokopedia.com/tokoberkatanugerah/roda-trolley-pu-merah-3-inch-1set-2rem-2mati-1730818546328438075?extParam=ivf%3Dfalse%26keyword%3Droda+troli+pu+merah+3+inch+1set+%282rem%2B2mati%29%26search_id%3D20250307080831C73A1F58F088462C0NQZ%26src%3Dsearch</v>
      </c>
      <c r="L116" s="3" t="str">
        <f>IFERROR(__xludf.DUMMYFUNCTION("""COMPUTED_VALUE"""),"Belikan roda 1 set
2 rem dan 2 mati")</f>
        <v>Belikan roda 1 set
2 rem dan 2 mati</v>
      </c>
      <c r="M116" s="3" t="str">
        <f>IFERROR(__xludf.DUMMYFUNCTION("""COMPUTED_VALUE"""),"Reject")</f>
        <v>Reject</v>
      </c>
      <c r="N116" s="3" t="str">
        <f>IFERROR(__xludf.DUMMYFUNCTION("""COMPUTED_VALUE"""),"Normal")</f>
        <v>Normal</v>
      </c>
      <c r="O116" s="3" t="str">
        <f>IFERROR(__xludf.DUMMYFUNCTION("""COMPUTED_VALUE"""),"Non Urgent")</f>
        <v>Non Urgent</v>
      </c>
    </row>
    <row r="117">
      <c r="A117" s="4">
        <f>IFERROR(__xludf.DUMMYFUNCTION("""COMPUTED_VALUE"""),45724.564102418975)</f>
        <v>45724.5641</v>
      </c>
      <c r="B117" s="3" t="str">
        <f>IFERROR(__xludf.DUMMYFUNCTION("""COMPUTED_VALUE"""),"SFHBR0016")</f>
        <v>SFHBR0016</v>
      </c>
      <c r="C117" s="3" t="str">
        <f>IFERROR(__xludf.DUMMYFUNCTION("""COMPUTED_VALUE"""),"EJO")</f>
        <v>EJO</v>
      </c>
      <c r="D117" s="3" t="str">
        <f>IFERROR(__xludf.DUMMYFUNCTION("""COMPUTED_VALUE"""),"EJ0/EJO/03/17")</f>
        <v>EJ0/EJO/03/17</v>
      </c>
      <c r="E117" s="3" t="str">
        <f>IFERROR(__xludf.DUMMYFUNCTION("""COMPUTED_VALUE"""),"lantai 2")</f>
        <v>lantai 2</v>
      </c>
      <c r="F117" s="3" t="str">
        <f>IFERROR(__xludf.DUMMYFUNCTION("""COMPUTED_VALUE"""),"Door closer ")</f>
        <v>Door closer </v>
      </c>
      <c r="G117" s="3" t="str">
        <f>IFERROR(__xludf.DUMMYFUNCTION("""COMPUTED_VALUE"""),"Dorma TS 77 HO ( Hold Open ) Silver Penutup Pintu Otomatis")</f>
        <v>Dorma TS 77 HO ( Hold Open ) Silver Penutup Pintu Otomatis</v>
      </c>
      <c r="H117" s="3" t="str">
        <f>IFERROR(__xludf.DUMMYFUNCTION("""COMPUTED_VALUE"""),"DORMA")</f>
        <v>DORMA</v>
      </c>
      <c r="I117" s="3">
        <f>IFERROR(__xludf.DUMMYFUNCTION("""COMPUTED_VALUE"""),5.0)</f>
        <v>5</v>
      </c>
      <c r="J117" s="3" t="str">
        <f>IFERROR(__xludf.DUMMYFUNCTION("""COMPUTED_VALUE"""),"PCS")</f>
        <v>PCS</v>
      </c>
      <c r="K117" s="5" t="str">
        <f>IFERROR(__xludf.DUMMYFUNCTION("""COMPUTED_VALUE"""),"https://www.tokopedia.com/setiakunci/door-closer-dorma-ts-77-ho-hold-open-silver-penutup-pintu-otomatis?extParam=ivf%3Dfalse%26keyword%3Ddoor+closer+pintu+dorma%26search_id%3D20250308062625F44B441242A2AE1AEMIH%26src%3Dsearch")</f>
        <v>https://www.tokopedia.com/setiakunci/door-closer-dorma-ts-77-ho-hold-open-silver-penutup-pintu-otomatis?extParam=ivf%3Dfalse%26keyword%3Ddoor+closer+pintu+dorma%26search_id%3D20250308062625F44B441242A2AE1AEMIH%26src%3Dsearch</v>
      </c>
      <c r="L117" s="3" t="str">
        <f>IFERROR(__xludf.DUMMYFUNCTION("""COMPUTED_VALUE"""),"-")</f>
        <v>-</v>
      </c>
      <c r="M117" s="3" t="str">
        <f>IFERROR(__xludf.DUMMYFUNCTION("""COMPUTED_VALUE"""),"Approve")</f>
        <v>Approve</v>
      </c>
      <c r="N117" s="3" t="str">
        <f>IFERROR(__xludf.DUMMYFUNCTION("""COMPUTED_VALUE"""),"Normal")</f>
        <v>Normal</v>
      </c>
      <c r="O117" s="3" t="str">
        <f>IFERROR(__xludf.DUMMYFUNCTION("""COMPUTED_VALUE"""),"Non Urgent")</f>
        <v>Non Urgent</v>
      </c>
    </row>
    <row r="118">
      <c r="A118" s="4">
        <f>IFERROR(__xludf.DUMMYFUNCTION("""COMPUTED_VALUE"""),45725.56726363426)</f>
        <v>45725.56726</v>
      </c>
      <c r="B118" s="3" t="str">
        <f>IFERROR(__xludf.DUMMYFUNCTION("""COMPUTED_VALUE"""),"ROSBR0011")</f>
        <v>ROSBR0011</v>
      </c>
      <c r="C118" s="3" t="str">
        <f>IFERROR(__xludf.DUMMYFUNCTION("""COMPUTED_VALUE"""),"EJO")</f>
        <v>EJO</v>
      </c>
      <c r="D118" s="3" t="str">
        <f>IFERROR(__xludf.DUMMYFUNCTION("""COMPUTED_VALUE"""),"EJO/2025/03/38")</f>
        <v>EJO/2025/03/38</v>
      </c>
      <c r="E118" s="3" t="str">
        <f>IFERROR(__xludf.DUMMYFUNCTION("""COMPUTED_VALUE"""),"Tunnel")</f>
        <v>Tunnel</v>
      </c>
      <c r="F118" s="3" t="str">
        <f>IFERROR(__xludf.DUMMYFUNCTION("""COMPUTED_VALUE"""),"Insulflex Insulasi Pipa")</f>
        <v>Insulflex Insulasi Pipa</v>
      </c>
      <c r="G118" s="3" t="str">
        <f>IFERROR(__xludf.DUMMYFUNCTION("""COMPUTED_VALUE"""),"belikan Insulflex
ukuran : 1 1/8inch x 3/8 inch
kebutuhan panjang : 10 meter")</f>
        <v>belikan Insulflex
ukuran : 1 1/8inch x 3/8 inch
kebutuhan panjang : 10 meter</v>
      </c>
      <c r="H118" s="3" t="str">
        <f>IFERROR(__xludf.DUMMYFUNCTION("""COMPUTED_VALUE"""),"Insulflex")</f>
        <v>Insulflex</v>
      </c>
      <c r="I118" s="3">
        <f>IFERROR(__xludf.DUMMYFUNCTION("""COMPUTED_VALUE"""),10.0)</f>
        <v>10</v>
      </c>
      <c r="J118" s="3" t="str">
        <f>IFERROR(__xludf.DUMMYFUNCTION("""COMPUTED_VALUE"""),"meter")</f>
        <v>meter</v>
      </c>
      <c r="K118" s="5" t="str">
        <f>IFERROR(__xludf.DUMMYFUNCTION("""COMPUTED_VALUE"""),"https://www.tokopedia.com/aksesoris-hvac/insulflex-insulasi-pipa-1-1-8-x-3-8-inch-panjang-1-82-m-tube-class-1?aff_unique_id=&amp;channel=others&amp;chain_key=")</f>
        <v>https://www.tokopedia.com/aksesoris-hvac/insulflex-insulasi-pipa-1-1-8-x-3-8-inch-panjang-1-82-m-tube-class-1?aff_unique_id=&amp;channel=others&amp;chain_key=</v>
      </c>
      <c r="L118" s="5" t="str">
        <f>IFERROR(__xludf.DUMMYFUNCTION("""COMPUTED_VALUE"""),"https://drive.google.com/drive/folders/1-A3PSFPOtNNj8ILj7DjSRukPtAKqxZlz?usp=drive_link")</f>
        <v>https://drive.google.com/drive/folders/1-A3PSFPOtNNj8ILj7DjSRukPtAKqxZlz?usp=drive_link</v>
      </c>
      <c r="M118" s="3" t="str">
        <f>IFERROR(__xludf.DUMMYFUNCTION("""COMPUTED_VALUE"""),"Approve")</f>
        <v>Approve</v>
      </c>
      <c r="N118" s="3" t="str">
        <f>IFERROR(__xludf.DUMMYFUNCTION("""COMPUTED_VALUE"""),"Normal")</f>
        <v>Normal</v>
      </c>
      <c r="O118" s="3" t="str">
        <f>IFERROR(__xludf.DUMMYFUNCTION("""COMPUTED_VALUE"""),"Non Urgent")</f>
        <v>Non Urgent</v>
      </c>
    </row>
    <row r="119">
      <c r="A119" s="4">
        <f>IFERROR(__xludf.DUMMYFUNCTION("""COMPUTED_VALUE"""),45725.73334604166)</f>
        <v>45725.73335</v>
      </c>
      <c r="B119" s="3" t="str">
        <f>IFERROR(__xludf.DUMMYFUNCTION("""COMPUTED_VALUE"""),"ROSBR0012")</f>
        <v>ROSBR0012</v>
      </c>
      <c r="C119" s="3" t="str">
        <f>IFERROR(__xludf.DUMMYFUNCTION("""COMPUTED_VALUE"""),"EJO")</f>
        <v>EJO</v>
      </c>
      <c r="D119" s="3" t="str">
        <f>IFERROR(__xludf.DUMMYFUNCTION("""COMPUTED_VALUE"""),"EJO/2025/03/38")</f>
        <v>EJO/2025/03/38</v>
      </c>
      <c r="E119" s="3" t="str">
        <f>IFERROR(__xludf.DUMMYFUNCTION("""COMPUTED_VALUE"""),"Tunnel")</f>
        <v>Tunnel</v>
      </c>
      <c r="F119" s="3" t="str">
        <f>IFERROR(__xludf.DUMMYFUNCTION("""COMPUTED_VALUE"""),"Lem Perekat Superlon")</f>
        <v>Lem Perekat Superlon</v>
      </c>
      <c r="G119" s="3" t="str">
        <f>IFERROR(__xludf.DUMMYFUNCTION("""COMPUTED_VALUE"""),"Lem superlon 1 kaleng ")</f>
        <v>Lem superlon 1 kaleng </v>
      </c>
      <c r="H119" s="3" t="str">
        <f>IFERROR(__xludf.DUMMYFUNCTION("""COMPUTED_VALUE"""),"superlon ")</f>
        <v>superlon </v>
      </c>
      <c r="I119" s="3">
        <f>IFERROR(__xludf.DUMMYFUNCTION("""COMPUTED_VALUE"""),1.0)</f>
        <v>1</v>
      </c>
      <c r="J119" s="3" t="str">
        <f>IFERROR(__xludf.DUMMYFUNCTION("""COMPUTED_VALUE"""),"kaleng")</f>
        <v>kaleng</v>
      </c>
      <c r="K119" s="5" t="str">
        <f>IFERROR(__xludf.DUMMYFUNCTION("""COMPUTED_VALUE"""),"https://www.tokopedia.com/psrtrades/lem-perekat-superlon-adhesive-insulation-insulasi-pembungkus-pipa-glue?extParam=ivf%3Dfalse%26keyword%3Dlem+superlon%26search_id%3D20250309103729E7F72256397B2D24705W%26src%3Dsearch")</f>
        <v>https://www.tokopedia.com/psrtrades/lem-perekat-superlon-adhesive-insulation-insulasi-pembungkus-pipa-glue?extParam=ivf%3Dfalse%26keyword%3Dlem+superlon%26search_id%3D20250309103729E7F72256397B2D24705W%26src%3Dsearch</v>
      </c>
      <c r="L119" s="5" t="str">
        <f>IFERROR(__xludf.DUMMYFUNCTION("""COMPUTED_VALUE"""),"https://drive.google.com/file/d/18AS5uxV3U9XXOPn0spB9aLZ9qDY121mm/view?usp=drive_link")</f>
        <v>https://drive.google.com/file/d/18AS5uxV3U9XXOPn0spB9aLZ9qDY121mm/view?usp=drive_link</v>
      </c>
      <c r="M119" s="3" t="str">
        <f>IFERROR(__xludf.DUMMYFUNCTION("""COMPUTED_VALUE"""),"Approve")</f>
        <v>Approve</v>
      </c>
      <c r="N119" s="3" t="str">
        <f>IFERROR(__xludf.DUMMYFUNCTION("""COMPUTED_VALUE"""),"Normal")</f>
        <v>Normal</v>
      </c>
      <c r="O119" s="3" t="str">
        <f>IFERROR(__xludf.DUMMYFUNCTION("""COMPUTED_VALUE"""),"Non Urgent")</f>
        <v>Non Urgent</v>
      </c>
    </row>
    <row r="120">
      <c r="A120" s="4">
        <f>IFERROR(__xludf.DUMMYFUNCTION("""COMPUTED_VALUE"""),45726.686350578704)</f>
        <v>45726.68635</v>
      </c>
      <c r="B120" s="3" t="str">
        <f>IFERROR(__xludf.DUMMYFUNCTION("""COMPUTED_VALUE"""),"SHFBR0007")</f>
        <v>SHFBR0007</v>
      </c>
      <c r="C120" s="3" t="str">
        <f>IFERROR(__xludf.DUMMYFUNCTION("""COMPUTED_VALUE"""),"EJO")</f>
        <v>EJO</v>
      </c>
      <c r="D120" s="3" t="str">
        <f>IFERROR(__xludf.DUMMYFUNCTION("""COMPUTED_VALUE"""),"EJO/2025/03/53")</f>
        <v>EJO/2025/03/53</v>
      </c>
      <c r="E120" s="3" t="str">
        <f>IFERROR(__xludf.DUMMYFUNCTION("""COMPUTED_VALUE""")," Lampu Korridor Depan Capsul OSD")</f>
        <v> Lampu Korridor Depan Capsul OSD</v>
      </c>
      <c r="F120" s="3" t="str">
        <f>IFERROR(__xludf.DUMMYFUNCTION("""COMPUTED_VALUE"""),"Lampu Office Lum 40W")</f>
        <v>Lampu Office Lum 40W</v>
      </c>
      <c r="G120" s="3" t="str">
        <f>IFERROR(__xludf.DUMMYFUNCTION("""COMPUTED_VALUE"""),"Lampu Office Lum 40W/(196x0.2W) LED RC081V LED 38s/865 PSU W30LI20  GM MR PCV ")</f>
        <v>Lampu Office Lum 40W/(196x0.2W) LED RC081V LED 38s/865 PSU W30LI20  GM MR PCV </v>
      </c>
      <c r="H120" s="3" t="str">
        <f>IFERROR(__xludf.DUMMYFUNCTION("""COMPUTED_VALUE"""),"-")</f>
        <v>-</v>
      </c>
      <c r="I120" s="3">
        <f>IFERROR(__xludf.DUMMYFUNCTION("""COMPUTED_VALUE"""),3.0)</f>
        <v>3</v>
      </c>
      <c r="J120" s="3" t="str">
        <f>IFERROR(__xludf.DUMMYFUNCTION("""COMPUTED_VALUE"""),"Pcs")</f>
        <v>Pcs</v>
      </c>
      <c r="K120" s="3" t="str">
        <f>IFERROR(__xludf.DUMMYFUNCTION("""COMPUTED_VALUE"""),"Bisa Minta KeDWP ")</f>
        <v>Bisa Minta KeDWP </v>
      </c>
      <c r="L120" s="3" t="str">
        <f>IFERROR(__xludf.DUMMYFUNCTION("""COMPUTED_VALUE""")," LED RC081V LED 38s/865 PSU W30LI20  GM MR PCV 220-240V - 50/60Hz (REJECT BY MFH KARENA MASIH ADA BANYAK SISA PROJECT)")</f>
        <v> LED RC081V LED 38s/865 PSU W30LI20  GM MR PCV 220-240V - 50/60Hz (REJECT BY MFH KARENA MASIH ADA BANYAK SISA PROJECT)</v>
      </c>
      <c r="M120" s="3" t="str">
        <f>IFERROR(__xludf.DUMMYFUNCTION("""COMPUTED_VALUE"""),"Reject")</f>
        <v>Reject</v>
      </c>
      <c r="N120" s="3" t="str">
        <f>IFERROR(__xludf.DUMMYFUNCTION("""COMPUTED_VALUE"""),"Normal")</f>
        <v>Normal</v>
      </c>
      <c r="O120" s="3" t="str">
        <f>IFERROR(__xludf.DUMMYFUNCTION("""COMPUTED_VALUE"""),"Non Urgent")</f>
        <v>Non Urgent</v>
      </c>
    </row>
    <row r="121">
      <c r="A121" s="4">
        <f>IFERROR(__xludf.DUMMYFUNCTION("""COMPUTED_VALUE"""),45728.60810275463)</f>
        <v>45728.6081</v>
      </c>
      <c r="B121" s="3" t="str">
        <f>IFERROR(__xludf.DUMMYFUNCTION("""COMPUTED_VALUE"""),"ROSBR0013")</f>
        <v>ROSBR0013</v>
      </c>
      <c r="C121" s="3" t="str">
        <f>IFERROR(__xludf.DUMMYFUNCTION("""COMPUTED_VALUE"""),"EJO")</f>
        <v>EJO</v>
      </c>
      <c r="D121" s="3" t="str">
        <f>IFERROR(__xludf.DUMMYFUNCTION("""COMPUTED_VALUE"""),"EJO2025/03/91")</f>
        <v>EJO2025/03/91</v>
      </c>
      <c r="E121" s="3" t="str">
        <f>IFERROR(__xludf.DUMMYFUNCTION("""COMPUTED_VALUE"""),"Humidity Chamber ")</f>
        <v>Humidity Chamber </v>
      </c>
      <c r="F121" s="3" t="str">
        <f>IFERROR(__xludf.DUMMYFUNCTION("""COMPUTED_VALUE"""),"Drain Pan ")</f>
        <v>Drain Pan </v>
      </c>
      <c r="G121" s="3" t="str">
        <f>IFERROR(__xludf.DUMMYFUNCTION("""COMPUTED_VALUE"""),"- Machining Plate Mat'l SUS 304
- Proses Laser Cutting
- Profil Bending Tekuk
- Assembly Welding
- finishing")</f>
        <v>- Machining Plate Mat'l SUS 304
- Proses Laser Cutting
- Profil Bending Tekuk
- Assembly Welding
- finishing</v>
      </c>
      <c r="H121" s="3" t="str">
        <f>IFERROR(__xludf.DUMMYFUNCTION("""COMPUTED_VALUE"""),"General")</f>
        <v>General</v>
      </c>
      <c r="I121" s="3">
        <f>IFERROR(__xludf.DUMMYFUNCTION("""COMPUTED_VALUE"""),1.0)</f>
        <v>1</v>
      </c>
      <c r="J121" s="3" t="str">
        <f>IFERROR(__xludf.DUMMYFUNCTION("""COMPUTED_VALUE"""),"unit")</f>
        <v>unit</v>
      </c>
      <c r="K121" s="5" t="str">
        <f>IFERROR(__xludf.DUMMYFUNCTION("""COMPUTED_VALUE"""),"https://drive.google.com/file/d/1yxd-1i6_2rne2iILRP3vPMVsFFYUDvQl/view?usp=drive_link")</f>
        <v>https://drive.google.com/file/d/1yxd-1i6_2rne2iILRP3vPMVsFFYUDvQl/view?usp=drive_link</v>
      </c>
      <c r="L121" s="5" t="str">
        <f>IFERROR(__xludf.DUMMYFUNCTION("""COMPUTED_VALUE"""),"https://drive.google.com/file/d/1zvX3aaY0EYyftKdYeb0Wp3oypc_jlGGH/view?usp=drive_link")</f>
        <v>https://drive.google.com/file/d/1zvX3aaY0EYyftKdYeb0Wp3oypc_jlGGH/view?usp=drive_link</v>
      </c>
      <c r="M121" s="3" t="str">
        <f>IFERROR(__xludf.DUMMYFUNCTION("""COMPUTED_VALUE"""),"Approve")</f>
        <v>Approve</v>
      </c>
      <c r="N121" s="3" t="str">
        <f>IFERROR(__xludf.DUMMYFUNCTION("""COMPUTED_VALUE"""),"Normal")</f>
        <v>Normal</v>
      </c>
      <c r="O121" s="3" t="str">
        <f>IFERROR(__xludf.DUMMYFUNCTION("""COMPUTED_VALUE"""),"Non Urgent")</f>
        <v>Non Urgent</v>
      </c>
    </row>
    <row r="122">
      <c r="A122" s="4">
        <f>IFERROR(__xludf.DUMMYFUNCTION("""COMPUTED_VALUE"""),45729.73698976852)</f>
        <v>45729.73699</v>
      </c>
      <c r="B122" s="3" t="str">
        <f>IFERROR(__xludf.DUMMYFUNCTION("""COMPUTED_VALUE"""),"NDSBR0006")</f>
        <v>NDSBR0006</v>
      </c>
      <c r="C122" s="3" t="str">
        <f>IFERROR(__xludf.DUMMYFUNCTION("""COMPUTED_VALUE"""),"EJO")</f>
        <v>EJO</v>
      </c>
      <c r="D122" s="3" t="str">
        <f>IFERROR(__xludf.DUMMYFUNCTION("""COMPUTED_VALUE"""),"EJO/2025/02/75")</f>
        <v>EJO/2025/02/75</v>
      </c>
      <c r="E122" s="3" t="str">
        <f>IFERROR(__xludf.DUMMYFUNCTION("""COMPUTED_VALUE"""),"Labeling")</f>
        <v>Labeling</v>
      </c>
      <c r="F122" s="3" t="str">
        <f>IFERROR(__xludf.DUMMYFUNCTION("""COMPUTED_VALUE"""),"Wrap Around Belt")</f>
        <v>Wrap Around Belt</v>
      </c>
      <c r="G122" s="3" t="str">
        <f>IFERROR(__xludf.DUMMYFUNCTION("""COMPUTED_VALUE"""),"Material SUS, Aluminum Metal &amp; Sponge")</f>
        <v>Material SUS, Aluminum Metal &amp; Sponge</v>
      </c>
      <c r="H122" s="3" t="str">
        <f>IFERROR(__xludf.DUMMYFUNCTION("""COMPUTED_VALUE"""),"-")</f>
        <v>-</v>
      </c>
      <c r="I122" s="3">
        <f>IFERROR(__xludf.DUMMYFUNCTION("""COMPUTED_VALUE"""),3.0)</f>
        <v>3</v>
      </c>
      <c r="J122" s="3" t="str">
        <f>IFERROR(__xludf.DUMMYFUNCTION("""COMPUTED_VALUE"""),"Pcs")</f>
        <v>Pcs</v>
      </c>
      <c r="K122" s="5" t="str">
        <f>IFERROR(__xludf.DUMMYFUNCTION("""COMPUTED_VALUE"""),"https://drive.google.com/file/d/1G4atjSOJkMEcwCStqwGkxVezQF9m-uWf/view?usp=drive_link")</f>
        <v>https://drive.google.com/file/d/1G4atjSOJkMEcwCStqwGkxVezQF9m-uWf/view?usp=drive_link</v>
      </c>
      <c r="L122" s="3" t="str">
        <f>IFERROR(__xludf.DUMMYFUNCTION("""COMPUTED_VALUE"""),"Minta tolong dicoba penawaran ke Chiyyen")</f>
        <v>Minta tolong dicoba penawaran ke Chiyyen</v>
      </c>
      <c r="M122" s="3" t="str">
        <f>IFERROR(__xludf.DUMMYFUNCTION("""COMPUTED_VALUE"""),"Reject")</f>
        <v>Reject</v>
      </c>
      <c r="N122" s="3" t="str">
        <f>IFERROR(__xludf.DUMMYFUNCTION("""COMPUTED_VALUE"""),"Normal")</f>
        <v>Normal</v>
      </c>
      <c r="O122" s="3" t="str">
        <f>IFERROR(__xludf.DUMMYFUNCTION("""COMPUTED_VALUE"""),"Non Urgent")</f>
        <v>Non Urgent</v>
      </c>
    </row>
    <row r="123">
      <c r="A123" s="4">
        <f>IFERROR(__xludf.DUMMYFUNCTION("""COMPUTED_VALUE"""),45729.738412106475)</f>
        <v>45729.73841</v>
      </c>
      <c r="B123" s="3" t="str">
        <f>IFERROR(__xludf.DUMMYFUNCTION("""COMPUTED_VALUE"""),"NDSBR0007")</f>
        <v>NDSBR0007</v>
      </c>
      <c r="C123" s="3" t="str">
        <f>IFERROR(__xludf.DUMMYFUNCTION("""COMPUTED_VALUE"""),"EJO")</f>
        <v>EJO</v>
      </c>
      <c r="D123" s="3" t="str">
        <f>IFERROR(__xludf.DUMMYFUNCTION("""COMPUTED_VALUE"""),"EJO/2024/12/147")</f>
        <v>EJO/2024/12/147</v>
      </c>
      <c r="E123" s="3" t="str">
        <f>IFERROR(__xludf.DUMMYFUNCTION("""COMPUTED_VALUE"""),"Mixing Tank MV 200")</f>
        <v>Mixing Tank MV 200</v>
      </c>
      <c r="F123" s="3" t="str">
        <f>IFERROR(__xludf.DUMMYFUNCTION("""COMPUTED_VALUE"""),"Gasket Ferrule ")</f>
        <v>Gasket Ferrule </v>
      </c>
      <c r="G123" s="3" t="str">
        <f>IFERROR(__xludf.DUMMYFUNCTION("""COMPUTED_VALUE"""),"Material EPDM, 6""")</f>
        <v>Material EPDM, 6"</v>
      </c>
      <c r="H123" s="3" t="str">
        <f>IFERROR(__xludf.DUMMYFUNCTION("""COMPUTED_VALUE"""),"-")</f>
        <v>-</v>
      </c>
      <c r="I123" s="3">
        <f>IFERROR(__xludf.DUMMYFUNCTION("""COMPUTED_VALUE"""),4.0)</f>
        <v>4</v>
      </c>
      <c r="J123" s="3" t="str">
        <f>IFERROR(__xludf.DUMMYFUNCTION("""COMPUTED_VALUE"""),"Pcs")</f>
        <v>Pcs</v>
      </c>
      <c r="K123" s="5" t="str">
        <f>IFERROR(__xludf.DUMMYFUNCTION("""COMPUTED_VALUE"""),"https://www.google.com/search?sca_esv=53b09118edbda9fc&amp;rlz=1C1GCEA_enID1076ID1076&amp;sxsrf=AHTn8zr5oshrwPuVZ4GYerDABE855Pmegg:1740628146184&amp;q=gasket+ferrule+EPDM+6Inch&amp;udm=2&amp;fbs=ABzOT_CB5rTOeVClh44GCXZQydERP1BnZ_6U4iXdAZ_ZkT8a3yweG-ROKJaX8AZ4e4IzcHWttziSCpXz"&amp;"7Kk4unvbthF53f5zm-k1xtQ8Cs1ebCGDwGhGJiiASqBYq1w_9uOUzkHFllm2si9-ahMJTMQdEAiFQbyINXSh6GkB3Mr9fR7Exc5E8c51RwZOU9HzyF7XbDLzSYJ0wedcOqWn1gpH5jI5CiUChw&amp;sa=X&amp;ved=2ahUKEwj1l9uS-eKLAxV2TDABHbbnDBIQtKgLegQIEBAB&amp;biw=1366&amp;bih=611&amp;dpr=1")</f>
        <v>https://www.google.com/search?sca_esv=53b09118edbda9fc&amp;rlz=1C1GCEA_enID1076ID1076&amp;sxsrf=AHTn8zr5oshrwPuVZ4GYerDABE855Pmegg:1740628146184&amp;q=gasket+ferrule+EPDM+6Inch&amp;udm=2&amp;fbs=ABzOT_CB5rTOeVClh44GCXZQydERP1BnZ_6U4iXdAZ_ZkT8a3yweG-ROKJaX8AZ4e4IzcHWttziSCpXz7Kk4unvbthF53f5zm-k1xtQ8Cs1ebCGDwGhGJiiASqBYq1w_9uOUzkHFllm2si9-ahMJTMQdEAiFQbyINXSh6GkB3Mr9fR7Exc5E8c51RwZOU9HzyF7XbDLzSYJ0wedcOqWn1gpH5jI5CiUChw&amp;sa=X&amp;ved=2ahUKEwj1l9uS-eKLAxV2TDABHbbnDBIQtKgLegQIEBAB&amp;biw=1366&amp;bih=611&amp;dpr=1</v>
      </c>
      <c r="L123" s="3" t="str">
        <f>IFERROR(__xludf.DUMMYFUNCTION("""COMPUTED_VALUE"""),"-")</f>
        <v>-</v>
      </c>
      <c r="M123" s="3" t="str">
        <f>IFERROR(__xludf.DUMMYFUNCTION("""COMPUTED_VALUE"""),"Approve")</f>
        <v>Approve</v>
      </c>
      <c r="N123" s="3" t="str">
        <f>IFERROR(__xludf.DUMMYFUNCTION("""COMPUTED_VALUE"""),"Normal")</f>
        <v>Normal</v>
      </c>
      <c r="O123" s="3" t="str">
        <f>IFERROR(__xludf.DUMMYFUNCTION("""COMPUTED_VALUE"""),"Non Urgent")</f>
        <v>Non Urgent</v>
      </c>
    </row>
    <row r="124">
      <c r="A124" s="4">
        <f>IFERROR(__xludf.DUMMYFUNCTION("""COMPUTED_VALUE"""),45729.738920752316)</f>
        <v>45729.73892</v>
      </c>
      <c r="B124" s="3" t="str">
        <f>IFERROR(__xludf.DUMMYFUNCTION("""COMPUTED_VALUE"""),"NDSBR0008")</f>
        <v>NDSBR0008</v>
      </c>
      <c r="C124" s="3" t="str">
        <f>IFERROR(__xludf.DUMMYFUNCTION("""COMPUTED_VALUE"""),"Consumable")</f>
        <v>Consumable</v>
      </c>
      <c r="D124" s="3" t="str">
        <f>IFERROR(__xludf.DUMMYFUNCTION("""COMPUTED_VALUE"""),"-")</f>
        <v>-</v>
      </c>
      <c r="E124" s="3" t="str">
        <f>IFERROR(__xludf.DUMMYFUNCTION("""COMPUTED_VALUE"""),"Tablet Press")</f>
        <v>Tablet Press</v>
      </c>
      <c r="F124" s="3" t="str">
        <f>IFERROR(__xludf.DUMMYFUNCTION("""COMPUTED_VALUE"""),"Mobilux EP 2")</f>
        <v>Mobilux EP 2</v>
      </c>
      <c r="G124" s="3" t="str">
        <f>IFERROR(__xludf.DUMMYFUNCTION("""COMPUTED_VALUE"""),"ISO VG 150")</f>
        <v>ISO VG 150</v>
      </c>
      <c r="H124" s="3" t="str">
        <f>IFERROR(__xludf.DUMMYFUNCTION("""COMPUTED_VALUE"""),"Mobil")</f>
        <v>Mobil</v>
      </c>
      <c r="I124" s="3">
        <f>IFERROR(__xludf.DUMMYFUNCTION("""COMPUTED_VALUE"""),1.0)</f>
        <v>1</v>
      </c>
      <c r="J124" s="3" t="str">
        <f>IFERROR(__xludf.DUMMYFUNCTION("""COMPUTED_VALUE"""),"Pcs")</f>
        <v>Pcs</v>
      </c>
      <c r="K124" s="5" t="str">
        <f>IFERROR(__xludf.DUMMYFUNCTION("""COMPUTED_VALUE"""),"https://www.tokopedia.com/lubricants/grease-mobilux-ep-2-lithium-grease-packing-original-mobil-pail-16kg?txsc=google&amp;utm_source=google&amp;utm_medium=cpc&amp;utm_campaign=0000-0000-gg-pmax-bend-voo-tcpa-act-ord-pg-id51pgce51-0000-alon-gshp&amp;utm_term=15824685200&amp;re"&amp;"f=googleshopping&amp;c=21543673600&amp;m=667148562&amp;gclsrc=aw.ds&amp;gad_source=1")</f>
        <v>https://www.tokopedia.com/lubricants/grease-mobilux-ep-2-lithium-grease-packing-original-mobil-pail-16kg?txsc=google&amp;utm_source=google&amp;utm_medium=cpc&amp;utm_campaign=0000-0000-gg-pmax-bend-voo-tcpa-act-ord-pg-id51pgce51-0000-alon-gshp&amp;utm_term=15824685200&amp;ref=googleshopping&amp;c=21543673600&amp;m=667148562&amp;gclsrc=aw.ds&amp;gad_source=1</v>
      </c>
      <c r="L124" s="3" t="str">
        <f>IFERROR(__xludf.DUMMYFUNCTION("""COMPUTED_VALUE"""),"-")</f>
        <v>-</v>
      </c>
      <c r="M124" s="3" t="str">
        <f>IFERROR(__xludf.DUMMYFUNCTION("""COMPUTED_VALUE"""),"Approve")</f>
        <v>Approve</v>
      </c>
      <c r="N124" s="3" t="str">
        <f>IFERROR(__xludf.DUMMYFUNCTION("""COMPUTED_VALUE"""),"Normal")</f>
        <v>Normal</v>
      </c>
      <c r="O124" s="3" t="str">
        <f>IFERROR(__xludf.DUMMYFUNCTION("""COMPUTED_VALUE"""),"Non Urgent")</f>
        <v>Non Urgent</v>
      </c>
    </row>
    <row r="125">
      <c r="A125" s="4">
        <f>IFERROR(__xludf.DUMMYFUNCTION("""COMPUTED_VALUE"""),45729.97713024306)</f>
        <v>45729.97713</v>
      </c>
      <c r="B125" s="3" t="str">
        <f>IFERROR(__xludf.DUMMYFUNCTION("""COMPUTED_VALUE"""),"MOBBR0021")</f>
        <v>MOBBR0021</v>
      </c>
      <c r="C125" s="3" t="str">
        <f>IFERROR(__xludf.DUMMYFUNCTION("""COMPUTED_VALUE"""),"Consumable")</f>
        <v>Consumable</v>
      </c>
      <c r="D125" s="3" t="str">
        <f>IFERROR(__xludf.DUMMYFUNCTION("""COMPUTED_VALUE"""),"-")</f>
        <v>-</v>
      </c>
      <c r="E125" s="3" t="str">
        <f>IFERROR(__xludf.DUMMYFUNCTION("""COMPUTED_VALUE"""),"Pneumatic Fitting")</f>
        <v>Pneumatic Fitting</v>
      </c>
      <c r="F125" s="3" t="str">
        <f>IFERROR(__xludf.DUMMYFUNCTION("""COMPUTED_VALUE"""),"Pneumatic Fitting")</f>
        <v>Pneumatic Fitting</v>
      </c>
      <c r="G125" s="3" t="str">
        <f>IFERROR(__xludf.DUMMYFUNCTION("""COMPUTED_VALUE"""),"QS-12-14 Festo Push In")</f>
        <v>QS-12-14 Festo Push In</v>
      </c>
      <c r="H125" s="3" t="str">
        <f>IFERROR(__xludf.DUMMYFUNCTION("""COMPUTED_VALUE"""),"EMC")</f>
        <v>EMC</v>
      </c>
      <c r="I125" s="3">
        <f>IFERROR(__xludf.DUMMYFUNCTION("""COMPUTED_VALUE"""),8.0)</f>
        <v>8</v>
      </c>
      <c r="J125" s="3" t="str">
        <f>IFERROR(__xludf.DUMMYFUNCTION("""COMPUTED_VALUE"""),"Pcs")</f>
        <v>Pcs</v>
      </c>
      <c r="K125" s="5" t="str">
        <f>IFERROR(__xludf.DUMMYFUNCTION("""COMPUTED_VALUE"""),"https://www.tokopedia.com/pneumatichardware/fitting-pneumatic-selang-14mm-x-12mm-reducer-connector-pg14-12-kk85")</f>
        <v>https://www.tokopedia.com/pneumatichardware/fitting-pneumatic-selang-14mm-x-12mm-reducer-connector-pg14-12-kk85</v>
      </c>
      <c r="L125" s="3" t="str">
        <f>IFERROR(__xludf.DUMMYFUNCTION("""COMPUTED_VALUE"""),"Stok Habis")</f>
        <v>Stok Habis</v>
      </c>
      <c r="M125" s="3" t="str">
        <f>IFERROR(__xludf.DUMMYFUNCTION("""COMPUTED_VALUE"""),"Approve")</f>
        <v>Approve</v>
      </c>
      <c r="N125" s="3" t="str">
        <f>IFERROR(__xludf.DUMMYFUNCTION("""COMPUTED_VALUE"""),"Normal")</f>
        <v>Normal</v>
      </c>
      <c r="O125" s="3" t="str">
        <f>IFERROR(__xludf.DUMMYFUNCTION("""COMPUTED_VALUE"""),"Non Urgent")</f>
        <v>Non Urgent</v>
      </c>
    </row>
    <row r="126">
      <c r="A126" s="4">
        <f>IFERROR(__xludf.DUMMYFUNCTION("""COMPUTED_VALUE"""),45734.69094292824)</f>
        <v>45734.69094</v>
      </c>
      <c r="B126" s="3" t="str">
        <f>IFERROR(__xludf.DUMMYFUNCTION("""COMPUTED_VALUE"""),"RIABR0026")</f>
        <v>RIABR0026</v>
      </c>
      <c r="C126" s="3" t="str">
        <f>IFERROR(__xludf.DUMMYFUNCTION("""COMPUTED_VALUE"""),"EJO")</f>
        <v>EJO</v>
      </c>
      <c r="D126" s="3" t="str">
        <f>IFERROR(__xludf.DUMMYFUNCTION("""COMPUTED_VALUE"""),"EJO/2025/03/116")</f>
        <v>EJO/2025/03/116</v>
      </c>
      <c r="E126" s="3" t="str">
        <f>IFERROR(__xludf.DUMMYFUNCTION("""COMPUTED_VALUE"""),"Cooling Water")</f>
        <v>Cooling Water</v>
      </c>
      <c r="F126" s="3" t="str">
        <f>IFERROR(__xludf.DUMMYFUNCTION("""COMPUTED_VALUE"""),"Motorized")</f>
        <v>Motorized</v>
      </c>
      <c r="G126" s="3" t="str">
        <f>IFERROR(__xludf.DUMMYFUNCTION("""COMPUTED_VALUE"""),"Siemens Acvatix SKC62")</f>
        <v>Siemens Acvatix SKC62</v>
      </c>
      <c r="H126" s="3" t="str">
        <f>IFERROR(__xludf.DUMMYFUNCTION("""COMPUTED_VALUE"""),"Siemens")</f>
        <v>Siemens</v>
      </c>
      <c r="I126" s="3">
        <f>IFERROR(__xludf.DUMMYFUNCTION("""COMPUTED_VALUE"""),1.0)</f>
        <v>1</v>
      </c>
      <c r="J126" s="3" t="str">
        <f>IFERROR(__xludf.DUMMYFUNCTION("""COMPUTED_VALUE"""),"Set")</f>
        <v>Set</v>
      </c>
      <c r="K126" s="5" t="str">
        <f>IFERROR(__xludf.DUMMYFUNCTION("""COMPUTED_VALUE"""),"https://www.google.com/url?sa=i&amp;url=https%3A%2F%2Fhit.sbt.siemens.com%2FRWD%2Fapp.aspx%3Frc%3DNO%26lang%3Den%26module%3DCatalog%26action%3DShowProduct%26key%3DBPZ%3ASKC62&amp;psig=AOvVaw0QQilrq1urX21H_jPxokk1&amp;ust=1742376829543000&amp;source=images&amp;cd=vfe&amp;opi=8997"&amp;"8449&amp;ved=0CBQQjRxqFwoTCPCY2dSpk4wDFQAAAAAdAAAAABAE")</f>
        <v>https://www.google.com/url?sa=i&amp;url=https%3A%2F%2Fhit.sbt.siemens.com%2FRWD%2Fapp.aspx%3Frc%3DNO%26lang%3Den%26module%3DCatalog%26action%3DShowProduct%26key%3DBPZ%3ASKC62&amp;psig=AOvVaw0QQilrq1urX21H_jPxokk1&amp;ust=1742376829543000&amp;source=images&amp;cd=vfe&amp;opi=89978449&amp;ved=0CBQQjRxqFwoTCPCY2dSpk4wDFQAAAAAdAAAAABAE</v>
      </c>
      <c r="L126" s="3" t="str">
        <f>IFERROR(__xludf.DUMMYFUNCTION("""COMPUTED_VALUE"""),"Minta tolong dicarikan penawaran untuk motorized tersebut ke vendor siemens ya")</f>
        <v>Minta tolong dicarikan penawaran untuk motorized tersebut ke vendor siemens ya</v>
      </c>
      <c r="M126" s="3" t="str">
        <f>IFERROR(__xludf.DUMMYFUNCTION("""COMPUTED_VALUE"""),"Approve")</f>
        <v>Approve</v>
      </c>
      <c r="N126" s="3" t="str">
        <f>IFERROR(__xludf.DUMMYFUNCTION("""COMPUTED_VALUE"""),"Normal")</f>
        <v>Normal</v>
      </c>
      <c r="O126" s="3" t="str">
        <f>IFERROR(__xludf.DUMMYFUNCTION("""COMPUTED_VALUE"""),"Non Urgent")</f>
        <v>Non Urgent</v>
      </c>
    </row>
    <row r="127">
      <c r="A127" s="4">
        <f>IFERROR(__xludf.DUMMYFUNCTION("""COMPUTED_VALUE"""),45735.66877271991)</f>
        <v>45735.66877</v>
      </c>
      <c r="B127" s="3" t="str">
        <f>IFERROR(__xludf.DUMMYFUNCTION("""COMPUTED_VALUE"""),"SFHBR0017")</f>
        <v>SFHBR0017</v>
      </c>
      <c r="C127" s="3" t="str">
        <f>IFERROR(__xludf.DUMMYFUNCTION("""COMPUTED_VALUE"""),"EJO")</f>
        <v>EJO</v>
      </c>
      <c r="D127" s="3" t="str">
        <f>IFERROR(__xludf.DUMMYFUNCTION("""COMPUTED_VALUE"""),"EJO/2025/01/86")</f>
        <v>EJO/2025/01/86</v>
      </c>
      <c r="E127" s="3" t="str">
        <f>IFERROR(__xludf.DUMMYFUNCTION("""COMPUTED_VALUE"""),"lantai 2")</f>
        <v>lantai 2</v>
      </c>
      <c r="F127" s="3" t="str">
        <f>IFERROR(__xludf.DUMMYFUNCTION("""COMPUTED_VALUE"""),"cat propan buat sandwich panel")</f>
        <v>cat propan buat sandwich panel</v>
      </c>
      <c r="G127" s="3" t="str">
        <f>IFERROR(__xludf.DUMMYFUNCTION("""COMPUTED_VALUE"""),"propan DR-2000 GLOOS BASE A + PASTA")</f>
        <v>propan DR-2000 GLOOS BASE A + PASTA</v>
      </c>
      <c r="H127" s="3" t="str">
        <f>IFERROR(__xludf.DUMMYFUNCTION("""COMPUTED_VALUE"""),"propan")</f>
        <v>propan</v>
      </c>
      <c r="I127" s="3">
        <f>IFERROR(__xludf.DUMMYFUNCTION("""COMPUTED_VALUE"""),3.0)</f>
        <v>3</v>
      </c>
      <c r="J127" s="3" t="str">
        <f>IFERROR(__xludf.DUMMYFUNCTION("""COMPUTED_VALUE"""),"pel")</f>
        <v>pel</v>
      </c>
      <c r="K127" s="3" t="str">
        <f>IFERROR(__xludf.DUMMYFUNCTION("""COMPUTED_VALUE"""),"propan durogloss spiders web 90YY73/040")</f>
        <v>propan durogloss spiders web 90YY73/040</v>
      </c>
      <c r="L127" s="3" t="str">
        <f>IFERROR(__xludf.DUMMYFUNCTION("""COMPUTED_VALUE"""),"-")</f>
        <v>-</v>
      </c>
      <c r="M127" s="3" t="str">
        <f>IFERROR(__xludf.DUMMYFUNCTION("""COMPUTED_VALUE"""),"Approve")</f>
        <v>Approve</v>
      </c>
      <c r="N127" s="3" t="str">
        <f>IFERROR(__xludf.DUMMYFUNCTION("""COMPUTED_VALUE"""),"Normal")</f>
        <v>Normal</v>
      </c>
      <c r="O127" s="3" t="str">
        <f>IFERROR(__xludf.DUMMYFUNCTION("""COMPUTED_VALUE"""),"Non Urgent")</f>
        <v>Non Urgent</v>
      </c>
    </row>
    <row r="128">
      <c r="A128" s="4">
        <f>IFERROR(__xludf.DUMMYFUNCTION("""COMPUTED_VALUE"""),45735.6757028588)</f>
        <v>45735.6757</v>
      </c>
      <c r="B128" s="3" t="str">
        <f>IFERROR(__xludf.DUMMYFUNCTION("""COMPUTED_VALUE"""),"INNBR0016")</f>
        <v>INNBR0016</v>
      </c>
      <c r="C128" s="3" t="str">
        <f>IFERROR(__xludf.DUMMYFUNCTION("""COMPUTED_VALUE"""),"Critical Part")</f>
        <v>Critical Part</v>
      </c>
      <c r="D128" s="3" t="str">
        <f>IFERROR(__xludf.DUMMYFUNCTION("""COMPUTED_VALUE"""),"EJO/2024/12/139")</f>
        <v>EJO/2024/12/139</v>
      </c>
      <c r="E128" s="3" t="str">
        <f>IFERROR(__xludf.DUMMYFUNCTION("""COMPUTED_VALUE"""),"Filling")</f>
        <v>Filling</v>
      </c>
      <c r="F128" s="3" t="str">
        <f>IFERROR(__xludf.DUMMYFUNCTION("""COMPUTED_VALUE"""),"Oring silicone : 1.5 mm x 37.5 mm x 40.5 mm")</f>
        <v>Oring silicone : 1.5 mm x 37.5 mm x 40.5 mm</v>
      </c>
      <c r="G128" s="3" t="str">
        <f>IFERROR(__xludf.DUMMYFUNCTION("""COMPUTED_VALUE"""),"Sesuai penawaran")</f>
        <v>Sesuai penawaran</v>
      </c>
      <c r="H128" s="3" t="str">
        <f>IFERROR(__xludf.DUMMYFUNCTION("""COMPUTED_VALUE"""),"Trenade")</f>
        <v>Trenade</v>
      </c>
      <c r="I128" s="3">
        <f>IFERROR(__xludf.DUMMYFUNCTION("""COMPUTED_VALUE"""),10.0)</f>
        <v>10</v>
      </c>
      <c r="J128" s="3" t="str">
        <f>IFERROR(__xludf.DUMMYFUNCTION("""COMPUTED_VALUE"""),"pcs")</f>
        <v>pcs</v>
      </c>
      <c r="K128" s="5" t="str">
        <f>IFERROR(__xludf.DUMMYFUNCTION("""COMPUTED_VALUE"""),"https://drive.google.com/file/d/15G2zcdvsMiV-1FC3GBCvPHKUsg-AwMjH/view?usp=drive_link")</f>
        <v>https://drive.google.com/file/d/15G2zcdvsMiV-1FC3GBCvPHKUsg-AwMjH/view?usp=drive_link</v>
      </c>
      <c r="L128" s="3" t="str">
        <f>IFERROR(__xludf.DUMMYFUNCTION("""COMPUTED_VALUE"""),"untuk piston, stock sudah habis")</f>
        <v>untuk piston, stock sudah habis</v>
      </c>
      <c r="M128" s="3" t="str">
        <f>IFERROR(__xludf.DUMMYFUNCTION("""COMPUTED_VALUE"""),"Approve")</f>
        <v>Approve</v>
      </c>
      <c r="N128" s="3" t="str">
        <f>IFERROR(__xludf.DUMMYFUNCTION("""COMPUTED_VALUE"""),"Normal")</f>
        <v>Normal</v>
      </c>
      <c r="O128" s="3" t="str">
        <f>IFERROR(__xludf.DUMMYFUNCTION("""COMPUTED_VALUE"""),"Non Urgent")</f>
        <v>Non Urgent</v>
      </c>
    </row>
    <row r="129">
      <c r="A129" s="4">
        <f>IFERROR(__xludf.DUMMYFUNCTION("""COMPUTED_VALUE"""),45737.070411354165)</f>
        <v>45737.07041</v>
      </c>
      <c r="B129" s="3" t="str">
        <f>IFERROR(__xludf.DUMMYFUNCTION("""COMPUTED_VALUE"""),"MRNBR0007")</f>
        <v>MRNBR0007</v>
      </c>
      <c r="C129" s="3" t="str">
        <f>IFERROR(__xludf.DUMMYFUNCTION("""COMPUTED_VALUE"""),"EJO")</f>
        <v>EJO</v>
      </c>
      <c r="D129" s="3" t="str">
        <f>IFERROR(__xludf.DUMMYFUNCTION("""COMPUTED_VALUE"""),"EJO/2024/08/79")</f>
        <v>EJO/2024/08/79</v>
      </c>
      <c r="E129" s="3" t="str">
        <f>IFERROR(__xludf.DUMMYFUNCTION("""COMPUTED_VALUE"""),"Cooling water")</f>
        <v>Cooling water</v>
      </c>
      <c r="F129" s="3" t="str">
        <f>IFERROR(__xludf.DUMMYFUNCTION("""COMPUTED_VALUE"""),"aktuator valve")</f>
        <v>aktuator valve</v>
      </c>
      <c r="G129" s="3" t="str">
        <f>IFERROR(__xludf.DUMMYFUNCTION("""COMPUTED_VALUE"""),"vvf30.80")</f>
        <v>vvf30.80</v>
      </c>
      <c r="H129" s="3" t="str">
        <f>IFERROR(__xludf.DUMMYFUNCTION("""COMPUTED_VALUE"""),"siemens")</f>
        <v>siemens</v>
      </c>
      <c r="I129" s="3">
        <f>IFERROR(__xludf.DUMMYFUNCTION("""COMPUTED_VALUE"""),1.0)</f>
        <v>1</v>
      </c>
      <c r="J129" s="3" t="str">
        <f>IFERROR(__xludf.DUMMYFUNCTION("""COMPUTED_VALUE"""),"unit")</f>
        <v>unit</v>
      </c>
      <c r="K129" s="5" t="str">
        <f>IFERROR(__xludf.DUMMYFUNCTION("""COMPUTED_VALUE"""),"https://hit.sbt.siemens.com/RWD/app.aspx?rc=DK&amp;lang=en&amp;module=Catalog&amp;action=ShowProduct&amp;key=BPZ:VVF31.80")</f>
        <v>https://hit.sbt.siemens.com/RWD/app.aspx?rc=DK&amp;lang=en&amp;module=Catalog&amp;action=ShowProduct&amp;key=BPZ:VVF31.80</v>
      </c>
      <c r="L129" s="3" t="str">
        <f>IFERROR(__xludf.DUMMYFUNCTION("""COMPUTED_VALUE"""),"Untuk cooling water (REJECT BY MFH KARENA ITEM DISCONTINUE ATAU OBSOLETE)")</f>
        <v>Untuk cooling water (REJECT BY MFH KARENA ITEM DISCONTINUE ATAU OBSOLETE)</v>
      </c>
      <c r="M129" s="3" t="str">
        <f>IFERROR(__xludf.DUMMYFUNCTION("""COMPUTED_VALUE"""),"Reject")</f>
        <v>Reject</v>
      </c>
      <c r="N129" s="3" t="str">
        <f>IFERROR(__xludf.DUMMYFUNCTION("""COMPUTED_VALUE"""),"Normal")</f>
        <v>Normal</v>
      </c>
      <c r="O129" s="3" t="str">
        <f>IFERROR(__xludf.DUMMYFUNCTION("""COMPUTED_VALUE"""),"Non Urgent")</f>
        <v>Non Urgent</v>
      </c>
    </row>
    <row r="130">
      <c r="A130" s="4">
        <f>IFERROR(__xludf.DUMMYFUNCTION("""COMPUTED_VALUE"""),45737.07097291667)</f>
        <v>45737.07097</v>
      </c>
      <c r="B130" s="3" t="str">
        <f>IFERROR(__xludf.DUMMYFUNCTION("""COMPUTED_VALUE"""),"MRNBR0008")</f>
        <v>MRNBR0008</v>
      </c>
      <c r="C130" s="3" t="str">
        <f>IFERROR(__xludf.DUMMYFUNCTION("""COMPUTED_VALUE"""),"EJO")</f>
        <v>EJO</v>
      </c>
      <c r="D130" s="3" t="str">
        <f>IFERROR(__xludf.DUMMYFUNCTION("""COMPUTED_VALUE"""),"EJO/2024/08/79")</f>
        <v>EJO/2024/08/79</v>
      </c>
      <c r="E130" s="3" t="str">
        <f>IFERROR(__xludf.DUMMYFUNCTION("""COMPUTED_VALUE"""),"Cooling water")</f>
        <v>Cooling water</v>
      </c>
      <c r="F130" s="3" t="str">
        <f>IFERROR(__xludf.DUMMYFUNCTION("""COMPUTED_VALUE"""),"Motorize valve")</f>
        <v>Motorize valve</v>
      </c>
      <c r="G130" s="3" t="str">
        <f>IFERROR(__xludf.DUMMYFUNCTION("""COMPUTED_VALUE"""),"SKC62")</f>
        <v>SKC62</v>
      </c>
      <c r="H130" s="3" t="str">
        <f>IFERROR(__xludf.DUMMYFUNCTION("""COMPUTED_VALUE"""),"Siemens")</f>
        <v>Siemens</v>
      </c>
      <c r="I130" s="3">
        <f>IFERROR(__xludf.DUMMYFUNCTION("""COMPUTED_VALUE"""),1.0)</f>
        <v>1</v>
      </c>
      <c r="J130" s="3" t="str">
        <f>IFERROR(__xludf.DUMMYFUNCTION("""COMPUTED_VALUE"""),"unit")</f>
        <v>unit</v>
      </c>
      <c r="K130" s="5" t="str">
        <f>IFERROR(__xludf.DUMMYFUNCTION("""COMPUTED_VALUE"""),"https://ifs-store.com/siemens-skc62/")</f>
        <v>https://ifs-store.com/siemens-skc62/</v>
      </c>
      <c r="L130" s="3" t="str">
        <f>IFERROR(__xludf.DUMMYFUNCTION("""COMPUTED_VALUE"""),"Untuk cooling water")</f>
        <v>Untuk cooling water</v>
      </c>
      <c r="M130" s="3" t="str">
        <f>IFERROR(__xludf.DUMMYFUNCTION("""COMPUTED_VALUE"""),"Approve")</f>
        <v>Approve</v>
      </c>
      <c r="N130" s="3" t="str">
        <f>IFERROR(__xludf.DUMMYFUNCTION("""COMPUTED_VALUE"""),"Normal")</f>
        <v>Normal</v>
      </c>
      <c r="O130" s="3" t="str">
        <f>IFERROR(__xludf.DUMMYFUNCTION("""COMPUTED_VALUE"""),"Non Urgent")</f>
        <v>Non Urgent</v>
      </c>
    </row>
    <row r="131">
      <c r="A131" s="4">
        <f>IFERROR(__xludf.DUMMYFUNCTION("""COMPUTED_VALUE"""),45737.56979324074)</f>
        <v>45737.56979</v>
      </c>
      <c r="B131" s="3" t="str">
        <f>IFERROR(__xludf.DUMMYFUNCTION("""COMPUTED_VALUE"""),"MOBBR0022")</f>
        <v>MOBBR0022</v>
      </c>
      <c r="C131" s="3" t="str">
        <f>IFERROR(__xludf.DUMMYFUNCTION("""COMPUTED_VALUE"""),"Consumable")</f>
        <v>Consumable</v>
      </c>
      <c r="D131" s="3" t="str">
        <f>IFERROR(__xludf.DUMMYFUNCTION("""COMPUTED_VALUE"""),"-")</f>
        <v>-</v>
      </c>
      <c r="E131" s="3" t="str">
        <f>IFERROR(__xludf.DUMMYFUNCTION("""COMPUTED_VALUE"""),"Panel WWTP")</f>
        <v>Panel WWTP</v>
      </c>
      <c r="F131" s="3" t="str">
        <f>IFERROR(__xludf.DUMMYFUNCTION("""COMPUTED_VALUE"""),"Pilot Lamp")</f>
        <v>Pilot Lamp</v>
      </c>
      <c r="G131" s="3" t="str">
        <f>IFERROR(__xludf.DUMMYFUNCTION("""COMPUTED_VALUE"""),"Merah 220VAC ")</f>
        <v>Merah 220VAC </v>
      </c>
      <c r="H131" s="3" t="str">
        <f>IFERROR(__xludf.DUMMYFUNCTION("""COMPUTED_VALUE"""),"Schneider")</f>
        <v>Schneider</v>
      </c>
      <c r="I131" s="3">
        <f>IFERROR(__xludf.DUMMYFUNCTION("""COMPUTED_VALUE"""),8.0)</f>
        <v>8</v>
      </c>
      <c r="J131" s="3" t="str">
        <f>IFERROR(__xludf.DUMMYFUNCTION("""COMPUTED_VALUE"""),"Pcs")</f>
        <v>Pcs</v>
      </c>
      <c r="K131" s="5" t="str">
        <f>IFERROR(__xludf.DUMMYFUNCTION("""COMPUTED_VALUE"""),"https://www.tokopedia.com/cbselectric/schneider-pilot-lamp-led-110v-ac-dc-xa2evbf1lc-pilot-lamp-22mm?aff_unique_id=&amp;channel=others&amp;chain_key=")</f>
        <v>https://www.tokopedia.com/cbselectric/schneider-pilot-lamp-led-110v-ac-dc-xa2evbf1lc-pilot-lamp-22mm?aff_unique_id=&amp;channel=others&amp;chain_key=</v>
      </c>
      <c r="L131" s="3" t="str">
        <f>IFERROR(__xludf.DUMMYFUNCTION("""COMPUTED_VALUE"""),"Stok Habis")</f>
        <v>Stok Habis</v>
      </c>
      <c r="M131" s="3" t="str">
        <f>IFERROR(__xludf.DUMMYFUNCTION("""COMPUTED_VALUE"""),"Approve")</f>
        <v>Approve</v>
      </c>
      <c r="N131" s="3" t="str">
        <f>IFERROR(__xludf.DUMMYFUNCTION("""COMPUTED_VALUE"""),"Normal")</f>
        <v>Normal</v>
      </c>
      <c r="O131" s="3" t="str">
        <f>IFERROR(__xludf.DUMMYFUNCTION("""COMPUTED_VALUE"""),"Non Urgent")</f>
        <v>Non Urgent</v>
      </c>
    </row>
    <row r="132">
      <c r="A132" s="4">
        <f>IFERROR(__xludf.DUMMYFUNCTION("""COMPUTED_VALUE"""),45737.58021100694)</f>
        <v>45737.58021</v>
      </c>
      <c r="B132" s="3" t="str">
        <f>IFERROR(__xludf.DUMMYFUNCTION("""COMPUTED_VALUE"""),"MOBBR0023")</f>
        <v>MOBBR0023</v>
      </c>
      <c r="C132" s="3" t="str">
        <f>IFERROR(__xludf.DUMMYFUNCTION("""COMPUTED_VALUE"""),"EJO")</f>
        <v>EJO</v>
      </c>
      <c r="D132" s="3" t="str">
        <f>IFERROR(__xludf.DUMMYFUNCTION("""COMPUTED_VALUE"""),"EJO/2025/02/114")</f>
        <v>EJO/2025/02/114</v>
      </c>
      <c r="E132" s="3" t="str">
        <f>IFERROR(__xludf.DUMMYFUNCTION("""COMPUTED_VALUE"""),"Server Room")</f>
        <v>Server Room</v>
      </c>
      <c r="F132" s="3" t="str">
        <f>IFERROR(__xludf.DUMMYFUNCTION("""COMPUTED_VALUE"""),"Tagging Cabble")</f>
        <v>Tagging Cabble</v>
      </c>
      <c r="G132" s="3" t="str">
        <f>IFERROR(__xludf.DUMMYFUNCTION("""COMPUTED_VALUE"""),"Label maker cable cat6A")</f>
        <v>Label maker cable cat6A</v>
      </c>
      <c r="H132" s="3" t="str">
        <f>IFERROR(__xludf.DUMMYFUNCTION("""COMPUTED_VALUE"""),"-")</f>
        <v>-</v>
      </c>
      <c r="I132" s="3">
        <f>IFERROR(__xludf.DUMMYFUNCTION("""COMPUTED_VALUE"""),20.0)</f>
        <v>20</v>
      </c>
      <c r="J132" s="3" t="str">
        <f>IFERROR(__xludf.DUMMYFUNCTION("""COMPUTED_VALUE"""),"Set")</f>
        <v>Set</v>
      </c>
      <c r="K132" s="5" t="str">
        <f>IFERROR(__xludf.DUMMYFUNCTION("""COMPUTED_VALUE"""),"https://www.blibli.com/p/label-maker-cable-cat6a-indoor-and-outdoor-labeling/ps--GUR-70048-00214")</f>
        <v>https://www.blibli.com/p/label-maker-cable-cat6a-indoor-and-outdoor-labeling/ps--GUR-70048-00214</v>
      </c>
      <c r="L132" s="3" t="str">
        <f>IFERROR(__xludf.DUMMYFUNCTION("""COMPUTED_VALUE"""),"REJECT BY MFH KARENA PERAPIHAN RUANG SERVER AKAN DILAKUKAN OLEH EKSTERNAL)")</f>
        <v>REJECT BY MFH KARENA PERAPIHAN RUANG SERVER AKAN DILAKUKAN OLEH EKSTERNAL)</v>
      </c>
      <c r="M132" s="3" t="str">
        <f>IFERROR(__xludf.DUMMYFUNCTION("""COMPUTED_VALUE"""),"Reject")</f>
        <v>Reject</v>
      </c>
      <c r="N132" s="3" t="str">
        <f>IFERROR(__xludf.DUMMYFUNCTION("""COMPUTED_VALUE"""),"Normal")</f>
        <v>Normal</v>
      </c>
      <c r="O132" s="3" t="str">
        <f>IFERROR(__xludf.DUMMYFUNCTION("""COMPUTED_VALUE"""),"Non Urgent")</f>
        <v>Non Urgent</v>
      </c>
    </row>
    <row r="133">
      <c r="A133" s="4">
        <f>IFERROR(__xludf.DUMMYFUNCTION("""COMPUTED_VALUE"""),45737.663434918984)</f>
        <v>45737.66343</v>
      </c>
      <c r="B133" s="3" t="str">
        <f>IFERROR(__xludf.DUMMYFUNCTION("""COMPUTED_VALUE"""),"SHFBR0008")</f>
        <v>SHFBR0008</v>
      </c>
      <c r="C133" s="3" t="str">
        <f>IFERROR(__xludf.DUMMYFUNCTION("""COMPUTED_VALUE"""),"EJO")</f>
        <v>EJO</v>
      </c>
      <c r="D133" s="3" t="str">
        <f>IFERROR(__xludf.DUMMYFUNCTION("""COMPUTED_VALUE"""),"EJO/2025/030153")</f>
        <v>EJO/2025/030153</v>
      </c>
      <c r="E133" s="3" t="str">
        <f>IFERROR(__xludf.DUMMYFUNCTION("""COMPUTED_VALUE"""),"Kapasitor FCU view Gallery")</f>
        <v>Kapasitor FCU view Gallery</v>
      </c>
      <c r="F133" s="3" t="str">
        <f>IFERROR(__xludf.DUMMYFUNCTION("""COMPUTED_VALUE"""),"Kapasitor  FCU View Gallery 40+2uF")</f>
        <v>Kapasitor  FCU View Gallery 40+2uF</v>
      </c>
      <c r="G133" s="3" t="str">
        <f>IFERROR(__xludf.DUMMYFUNCTION("""COMPUTED_VALUE"""),"Kapasitor 3PN15960-4 , B33335 40/85/21 40+2uF =/-5% 440 VAC  CBB65A-1 S2 BSH 50/60Hz")</f>
        <v>Kapasitor 3PN15960-4 , B33335 40/85/21 40+2uF =/-5% 440 VAC  CBB65A-1 S2 BSH 50/60Hz</v>
      </c>
      <c r="H133" s="3" t="str">
        <f>IFERROR(__xludf.DUMMYFUNCTION("""COMPUTED_VALUE"""),"Epcos")</f>
        <v>Epcos</v>
      </c>
      <c r="I133" s="3">
        <f>IFERROR(__xludf.DUMMYFUNCTION("""COMPUTED_VALUE"""),4.0)</f>
        <v>4</v>
      </c>
      <c r="J133" s="3" t="str">
        <f>IFERROR(__xludf.DUMMYFUNCTION("""COMPUTED_VALUE"""),"Pcs")</f>
        <v>Pcs</v>
      </c>
      <c r="K133" s="5" t="str">
        <f>IFERROR(__xludf.DUMMYFUNCTION("""COMPUTED_VALUE"""),"https://www.tokopedia.com/sinarabadiaircon/kapacitor-ac-40-2uf?aff_unique_id=&amp;channel=others&amp;chain_key=")</f>
        <v>https://www.tokopedia.com/sinarabadiaircon/kapacitor-ac-40-2uf?aff_unique_id=&amp;channel=others&amp;chain_key=</v>
      </c>
      <c r="L133" s="3" t="str">
        <f>IFERROR(__xludf.DUMMYFUNCTION("""COMPUTED_VALUE"""),"Kapasitor 3PN15960-4 , B33335 40/85/21 40+2uF =/-5% 440 VAC  CBB65A-1 S2 BSH 50/60Hz")</f>
        <v>Kapasitor 3PN15960-4 , B33335 40/85/21 40+2uF =/-5% 440 VAC  CBB65A-1 S2 BSH 50/60Hz</v>
      </c>
      <c r="M133" s="3" t="str">
        <f>IFERROR(__xludf.DUMMYFUNCTION("""COMPUTED_VALUE"""),"Approve")</f>
        <v>Approve</v>
      </c>
      <c r="N133" s="3" t="str">
        <f>IFERROR(__xludf.DUMMYFUNCTION("""COMPUTED_VALUE"""),"Normal")</f>
        <v>Normal</v>
      </c>
      <c r="O133" s="3" t="str">
        <f>IFERROR(__xludf.DUMMYFUNCTION("""COMPUTED_VALUE"""),"Non Urgent")</f>
        <v>Non Urgent</v>
      </c>
    </row>
    <row r="134">
      <c r="A134" s="4">
        <f>IFERROR(__xludf.DUMMYFUNCTION("""COMPUTED_VALUE"""),45737.743269907405)</f>
        <v>45737.74327</v>
      </c>
      <c r="B134" s="3" t="str">
        <f>IFERROR(__xludf.DUMMYFUNCTION("""COMPUTED_VALUE"""),"MRNBR0006")</f>
        <v>MRNBR0006</v>
      </c>
      <c r="C134" s="3" t="str">
        <f>IFERROR(__xludf.DUMMYFUNCTION("""COMPUTED_VALUE"""),"EJO")</f>
        <v>EJO</v>
      </c>
      <c r="D134" s="3" t="str">
        <f>IFERROR(__xludf.DUMMYFUNCTION("""COMPUTED_VALUE"""),"EJO/2025/02/163")</f>
        <v>EJO/2025/02/163</v>
      </c>
      <c r="E134" s="3" t="str">
        <f>IFERROR(__xludf.DUMMYFUNCTION("""COMPUTED_VALUE"""),"Jet cleaner")</f>
        <v>Jet cleaner</v>
      </c>
      <c r="F134" s="3" t="str">
        <f>IFERROR(__xludf.DUMMYFUNCTION("""COMPUTED_VALUE"""),"seal")</f>
        <v>seal</v>
      </c>
      <c r="G134" s="3" t="str">
        <f>IFERROR(__xludf.DUMMYFUNCTION("""COMPUTED_VALUE"""),"TC 20X 35X7")</f>
        <v>TC 20X 35X7</v>
      </c>
      <c r="H134" s="3" t="str">
        <f>IFERROR(__xludf.DUMMYFUNCTION("""COMPUTED_VALUE"""),"NBR")</f>
        <v>NBR</v>
      </c>
      <c r="I134" s="3">
        <f>IFERROR(__xludf.DUMMYFUNCTION("""COMPUTED_VALUE"""),2.0)</f>
        <v>2</v>
      </c>
      <c r="J134" s="3" t="str">
        <f>IFERROR(__xludf.DUMMYFUNCTION("""COMPUTED_VALUE"""),"pcs")</f>
        <v>pcs</v>
      </c>
      <c r="K134" s="5" t="str">
        <f>IFERROR(__xludf.DUMMYFUNCTION("""COMPUTED_VALUE"""),"https://www.tokopedia.com/benuaseal/oil-seal-tc-20x35x7-nbr-tc-20-35-7-nbr-tc-20-35-7-nbr-taiwan?aff_unique_id=&amp;channel=others&amp;chain_key=")</f>
        <v>https://www.tokopedia.com/benuaseal/oil-seal-tc-20x35x7-nbr-tc-20-35-7-nbr-tc-20-35-7-nbr-taiwan?aff_unique_id=&amp;channel=others&amp;chain_key=</v>
      </c>
      <c r="L134" s="3" t="str">
        <f>IFERROR(__xludf.DUMMYFUNCTION("""COMPUTED_VALUE"""),"Untuk jet cleaner")</f>
        <v>Untuk jet cleaner</v>
      </c>
      <c r="M134" s="3" t="str">
        <f>IFERROR(__xludf.DUMMYFUNCTION("""COMPUTED_VALUE"""),"Reject")</f>
        <v>Reject</v>
      </c>
      <c r="N134" s="3" t="str">
        <f>IFERROR(__xludf.DUMMYFUNCTION("""COMPUTED_VALUE"""),"Normal")</f>
        <v>Normal</v>
      </c>
      <c r="O134" s="3" t="str">
        <f>IFERROR(__xludf.DUMMYFUNCTION("""COMPUTED_VALUE"""),"Non Urgent")</f>
        <v>Non Urgent</v>
      </c>
    </row>
    <row r="135">
      <c r="A135" s="4">
        <f>IFERROR(__xludf.DUMMYFUNCTION("""COMPUTED_VALUE"""),45737.74330984953)</f>
        <v>45737.74331</v>
      </c>
      <c r="B135" s="3" t="str">
        <f>IFERROR(__xludf.DUMMYFUNCTION("""COMPUTED_VALUE"""),"MRNBR0004")</f>
        <v>MRNBR0004</v>
      </c>
      <c r="C135" s="3" t="str">
        <f>IFERROR(__xludf.DUMMYFUNCTION("""COMPUTED_VALUE"""),"EJO")</f>
        <v>EJO</v>
      </c>
      <c r="D135" s="3" t="str">
        <f>IFERROR(__xludf.DUMMYFUNCTION("""COMPUTED_VALUE"""),"EJO/2025/02/163")</f>
        <v>EJO/2025/02/163</v>
      </c>
      <c r="E135" s="3" t="str">
        <f>IFERROR(__xludf.DUMMYFUNCTION("""COMPUTED_VALUE"""),"Jet cleaner")</f>
        <v>Jet cleaner</v>
      </c>
      <c r="F135" s="3" t="str">
        <f>IFERROR(__xludf.DUMMYFUNCTION("""COMPUTED_VALUE"""),"Body crankes")</f>
        <v>Body crankes</v>
      </c>
      <c r="G135" s="3" t="str">
        <f>IFERROR(__xludf.DUMMYFUNCTION("""COMPUTED_VALUE"""),"type 10100229")</f>
        <v>type 10100229</v>
      </c>
      <c r="H135" s="3" t="str">
        <f>IFERROR(__xludf.DUMMYFUNCTION("""COMPUTED_VALUE"""),"krisbow")</f>
        <v>krisbow</v>
      </c>
      <c r="I135" s="3">
        <f>IFERROR(__xludf.DUMMYFUNCTION("""COMPUTED_VALUE"""),2.0)</f>
        <v>2</v>
      </c>
      <c r="J135" s="3" t="str">
        <f>IFERROR(__xludf.DUMMYFUNCTION("""COMPUTED_VALUE"""),"unit")</f>
        <v>unit</v>
      </c>
      <c r="K135" s="5" t="str">
        <f>IFERROR(__xludf.DUMMYFUNCTION("""COMPUTED_VALUE"""),"https://www.tokopedia.com/berkatsuksestekn/gear-box-mesin-steam-high-pressure-cleaner-10100229-krisbow-130-bar?utm_source=whatsapp&amp;utm_medium=share&amp;utm_campaign=pdp-0tlhi23r1h7e-8136186981-0")</f>
        <v>https://www.tokopedia.com/berkatsuksestekn/gear-box-mesin-steam-high-pressure-cleaner-10100229-krisbow-130-bar?utm_source=whatsapp&amp;utm_medium=share&amp;utm_campaign=pdp-0tlhi23r1h7e-8136186981-0</v>
      </c>
      <c r="L135" s="3" t="str">
        <f>IFERROR(__xludf.DUMMYFUNCTION("""COMPUTED_VALUE"""),"Untuk jet cleaner")</f>
        <v>Untuk jet cleaner</v>
      </c>
      <c r="M135" s="3" t="str">
        <f>IFERROR(__xludf.DUMMYFUNCTION("""COMPUTED_VALUE"""),"Reject")</f>
        <v>Reject</v>
      </c>
      <c r="N135" s="3" t="str">
        <f>IFERROR(__xludf.DUMMYFUNCTION("""COMPUTED_VALUE"""),"Normal")</f>
        <v>Normal</v>
      </c>
      <c r="O135" s="3" t="str">
        <f>IFERROR(__xludf.DUMMYFUNCTION("""COMPUTED_VALUE"""),"Non Urgent")</f>
        <v>Non Urgent</v>
      </c>
    </row>
    <row r="136">
      <c r="A136" s="4">
        <f>IFERROR(__xludf.DUMMYFUNCTION("""COMPUTED_VALUE"""),45737.74332421296)</f>
        <v>45737.74332</v>
      </c>
      <c r="B136" s="3" t="str">
        <f>IFERROR(__xludf.DUMMYFUNCTION("""COMPUTED_VALUE"""),"MRNBR0005")</f>
        <v>MRNBR0005</v>
      </c>
      <c r="C136" s="3" t="str">
        <f>IFERROR(__xludf.DUMMYFUNCTION("""COMPUTED_VALUE"""),"EJO")</f>
        <v>EJO</v>
      </c>
      <c r="D136" s="3" t="str">
        <f>IFERROR(__xludf.DUMMYFUNCTION("""COMPUTED_VALUE"""),"EJO/2025/02/163")</f>
        <v>EJO/2025/02/163</v>
      </c>
      <c r="E136" s="3" t="str">
        <f>IFERROR(__xludf.DUMMYFUNCTION("""COMPUTED_VALUE"""),"Jet cleaner")</f>
        <v>Jet cleaner</v>
      </c>
      <c r="F136" s="3" t="str">
        <f>IFERROR(__xludf.DUMMYFUNCTION("""COMPUTED_VALUE"""),"Bearing")</f>
        <v>Bearing</v>
      </c>
      <c r="G136" s="3" t="str">
        <f>IFERROR(__xludf.DUMMYFUNCTION("""COMPUTED_VALUE"""),"type 6303")</f>
        <v>type 6303</v>
      </c>
      <c r="H136" s="3" t="str">
        <f>IFERROR(__xludf.DUMMYFUNCTION("""COMPUTED_VALUE"""),"SKF")</f>
        <v>SKF</v>
      </c>
      <c r="I136" s="3">
        <f>IFERROR(__xludf.DUMMYFUNCTION("""COMPUTED_VALUE"""),2.0)</f>
        <v>2</v>
      </c>
      <c r="J136" s="3" t="str">
        <f>IFERROR(__xludf.DUMMYFUNCTION("""COMPUTED_VALUE"""),"pcs")</f>
        <v>pcs</v>
      </c>
      <c r="K136" s="5" t="str">
        <f>IFERROR(__xludf.DUMMYFUNCTION("""COMPUTED_VALUE"""),"https://www.tokopedia.com/tokoexkpres/bearing-6303-2rsh-skf-bearing?aff_unique_id=&amp;channel=others&amp;chain_key=")</f>
        <v>https://www.tokopedia.com/tokoexkpres/bearing-6303-2rsh-skf-bearing?aff_unique_id=&amp;channel=others&amp;chain_key=</v>
      </c>
      <c r="L136" s="3" t="str">
        <f>IFERROR(__xludf.DUMMYFUNCTION("""COMPUTED_VALUE"""),"Untuk jet cleaner")</f>
        <v>Untuk jet cleaner</v>
      </c>
      <c r="M136" s="3" t="str">
        <f>IFERROR(__xludf.DUMMYFUNCTION("""COMPUTED_VALUE"""),"Reject")</f>
        <v>Reject</v>
      </c>
      <c r="N136" s="3" t="str">
        <f>IFERROR(__xludf.DUMMYFUNCTION("""COMPUTED_VALUE"""),"Normal")</f>
        <v>Normal</v>
      </c>
      <c r="O136" s="3" t="str">
        <f>IFERROR(__xludf.DUMMYFUNCTION("""COMPUTED_VALUE"""),"Non Urgent")</f>
        <v>Non Urgent</v>
      </c>
    </row>
    <row r="137">
      <c r="A137" s="4">
        <f>IFERROR(__xludf.DUMMYFUNCTION("""COMPUTED_VALUE"""),45737.75088133102)</f>
        <v>45737.75088</v>
      </c>
      <c r="B137" s="3" t="str">
        <f>IFERROR(__xludf.DUMMYFUNCTION("""COMPUTED_VALUE"""),"MRNBR0009")</f>
        <v>MRNBR0009</v>
      </c>
      <c r="C137" s="3" t="str">
        <f>IFERROR(__xludf.DUMMYFUNCTION("""COMPUTED_VALUE"""),"EJO")</f>
        <v>EJO</v>
      </c>
      <c r="D137" s="3" t="str">
        <f>IFERROR(__xludf.DUMMYFUNCTION("""COMPUTED_VALUE"""),"EJO/2025/02/163")</f>
        <v>EJO/2025/02/163</v>
      </c>
      <c r="E137" s="3" t="str">
        <f>IFERROR(__xludf.DUMMYFUNCTION("""COMPUTED_VALUE"""),"Jet cleaner")</f>
        <v>Jet cleaner</v>
      </c>
      <c r="F137" s="3" t="str">
        <f>IFERROR(__xludf.DUMMYFUNCTION("""COMPUTED_VALUE"""),"Bearing")</f>
        <v>Bearing</v>
      </c>
      <c r="G137" s="3" t="str">
        <f>IFERROR(__xludf.DUMMYFUNCTION("""COMPUTED_VALUE"""),"629-zz")</f>
        <v>629-zz</v>
      </c>
      <c r="H137" s="3" t="str">
        <f>IFERROR(__xludf.DUMMYFUNCTION("""COMPUTED_VALUE"""),"SKF")</f>
        <v>SKF</v>
      </c>
      <c r="I137" s="3">
        <f>IFERROR(__xludf.DUMMYFUNCTION("""COMPUTED_VALUE"""),2.0)</f>
        <v>2</v>
      </c>
      <c r="J137" s="3" t="str">
        <f>IFERROR(__xludf.DUMMYFUNCTION("""COMPUTED_VALUE"""),"pcs")</f>
        <v>pcs</v>
      </c>
      <c r="K137" s="5" t="str">
        <f>IFERROR(__xludf.DUMMYFUNCTION("""COMPUTED_VALUE"""),"https://www.tokopedia.com/danielcahaya28/bearing-629-zz-tutup-besi-merk-skf-asli?aff_unique_id=&amp;channel=others&amp;chain_key=")</f>
        <v>https://www.tokopedia.com/danielcahaya28/bearing-629-zz-tutup-besi-merk-skf-asli?aff_unique_id=&amp;channel=others&amp;chain_key=</v>
      </c>
      <c r="L137" s="3" t="str">
        <f>IFERROR(__xludf.DUMMYFUNCTION("""COMPUTED_VALUE"""),"Untuk jet cleaner")</f>
        <v>Untuk jet cleaner</v>
      </c>
      <c r="M137" s="3" t="str">
        <f>IFERROR(__xludf.DUMMYFUNCTION("""COMPUTED_VALUE"""),"Approve")</f>
        <v>Approve</v>
      </c>
      <c r="N137" s="3" t="str">
        <f>IFERROR(__xludf.DUMMYFUNCTION("""COMPUTED_VALUE"""),"Normal")</f>
        <v>Normal</v>
      </c>
      <c r="O137" s="3" t="str">
        <f>IFERROR(__xludf.DUMMYFUNCTION("""COMPUTED_VALUE"""),"Non Urgent")</f>
        <v>Non Urgent</v>
      </c>
    </row>
    <row r="138">
      <c r="A138" s="4">
        <f>IFERROR(__xludf.DUMMYFUNCTION("""COMPUTED_VALUE"""),45737.75529385416)</f>
        <v>45737.75529</v>
      </c>
      <c r="B138" s="3" t="str">
        <f>IFERROR(__xludf.DUMMYFUNCTION("""COMPUTED_VALUE"""),"MRNBR0010")</f>
        <v>MRNBR0010</v>
      </c>
      <c r="C138" s="3" t="str">
        <f>IFERROR(__xludf.DUMMYFUNCTION("""COMPUTED_VALUE"""),"EJO")</f>
        <v>EJO</v>
      </c>
      <c r="D138" s="3" t="str">
        <f>IFERROR(__xludf.DUMMYFUNCTION("""COMPUTED_VALUE"""),"EJO/2025/02/163")</f>
        <v>EJO/2025/02/163</v>
      </c>
      <c r="E138" s="3" t="str">
        <f>IFERROR(__xludf.DUMMYFUNCTION("""COMPUTED_VALUE"""),"Pressure switch jet cleaner")</f>
        <v>Pressure switch jet cleaner</v>
      </c>
      <c r="F138" s="3" t="str">
        <f>IFERROR(__xludf.DUMMYFUNCTION("""COMPUTED_VALUE"""),"Seal Oring")</f>
        <v>Seal Oring</v>
      </c>
      <c r="G138" s="3" t="str">
        <f>IFERROR(__xludf.DUMMYFUNCTION("""COMPUTED_VALUE"""),"2mm - 22mm")</f>
        <v>2mm - 22mm</v>
      </c>
      <c r="H138" s="3" t="str">
        <f>IFERROR(__xludf.DUMMYFUNCTION("""COMPUTED_VALUE"""),"HNBR")</f>
        <v>HNBR</v>
      </c>
      <c r="I138" s="3">
        <f>IFERROR(__xludf.DUMMYFUNCTION("""COMPUTED_VALUE"""),1.0)</f>
        <v>1</v>
      </c>
      <c r="J138" s="3" t="str">
        <f>IFERROR(__xludf.DUMMYFUNCTION("""COMPUTED_VALUE"""),"paket")</f>
        <v>paket</v>
      </c>
      <c r="K138" s="5" t="str">
        <f>IFERROR(__xludf.DUMMYFUNCTION("""COMPUTED_VALUE"""),"https://www.tokopedia.com/huhu778/karet-seal-o-ring-1200pcs-hnbr-rubber-o-ring-seal-tightening-box-225pcs-83158?aff_unique_id=&amp;channel=others&amp;chain_key=")</f>
        <v>https://www.tokopedia.com/huhu778/karet-seal-o-ring-1200pcs-hnbr-rubber-o-ring-seal-tightening-box-225pcs-83158?aff_unique_id=&amp;channel=others&amp;chain_key=</v>
      </c>
      <c r="L138" s="3" t="str">
        <f>IFERROR(__xludf.DUMMYFUNCTION("""COMPUTED_VALUE"""),"Untuk pressure switch jet cleaner (REJECT BY MFH, MOHON BANTUANNYA UNTUK UKUR KEBUTUHAN ORING EKSISTING AGAR DIBELIKAN YANG SAMA)")</f>
        <v>Untuk pressure switch jet cleaner (REJECT BY MFH, MOHON BANTUANNYA UNTUK UKUR KEBUTUHAN ORING EKSISTING AGAR DIBELIKAN YANG SAMA)</v>
      </c>
      <c r="M138" s="3" t="str">
        <f>IFERROR(__xludf.DUMMYFUNCTION("""COMPUTED_VALUE"""),"Reject")</f>
        <v>Reject</v>
      </c>
      <c r="N138" s="3" t="str">
        <f>IFERROR(__xludf.DUMMYFUNCTION("""COMPUTED_VALUE"""),"Normal")</f>
        <v>Normal</v>
      </c>
      <c r="O138" s="3" t="str">
        <f>IFERROR(__xludf.DUMMYFUNCTION("""COMPUTED_VALUE"""),"Non Urgent")</f>
        <v>Non Urgent</v>
      </c>
    </row>
    <row r="139">
      <c r="A139" s="4">
        <f>IFERROR(__xludf.DUMMYFUNCTION("""COMPUTED_VALUE"""),45745.66352459491)</f>
        <v>45745.66352</v>
      </c>
      <c r="B139" s="3" t="str">
        <f>IFERROR(__xludf.DUMMYFUNCTION("""COMPUTED_VALUE"""),"RIABR0027")</f>
        <v>RIABR0027</v>
      </c>
      <c r="C139" s="3" t="str">
        <f>IFERROR(__xludf.DUMMYFUNCTION("""COMPUTED_VALUE"""),"Consumable")</f>
        <v>Consumable</v>
      </c>
      <c r="D139" s="3" t="str">
        <f>IFERROR(__xludf.DUMMYFUNCTION("""COMPUTED_VALUE"""),"-")</f>
        <v>-</v>
      </c>
      <c r="E139" s="3" t="str">
        <f>IFERROR(__xludf.DUMMYFUNCTION("""COMPUTED_VALUE"""),"CC API")</f>
        <v>CC API</v>
      </c>
      <c r="F139" s="3" t="str">
        <f>IFERROR(__xludf.DUMMYFUNCTION("""COMPUTED_VALUE"""),"Relay")</f>
        <v>Relay</v>
      </c>
      <c r="G139" s="3" t="str">
        <f>IFERROR(__xludf.DUMMYFUNCTION("""COMPUTED_VALUE"""),"Omron MKS2P 220VAC + Socket")</f>
        <v>Omron MKS2P 220VAC + Socket</v>
      </c>
      <c r="H139" s="3" t="str">
        <f>IFERROR(__xludf.DUMMYFUNCTION("""COMPUTED_VALUE"""),"Omron")</f>
        <v>Omron</v>
      </c>
      <c r="I139" s="3">
        <f>IFERROR(__xludf.DUMMYFUNCTION("""COMPUTED_VALUE"""),1.0)</f>
        <v>1</v>
      </c>
      <c r="J139" s="3" t="str">
        <f>IFERROR(__xludf.DUMMYFUNCTION("""COMPUTED_VALUE"""),"Set")</f>
        <v>Set</v>
      </c>
      <c r="K139" s="5" t="str">
        <f>IFERROR(__xludf.DUMMYFUNCTION("""COMPUTED_VALUE"""),"https://www.tokopedia.com/hasby-electrik/relay-omron-mks2p-soket-220-24-12-vdc-original-omron-12vdc-socket-b011d?extParam=ivf%3Dfalse%26keyword%3Domron+mks2p%26search_id%3D202503290853445470E0E48AAF541EBK14%26src%3Dsearch")</f>
        <v>https://www.tokopedia.com/hasby-electrik/relay-omron-mks2p-soket-220-24-12-vdc-original-omron-12vdc-socket-b011d?extParam=ivf%3Dfalse%26keyword%3Domron+mks2p%26search_id%3D202503290853445470E0E48AAF541EBK14%26src%3Dsearch</v>
      </c>
      <c r="L139" s="3" t="str">
        <f>IFERROR(__xludf.DUMMYFUNCTION("""COMPUTED_VALUE"""),"Ini pernah beli tapi tak cek di Re Order tidak muncul typenya. Tak buat di baru ya, dan tak buat consumable ya karena no ejo belum ada. ")</f>
        <v>Ini pernah beli tapi tak cek di Re Order tidak muncul typenya. Tak buat di baru ya, dan tak buat consumable ya karena no ejo belum ada. </v>
      </c>
      <c r="M139" s="3" t="str">
        <f>IFERROR(__xludf.DUMMYFUNCTION("""COMPUTED_VALUE"""),"Approve")</f>
        <v>Approve</v>
      </c>
      <c r="N139" s="3" t="str">
        <f>IFERROR(__xludf.DUMMYFUNCTION("""COMPUTED_VALUE"""),"Normal")</f>
        <v>Normal</v>
      </c>
      <c r="O139" s="3" t="str">
        <f>IFERROR(__xludf.DUMMYFUNCTION("""COMPUTED_VALUE"""),"Non Urgent")</f>
        <v>Non Urgent</v>
      </c>
    </row>
    <row r="140">
      <c r="A140" s="4">
        <f>IFERROR(__xludf.DUMMYFUNCTION("""COMPUTED_VALUE"""),45755.445092766204)</f>
        <v>45755.44509</v>
      </c>
      <c r="B140" s="3" t="str">
        <f>IFERROR(__xludf.DUMMYFUNCTION("""COMPUTED_VALUE"""),"MFHBR0001")</f>
        <v>MFHBR0001</v>
      </c>
      <c r="C140" s="3" t="str">
        <f>IFERROR(__xludf.DUMMYFUNCTION("""COMPUTED_VALUE"""),"Critical Part")</f>
        <v>Critical Part</v>
      </c>
      <c r="D140" s="3" t="str">
        <f>IFERROR(__xludf.DUMMYFUNCTION("""COMPUTED_VALUE"""),"-")</f>
        <v>-</v>
      </c>
      <c r="E140" s="3" t="str">
        <f>IFERROR(__xludf.DUMMYFUNCTION("""COMPUTED_VALUE"""),"Filling")</f>
        <v>Filling</v>
      </c>
      <c r="F140" s="3" t="str">
        <f>IFERROR(__xludf.DUMMYFUNCTION("""COMPUTED_VALUE"""),"Weighing Load Cell SL250/300-M")</f>
        <v>Weighing Load Cell SL250/300-M</v>
      </c>
      <c r="G140" s="3" t="str">
        <f>IFERROR(__xludf.DUMMYFUNCTION("""COMPUTED_VALUE"""),"-")</f>
        <v>-</v>
      </c>
      <c r="H140" s="3" t="str">
        <f>IFERROR(__xludf.DUMMYFUNCTION("""COMPUTED_VALUE"""),"Wipotec")</f>
        <v>Wipotec</v>
      </c>
      <c r="I140" s="3">
        <f>IFERROR(__xludf.DUMMYFUNCTION("""COMPUTED_VALUE"""),1.0)</f>
        <v>1</v>
      </c>
      <c r="J140" s="3" t="str">
        <f>IFERROR(__xludf.DUMMYFUNCTION("""COMPUTED_VALUE"""),"Pc")</f>
        <v>Pc</v>
      </c>
      <c r="K140" s="3" t="str">
        <f>IFERROR(__xludf.DUMMYFUNCTION("""COMPUTED_VALUE"""),"-")</f>
        <v>-</v>
      </c>
      <c r="L140" s="3" t="str">
        <f>IFERROR(__xludf.DUMMYFUNCTION("""COMPUTED_VALUE"""),"PR 121702500")</f>
        <v>PR 121702500</v>
      </c>
      <c r="M140" s="3" t="str">
        <f>IFERROR(__xludf.DUMMYFUNCTION("""COMPUTED_VALUE"""),"Waiting")</f>
        <v>Waiting</v>
      </c>
      <c r="N140" s="3" t="str">
        <f>IFERROR(__xludf.DUMMYFUNCTION("""COMPUTED_VALUE"""),"Waiting")</f>
        <v>Waiting</v>
      </c>
      <c r="O140" s="3" t="str">
        <f>IFERROR(__xludf.DUMMYFUNCTION("""COMPUTED_VALUE"""),"Non Urgent")</f>
        <v>Non Urgent</v>
      </c>
    </row>
    <row r="141">
      <c r="A141" s="4">
        <f>IFERROR(__xludf.DUMMYFUNCTION("""COMPUTED_VALUE"""),45755.95656618055)</f>
        <v>45755.95657</v>
      </c>
      <c r="B141" s="3" t="str">
        <f>IFERROR(__xludf.DUMMYFUNCTION("""COMPUTED_VALUE"""),"AAABR0002")</f>
        <v>AAABR0002</v>
      </c>
      <c r="C141" s="3" t="str">
        <f>IFERROR(__xludf.DUMMYFUNCTION("""COMPUTED_VALUE"""),"Critical Part")</f>
        <v>Critical Part</v>
      </c>
      <c r="D141" s="3" t="str">
        <f>IFERROR(__xludf.DUMMYFUNCTION("""COMPUTED_VALUE"""),"NA")</f>
        <v>NA</v>
      </c>
      <c r="E141" s="3" t="str">
        <f>IFERROR(__xludf.DUMMYFUNCTION("""COMPUTED_VALUE"""),"HPLC")</f>
        <v>HPLC</v>
      </c>
      <c r="F141" s="3" t="str">
        <f>IFERROR(__xludf.DUMMYFUNCTION("""COMPUTED_VALUE"""),"Filter Flag 2998")</f>
        <v>Filter Flag 2998</v>
      </c>
      <c r="G141" s="3" t="str">
        <f>IFERROR(__xludf.DUMMYFUNCTION("""COMPUTED_VALUE"""),"P/N 700003767 ; 2998 ; Classic")</f>
        <v>P/N 700003767 ; 2998 ; Classic</v>
      </c>
      <c r="H141" s="3" t="str">
        <f>IFERROR(__xludf.DUMMYFUNCTION("""COMPUTED_VALUE"""),"Waters")</f>
        <v>Waters</v>
      </c>
      <c r="I141" s="3">
        <f>IFERROR(__xludf.DUMMYFUNCTION("""COMPUTED_VALUE"""),2.0)</f>
        <v>2</v>
      </c>
      <c r="J141" s="3" t="str">
        <f>IFERROR(__xludf.DUMMYFUNCTION("""COMPUTED_VALUE"""),"Set")</f>
        <v>Set</v>
      </c>
      <c r="K141" s="5" t="str">
        <f>IFERROR(__xludf.DUMMYFUNCTION("""COMPUTED_VALUE"""),"https://drive.google.com/file/d/15wxOfezM1IIjxnSyYC0rywqKfxpYZIrg/view?usp=drive_link")</f>
        <v>https://drive.google.com/file/d/15wxOfezM1IIjxnSyYC0rywqKfxpYZIrg/view?usp=drive_link</v>
      </c>
      <c r="L141" s="3" t="str">
        <f>IFERROR(__xludf.DUMMYFUNCTION("""COMPUTED_VALUE"""),"Needed Date : 08-May-25")</f>
        <v>Needed Date : 08-May-25</v>
      </c>
      <c r="M141" s="3" t="str">
        <f>IFERROR(__xludf.DUMMYFUNCTION("""COMPUTED_VALUE"""),"Approve")</f>
        <v>Approve</v>
      </c>
      <c r="N141" s="3" t="str">
        <f>IFERROR(__xludf.DUMMYFUNCTION("""COMPUTED_VALUE"""),"Normal")</f>
        <v>Normal</v>
      </c>
      <c r="O141" s="3" t="str">
        <f>IFERROR(__xludf.DUMMYFUNCTION("""COMPUTED_VALUE"""),"Non Urgent")</f>
        <v>Non Urgent</v>
      </c>
    </row>
    <row r="142">
      <c r="A142" s="4">
        <f>IFERROR(__xludf.DUMMYFUNCTION("""COMPUTED_VALUE"""),45756.227532453704)</f>
        <v>45756.22753</v>
      </c>
      <c r="B142" s="3" t="str">
        <f>IFERROR(__xludf.DUMMYFUNCTION("""COMPUTED_VALUE"""),"MFHBR0002")</f>
        <v>MFHBR0002</v>
      </c>
      <c r="C142" s="3" t="str">
        <f>IFERROR(__xludf.DUMMYFUNCTION("""COMPUTED_VALUE"""),"Critical Part")</f>
        <v>Critical Part</v>
      </c>
      <c r="D142" s="3" t="str">
        <f>IFERROR(__xludf.DUMMYFUNCTION("""COMPUTED_VALUE"""),"-")</f>
        <v>-</v>
      </c>
      <c r="E142" s="3" t="str">
        <f>IFERROR(__xludf.DUMMYFUNCTION("""COMPUTED_VALUE"""),"N2 Gen")</f>
        <v>N2 Gen</v>
      </c>
      <c r="F142" s="3" t="str">
        <f>IFERROR(__xludf.DUMMYFUNCTION("""COMPUTED_VALUE"""),"Booster Regulator")</f>
        <v>Booster Regulator</v>
      </c>
      <c r="G142" s="3" t="str">
        <f>IFERROR(__xludf.DUMMYFUNCTION("""COMPUTED_VALUE"""),"BVA40A-04GN")</f>
        <v>BVA40A-04GN</v>
      </c>
      <c r="H142" s="3" t="str">
        <f>IFERROR(__xludf.DUMMYFUNCTION("""COMPUTED_VALUE"""),"SMC")</f>
        <v>SMC</v>
      </c>
      <c r="I142" s="3">
        <f>IFERROR(__xludf.DUMMYFUNCTION("""COMPUTED_VALUE"""),1.0)</f>
        <v>1</v>
      </c>
      <c r="J142" s="3" t="str">
        <f>IFERROR(__xludf.DUMMYFUNCTION("""COMPUTED_VALUE"""),"Unt")</f>
        <v>Unt</v>
      </c>
      <c r="K142" s="3" t="str">
        <f>IFERROR(__xludf.DUMMYFUNCTION("""COMPUTED_VALUE"""),"Email Pak Kris")</f>
        <v>Email Pak Kris</v>
      </c>
      <c r="L142" s="3" t="str">
        <f>IFERROR(__xludf.DUMMYFUNCTION("""COMPUTED_VALUE"""),"-")</f>
        <v>-</v>
      </c>
      <c r="M142" s="3" t="str">
        <f>IFERROR(__xludf.DUMMYFUNCTION("""COMPUTED_VALUE"""),"Approve")</f>
        <v>Approve</v>
      </c>
      <c r="N142" s="3" t="str">
        <f>IFERROR(__xludf.DUMMYFUNCTION("""COMPUTED_VALUE"""),"Normal")</f>
        <v>Normal</v>
      </c>
      <c r="O142" s="3" t="str">
        <f>IFERROR(__xludf.DUMMYFUNCTION("""COMPUTED_VALUE"""),"Non Urgent")</f>
        <v>Non Urgent</v>
      </c>
    </row>
    <row r="143">
      <c r="A143" s="4">
        <f>IFERROR(__xludf.DUMMYFUNCTION("""COMPUTED_VALUE"""),45756.2289671412)</f>
        <v>45756.22897</v>
      </c>
      <c r="B143" s="3" t="str">
        <f>IFERROR(__xludf.DUMMYFUNCTION("""COMPUTED_VALUE"""),"MFHBR0003")</f>
        <v>MFHBR0003</v>
      </c>
      <c r="C143" s="3" t="str">
        <f>IFERROR(__xludf.DUMMYFUNCTION("""COMPUTED_VALUE"""),"Critical Part")</f>
        <v>Critical Part</v>
      </c>
      <c r="D143" s="3" t="str">
        <f>IFERROR(__xludf.DUMMYFUNCTION("""COMPUTED_VALUE"""),"-")</f>
        <v>-</v>
      </c>
      <c r="E143" s="3" t="str">
        <f>IFERROR(__xludf.DUMMYFUNCTION("""COMPUTED_VALUE"""),"N2 Gen")</f>
        <v>N2 Gen</v>
      </c>
      <c r="F143" s="3" t="str">
        <f>IFERROR(__xludf.DUMMYFUNCTION("""COMPUTED_VALUE"""),"Air Tank")</f>
        <v>Air Tank</v>
      </c>
      <c r="G143" s="3" t="str">
        <f>IFERROR(__xludf.DUMMYFUNCTION("""COMPUTED_VALUE"""),"VBAT38A-RV-Q")</f>
        <v>VBAT38A-RV-Q</v>
      </c>
      <c r="H143" s="3" t="str">
        <f>IFERROR(__xludf.DUMMYFUNCTION("""COMPUTED_VALUE"""),"SMC")</f>
        <v>SMC</v>
      </c>
      <c r="I143" s="3">
        <f>IFERROR(__xludf.DUMMYFUNCTION("""COMPUTED_VALUE"""),1.0)</f>
        <v>1</v>
      </c>
      <c r="J143" s="3" t="str">
        <f>IFERROR(__xludf.DUMMYFUNCTION("""COMPUTED_VALUE"""),"Unt")</f>
        <v>Unt</v>
      </c>
      <c r="K143" s="3" t="str">
        <f>IFERROR(__xludf.DUMMYFUNCTION("""COMPUTED_VALUE"""),"Email Pak Kris")</f>
        <v>Email Pak Kris</v>
      </c>
      <c r="L143" s="3" t="str">
        <f>IFERROR(__xludf.DUMMYFUNCTION("""COMPUTED_VALUE"""),"-")</f>
        <v>-</v>
      </c>
      <c r="M143" s="3" t="str">
        <f>IFERROR(__xludf.DUMMYFUNCTION("""COMPUTED_VALUE"""),"Approve")</f>
        <v>Approve</v>
      </c>
      <c r="N143" s="3" t="str">
        <f>IFERROR(__xludf.DUMMYFUNCTION("""COMPUTED_VALUE"""),"Normal")</f>
        <v>Normal</v>
      </c>
      <c r="O143" s="3" t="str">
        <f>IFERROR(__xludf.DUMMYFUNCTION("""COMPUTED_VALUE"""),"Non Urgent")</f>
        <v>Non Urgent</v>
      </c>
    </row>
    <row r="144">
      <c r="A144" s="4">
        <f>IFERROR(__xludf.DUMMYFUNCTION("""COMPUTED_VALUE"""),45756.22941479166)</f>
        <v>45756.22941</v>
      </c>
      <c r="B144" s="3" t="str">
        <f>IFERROR(__xludf.DUMMYFUNCTION("""COMPUTED_VALUE"""),"MFHBR0004")</f>
        <v>MFHBR0004</v>
      </c>
      <c r="C144" s="3" t="str">
        <f>IFERROR(__xludf.DUMMYFUNCTION("""COMPUTED_VALUE"""),"Critical Part")</f>
        <v>Critical Part</v>
      </c>
      <c r="D144" s="3" t="str">
        <f>IFERROR(__xludf.DUMMYFUNCTION("""COMPUTED_VALUE"""),"-")</f>
        <v>-</v>
      </c>
      <c r="E144" s="3" t="str">
        <f>IFERROR(__xludf.DUMMYFUNCTION("""COMPUTED_VALUE"""),"N2 Gen")</f>
        <v>N2 Gen</v>
      </c>
      <c r="F144" s="3" t="str">
        <f>IFERROR(__xludf.DUMMYFUNCTION("""COMPUTED_VALUE"""),"Air Filter")</f>
        <v>Air Filter</v>
      </c>
      <c r="G144" s="3" t="str">
        <f>IFERROR(__xludf.DUMMYFUNCTION("""COMPUTED_VALUE"""),"AM40-04BD-D")</f>
        <v>AM40-04BD-D</v>
      </c>
      <c r="H144" s="3" t="str">
        <f>IFERROR(__xludf.DUMMYFUNCTION("""COMPUTED_VALUE"""),"SMC")</f>
        <v>SMC</v>
      </c>
      <c r="I144" s="3">
        <f>IFERROR(__xludf.DUMMYFUNCTION("""COMPUTED_VALUE"""),1.0)</f>
        <v>1</v>
      </c>
      <c r="J144" s="3" t="str">
        <f>IFERROR(__xludf.DUMMYFUNCTION("""COMPUTED_VALUE"""),"Unt")</f>
        <v>Unt</v>
      </c>
      <c r="K144" s="3" t="str">
        <f>IFERROR(__xludf.DUMMYFUNCTION("""COMPUTED_VALUE"""),"Email Pak Kris")</f>
        <v>Email Pak Kris</v>
      </c>
      <c r="L144" s="3" t="str">
        <f>IFERROR(__xludf.DUMMYFUNCTION("""COMPUTED_VALUE"""),"-")</f>
        <v>-</v>
      </c>
      <c r="M144" s="3" t="str">
        <f>IFERROR(__xludf.DUMMYFUNCTION("""COMPUTED_VALUE"""),"Approve")</f>
        <v>Approve</v>
      </c>
      <c r="N144" s="3" t="str">
        <f>IFERROR(__xludf.DUMMYFUNCTION("""COMPUTED_VALUE"""),"Normal")</f>
        <v>Normal</v>
      </c>
      <c r="O144" s="3" t="str">
        <f>IFERROR(__xludf.DUMMYFUNCTION("""COMPUTED_VALUE"""),"Non Urgent")</f>
        <v>Non Urgent</v>
      </c>
    </row>
    <row r="145">
      <c r="A145" s="4">
        <f>IFERROR(__xludf.DUMMYFUNCTION("""COMPUTED_VALUE"""),45756.233581215274)</f>
        <v>45756.23358</v>
      </c>
      <c r="B145" s="3" t="str">
        <f>IFERROR(__xludf.DUMMYFUNCTION("""COMPUTED_VALUE"""),"MFHBR0005")</f>
        <v>MFHBR0005</v>
      </c>
      <c r="C145" s="3" t="str">
        <f>IFERROR(__xludf.DUMMYFUNCTION("""COMPUTED_VALUE"""),"Critical Part")</f>
        <v>Critical Part</v>
      </c>
      <c r="D145" s="3" t="str">
        <f>IFERROR(__xludf.DUMMYFUNCTION("""COMPUTED_VALUE"""),"-")</f>
        <v>-</v>
      </c>
      <c r="E145" s="3" t="str">
        <f>IFERROR(__xludf.DUMMYFUNCTION("""COMPUTED_VALUE"""),"Mixer SMBS")</f>
        <v>Mixer SMBS</v>
      </c>
      <c r="F145" s="3" t="str">
        <f>IFERROR(__xludf.DUMMYFUNCTION("""COMPUTED_VALUE"""),"Kopling Adapter")</f>
        <v>Kopling Adapter</v>
      </c>
      <c r="G145" s="3" t="str">
        <f>IFERROR(__xludf.DUMMYFUNCTION("""COMPUTED_VALUE"""),"Shaft 30x100mm")</f>
        <v>Shaft 30x100mm</v>
      </c>
      <c r="H145" s="3" t="str">
        <f>IFERROR(__xludf.DUMMYFUNCTION("""COMPUTED_VALUE"""),"Custom")</f>
        <v>Custom</v>
      </c>
      <c r="I145" s="3">
        <f>IFERROR(__xludf.DUMMYFUNCTION("""COMPUTED_VALUE"""),1.0)</f>
        <v>1</v>
      </c>
      <c r="J145" s="3" t="str">
        <f>IFERROR(__xludf.DUMMYFUNCTION("""COMPUTED_VALUE"""),"Pc")</f>
        <v>Pc</v>
      </c>
      <c r="K145" s="3" t="str">
        <f>IFERROR(__xludf.DUMMYFUNCTION("""COMPUTED_VALUE"""),"WA Pak Kris")</f>
        <v>WA Pak Kris</v>
      </c>
      <c r="L145" s="3" t="str">
        <f>IFERROR(__xludf.DUMMYFUNCTION("""COMPUTED_VALUE"""),"P-19777-00")</f>
        <v>P-19777-00</v>
      </c>
      <c r="M145" s="3" t="str">
        <f>IFERROR(__xludf.DUMMYFUNCTION("""COMPUTED_VALUE"""),"Approve")</f>
        <v>Approve</v>
      </c>
      <c r="N145" s="3" t="str">
        <f>IFERROR(__xludf.DUMMYFUNCTION("""COMPUTED_VALUE"""),"Normal")</f>
        <v>Normal</v>
      </c>
      <c r="O145" s="3" t="str">
        <f>IFERROR(__xludf.DUMMYFUNCTION("""COMPUTED_VALUE"""),"Non Urgent")</f>
        <v>Non Urgent</v>
      </c>
    </row>
    <row r="146">
      <c r="A146" s="4">
        <f>IFERROR(__xludf.DUMMYFUNCTION("""COMPUTED_VALUE"""),45756.62530702546)</f>
        <v>45756.62531</v>
      </c>
      <c r="B146" s="3" t="str">
        <f>IFERROR(__xludf.DUMMYFUNCTION("""COMPUTED_VALUE"""),"NDSBR0009")</f>
        <v>NDSBR0009</v>
      </c>
      <c r="C146" s="3" t="str">
        <f>IFERROR(__xludf.DUMMYFUNCTION("""COMPUTED_VALUE"""),"EJO")</f>
        <v>EJO</v>
      </c>
      <c r="D146" s="3" t="str">
        <f>IFERROR(__xludf.DUMMYFUNCTION("""COMPUTED_VALUE"""),"EJO/2025/04/02")</f>
        <v>EJO/2025/04/02</v>
      </c>
      <c r="E146" s="3" t="str">
        <f>IFERROR(__xludf.DUMMYFUNCTION("""COMPUTED_VALUE"""),"PC Newtronic")</f>
        <v>PC Newtronic</v>
      </c>
      <c r="F146" s="3" t="str">
        <f>IFERROR(__xludf.DUMMYFUNCTION("""COMPUTED_VALUE"""),"Hub Switch")</f>
        <v>Hub Switch</v>
      </c>
      <c r="G146" s="3" t="str">
        <f>IFERROR(__xludf.DUMMYFUNCTION("""COMPUTED_VALUE"""),"Linksys 24 port")</f>
        <v>Linksys 24 port</v>
      </c>
      <c r="H146" s="3" t="str">
        <f>IFERROR(__xludf.DUMMYFUNCTION("""COMPUTED_VALUE"""),"linksys")</f>
        <v>linksys</v>
      </c>
      <c r="I146" s="3">
        <f>IFERROR(__xludf.DUMMYFUNCTION("""COMPUTED_VALUE"""),1.0)</f>
        <v>1</v>
      </c>
      <c r="J146" s="3" t="str">
        <f>IFERROR(__xludf.DUMMYFUNCTION("""COMPUTED_VALUE"""),"Pcs")</f>
        <v>Pcs</v>
      </c>
      <c r="K146" s="5" t="str">
        <f>IFERROR(__xludf.DUMMYFUNCTION("""COMPUTED_VALUE"""),"https://drive.google.com/file/d/1MfEhLKT7TdaZMFerzojf_rYRPGsNRRcd/view?usp=drive_link")</f>
        <v>https://drive.google.com/file/d/1MfEhLKT7TdaZMFerzojf_rYRPGsNRRcd/view?usp=drive_link</v>
      </c>
      <c r="L146" s="3" t="str">
        <f>IFERROR(__xludf.DUMMYFUNCTION("""COMPUTED_VALUE"""),"Sudah ada penawaran di form Penawaran NDS")</f>
        <v>Sudah ada penawaran di form Penawaran NDS</v>
      </c>
      <c r="M146" s="3" t="str">
        <f>IFERROR(__xludf.DUMMYFUNCTION("""COMPUTED_VALUE"""),"Approve")</f>
        <v>Approve</v>
      </c>
      <c r="N146" s="3" t="str">
        <f>IFERROR(__xludf.DUMMYFUNCTION("""COMPUTED_VALUE"""),"Normal")</f>
        <v>Normal</v>
      </c>
      <c r="O146" s="3" t="str">
        <f>IFERROR(__xludf.DUMMYFUNCTION("""COMPUTED_VALUE"""),"Non Urgent")</f>
        <v>Non Urgent</v>
      </c>
    </row>
    <row r="147">
      <c r="A147" s="4">
        <f>IFERROR(__xludf.DUMMYFUNCTION("""COMPUTED_VALUE"""),45757.62361649305)</f>
        <v>45757.62362</v>
      </c>
      <c r="B147" s="3" t="str">
        <f>IFERROR(__xludf.DUMMYFUNCTION("""COMPUTED_VALUE"""),"MRNBR0011")</f>
        <v>MRNBR0011</v>
      </c>
      <c r="C147" s="3" t="str">
        <f>IFERROR(__xludf.DUMMYFUNCTION("""COMPUTED_VALUE"""),"EJO")</f>
        <v>EJO</v>
      </c>
      <c r="D147" s="3" t="str">
        <f>IFERROR(__xludf.DUMMYFUNCTION("""COMPUTED_VALUE"""),"EJO/2025/01/35")</f>
        <v>EJO/2025/01/35</v>
      </c>
      <c r="E147" s="3" t="str">
        <f>IFERROR(__xludf.DUMMYFUNCTION("""COMPUTED_VALUE"""),"AHU")</f>
        <v>AHU</v>
      </c>
      <c r="F147" s="3" t="str">
        <f>IFERROR(__xludf.DUMMYFUNCTION("""COMPUTED_VALUE"""),"Tangga fiber")</f>
        <v>Tangga fiber</v>
      </c>
      <c r="G147" s="3" t="str">
        <f>IFERROR(__xludf.DUMMYFUNCTION("""COMPUTED_VALUE"""),"2.5 meter")</f>
        <v>2.5 meter</v>
      </c>
      <c r="H147" s="3" t="str">
        <f>IFERROR(__xludf.DUMMYFUNCTION("""COMPUTED_VALUE"""),"werner")</f>
        <v>werner</v>
      </c>
      <c r="I147" s="3">
        <f>IFERROR(__xludf.DUMMYFUNCTION("""COMPUTED_VALUE"""),2.0)</f>
        <v>2</v>
      </c>
      <c r="J147" s="3" t="str">
        <f>IFERROR(__xludf.DUMMYFUNCTION("""COMPUTED_VALUE"""),"unit")</f>
        <v>unit</v>
      </c>
      <c r="K147" s="5" t="str">
        <f>IFERROR(__xludf.DUMMYFUNCTION("""COMPUTED_VALUE"""),"https://www.tokopedia.com/qisacc/werner-tangga-fiber-glass-8-step-2-4-mtr-hijau")</f>
        <v>https://www.tokopedia.com/qisacc/werner-tangga-fiber-glass-8-step-2-4-mtr-hijau</v>
      </c>
      <c r="L147" s="3" t="str">
        <f>IFERROR(__xludf.DUMMYFUNCTION("""COMPUTED_VALUE"""),"untuk engineering")</f>
        <v>untuk engineering</v>
      </c>
      <c r="M147" s="3" t="str">
        <f>IFERROR(__xludf.DUMMYFUNCTION("""COMPUTED_VALUE"""),"Reject")</f>
        <v>Reject</v>
      </c>
      <c r="N147" s="3" t="str">
        <f>IFERROR(__xludf.DUMMYFUNCTION("""COMPUTED_VALUE"""),"Normal")</f>
        <v>Normal</v>
      </c>
      <c r="O147" s="3" t="str">
        <f>IFERROR(__xludf.DUMMYFUNCTION("""COMPUTED_VALUE"""),"Non Urgent")</f>
        <v>Non Urgent</v>
      </c>
    </row>
    <row r="148">
      <c r="A148" s="4">
        <f>IFERROR(__xludf.DUMMYFUNCTION("""COMPUTED_VALUE"""),45758.646417303244)</f>
        <v>45758.64642</v>
      </c>
      <c r="B148" s="3" t="str">
        <f>IFERROR(__xludf.DUMMYFUNCTION("""COMPUTED_VALUE"""),"INNBR0017")</f>
        <v>INNBR0017</v>
      </c>
      <c r="C148" s="3" t="str">
        <f>IFERROR(__xludf.DUMMYFUNCTION("""COMPUTED_VALUE"""),"EJO")</f>
        <v>EJO</v>
      </c>
      <c r="D148" s="3" t="str">
        <f>IFERROR(__xludf.DUMMYFUNCTION("""COMPUTED_VALUE"""),"EJO/2025/03/123")</f>
        <v>EJO/2025/03/123</v>
      </c>
      <c r="E148" s="3" t="str">
        <f>IFERROR(__xludf.DUMMYFUNCTION("""COMPUTED_VALUE"""),"FD")</f>
        <v>FD</v>
      </c>
      <c r="F148" s="3" t="str">
        <f>IFERROR(__xludf.DUMMYFUNCTION("""COMPUTED_VALUE"""),"SIlica gel warna biru")</f>
        <v>SIlica gel warna biru</v>
      </c>
      <c r="G148" s="3" t="str">
        <f>IFERROR(__xludf.DUMMYFUNCTION("""COMPUTED_VALUE"""),"Sesuai penawaran")</f>
        <v>Sesuai penawaran</v>
      </c>
      <c r="H148" s="3" t="str">
        <f>IFERROR(__xludf.DUMMYFUNCTION("""COMPUTED_VALUE"""),"NA")</f>
        <v>NA</v>
      </c>
      <c r="I148" s="3">
        <f>IFERROR(__xludf.DUMMYFUNCTION("""COMPUTED_VALUE"""),5.0)</f>
        <v>5</v>
      </c>
      <c r="J148" s="3" t="str">
        <f>IFERROR(__xludf.DUMMYFUNCTION("""COMPUTED_VALUE"""),"Kg")</f>
        <v>Kg</v>
      </c>
      <c r="K148" s="5" t="str">
        <f>IFERROR(__xludf.DUMMYFUNCTION("""COMPUTED_VALUE"""),"https://drive.google.com/file/d/1ge0OyNx8rkOPvqels3k1KTNj13FQZEtS/view?usp=drive_link")</f>
        <v>https://drive.google.com/file/d/1ge0OyNx8rkOPvqels3k1KTNj13FQZEtS/view?usp=drive_link</v>
      </c>
      <c r="L148" s="3" t="str">
        <f>IFERROR(__xludf.DUMMYFUNCTION("""COMPUTED_VALUE"""),"Untuk filter FD karena sudah jenuh")</f>
        <v>Untuk filter FD karena sudah jenuh</v>
      </c>
      <c r="M148" s="3" t="str">
        <f>IFERROR(__xludf.DUMMYFUNCTION("""COMPUTED_VALUE"""),"Approve")</f>
        <v>Approve</v>
      </c>
      <c r="N148" s="3" t="str">
        <f>IFERROR(__xludf.DUMMYFUNCTION("""COMPUTED_VALUE"""),"Normal")</f>
        <v>Normal</v>
      </c>
      <c r="O148" s="3" t="str">
        <f>IFERROR(__xludf.DUMMYFUNCTION("""COMPUTED_VALUE"""),"Non Urgent")</f>
        <v>Non Urgent</v>
      </c>
    </row>
    <row r="149">
      <c r="A149" s="4">
        <f>IFERROR(__xludf.DUMMYFUNCTION("""COMPUTED_VALUE"""),45758.70000528935)</f>
        <v>45758.70001</v>
      </c>
      <c r="B149" s="3" t="str">
        <f>IFERROR(__xludf.DUMMYFUNCTION("""COMPUTED_VALUE"""),"INNBR0018")</f>
        <v>INNBR0018</v>
      </c>
      <c r="C149" s="3" t="str">
        <f>IFERROR(__xludf.DUMMYFUNCTION("""COMPUTED_VALUE"""),"Critical Part")</f>
        <v>Critical Part</v>
      </c>
      <c r="D149" s="3" t="str">
        <f>IFERROR(__xludf.DUMMYFUNCTION("""COMPUTED_VALUE"""),"-")</f>
        <v>-</v>
      </c>
      <c r="E149" s="3" t="str">
        <f>IFERROR(__xludf.DUMMYFUNCTION("""COMPUTED_VALUE"""),"FD")</f>
        <v>FD</v>
      </c>
      <c r="F149" s="3" t="str">
        <f>IFERROR(__xludf.DUMMYFUNCTION("""COMPUTED_VALUE"""),"FV96 EB50-00667 SAUNDERS_1""BW,ER,S/FC,M-VUE_S1 SG025SY0404ERNLRNYN--M2E2010")</f>
        <v>FV96 EB50-00667 SAUNDERS_1"BW,ER,S/FC,M-VUE_S1 SG025SY0404ERNLRNYN--M2E2010</v>
      </c>
      <c r="G149" s="3" t="str">
        <f>IFERROR(__xludf.DUMMYFUNCTION("""COMPUTED_VALUE"""),"Sesuai penawaran")</f>
        <v>Sesuai penawaran</v>
      </c>
      <c r="H149" s="3" t="str">
        <f>IFERROR(__xludf.DUMMYFUNCTION("""COMPUTED_VALUE"""),"Saunder")</f>
        <v>Saunder</v>
      </c>
      <c r="I149" s="3">
        <f>IFERROR(__xludf.DUMMYFUNCTION("""COMPUTED_VALUE"""),3.0)</f>
        <v>3</v>
      </c>
      <c r="J149" s="3" t="str">
        <f>IFERROR(__xludf.DUMMYFUNCTION("""COMPUTED_VALUE"""),"unit")</f>
        <v>unit</v>
      </c>
      <c r="K149" s="5" t="str">
        <f>IFERROR(__xludf.DUMMYFUNCTION("""COMPUTED_VALUE"""),"https://drive.google.com/file/d/1h-xgAxAhBWxdF7CUqP9Kd2QIpSqOxRci/view?usp=sharing")</f>
        <v>https://drive.google.com/file/d/1h-xgAxAhBWxdF7CUqP9Kd2QIpSqOxRci/view?usp=sharing</v>
      </c>
      <c r="L149" s="3" t="str">
        <f>IFERROR(__xludf.DUMMYFUNCTION("""COMPUTED_VALUE"""),"Untuk FD")</f>
        <v>Untuk FD</v>
      </c>
      <c r="M149" s="3" t="str">
        <f>IFERROR(__xludf.DUMMYFUNCTION("""COMPUTED_VALUE"""),"Approve")</f>
        <v>Approve</v>
      </c>
      <c r="N149" s="3" t="str">
        <f>IFERROR(__xludf.DUMMYFUNCTION("""COMPUTED_VALUE"""),"Normal")</f>
        <v>Normal</v>
      </c>
      <c r="O149" s="3" t="str">
        <f>IFERROR(__xludf.DUMMYFUNCTION("""COMPUTED_VALUE"""),"Non Urgent")</f>
        <v>Non Urgent</v>
      </c>
    </row>
    <row r="150">
      <c r="A150" s="4">
        <f>IFERROR(__xludf.DUMMYFUNCTION("""COMPUTED_VALUE"""),45758.70003252315)</f>
        <v>45758.70003</v>
      </c>
      <c r="B150" s="3" t="str">
        <f>IFERROR(__xludf.DUMMYFUNCTION("""COMPUTED_VALUE"""),"INNBR0019")</f>
        <v>INNBR0019</v>
      </c>
      <c r="C150" s="3" t="str">
        <f>IFERROR(__xludf.DUMMYFUNCTION("""COMPUTED_VALUE"""),"Critical Part")</f>
        <v>Critical Part</v>
      </c>
      <c r="D150" s="3" t="str">
        <f>IFERROR(__xludf.DUMMYFUNCTION("""COMPUTED_VALUE"""),"-")</f>
        <v>-</v>
      </c>
      <c r="E150" s="3" t="str">
        <f>IFERROR(__xludf.DUMMYFUNCTION("""COMPUTED_VALUE"""),"FD")</f>
        <v>FD</v>
      </c>
      <c r="F150" s="3" t="str">
        <f>IFERROR(__xludf.DUMMYFUNCTION("""COMPUTED_VALUE"""),"FV30 EB50-00668 SAUNDERS_1.5""BW,ER,S/FC,M-VUE_S1 SG040SY0606ERNLRNYN--M2E2010")</f>
        <v>FV30 EB50-00668 SAUNDERS_1.5"BW,ER,S/FC,M-VUE_S1 SG040SY0606ERNLRNYN--M2E2010</v>
      </c>
      <c r="G150" s="3" t="str">
        <f>IFERROR(__xludf.DUMMYFUNCTION("""COMPUTED_VALUE"""),"Sesuai penawaran")</f>
        <v>Sesuai penawaran</v>
      </c>
      <c r="H150" s="3" t="str">
        <f>IFERROR(__xludf.DUMMYFUNCTION("""COMPUTED_VALUE"""),"Saunder")</f>
        <v>Saunder</v>
      </c>
      <c r="I150" s="3">
        <f>IFERROR(__xludf.DUMMYFUNCTION("""COMPUTED_VALUE"""),1.0)</f>
        <v>1</v>
      </c>
      <c r="J150" s="3" t="str">
        <f>IFERROR(__xludf.DUMMYFUNCTION("""COMPUTED_VALUE"""),"unit")</f>
        <v>unit</v>
      </c>
      <c r="K150" s="5" t="str">
        <f>IFERROR(__xludf.DUMMYFUNCTION("""COMPUTED_VALUE"""),"https://drive.google.com/file/d/1h-xgAxAhBWxdF7CUqP9Kd2QIpSqOxRci/view?usp=sharing")</f>
        <v>https://drive.google.com/file/d/1h-xgAxAhBWxdF7CUqP9Kd2QIpSqOxRci/view?usp=sharing</v>
      </c>
      <c r="L150" s="3" t="str">
        <f>IFERROR(__xludf.DUMMYFUNCTION("""COMPUTED_VALUE"""),"Untuk FD")</f>
        <v>Untuk FD</v>
      </c>
      <c r="M150" s="3" t="str">
        <f>IFERROR(__xludf.DUMMYFUNCTION("""COMPUTED_VALUE"""),"Approve")</f>
        <v>Approve</v>
      </c>
      <c r="N150" s="3" t="str">
        <f>IFERROR(__xludf.DUMMYFUNCTION("""COMPUTED_VALUE"""),"Normal")</f>
        <v>Normal</v>
      </c>
      <c r="O150" s="3" t="str">
        <f>IFERROR(__xludf.DUMMYFUNCTION("""COMPUTED_VALUE"""),"Non Urgent")</f>
        <v>Non Urgent</v>
      </c>
    </row>
    <row r="151">
      <c r="A151" s="4">
        <f>IFERROR(__xludf.DUMMYFUNCTION("""COMPUTED_VALUE"""),45758.70003252315)</f>
        <v>45758.70003</v>
      </c>
      <c r="B151" s="3" t="str">
        <f>IFERROR(__xludf.DUMMYFUNCTION("""COMPUTED_VALUE"""),"INNBR0020")</f>
        <v>INNBR0020</v>
      </c>
      <c r="C151" s="3" t="str">
        <f>IFERROR(__xludf.DUMMYFUNCTION("""COMPUTED_VALUE"""),"Critical Part")</f>
        <v>Critical Part</v>
      </c>
      <c r="D151" s="3" t="str">
        <f>IFERROR(__xludf.DUMMYFUNCTION("""COMPUTED_VALUE"""),"-")</f>
        <v>-</v>
      </c>
      <c r="E151" s="3" t="str">
        <f>IFERROR(__xludf.DUMMYFUNCTION("""COMPUTED_VALUE"""),"FD")</f>
        <v>FD</v>
      </c>
      <c r="F151" s="3" t="str">
        <f>IFERROR(__xludf.DUMMYFUNCTION("""COMPUTED_VALUE"""),"FV88 EB50-00678 SAUNDERS_0.5""BW/08,ER,S/FC,M-VUE_S1 SG008SY0202ERNLRNYN--M2E2010")</f>
        <v>FV88 EB50-00678 SAUNDERS_0.5"BW/08,ER,S/FC,M-VUE_S1 SG008SY0202ERNLRNYN--M2E2010</v>
      </c>
      <c r="G151" s="3" t="str">
        <f>IFERROR(__xludf.DUMMYFUNCTION("""COMPUTED_VALUE"""),"Sesuai penawaran")</f>
        <v>Sesuai penawaran</v>
      </c>
      <c r="H151" s="3" t="str">
        <f>IFERROR(__xludf.DUMMYFUNCTION("""COMPUTED_VALUE"""),"Saunder")</f>
        <v>Saunder</v>
      </c>
      <c r="I151" s="3">
        <f>IFERROR(__xludf.DUMMYFUNCTION("""COMPUTED_VALUE"""),1.0)</f>
        <v>1</v>
      </c>
      <c r="J151" s="3" t="str">
        <f>IFERROR(__xludf.DUMMYFUNCTION("""COMPUTED_VALUE"""),"unit")</f>
        <v>unit</v>
      </c>
      <c r="K151" s="5" t="str">
        <f>IFERROR(__xludf.DUMMYFUNCTION("""COMPUTED_VALUE"""),"https://drive.google.com/file/d/1h-xgAxAhBWxdF7CUqP9Kd2QIpSqOxRci/view?usp=sharing")</f>
        <v>https://drive.google.com/file/d/1h-xgAxAhBWxdF7CUqP9Kd2QIpSqOxRci/view?usp=sharing</v>
      </c>
      <c r="L151" s="3" t="str">
        <f>IFERROR(__xludf.DUMMYFUNCTION("""COMPUTED_VALUE"""),"Untuk FD")</f>
        <v>Untuk FD</v>
      </c>
      <c r="M151" s="3" t="str">
        <f>IFERROR(__xludf.DUMMYFUNCTION("""COMPUTED_VALUE"""),"Approve")</f>
        <v>Approve</v>
      </c>
      <c r="N151" s="3" t="str">
        <f>IFERROR(__xludf.DUMMYFUNCTION("""COMPUTED_VALUE"""),"Normal")</f>
        <v>Normal</v>
      </c>
      <c r="O151" s="3" t="str">
        <f>IFERROR(__xludf.DUMMYFUNCTION("""COMPUTED_VALUE"""),"Non Urgent")</f>
        <v>Non Urgent</v>
      </c>
    </row>
    <row r="152">
      <c r="A152" s="4">
        <f>IFERROR(__xludf.DUMMYFUNCTION("""COMPUTED_VALUE"""),45758.860312916666)</f>
        <v>45758.86031</v>
      </c>
      <c r="B152" s="3" t="str">
        <f>IFERROR(__xludf.DUMMYFUNCTION("""COMPUTED_VALUE"""),"SFHBR0018")</f>
        <v>SFHBR0018</v>
      </c>
      <c r="C152" s="3" t="str">
        <f>IFERROR(__xludf.DUMMYFUNCTION("""COMPUTED_VALUE"""),"EJO")</f>
        <v>EJO</v>
      </c>
      <c r="D152" s="3" t="str">
        <f>IFERROR(__xludf.DUMMYFUNCTION("""COMPUTED_VALUE"""),"EJO/2025/04/20")</f>
        <v>EJO/2025/04/20</v>
      </c>
      <c r="E152" s="3" t="str">
        <f>IFERROR(__xludf.DUMMYFUNCTION("""COMPUTED_VALUE"""),"lantai 2")</f>
        <v>lantai 2</v>
      </c>
      <c r="F152" s="3" t="str">
        <f>IFERROR(__xludf.DUMMYFUNCTION("""COMPUTED_VALUE"""),"tangga portable lipat multifungsi")</f>
        <v>tangga portable lipat multifungsi</v>
      </c>
      <c r="G152" s="3" t="str">
        <f>IFERROR(__xludf.DUMMYFUNCTION("""COMPUTED_VALUE"""),"8 layer merah,220 cm")</f>
        <v>8 layer merah,220 cm</v>
      </c>
      <c r="H152" s="3" t="str">
        <f>IFERROR(__xludf.DUMMYFUNCTION("""COMPUTED_VALUE"""),"reaim")</f>
        <v>reaim</v>
      </c>
      <c r="I152" s="3">
        <f>IFERROR(__xludf.DUMMYFUNCTION("""COMPUTED_VALUE"""),2.0)</f>
        <v>2</v>
      </c>
      <c r="J152" s="3" t="str">
        <f>IFERROR(__xludf.DUMMYFUNCTION("""COMPUTED_VALUE"""),"pcs")</f>
        <v>pcs</v>
      </c>
      <c r="K152" s="5" t="str">
        <f>IFERROR(__xludf.DUMMYFUNCTION("""COMPUTED_VALUE"""),"https://www.tokopedia.com/reaim-indonesia/reaim-tangga-lipat-aluminium-besi-6-8-step-holder-household-ladder-serbaguna-murah-besi-rak-kasar-dan-tahan-lama-untuk-keperluan-rumah-dan-industri-1730232197126588123?utm_source=salinlink&amp;utm_medium=share&amp;utm_cam"&amp;"paign=pdp-uamli9ogqc6y-100023713036--10000")</f>
        <v>https://www.tokopedia.com/reaim-indonesia/reaim-tangga-lipat-aluminium-besi-6-8-step-holder-household-ladder-serbaguna-murah-besi-rak-kasar-dan-tahan-lama-untuk-keperluan-rumah-dan-industri-1730232197126588123?utm_source=salinlink&amp;utm_medium=share&amp;utm_campaign=pdp-uamli9ogqc6y-100023713036--10000</v>
      </c>
      <c r="L152" s="3" t="str">
        <f>IFERROR(__xludf.DUMMYFUNCTION("""COMPUTED_VALUE"""),"-")</f>
        <v>-</v>
      </c>
      <c r="M152" s="3" t="str">
        <f>IFERROR(__xludf.DUMMYFUNCTION("""COMPUTED_VALUE"""),"Approve")</f>
        <v>Approve</v>
      </c>
      <c r="N152" s="3" t="str">
        <f>IFERROR(__xludf.DUMMYFUNCTION("""COMPUTED_VALUE"""),"Normal")</f>
        <v>Normal</v>
      </c>
      <c r="O152" s="3" t="str">
        <f>IFERROR(__xludf.DUMMYFUNCTION("""COMPUTED_VALUE"""),"Non Urgent")</f>
        <v>Non Urgent</v>
      </c>
    </row>
    <row r="153">
      <c r="A153" s="4">
        <f>IFERROR(__xludf.DUMMYFUNCTION("""COMPUTED_VALUE"""),45761.65786895834)</f>
        <v>45761.65787</v>
      </c>
      <c r="B153" s="3" t="str">
        <f>IFERROR(__xludf.DUMMYFUNCTION("""COMPUTED_VALUE"""),"INNBR0021")</f>
        <v>INNBR0021</v>
      </c>
      <c r="C153" s="3" t="str">
        <f>IFERROR(__xludf.DUMMYFUNCTION("""COMPUTED_VALUE"""),"Consumable")</f>
        <v>Consumable</v>
      </c>
      <c r="D153" s="3" t="str">
        <f>IFERROR(__xludf.DUMMYFUNCTION("""COMPUTED_VALUE"""),"-")</f>
        <v>-</v>
      </c>
      <c r="E153" s="3" t="str">
        <f>IFERROR(__xludf.DUMMYFUNCTION("""COMPUTED_VALUE"""),"Cartoning")</f>
        <v>Cartoning</v>
      </c>
      <c r="F153" s="3" t="str">
        <f>IFERROR(__xludf.DUMMYFUNCTION("""COMPUTED_VALUE"""),"Roller Gripper Cartoning Uk dia. 13x 6x6")</f>
        <v>Roller Gripper Cartoning Uk dia. 13x 6x6</v>
      </c>
      <c r="G153" s="3" t="str">
        <f>IFERROR(__xludf.DUMMYFUNCTION("""COMPUTED_VALUE"""),"Sesuai penawaran")</f>
        <v>Sesuai penawaran</v>
      </c>
      <c r="H153" s="3" t="str">
        <f>IFERROR(__xludf.DUMMYFUNCTION("""COMPUTED_VALUE"""),"Custom Agru")</f>
        <v>Custom Agru</v>
      </c>
      <c r="I153" s="3">
        <f>IFERROR(__xludf.DUMMYFUNCTION("""COMPUTED_VALUE"""),30.0)</f>
        <v>30</v>
      </c>
      <c r="J153" s="3" t="str">
        <f>IFERROR(__xludf.DUMMYFUNCTION("""COMPUTED_VALUE"""),"pcs")</f>
        <v>pcs</v>
      </c>
      <c r="K153" s="5" t="str">
        <f>IFERROR(__xludf.DUMMYFUNCTION("""COMPUTED_VALUE"""),"https://drive.google.com/file/d/1kgbqBlC2uJ08Hd4uLrwk1ZDOLyU-aMya/view?usp=drive_link")</f>
        <v>https://drive.google.com/file/d/1kgbqBlC2uJ08Hd4uLrwk1ZDOLyU-aMya/view?usp=drive_link</v>
      </c>
      <c r="L153" s="3" t="str">
        <f>IFERROR(__xludf.DUMMYFUNCTION("""COMPUTED_VALUE"""),"Untuk roller gripper")</f>
        <v>Untuk roller gripper</v>
      </c>
      <c r="M153" s="3" t="str">
        <f>IFERROR(__xludf.DUMMYFUNCTION("""COMPUTED_VALUE"""),"Approve")</f>
        <v>Approve</v>
      </c>
      <c r="N153" s="3" t="str">
        <f>IFERROR(__xludf.DUMMYFUNCTION("""COMPUTED_VALUE"""),"Normal")</f>
        <v>Normal</v>
      </c>
      <c r="O153" s="3" t="str">
        <f>IFERROR(__xludf.DUMMYFUNCTION("""COMPUTED_VALUE"""),"Non Urgent")</f>
        <v>Non Urgent</v>
      </c>
    </row>
    <row r="154">
      <c r="A154" s="4">
        <f>IFERROR(__xludf.DUMMYFUNCTION("""COMPUTED_VALUE"""),45761.670253634264)</f>
        <v>45761.67025</v>
      </c>
      <c r="B154" s="3" t="str">
        <f>IFERROR(__xludf.DUMMYFUNCTION("""COMPUTED_VALUE"""),"ROSBR0014")</f>
        <v>ROSBR0014</v>
      </c>
      <c r="C154" s="3" t="str">
        <f>IFERROR(__xludf.DUMMYFUNCTION("""COMPUTED_VALUE"""),"EJO")</f>
        <v>EJO</v>
      </c>
      <c r="D154" s="3" t="str">
        <f>IFERROR(__xludf.DUMMYFUNCTION("""COMPUTED_VALUE"""),"EJO2025/01/159")</f>
        <v>EJO2025/01/159</v>
      </c>
      <c r="E154" s="3" t="str">
        <f>IFERROR(__xludf.DUMMYFUNCTION("""COMPUTED_VALUE"""),"Dispensing OSD")</f>
        <v>Dispensing OSD</v>
      </c>
      <c r="F154" s="3" t="str">
        <f>IFERROR(__xludf.DUMMYFUNCTION("""COMPUTED_VALUE"""),"Tutup Lubang Transfer Isolator OSD Uk Ø110x 45 mm")</f>
        <v>Tutup Lubang Transfer Isolator OSD Uk Ø110x 45 mm</v>
      </c>
      <c r="G154" s="3" t="str">
        <f>IFERROR(__xludf.DUMMYFUNCTION("""COMPUTED_VALUE"""),"-Uk Ø110x 45 mm
-Machining As Mat'l Teflon
-proses bubut
-profil tutup
-handle
-Finising ")</f>
        <v>-Uk Ø110x 45 mm
-Machining As Mat'l Teflon
-proses bubut
-profil tutup
-handle
-Finising </v>
      </c>
      <c r="H154" s="3" t="str">
        <f>IFERROR(__xludf.DUMMYFUNCTION("""COMPUTED_VALUE"""),"General")</f>
        <v>General</v>
      </c>
      <c r="I154" s="3">
        <f>IFERROR(__xludf.DUMMYFUNCTION("""COMPUTED_VALUE"""),1.0)</f>
        <v>1</v>
      </c>
      <c r="J154" s="3" t="str">
        <f>IFERROR(__xludf.DUMMYFUNCTION("""COMPUTED_VALUE"""),"unit")</f>
        <v>unit</v>
      </c>
      <c r="K154" s="5" t="str">
        <f>IFERROR(__xludf.DUMMYFUNCTION("""COMPUTED_VALUE"""),"https://drive.google.com/file/d/172a7DJgYoSW-72fqeCHtdOcBDU0paDra/view?usp=drive_link")</f>
        <v>https://drive.google.com/file/d/172a7DJgYoSW-72fqeCHtdOcBDU0paDra/view?usp=drive_link</v>
      </c>
      <c r="L154" s="5" t="str">
        <f>IFERROR(__xludf.DUMMYFUNCTION("""COMPUTED_VALUE"""),"https://drive.google.com/file/d/1zX71gXWLC2qaHB-gE-N3bKzJQi3egWDw/view?usp=drive_link")</f>
        <v>https://drive.google.com/file/d/1zX71gXWLC2qaHB-gE-N3bKzJQi3egWDw/view?usp=drive_link</v>
      </c>
      <c r="M154" s="3" t="str">
        <f>IFERROR(__xludf.DUMMYFUNCTION("""COMPUTED_VALUE"""),"Approve")</f>
        <v>Approve</v>
      </c>
      <c r="N154" s="3" t="str">
        <f>IFERROR(__xludf.DUMMYFUNCTION("""COMPUTED_VALUE"""),"Normal")</f>
        <v>Normal</v>
      </c>
      <c r="O154" s="3" t="str">
        <f>IFERROR(__xludf.DUMMYFUNCTION("""COMPUTED_VALUE"""),"Non Urgent")</f>
        <v>Non Urgent</v>
      </c>
    </row>
    <row r="155">
      <c r="A155" s="4">
        <f>IFERROR(__xludf.DUMMYFUNCTION("""COMPUTED_VALUE"""),45761.67945708334)</f>
        <v>45761.67946</v>
      </c>
      <c r="B155" s="3" t="str">
        <f>IFERROR(__xludf.DUMMYFUNCTION("""COMPUTED_VALUE"""),"NDSBR0010")</f>
        <v>NDSBR0010</v>
      </c>
      <c r="C155" s="3" t="str">
        <f>IFERROR(__xludf.DUMMYFUNCTION("""COMPUTED_VALUE"""),"EJO")</f>
        <v>EJO</v>
      </c>
      <c r="D155" s="3" t="str">
        <f>IFERROR(__xludf.DUMMYFUNCTION("""COMPUTED_VALUE"""),"EJO/2025/04/11")</f>
        <v>EJO/2025/04/11</v>
      </c>
      <c r="E155" s="3" t="str">
        <f>IFERROR(__xludf.DUMMYFUNCTION("""COMPUTED_VALUE"""),"Timbangan dispensing steril")</f>
        <v>Timbangan dispensing steril</v>
      </c>
      <c r="F155" s="3" t="str">
        <f>IFERROR(__xludf.DUMMYFUNCTION("""COMPUTED_VALUE"""),"Mata kucing timbangan")</f>
        <v>Mata kucing timbangan</v>
      </c>
      <c r="G155" s="3" t="str">
        <f>IFERROR(__xludf.DUMMYFUNCTION("""COMPUTED_VALUE"""),"10 x 6 mm")</f>
        <v>10 x 6 mm</v>
      </c>
      <c r="H155" s="3" t="str">
        <f>IFERROR(__xludf.DUMMYFUNCTION("""COMPUTED_VALUE"""),"-")</f>
        <v>-</v>
      </c>
      <c r="I155" s="3">
        <f>IFERROR(__xludf.DUMMYFUNCTION("""COMPUTED_VALUE"""),10.0)</f>
        <v>10</v>
      </c>
      <c r="J155" s="3" t="str">
        <f>IFERROR(__xludf.DUMMYFUNCTION("""COMPUTED_VALUE"""),"pcs")</f>
        <v>pcs</v>
      </c>
      <c r="K155" s="5" t="str">
        <f>IFERROR(__xludf.DUMMYFUNCTION("""COMPUTED_VALUE"""),"https://www.tokopedia.com/kynetz/waterpass-bulat-bubble-level-spirit-level-waterpas-bundar-mini-besar-8x5-5mm-3bd18?extParam=ivf%3Dfalse%26keyword%3Dmini+waterpass%26search_id%3D20250414091505EFDC168E4C8F4903DCHF%26src%3Dsearch")</f>
        <v>https://www.tokopedia.com/kynetz/waterpass-bulat-bubble-level-spirit-level-waterpas-bundar-mini-besar-8x5-5mm-3bd18?extParam=ivf%3Dfalse%26keyword%3Dmini+waterpass%26search_id%3D20250414091505EFDC168E4C8F4903DCHF%26src%3Dsearch</v>
      </c>
      <c r="L155" s="3" t="str">
        <f>IFERROR(__xludf.DUMMYFUNCTION("""COMPUTED_VALUE"""),"- ")</f>
        <v>- </v>
      </c>
      <c r="M155" s="3" t="str">
        <f>IFERROR(__xludf.DUMMYFUNCTION("""COMPUTED_VALUE"""),"Reject")</f>
        <v>Reject</v>
      </c>
      <c r="N155" s="3" t="str">
        <f>IFERROR(__xludf.DUMMYFUNCTION("""COMPUTED_VALUE"""),"Normal")</f>
        <v>Normal</v>
      </c>
      <c r="O155" s="3" t="str">
        <f>IFERROR(__xludf.DUMMYFUNCTION("""COMPUTED_VALUE"""),"Non Urgent")</f>
        <v>Non Urgent</v>
      </c>
    </row>
    <row r="156">
      <c r="A156" s="4">
        <f>IFERROR(__xludf.DUMMYFUNCTION("""COMPUTED_VALUE"""),45762.69746584491)</f>
        <v>45762.69747</v>
      </c>
      <c r="B156" s="3" t="str">
        <f>IFERROR(__xludf.DUMMYFUNCTION("""COMPUTED_VALUE"""),"MOBBR0024")</f>
        <v>MOBBR0024</v>
      </c>
      <c r="C156" s="3" t="str">
        <f>IFERROR(__xludf.DUMMYFUNCTION("""COMPUTED_VALUE"""),"EJO")</f>
        <v>EJO</v>
      </c>
      <c r="D156" s="3" t="str">
        <f>IFERROR(__xludf.DUMMYFUNCTION("""COMPUTED_VALUE"""),"EJO/2024/12/155")</f>
        <v>EJO/2024/12/155</v>
      </c>
      <c r="E156" s="3" t="str">
        <f>IFERROR(__xludf.DUMMYFUNCTION("""COMPUTED_VALUE"""),"AHU B1-2")</f>
        <v>AHU B1-2</v>
      </c>
      <c r="F156" s="3" t="str">
        <f>IFERROR(__xludf.DUMMYFUNCTION("""COMPUTED_VALUE"""),"Valve Hot Water")</f>
        <v>Valve Hot Water</v>
      </c>
      <c r="G156" s="3" t="str">
        <f>IFERROR(__xludf.DUMMYFUNCTION("""COMPUTED_VALUE"""),"VXG44.32-16/C 32MM KV16")</f>
        <v>VXG44.32-16/C 32MM KV16</v>
      </c>
      <c r="H156" s="3" t="str">
        <f>IFERROR(__xludf.DUMMYFUNCTION("""COMPUTED_VALUE"""),"Siemens")</f>
        <v>Siemens</v>
      </c>
      <c r="I156" s="3">
        <f>IFERROR(__xludf.DUMMYFUNCTION("""COMPUTED_VALUE"""),2.0)</f>
        <v>2</v>
      </c>
      <c r="J156" s="3" t="str">
        <f>IFERROR(__xludf.DUMMYFUNCTION("""COMPUTED_VALUE"""),"Pcs")</f>
        <v>Pcs</v>
      </c>
      <c r="K156" s="5" t="str">
        <f>IFERROR(__xludf.DUMMYFUNCTION("""COMPUTED_VALUE"""),"https://www.mkwheatingcontrols.co.uk/siemens-vxg443216c-32mm-kv16-p-2047.html")</f>
        <v>https://www.mkwheatingcontrols.co.uk/siemens-vxg443216c-32mm-kv16-p-2047.html</v>
      </c>
      <c r="L156" s="3" t="str">
        <f>IFERROR(__xludf.DUMMYFUNCTION("""COMPUTED_VALUE"""),"-")</f>
        <v>-</v>
      </c>
      <c r="M156" s="3" t="str">
        <f>IFERROR(__xludf.DUMMYFUNCTION("""COMPUTED_VALUE"""),"Approve")</f>
        <v>Approve</v>
      </c>
      <c r="N156" s="3" t="str">
        <f>IFERROR(__xludf.DUMMYFUNCTION("""COMPUTED_VALUE"""),"Normal")</f>
        <v>Normal</v>
      </c>
      <c r="O156" s="3" t="str">
        <f>IFERROR(__xludf.DUMMYFUNCTION("""COMPUTED_VALUE"""),"Non Urgent")</f>
        <v>Non Urgent</v>
      </c>
    </row>
    <row r="157">
      <c r="A157" s="4">
        <f>IFERROR(__xludf.DUMMYFUNCTION("""COMPUTED_VALUE"""),45762.698823692124)</f>
        <v>45762.69882</v>
      </c>
      <c r="B157" s="3" t="str">
        <f>IFERROR(__xludf.DUMMYFUNCTION("""COMPUTED_VALUE"""),"MOBBR0025")</f>
        <v>MOBBR0025</v>
      </c>
      <c r="C157" s="3" t="str">
        <f>IFERROR(__xludf.DUMMYFUNCTION("""COMPUTED_VALUE"""),"EJO")</f>
        <v>EJO</v>
      </c>
      <c r="D157" s="3" t="str">
        <f>IFERROR(__xludf.DUMMYFUNCTION("""COMPUTED_VALUE"""),"EJO/2024/12/155")</f>
        <v>EJO/2024/12/155</v>
      </c>
      <c r="E157" s="3" t="str">
        <f>IFERROR(__xludf.DUMMYFUNCTION("""COMPUTED_VALUE"""),"AHU B1-2")</f>
        <v>AHU B1-2</v>
      </c>
      <c r="F157" s="3" t="str">
        <f>IFERROR(__xludf.DUMMYFUNCTION("""COMPUTED_VALUE"""),"Valve Hot Water")</f>
        <v>Valve Hot Water</v>
      </c>
      <c r="G157" s="3" t="str">
        <f>IFERROR(__xludf.DUMMYFUNCTION("""COMPUTED_VALUE"""),"SQS65")</f>
        <v>SQS65</v>
      </c>
      <c r="H157" s="3" t="str">
        <f>IFERROR(__xludf.DUMMYFUNCTION("""COMPUTED_VALUE"""),"Siemens")</f>
        <v>Siemens</v>
      </c>
      <c r="I157" s="3">
        <f>IFERROR(__xludf.DUMMYFUNCTION("""COMPUTED_VALUE"""),2.0)</f>
        <v>2</v>
      </c>
      <c r="J157" s="3" t="str">
        <f>IFERROR(__xludf.DUMMYFUNCTION("""COMPUTED_VALUE"""),"Pcs")</f>
        <v>Pcs</v>
      </c>
      <c r="K157" s="5" t="str">
        <f>IFERROR(__xludf.DUMMYFUNCTION("""COMPUTED_VALUE"""),"https://hvac.de/en/obsolete-units/2786-sqs65.html")</f>
        <v>https://hvac.de/en/obsolete-units/2786-sqs65.html</v>
      </c>
      <c r="L157" s="3" t="str">
        <f>IFERROR(__xludf.DUMMYFUNCTION("""COMPUTED_VALUE"""),"-")</f>
        <v>-</v>
      </c>
      <c r="M157" s="3" t="str">
        <f>IFERROR(__xludf.DUMMYFUNCTION("""COMPUTED_VALUE"""),"Reject")</f>
        <v>Reject</v>
      </c>
      <c r="N157" s="3" t="str">
        <f>IFERROR(__xludf.DUMMYFUNCTION("""COMPUTED_VALUE"""),"Normal")</f>
        <v>Normal</v>
      </c>
      <c r="O157" s="3" t="str">
        <f>IFERROR(__xludf.DUMMYFUNCTION("""COMPUTED_VALUE"""),"Non Urgent")</f>
        <v>Non Urgent</v>
      </c>
    </row>
    <row r="158">
      <c r="A158" s="4">
        <f>IFERROR(__xludf.DUMMYFUNCTION("""COMPUTED_VALUE"""),45763.64667299769)</f>
        <v>45763.64667</v>
      </c>
      <c r="B158" s="3" t="str">
        <f>IFERROR(__xludf.DUMMYFUNCTION("""COMPUTED_VALUE"""),"RIABR0028")</f>
        <v>RIABR0028</v>
      </c>
      <c r="C158" s="3" t="str">
        <f>IFERROR(__xludf.DUMMYFUNCTION("""COMPUTED_VALUE"""),"EJO")</f>
        <v>EJO</v>
      </c>
      <c r="D158" s="3" t="str">
        <f>IFERROR(__xludf.DUMMYFUNCTION("""COMPUTED_VALUE"""),"EJO/2025/03/150")</f>
        <v>EJO/2025/03/150</v>
      </c>
      <c r="E158" s="3" t="str">
        <f>IFERROR(__xludf.DUMMYFUNCTION("""COMPUTED_VALUE"""),"WWTP")</f>
        <v>WWTP</v>
      </c>
      <c r="F158" s="3" t="str">
        <f>IFERROR(__xludf.DUMMYFUNCTION("""COMPUTED_VALUE"""),"Pilot Lamp")</f>
        <v>Pilot Lamp</v>
      </c>
      <c r="G158" s="3" t="str">
        <f>IFERROR(__xludf.DUMMYFUNCTION("""COMPUTED_VALUE"""),"Pilot Lamp LED 22MM AD22-22DS / AD2222DS Merah, 220 VAC")</f>
        <v>Pilot Lamp LED 22MM AD22-22DS / AD2222DS Merah, 220 VAC</v>
      </c>
      <c r="H158" s="3" t="str">
        <f>IFERROR(__xludf.DUMMYFUNCTION("""COMPUTED_VALUE"""),"Fort")</f>
        <v>Fort</v>
      </c>
      <c r="I158" s="3">
        <f>IFERROR(__xludf.DUMMYFUNCTION("""COMPUTED_VALUE"""),7.0)</f>
        <v>7</v>
      </c>
      <c r="J158" s="3" t="str">
        <f>IFERROR(__xludf.DUMMYFUNCTION("""COMPUTED_VALUE"""),"Pcs")</f>
        <v>Pcs</v>
      </c>
      <c r="K158" s="5" t="str">
        <f>IFERROR(__xludf.DUMMYFUNCTION("""COMPUTED_VALUE"""),"https://www.tokopedia.com/aaelec/pilot-lamp-led-22mm-ad22-22ds-ad2222ds-merah-hijau-kuning-fort?extParam=ivf%3Dfalse%26keyword%3Dpilot+lamp%26search_id%3D20250416082733D76E940B3684A30DBNOS%26src%3Dsearch")</f>
        <v>https://www.tokopedia.com/aaelec/pilot-lamp-led-22mm-ad22-22ds-ad2222ds-merah-hijau-kuning-fort?extParam=ivf%3Dfalse%26keyword%3Dpilot+lamp%26search_id%3D20250416082733D76E940B3684A30DBNOS%26src%3Dsearch</v>
      </c>
      <c r="L158" s="3" t="str">
        <f>IFERROR(__xludf.DUMMYFUNCTION("""COMPUTED_VALUE"""),"Untuk menggantikan pilot lamp wwtp yang rusak")</f>
        <v>Untuk menggantikan pilot lamp wwtp yang rusak</v>
      </c>
      <c r="M158" s="3" t="str">
        <f>IFERROR(__xludf.DUMMYFUNCTION("""COMPUTED_VALUE"""),"Approve")</f>
        <v>Approve</v>
      </c>
      <c r="N158" s="3" t="str">
        <f>IFERROR(__xludf.DUMMYFUNCTION("""COMPUTED_VALUE"""),"Normal")</f>
        <v>Normal</v>
      </c>
      <c r="O158" s="3" t="str">
        <f>IFERROR(__xludf.DUMMYFUNCTION("""COMPUTED_VALUE"""),"Non Urgent")</f>
        <v>Non Urgent</v>
      </c>
    </row>
    <row r="159">
      <c r="A159" s="4">
        <f>IFERROR(__xludf.DUMMYFUNCTION("""COMPUTED_VALUE"""),45763.65931981481)</f>
        <v>45763.65932</v>
      </c>
      <c r="B159" s="3" t="str">
        <f>IFERROR(__xludf.DUMMYFUNCTION("""COMPUTED_VALUE"""),"RIABR0029")</f>
        <v>RIABR0029</v>
      </c>
      <c r="C159" s="3" t="str">
        <f>IFERROR(__xludf.DUMMYFUNCTION("""COMPUTED_VALUE"""),"EJO")</f>
        <v>EJO</v>
      </c>
      <c r="D159" s="3" t="str">
        <f>IFERROR(__xludf.DUMMYFUNCTION("""COMPUTED_VALUE"""),"EJO/2025/04/12")</f>
        <v>EJO/2025/04/12</v>
      </c>
      <c r="E159" s="3" t="str">
        <f>IFERROR(__xludf.DUMMYFUNCTION("""COMPUTED_VALUE"""),"Dumbwaiter")</f>
        <v>Dumbwaiter</v>
      </c>
      <c r="F159" s="3" t="str">
        <f>IFERROR(__xludf.DUMMYFUNCTION("""COMPUTED_VALUE"""),"Push button")</f>
        <v>Push button</v>
      </c>
      <c r="G159" s="3" t="str">
        <f>IFERROR(__xludf.DUMMYFUNCTION("""COMPUTED_VALUE"""),"Push button lift yang ada nomornya.")</f>
        <v>Push button lift yang ada nomornya.</v>
      </c>
      <c r="H159" s="3" t="str">
        <f>IFERROR(__xludf.DUMMYFUNCTION("""COMPUTED_VALUE"""),"Lokal")</f>
        <v>Lokal</v>
      </c>
      <c r="I159" s="3">
        <f>IFERROR(__xludf.DUMMYFUNCTION("""COMPUTED_VALUE"""),3.0)</f>
        <v>3</v>
      </c>
      <c r="J159" s="3" t="str">
        <f>IFERROR(__xludf.DUMMYFUNCTION("""COMPUTED_VALUE"""),"Set")</f>
        <v>Set</v>
      </c>
      <c r="K159" s="5" t="str">
        <f>IFERROR(__xludf.DUMMYFUNCTION("""COMPUTED_VALUE"""),"https://www.tokopedia.com/controlsolution/push-button-tombol-angka-lift-barang-tanpa-led-angka-2?extParam=ivf%3Dfalse%26keyword%3Dtombol+lift%26search_id%3D20250416083225711196122719BC3364J0%26src%3Dsearch")</f>
        <v>https://www.tokopedia.com/controlsolution/push-button-tombol-angka-lift-barang-tanpa-led-angka-2?extParam=ivf%3Dfalse%26keyword%3Dtombol+lift%26search_id%3D20250416083225711196122719BC3364J0%26src%3Dsearch</v>
      </c>
      <c r="L159" s="3" t="str">
        <f>IFERROR(__xludf.DUMMYFUNCTION("""COMPUTED_VALUE"""),"Itu dibelikan warna merah ya, udah chat sellernya bisa jika warna merah. Dikasih note aja saat beli ya. itu beli 3 set sekalian angka 1 2 3 buat  3 lantai")</f>
        <v>Itu dibelikan warna merah ya, udah chat sellernya bisa jika warna merah. Dikasih note aja saat beli ya. itu beli 3 set sekalian angka 1 2 3 buat  3 lantai</v>
      </c>
      <c r="M159" s="3" t="str">
        <f>IFERROR(__xludf.DUMMYFUNCTION("""COMPUTED_VALUE"""),"Reject")</f>
        <v>Reject</v>
      </c>
      <c r="N159" s="3" t="str">
        <f>IFERROR(__xludf.DUMMYFUNCTION("""COMPUTED_VALUE"""),"Normal")</f>
        <v>Normal</v>
      </c>
      <c r="O159" s="3" t="str">
        <f>IFERROR(__xludf.DUMMYFUNCTION("""COMPUTED_VALUE"""),"Non Urgent")</f>
        <v>Non Urgent</v>
      </c>
    </row>
    <row r="160">
      <c r="A160" s="4">
        <f>IFERROR(__xludf.DUMMYFUNCTION("""COMPUTED_VALUE"""),45763.667984479165)</f>
        <v>45763.66798</v>
      </c>
      <c r="B160" s="3" t="str">
        <f>IFERROR(__xludf.DUMMYFUNCTION("""COMPUTED_VALUE"""),"RIABR0030")</f>
        <v>RIABR0030</v>
      </c>
      <c r="C160" s="3" t="str">
        <f>IFERROR(__xludf.DUMMYFUNCTION("""COMPUTED_VALUE"""),"EJO")</f>
        <v>EJO</v>
      </c>
      <c r="D160" s="3" t="str">
        <f>IFERROR(__xludf.DUMMYFUNCTION("""COMPUTED_VALUE"""),"EJO/2024/12/155")</f>
        <v>EJO/2024/12/155</v>
      </c>
      <c r="E160" s="3" t="str">
        <f>IFERROR(__xludf.DUMMYFUNCTION("""COMPUTED_VALUE"""),"B12")</f>
        <v>B12</v>
      </c>
      <c r="F160" s="3" t="str">
        <f>IFERROR(__xludf.DUMMYFUNCTION("""COMPUTED_VALUE"""),"Actuator")</f>
        <v>Actuator</v>
      </c>
      <c r="G160" s="3" t="str">
        <f>IFERROR(__xludf.DUMMYFUNCTION("""COMPUTED_VALUE"""),"SIEMENS VXG44.32-16/C 32MM KV16")</f>
        <v>SIEMENS VXG44.32-16/C 32MM KV16</v>
      </c>
      <c r="H160" s="3" t="str">
        <f>IFERROR(__xludf.DUMMYFUNCTION("""COMPUTED_VALUE"""),"Siemens")</f>
        <v>Siemens</v>
      </c>
      <c r="I160" s="3">
        <f>IFERROR(__xludf.DUMMYFUNCTION("""COMPUTED_VALUE"""),1.0)</f>
        <v>1</v>
      </c>
      <c r="J160" s="3" t="str">
        <f>IFERROR(__xludf.DUMMYFUNCTION("""COMPUTED_VALUE"""),"Pcs")</f>
        <v>Pcs</v>
      </c>
      <c r="K160" s="5" t="str">
        <f>IFERROR(__xludf.DUMMYFUNCTION("""COMPUTED_VALUE"""),"https://www.mkwheatingcontrols.co.uk/siemens-vxg443216c-32mm-kv16-p-2047.html")</f>
        <v>https://www.mkwheatingcontrols.co.uk/siemens-vxg443216c-32mm-kv16-p-2047.html</v>
      </c>
      <c r="L160" s="3" t="str">
        <f>IFERROR(__xludf.DUMMYFUNCTION("""COMPUTED_VALUE"""),"Untuk menggantikan actuator hot water di B12")</f>
        <v>Untuk menggantikan actuator hot water di B12</v>
      </c>
      <c r="M160" s="3" t="str">
        <f>IFERROR(__xludf.DUMMYFUNCTION("""COMPUTED_VALUE"""),"Reject")</f>
        <v>Reject</v>
      </c>
      <c r="N160" s="3" t="str">
        <f>IFERROR(__xludf.DUMMYFUNCTION("""COMPUTED_VALUE"""),"Normal")</f>
        <v>Normal</v>
      </c>
      <c r="O160" s="3" t="str">
        <f>IFERROR(__xludf.DUMMYFUNCTION("""COMPUTED_VALUE"""),"Non Urgent")</f>
        <v>Non Urgent</v>
      </c>
    </row>
    <row r="161">
      <c r="A161" s="4">
        <f>IFERROR(__xludf.DUMMYFUNCTION("""COMPUTED_VALUE"""),45763.67696354167)</f>
        <v>45763.67696</v>
      </c>
      <c r="B161" s="3" t="str">
        <f>IFERROR(__xludf.DUMMYFUNCTION("""COMPUTED_VALUE"""),"RIABR0031")</f>
        <v>RIABR0031</v>
      </c>
      <c r="C161" s="3" t="str">
        <f>IFERROR(__xludf.DUMMYFUNCTION("""COMPUTED_VALUE"""),"EJO")</f>
        <v>EJO</v>
      </c>
      <c r="D161" s="3" t="str">
        <f>IFERROR(__xludf.DUMMYFUNCTION("""COMPUTED_VALUE"""),"EJO/2025/01/15")</f>
        <v>EJO/2025/01/15</v>
      </c>
      <c r="E161" s="3" t="str">
        <f>IFERROR(__xludf.DUMMYFUNCTION("""COMPUTED_VALUE"""),"PSG")</f>
        <v>PSG</v>
      </c>
      <c r="F161" s="3" t="str">
        <f>IFERROR(__xludf.DUMMYFUNCTION("""COMPUTED_VALUE"""),"Strainer")</f>
        <v>Strainer</v>
      </c>
      <c r="G161" s="3" t="str">
        <f>IFERROR(__xludf.DUMMYFUNCTION("""COMPUTED_VALUE"""),"y strainer 1/2"" inch kitz kuningan asli kitz drat class 150")</f>
        <v>y strainer 1/2" inch kitz kuningan asli kitz drat class 150</v>
      </c>
      <c r="H161" s="3" t="str">
        <f>IFERROR(__xludf.DUMMYFUNCTION("""COMPUTED_VALUE"""),"Kitz")</f>
        <v>Kitz</v>
      </c>
      <c r="I161" s="3">
        <f>IFERROR(__xludf.DUMMYFUNCTION("""COMPUTED_VALUE"""),1.0)</f>
        <v>1</v>
      </c>
      <c r="J161" s="3" t="str">
        <f>IFERROR(__xludf.DUMMYFUNCTION("""COMPUTED_VALUE"""),"Pcs")</f>
        <v>Pcs</v>
      </c>
      <c r="K161" s="5" t="str">
        <f>IFERROR(__xludf.DUMMYFUNCTION("""COMPUTED_VALUE"""),"https://www.tokopedia.com/jejakjajanan/y-strainer-1-2-inch-kitz-kuningan-asli-kitz-drat-class-150")</f>
        <v>https://www.tokopedia.com/jejakjajanan/y-strainer-1-2-inch-kitz-kuningan-asli-kitz-drat-class-150</v>
      </c>
      <c r="L161" s="3" t="str">
        <f>IFERROR(__xludf.DUMMYFUNCTION("""COMPUTED_VALUE"""),"Untuk ganti di PSG mainline kondensat")</f>
        <v>Untuk ganti di PSG mainline kondensat</v>
      </c>
      <c r="M161" s="3" t="str">
        <f>IFERROR(__xludf.DUMMYFUNCTION("""COMPUTED_VALUE"""),"Approve")</f>
        <v>Approve</v>
      </c>
      <c r="N161" s="3" t="str">
        <f>IFERROR(__xludf.DUMMYFUNCTION("""COMPUTED_VALUE"""),"Normal")</f>
        <v>Normal</v>
      </c>
      <c r="O161" s="3" t="str">
        <f>IFERROR(__xludf.DUMMYFUNCTION("""COMPUTED_VALUE"""),"Non Urgent")</f>
        <v>Non Urgent</v>
      </c>
    </row>
    <row r="162">
      <c r="A162" s="4">
        <f>IFERROR(__xludf.DUMMYFUNCTION("""COMPUTED_VALUE"""),45763.69852430555)</f>
        <v>45763.69852</v>
      </c>
      <c r="B162" s="3" t="str">
        <f>IFERROR(__xludf.DUMMYFUNCTION("""COMPUTED_VALUE"""),"ROSBR0015")</f>
        <v>ROSBR0015</v>
      </c>
      <c r="C162" s="3" t="str">
        <f>IFERROR(__xludf.DUMMYFUNCTION("""COMPUTED_VALUE"""),"Consumable")</f>
        <v>Consumable</v>
      </c>
      <c r="D162" s="3" t="str">
        <f>IFERROR(__xludf.DUMMYFUNCTION("""COMPUTED_VALUE"""),"NA")</f>
        <v>NA</v>
      </c>
      <c r="E162" s="3" t="str">
        <f>IFERROR(__xludf.DUMMYFUNCTION("""COMPUTED_VALUE"""),"Coating")</f>
        <v>Coating</v>
      </c>
      <c r="F162" s="3" t="str">
        <f>IFERROR(__xludf.DUMMYFUNCTION("""COMPUTED_VALUE"""),"Oli Gear Box mesin Coating")</f>
        <v>Oli Gear Box mesin Coating</v>
      </c>
      <c r="G162" s="3" t="str">
        <f>IFERROR(__xludf.DUMMYFUNCTION("""COMPUTED_VALUE"""),"Oli Gear box
staroil 
type : 320")</f>
        <v>Oli Gear box
staroil 
type : 320</v>
      </c>
      <c r="H162" s="3" t="str">
        <f>IFERROR(__xludf.DUMMYFUNCTION("""COMPUTED_VALUE"""),"Bachem")</f>
        <v>Bachem</v>
      </c>
      <c r="I162" s="3">
        <f>IFERROR(__xludf.DUMMYFUNCTION("""COMPUTED_VALUE"""),1.0)</f>
        <v>1</v>
      </c>
      <c r="J162" s="3" t="str">
        <f>IFERROR(__xludf.DUMMYFUNCTION("""COMPUTED_VALUE"""),"drum")</f>
        <v>drum</v>
      </c>
      <c r="K162" s="3" t="str">
        <f>IFERROR(__xludf.DUMMYFUNCTION("""COMPUTED_VALUE"""),"NA")</f>
        <v>NA</v>
      </c>
      <c r="L162" s="5" t="str">
        <f>IFERROR(__xludf.DUMMYFUNCTION("""COMPUTED_VALUE"""),"https://drive.google.com/file/d/1pyoXgrmIyQzxMU7kl8iv74J_bwXThuF5/view?usp=drive_link")</f>
        <v>https://drive.google.com/file/d/1pyoXgrmIyQzxMU7kl8iv74J_bwXThuF5/view?usp=drive_link</v>
      </c>
      <c r="M162" s="3" t="str">
        <f>IFERROR(__xludf.DUMMYFUNCTION("""COMPUTED_VALUE"""),"Approve")</f>
        <v>Approve</v>
      </c>
      <c r="N162" s="3" t="str">
        <f>IFERROR(__xludf.DUMMYFUNCTION("""COMPUTED_VALUE"""),"Normal")</f>
        <v>Normal</v>
      </c>
      <c r="O162" s="3" t="str">
        <f>IFERROR(__xludf.DUMMYFUNCTION("""COMPUTED_VALUE"""),"Non Urgent")</f>
        <v>Non Urgent</v>
      </c>
    </row>
    <row r="163">
      <c r="A163" s="4">
        <f>IFERROR(__xludf.DUMMYFUNCTION("""COMPUTED_VALUE"""),45764.47120278935)</f>
        <v>45764.4712</v>
      </c>
      <c r="B163" s="3" t="str">
        <f>IFERROR(__xludf.DUMMYFUNCTION("""COMPUTED_VALUE"""),"SFHBR0019")</f>
        <v>SFHBR0019</v>
      </c>
      <c r="C163" s="3" t="str">
        <f>IFERROR(__xludf.DUMMYFUNCTION("""COMPUTED_VALUE"""),"Consumable")</f>
        <v>Consumable</v>
      </c>
      <c r="D163" s="3" t="str">
        <f>IFERROR(__xludf.DUMMYFUNCTION("""COMPUTED_VALUE"""),"-")</f>
        <v>-</v>
      </c>
      <c r="E163" s="3" t="str">
        <f>IFERROR(__xludf.DUMMYFUNCTION("""COMPUTED_VALUE"""),"lantai 2")</f>
        <v>lantai 2</v>
      </c>
      <c r="F163" s="3" t="str">
        <f>IFERROR(__xludf.DUMMYFUNCTION("""COMPUTED_VALUE"""),"cat dulux ambiance ")</f>
        <v>cat dulux ambiance </v>
      </c>
      <c r="G163" s="3" t="str">
        <f>IFERROR(__xludf.DUMMYFUNCTION("""COMPUTED_VALUE"""),"BASE T914A, 5247629/314030005")</f>
        <v>BASE T914A, 5247629/314030005</v>
      </c>
      <c r="H163" s="3" t="str">
        <f>IFERROR(__xludf.DUMMYFUNCTION("""COMPUTED_VALUE"""),"DULUX 2")</f>
        <v>DULUX 2</v>
      </c>
      <c r="I163" s="3">
        <f>IFERROR(__xludf.DUMMYFUNCTION("""COMPUTED_VALUE"""),2.0)</f>
        <v>2</v>
      </c>
      <c r="J163" s="3" t="str">
        <f>IFERROR(__xludf.DUMMYFUNCTION("""COMPUTED_VALUE"""),"PEL")</f>
        <v>PEL</v>
      </c>
      <c r="K163" s="3" t="str">
        <f>IFERROR(__xludf.DUMMYFUNCTION("""COMPUTED_VALUE"""),"dulux ambiance BASE T914A")</f>
        <v>dulux ambiance BASE T914A</v>
      </c>
      <c r="L163" s="3" t="str">
        <f>IFERROR(__xludf.DUMMYFUNCTION("""COMPUTED_VALUE"""),"-")</f>
        <v>-</v>
      </c>
      <c r="M163" s="3" t="str">
        <f>IFERROR(__xludf.DUMMYFUNCTION("""COMPUTED_VALUE"""),"Approve")</f>
        <v>Approve</v>
      </c>
      <c r="N163" s="3" t="str">
        <f>IFERROR(__xludf.DUMMYFUNCTION("""COMPUTED_VALUE"""),"Normal")</f>
        <v>Normal</v>
      </c>
      <c r="O163" s="3" t="str">
        <f>IFERROR(__xludf.DUMMYFUNCTION("""COMPUTED_VALUE"""),"Non Urgent")</f>
        <v>Non Urgent</v>
      </c>
    </row>
    <row r="164">
      <c r="A164" s="4">
        <f>IFERROR(__xludf.DUMMYFUNCTION("""COMPUTED_VALUE"""),45764.480452800926)</f>
        <v>45764.48045</v>
      </c>
      <c r="B164" s="3" t="str">
        <f>IFERROR(__xludf.DUMMYFUNCTION("""COMPUTED_VALUE"""),"SFHBR0020")</f>
        <v>SFHBR0020</v>
      </c>
      <c r="C164" s="3" t="str">
        <f>IFERROR(__xludf.DUMMYFUNCTION("""COMPUTED_VALUE"""),"Consumable")</f>
        <v>Consumable</v>
      </c>
      <c r="D164" s="3" t="str">
        <f>IFERROR(__xludf.DUMMYFUNCTION("""COMPUTED_VALUE"""),"-")</f>
        <v>-</v>
      </c>
      <c r="E164" s="3" t="str">
        <f>IFERROR(__xludf.DUMMYFUNCTION("""COMPUTED_VALUE"""),"lantai 2")</f>
        <v>lantai 2</v>
      </c>
      <c r="F164" s="3" t="str">
        <f>IFERROR(__xludf.DUMMYFUNCTION("""COMPUTED_VALUE"""),"cat ftalit")</f>
        <v>cat ftalit</v>
      </c>
      <c r="G164" s="3" t="str">
        <f>IFERROR(__xludf.DUMMYFUNCTION("""COMPUTED_VALUE"""),"banana yellow 115-444")</f>
        <v>banana yellow 115-444</v>
      </c>
      <c r="H164" s="3" t="str">
        <f>IFERROR(__xludf.DUMMYFUNCTION("""COMPUTED_VALUE"""),"FTALIT")</f>
        <v>FTALIT</v>
      </c>
      <c r="I164" s="3">
        <f>IFERROR(__xludf.DUMMYFUNCTION("""COMPUTED_VALUE"""),2.0)</f>
        <v>2</v>
      </c>
      <c r="J164" s="3" t="str">
        <f>IFERROR(__xludf.DUMMYFUNCTION("""COMPUTED_VALUE"""),"PEL")</f>
        <v>PEL</v>
      </c>
      <c r="K164" s="5" t="str">
        <f>IFERROR(__xludf.DUMMYFUNCTION("""COMPUTED_VALUE"""),"https://www.tokopedia.com/sangseker/ftalit-444-banana-yellow-1kg-cat-kayu-dan-besi-ftalit-115-444-1kg-2c631?utm_source=salinlink&amp;utm_medium=share&amp;utm_campaign=pdp-nutgbjwxlhd2-14175807648-0")</f>
        <v>https://www.tokopedia.com/sangseker/ftalit-444-banana-yellow-1kg-cat-kayu-dan-besi-ftalit-115-444-1kg-2c631?utm_source=salinlink&amp;utm_medium=share&amp;utm_campaign=pdp-nutgbjwxlhd2-14175807648-0</v>
      </c>
      <c r="L164" s="3" t="str">
        <f>IFERROR(__xludf.DUMMYFUNCTION("""COMPUTED_VALUE"""),"-")</f>
        <v>-</v>
      </c>
      <c r="M164" s="3" t="str">
        <f>IFERROR(__xludf.DUMMYFUNCTION("""COMPUTED_VALUE"""),"Approve")</f>
        <v>Approve</v>
      </c>
      <c r="N164" s="3" t="str">
        <f>IFERROR(__xludf.DUMMYFUNCTION("""COMPUTED_VALUE"""),"Normal")</f>
        <v>Normal</v>
      </c>
      <c r="O164" s="3" t="str">
        <f>IFERROR(__xludf.DUMMYFUNCTION("""COMPUTED_VALUE"""),"Non Urgent")</f>
        <v>Non Urgent</v>
      </c>
    </row>
    <row r="165">
      <c r="A165" s="4">
        <f>IFERROR(__xludf.DUMMYFUNCTION("""COMPUTED_VALUE"""),45764.90774019676)</f>
        <v>45764.90774</v>
      </c>
      <c r="B165" s="3" t="str">
        <f>IFERROR(__xludf.DUMMYFUNCTION("""COMPUTED_VALUE"""),"ANOBR0017")</f>
        <v>ANOBR0017</v>
      </c>
      <c r="C165" s="3" t="str">
        <f>IFERROR(__xludf.DUMMYFUNCTION("""COMPUTED_VALUE"""),"EJO")</f>
        <v>EJO</v>
      </c>
      <c r="D165" s="3" t="str">
        <f>IFERROR(__xludf.DUMMYFUNCTION("""COMPUTED_VALUE"""),"EJO/2025/03/88")</f>
        <v>EJO/2025/03/88</v>
      </c>
      <c r="E165" s="3" t="str">
        <f>IFERROR(__xludf.DUMMYFUNCTION("""COMPUTED_VALUE"""),"BSC")</f>
        <v>BSC</v>
      </c>
      <c r="F165" s="3" t="str">
        <f>IFERROR(__xludf.DUMMYFUNCTION("""COMPUTED_VALUE"""),"shock konektor ")</f>
        <v>shock konektor </v>
      </c>
      <c r="G165" s="3" t="str">
        <f>IFERROR(__xludf.DUMMYFUNCTION("""COMPUTED_VALUE"""),"shock konektor double drat dalam 3/8 x 3/8")</f>
        <v>shock konektor double drat dalam 3/8 x 3/8</v>
      </c>
      <c r="H165" s="3" t="str">
        <f>IFERROR(__xludf.DUMMYFUNCTION("""COMPUTED_VALUE"""),"-")</f>
        <v>-</v>
      </c>
      <c r="I165" s="3">
        <f>IFERROR(__xludf.DUMMYFUNCTION("""COMPUTED_VALUE"""),10.0)</f>
        <v>10</v>
      </c>
      <c r="J165" s="3" t="str">
        <f>IFERROR(__xludf.DUMMYFUNCTION("""COMPUTED_VALUE"""),"pcs")</f>
        <v>pcs</v>
      </c>
      <c r="K165" s="5" t="str">
        <f>IFERROR(__xludf.DUMMYFUNCTION("""COMPUTED_VALUE"""),"https://shopee.co.id/Dobel-Sok-Drat-Dalam-3-8-x-3-8-Kuningan-Sock-Drat-Dalam-Kuningan-3-8-Double-Nepel-Drat-Dalam-i.393420297.19784526044")</f>
        <v>https://shopee.co.id/Dobel-Sok-Drat-Dalam-3-8-x-3-8-Kuningan-Sock-Drat-Dalam-Kuningan-3-8-Double-Nepel-Drat-Dalam-i.393420297.19784526044</v>
      </c>
      <c r="L165" s="3" t="str">
        <f>IFERROR(__xludf.DUMMYFUNCTION("""COMPUTED_VALUE"""),"keperluan perbaiakn spray gun bsc")</f>
        <v>keperluan perbaiakn spray gun bsc</v>
      </c>
      <c r="M165" s="3" t="str">
        <f>IFERROR(__xludf.DUMMYFUNCTION("""COMPUTED_VALUE"""),"Approve")</f>
        <v>Approve</v>
      </c>
      <c r="N165" s="3" t="str">
        <f>IFERROR(__xludf.DUMMYFUNCTION("""COMPUTED_VALUE"""),"Normal")</f>
        <v>Normal</v>
      </c>
      <c r="O165" s="3" t="str">
        <f>IFERROR(__xludf.DUMMYFUNCTION("""COMPUTED_VALUE"""),"Non Urgent")</f>
        <v>Non Urgent</v>
      </c>
    </row>
    <row r="166">
      <c r="A166" s="4">
        <f>IFERROR(__xludf.DUMMYFUNCTION("""COMPUTED_VALUE"""),45766.413044097215)</f>
        <v>45766.41304</v>
      </c>
      <c r="B166" s="3" t="str">
        <f>IFERROR(__xludf.DUMMYFUNCTION("""COMPUTED_VALUE"""),"RIABR0032")</f>
        <v>RIABR0032</v>
      </c>
      <c r="C166" s="3" t="str">
        <f>IFERROR(__xludf.DUMMYFUNCTION("""COMPUTED_VALUE"""),"Consumable")</f>
        <v>Consumable</v>
      </c>
      <c r="D166" s="3" t="str">
        <f>IFERROR(__xludf.DUMMYFUNCTION("""COMPUTED_VALUE"""),"-")</f>
        <v>-</v>
      </c>
      <c r="E166" s="3" t="str">
        <f>IFERROR(__xludf.DUMMYFUNCTION("""COMPUTED_VALUE"""),"Grinda Bosch")</f>
        <v>Grinda Bosch</v>
      </c>
      <c r="F166" s="3" t="str">
        <f>IFERROR(__xludf.DUMMYFUNCTION("""COMPUTED_VALUE"""),"Carbon Brush")</f>
        <v>Carbon Brush</v>
      </c>
      <c r="G166" s="3" t="str">
        <f>IFERROR(__xludf.DUMMYFUNCTION("""COMPUTED_VALUE"""),"Bosch CB A86 Arang Sepul Bostel Mesin Gerinda GWS 060")</f>
        <v>Bosch CB A86 Arang Sepul Bostel Mesin Gerinda GWS 060</v>
      </c>
      <c r="H166" s="3" t="str">
        <f>IFERROR(__xludf.DUMMYFUNCTION("""COMPUTED_VALUE"""),"Bosch")</f>
        <v>Bosch</v>
      </c>
      <c r="I166" s="3">
        <f>IFERROR(__xludf.DUMMYFUNCTION("""COMPUTED_VALUE"""),2.0)</f>
        <v>2</v>
      </c>
      <c r="J166" s="3" t="str">
        <f>IFERROR(__xludf.DUMMYFUNCTION("""COMPUTED_VALUE"""),"Set")</f>
        <v>Set</v>
      </c>
      <c r="K166" s="5" t="str">
        <f>IFERROR(__xludf.DUMMYFUNCTION("""COMPUTED_VALUE"""),"https://www.tokopedia.com/archive-tokohteknik/bosch-cb-a86-arang-sepul-bostel-mesin-gerinda-gws-060-6100-5100-8100?extParam=ivf%3Dfalse%26keyword%3Darang+bosch+gws+060&amp;src=topads")</f>
        <v>https://www.tokopedia.com/archive-tokohteknik/bosch-cb-a86-arang-sepul-bostel-mesin-gerinda-gws-060-6100-5100-8100?extParam=ivf%3Dfalse%26keyword%3Darang+bosch+gws+060&amp;src=topads</v>
      </c>
      <c r="L166" s="3" t="str">
        <f>IFERROR(__xludf.DUMMYFUNCTION("""COMPUTED_VALUE"""),"Carbon Brush buat grinda yang ada label ENG FIP, beli 2 set buat spare, 1 set 2 pasang")</f>
        <v>Carbon Brush buat grinda yang ada label ENG FIP, beli 2 set buat spare, 1 set 2 pasang</v>
      </c>
      <c r="M166" s="3" t="str">
        <f>IFERROR(__xludf.DUMMYFUNCTION("""COMPUTED_VALUE"""),"Approve")</f>
        <v>Approve</v>
      </c>
      <c r="N166" s="3" t="str">
        <f>IFERROR(__xludf.DUMMYFUNCTION("""COMPUTED_VALUE"""),"Normal")</f>
        <v>Normal</v>
      </c>
      <c r="O166" s="3" t="str">
        <f>IFERROR(__xludf.DUMMYFUNCTION("""COMPUTED_VALUE"""),"Non Urgent")</f>
        <v>Non Urgent</v>
      </c>
    </row>
    <row r="167">
      <c r="A167" s="4">
        <f>IFERROR(__xludf.DUMMYFUNCTION("""COMPUTED_VALUE"""),45766.414673402774)</f>
        <v>45766.41467</v>
      </c>
      <c r="B167" s="3" t="str">
        <f>IFERROR(__xludf.DUMMYFUNCTION("""COMPUTED_VALUE"""),"RIABR0033")</f>
        <v>RIABR0033</v>
      </c>
      <c r="C167" s="3" t="str">
        <f>IFERROR(__xludf.DUMMYFUNCTION("""COMPUTED_VALUE"""),"Consumable")</f>
        <v>Consumable</v>
      </c>
      <c r="D167" s="3" t="str">
        <f>IFERROR(__xludf.DUMMYFUNCTION("""COMPUTED_VALUE"""),"-")</f>
        <v>-</v>
      </c>
      <c r="E167" s="3" t="str">
        <f>IFERROR(__xludf.DUMMYFUNCTION("""COMPUTED_VALUE"""),"Mini Grinder Krisbow")</f>
        <v>Mini Grinder Krisbow</v>
      </c>
      <c r="F167" s="3" t="str">
        <f>IFERROR(__xludf.DUMMYFUNCTION("""COMPUTED_VALUE"""),"Carbon Brush")</f>
        <v>Carbon Brush</v>
      </c>
      <c r="G167" s="3" t="str">
        <f>IFERROR(__xludf.DUMMYFUNCTION("""COMPUTED_VALUE"""),"Carbon Brush SET HOUSING Mini Grinder")</f>
        <v>Carbon Brush SET HOUSING Mini Grinder</v>
      </c>
      <c r="H167" s="3" t="str">
        <f>IFERROR(__xludf.DUMMYFUNCTION("""COMPUTED_VALUE"""),"Lokal")</f>
        <v>Lokal</v>
      </c>
      <c r="I167" s="3">
        <f>IFERROR(__xludf.DUMMYFUNCTION("""COMPUTED_VALUE"""),2.0)</f>
        <v>2</v>
      </c>
      <c r="J167" s="3" t="str">
        <f>IFERROR(__xludf.DUMMYFUNCTION("""COMPUTED_VALUE"""),"Set")</f>
        <v>Set</v>
      </c>
      <c r="K167" s="5" t="str">
        <f>IFERROR(__xludf.DUMMYFUNCTION("""COMPUTED_VALUE"""),"https://shopee.co.id/product/3246591/4132666346?gads_t_sig=VTJGc2RHVmtYMTlxTFVSVVRrdENkVjhKejlrTjhjZ0djRXFyYU5xR2swS0Rldk5pSTRIdm1jNnZYN1ROa2ErVEsrNXVGb2tNZU5OL0kxbElZWUFWTmlxQnZwS0kzdElzZDhBMlhuei9aVWNnM2FUZW1acFJHODhzVXJSRHU0Y2k&amp;gad_source=4&amp;gclid=CjwKC"&amp;"Ajw8IfABhBXEiwAxRHlsPNk8F2XaGhcJH5VonHA_1TYtQvHJs_4abcRR7AEGWAJw5eyTud8uhoCw2EQAvD_BwE")</f>
        <v>https://shopee.co.id/product/3246591/4132666346?gads_t_sig=VTJGc2RHVmtYMTlxTFVSVVRrdENkVjhKejlrTjhjZ0djRXFyYU5xR2swS0Rldk5pSTRIdm1jNnZYN1ROa2ErVEsrNXVGb2tNZU5OL0kxbElZWUFWTmlxQnZwS0kzdElzZDhBMlhuei9aVWNnM2FUZW1acFJHODhzVXJSRHU0Y2k&amp;gad_source=4&amp;gclid=CjwKCAjw8IfABhBXEiwAxRHlsPNk8F2XaGhcJH5VonHA_1TYtQvHJs_4abcRR7AEGWAJw5eyTud8uhoCw2EQAvD_BwE</v>
      </c>
      <c r="L167" s="3" t="str">
        <f>IFERROR(__xludf.DUMMYFUNCTION("""COMPUTED_VALUE"""),"Untuk mini grinder krisbow, beli 2 set untuk spare, 1 set isi 2 pcs")</f>
        <v>Untuk mini grinder krisbow, beli 2 set untuk spare, 1 set isi 2 pcs</v>
      </c>
      <c r="M167" s="3" t="str">
        <f>IFERROR(__xludf.DUMMYFUNCTION("""COMPUTED_VALUE"""),"Reject")</f>
        <v>Reject</v>
      </c>
      <c r="N167" s="3" t="str">
        <f>IFERROR(__xludf.DUMMYFUNCTION("""COMPUTED_VALUE"""),"Normal")</f>
        <v>Normal</v>
      </c>
      <c r="O167" s="3" t="str">
        <f>IFERROR(__xludf.DUMMYFUNCTION("""COMPUTED_VALUE"""),"Non Urgent")</f>
        <v>Non Urgent</v>
      </c>
    </row>
    <row r="168">
      <c r="A168" s="4">
        <f>IFERROR(__xludf.DUMMYFUNCTION("""COMPUTED_VALUE"""),45767.48714099538)</f>
        <v>45767.48714</v>
      </c>
      <c r="B168" s="3" t="str">
        <f>IFERROR(__xludf.DUMMYFUNCTION("""COMPUTED_VALUE"""),"INNBR0022")</f>
        <v>INNBR0022</v>
      </c>
      <c r="C168" s="3" t="str">
        <f>IFERROR(__xludf.DUMMYFUNCTION("""COMPUTED_VALUE"""),"Consumable")</f>
        <v>Consumable</v>
      </c>
      <c r="D168" s="3" t="str">
        <f>IFERROR(__xludf.DUMMYFUNCTION("""COMPUTED_VALUE"""),"-")</f>
        <v>-</v>
      </c>
      <c r="E168" s="3" t="str">
        <f>IFERROR(__xludf.DUMMYFUNCTION("""COMPUTED_VALUE"""),"PC PMS")</f>
        <v>PC PMS</v>
      </c>
      <c r="F168" s="3" t="str">
        <f>IFERROR(__xludf.DUMMYFUNCTION("""COMPUTED_VALUE"""),"USB Extender")</f>
        <v>USB Extender</v>
      </c>
      <c r="G168" s="3" t="str">
        <f>IFERROR(__xludf.DUMMYFUNCTION("""COMPUTED_VALUE"""),"Link toped")</f>
        <v>Link toped</v>
      </c>
      <c r="H168" s="3"/>
      <c r="I168" s="3">
        <f>IFERROR(__xludf.DUMMYFUNCTION("""COMPUTED_VALUE"""),2.0)</f>
        <v>2</v>
      </c>
      <c r="J168" s="3" t="str">
        <f>IFERROR(__xludf.DUMMYFUNCTION("""COMPUTED_VALUE"""),"Unit")</f>
        <v>Unit</v>
      </c>
      <c r="K168" s="5" t="str">
        <f>IFERROR(__xludf.DUMMYFUNCTION("""COMPUTED_VALUE"""),"https://www.tokopedia.com/sinshe-tekno/usb-hub-vention-4-port-usb-3-0-2-0-high-speed-power-adapter-otg-chm-2-0-0-5m?utm_campaign=PDP-giuytjx86cja-1207886887-0&amp;utm_source=salinlink&amp;utm_medium=share")</f>
        <v>https://www.tokopedia.com/sinshe-tekno/usb-hub-vention-4-port-usb-3-0-2-0-high-speed-power-adapter-otg-chm-2-0-0-5m?utm_campaign=PDP-giuytjx86cja-1207886887-0&amp;utm_source=salinlink&amp;utm_medium=share</v>
      </c>
      <c r="L168" s="3" t="str">
        <f>IFERROR(__xludf.DUMMYFUNCTION("""COMPUTED_VALUE"""),"Untuk USB PC PMS")</f>
        <v>Untuk USB PC PMS</v>
      </c>
      <c r="M168" s="3" t="str">
        <f>IFERROR(__xludf.DUMMYFUNCTION("""COMPUTED_VALUE"""),"Approve")</f>
        <v>Approve</v>
      </c>
      <c r="N168" s="3" t="str">
        <f>IFERROR(__xludf.DUMMYFUNCTION("""COMPUTED_VALUE"""),"Normal")</f>
        <v>Normal</v>
      </c>
      <c r="O168" s="3" t="str">
        <f>IFERROR(__xludf.DUMMYFUNCTION("""COMPUTED_VALUE"""),"Non Urgent")</f>
        <v>Non Urgent</v>
      </c>
    </row>
    <row r="169">
      <c r="A169" s="4">
        <f>IFERROR(__xludf.DUMMYFUNCTION("""COMPUTED_VALUE"""),45768.411197951384)</f>
        <v>45768.4112</v>
      </c>
      <c r="B169" s="3" t="str">
        <f>IFERROR(__xludf.DUMMYFUNCTION("""COMPUTED_VALUE"""),"ROSBR0016")</f>
        <v>ROSBR0016</v>
      </c>
      <c r="C169" s="3" t="str">
        <f>IFERROR(__xludf.DUMMYFUNCTION("""COMPUTED_VALUE"""),"EJO")</f>
        <v>EJO</v>
      </c>
      <c r="D169" s="3" t="str">
        <f>IFERROR(__xludf.DUMMYFUNCTION("""COMPUTED_VALUE"""),"EJO/2025/04/77")</f>
        <v>EJO/2025/04/77</v>
      </c>
      <c r="E169" s="3" t="str">
        <f>IFERROR(__xludf.DUMMYFUNCTION("""COMPUTED_VALUE"""),"WIHC ")</f>
        <v>WIHC </v>
      </c>
      <c r="F169" s="3" t="str">
        <f>IFERROR(__xludf.DUMMYFUNCTION("""COMPUTED_VALUE"""),"Drain Pan WIHC ")</f>
        <v>Drain Pan WIHC </v>
      </c>
      <c r="G169" s="3" t="str">
        <f>IFERROR(__xludf.DUMMYFUNCTION("""COMPUTED_VALUE"""),"- Machining Plate Mat'l SUS 304
- Proses Laser Cutting
- Profil Bending Tekuk
- Assembly Welding
- finishing")</f>
        <v>- Machining Plate Mat'l SUS 304
- Proses Laser Cutting
- Profil Bending Tekuk
- Assembly Welding
- finishing</v>
      </c>
      <c r="H169" s="3" t="str">
        <f>IFERROR(__xludf.DUMMYFUNCTION("""COMPUTED_VALUE"""),"General")</f>
        <v>General</v>
      </c>
      <c r="I169" s="3">
        <f>IFERROR(__xludf.DUMMYFUNCTION("""COMPUTED_VALUE"""),2.0)</f>
        <v>2</v>
      </c>
      <c r="J169" s="3" t="str">
        <f>IFERROR(__xludf.DUMMYFUNCTION("""COMPUTED_VALUE"""),"unit")</f>
        <v>unit</v>
      </c>
      <c r="K169" s="5" t="str">
        <f>IFERROR(__xludf.DUMMYFUNCTION("""COMPUTED_VALUE"""),"https://drive.google.com/file/d/1QSZ3V00IWsdOeba0ypcmV6z7L1vX0D6R/view?usp=drive_link")</f>
        <v>https://drive.google.com/file/d/1QSZ3V00IWsdOeba0ypcmV6z7L1vX0D6R/view?usp=drive_link</v>
      </c>
      <c r="L169" s="5" t="str">
        <f>IFERROR(__xludf.DUMMYFUNCTION("""COMPUTED_VALUE"""),"https://drive.google.com/file/d/1QSZ3V00IWsdOeba0ypcmV6z7L1vX0D6R/view?usp=drive_link")</f>
        <v>https://drive.google.com/file/d/1QSZ3V00IWsdOeba0ypcmV6z7L1vX0D6R/view?usp=drive_link</v>
      </c>
      <c r="M169" s="3" t="str">
        <f>IFERROR(__xludf.DUMMYFUNCTION("""COMPUTED_VALUE"""),"Approve")</f>
        <v>Approve</v>
      </c>
      <c r="N169" s="3" t="str">
        <f>IFERROR(__xludf.DUMMYFUNCTION("""COMPUTED_VALUE"""),"Normal")</f>
        <v>Normal</v>
      </c>
      <c r="O169" s="3" t="str">
        <f>IFERROR(__xludf.DUMMYFUNCTION("""COMPUTED_VALUE"""),"Non Urgent")</f>
        <v>Non Urgent</v>
      </c>
    </row>
    <row r="170">
      <c r="A170" s="4">
        <f>IFERROR(__xludf.DUMMYFUNCTION("""COMPUTED_VALUE"""),45770.680162337965)</f>
        <v>45770.68016</v>
      </c>
      <c r="B170" s="3" t="str">
        <f>IFERROR(__xludf.DUMMYFUNCTION("""COMPUTED_VALUE"""),"INNBR0023")</f>
        <v>INNBR0023</v>
      </c>
      <c r="C170" s="3" t="str">
        <f>IFERROR(__xludf.DUMMYFUNCTION("""COMPUTED_VALUE"""),"Critical Part")</f>
        <v>Critical Part</v>
      </c>
      <c r="D170" s="3" t="str">
        <f>IFERROR(__xludf.DUMMYFUNCTION("""COMPUTED_VALUE"""),"-")</f>
        <v>-</v>
      </c>
      <c r="E170" s="3" t="str">
        <f>IFERROR(__xludf.DUMMYFUNCTION("""COMPUTED_VALUE"""),"GMP Washer")</f>
        <v>GMP Washer</v>
      </c>
      <c r="F170" s="3" t="str">
        <f>IFERROR(__xludf.DUMMYFUNCTION("""COMPUTED_VALUE"""),"Chemical Flowmeter 932-9301/P2 FHKSC PVDF Ø4-6mm 14.4L/h  DIGMESA")</f>
        <v>Chemical Flowmeter 932-9301/P2 FHKSC PVDF Ø4-6mm 14.4L/h  DIGMESA</v>
      </c>
      <c r="G170" s="3" t="str">
        <f>IFERROR(__xludf.DUMMYFUNCTION("""COMPUTED_VALUE"""),"Proses penawaran")</f>
        <v>Proses penawaran</v>
      </c>
      <c r="H170" s="3" t="str">
        <f>IFERROR(__xludf.DUMMYFUNCTION("""COMPUTED_VALUE"""),"DIGMESA")</f>
        <v>DIGMESA</v>
      </c>
      <c r="I170" s="3">
        <f>IFERROR(__xludf.DUMMYFUNCTION("""COMPUTED_VALUE"""),2.0)</f>
        <v>2</v>
      </c>
      <c r="J170" s="3" t="str">
        <f>IFERROR(__xludf.DUMMYFUNCTION("""COMPUTED_VALUE"""),"pcs")</f>
        <v>pcs</v>
      </c>
      <c r="K170" s="3" t="str">
        <f>IFERROR(__xludf.DUMMYFUNCTION("""COMPUTED_VALUE"""),"Tunngu penawarn dari vendor")</f>
        <v>Tunngu penawarn dari vendor</v>
      </c>
      <c r="L170" s="3" t="str">
        <f>IFERROR(__xludf.DUMMYFUNCTION("""COMPUTED_VALUE"""),"Untuk Flowmeter chemical mesin GMP (REJECT BY MFH, KALAU SUDAH ADA PENAWARAN SILAHKAN BQ ULANG)")</f>
        <v>Untuk Flowmeter chemical mesin GMP (REJECT BY MFH, KALAU SUDAH ADA PENAWARAN SILAHKAN BQ ULANG)</v>
      </c>
      <c r="M170" s="3" t="str">
        <f>IFERROR(__xludf.DUMMYFUNCTION("""COMPUTED_VALUE"""),"Reject")</f>
        <v>Reject</v>
      </c>
      <c r="N170" s="3" t="str">
        <f>IFERROR(__xludf.DUMMYFUNCTION("""COMPUTED_VALUE"""),"Normal")</f>
        <v>Normal</v>
      </c>
      <c r="O170" s="3" t="str">
        <f>IFERROR(__xludf.DUMMYFUNCTION("""COMPUTED_VALUE"""),"Non Urgent")</f>
        <v>Non Urgent</v>
      </c>
    </row>
    <row r="171">
      <c r="A171" s="4">
        <f>IFERROR(__xludf.DUMMYFUNCTION("""COMPUTED_VALUE"""),45771.34415167825)</f>
        <v>45771.34415</v>
      </c>
      <c r="B171" s="3" t="str">
        <f>IFERROR(__xludf.DUMMYFUNCTION("""COMPUTED_VALUE"""),"INNBR0024")</f>
        <v>INNBR0024</v>
      </c>
      <c r="C171" s="3" t="str">
        <f>IFERROR(__xludf.DUMMYFUNCTION("""COMPUTED_VALUE"""),"Consumable")</f>
        <v>Consumable</v>
      </c>
      <c r="D171" s="3" t="str">
        <f>IFERROR(__xludf.DUMMYFUNCTION("""COMPUTED_VALUE"""),"-")</f>
        <v>-</v>
      </c>
      <c r="E171" s="3" t="str">
        <f>IFERROR(__xludf.DUMMYFUNCTION("""COMPUTED_VALUE"""),"HE Washbay")</f>
        <v>HE Washbay</v>
      </c>
      <c r="F171" s="3" t="str">
        <f>IFERROR(__xludf.DUMMYFUNCTION("""COMPUTED_VALUE"""),"Tubing M6 Blue Festo")</f>
        <v>Tubing M6 Blue Festo</v>
      </c>
      <c r="G171" s="3" t="str">
        <f>IFERROR(__xludf.DUMMYFUNCTION("""COMPUTED_VALUE"""),"Warna biru")</f>
        <v>Warna biru</v>
      </c>
      <c r="H171" s="3" t="str">
        <f>IFERROR(__xludf.DUMMYFUNCTION("""COMPUTED_VALUE"""),"Festo")</f>
        <v>Festo</v>
      </c>
      <c r="I171" s="3">
        <f>IFERROR(__xludf.DUMMYFUNCTION("""COMPUTED_VALUE"""),30.0)</f>
        <v>30</v>
      </c>
      <c r="J171" s="3" t="str">
        <f>IFERROR(__xludf.DUMMYFUNCTION("""COMPUTED_VALUE"""),"meter")</f>
        <v>meter</v>
      </c>
      <c r="K171" s="3" t="str">
        <f>IFERROR(__xludf.DUMMYFUNCTION("""COMPUTED_VALUE"""),"-")</f>
        <v>-</v>
      </c>
      <c r="L171" s="3" t="str">
        <f>IFERROR(__xludf.DUMMYFUNCTION("""COMPUTED_VALUE"""),"HE Washbay")</f>
        <v>HE Washbay</v>
      </c>
      <c r="M171" s="3" t="str">
        <f>IFERROR(__xludf.DUMMYFUNCTION("""COMPUTED_VALUE"""),"Approve")</f>
        <v>Approve</v>
      </c>
      <c r="N171" s="3" t="str">
        <f>IFERROR(__xludf.DUMMYFUNCTION("""COMPUTED_VALUE"""),"Normal")</f>
        <v>Normal</v>
      </c>
      <c r="O171" s="3" t="str">
        <f>IFERROR(__xludf.DUMMYFUNCTION("""COMPUTED_VALUE"""),"Non Urgent")</f>
        <v>Non Urgent</v>
      </c>
    </row>
    <row r="172">
      <c r="A172" s="4">
        <f>IFERROR(__xludf.DUMMYFUNCTION("""COMPUTED_VALUE"""),45772.73327802083)</f>
        <v>45772.73328</v>
      </c>
      <c r="B172" s="3" t="str">
        <f>IFERROR(__xludf.DUMMYFUNCTION("""COMPUTED_VALUE"""),"NDSBR0011")</f>
        <v>NDSBR0011</v>
      </c>
      <c r="C172" s="3" t="str">
        <f>IFERROR(__xludf.DUMMYFUNCTION("""COMPUTED_VALUE"""),"Consumable")</f>
        <v>Consumable</v>
      </c>
      <c r="D172" s="3" t="str">
        <f>IFERROR(__xludf.DUMMYFUNCTION("""COMPUTED_VALUE"""),"-")</f>
        <v>-</v>
      </c>
      <c r="E172" s="3" t="str">
        <f>IFERROR(__xludf.DUMMYFUNCTION("""COMPUTED_VALUE"""),"Toolbox Hijau")</f>
        <v>Toolbox Hijau</v>
      </c>
      <c r="F172" s="3" t="str">
        <f>IFERROR(__xludf.DUMMYFUNCTION("""COMPUTED_VALUE"""),"Screw Driver ")</f>
        <v>Screw Driver </v>
      </c>
      <c r="G172" s="3" t="str">
        <f>IFERROR(__xludf.DUMMYFUNCTION("""COMPUTED_VALUE"""),"Krisbow 6x100mm")</f>
        <v>Krisbow 6x100mm</v>
      </c>
      <c r="H172" s="3" t="str">
        <f>IFERROR(__xludf.DUMMYFUNCTION("""COMPUTED_VALUE"""),"Krisbow")</f>
        <v>Krisbow</v>
      </c>
      <c r="I172" s="3">
        <f>IFERROR(__xludf.DUMMYFUNCTION("""COMPUTED_VALUE"""),1.0)</f>
        <v>1</v>
      </c>
      <c r="J172" s="3" t="str">
        <f>IFERROR(__xludf.DUMMYFUNCTION("""COMPUTED_VALUE"""),"Pcs")</f>
        <v>Pcs</v>
      </c>
      <c r="K172" s="5" t="str">
        <f>IFERROR(__xludf.DUMMYFUNCTION("""COMPUTED_VALUE"""),"https://www.tokopedia.com/mabateknik/obeng-listrik-electrician-screwdriver-pz-6x100mm-krisbow-kw0100765")</f>
        <v>https://www.tokopedia.com/mabateknik/obeng-listrik-electrician-screwdriver-pz-6x100mm-krisbow-kw0100765</v>
      </c>
      <c r="L172" s="3" t="str">
        <f>IFERROR(__xludf.DUMMYFUNCTION("""COMPUTED_VALUE"""),"Obeng sebelumnya ujung nya sudah rusak")</f>
        <v>Obeng sebelumnya ujung nya sudah rusak</v>
      </c>
      <c r="M172" s="3" t="str">
        <f>IFERROR(__xludf.DUMMYFUNCTION("""COMPUTED_VALUE"""),"Approve")</f>
        <v>Approve</v>
      </c>
      <c r="N172" s="3" t="str">
        <f>IFERROR(__xludf.DUMMYFUNCTION("""COMPUTED_VALUE"""),"Normal")</f>
        <v>Normal</v>
      </c>
      <c r="O172" s="3" t="str">
        <f>IFERROR(__xludf.DUMMYFUNCTION("""COMPUTED_VALUE"""),"Non Urgent")</f>
        <v>Non Urgent</v>
      </c>
    </row>
    <row r="173">
      <c r="A173" s="4">
        <f>IFERROR(__xludf.DUMMYFUNCTION("""COMPUTED_VALUE"""),45775.51172054398)</f>
        <v>45775.51172</v>
      </c>
      <c r="B173" s="3" t="str">
        <f>IFERROR(__xludf.DUMMYFUNCTION("""COMPUTED_VALUE"""),"RIABR0034")</f>
        <v>RIABR0034</v>
      </c>
      <c r="C173" s="3" t="str">
        <f>IFERROR(__xludf.DUMMYFUNCTION("""COMPUTED_VALUE"""),"EJO")</f>
        <v>EJO</v>
      </c>
      <c r="D173" s="3" t="str">
        <f>IFERROR(__xludf.DUMMYFUNCTION("""COMPUTED_VALUE"""),"EJO/2025/05/01")</f>
        <v>EJO/2025/05/01</v>
      </c>
      <c r="E173" s="3" t="str">
        <f>IFERROR(__xludf.DUMMYFUNCTION("""COMPUTED_VALUE"""),"WWTP")</f>
        <v>WWTP</v>
      </c>
      <c r="F173" s="3" t="str">
        <f>IFERROR(__xludf.DUMMYFUNCTION("""COMPUTED_VALUE"""),"Solenoid Valve")</f>
        <v>Solenoid Valve</v>
      </c>
      <c r="G173" s="3" t="str">
        <f>IFERROR(__xludf.DUMMYFUNCTION("""COMPUTED_VALUE"""),"Solenoid 2/2 way normally open atau NO bahan kuningan bisa dipakai buat angin , oli , air
Port size : 1 inch
Effective area : 25mm
Operating temperature range : -5 - 85°C
2 /2 way Normally Open
Operating pressure : 0 - 9kgf
Voltase ada AC220V")</f>
        <v>Solenoid 2/2 way normally open atau NO bahan kuningan bisa dipakai buat angin , oli , air
Port size : 1 inch
Effective area : 25mm
Operating temperature range : -5 - 85°C
2 /2 way Normally Open
Operating pressure : 0 - 9kgf
Voltase ada AC220V</v>
      </c>
      <c r="H173" s="3" t="str">
        <f>IFERROR(__xludf.DUMMYFUNCTION("""COMPUTED_VALUE"""),"Airodk")</f>
        <v>Airodk</v>
      </c>
      <c r="I173" s="3">
        <f>IFERROR(__xludf.DUMMYFUNCTION("""COMPUTED_VALUE"""),1.0)</f>
        <v>1</v>
      </c>
      <c r="J173" s="3" t="str">
        <f>IFERROR(__xludf.DUMMYFUNCTION("""COMPUTED_VALUE"""),"Pcs")</f>
        <v>Pcs</v>
      </c>
      <c r="K173" s="5" t="str">
        <f>IFERROR(__xludf.DUMMYFUNCTION("""COMPUTED_VALUE"""),"https://www.tokopedia.com/rjpneumatic/solenoid-valve-kuningan-2-2-way-normally-open-no-2k250-25-1-inch?extParam=ivf%3Dfalse%26keyword%3Dsolenoid+valve+1+inch+normally+open%26search_id%3D20250428051047974731B8B0DFF82DASKT%26src%3Dsearch")</f>
        <v>https://www.tokopedia.com/rjpneumatic/solenoid-valve-kuningan-2-2-way-normally-open-no-2k250-25-1-inch?extParam=ivf%3Dfalse%26keyword%3Dsolenoid+valve+1+inch+normally+open%26search_id%3D20250428051047974731B8B0DFF82DASKT%26src%3Dsearch</v>
      </c>
      <c r="L173" s="3" t="str">
        <f>IFERROR(__xludf.DUMMYFUNCTION("""COMPUTED_VALUE"""),"Ini untuk ORP WWTP yang ke CFM, size dratnya 1 inch dan ini normally open ya, Di note NO ya karena yang sebelumnya NC, ganti ke NO ya")</f>
        <v>Ini untuk ORP WWTP yang ke CFM, size dratnya 1 inch dan ini normally open ya, Di note NO ya karena yang sebelumnya NC, ganti ke NO ya</v>
      </c>
      <c r="M173" s="3" t="str">
        <f>IFERROR(__xludf.DUMMYFUNCTION("""COMPUTED_VALUE"""),"Approve")</f>
        <v>Approve</v>
      </c>
      <c r="N173" s="3" t="str">
        <f>IFERROR(__xludf.DUMMYFUNCTION("""COMPUTED_VALUE"""),"Normal")</f>
        <v>Normal</v>
      </c>
      <c r="O173" s="3" t="str">
        <f>IFERROR(__xludf.DUMMYFUNCTION("""COMPUTED_VALUE"""),"Non Urgent")</f>
        <v>Non Urgent</v>
      </c>
    </row>
    <row r="174">
      <c r="A174" s="4">
        <f>IFERROR(__xludf.DUMMYFUNCTION("""COMPUTED_VALUE"""),45775.81077163194)</f>
        <v>45775.81077</v>
      </c>
      <c r="B174" s="3" t="str">
        <f>IFERROR(__xludf.DUMMYFUNCTION("""COMPUTED_VALUE"""),"INNBR0025")</f>
        <v>INNBR0025</v>
      </c>
      <c r="C174" s="3" t="str">
        <f>IFERROR(__xludf.DUMMYFUNCTION("""COMPUTED_VALUE"""),"Critical Part")</f>
        <v>Critical Part</v>
      </c>
      <c r="D174" s="3" t="str">
        <f>IFERROR(__xludf.DUMMYFUNCTION("""COMPUTED_VALUE"""),"-")</f>
        <v>-</v>
      </c>
      <c r="E174" s="3" t="str">
        <f>IFERROR(__xludf.DUMMYFUNCTION("""COMPUTED_VALUE"""),"Capping")</f>
        <v>Capping</v>
      </c>
      <c r="F174" s="3" t="str">
        <f>IFERROR(__xludf.DUMMYFUNCTION("""COMPUTED_VALUE"""),"Spring Tekan Steel Dia. 2.5mm, OD 15.5mm, Panjang 71.3mm")</f>
        <v>Spring Tekan Steel Dia. 2.5mm, OD 15.5mm, Panjang 71.3mm</v>
      </c>
      <c r="G174" s="3" t="str">
        <f>IFERROR(__xludf.DUMMYFUNCTION("""COMPUTED_VALUE"""),"Sesuai penawaran")</f>
        <v>Sesuai penawaran</v>
      </c>
      <c r="H174" s="3" t="str">
        <f>IFERROR(__xludf.DUMMYFUNCTION("""COMPUTED_VALUE"""),"Custom")</f>
        <v>Custom</v>
      </c>
      <c r="I174" s="3">
        <f>IFERROR(__xludf.DUMMYFUNCTION("""COMPUTED_VALUE"""),10.0)</f>
        <v>10</v>
      </c>
      <c r="J174" s="3" t="str">
        <f>IFERROR(__xludf.DUMMYFUNCTION("""COMPUTED_VALUE"""),"pcs")</f>
        <v>pcs</v>
      </c>
      <c r="K174" s="5" t="str">
        <f>IFERROR(__xludf.DUMMYFUNCTION("""COMPUTED_VALUE"""),"https://drive.google.com/file/d/11iSifyr3VaNC-bhW66h7oKBSKoARNagt/view?usp=drive_link")</f>
        <v>https://drive.google.com/file/d/11iSifyr3VaNC-bhW66h7oKBSKoARNagt/view?usp=drive_link</v>
      </c>
      <c r="L174" s="3" t="str">
        <f>IFERROR(__xludf.DUMMYFUNCTION("""COMPUTED_VALUE"""),"Base plate capping( sudah mulai berkurang panjangnya)")</f>
        <v>Base plate capping( sudah mulai berkurang panjangnya)</v>
      </c>
      <c r="M174" s="3" t="str">
        <f>IFERROR(__xludf.DUMMYFUNCTION("""COMPUTED_VALUE"""),"Approve")</f>
        <v>Approve</v>
      </c>
      <c r="N174" s="3" t="str">
        <f>IFERROR(__xludf.DUMMYFUNCTION("""COMPUTED_VALUE"""),"Normal")</f>
        <v>Normal</v>
      </c>
      <c r="O174" s="3" t="str">
        <f>IFERROR(__xludf.DUMMYFUNCTION("""COMPUTED_VALUE"""),"Non Urgent")</f>
        <v>Non Urgent</v>
      </c>
    </row>
    <row r="175">
      <c r="A175" s="4">
        <f>IFERROR(__xludf.DUMMYFUNCTION("""COMPUTED_VALUE"""),45776.64317130787)</f>
        <v>45776.64317</v>
      </c>
      <c r="B175" s="3" t="str">
        <f>IFERROR(__xludf.DUMMYFUNCTION("""COMPUTED_VALUE"""),"INNBR0026")</f>
        <v>INNBR0026</v>
      </c>
      <c r="C175" s="3" t="str">
        <f>IFERROR(__xludf.DUMMYFUNCTION("""COMPUTED_VALUE"""),"EJO")</f>
        <v>EJO</v>
      </c>
      <c r="D175" s="3" t="str">
        <f>IFERROR(__xludf.DUMMYFUNCTION("""COMPUTED_VALUE"""),"EJO/2025/04/91")</f>
        <v>EJO/2025/04/91</v>
      </c>
      <c r="E175" s="3" t="str">
        <f>IFERROR(__xludf.DUMMYFUNCTION("""COMPUTED_VALUE"""),"Melting Point")</f>
        <v>Melting Point</v>
      </c>
      <c r="F175" s="3" t="str">
        <f>IFERROR(__xludf.DUMMYFUNCTION("""COMPUTED_VALUE"""),"051974/Membrane keyboard M-565")</f>
        <v>051974/Membrane keyboard M-565</v>
      </c>
      <c r="G175" s="3" t="str">
        <f>IFERROR(__xludf.DUMMYFUNCTION("""COMPUTED_VALUE"""),"Sesuai penawaran")</f>
        <v>Sesuai penawaran</v>
      </c>
      <c r="H175" s="3" t="str">
        <f>IFERROR(__xludf.DUMMYFUNCTION("""COMPUTED_VALUE"""),"Buchi")</f>
        <v>Buchi</v>
      </c>
      <c r="I175" s="3">
        <f>IFERROR(__xludf.DUMMYFUNCTION("""COMPUTED_VALUE"""),1.0)</f>
        <v>1</v>
      </c>
      <c r="J175" s="3" t="str">
        <f>IFERROR(__xludf.DUMMYFUNCTION("""COMPUTED_VALUE"""),"pcs")</f>
        <v>pcs</v>
      </c>
      <c r="K175" s="5" t="str">
        <f>IFERROR(__xludf.DUMMYFUNCTION("""COMPUTED_VALUE"""),"https://drive.google.com/file/d/1aHdQP5TGXIj0ZCcAUYbhgnZ6TqbZRjqb/view?usp=drive_link")</f>
        <v>https://drive.google.com/file/d/1aHdQP5TGXIj0ZCcAUYbhgnZ6TqbZRjqb/view?usp=drive_link</v>
      </c>
      <c r="L175" s="3" t="str">
        <f>IFERROR(__xludf.DUMMYFUNCTION("""COMPUTED_VALUE"""),"Untuk pengganti keypad melting point")</f>
        <v>Untuk pengganti keypad melting point</v>
      </c>
      <c r="M175" s="3" t="str">
        <f>IFERROR(__xludf.DUMMYFUNCTION("""COMPUTED_VALUE"""),"Approve")</f>
        <v>Approve</v>
      </c>
      <c r="N175" s="3" t="str">
        <f>IFERROR(__xludf.DUMMYFUNCTION("""COMPUTED_VALUE"""),"Normal")</f>
        <v>Normal</v>
      </c>
      <c r="O175" s="3" t="str">
        <f>IFERROR(__xludf.DUMMYFUNCTION("""COMPUTED_VALUE"""),"Non Urgent")</f>
        <v>Non Urgent</v>
      </c>
    </row>
    <row r="176">
      <c r="A176" s="4">
        <f>IFERROR(__xludf.DUMMYFUNCTION("""COMPUTED_VALUE"""),45776.644754270834)</f>
        <v>45776.64475</v>
      </c>
      <c r="B176" s="3" t="str">
        <f>IFERROR(__xludf.DUMMYFUNCTION("""COMPUTED_VALUE"""),"INNBR0027")</f>
        <v>INNBR0027</v>
      </c>
      <c r="C176" s="3" t="str">
        <f>IFERROR(__xludf.DUMMYFUNCTION("""COMPUTED_VALUE"""),"EJO")</f>
        <v>EJO</v>
      </c>
      <c r="D176" s="3" t="str">
        <f>IFERROR(__xludf.DUMMYFUNCTION("""COMPUTED_VALUE"""),"EJO/2025/04/91")</f>
        <v>EJO/2025/04/91</v>
      </c>
      <c r="E176" s="3" t="str">
        <f>IFERROR(__xludf.DUMMYFUNCTION("""COMPUTED_VALUE"""),"Melting Point")</f>
        <v>Melting Point</v>
      </c>
      <c r="F176" s="3" t="str">
        <f>IFERROR(__xludf.DUMMYFUNCTION("""COMPUTED_VALUE"""),"11CSN12331/CARE Repair M-565")</f>
        <v>11CSN12331/CARE Repair M-565</v>
      </c>
      <c r="G176" s="3" t="str">
        <f>IFERROR(__xludf.DUMMYFUNCTION("""COMPUTED_VALUE"""),"Sesuai penawaran")</f>
        <v>Sesuai penawaran</v>
      </c>
      <c r="H176" s="3" t="str">
        <f>IFERROR(__xludf.DUMMYFUNCTION("""COMPUTED_VALUE"""),"Buchi")</f>
        <v>Buchi</v>
      </c>
      <c r="I176" s="3">
        <f>IFERROR(__xludf.DUMMYFUNCTION("""COMPUTED_VALUE"""),1.0)</f>
        <v>1</v>
      </c>
      <c r="J176" s="3" t="str">
        <f>IFERROR(__xludf.DUMMYFUNCTION("""COMPUTED_VALUE"""),"pcs")</f>
        <v>pcs</v>
      </c>
      <c r="K176" s="5" t="str">
        <f>IFERROR(__xludf.DUMMYFUNCTION("""COMPUTED_VALUE"""),"https://drive.google.com/file/d/1aHdQP5TGXIj0ZCcAUYbhgnZ6TqbZRjqb/view?usp=drive_link")</f>
        <v>https://drive.google.com/file/d/1aHdQP5TGXIj0ZCcAUYbhgnZ6TqbZRjqb/view?usp=drive_link</v>
      </c>
      <c r="L176" s="3" t="str">
        <f>IFERROR(__xludf.DUMMYFUNCTION("""COMPUTED_VALUE"""),"Untuk jasa penggantian dll")</f>
        <v>Untuk jasa penggantian dll</v>
      </c>
      <c r="M176" s="3" t="str">
        <f>IFERROR(__xludf.DUMMYFUNCTION("""COMPUTED_VALUE"""),"Approve")</f>
        <v>Approve</v>
      </c>
      <c r="N176" s="3" t="str">
        <f>IFERROR(__xludf.DUMMYFUNCTION("""COMPUTED_VALUE"""),"Normal")</f>
        <v>Normal</v>
      </c>
      <c r="O176" s="3" t="str">
        <f>IFERROR(__xludf.DUMMYFUNCTION("""COMPUTED_VALUE"""),"Non Urgent")</f>
        <v>Non Urgent</v>
      </c>
    </row>
    <row r="177">
      <c r="A177" s="4">
        <f>IFERROR(__xludf.DUMMYFUNCTION("""COMPUTED_VALUE"""),45776.65355793982)</f>
        <v>45776.65356</v>
      </c>
      <c r="B177" s="3" t="str">
        <f>IFERROR(__xludf.DUMMYFUNCTION("""COMPUTED_VALUE"""),"MRNBR0012")</f>
        <v>MRNBR0012</v>
      </c>
      <c r="C177" s="3" t="str">
        <f>IFERROR(__xludf.DUMMYFUNCTION("""COMPUTED_VALUE"""),"EJO")</f>
        <v>EJO</v>
      </c>
      <c r="D177" s="3" t="str">
        <f>IFERROR(__xludf.DUMMYFUNCTION("""COMPUTED_VALUE"""),"EJO/2025/04/111")</f>
        <v>EJO/2025/04/111</v>
      </c>
      <c r="E177" s="3" t="str">
        <f>IFERROR(__xludf.DUMMYFUNCTION("""COMPUTED_VALUE"""),"Sutter door warehouse")</f>
        <v>Sutter door warehouse</v>
      </c>
      <c r="F177" s="3" t="str">
        <f>IFERROR(__xludf.DUMMYFUNCTION("""COMPUTED_VALUE"""),"Modul safety sensor")</f>
        <v>Modul safety sensor</v>
      </c>
      <c r="G177" s="3" t="str">
        <f>IFERROR(__xludf.DUMMYFUNCTION("""COMPUTED_VALUE"""),"Safety solution type SK 34-32")</f>
        <v>Safety solution type SK 34-32</v>
      </c>
      <c r="H177" s="3" t="str">
        <f>IFERROR(__xludf.DUMMYFUNCTION("""COMPUTED_VALUE"""),"ASO")</f>
        <v>ASO</v>
      </c>
      <c r="I177" s="3">
        <f>IFERROR(__xludf.DUMMYFUNCTION("""COMPUTED_VALUE"""),1.0)</f>
        <v>1</v>
      </c>
      <c r="J177" s="3" t="str">
        <f>IFERROR(__xludf.DUMMYFUNCTION("""COMPUTED_VALUE"""),"unit")</f>
        <v>unit</v>
      </c>
      <c r="K177" s="5" t="str">
        <f>IFERROR(__xludf.DUMMYFUNCTION("""COMPUTED_VALUE"""),"https://www.doorautomation24.com/sensors/sensors_control-units/aso-safety-elmon-relay-34-32-control-unit.html")</f>
        <v>https://www.doorautomation24.com/sensors/sensors_control-units/aso-safety-elmon-relay-34-32-control-unit.html</v>
      </c>
      <c r="L177" s="3" t="str">
        <f>IFERROR(__xludf.DUMMYFUNCTION("""COMPUTED_VALUE"""),"Untuk sutter door dan kontaknya https://www.asosafety.com/contact 
(REJECT BY MFH KARENA BARANG SUSAH DICARI, SILAHKAN CARI KESETARAAN DI BRAND LAIN YANG LEBIH COMMON)")</f>
        <v>Untuk sutter door dan kontaknya https://www.asosafety.com/contact 
(REJECT BY MFH KARENA BARANG SUSAH DICARI, SILAHKAN CARI KESETARAAN DI BRAND LAIN YANG LEBIH COMMON)</v>
      </c>
      <c r="M177" s="3" t="str">
        <f>IFERROR(__xludf.DUMMYFUNCTION("""COMPUTED_VALUE"""),"Reject")</f>
        <v>Reject</v>
      </c>
      <c r="N177" s="3" t="str">
        <f>IFERROR(__xludf.DUMMYFUNCTION("""COMPUTED_VALUE"""),"Normal")</f>
        <v>Normal</v>
      </c>
      <c r="O177" s="3" t="str">
        <f>IFERROR(__xludf.DUMMYFUNCTION("""COMPUTED_VALUE"""),"Non Urgent")</f>
        <v>Non Urgent</v>
      </c>
    </row>
    <row r="178">
      <c r="A178" s="4">
        <f>IFERROR(__xludf.DUMMYFUNCTION("""COMPUTED_VALUE"""),45776.66439168982)</f>
        <v>45776.66439</v>
      </c>
      <c r="B178" s="3" t="str">
        <f>IFERROR(__xludf.DUMMYFUNCTION("""COMPUTED_VALUE"""),"RIABR0035")</f>
        <v>RIABR0035</v>
      </c>
      <c r="C178" s="3" t="str">
        <f>IFERROR(__xludf.DUMMYFUNCTION("""COMPUTED_VALUE"""),"EJO")</f>
        <v>EJO</v>
      </c>
      <c r="D178" s="3" t="str">
        <f>IFERROR(__xludf.DUMMYFUNCTION("""COMPUTED_VALUE"""),"EJO/2025/05/05")</f>
        <v>EJO/2025/05/05</v>
      </c>
      <c r="E178" s="3" t="str">
        <f>IFERROR(__xludf.DUMMYFUNCTION("""COMPUTED_VALUE"""),"Alarm System")</f>
        <v>Alarm System</v>
      </c>
      <c r="F178" s="3" t="str">
        <f>IFERROR(__xludf.DUMMYFUNCTION("""COMPUTED_VALUE"""),"Socket Relay")</f>
        <v>Socket Relay</v>
      </c>
      <c r="G178" s="3" t="str">
        <f>IFERROR(__xludf.DUMMYFUNCTION("""COMPUTED_VALUE"""),"Socket Relay For Omron MY4")</f>
        <v>Socket Relay For Omron MY4</v>
      </c>
      <c r="H178" s="3" t="str">
        <f>IFERROR(__xludf.DUMMYFUNCTION("""COMPUTED_VALUE"""),"Lokal")</f>
        <v>Lokal</v>
      </c>
      <c r="I178" s="3">
        <f>IFERROR(__xludf.DUMMYFUNCTION("""COMPUTED_VALUE"""),1.0)</f>
        <v>1</v>
      </c>
      <c r="J178" s="3" t="str">
        <f>IFERROR(__xludf.DUMMYFUNCTION("""COMPUTED_VALUE"""),"Pack")</f>
        <v>Pack</v>
      </c>
      <c r="K178" s="5" t="str">
        <f>IFERROR(__xludf.DUMMYFUNCTION("""COMPUTED_VALUE"""),"https://www.tokopedia.com/rekomendasi/485993699")</f>
        <v>https://www.tokopedia.com/rekomendasi/485993699</v>
      </c>
      <c r="L178" s="3" t="str">
        <f>IFERROR(__xludf.DUMMYFUNCTION("""COMPUTED_VALUE"""),"Buat alarm system HC baru stability, BOD 1,3,5, Refrigerator Micro")</f>
        <v>Buat alarm system HC baru stability, BOD 1,3,5, Refrigerator Micro</v>
      </c>
      <c r="M178" s="3" t="str">
        <f>IFERROR(__xludf.DUMMYFUNCTION("""COMPUTED_VALUE"""),"Approve")</f>
        <v>Approve</v>
      </c>
      <c r="N178" s="3" t="str">
        <f>IFERROR(__xludf.DUMMYFUNCTION("""COMPUTED_VALUE"""),"Normal")</f>
        <v>Normal</v>
      </c>
      <c r="O178" s="3" t="str">
        <f>IFERROR(__xludf.DUMMYFUNCTION("""COMPUTED_VALUE"""),"Non Urgent")</f>
        <v>Non Urgent</v>
      </c>
    </row>
    <row r="179">
      <c r="A179" s="4">
        <f>IFERROR(__xludf.DUMMYFUNCTION("""COMPUTED_VALUE"""),45777.39889085648)</f>
        <v>45777.39889</v>
      </c>
      <c r="B179" s="3" t="str">
        <f>IFERROR(__xludf.DUMMYFUNCTION("""COMPUTED_VALUE"""),"MOBBR0026")</f>
        <v>MOBBR0026</v>
      </c>
      <c r="C179" s="3" t="str">
        <f>IFERROR(__xludf.DUMMYFUNCTION("""COMPUTED_VALUE"""),"Consumable")</f>
        <v>Consumable</v>
      </c>
      <c r="D179" s="3" t="str">
        <f>IFERROR(__xludf.DUMMYFUNCTION("""COMPUTED_VALUE"""),"-")</f>
        <v>-</v>
      </c>
      <c r="E179" s="3" t="str">
        <f>IFERROR(__xludf.DUMMYFUNCTION("""COMPUTED_VALUE"""),"Pintu FGRM")</f>
        <v>Pintu FGRM</v>
      </c>
      <c r="F179" s="3" t="str">
        <f>IFERROR(__xludf.DUMMYFUNCTION("""COMPUTED_VALUE"""),"Bearing ")</f>
        <v>Bearing </v>
      </c>
      <c r="G179" s="3" t="str">
        <f>IFERROR(__xludf.DUMMYFUNCTION("""COMPUTED_VALUE"""),"6203")</f>
        <v>6203</v>
      </c>
      <c r="H179" s="3" t="str">
        <f>IFERROR(__xludf.DUMMYFUNCTION("""COMPUTED_VALUE"""),"Koyo")</f>
        <v>Koyo</v>
      </c>
      <c r="I179" s="3">
        <f>IFERROR(__xludf.DUMMYFUNCTION("""COMPUTED_VALUE"""),10.0)</f>
        <v>10</v>
      </c>
      <c r="J179" s="3" t="str">
        <f>IFERROR(__xludf.DUMMYFUNCTION("""COMPUTED_VALUE"""),"Pcs")</f>
        <v>Pcs</v>
      </c>
      <c r="K179" s="5" t="str">
        <f>IFERROR(__xludf.DUMMYFUNCTION("""COMPUTED_VALUE"""),"https://www.monotaro.id/items/s034534816.html")</f>
        <v>https://www.monotaro.id/items/s034534816.html</v>
      </c>
      <c r="L179" s="3" t="str">
        <f>IFERROR(__xludf.DUMMYFUNCTION("""COMPUTED_VALUE"""),"Untuk Penggantian Pintu FGRM 6 PCS, Urgent sudah oblak berpotensi anjlok")</f>
        <v>Untuk Penggantian Pintu FGRM 6 PCS, Urgent sudah oblak berpotensi anjlok</v>
      </c>
      <c r="M179" s="3" t="str">
        <f>IFERROR(__xludf.DUMMYFUNCTION("""COMPUTED_VALUE"""),"Approve")</f>
        <v>Approve</v>
      </c>
      <c r="N179" s="3" t="str">
        <f>IFERROR(__xludf.DUMMYFUNCTION("""COMPUTED_VALUE"""),"Normal")</f>
        <v>Normal</v>
      </c>
      <c r="O179" s="3" t="str">
        <f>IFERROR(__xludf.DUMMYFUNCTION("""COMPUTED_VALUE"""),"Non Urgent")</f>
        <v>Non Urgent</v>
      </c>
    </row>
    <row r="180">
      <c r="A180" s="4">
        <f>IFERROR(__xludf.DUMMYFUNCTION("""COMPUTED_VALUE"""),45780.658824317135)</f>
        <v>45780.65882</v>
      </c>
      <c r="B180" s="3" t="str">
        <f>IFERROR(__xludf.DUMMYFUNCTION("""COMPUTED_VALUE"""),"MRNBR0013")</f>
        <v>MRNBR0013</v>
      </c>
      <c r="C180" s="3" t="str">
        <f>IFERROR(__xludf.DUMMYFUNCTION("""COMPUTED_VALUE"""),"EJO")</f>
        <v>EJO</v>
      </c>
      <c r="D180" s="3" t="str">
        <f>IFERROR(__xludf.DUMMYFUNCTION("""COMPUTED_VALUE"""),"Ejo/2025/04/41")</f>
        <v>Ejo/2025/04/41</v>
      </c>
      <c r="E180" s="3" t="str">
        <f>IFERROR(__xludf.DUMMYFUNCTION("""COMPUTED_VALUE"""),"QA office")</f>
        <v>QA office</v>
      </c>
      <c r="F180" s="3" t="str">
        <f>IFERROR(__xludf.DUMMYFUNCTION("""COMPUTED_VALUE"""),"Telpon ")</f>
        <v>Telpon </v>
      </c>
      <c r="G180" s="3" t="str">
        <f>IFERROR(__xludf.DUMMYFUNCTION("""COMPUTED_VALUE"""),"Soundpoint ip 321")</f>
        <v>Soundpoint ip 321</v>
      </c>
      <c r="H180" s="3" t="str">
        <f>IFERROR(__xludf.DUMMYFUNCTION("""COMPUTED_VALUE"""),"polycom")</f>
        <v>polycom</v>
      </c>
      <c r="I180" s="3">
        <f>IFERROR(__xludf.DUMMYFUNCTION("""COMPUTED_VALUE"""),1.0)</f>
        <v>1</v>
      </c>
      <c r="J180" s="3" t="str">
        <f>IFERROR(__xludf.DUMMYFUNCTION("""COMPUTED_VALUE"""),"unit")</f>
        <v>unit</v>
      </c>
      <c r="K180" s="5" t="str">
        <f>IFERROR(__xludf.DUMMYFUNCTION("""COMPUTED_VALUE"""),"https://api.whatsapp.com/send/?phone=628811980922&amp;text&amp;type=phone_number&amp;app_absent=0")</f>
        <v>https://api.whatsapp.com/send/?phone=628811980922&amp;text&amp;type=phone_number&amp;app_absent=0</v>
      </c>
      <c r="L180" s="3" t="str">
        <f>IFERROR(__xludf.DUMMYFUNCTION("""COMPUTED_VALUE"""),"kontak vendor terlampir (REJECT BY MFH KARENA SUDAH SOLVED DAN MEMANG SEHARUSNYA PAKAI BUDGET CAPEX MASING-MASING DEPARTEMEN)")</f>
        <v>kontak vendor terlampir (REJECT BY MFH KARENA SUDAH SOLVED DAN MEMANG SEHARUSNYA PAKAI BUDGET CAPEX MASING-MASING DEPARTEMEN)</v>
      </c>
      <c r="M180" s="3" t="str">
        <f>IFERROR(__xludf.DUMMYFUNCTION("""COMPUTED_VALUE"""),"Reject")</f>
        <v>Reject</v>
      </c>
      <c r="N180" s="3" t="str">
        <f>IFERROR(__xludf.DUMMYFUNCTION("""COMPUTED_VALUE"""),"Normal")</f>
        <v>Normal</v>
      </c>
      <c r="O180" s="3" t="str">
        <f>IFERROR(__xludf.DUMMYFUNCTION("""COMPUTED_VALUE"""),"Non Urgent")</f>
        <v>Non Urgent</v>
      </c>
    </row>
    <row r="181">
      <c r="A181" s="4">
        <f>IFERROR(__xludf.DUMMYFUNCTION("""COMPUTED_VALUE"""),45780.68602180556)</f>
        <v>45780.68602</v>
      </c>
      <c r="B181" s="3" t="str">
        <f>IFERROR(__xludf.DUMMYFUNCTION("""COMPUTED_VALUE"""),"MRNBR0014")</f>
        <v>MRNBR0014</v>
      </c>
      <c r="C181" s="3" t="str">
        <f>IFERROR(__xludf.DUMMYFUNCTION("""COMPUTED_VALUE"""),"EJO")</f>
        <v>EJO</v>
      </c>
      <c r="D181" s="3" t="str">
        <f>IFERROR(__xludf.DUMMYFUNCTION("""COMPUTED_VALUE"""),"EJO/2024/08/47")</f>
        <v>EJO/2024/08/47</v>
      </c>
      <c r="E181" s="3" t="str">
        <f>IFERROR(__xludf.DUMMYFUNCTION("""COMPUTED_VALUE"""),"Tangga lobby")</f>
        <v>Tangga lobby</v>
      </c>
      <c r="F181" s="3" t="str">
        <f>IFERROR(__xludf.DUMMYFUNCTION("""COMPUTED_VALUE"""),"tidak ada cover")</f>
        <v>tidak ada cover</v>
      </c>
      <c r="G181" s="3" t="str">
        <f>IFERROR(__xludf.DUMMYFUNCTION("""COMPUTED_VALUE"""),"Lampu led dust proof by NIG LITE 1xL1200MM")</f>
        <v>Lampu led dust proof by NIG LITE 1xL1200MM</v>
      </c>
      <c r="H181" s="3" t="str">
        <f>IFERROR(__xludf.DUMMYFUNCTION("""COMPUTED_VALUE"""),"NIG")</f>
        <v>NIG</v>
      </c>
      <c r="I181" s="3">
        <f>IFERROR(__xludf.DUMMYFUNCTION("""COMPUTED_VALUE"""),3.0)</f>
        <v>3</v>
      </c>
      <c r="J181" s="3" t="str">
        <f>IFERROR(__xludf.DUMMYFUNCTION("""COMPUTED_VALUE"""),"pcs")</f>
        <v>pcs</v>
      </c>
      <c r="K181" s="5" t="str">
        <f>IFERROR(__xludf.DUMMYFUNCTION("""COMPUTED_VALUE"""),"https://www.niglite.com/product/lampu-sorot-fl-b1000-merk-nig-lite-p23390.aspx")</f>
        <v>https://www.niglite.com/product/lampu-sorot-fl-b1000-merk-nig-lite-p23390.aspx</v>
      </c>
      <c r="L181" s="3" t="str">
        <f>IFERROR(__xludf.DUMMYFUNCTION("""COMPUTED_VALUE"""),"noted (REJECT BY MFH KARENA TIDAK ADA YANG BISA SUPPLY, TOLONG GANTI MERK)")</f>
        <v>noted (REJECT BY MFH KARENA TIDAK ADA YANG BISA SUPPLY, TOLONG GANTI MERK)</v>
      </c>
      <c r="M181" s="3" t="str">
        <f>IFERROR(__xludf.DUMMYFUNCTION("""COMPUTED_VALUE"""),"Reject")</f>
        <v>Reject</v>
      </c>
      <c r="N181" s="3" t="str">
        <f>IFERROR(__xludf.DUMMYFUNCTION("""COMPUTED_VALUE"""),"Normal")</f>
        <v>Normal</v>
      </c>
      <c r="O181" s="3" t="str">
        <f>IFERROR(__xludf.DUMMYFUNCTION("""COMPUTED_VALUE"""),"Non Urgent")</f>
        <v>Non Urgent</v>
      </c>
    </row>
    <row r="182">
      <c r="A182" s="4">
        <f>IFERROR(__xludf.DUMMYFUNCTION("""COMPUTED_VALUE"""),45782.41305237268)</f>
        <v>45782.41305</v>
      </c>
      <c r="B182" s="3" t="str">
        <f>IFERROR(__xludf.DUMMYFUNCTION("""COMPUTED_VALUE"""),"MOBBR0027")</f>
        <v>MOBBR0027</v>
      </c>
      <c r="C182" s="3" t="str">
        <f>IFERROR(__xludf.DUMMYFUNCTION("""COMPUTED_VALUE"""),"Consumable")</f>
        <v>Consumable</v>
      </c>
      <c r="D182" s="3" t="str">
        <f>IFERROR(__xludf.DUMMYFUNCTION("""COMPUTED_VALUE"""),"-")</f>
        <v>-</v>
      </c>
      <c r="E182" s="3" t="str">
        <f>IFERROR(__xludf.DUMMYFUNCTION("""COMPUTED_VALUE"""),"Plumbing")</f>
        <v>Plumbing</v>
      </c>
      <c r="F182" s="3" t="str">
        <f>IFERROR(__xludf.DUMMYFUNCTION("""COMPUTED_VALUE"""),"Pipa PVC AW Abu")</f>
        <v>Pipa PVC AW Abu</v>
      </c>
      <c r="G182" s="3" t="str">
        <f>IFERROR(__xludf.DUMMYFUNCTION("""COMPUTED_VALUE"""),"1 1/4"" PVC ABU2")</f>
        <v>1 1/4" PVC ABU2</v>
      </c>
      <c r="H182" s="3" t="str">
        <f>IFERROR(__xludf.DUMMYFUNCTION("""COMPUTED_VALUE"""),"Rucika")</f>
        <v>Rucika</v>
      </c>
      <c r="I182" s="3">
        <f>IFERROR(__xludf.DUMMYFUNCTION("""COMPUTED_VALUE"""),10.0)</f>
        <v>10</v>
      </c>
      <c r="J182" s="3" t="str">
        <f>IFERROR(__xludf.DUMMYFUNCTION("""COMPUTED_VALUE"""),"Pcs")</f>
        <v>Pcs</v>
      </c>
      <c r="K182" s="5" t="str">
        <f>IFERROR(__xludf.DUMMYFUNCTION("""COMPUTED_VALUE"""),"https://www.tokopedia.com/crystalsupplier/pipa-pvc-rucika-1-1-4-inch-abu-jis-aw-vp-pralon-jis-aw-4-meter?utm_source=google&amp;utm_medium=organic&amp;utm_campaign=pdp")</f>
        <v>https://www.tokopedia.com/crystalsupplier/pipa-pvc-rucika-1-1-4-inch-abu-jis-aw-vp-pralon-jis-aw-4-meter?utm_source=google&amp;utm_medium=organic&amp;utm_campaign=pdp</v>
      </c>
      <c r="L182" s="3" t="str">
        <f>IFERROR(__xludf.DUMMYFUNCTION("""COMPUTED_VALUE"""),"Sering dipakai")</f>
        <v>Sering dipakai</v>
      </c>
      <c r="M182" s="3" t="str">
        <f>IFERROR(__xludf.DUMMYFUNCTION("""COMPUTED_VALUE"""),"Approve")</f>
        <v>Approve</v>
      </c>
      <c r="N182" s="3" t="str">
        <f>IFERROR(__xludf.DUMMYFUNCTION("""COMPUTED_VALUE"""),"Normal")</f>
        <v>Normal</v>
      </c>
      <c r="O182" s="3" t="str">
        <f>IFERROR(__xludf.DUMMYFUNCTION("""COMPUTED_VALUE"""),"Non Urgent")</f>
        <v>Non Urgent</v>
      </c>
    </row>
    <row r="183">
      <c r="A183" s="4">
        <f>IFERROR(__xludf.DUMMYFUNCTION("""COMPUTED_VALUE"""),45783.449764398145)</f>
        <v>45783.44976</v>
      </c>
      <c r="B183" s="3" t="str">
        <f>IFERROR(__xludf.DUMMYFUNCTION("""COMPUTED_VALUE"""),"NDSBR0012")</f>
        <v>NDSBR0012</v>
      </c>
      <c r="C183" s="3" t="str">
        <f>IFERROR(__xludf.DUMMYFUNCTION("""COMPUTED_VALUE"""),"EJO")</f>
        <v>EJO</v>
      </c>
      <c r="D183" s="3" t="str">
        <f>IFERROR(__xludf.DUMMYFUNCTION("""COMPUTED_VALUE"""),"EJO/2025/03/121")</f>
        <v>EJO/2025/03/121</v>
      </c>
      <c r="E183" s="3" t="str">
        <f>IFERROR(__xludf.DUMMYFUNCTION("""COMPUTED_VALUE"""),"Washing Lance")</f>
        <v>Washing Lance</v>
      </c>
      <c r="F183" s="3" t="str">
        <f>IFERROR(__xludf.DUMMYFUNCTION("""COMPUTED_VALUE"""),"As Washing Lance")</f>
        <v>As Washing Lance</v>
      </c>
      <c r="G183" s="3" t="str">
        <f>IFERROR(__xludf.DUMMYFUNCTION("""COMPUTED_VALUE"""),"bahan Sanitary ")</f>
        <v>bahan Sanitary </v>
      </c>
      <c r="H183" s="3" t="str">
        <f>IFERROR(__xludf.DUMMYFUNCTION("""COMPUTED_VALUE"""),"-")</f>
        <v>-</v>
      </c>
      <c r="I183" s="3">
        <f>IFERROR(__xludf.DUMMYFUNCTION("""COMPUTED_VALUE"""),1.0)</f>
        <v>1</v>
      </c>
      <c r="J183" s="3" t="str">
        <f>IFERROR(__xludf.DUMMYFUNCTION("""COMPUTED_VALUE"""),"PCS")</f>
        <v>PCS</v>
      </c>
      <c r="K183" s="3"/>
      <c r="L183" s="3" t="str">
        <f>IFERROR(__xludf.DUMMYFUNCTION("""COMPUTED_VALUE"""),"-FU KE PAK MUN")</f>
        <v>-FU KE PAK MUN</v>
      </c>
      <c r="M183" s="3" t="str">
        <f>IFERROR(__xludf.DUMMYFUNCTION("""COMPUTED_VALUE"""),"Approve")</f>
        <v>Approve</v>
      </c>
      <c r="N183" s="3" t="str">
        <f>IFERROR(__xludf.DUMMYFUNCTION("""COMPUTED_VALUE"""),"Normal")</f>
        <v>Normal</v>
      </c>
      <c r="O183" s="3" t="str">
        <f>IFERROR(__xludf.DUMMYFUNCTION("""COMPUTED_VALUE"""),"Non Urgent")</f>
        <v>Non Urgent</v>
      </c>
    </row>
    <row r="184">
      <c r="A184" s="4">
        <f>IFERROR(__xludf.DUMMYFUNCTION("""COMPUTED_VALUE"""),45783.450214930555)</f>
        <v>45783.45021</v>
      </c>
      <c r="B184" s="3" t="str">
        <f>IFERROR(__xludf.DUMMYFUNCTION("""COMPUTED_VALUE"""),"MOBBR0028")</f>
        <v>MOBBR0028</v>
      </c>
      <c r="C184" s="3" t="str">
        <f>IFERROR(__xludf.DUMMYFUNCTION("""COMPUTED_VALUE"""),"Critical Part")</f>
        <v>Critical Part</v>
      </c>
      <c r="D184" s="3" t="str">
        <f>IFERROR(__xludf.DUMMYFUNCTION("""COMPUTED_VALUE"""),"-")</f>
        <v>-</v>
      </c>
      <c r="E184" s="3" t="str">
        <f>IFERROR(__xludf.DUMMYFUNCTION("""COMPUTED_VALUE"""),"AHU")</f>
        <v>AHU</v>
      </c>
      <c r="F184" s="3" t="str">
        <f>IFERROR(__xludf.DUMMYFUNCTION("""COMPUTED_VALUE"""),"Bushing VAV AHU")</f>
        <v>Bushing VAV AHU</v>
      </c>
      <c r="G184" s="3" t="str">
        <f>IFERROR(__xludf.DUMMYFUNCTION("""COMPUTED_VALUE"""),"Bushing VAV Uk Ø 24x 26")</f>
        <v>Bushing VAV Uk Ø 24x 26</v>
      </c>
      <c r="H184" s="3" t="str">
        <f>IFERROR(__xludf.DUMMYFUNCTION("""COMPUTED_VALUE"""),"Agru Farma Tecnology")</f>
        <v>Agru Farma Tecnology</v>
      </c>
      <c r="I184" s="3">
        <f>IFERROR(__xludf.DUMMYFUNCTION("""COMPUTED_VALUE"""),5.0)</f>
        <v>5</v>
      </c>
      <c r="J184" s="3" t="str">
        <f>IFERROR(__xludf.DUMMYFUNCTION("""COMPUTED_VALUE"""),"Pcs")</f>
        <v>Pcs</v>
      </c>
      <c r="K184" s="5" t="str">
        <f>IFERROR(__xludf.DUMMYFUNCTION("""COMPUTED_VALUE"""),"https://drive.google.com/file/d/1SYjvfNOWAPg_xcL3NzgIVMbv0htMKo6x/view?usp=sharing")</f>
        <v>https://drive.google.com/file/d/1SYjvfNOWAPg_xcL3NzgIVMbv0htMKo6x/view?usp=sharing</v>
      </c>
      <c r="L184" s="3" t="str">
        <f>IFERROR(__xludf.DUMMYFUNCTION("""COMPUTED_VALUE"""),"Re Order B1-2")</f>
        <v>Re Order B1-2</v>
      </c>
      <c r="M184" s="3" t="str">
        <f>IFERROR(__xludf.DUMMYFUNCTION("""COMPUTED_VALUE"""),"Approve")</f>
        <v>Approve</v>
      </c>
      <c r="N184" s="3" t="str">
        <f>IFERROR(__xludf.DUMMYFUNCTION("""COMPUTED_VALUE"""),"Normal")</f>
        <v>Normal</v>
      </c>
      <c r="O184" s="3" t="str">
        <f>IFERROR(__xludf.DUMMYFUNCTION("""COMPUTED_VALUE"""),"Non Urgent")</f>
        <v>Non Urgent</v>
      </c>
    </row>
    <row r="185">
      <c r="A185" s="4">
        <f>IFERROR(__xludf.DUMMYFUNCTION("""COMPUTED_VALUE"""),45783.69197359953)</f>
        <v>45783.69197</v>
      </c>
      <c r="B185" s="3" t="str">
        <f>IFERROR(__xludf.DUMMYFUNCTION("""COMPUTED_VALUE"""),"ROSBR0017")</f>
        <v>ROSBR0017</v>
      </c>
      <c r="C185" s="3" t="str">
        <f>IFERROR(__xludf.DUMMYFUNCTION("""COMPUTED_VALUE"""),"EJO")</f>
        <v>EJO</v>
      </c>
      <c r="D185" s="3" t="str">
        <f>IFERROR(__xludf.DUMMYFUNCTION("""COMPUTED_VALUE"""),"EJO/2025/05/61")</f>
        <v>EJO/2025/05/61</v>
      </c>
      <c r="E185" s="3" t="str">
        <f>IFERROR(__xludf.DUMMYFUNCTION("""COMPUTED_VALUE"""),"EDM")</f>
        <v>EDM</v>
      </c>
      <c r="F185" s="3" t="str">
        <f>IFERROR(__xludf.DUMMYFUNCTION("""COMPUTED_VALUE"""),"Exhaust Fan EDM")</f>
        <v>Exhaust Fan EDM</v>
      </c>
      <c r="G185" s="3" t="str">
        <f>IFERROR(__xludf.DUMMYFUNCTION("""COMPUTED_VALUE"""),"Ebmpast 
type 4414M
24v-DC 225mA 5,4W
18-24Dc
Ukuran 
P 12cm
L 12cm
T 3,8cm")</f>
        <v>Ebmpast 
type 4414M
24v-DC 225mA 5,4W
18-24Dc
Ukuran 
P 12cm
L 12cm
T 3,8cm</v>
      </c>
      <c r="H185" s="3" t="str">
        <f>IFERROR(__xludf.DUMMYFUNCTION("""COMPUTED_VALUE"""),"Ebmpast")</f>
        <v>Ebmpast</v>
      </c>
      <c r="I185" s="3">
        <f>IFERROR(__xludf.DUMMYFUNCTION("""COMPUTED_VALUE"""),1.0)</f>
        <v>1</v>
      </c>
      <c r="J185" s="3" t="str">
        <f>IFERROR(__xludf.DUMMYFUNCTION("""COMPUTED_VALUE"""),"unit")</f>
        <v>unit</v>
      </c>
      <c r="K185" s="3" t="str">
        <f>IFERROR(__xludf.DUMMYFUNCTION("""COMPUTED_VALUE"""),"-")</f>
        <v>-</v>
      </c>
      <c r="L185" s="5" t="str">
        <f>IFERROR(__xludf.DUMMYFUNCTION("""COMPUTED_VALUE"""),"https://drive.google.com/drive/folders/1LjcBip1EcXqyARhwgKyaLyPiPVevLoEt?usp=drive_link")</f>
        <v>https://drive.google.com/drive/folders/1LjcBip1EcXqyARhwgKyaLyPiPVevLoEt?usp=drive_link</v>
      </c>
      <c r="M185" s="3" t="str">
        <f>IFERROR(__xludf.DUMMYFUNCTION("""COMPUTED_VALUE"""),"Approve")</f>
        <v>Approve</v>
      </c>
      <c r="N185" s="3" t="str">
        <f>IFERROR(__xludf.DUMMYFUNCTION("""COMPUTED_VALUE"""),"Normal")</f>
        <v>Normal</v>
      </c>
      <c r="O185" s="3" t="str">
        <f>IFERROR(__xludf.DUMMYFUNCTION("""COMPUTED_VALUE"""),"Non Urgent")</f>
        <v>Non Urgent</v>
      </c>
    </row>
    <row r="186">
      <c r="A186" s="4">
        <f>IFERROR(__xludf.DUMMYFUNCTION("""COMPUTED_VALUE"""),45783.82176195602)</f>
        <v>45783.82176</v>
      </c>
      <c r="B186" s="3" t="str">
        <f>IFERROR(__xludf.DUMMYFUNCTION("""COMPUTED_VALUE"""),"RIABR0036")</f>
        <v>RIABR0036</v>
      </c>
      <c r="C186" s="3" t="str">
        <f>IFERROR(__xludf.DUMMYFUNCTION("""COMPUTED_VALUE"""),"Consumable")</f>
        <v>Consumable</v>
      </c>
      <c r="D186" s="3" t="str">
        <f>IFERROR(__xludf.DUMMYFUNCTION("""COMPUTED_VALUE"""),"-")</f>
        <v>-</v>
      </c>
      <c r="E186" s="3" t="str">
        <f>IFERROR(__xludf.DUMMYFUNCTION("""COMPUTED_VALUE"""),"PWG")</f>
        <v>PWG</v>
      </c>
      <c r="F186" s="3" t="str">
        <f>IFERROR(__xludf.DUMMYFUNCTION("""COMPUTED_VALUE"""),"Chlorine Test")</f>
        <v>Chlorine Test</v>
      </c>
      <c r="G186" s="3" t="str">
        <f>IFERROR(__xludf.DUMMYFUNCTION("""COMPUTED_VALUE"""),"Chlorine Test Kit Merck 1.14978.0001 600 test")</f>
        <v>Chlorine Test Kit Merck 1.14978.0001 600 test</v>
      </c>
      <c r="H186" s="3" t="str">
        <f>IFERROR(__xludf.DUMMYFUNCTION("""COMPUTED_VALUE"""),"Supelco")</f>
        <v>Supelco</v>
      </c>
      <c r="I186" s="3">
        <f>IFERROR(__xludf.DUMMYFUNCTION("""COMPUTED_VALUE"""),1.0)</f>
        <v>1</v>
      </c>
      <c r="J186" s="3" t="str">
        <f>IFERROR(__xludf.DUMMYFUNCTION("""COMPUTED_VALUE"""),"Set")</f>
        <v>Set</v>
      </c>
      <c r="K186" s="5" t="str">
        <f>IFERROR(__xludf.DUMMYFUNCTION("""COMPUTED_VALUE"""),"https://www.tokopedia.com/verticalglobal/chlorine-test-kit-merck-1-14978-0001-600-test")</f>
        <v>https://www.tokopedia.com/verticalglobal/chlorine-test-kit-merck-1-14978-0001-600-test</v>
      </c>
      <c r="L186" s="3" t="str">
        <f>IFERROR(__xludf.DUMMYFUNCTION("""COMPUTED_VALUE"""),"Ini buat cek klorin, saya samakan merk dan type seperti punya CFM")</f>
        <v>Ini buat cek klorin, saya samakan merk dan type seperti punya CFM</v>
      </c>
      <c r="M186" s="3" t="str">
        <f>IFERROR(__xludf.DUMMYFUNCTION("""COMPUTED_VALUE"""),"Approve")</f>
        <v>Approve</v>
      </c>
      <c r="N186" s="3" t="str">
        <f>IFERROR(__xludf.DUMMYFUNCTION("""COMPUTED_VALUE"""),"Normal")</f>
        <v>Normal</v>
      </c>
      <c r="O186" s="3" t="str">
        <f>IFERROR(__xludf.DUMMYFUNCTION("""COMPUTED_VALUE"""),"Non Urgent")</f>
        <v>Non Urgent</v>
      </c>
    </row>
    <row r="187">
      <c r="A187" s="4">
        <f>IFERROR(__xludf.DUMMYFUNCTION("""COMPUTED_VALUE"""),45784.04874211805)</f>
        <v>45784.04874</v>
      </c>
      <c r="B187" s="3" t="str">
        <f>IFERROR(__xludf.DUMMYFUNCTION("""COMPUTED_VALUE"""),"SFHBR0021")</f>
        <v>SFHBR0021</v>
      </c>
      <c r="C187" s="3" t="str">
        <f>IFERROR(__xludf.DUMMYFUNCTION("""COMPUTED_VALUE"""),"EJO")</f>
        <v>EJO</v>
      </c>
      <c r="D187" s="3" t="str">
        <f>IFERROR(__xludf.DUMMYFUNCTION("""COMPUTED_VALUE"""),"EJO/2025/04/105")</f>
        <v>EJO/2025/04/105</v>
      </c>
      <c r="E187" s="3" t="str">
        <f>IFERROR(__xludf.DUMMYFUNCTION("""COMPUTED_VALUE"""),"lantai 1")</f>
        <v>lantai 1</v>
      </c>
      <c r="F187" s="3" t="str">
        <f>IFERROR(__xludf.DUMMYFUNCTION("""COMPUTED_VALUE"""),"flowcrete PU finishing lantai")</f>
        <v>flowcrete PU finishing lantai</v>
      </c>
      <c r="G187" s="3" t="str">
        <f>IFERROR(__xludf.DUMMYFUNCTION("""COMPUTED_VALUE"""),"Flowfresh MF (3-4mm) warna light grey, Flowseal UV satin 2mm")</f>
        <v>Flowfresh MF (3-4mm) warna light grey, Flowseal UV satin 2mm</v>
      </c>
      <c r="H187" s="3" t="str">
        <f>IFERROR(__xludf.DUMMYFUNCTION("""COMPUTED_VALUE"""),"flowcrete")</f>
        <v>flowcrete</v>
      </c>
      <c r="I187" s="3">
        <f>IFERROR(__xludf.DUMMYFUNCTION("""COMPUTED_VALUE"""),2.0)</f>
        <v>2</v>
      </c>
      <c r="J187" s="3" t="str">
        <f>IFERROR(__xludf.DUMMYFUNCTION("""COMPUTED_VALUE"""),"PEL")</f>
        <v>PEL</v>
      </c>
      <c r="K187" s="3" t="str">
        <f>IFERROR(__xludf.DUMMYFUNCTION("""COMPUTED_VALUE"""),"flowcrete Flowfresh MF (3-4mm) warna light grey, Flowseal UV satin 2mm")</f>
        <v>flowcrete Flowfresh MF (3-4mm) warna light grey, Flowseal UV satin 2mm</v>
      </c>
      <c r="L187" s="3" t="str">
        <f>IFERROR(__xludf.DUMMYFUNCTION("""COMPUTED_VALUE"""),"-")</f>
        <v>-</v>
      </c>
      <c r="M187" s="3" t="str">
        <f>IFERROR(__xludf.DUMMYFUNCTION("""COMPUTED_VALUE"""),"Approve")</f>
        <v>Approve</v>
      </c>
      <c r="N187" s="3" t="str">
        <f>IFERROR(__xludf.DUMMYFUNCTION("""COMPUTED_VALUE"""),"Normal")</f>
        <v>Normal</v>
      </c>
      <c r="O187" s="3" t="str">
        <f>IFERROR(__xludf.DUMMYFUNCTION("""COMPUTED_VALUE"""),"Non Urgent")</f>
        <v>Non Urgent</v>
      </c>
    </row>
    <row r="188">
      <c r="A188" s="4">
        <f>IFERROR(__xludf.DUMMYFUNCTION("""COMPUTED_VALUE"""),45784.93199204861)</f>
        <v>45784.93199</v>
      </c>
      <c r="B188" s="3" t="str">
        <f>IFERROR(__xludf.DUMMYFUNCTION("""COMPUTED_VALUE"""),"RIABR0037")</f>
        <v>RIABR0037</v>
      </c>
      <c r="C188" s="3" t="str">
        <f>IFERROR(__xludf.DUMMYFUNCTION("""COMPUTED_VALUE"""),"EJO")</f>
        <v>EJO</v>
      </c>
      <c r="D188" s="3" t="str">
        <f>IFERROR(__xludf.DUMMYFUNCTION("""COMPUTED_VALUE"""),"EJO/2025/05/08")</f>
        <v>EJO/2025/05/08</v>
      </c>
      <c r="E188" s="3" t="str">
        <f>IFERROR(__xludf.DUMMYFUNCTION("""COMPUTED_VALUE"""),"PSG")</f>
        <v>PSG</v>
      </c>
      <c r="F188" s="3" t="str">
        <f>IFERROR(__xludf.DUMMYFUNCTION("""COMPUTED_VALUE"""),"Level Switch")</f>
        <v>Level Switch</v>
      </c>
      <c r="G188" s="3" t="str">
        <f>IFERROR(__xludf.DUMMYFUNCTION("""COMPUTED_VALUE"""),"Level Switch
ERV 1/8”; STERIS-AUSTAR")</f>
        <v>Level Switch
ERV 1/8”; STERIS-AUSTAR</v>
      </c>
      <c r="H188" s="3" t="str">
        <f>IFERROR(__xludf.DUMMYFUNCTION("""COMPUTED_VALUE"""),"Austar")</f>
        <v>Austar</v>
      </c>
      <c r="I188" s="3">
        <f>IFERROR(__xludf.DUMMYFUNCTION("""COMPUTED_VALUE"""),1.0)</f>
        <v>1</v>
      </c>
      <c r="J188" s="3" t="str">
        <f>IFERROR(__xludf.DUMMYFUNCTION("""COMPUTED_VALUE"""),"Pcs")</f>
        <v>Pcs</v>
      </c>
      <c r="K188" s="3" t="str">
        <f>IFERROR(__xludf.DUMMYFUNCTION("""COMPUTED_VALUE"""),"BNP-FONKO-AR-SP74-05-25.pdf")</f>
        <v>BNP-FONKO-AR-SP74-05-25.pdf</v>
      </c>
      <c r="L188" s="3" t="str">
        <f>IFERROR(__xludf.DUMMYFUNCTION("""COMPUTED_VALUE"""),"Buat ganti level switchnya WFIG, sementara Bypass dulu")</f>
        <v>Buat ganti level switchnya WFIG, sementara Bypass dulu</v>
      </c>
      <c r="M188" s="3" t="str">
        <f>IFERROR(__xludf.DUMMYFUNCTION("""COMPUTED_VALUE"""),"Approve")</f>
        <v>Approve</v>
      </c>
      <c r="N188" s="3" t="str">
        <f>IFERROR(__xludf.DUMMYFUNCTION("""COMPUTED_VALUE"""),"Normal")</f>
        <v>Normal</v>
      </c>
      <c r="O188" s="3" t="str">
        <f>IFERROR(__xludf.DUMMYFUNCTION("""COMPUTED_VALUE"""),"Non Urgent")</f>
        <v>Non Urgent</v>
      </c>
    </row>
    <row r="189">
      <c r="A189" s="4">
        <f>IFERROR(__xludf.DUMMYFUNCTION("""COMPUTED_VALUE"""),45784.93544966435)</f>
        <v>45784.93545</v>
      </c>
      <c r="B189" s="3" t="str">
        <f>IFERROR(__xludf.DUMMYFUNCTION("""COMPUTED_VALUE"""),"RIABR0038")</f>
        <v>RIABR0038</v>
      </c>
      <c r="C189" s="3" t="str">
        <f>IFERROR(__xludf.DUMMYFUNCTION("""COMPUTED_VALUE"""),"EJO")</f>
        <v>EJO</v>
      </c>
      <c r="D189" s="3" t="str">
        <f>IFERROR(__xludf.DUMMYFUNCTION("""COMPUTED_VALUE"""),"EJO/2025/04/90")</f>
        <v>EJO/2025/04/90</v>
      </c>
      <c r="E189" s="3" t="str">
        <f>IFERROR(__xludf.DUMMYFUNCTION("""COMPUTED_VALUE"""),"Alarm System")</f>
        <v>Alarm System</v>
      </c>
      <c r="F189" s="3" t="str">
        <f>IFERROR(__xludf.DUMMYFUNCTION("""COMPUTED_VALUE"""),"Kunci Panel")</f>
        <v>Kunci Panel</v>
      </c>
      <c r="G189" s="3" t="str">
        <f>IFERROR(__xludf.DUMMYFUNCTION("""COMPUTED_VALUE"""),"KUNCI CAMLOCK / KUNCI LOKER CANTOL
TIPE : HL 103
MERK HUBEN
DIAMETER : 19 mm
Panjang : 20 mm")</f>
        <v>KUNCI CAMLOCK / KUNCI LOKER CANTOL
TIPE : HL 103
MERK HUBEN
DIAMETER : 19 mm
Panjang : 20 mm</v>
      </c>
      <c r="H189" s="3" t="str">
        <f>IFERROR(__xludf.DUMMYFUNCTION("""COMPUTED_VALUE"""),"Huben")</f>
        <v>Huben</v>
      </c>
      <c r="I189" s="3">
        <f>IFERROR(__xludf.DUMMYFUNCTION("""COMPUTED_VALUE"""),5.0)</f>
        <v>5</v>
      </c>
      <c r="J189" s="3" t="str">
        <f>IFERROR(__xludf.DUMMYFUNCTION("""COMPUTED_VALUE"""),"Pcs")</f>
        <v>Pcs</v>
      </c>
      <c r="K189" s="5" t="str">
        <f>IFERROR(__xludf.DUMMYFUNCTION("""COMPUTED_VALUE"""),"https://www.tokopedia.com/jb89/kunci-camlock-20-25-30-mm-merk-huben-kunci-laci-lemari-loker-kayu-besi-2-2-5-3-cm-kunci-kabinet-kotak-box-panel-listrik-kait-gait-cantol-tipe-hl-103-20-mm-c40e4?extParam=ivf%3Dfalse%26keyword%3Dhuben+kunci+panel+20+mm%26sear"&amp;"ch_id%3D20250507152508557646733D0C6C367WYO%26src%3Dsearch&amp;t_id=1746631514348&amp;t_st=1&amp;t_pp=search_result&amp;t_efo=search_pure_goods_card&amp;t_ef=goods_search&amp;t_sm=&amp;t_spt=search_result")</f>
        <v>https://www.tokopedia.com/jb89/kunci-camlock-20-25-30-mm-merk-huben-kunci-laci-lemari-loker-kayu-besi-2-2-5-3-cm-kunci-kabinet-kotak-box-panel-listrik-kait-gait-cantol-tipe-hl-103-20-mm-c40e4?extParam=ivf%3Dfalse%26keyword%3Dhuben+kunci+panel+20+mm%26search_id%3D20250507152508557646733D0C6C367WYO%26src%3Dsearch&amp;t_id=1746631514348&amp;t_st=1&amp;t_pp=search_result&amp;t_efo=search_pure_goods_card&amp;t_ef=goods_search&amp;t_sm=&amp;t_spt=search_result</v>
      </c>
      <c r="L189" s="3" t="str">
        <f>IFERROR(__xludf.DUMMYFUNCTION("""COMPUTED_VALUE"""),"Buat ganti kunci panel outdoor pintu emergency")</f>
        <v>Buat ganti kunci panel outdoor pintu emergency</v>
      </c>
      <c r="M189" s="3" t="str">
        <f>IFERROR(__xludf.DUMMYFUNCTION("""COMPUTED_VALUE"""),"Approve")</f>
        <v>Approve</v>
      </c>
      <c r="N189" s="3" t="str">
        <f>IFERROR(__xludf.DUMMYFUNCTION("""COMPUTED_VALUE"""),"Normal")</f>
        <v>Normal</v>
      </c>
      <c r="O189" s="3" t="str">
        <f>IFERROR(__xludf.DUMMYFUNCTION("""COMPUTED_VALUE"""),"Non Urgent")</f>
        <v>Non Urgent</v>
      </c>
    </row>
    <row r="190">
      <c r="A190" s="4">
        <f>IFERROR(__xludf.DUMMYFUNCTION("""COMPUTED_VALUE"""),45785.12150204861)</f>
        <v>45785.1215</v>
      </c>
      <c r="B190" s="3" t="str">
        <f>IFERROR(__xludf.DUMMYFUNCTION("""COMPUTED_VALUE"""),"ANOBR0018")</f>
        <v>ANOBR0018</v>
      </c>
      <c r="C190" s="3" t="str">
        <f>IFERROR(__xludf.DUMMYFUNCTION("""COMPUTED_VALUE"""),"EJO")</f>
        <v>EJO</v>
      </c>
      <c r="D190" s="3" t="str">
        <f>IFERROR(__xludf.DUMMYFUNCTION("""COMPUTED_VALUE"""),"EJO/2025/02/64")</f>
        <v>EJO/2025/02/64</v>
      </c>
      <c r="E190" s="3" t="str">
        <f>IFERROR(__xludf.DUMMYFUNCTION("""COMPUTED_VALUE"""),"Panel Crabs")</f>
        <v>Panel Crabs</v>
      </c>
      <c r="F190" s="3" t="str">
        <f>IFERROR(__xludf.DUMMYFUNCTION("""COMPUTED_VALUE"""),"pengunci pintu panel Crabs")</f>
        <v>pengunci pintu panel Crabs</v>
      </c>
      <c r="G190" s="3" t="str">
        <f>IFERROR(__xludf.DUMMYFUNCTION("""COMPUTED_VALUE"""),"Merk eta ")</f>
        <v>Merk eta </v>
      </c>
      <c r="H190" s="3" t="str">
        <f>IFERROR(__xludf.DUMMYFUNCTION("""COMPUTED_VALUE"""),"-")</f>
        <v>-</v>
      </c>
      <c r="I190" s="3">
        <f>IFERROR(__xludf.DUMMYFUNCTION("""COMPUTED_VALUE"""),5.0)</f>
        <v>5</v>
      </c>
      <c r="J190" s="3" t="str">
        <f>IFERROR(__xludf.DUMMYFUNCTION("""COMPUTED_VALUE"""),"pcs")</f>
        <v>pcs</v>
      </c>
      <c r="K190" s="3" t="str">
        <f>IFERROR(__xludf.DUMMYFUNCTION("""COMPUTED_VALUE"""),"-")</f>
        <v>-</v>
      </c>
      <c r="L190" s="3" t="str">
        <f>IFERROR(__xludf.DUMMYFUNCTION("""COMPUTED_VALUE"""),"keperluan untuk mengganti handle  pintu panel  crabs (REJECT BY MFH KARENA TIDAK ADA ATTACHMENT DAN SPEK TIDAK JELAS)")</f>
        <v>keperluan untuk mengganti handle  pintu panel  crabs (REJECT BY MFH KARENA TIDAK ADA ATTACHMENT DAN SPEK TIDAK JELAS)</v>
      </c>
      <c r="M190" s="3" t="str">
        <f>IFERROR(__xludf.DUMMYFUNCTION("""COMPUTED_VALUE"""),"Reject")</f>
        <v>Reject</v>
      </c>
      <c r="N190" s="3" t="str">
        <f>IFERROR(__xludf.DUMMYFUNCTION("""COMPUTED_VALUE"""),"Normal")</f>
        <v>Normal</v>
      </c>
      <c r="O190" s="3" t="str">
        <f>IFERROR(__xludf.DUMMYFUNCTION("""COMPUTED_VALUE"""),"Non Urgent")</f>
        <v>Non Urgent</v>
      </c>
    </row>
    <row r="191">
      <c r="A191" s="4">
        <f>IFERROR(__xludf.DUMMYFUNCTION("""COMPUTED_VALUE"""),45786.650359768515)</f>
        <v>45786.65036</v>
      </c>
      <c r="B191" s="3" t="str">
        <f>IFERROR(__xludf.DUMMYFUNCTION("""COMPUTED_VALUE"""),"SFHBR0022")</f>
        <v>SFHBR0022</v>
      </c>
      <c r="C191" s="3" t="str">
        <f>IFERROR(__xludf.DUMMYFUNCTION("""COMPUTED_VALUE"""),"EJO")</f>
        <v>EJO</v>
      </c>
      <c r="D191" s="3" t="str">
        <f>IFERROR(__xludf.DUMMYFUNCTION("""COMPUTED_VALUE"""),"EJO/2025/05/64")</f>
        <v>EJO/2025/05/64</v>
      </c>
      <c r="E191" s="3" t="str">
        <f>IFERROR(__xludf.DUMMYFUNCTION("""COMPUTED_VALUE"""),"lantai 2")</f>
        <v>lantai 2</v>
      </c>
      <c r="F191" s="3" t="str">
        <f>IFERROR(__xludf.DUMMYFUNCTION("""COMPUTED_VALUE"""),"Paint remover / perontok cat")</f>
        <v>Paint remover / perontok cat</v>
      </c>
      <c r="G191" s="3" t="str">
        <f>IFERROR(__xludf.DUMMYFUNCTION("""COMPUTED_VALUE"""),"paint remover penghilang / perontok cat")</f>
        <v>paint remover penghilang / perontok cat</v>
      </c>
      <c r="H191" s="3" t="str">
        <f>IFERROR(__xludf.DUMMYFUNCTION("""COMPUTED_VALUE"""),"paint remover ")</f>
        <v>paint remover </v>
      </c>
      <c r="I191" s="3">
        <f>IFERROR(__xludf.DUMMYFUNCTION("""COMPUTED_VALUE"""),60.0)</f>
        <v>60</v>
      </c>
      <c r="J191" s="3" t="str">
        <f>IFERROR(__xludf.DUMMYFUNCTION("""COMPUTED_VALUE"""),"kg")</f>
        <v>kg</v>
      </c>
      <c r="K191" s="5" t="str">
        <f>IFERROR(__xludf.DUMMYFUNCTION("""COMPUTED_VALUE"""),"https://www.tokopedia.com/harikokimia/paint-remover-penghilang-cat-mobil-perontok-cat-kemasan-20kg?utm_source=salinlink&amp;utm_medium=share&amp;utm_campaign=pdp-e8sc3ynissrh-15004203283-0")</f>
        <v>https://www.tokopedia.com/harikokimia/paint-remover-penghilang-cat-mobil-perontok-cat-kemasan-20kg?utm_source=salinlink&amp;utm_medium=share&amp;utm_campaign=pdp-e8sc3ynissrh-15004203283-0</v>
      </c>
      <c r="L191" s="3" t="str">
        <f>IFERROR(__xludf.DUMMYFUNCTION("""COMPUTED_VALUE"""),"-")</f>
        <v>-</v>
      </c>
      <c r="M191" s="3" t="str">
        <f>IFERROR(__xludf.DUMMYFUNCTION("""COMPUTED_VALUE"""),"Approve")</f>
        <v>Approve</v>
      </c>
      <c r="N191" s="3" t="str">
        <f>IFERROR(__xludf.DUMMYFUNCTION("""COMPUTED_VALUE"""),"Normal")</f>
        <v>Normal</v>
      </c>
      <c r="O191" s="3" t="str">
        <f>IFERROR(__xludf.DUMMYFUNCTION("""COMPUTED_VALUE"""),"Non Urgent")</f>
        <v>Non Urgent</v>
      </c>
    </row>
    <row r="192">
      <c r="A192" s="4">
        <f>IFERROR(__xludf.DUMMYFUNCTION("""COMPUTED_VALUE"""),45786.94368318287)</f>
        <v>45786.94368</v>
      </c>
      <c r="B192" s="3" t="str">
        <f>IFERROR(__xludf.DUMMYFUNCTION("""COMPUTED_VALUE"""),"RIABR0039")</f>
        <v>RIABR0039</v>
      </c>
      <c r="C192" s="3" t="str">
        <f>IFERROR(__xludf.DUMMYFUNCTION("""COMPUTED_VALUE"""),"EJO")</f>
        <v>EJO</v>
      </c>
      <c r="D192" s="3" t="str">
        <f>IFERROR(__xludf.DUMMYFUNCTION("""COMPUTED_VALUE"""),"EJO/2025/05/48")</f>
        <v>EJO/2025/05/48</v>
      </c>
      <c r="E192" s="3" t="str">
        <f>IFERROR(__xludf.DUMMYFUNCTION("""COMPUTED_VALUE"""),"Shutter Door")</f>
        <v>Shutter Door</v>
      </c>
      <c r="F192" s="3" t="str">
        <f>IFERROR(__xludf.DUMMYFUNCTION("""COMPUTED_VALUE"""),"Safety Relay")</f>
        <v>Safety Relay</v>
      </c>
      <c r="G192" s="3" t="str">
        <f>IFERROR(__xludf.DUMMYFUNCTION("""COMPUTED_VALUE"""),"The ELMON 34-32 control unit by ASO Safety is used to monitor the status of 8k2-sensing edges. The unit can monitor up to two sensing edges with 8k2 end resistor and indicates its status via one output relay.
Properties:
• Rail-mounted housing
• Supply"&amp;" voltage 230 V, 12 - 24 V AC/DC, +/- 10%
• Reaction time &lt; 5 ms
• Input: 2 sensing edges, 8.2 kOhm
• Output: 1 relay contact
• Housing: rail-mounted housing for a 35mm DIN-rail
• Safety category 2/ PL “e“, acc. to EN ISO 13849-1:2008
• Dimensions: 2"&amp;"2.5 x 114 x 99 mm (W x H x D)")</f>
        <v>The ELMON 34-32 control unit by ASO Safety is used to monitor the status of 8k2-sensing edges. The unit can monitor up to two sensing edges with 8k2 end resistor and indicates its status via one output relay.
Properties:
• Rail-mounted housing
• Supply voltage 230 V, 12 - 24 V AC/DC, +/- 10%
• Reaction time &lt; 5 ms
• Input: 2 sensing edges, 8.2 kOhm
• Output: 1 relay contact
• Housing: rail-mounted housing for a 35mm DIN-rail
• Safety category 2/ PL “e“, acc. to EN ISO 13849-1:2008
• Dimensions: 22.5 x 114 x 99 mm (W x H x D)</v>
      </c>
      <c r="H192" s="3" t="str">
        <f>IFERROR(__xludf.DUMMYFUNCTION("""COMPUTED_VALUE"""),"ASO")</f>
        <v>ASO</v>
      </c>
      <c r="I192" s="3">
        <f>IFERROR(__xludf.DUMMYFUNCTION("""COMPUTED_VALUE"""),1.0)</f>
        <v>1</v>
      </c>
      <c r="J192" s="3" t="str">
        <f>IFERROR(__xludf.DUMMYFUNCTION("""COMPUTED_VALUE"""),"Pcs")</f>
        <v>Pcs</v>
      </c>
      <c r="K192" s="5" t="str">
        <f>IFERROR(__xludf.DUMMYFUNCTION("""COMPUTED_VALUE"""),"https://www.doorautomation24.com/sensors/sensors_control-units/aso-safety-elmon-relay-34-32-control-unit.html")</f>
        <v>https://www.doorautomation24.com/sensors/sensors_control-units/aso-safety-elmon-relay-34-32-control-unit.html</v>
      </c>
      <c r="L192" s="3" t="str">
        <f>IFERROR(__xludf.DUMMYFUNCTION("""COMPUTED_VALUE"""),"Buat shutter door, sudah coba cari supplier belum nemu, sudah coba email salesnya juga belum dibalas, mintol carikan ya dil (REJECT BY MFH KARENA DOUBLE DENGAN MRNBR0012)")</f>
        <v>Buat shutter door, sudah coba cari supplier belum nemu, sudah coba email salesnya juga belum dibalas, mintol carikan ya dil (REJECT BY MFH KARENA DOUBLE DENGAN MRNBR0012)</v>
      </c>
      <c r="M192" s="3" t="str">
        <f>IFERROR(__xludf.DUMMYFUNCTION("""COMPUTED_VALUE"""),"Reject")</f>
        <v>Reject</v>
      </c>
      <c r="N192" s="3" t="str">
        <f>IFERROR(__xludf.DUMMYFUNCTION("""COMPUTED_VALUE"""),"Normal")</f>
        <v>Normal</v>
      </c>
      <c r="O192" s="3" t="str">
        <f>IFERROR(__xludf.DUMMYFUNCTION("""COMPUTED_VALUE"""),"Non Urgent")</f>
        <v>Non Urgent</v>
      </c>
    </row>
    <row r="193">
      <c r="A193" s="4">
        <f>IFERROR(__xludf.DUMMYFUNCTION("""COMPUTED_VALUE"""),45791.40675410879)</f>
        <v>45791.40675</v>
      </c>
      <c r="B193" s="3" t="str">
        <f>IFERROR(__xludf.DUMMYFUNCTION("""COMPUTED_VALUE"""),"AAABR0003")</f>
        <v>AAABR0003</v>
      </c>
      <c r="C193" s="3" t="str">
        <f>IFERROR(__xludf.DUMMYFUNCTION("""COMPUTED_VALUE"""),"Consumable")</f>
        <v>Consumable</v>
      </c>
      <c r="D193" s="3" t="str">
        <f>IFERROR(__xludf.DUMMYFUNCTION("""COMPUTED_VALUE"""),"NA")</f>
        <v>NA</v>
      </c>
      <c r="E193" s="3" t="str">
        <f>IFERROR(__xludf.DUMMYFUNCTION("""COMPUTED_VALUE"""),"General")</f>
        <v>General</v>
      </c>
      <c r="F193" s="3" t="str">
        <f>IFERROR(__xludf.DUMMYFUNCTION("""COMPUTED_VALUE"""),"Kunci Inggris ")</f>
        <v>Kunci Inggris </v>
      </c>
      <c r="G193" s="3" t="str">
        <f>IFERROR(__xludf.DUMMYFUNCTION("""COMPUTED_VALUE"""),"KW0101965 ; soft grip ; Size 12"" ; 300 mm")</f>
        <v>KW0101965 ; soft grip ; Size 12" ; 300 mm</v>
      </c>
      <c r="H193" s="3" t="str">
        <f>IFERROR(__xludf.DUMMYFUNCTION("""COMPUTED_VALUE"""),"Krisbow")</f>
        <v>Krisbow</v>
      </c>
      <c r="I193" s="3">
        <f>IFERROR(__xludf.DUMMYFUNCTION("""COMPUTED_VALUE"""),1.0)</f>
        <v>1</v>
      </c>
      <c r="J193" s="3" t="str">
        <f>IFERROR(__xludf.DUMMYFUNCTION("""COMPUTED_VALUE"""),"Unit")</f>
        <v>Unit</v>
      </c>
      <c r="K193" s="5" t="str">
        <f>IFERROR(__xludf.DUMMYFUNCTION("""COMPUTED_VALUE"""),"https://www.monotaro.id/items/s013197759.html?utm_source=google&amp;utm_medium=pla&amp;utm_campaign=1672206402&amp;utm_content=88187085595&amp;utm_term=readystock_cat_group_2_pricebrand_group_1&amp;gad_source=1&amp;gad_campaignid=1672206402&amp;gbraid=0AAAAADJU9-_4YL-FoRX2sApOYXQXIH"&amp;"x7a&amp;gclid=CjwKCAjw24vBBhABEiwANFG7yyMHCffHKkXN0NCT2ptIDKAgsaA9RhZxfpTwKt3Zib8l3aweHWGfbBoCARQQAvD_BwE")</f>
        <v>https://www.monotaro.id/items/s013197759.html?utm_source=google&amp;utm_medium=pla&amp;utm_campaign=1672206402&amp;utm_content=88187085595&amp;utm_term=readystock_cat_group_2_pricebrand_group_1&amp;gad_source=1&amp;gad_campaignid=1672206402&amp;gbraid=0AAAAADJU9-_4YL-FoRX2sApOYXQXIHx7a&amp;gclid=CjwKCAjw24vBBhABEiwANFG7yyMHCffHKkXN0NCT2ptIDKAgsaA9RhZxfpTwKt3Zib8l3aweHWGfbBoCARQQAvD_BwE</v>
      </c>
      <c r="L193" s="3" t="str">
        <f>IFERROR(__xludf.DUMMYFUNCTION("""COMPUTED_VALUE"""),"Needed Date : 14-Jun-25")</f>
        <v>Needed Date : 14-Jun-25</v>
      </c>
      <c r="M193" s="3" t="str">
        <f>IFERROR(__xludf.DUMMYFUNCTION("""COMPUTED_VALUE"""),"Approve")</f>
        <v>Approve</v>
      </c>
      <c r="N193" s="3" t="str">
        <f>IFERROR(__xludf.DUMMYFUNCTION("""COMPUTED_VALUE"""),"Normal")</f>
        <v>Normal</v>
      </c>
      <c r="O193" s="3" t="str">
        <f>IFERROR(__xludf.DUMMYFUNCTION("""COMPUTED_VALUE"""),"Non Urgent")</f>
        <v>Non Urgent</v>
      </c>
    </row>
    <row r="194">
      <c r="A194" s="4">
        <f>IFERROR(__xludf.DUMMYFUNCTION("""COMPUTED_VALUE"""),45791.40853461806)</f>
        <v>45791.40853</v>
      </c>
      <c r="B194" s="3" t="str">
        <f>IFERROR(__xludf.DUMMYFUNCTION("""COMPUTED_VALUE"""),"AAABR0004")</f>
        <v>AAABR0004</v>
      </c>
      <c r="C194" s="3" t="str">
        <f>IFERROR(__xludf.DUMMYFUNCTION("""COMPUTED_VALUE"""),"Consumable")</f>
        <v>Consumable</v>
      </c>
      <c r="D194" s="3" t="str">
        <f>IFERROR(__xludf.DUMMYFUNCTION("""COMPUTED_VALUE"""),"NA")</f>
        <v>NA</v>
      </c>
      <c r="E194" s="3" t="str">
        <f>IFERROR(__xludf.DUMMYFUNCTION("""COMPUTED_VALUE"""),"General")</f>
        <v>General</v>
      </c>
      <c r="F194" s="3" t="str">
        <f>IFERROR(__xludf.DUMMYFUNCTION("""COMPUTED_VALUE"""),"Kunci Pipa")</f>
        <v>Kunci Pipa</v>
      </c>
      <c r="G194" s="3" t="str">
        <f>IFERROR(__xludf.DUMMYFUNCTION("""COMPUTED_VALUE"""),"size 14"" ; KW0100366")</f>
        <v>size 14" ; KW0100366</v>
      </c>
      <c r="H194" s="3" t="str">
        <f>IFERROR(__xludf.DUMMYFUNCTION("""COMPUTED_VALUE"""),"Krisbow")</f>
        <v>Krisbow</v>
      </c>
      <c r="I194" s="3">
        <f>IFERROR(__xludf.DUMMYFUNCTION("""COMPUTED_VALUE"""),1.0)</f>
        <v>1</v>
      </c>
      <c r="J194" s="3" t="str">
        <f>IFERROR(__xludf.DUMMYFUNCTION("""COMPUTED_VALUE"""),"Unit")</f>
        <v>Unit</v>
      </c>
      <c r="K194" s="5" t="str">
        <f>IFERROR(__xludf.DUMMYFUNCTION("""COMPUTED_VALUE"""),"https://www.monotaro.id/items/s013203092.html?utm_source=google&amp;utm_medium=pla&amp;utm_campaign=1672206402&amp;utm_content=88187085595&amp;utm_term=readystock_cat_group_2_pricebrand_group_1&amp;gad_source=1&amp;gad_campaignid=1672206402&amp;gbraid=0AAAAADJU9-_4YL-FoRX2sApOYXQXIH"&amp;"x7a&amp;gclid=CjwKCAjw24vBBhABEiwANFG7yybbRo4EY7tu_6HvQh2h44P-Il_1II5cUSUppR6YIAXTRCeu9qZiQhoC3g4QAvD_BwE")</f>
        <v>https://www.monotaro.id/items/s013203092.html?utm_source=google&amp;utm_medium=pla&amp;utm_campaign=1672206402&amp;utm_content=88187085595&amp;utm_term=readystock_cat_group_2_pricebrand_group_1&amp;gad_source=1&amp;gad_campaignid=1672206402&amp;gbraid=0AAAAADJU9-_4YL-FoRX2sApOYXQXIHx7a&amp;gclid=CjwKCAjw24vBBhABEiwANFG7yybbRo4EY7tu_6HvQh2h44P-Il_1II5cUSUppR6YIAXTRCeu9qZiQhoC3g4QAvD_BwE</v>
      </c>
      <c r="L194" s="3" t="str">
        <f>IFERROR(__xludf.DUMMYFUNCTION("""COMPUTED_VALUE"""),"Needed Date : 14-Jun-25")</f>
        <v>Needed Date : 14-Jun-25</v>
      </c>
      <c r="M194" s="3" t="str">
        <f>IFERROR(__xludf.DUMMYFUNCTION("""COMPUTED_VALUE"""),"Approve")</f>
        <v>Approve</v>
      </c>
      <c r="N194" s="3" t="str">
        <f>IFERROR(__xludf.DUMMYFUNCTION("""COMPUTED_VALUE"""),"Normal")</f>
        <v>Normal</v>
      </c>
      <c r="O194" s="3" t="str">
        <f>IFERROR(__xludf.DUMMYFUNCTION("""COMPUTED_VALUE"""),"Non Urgent")</f>
        <v>Non Urgent</v>
      </c>
    </row>
    <row r="195">
      <c r="A195" s="4">
        <f>IFERROR(__xludf.DUMMYFUNCTION("""COMPUTED_VALUE"""),45791.80735679398)</f>
        <v>45791.80736</v>
      </c>
      <c r="B195" s="3" t="str">
        <f>IFERROR(__xludf.DUMMYFUNCTION("""COMPUTED_VALUE"""),"MRNBR0015")</f>
        <v>MRNBR0015</v>
      </c>
      <c r="C195" s="3" t="str">
        <f>IFERROR(__xludf.DUMMYFUNCTION("""COMPUTED_VALUE"""),"EJO")</f>
        <v>EJO</v>
      </c>
      <c r="D195" s="3" t="str">
        <f>IFERROR(__xludf.DUMMYFUNCTION("""COMPUTED_VALUE"""),"EJO/2024/12/150")</f>
        <v>EJO/2024/12/150</v>
      </c>
      <c r="E195" s="3" t="str">
        <f>IFERROR(__xludf.DUMMYFUNCTION("""COMPUTED_VALUE"""),"Loker sepatu")</f>
        <v>Loker sepatu</v>
      </c>
      <c r="F195" s="3" t="str">
        <f>IFERROR(__xludf.DUMMYFUNCTION("""COMPUTED_VALUE"""),"Flexuble duct")</f>
        <v>Flexuble duct</v>
      </c>
      <c r="G195" s="3" t="str">
        <f>IFERROR(__xludf.DUMMYFUNCTION("""COMPUTED_VALUE"""),"4 inch @ 5meter ")</f>
        <v>4 inch @ 5meter </v>
      </c>
      <c r="H195" s="3" t="str">
        <f>IFERROR(__xludf.DUMMYFUNCTION("""COMPUTED_VALUE"""),"NA")</f>
        <v>NA</v>
      </c>
      <c r="I195" s="3">
        <f>IFERROR(__xludf.DUMMYFUNCTION("""COMPUTED_VALUE"""),3.0)</f>
        <v>3</v>
      </c>
      <c r="J195" s="3" t="str">
        <f>IFERROR(__xludf.DUMMYFUNCTION("""COMPUTED_VALUE"""),"pcs")</f>
        <v>pcs</v>
      </c>
      <c r="K195" s="5" t="str">
        <f>IFERROR(__xludf.DUMMYFUNCTION("""COMPUTED_VALUE"""),"https://www.tokopedia.com/cianjursanitary/flexible-ducting-4-in-5-meter-free-klem-2-pc-pipa-exhaust-aluminium-fleksibel-pembuangan-ventilasi-ac-cooker-hood-mesin-pengering-loundry-roasting-kopi?aff_unique_id=&amp;channel=others&amp;chain_key=")</f>
        <v>https://www.tokopedia.com/cianjursanitary/flexible-ducting-4-in-5-meter-free-klem-2-pc-pipa-exhaust-aluminium-fleksibel-pembuangan-ventilasi-ac-cooker-hood-mesin-pengering-loundry-roasting-kopi?aff_unique_id=&amp;channel=others&amp;chain_key=</v>
      </c>
      <c r="L195" s="3" t="str">
        <f>IFERROR(__xludf.DUMMYFUNCTION("""COMPUTED_VALUE"""),"untuk loker sepatu eng")</f>
        <v>untuk loker sepatu eng</v>
      </c>
      <c r="M195" s="3" t="str">
        <f>IFERROR(__xludf.DUMMYFUNCTION("""COMPUTED_VALUE"""),"Approve")</f>
        <v>Approve</v>
      </c>
      <c r="N195" s="3" t="str">
        <f>IFERROR(__xludf.DUMMYFUNCTION("""COMPUTED_VALUE"""),"Normal")</f>
        <v>Normal</v>
      </c>
      <c r="O195" s="3" t="str">
        <f>IFERROR(__xludf.DUMMYFUNCTION("""COMPUTED_VALUE"""),"Non Urgent")</f>
        <v>Non Urgent</v>
      </c>
    </row>
    <row r="196">
      <c r="A196" s="4">
        <f>IFERROR(__xludf.DUMMYFUNCTION("""COMPUTED_VALUE"""),45791.808722118054)</f>
        <v>45791.80872</v>
      </c>
      <c r="B196" s="3" t="str">
        <f>IFERROR(__xludf.DUMMYFUNCTION("""COMPUTED_VALUE"""),"MRNBR0016")</f>
        <v>MRNBR0016</v>
      </c>
      <c r="C196" s="3" t="str">
        <f>IFERROR(__xludf.DUMMYFUNCTION("""COMPUTED_VALUE"""),"EJO")</f>
        <v>EJO</v>
      </c>
      <c r="D196" s="3" t="str">
        <f>IFERROR(__xludf.DUMMYFUNCTION("""COMPUTED_VALUE"""),"EJO/2024/12/150")</f>
        <v>EJO/2024/12/150</v>
      </c>
      <c r="E196" s="3" t="str">
        <f>IFERROR(__xludf.DUMMYFUNCTION("""COMPUTED_VALUE"""),"Loker sepatu")</f>
        <v>Loker sepatu</v>
      </c>
      <c r="F196" s="3" t="str">
        <f>IFERROR(__xludf.DUMMYFUNCTION("""COMPUTED_VALUE"""),"louver 4 inch")</f>
        <v>louver 4 inch</v>
      </c>
      <c r="G196" s="3" t="str">
        <f>IFERROR(__xludf.DUMMYFUNCTION("""COMPUTED_VALUE"""),"4 inch")</f>
        <v>4 inch</v>
      </c>
      <c r="H196" s="3" t="str">
        <f>IFERROR(__xludf.DUMMYFUNCTION("""COMPUTED_VALUE"""),"NA")</f>
        <v>NA</v>
      </c>
      <c r="I196" s="3">
        <f>IFERROR(__xludf.DUMMYFUNCTION("""COMPUTED_VALUE"""),3.0)</f>
        <v>3</v>
      </c>
      <c r="J196" s="3" t="str">
        <f>IFERROR(__xludf.DUMMYFUNCTION("""COMPUTED_VALUE"""),"pcs")</f>
        <v>pcs</v>
      </c>
      <c r="K196" s="5" t="str">
        <f>IFERROR(__xludf.DUMMYFUNCTION("""COMPUTED_VALUE"""),"https://www.tokopedia.com/latifshop/penutup-flexible-ducting-4-in-grill-bulat-pipa-exhaust-cerobong-ac?aff_unique_id=&amp;channel=others&amp;chain_key=")</f>
        <v>https://www.tokopedia.com/latifshop/penutup-flexible-ducting-4-in-grill-bulat-pipa-exhaust-cerobong-ac?aff_unique_id=&amp;channel=others&amp;chain_key=</v>
      </c>
      <c r="L196" s="3" t="str">
        <f>IFERROR(__xludf.DUMMYFUNCTION("""COMPUTED_VALUE"""),"untuk loker sepatu eng")</f>
        <v>untuk loker sepatu eng</v>
      </c>
      <c r="M196" s="3" t="str">
        <f>IFERROR(__xludf.DUMMYFUNCTION("""COMPUTED_VALUE"""),"Approve")</f>
        <v>Approve</v>
      </c>
      <c r="N196" s="3" t="str">
        <f>IFERROR(__xludf.DUMMYFUNCTION("""COMPUTED_VALUE"""),"Normal")</f>
        <v>Normal</v>
      </c>
      <c r="O196" s="3" t="str">
        <f>IFERROR(__xludf.DUMMYFUNCTION("""COMPUTED_VALUE"""),"Non Urgent")</f>
        <v>Non Urgent</v>
      </c>
    </row>
    <row r="197">
      <c r="A197" s="4">
        <f>IFERROR(__xludf.DUMMYFUNCTION("""COMPUTED_VALUE"""),45792.37696704861)</f>
        <v>45792.37697</v>
      </c>
      <c r="B197" s="3" t="str">
        <f>IFERROR(__xludf.DUMMYFUNCTION("""COMPUTED_VALUE"""),"ANOBR0020")</f>
        <v>ANOBR0020</v>
      </c>
      <c r="C197" s="3" t="str">
        <f>IFERROR(__xludf.DUMMYFUNCTION("""COMPUTED_VALUE"""),"EJO")</f>
        <v>EJO</v>
      </c>
      <c r="D197" s="3" t="str">
        <f>IFERROR(__xludf.DUMMYFUNCTION("""COMPUTED_VALUE"""),"EJO/2025/02/64")</f>
        <v>EJO/2025/02/64</v>
      </c>
      <c r="E197" s="3" t="str">
        <f>IFERROR(__xludf.DUMMYFUNCTION("""COMPUTED_VALUE"""),"Panel Crabs")</f>
        <v>Panel Crabs</v>
      </c>
      <c r="F197" s="3" t="str">
        <f>IFERROR(__xludf.DUMMYFUNCTION("""COMPUTED_VALUE"""),"Handle pintu panel")</f>
        <v>Handle pintu panel</v>
      </c>
      <c r="G197" s="3" t="str">
        <f>IFERROR(__xludf.DUMMYFUNCTION("""COMPUTED_VALUE"""),"Merk eta")</f>
        <v>Merk eta</v>
      </c>
      <c r="H197" s="3" t="str">
        <f>IFERROR(__xludf.DUMMYFUNCTION("""COMPUTED_VALUE"""),"Eta")</f>
        <v>Eta</v>
      </c>
      <c r="I197" s="3">
        <f>IFERROR(__xludf.DUMMYFUNCTION("""COMPUTED_VALUE"""),5.0)</f>
        <v>5</v>
      </c>
      <c r="J197" s="3" t="str">
        <f>IFERROR(__xludf.DUMMYFUNCTION("""COMPUTED_VALUE"""),"Pcs")</f>
        <v>Pcs</v>
      </c>
      <c r="K197" s="5" t="str">
        <f>IFERROR(__xludf.DUMMYFUNCTION("""COMPUTED_VALUE"""),"https://drive.google.com/drive/folders/1j9UNRTv1p0bTJ6AYr7-b7ZBTqcrEgUTN")</f>
        <v>https://drive.google.com/drive/folders/1j9UNRTv1p0bTJ6AYr7-b7ZBTqcrEgUTN</v>
      </c>
      <c r="L197" s="3" t="str">
        <f>IFERROR(__xludf.DUMMYFUNCTION("""COMPUTED_VALUE"""),"Keperluan untuk mengganti handle pintu panel Crabs yang sudah rusak")</f>
        <v>Keperluan untuk mengganti handle pintu panel Crabs yang sudah rusak</v>
      </c>
      <c r="M197" s="3" t="str">
        <f>IFERROR(__xludf.DUMMYFUNCTION("""COMPUTED_VALUE"""),"Approve")</f>
        <v>Approve</v>
      </c>
      <c r="N197" s="3" t="str">
        <f>IFERROR(__xludf.DUMMYFUNCTION("""COMPUTED_VALUE"""),"Normal")</f>
        <v>Normal</v>
      </c>
      <c r="O197" s="3" t="str">
        <f>IFERROR(__xludf.DUMMYFUNCTION("""COMPUTED_VALUE"""),"Non Urgent")</f>
        <v>Non Urgent</v>
      </c>
    </row>
    <row r="198">
      <c r="A198" s="4">
        <f>IFERROR(__xludf.DUMMYFUNCTION("""COMPUTED_VALUE"""),45792.39749200231)</f>
        <v>45792.39749</v>
      </c>
      <c r="B198" s="3" t="str">
        <f>IFERROR(__xludf.DUMMYFUNCTION("""COMPUTED_VALUE"""),"ANOBR0019")</f>
        <v>ANOBR0019</v>
      </c>
      <c r="C198" s="3" t="str">
        <f>IFERROR(__xludf.DUMMYFUNCTION("""COMPUTED_VALUE"""),"EJO")</f>
        <v>EJO</v>
      </c>
      <c r="D198" s="3" t="str">
        <f>IFERROR(__xludf.DUMMYFUNCTION("""COMPUTED_VALUE"""),"EJO/2025/05/89")</f>
        <v>EJO/2025/05/89</v>
      </c>
      <c r="E198" s="3" t="str">
        <f>IFERROR(__xludf.DUMMYFUNCTION("""COMPUTED_VALUE"""),"Conveyor system B packhall")</f>
        <v>Conveyor system B packhall</v>
      </c>
      <c r="F198" s="3" t="str">
        <f>IFERROR(__xludf.DUMMYFUNCTION("""COMPUTED_VALUE"""),"speed control")</f>
        <v>speed control</v>
      </c>
      <c r="G198" s="3" t="str">
        <f>IFERROR(__xludf.DUMMYFUNCTION("""COMPUTED_VALUE"""),"merk houle 220V, 90W")</f>
        <v>merk houle 220V, 90W</v>
      </c>
      <c r="H198" s="3" t="str">
        <f>IFERROR(__xludf.DUMMYFUNCTION("""COMPUTED_VALUE"""),"HOULE")</f>
        <v>HOULE</v>
      </c>
      <c r="I198" s="3">
        <f>IFERROR(__xludf.DUMMYFUNCTION("""COMPUTED_VALUE"""),2.0)</f>
        <v>2</v>
      </c>
      <c r="J198" s="3" t="str">
        <f>IFERROR(__xludf.DUMMYFUNCTION("""COMPUTED_VALUE"""),"unit")</f>
        <v>unit</v>
      </c>
      <c r="K198" s="5" t="str">
        <f>IFERROR(__xludf.DUMMYFUNCTION("""COMPUTED_VALUE"""),"https://tk.tokopedia.com/ZSh5hft6E/")</f>
        <v>https://tk.tokopedia.com/ZSh5hft6E/</v>
      </c>
      <c r="L198" s="3" t="str">
        <f>IFERROR(__xludf.DUMMYFUNCTION("""COMPUTED_VALUE"""),"keperluan untuk mengganti speed control di conveyor B packhall")</f>
        <v>keperluan untuk mengganti speed control di conveyor B packhall</v>
      </c>
      <c r="M198" s="3" t="str">
        <f>IFERROR(__xludf.DUMMYFUNCTION("""COMPUTED_VALUE"""),"Approve")</f>
        <v>Approve</v>
      </c>
      <c r="N198" s="3" t="str">
        <f>IFERROR(__xludf.DUMMYFUNCTION("""COMPUTED_VALUE"""),"Normal")</f>
        <v>Normal</v>
      </c>
      <c r="O198" s="3" t="str">
        <f>IFERROR(__xludf.DUMMYFUNCTION("""COMPUTED_VALUE"""),"Non Urgent")</f>
        <v>Non Urgent</v>
      </c>
    </row>
    <row r="199">
      <c r="A199" s="4">
        <f>IFERROR(__xludf.DUMMYFUNCTION("""COMPUTED_VALUE"""),45792.89215216435)</f>
        <v>45792.89215</v>
      </c>
      <c r="B199" s="3" t="str">
        <f>IFERROR(__xludf.DUMMYFUNCTION("""COMPUTED_VALUE"""),"NDSBR0013")</f>
        <v>NDSBR0013</v>
      </c>
      <c r="C199" s="3" t="str">
        <f>IFERROR(__xludf.DUMMYFUNCTION("""COMPUTED_VALUE"""),"Consumable")</f>
        <v>Consumable</v>
      </c>
      <c r="D199" s="3" t="str">
        <f>IFERROR(__xludf.DUMMYFUNCTION("""COMPUTED_VALUE"""),"-")</f>
        <v>-</v>
      </c>
      <c r="E199" s="3" t="str">
        <f>IFERROR(__xludf.DUMMYFUNCTION("""COMPUTED_VALUE"""),"Filling")</f>
        <v>Filling</v>
      </c>
      <c r="F199" s="3" t="str">
        <f>IFERROR(__xludf.DUMMYFUNCTION("""COMPUTED_VALUE"""),"Stop Kontak")</f>
        <v>Stop Kontak</v>
      </c>
      <c r="G199" s="3" t="str">
        <f>IFERROR(__xludf.DUMMYFUNCTION("""COMPUTED_VALUE"""),"yang ada tutupnya")</f>
        <v>yang ada tutupnya</v>
      </c>
      <c r="H199" s="3" t="str">
        <f>IFERROR(__xludf.DUMMYFUNCTION("""COMPUTED_VALUE"""),"Borco")</f>
        <v>Borco</v>
      </c>
      <c r="I199" s="3">
        <f>IFERROR(__xludf.DUMMYFUNCTION("""COMPUTED_VALUE"""),5.0)</f>
        <v>5</v>
      </c>
      <c r="J199" s="3" t="str">
        <f>IFERROR(__xludf.DUMMYFUNCTION("""COMPUTED_VALUE"""),"PCS")</f>
        <v>PCS</v>
      </c>
      <c r="K199" s="5" t="str">
        <f>IFERROR(__xludf.DUMMYFUNCTION("""COMPUTED_VALUE"""),"https://www.tokopedia.com/discovery/rekomendasi?recomProdId=614235611&amp;utm_source=google&amp;utm_medium=cpc&amp;utm_campaign=0000-0000-gg-pmax-bend-voo-tcpa-act-ord-pg-id51pgce51-0000-alon-gshp&amp;utm_term=614235611&amp;ref=googleshopping&amp;c=21543673600&amp;m=282743202&amp;gclsrc"&amp;"=aw.ds&amp;gad_source=1")</f>
        <v>https://www.tokopedia.com/discovery/rekomendasi?recomProdId=614235611&amp;utm_source=google&amp;utm_medium=cpc&amp;utm_campaign=0000-0000-gg-pmax-bend-voo-tcpa-act-ord-pg-id51pgce51-0000-alon-gshp&amp;utm_term=614235611&amp;ref=googleshopping&amp;c=21543673600&amp;m=282743202&amp;gclsrc=aw.ds&amp;gad_source=1</v>
      </c>
      <c r="L199" s="3" t="str">
        <f>IFERROR(__xludf.DUMMYFUNCTION("""COMPUTED_VALUE"""),"-")</f>
        <v>-</v>
      </c>
      <c r="M199" s="3" t="str">
        <f>IFERROR(__xludf.DUMMYFUNCTION("""COMPUTED_VALUE"""),"Approve")</f>
        <v>Approve</v>
      </c>
      <c r="N199" s="3" t="str">
        <f>IFERROR(__xludf.DUMMYFUNCTION("""COMPUTED_VALUE"""),"Normal")</f>
        <v>Normal</v>
      </c>
      <c r="O199" s="3" t="str">
        <f>IFERROR(__xludf.DUMMYFUNCTION("""COMPUTED_VALUE"""),"Non Urgent")</f>
        <v>Non Urgent</v>
      </c>
    </row>
    <row r="200">
      <c r="A200" s="4">
        <f>IFERROR(__xludf.DUMMYFUNCTION("""COMPUTED_VALUE"""),45793.61515288195)</f>
        <v>45793.61515</v>
      </c>
      <c r="B200" s="3" t="str">
        <f>IFERROR(__xludf.DUMMYFUNCTION("""COMPUTED_VALUE"""),"RIABR0040")</f>
        <v>RIABR0040</v>
      </c>
      <c r="C200" s="3" t="str">
        <f>IFERROR(__xludf.DUMMYFUNCTION("""COMPUTED_VALUE"""),"Consumable")</f>
        <v>Consumable</v>
      </c>
      <c r="D200" s="3" t="str">
        <f>IFERROR(__xludf.DUMMYFUNCTION("""COMPUTED_VALUE"""),"-")</f>
        <v>-</v>
      </c>
      <c r="E200" s="3" t="str">
        <f>IFERROR(__xludf.DUMMYFUNCTION("""COMPUTED_VALUE"""),"PWG")</f>
        <v>PWG</v>
      </c>
      <c r="F200" s="3" t="str">
        <f>IFERROR(__xludf.DUMMYFUNCTION("""COMPUTED_VALUE"""),"Counter")</f>
        <v>Counter</v>
      </c>
      <c r="G200" s="3" t="str">
        <f>IFERROR(__xludf.DUMMYFUNCTION("""COMPUTED_VALUE"""),"COUNTER/TIMER DIGITAL AUTONICS CT6S-1P4-220VAC")</f>
        <v>COUNTER/TIMER DIGITAL AUTONICS CT6S-1P4-220VAC</v>
      </c>
      <c r="H200" s="3" t="str">
        <f>IFERROR(__xludf.DUMMYFUNCTION("""COMPUTED_VALUE"""),"Autonics")</f>
        <v>Autonics</v>
      </c>
      <c r="I200" s="3">
        <f>IFERROR(__xludf.DUMMYFUNCTION("""COMPUTED_VALUE"""),1.0)</f>
        <v>1</v>
      </c>
      <c r="J200" s="3" t="str">
        <f>IFERROR(__xludf.DUMMYFUNCTION("""COMPUTED_VALUE"""),"Pcs")</f>
        <v>Pcs</v>
      </c>
      <c r="K200" s="5" t="str">
        <f>IFERROR(__xludf.DUMMYFUNCTION("""COMPUTED_VALUE"""),"https://www.tokopedia.com/magnaautomation/counter-timer-digital-autonics-ct6s-1p4-220vac?extParam=ivf%3Dfalse%26keyword%3Dcounter+autonics&amp;src=topads")</f>
        <v>https://www.tokopedia.com/magnaautomation/counter-timer-digital-autonics-ct6s-1p4-220vac?extParam=ivf%3Dfalse%26keyword%3Dcounter+autonics&amp;src=topads</v>
      </c>
      <c r="L200" s="3" t="str">
        <f>IFERROR(__xludf.DUMMYFUNCTION("""COMPUTED_VALUE"""),"Buat cek PWG on beberapa kali selama 1 hari, tk buat min stok yah ")</f>
        <v>Buat cek PWG on beberapa kali selama 1 hari, tk buat min stok yah </v>
      </c>
      <c r="M200" s="3" t="str">
        <f>IFERROR(__xludf.DUMMYFUNCTION("""COMPUTED_VALUE"""),"Approve")</f>
        <v>Approve</v>
      </c>
      <c r="N200" s="3" t="str">
        <f>IFERROR(__xludf.DUMMYFUNCTION("""COMPUTED_VALUE"""),"Normal")</f>
        <v>Normal</v>
      </c>
      <c r="O200" s="3" t="str">
        <f>IFERROR(__xludf.DUMMYFUNCTION("""COMPUTED_VALUE"""),"Non Urgent")</f>
        <v>Non Urgent</v>
      </c>
    </row>
    <row r="201">
      <c r="A201" s="4">
        <f>IFERROR(__xludf.DUMMYFUNCTION("""COMPUTED_VALUE"""),45797.66488145833)</f>
        <v>45797.66488</v>
      </c>
      <c r="B201" s="3" t="str">
        <f>IFERROR(__xludf.DUMMYFUNCTION("""COMPUTED_VALUE"""),"INNBR0028")</f>
        <v>INNBR0028</v>
      </c>
      <c r="C201" s="3" t="str">
        <f>IFERROR(__xludf.DUMMYFUNCTION("""COMPUTED_VALUE"""),"EJO")</f>
        <v>EJO</v>
      </c>
      <c r="D201" s="3" t="str">
        <f>IFERROR(__xludf.DUMMYFUNCTION("""COMPUTED_VALUE"""),"EJO/2025/05/99")</f>
        <v>EJO/2025/05/99</v>
      </c>
      <c r="E201" s="3" t="str">
        <f>IFERROR(__xludf.DUMMYFUNCTION("""COMPUTED_VALUE"""),"Part Filling")</f>
        <v>Part Filling</v>
      </c>
      <c r="F201" s="3" t="str">
        <f>IFERROR(__xludf.DUMMYFUNCTION("""COMPUTED_VALUE"""),"Spare Actuator For type 654 size DN10- DN20 seat size MG10")</f>
        <v>Spare Actuator For type 654 size DN10- DN20 seat size MG10</v>
      </c>
      <c r="G201" s="3" t="str">
        <f>IFERROR(__xludf.DUMMYFUNCTION("""COMPUTED_VALUE"""),"Sesuai penawaran")</f>
        <v>Sesuai penawaran</v>
      </c>
      <c r="H201" s="3" t="str">
        <f>IFERROR(__xludf.DUMMYFUNCTION("""COMPUTED_VALUE"""),"Gemu")</f>
        <v>Gemu</v>
      </c>
      <c r="I201" s="3">
        <f>IFERROR(__xludf.DUMMYFUNCTION("""COMPUTED_VALUE"""),2.0)</f>
        <v>2</v>
      </c>
      <c r="J201" s="3" t="str">
        <f>IFERROR(__xludf.DUMMYFUNCTION("""COMPUTED_VALUE"""),"pcs")</f>
        <v>pcs</v>
      </c>
      <c r="K201" s="5" t="str">
        <f>IFERROR(__xludf.DUMMYFUNCTION("""COMPUTED_VALUE"""),"https://drive.google.com/file/d/1kGDj03EvrPoekh4YS-Tsi0eLllX8GG8U/view?usp=drive_link")</f>
        <v>https://drive.google.com/file/d/1kGDj03EvrPoekh4YS-Tsi0eLllX8GG8U/view?usp=drive_link</v>
      </c>
      <c r="L201" s="3" t="str">
        <f>IFERROR(__xludf.DUMMYFUNCTION("""COMPUTED_VALUE"""),"handle awalnya plastic di ganti yg stanles agar lebih awet")</f>
        <v>handle awalnya plastic di ganti yg stanles agar lebih awet</v>
      </c>
      <c r="M201" s="3" t="str">
        <f>IFERROR(__xludf.DUMMYFUNCTION("""COMPUTED_VALUE"""),"Approve")</f>
        <v>Approve</v>
      </c>
      <c r="N201" s="3" t="str">
        <f>IFERROR(__xludf.DUMMYFUNCTION("""COMPUTED_VALUE"""),"Normal")</f>
        <v>Normal</v>
      </c>
      <c r="O201" s="3" t="str">
        <f>IFERROR(__xludf.DUMMYFUNCTION("""COMPUTED_VALUE"""),"Non Urgent")</f>
        <v>Non Urgent</v>
      </c>
    </row>
    <row r="202">
      <c r="A202" s="4">
        <f>IFERROR(__xludf.DUMMYFUNCTION("""COMPUTED_VALUE"""),45800.70543971065)</f>
        <v>45800.70544</v>
      </c>
      <c r="B202" s="3" t="str">
        <f>IFERROR(__xludf.DUMMYFUNCTION("""COMPUTED_VALUE"""),"ROSBR0018")</f>
        <v>ROSBR0018</v>
      </c>
      <c r="C202" s="3" t="str">
        <f>IFERROR(__xludf.DUMMYFUNCTION("""COMPUTED_VALUE"""),"Consumable")</f>
        <v>Consumable</v>
      </c>
      <c r="D202" s="3" t="str">
        <f>IFERROR(__xludf.DUMMYFUNCTION("""COMPUTED_VALUE"""),"NA")</f>
        <v>NA</v>
      </c>
      <c r="E202" s="3" t="str">
        <f>IFERROR(__xludf.DUMMYFUNCTION("""COMPUTED_VALUE"""),"Sartocheck")</f>
        <v>Sartocheck</v>
      </c>
      <c r="F202" s="3" t="str">
        <f>IFERROR(__xludf.DUMMYFUNCTION("""COMPUTED_VALUE"""),"Fuse Kaca")</f>
        <v>Fuse Kaca</v>
      </c>
      <c r="G202" s="3" t="str">
        <f>IFERROR(__xludf.DUMMYFUNCTION("""COMPUTED_VALUE"""),"fuse kaca 1.5A 250V kecil 5x20mm")</f>
        <v>fuse kaca 1.5A 250V kecil 5x20mm</v>
      </c>
      <c r="H202" s="3" t="str">
        <f>IFERROR(__xludf.DUMMYFUNCTION("""COMPUTED_VALUE"""),"General")</f>
        <v>General</v>
      </c>
      <c r="I202" s="3">
        <f>IFERROR(__xludf.DUMMYFUNCTION("""COMPUTED_VALUE"""),20.0)</f>
        <v>20</v>
      </c>
      <c r="J202" s="3" t="str">
        <f>IFERROR(__xludf.DUMMYFUNCTION("""COMPUTED_VALUE"""),"Pcs")</f>
        <v>Pcs</v>
      </c>
      <c r="K202" s="5" t="str">
        <f>IFERROR(__xludf.DUMMYFUNCTION("""COMPUTED_VALUE"""),"https://www.tokopedia.com/snapshot_product?dtl_id=4553598138&amp;order_id=2113893208")</f>
        <v>https://www.tokopedia.com/snapshot_product?dtl_id=4553598138&amp;order_id=2113893208</v>
      </c>
      <c r="L202" s="3" t="str">
        <f>IFERROR(__xludf.DUMMYFUNCTION("""COMPUTED_VALUE"""),"-")</f>
        <v>-</v>
      </c>
      <c r="M202" s="3" t="str">
        <f>IFERROR(__xludf.DUMMYFUNCTION("""COMPUTED_VALUE"""),"Approve")</f>
        <v>Approve</v>
      </c>
      <c r="N202" s="3" t="str">
        <f>IFERROR(__xludf.DUMMYFUNCTION("""COMPUTED_VALUE"""),"Normal")</f>
        <v>Normal</v>
      </c>
      <c r="O202" s="3" t="str">
        <f>IFERROR(__xludf.DUMMYFUNCTION("""COMPUTED_VALUE"""),"Non Urgent")</f>
        <v>Non Urgent</v>
      </c>
    </row>
    <row r="203">
      <c r="A203" s="4">
        <f>IFERROR(__xludf.DUMMYFUNCTION("""COMPUTED_VALUE"""),45800.884606562504)</f>
        <v>45800.88461</v>
      </c>
      <c r="B203" s="3" t="str">
        <f>IFERROR(__xludf.DUMMYFUNCTION("""COMPUTED_VALUE"""),"ROSBR0019")</f>
        <v>ROSBR0019</v>
      </c>
      <c r="C203" s="3" t="str">
        <f>IFERROR(__xludf.DUMMYFUNCTION("""COMPUTED_VALUE"""),"Consumable")</f>
        <v>Consumable</v>
      </c>
      <c r="D203" s="3" t="str">
        <f>IFERROR(__xludf.DUMMYFUNCTION("""COMPUTED_VALUE"""),"NA")</f>
        <v>NA</v>
      </c>
      <c r="E203" s="3" t="str">
        <f>IFERROR(__xludf.DUMMYFUNCTION("""COMPUTED_VALUE"""),"Dustcollector Coating")</f>
        <v>Dustcollector Coating</v>
      </c>
      <c r="F203" s="3" t="str">
        <f>IFERROR(__xludf.DUMMYFUNCTION("""COMPUTED_VALUE"""),"Cover filter masker 3M")</f>
        <v>Cover filter masker 3M</v>
      </c>
      <c r="G203" s="3" t="str">
        <f>IFERROR(__xludf.DUMMYFUNCTION("""COMPUTED_VALUE"""),"Filter Cover Masker / 5N11 Filter Cover 3M 501")</f>
        <v>Filter Cover Masker / 5N11 Filter Cover 3M 501</v>
      </c>
      <c r="H203" s="3" t="str">
        <f>IFERROR(__xludf.DUMMYFUNCTION("""COMPUTED_VALUE"""),"3M")</f>
        <v>3M</v>
      </c>
      <c r="I203" s="3">
        <f>IFERROR(__xludf.DUMMYFUNCTION("""COMPUTED_VALUE"""),10.0)</f>
        <v>10</v>
      </c>
      <c r="J203" s="3" t="str">
        <f>IFERROR(__xludf.DUMMYFUNCTION("""COMPUTED_VALUE"""),"pcs")</f>
        <v>pcs</v>
      </c>
      <c r="K203" s="5" t="str">
        <f>IFERROR(__xludf.DUMMYFUNCTION("""COMPUTED_VALUE"""),"https://www.tokopedia.com/verticalstore/filter-cover-masker-5n11-filter-cover-3m-501?extParam=ivf%3Dfalse%26keyword%3Dfilter+cover+masker+%2F+5n11+filter+cover+3m+501%26search_id%3D20250523141235D198A66FA6C3F7184N2Y%26src%3Dsearch&amp;t_id=1748009589076&amp;t_st="&amp;"1&amp;t_pp=search_result&amp;t_efo=search_pure_goods_card&amp;t_ef=goods_search&amp;t_sm=&amp;t_spt=search_result")</f>
        <v>https://www.tokopedia.com/verticalstore/filter-cover-masker-5n11-filter-cover-3m-501?extParam=ivf%3Dfalse%26keyword%3Dfilter+cover+masker+%2F+5n11+filter+cover+3m+501%26search_id%3D20250523141235D198A66FA6C3F7184N2Y%26src%3Dsearch&amp;t_id=1748009589076&amp;t_st=1&amp;t_pp=search_result&amp;t_efo=search_pure_goods_card&amp;t_ef=goods_search&amp;t_sm=&amp;t_spt=search_result</v>
      </c>
      <c r="L203" s="3" t="str">
        <f>IFERROR(__xludf.DUMMYFUNCTION("""COMPUTED_VALUE"""),"cover prefilter pada Masker 3M 6800")</f>
        <v>cover prefilter pada Masker 3M 6800</v>
      </c>
      <c r="M203" s="3" t="str">
        <f>IFERROR(__xludf.DUMMYFUNCTION("""COMPUTED_VALUE"""),"Approve")</f>
        <v>Approve</v>
      </c>
      <c r="N203" s="3" t="str">
        <f>IFERROR(__xludf.DUMMYFUNCTION("""COMPUTED_VALUE"""),"Normal")</f>
        <v>Normal</v>
      </c>
      <c r="O203" s="3" t="str">
        <f>IFERROR(__xludf.DUMMYFUNCTION("""COMPUTED_VALUE"""),"Non Urgent")</f>
        <v>Non Urgent</v>
      </c>
    </row>
    <row r="204">
      <c r="A204" s="4">
        <f>IFERROR(__xludf.DUMMYFUNCTION("""COMPUTED_VALUE"""),45800.890040370374)</f>
        <v>45800.89004</v>
      </c>
      <c r="B204" s="3" t="str">
        <f>IFERROR(__xludf.DUMMYFUNCTION("""COMPUTED_VALUE"""),"ROSBR0020")</f>
        <v>ROSBR0020</v>
      </c>
      <c r="C204" s="3" t="str">
        <f>IFERROR(__xludf.DUMMYFUNCTION("""COMPUTED_VALUE"""),"Consumable")</f>
        <v>Consumable</v>
      </c>
      <c r="D204" s="3" t="str">
        <f>IFERROR(__xludf.DUMMYFUNCTION("""COMPUTED_VALUE"""),"NA")</f>
        <v>NA</v>
      </c>
      <c r="E204" s="3" t="str">
        <f>IFERROR(__xludf.DUMMYFUNCTION("""COMPUTED_VALUE"""),"Duscollector Coating")</f>
        <v>Duscollector Coating</v>
      </c>
      <c r="F204" s="3" t="str">
        <f>IFERROR(__xludf.DUMMYFUNCTION("""COMPUTED_VALUE"""),"Prefilter 5N11 N95")</f>
        <v>Prefilter 5N11 N95</v>
      </c>
      <c r="G204" s="3" t="str">
        <f>IFERROR(__xludf.DUMMYFUNCTION("""COMPUTED_VALUE"""),"3M partikel filter 5N11")</f>
        <v>3M partikel filter 5N11</v>
      </c>
      <c r="H204" s="3" t="str">
        <f>IFERROR(__xludf.DUMMYFUNCTION("""COMPUTED_VALUE"""),"3M")</f>
        <v>3M</v>
      </c>
      <c r="I204" s="3">
        <f>IFERROR(__xludf.DUMMYFUNCTION("""COMPUTED_VALUE"""),2.0)</f>
        <v>2</v>
      </c>
      <c r="J204" s="3" t="str">
        <f>IFERROR(__xludf.DUMMYFUNCTION("""COMPUTED_VALUE"""),"Box")</f>
        <v>Box</v>
      </c>
      <c r="K204" s="5" t="str">
        <f>IFERROR(__xludf.DUMMYFUNCTION("""COMPUTED_VALUE"""),"https://www.tokopedia.com/anandito1207/3m-partikel-filter-5n11?extParam=ivf%3Dfalse%26keyword%3Dfilter+5n11+3m%26search_id%3D20250523141807D3AA820E99B7C7102QRC%26src%3Dsearch&amp;t_id=1748009589076&amp;t_st=2&amp;t_pp=search_result&amp;t_efo=search_pure_goods_card&amp;t_ef=g"&amp;"oods_search&amp;t_sm=&amp;t_spt=search_result")</f>
        <v>https://www.tokopedia.com/anandito1207/3m-partikel-filter-5n11?extParam=ivf%3Dfalse%26keyword%3Dfilter+5n11+3m%26search_id%3D20250523141807D3AA820E99B7C7102QRC%26src%3Dsearch&amp;t_id=1748009589076&amp;t_st=2&amp;t_pp=search_result&amp;t_efo=search_pure_goods_card&amp;t_ef=goods_search&amp;t_sm=&amp;t_spt=search_result</v>
      </c>
      <c r="L204" s="3" t="str">
        <f>IFERROR(__xludf.DUMMYFUNCTION("""COMPUTED_VALUE"""),"Prefilter 5N11 merk 3M")</f>
        <v>Prefilter 5N11 merk 3M</v>
      </c>
      <c r="M204" s="3" t="str">
        <f>IFERROR(__xludf.DUMMYFUNCTION("""COMPUTED_VALUE"""),"Approve")</f>
        <v>Approve</v>
      </c>
      <c r="N204" s="3" t="str">
        <f>IFERROR(__xludf.DUMMYFUNCTION("""COMPUTED_VALUE"""),"Normal")</f>
        <v>Normal</v>
      </c>
      <c r="O204" s="3" t="str">
        <f>IFERROR(__xludf.DUMMYFUNCTION("""COMPUTED_VALUE"""),"Non Urgent")</f>
        <v>Non Urgent</v>
      </c>
    </row>
    <row r="205">
      <c r="A205" s="4">
        <f>IFERROR(__xludf.DUMMYFUNCTION("""COMPUTED_VALUE"""),45800.89524377314)</f>
        <v>45800.89524</v>
      </c>
      <c r="B205" s="3" t="str">
        <f>IFERROR(__xludf.DUMMYFUNCTION("""COMPUTED_VALUE"""),"ROSBR0021")</f>
        <v>ROSBR0021</v>
      </c>
      <c r="C205" s="3" t="str">
        <f>IFERROR(__xludf.DUMMYFUNCTION("""COMPUTED_VALUE"""),"Consumable")</f>
        <v>Consumable</v>
      </c>
      <c r="D205" s="3" t="str">
        <f>IFERROR(__xludf.DUMMYFUNCTION("""COMPUTED_VALUE"""),"NA")</f>
        <v>NA</v>
      </c>
      <c r="E205" s="3" t="str">
        <f>IFERROR(__xludf.DUMMYFUNCTION("""COMPUTED_VALUE"""),"Duscollector Coating")</f>
        <v>Duscollector Coating</v>
      </c>
      <c r="F205" s="3" t="str">
        <f>IFERROR(__xludf.DUMMYFUNCTION("""COMPUTED_VALUE"""),"3M 6006 Catridge")</f>
        <v>3M 6006 Catridge</v>
      </c>
      <c r="G205" s="3" t="str">
        <f>IFERROR(__xludf.DUMMYFUNCTION("""COMPUTED_VALUE"""),"3M 6006 Multi Acid Gas Organic Vapor Cartridge")</f>
        <v>3M 6006 Multi Acid Gas Organic Vapor Cartridge</v>
      </c>
      <c r="H205" s="3" t="str">
        <f>IFERROR(__xludf.DUMMYFUNCTION("""COMPUTED_VALUE"""),"3M")</f>
        <v>3M</v>
      </c>
      <c r="I205" s="3">
        <f>IFERROR(__xludf.DUMMYFUNCTION("""COMPUTED_VALUE"""),6.0)</f>
        <v>6</v>
      </c>
      <c r="J205" s="3" t="str">
        <f>IFERROR(__xludf.DUMMYFUNCTION("""COMPUTED_VALUE"""),"set")</f>
        <v>set</v>
      </c>
      <c r="K205" s="5" t="str">
        <f>IFERROR(__xludf.DUMMYFUNCTION("""COMPUTED_VALUE"""),"https://www.tokopedia.com/3m/3m-6006-multi-acid-gas-organic-vapor-cartridge-1-bag-isi-2-pcs-1731256986403374100?extParam=ivf%3Dfalse%26keyword%3D3m+6006%26search_id%3D2025052314224576F53CB73EA595211H8E%26src%3Dsearch")</f>
        <v>https://www.tokopedia.com/3m/3m-6006-multi-acid-gas-organic-vapor-cartridge-1-bag-isi-2-pcs-1731256986403374100?extParam=ivf%3Dfalse%26keyword%3D3m+6006%26search_id%3D2025052314224576F53CB73EA595211H8E%26src%3Dsearch</v>
      </c>
      <c r="L205" s="3" t="str">
        <f>IFERROR(__xludf.DUMMYFUNCTION("""COMPUTED_VALUE"""),"-")</f>
        <v>-</v>
      </c>
      <c r="M205" s="3" t="str">
        <f>IFERROR(__xludf.DUMMYFUNCTION("""COMPUTED_VALUE"""),"Approve")</f>
        <v>Approve</v>
      </c>
      <c r="N205" s="3" t="str">
        <f>IFERROR(__xludf.DUMMYFUNCTION("""COMPUTED_VALUE"""),"Normal")</f>
        <v>Normal</v>
      </c>
      <c r="O205" s="3" t="str">
        <f>IFERROR(__xludf.DUMMYFUNCTION("""COMPUTED_VALUE"""),"Non Urgent")</f>
        <v>Non Urgent</v>
      </c>
    </row>
    <row r="206">
      <c r="A206" s="4">
        <f>IFERROR(__xludf.DUMMYFUNCTION("""COMPUTED_VALUE"""),45800.90225410879)</f>
        <v>45800.90225</v>
      </c>
      <c r="B206" s="3" t="str">
        <f>IFERROR(__xludf.DUMMYFUNCTION("""COMPUTED_VALUE"""),"ROSBR0022")</f>
        <v>ROSBR0022</v>
      </c>
      <c r="C206" s="3" t="str">
        <f>IFERROR(__xludf.DUMMYFUNCTION("""COMPUTED_VALUE"""),"Consumable")</f>
        <v>Consumable</v>
      </c>
      <c r="D206" s="3" t="str">
        <f>IFERROR(__xludf.DUMMYFUNCTION("""COMPUTED_VALUE"""),"NA")</f>
        <v>NA</v>
      </c>
      <c r="E206" s="3" t="str">
        <f>IFERROR(__xludf.DUMMYFUNCTION("""COMPUTED_VALUE"""),"Duscollector Coating")</f>
        <v>Duscollector Coating</v>
      </c>
      <c r="F206" s="3" t="str">
        <f>IFERROR(__xludf.DUMMYFUNCTION("""COMPUTED_VALUE"""),"Masker 3M Full Facepiece")</f>
        <v>Masker 3M Full Facepiece</v>
      </c>
      <c r="G206" s="3" t="str">
        <f>IFERROR(__xludf.DUMMYFUNCTION("""COMPUTED_VALUE"""),"Reusable Masker Respirator 6800
size M")</f>
        <v>Reusable Masker Respirator 6800
size M</v>
      </c>
      <c r="H206" s="3" t="str">
        <f>IFERROR(__xludf.DUMMYFUNCTION("""COMPUTED_VALUE"""),"3M")</f>
        <v>3M</v>
      </c>
      <c r="I206" s="3">
        <f>IFERROR(__xludf.DUMMYFUNCTION("""COMPUTED_VALUE"""),2.0)</f>
        <v>2</v>
      </c>
      <c r="J206" s="3" t="str">
        <f>IFERROR(__xludf.DUMMYFUNCTION("""COMPUTED_VALUE"""),"set")</f>
        <v>set</v>
      </c>
      <c r="K206" s="5" t="str">
        <f>IFERROR(__xludf.DUMMYFUNCTION("""COMPUTED_VALUE"""),"https://www.tokopedia.com/h2k/masker-3m-full-facepiece-reusable-masker-respirator-6800-6800-m?extParam=ivf%3Dfalse%26keyword%3Dmasker+3m+6800+full+respirator%26search_id%3D202505231435147BF68B8DB2D5560D62H0%26src%3Dsearch")</f>
        <v>https://www.tokopedia.com/h2k/masker-3m-full-facepiece-reusable-masker-respirator-6800-6800-m?extParam=ivf%3Dfalse%26keyword%3Dmasker+3m+6800+full+respirator%26search_id%3D202505231435147BF68B8DB2D5560D62H0%26src%3Dsearch</v>
      </c>
      <c r="L206" s="3" t="str">
        <f>IFERROR(__xludf.DUMMYFUNCTION("""COMPUTED_VALUE"""),"-")</f>
        <v>-</v>
      </c>
      <c r="M206" s="3" t="str">
        <f>IFERROR(__xludf.DUMMYFUNCTION("""COMPUTED_VALUE"""),"Approve")</f>
        <v>Approve</v>
      </c>
      <c r="N206" s="3" t="str">
        <f>IFERROR(__xludf.DUMMYFUNCTION("""COMPUTED_VALUE"""),"Normal")</f>
        <v>Normal</v>
      </c>
      <c r="O206" s="3" t="str">
        <f>IFERROR(__xludf.DUMMYFUNCTION("""COMPUTED_VALUE"""),"Non Urgent")</f>
        <v>Non Urgent</v>
      </c>
    </row>
    <row r="207">
      <c r="A207" s="4">
        <f>IFERROR(__xludf.DUMMYFUNCTION("""COMPUTED_VALUE"""),45801.68770369212)</f>
        <v>45801.6877</v>
      </c>
      <c r="B207" s="3" t="str">
        <f>IFERROR(__xludf.DUMMYFUNCTION("""COMPUTED_VALUE"""),"AAABR0005")</f>
        <v>AAABR0005</v>
      </c>
      <c r="C207" s="3" t="str">
        <f>IFERROR(__xludf.DUMMYFUNCTION("""COMPUTED_VALUE"""),"Consumable")</f>
        <v>Consumable</v>
      </c>
      <c r="D207" s="3" t="str">
        <f>IFERROR(__xludf.DUMMYFUNCTION("""COMPUTED_VALUE"""),"NA")</f>
        <v>NA</v>
      </c>
      <c r="E207" s="3" t="str">
        <f>IFERROR(__xludf.DUMMYFUNCTION("""COMPUTED_VALUE"""),"Meja Goodman")</f>
        <v>Meja Goodman</v>
      </c>
      <c r="F207" s="3" t="str">
        <f>IFERROR(__xludf.DUMMYFUNCTION("""COMPUTED_VALUE"""),"mini connector (Stecker)")</f>
        <v>mini connector (Stecker)</v>
      </c>
      <c r="G207" s="3" t="str">
        <f>IFERROR(__xludf.DUMMYFUNCTION("""COMPUTED_VALUE"""),"Male + Female connector ; GST1813S ; 250V ; 20A")</f>
        <v>Male + Female connector ; GST1813S ; 250V ; 20A</v>
      </c>
      <c r="H207" s="3" t="str">
        <f>IFERROR(__xludf.DUMMYFUNCTION("""COMPUTED_VALUE"""),"Wieland")</f>
        <v>Wieland</v>
      </c>
      <c r="I207" s="3">
        <f>IFERROR(__xludf.DUMMYFUNCTION("""COMPUTED_VALUE"""),5.0)</f>
        <v>5</v>
      </c>
      <c r="J207" s="3" t="str">
        <f>IFERROR(__xludf.DUMMYFUNCTION("""COMPUTED_VALUE"""),"Set")</f>
        <v>Set</v>
      </c>
      <c r="K207" s="5" t="str">
        <f>IFERROR(__xludf.DUMMYFUNCTION("""COMPUTED_VALUE"""),"https://www.google.com/search?q=+GST1813S+20+A&amp;sca_esv=55be52598c2605ca&amp;rlz=1C1GCEA_enID973ID973&amp;udm=2&amp;biw=1093&amp;bih=497&amp;ei=EJExaJWZB7Ov4-EPisWviA0&amp;ved=0ahUKEwiV4fCd5buNAxWz1zgGHYriC9EQ4dUDCBE&amp;uact=5&amp;oq=+GST1813S+20+A&amp;gs_lp=EgNpbWciDiBHU1QxODEzUyAyMCBBSJwQ"&amp;"ULAFWN4HcAF4AJABAJgBeKAB3AGqAQMyLjG4AQPIAQD4AQGYAgCgAgCYAwCIBgGSBwCgB4cBsgcAuAcA&amp;sclient=img")</f>
        <v>https://www.google.com/search?q=+GST1813S+20+A&amp;sca_esv=55be52598c2605ca&amp;rlz=1C1GCEA_enID973ID973&amp;udm=2&amp;biw=1093&amp;bih=497&amp;ei=EJExaJWZB7Ov4-EPisWviA0&amp;ved=0ahUKEwiV4fCd5buNAxWz1zgGHYriC9EQ4dUDCBE&amp;uact=5&amp;oq=+GST1813S+20+A&amp;gs_lp=EgNpbWciDiBHU1QxODEzUyAyMCBBSJwQULAFWN4HcAF4AJABAJgBeKAB3AGqAQMyLjG4AQPIAQD4AQGYAgCgAgCYAwCIBgGSBwCgB4cBsgcAuAcA&amp;sclient=img</v>
      </c>
      <c r="L207" s="3" t="str">
        <f>IFERROR(__xludf.DUMMYFUNCTION("""COMPUTED_VALUE"""),"Needed Date : 24 Jun 25")</f>
        <v>Needed Date : 24 Jun 25</v>
      </c>
      <c r="M207" s="3" t="str">
        <f>IFERROR(__xludf.DUMMYFUNCTION("""COMPUTED_VALUE"""),"Approve")</f>
        <v>Approve</v>
      </c>
      <c r="N207" s="3" t="str">
        <f>IFERROR(__xludf.DUMMYFUNCTION("""COMPUTED_VALUE"""),"Normal")</f>
        <v>Normal</v>
      </c>
      <c r="O207" s="3" t="str">
        <f>IFERROR(__xludf.DUMMYFUNCTION("""COMPUTED_VALUE"""),"Non Urgent")</f>
        <v>Non Urgent</v>
      </c>
    </row>
    <row r="208">
      <c r="A208" s="4">
        <f>IFERROR(__xludf.DUMMYFUNCTION("""COMPUTED_VALUE"""),45802.54709849537)</f>
        <v>45802.5471</v>
      </c>
      <c r="B208" s="3" t="str">
        <f>IFERROR(__xludf.DUMMYFUNCTION("""COMPUTED_VALUE"""),"MFHBR0006")</f>
        <v>MFHBR0006</v>
      </c>
      <c r="C208" s="3" t="str">
        <f>IFERROR(__xludf.DUMMYFUNCTION("""COMPUTED_VALUE"""),"Critical Part")</f>
        <v>Critical Part</v>
      </c>
      <c r="D208" s="3" t="str">
        <f>IFERROR(__xludf.DUMMYFUNCTION("""COMPUTED_VALUE"""),"-")</f>
        <v>-</v>
      </c>
      <c r="E208" s="3" t="str">
        <f>IFERROR(__xludf.DUMMYFUNCTION("""COMPUTED_VALUE"""),"Pompa")</f>
        <v>Pompa</v>
      </c>
      <c r="F208" s="3" t="str">
        <f>IFERROR(__xludf.DUMMYFUNCTION("""COMPUTED_VALUE"""),"Pompa Grundfoss")</f>
        <v>Pompa Grundfoss</v>
      </c>
      <c r="G208" s="3" t="str">
        <f>IFERROR(__xludf.DUMMYFUNCTION("""COMPUTED_VALUE"""),"CR 32-3 A-F-A-E-HQQE 3x400D 50 HZ")</f>
        <v>CR 32-3 A-F-A-E-HQQE 3x400D 50 HZ</v>
      </c>
      <c r="H208" s="3" t="str">
        <f>IFERROR(__xludf.DUMMYFUNCTION("""COMPUTED_VALUE"""),"Grundfoss")</f>
        <v>Grundfoss</v>
      </c>
      <c r="I208" s="3">
        <f>IFERROR(__xludf.DUMMYFUNCTION("""COMPUTED_VALUE"""),1.0)</f>
        <v>1</v>
      </c>
      <c r="J208" s="3" t="str">
        <f>IFERROR(__xludf.DUMMYFUNCTION("""COMPUTED_VALUE"""),"Unt")</f>
        <v>Unt</v>
      </c>
      <c r="K208" s="3" t="str">
        <f>IFERROR(__xludf.DUMMYFUNCTION("""COMPUTED_VALUE"""),"Email Pak Joko")</f>
        <v>Email Pak Joko</v>
      </c>
      <c r="L208" s="3" t="str">
        <f>IFERROR(__xludf.DUMMYFUNCTION("""COMPUTED_VALUE"""),"PR 121702361")</f>
        <v>PR 121702361</v>
      </c>
      <c r="M208" s="3" t="str">
        <f>IFERROR(__xludf.DUMMYFUNCTION("""COMPUTED_VALUE"""),"Approve")</f>
        <v>Approve</v>
      </c>
      <c r="N208" s="3" t="str">
        <f>IFERROR(__xludf.DUMMYFUNCTION("""COMPUTED_VALUE"""),"Normal")</f>
        <v>Normal</v>
      </c>
      <c r="O208" s="3" t="str">
        <f>IFERROR(__xludf.DUMMYFUNCTION("""COMPUTED_VALUE"""),"Non Urgent")</f>
        <v>Non Urgent</v>
      </c>
    </row>
    <row r="209">
      <c r="A209" s="4">
        <f>IFERROR(__xludf.DUMMYFUNCTION("""COMPUTED_VALUE"""),45804.027452222224)</f>
        <v>45804.02745</v>
      </c>
      <c r="B209" s="3" t="str">
        <f>IFERROR(__xludf.DUMMYFUNCTION("""COMPUTED_VALUE"""),"INNBR0029")</f>
        <v>INNBR0029</v>
      </c>
      <c r="C209" s="3" t="str">
        <f>IFERROR(__xludf.DUMMYFUNCTION("""COMPUTED_VALUE"""),"Critical Part")</f>
        <v>Critical Part</v>
      </c>
      <c r="D209" s="3" t="str">
        <f>IFERROR(__xludf.DUMMYFUNCTION("""COMPUTED_VALUE"""),"-")</f>
        <v>-</v>
      </c>
      <c r="E209" s="3" t="str">
        <f>IFERROR(__xludf.DUMMYFUNCTION("""COMPUTED_VALUE"""),"FD")</f>
        <v>FD</v>
      </c>
      <c r="F209" s="3" t="str">
        <f>IFERROR(__xludf.DUMMYFUNCTION("""COMPUTED_VALUE"""),"PNOZ X2.1 24VAC/DC 2n/o")</f>
        <v>PNOZ X2.1 24VAC/DC 2n/o</v>
      </c>
      <c r="G209" s="3" t="str">
        <f>IFERROR(__xludf.DUMMYFUNCTION("""COMPUTED_VALUE"""),"Sesuai penawaran")</f>
        <v>Sesuai penawaran</v>
      </c>
      <c r="H209" s="3" t="str">
        <f>IFERROR(__xludf.DUMMYFUNCTION("""COMPUTED_VALUE"""),"pilz")</f>
        <v>pilz</v>
      </c>
      <c r="I209" s="3">
        <f>IFERROR(__xludf.DUMMYFUNCTION("""COMPUTED_VALUE"""),2.0)</f>
        <v>2</v>
      </c>
      <c r="J209" s="3" t="str">
        <f>IFERROR(__xludf.DUMMYFUNCTION("""COMPUTED_VALUE"""),"pcs")</f>
        <v>pcs</v>
      </c>
      <c r="K209" s="5" t="str">
        <f>IFERROR(__xludf.DUMMYFUNCTION("""COMPUTED_VALUE"""),"https://drive.google.com/file/d/1HvzfTC4qFTLU-v_oKvx0ME7360_1ThHh/view?usp=drive_link")</f>
        <v>https://drive.google.com/file/d/1HvzfTC4qFTLU-v_oKvx0ME7360_1ThHh/view?usp=drive_link</v>
      </c>
      <c r="L209" s="3" t="str">
        <f>IFERROR(__xludf.DUMMYFUNCTION("""COMPUTED_VALUE"""),"Untuk penggantian safety relay SR5 karena sudah mulai rusak")</f>
        <v>Untuk penggantian safety relay SR5 karena sudah mulai rusak</v>
      </c>
      <c r="M209" s="3" t="str">
        <f>IFERROR(__xludf.DUMMYFUNCTION("""COMPUTED_VALUE"""),"Approve")</f>
        <v>Approve</v>
      </c>
      <c r="N209" s="3" t="str">
        <f>IFERROR(__xludf.DUMMYFUNCTION("""COMPUTED_VALUE"""),"Normal")</f>
        <v>Normal</v>
      </c>
      <c r="O209" s="3" t="str">
        <f>IFERROR(__xludf.DUMMYFUNCTION("""COMPUTED_VALUE"""),"Non Urgent")</f>
        <v>Non Urgent</v>
      </c>
    </row>
    <row r="210">
      <c r="A210" s="4">
        <f>IFERROR(__xludf.DUMMYFUNCTION("""COMPUTED_VALUE"""),45804.48412032408)</f>
        <v>45804.48412</v>
      </c>
      <c r="B210" s="3" t="str">
        <f>IFERROR(__xludf.DUMMYFUNCTION("""COMPUTED_VALUE"""),"AAABR0006")</f>
        <v>AAABR0006</v>
      </c>
      <c r="C210" s="3" t="str">
        <f>IFERROR(__xludf.DUMMYFUNCTION("""COMPUTED_VALUE"""),"Critical Part")</f>
        <v>Critical Part</v>
      </c>
      <c r="D210" s="3" t="str">
        <f>IFERROR(__xludf.DUMMYFUNCTION("""COMPUTED_VALUE"""),"NA")</f>
        <v>NA</v>
      </c>
      <c r="E210" s="3" t="str">
        <f>IFERROR(__xludf.DUMMYFUNCTION("""COMPUTED_VALUE"""),"Freeze dryer")</f>
        <v>Freeze dryer</v>
      </c>
      <c r="F210" s="3" t="str">
        <f>IFERROR(__xludf.DUMMYFUNCTION("""COMPUTED_VALUE"""),"Compressor frequency converter 2")</f>
        <v>Compressor frequency converter 2</v>
      </c>
      <c r="G210" s="3" t="str">
        <f>IFERROR(__xludf.DUMMYFUNCTION("""COMPUTED_VALUE"""),"ATV71HD22N4Z ; ATV71 22kW; 150% overload;240w x 420h x 236d; heating 717w")</f>
        <v>ATV71HD22N4Z ; ATV71 22kW; 150% overload;240w x 420h x 236d; heating 717w</v>
      </c>
      <c r="H210" s="3" t="str">
        <f>IFERROR(__xludf.DUMMYFUNCTION("""COMPUTED_VALUE"""),"SCHNEIDER")</f>
        <v>SCHNEIDER</v>
      </c>
      <c r="I210" s="3">
        <f>IFERROR(__xludf.DUMMYFUNCTION("""COMPUTED_VALUE"""),1.0)</f>
        <v>1</v>
      </c>
      <c r="J210" s="3" t="str">
        <f>IFERROR(__xludf.DUMMYFUNCTION("""COMPUTED_VALUE"""),"Unit")</f>
        <v>Unit</v>
      </c>
      <c r="K210" s="3" t="str">
        <f>IFERROR(__xludf.DUMMYFUNCTION("""COMPUTED_VALUE"""),"NA")</f>
        <v>NA</v>
      </c>
      <c r="L210" s="3" t="str">
        <f>IFERROR(__xludf.DUMMYFUNCTION("""COMPUTED_VALUE"""),"Needed Date : 27-Jun-25")</f>
        <v>Needed Date : 27-Jun-25</v>
      </c>
      <c r="M210" s="3" t="str">
        <f>IFERROR(__xludf.DUMMYFUNCTION("""COMPUTED_VALUE"""),"Approve")</f>
        <v>Approve</v>
      </c>
      <c r="N210" s="3" t="str">
        <f>IFERROR(__xludf.DUMMYFUNCTION("""COMPUTED_VALUE"""),"Normal")</f>
        <v>Normal</v>
      </c>
      <c r="O210" s="3" t="str">
        <f>IFERROR(__xludf.DUMMYFUNCTION("""COMPUTED_VALUE"""),"Non Urgent")</f>
        <v>Non Urgent</v>
      </c>
    </row>
    <row r="211">
      <c r="A211" s="4">
        <f>IFERROR(__xludf.DUMMYFUNCTION("""COMPUTED_VALUE"""),45804.48683061342)</f>
        <v>45804.48683</v>
      </c>
      <c r="B211" s="3" t="str">
        <f>IFERROR(__xludf.DUMMYFUNCTION("""COMPUTED_VALUE"""),"AAABR0007")</f>
        <v>AAABR0007</v>
      </c>
      <c r="C211" s="3" t="str">
        <f>IFERROR(__xludf.DUMMYFUNCTION("""COMPUTED_VALUE"""),"Critical Part")</f>
        <v>Critical Part</v>
      </c>
      <c r="D211" s="3" t="str">
        <f>IFERROR(__xludf.DUMMYFUNCTION("""COMPUTED_VALUE"""),"NA")</f>
        <v>NA</v>
      </c>
      <c r="E211" s="3" t="str">
        <f>IFERROR(__xludf.DUMMYFUNCTION("""COMPUTED_VALUE"""),"Freeze dryer")</f>
        <v>Freeze dryer</v>
      </c>
      <c r="F211" s="3" t="str">
        <f>IFERROR(__xludf.DUMMYFUNCTION("""COMPUTED_VALUE"""),"Main valve closed pressure switch")</f>
        <v>Main valve closed pressure switch</v>
      </c>
      <c r="G211" s="3" t="str">
        <f>IFERROR(__xludf.DUMMYFUNCTION("""COMPUTED_VALUE"""),"IPN-350 ; Setting Range：30~350bar，retry precision±1%，back pressure 5~8bar，IP65，with
APM-14")</f>
        <v>IPN-350 ; Setting Range：30~350bar，retry precision±1%，back pressure 5~8bar，IP65，with
APM-14</v>
      </c>
      <c r="H211" s="3" t="str">
        <f>IFERROR(__xludf.DUMMYFUNCTION("""COMPUTED_VALUE"""),"ISO")</f>
        <v>ISO</v>
      </c>
      <c r="I211" s="3">
        <f>IFERROR(__xludf.DUMMYFUNCTION("""COMPUTED_VALUE"""),1.0)</f>
        <v>1</v>
      </c>
      <c r="J211" s="3" t="str">
        <f>IFERROR(__xludf.DUMMYFUNCTION("""COMPUTED_VALUE"""),"Pcs")</f>
        <v>Pcs</v>
      </c>
      <c r="K211" s="3" t="str">
        <f>IFERROR(__xludf.DUMMYFUNCTION("""COMPUTED_VALUE"""),"NA")</f>
        <v>NA</v>
      </c>
      <c r="L211" s="3" t="str">
        <f>IFERROR(__xludf.DUMMYFUNCTION("""COMPUTED_VALUE"""),"Needed Date : 27-Jun-25")</f>
        <v>Needed Date : 27-Jun-25</v>
      </c>
      <c r="M211" s="3" t="str">
        <f>IFERROR(__xludf.DUMMYFUNCTION("""COMPUTED_VALUE"""),"Approve")</f>
        <v>Approve</v>
      </c>
      <c r="N211" s="3" t="str">
        <f>IFERROR(__xludf.DUMMYFUNCTION("""COMPUTED_VALUE"""),"Normal")</f>
        <v>Normal</v>
      </c>
      <c r="O211" s="3" t="str">
        <f>IFERROR(__xludf.DUMMYFUNCTION("""COMPUTED_VALUE"""),"Non Urgent")</f>
        <v>Non Urgent</v>
      </c>
    </row>
    <row r="212">
      <c r="A212" s="4">
        <f>IFERROR(__xludf.DUMMYFUNCTION("""COMPUTED_VALUE"""),45804.48885623842)</f>
        <v>45804.48886</v>
      </c>
      <c r="B212" s="3" t="str">
        <f>IFERROR(__xludf.DUMMYFUNCTION("""COMPUTED_VALUE"""),"AAABR0008")</f>
        <v>AAABR0008</v>
      </c>
      <c r="C212" s="3" t="str">
        <f>IFERROR(__xludf.DUMMYFUNCTION("""COMPUTED_VALUE"""),"Critical Part")</f>
        <v>Critical Part</v>
      </c>
      <c r="D212" s="3" t="str">
        <f>IFERROR(__xludf.DUMMYFUNCTION("""COMPUTED_VALUE"""),"NA")</f>
        <v>NA</v>
      </c>
      <c r="E212" s="3" t="str">
        <f>IFERROR(__xludf.DUMMYFUNCTION("""COMPUTED_VALUE"""),"Freeze dryer")</f>
        <v>Freeze dryer</v>
      </c>
      <c r="F212" s="3" t="str">
        <f>IFERROR(__xludf.DUMMYFUNCTION("""COMPUTED_VALUE"""),"Main door closing safety relay")</f>
        <v>Main door closing safety relay</v>
      </c>
      <c r="G212" s="3" t="str">
        <f>IFERROR(__xludf.DUMMYFUNCTION("""COMPUTED_VALUE"""),"PNOZ X2.1 ; Single/Dual channel input; Supply voltage: DC24V; Output contacts: 2 safety contacts
(N/O), instantaneous; Auto Reset;")</f>
        <v>PNOZ X2.1 ; Single/Dual channel input; Supply voltage: DC24V; Output contacts: 2 safety contacts
(N/O), instantaneous; Auto Reset;</v>
      </c>
      <c r="H212" s="3" t="str">
        <f>IFERROR(__xludf.DUMMYFUNCTION("""COMPUTED_VALUE"""),"PILZ")</f>
        <v>PILZ</v>
      </c>
      <c r="I212" s="3">
        <f>IFERROR(__xludf.DUMMYFUNCTION("""COMPUTED_VALUE"""),2.0)</f>
        <v>2</v>
      </c>
      <c r="J212" s="3" t="str">
        <f>IFERROR(__xludf.DUMMYFUNCTION("""COMPUTED_VALUE"""),"Unit")</f>
        <v>Unit</v>
      </c>
      <c r="K212" s="3" t="str">
        <f>IFERROR(__xludf.DUMMYFUNCTION("""COMPUTED_VALUE"""),"NA")</f>
        <v>NA</v>
      </c>
      <c r="L212" s="3" t="str">
        <f>IFERROR(__xludf.DUMMYFUNCTION("""COMPUTED_VALUE"""),"Needed Date : 27-Jun-25")</f>
        <v>Needed Date : 27-Jun-25</v>
      </c>
      <c r="M212" s="3" t="str">
        <f>IFERROR(__xludf.DUMMYFUNCTION("""COMPUTED_VALUE"""),"Reject")</f>
        <v>Reject</v>
      </c>
      <c r="N212" s="3" t="str">
        <f>IFERROR(__xludf.DUMMYFUNCTION("""COMPUTED_VALUE"""),"Normal")</f>
        <v>Normal</v>
      </c>
      <c r="O212" s="3" t="str">
        <f>IFERROR(__xludf.DUMMYFUNCTION("""COMPUTED_VALUE"""),"Non Urgent")</f>
        <v>Non Urgent</v>
      </c>
    </row>
    <row r="213">
      <c r="A213" s="4">
        <f>IFERROR(__xludf.DUMMYFUNCTION("""COMPUTED_VALUE"""),45804.49090712963)</f>
        <v>45804.49091</v>
      </c>
      <c r="B213" s="3" t="str">
        <f>IFERROR(__xludf.DUMMYFUNCTION("""COMPUTED_VALUE"""),"AAABR0009")</f>
        <v>AAABR0009</v>
      </c>
      <c r="C213" s="3" t="str">
        <f>IFERROR(__xludf.DUMMYFUNCTION("""COMPUTED_VALUE"""),"Critical Part")</f>
        <v>Critical Part</v>
      </c>
      <c r="D213" s="3" t="str">
        <f>IFERROR(__xludf.DUMMYFUNCTION("""COMPUTED_VALUE"""),"NA")</f>
        <v>NA</v>
      </c>
      <c r="E213" s="3" t="str">
        <f>IFERROR(__xludf.DUMMYFUNCTION("""COMPUTED_VALUE"""),"Freeze dryer")</f>
        <v>Freeze dryer</v>
      </c>
      <c r="F213" s="3" t="str">
        <f>IFERROR(__xludf.DUMMYFUNCTION("""COMPUTED_VALUE"""),"Shelf ram position sensor")</f>
        <v>Shelf ram position sensor</v>
      </c>
      <c r="G213" s="3" t="str">
        <f>IFERROR(__xludf.DUMMYFUNCTION("""COMPUTED_VALUE"""),"GHMXXXXMD601A0 ; accuracy:0.02%,power supply:DC24V,output signal:4-20mA")</f>
        <v>GHMXXXXMD601A0 ; accuracy:0.02%,power supply:DC24V,output signal:4-20mA</v>
      </c>
      <c r="H213" s="3" t="str">
        <f>IFERROR(__xludf.DUMMYFUNCTION("""COMPUTED_VALUE"""),"MTS")</f>
        <v>MTS</v>
      </c>
      <c r="I213" s="3">
        <f>IFERROR(__xludf.DUMMYFUNCTION("""COMPUTED_VALUE"""),1.0)</f>
        <v>1</v>
      </c>
      <c r="J213" s="3" t="str">
        <f>IFERROR(__xludf.DUMMYFUNCTION("""COMPUTED_VALUE"""),"Unit")</f>
        <v>Unit</v>
      </c>
      <c r="K213" s="3" t="str">
        <f>IFERROR(__xludf.DUMMYFUNCTION("""COMPUTED_VALUE"""),"NA")</f>
        <v>NA</v>
      </c>
      <c r="L213" s="3" t="str">
        <f>IFERROR(__xludf.DUMMYFUNCTION("""COMPUTED_VALUE"""),"Needed Date : 27-Jun-25")</f>
        <v>Needed Date : 27-Jun-25</v>
      </c>
      <c r="M213" s="3" t="str">
        <f>IFERROR(__xludf.DUMMYFUNCTION("""COMPUTED_VALUE"""),"Approve")</f>
        <v>Approve</v>
      </c>
      <c r="N213" s="3" t="str">
        <f>IFERROR(__xludf.DUMMYFUNCTION("""COMPUTED_VALUE"""),"Normal")</f>
        <v>Normal</v>
      </c>
      <c r="O213" s="3" t="str">
        <f>IFERROR(__xludf.DUMMYFUNCTION("""COMPUTED_VALUE"""),"Non Urgent")</f>
        <v>Non Urgent</v>
      </c>
    </row>
    <row r="214">
      <c r="A214" s="4">
        <f>IFERROR(__xludf.DUMMYFUNCTION("""COMPUTED_VALUE"""),45804.492898495366)</f>
        <v>45804.4929</v>
      </c>
      <c r="B214" s="3" t="str">
        <f>IFERROR(__xludf.DUMMYFUNCTION("""COMPUTED_VALUE"""),"AAABR0010")</f>
        <v>AAABR0010</v>
      </c>
      <c r="C214" s="3" t="str">
        <f>IFERROR(__xludf.DUMMYFUNCTION("""COMPUTED_VALUE"""),"Critical Part")</f>
        <v>Critical Part</v>
      </c>
      <c r="D214" s="3" t="str">
        <f>IFERROR(__xludf.DUMMYFUNCTION("""COMPUTED_VALUE"""),"NA")</f>
        <v>NA</v>
      </c>
      <c r="E214" s="3" t="str">
        <f>IFERROR(__xludf.DUMMYFUNCTION("""COMPUTED_VALUE"""),"Freeze dryer")</f>
        <v>Freeze dryer</v>
      </c>
      <c r="F214" s="3" t="str">
        <f>IFERROR(__xludf.DUMMYFUNCTION("""COMPUTED_VALUE"""),"EDV 1 + SV 204")</f>
        <v>EDV 1 + SV 204</v>
      </c>
      <c r="G214" s="3" t="str">
        <f>IFERROR(__xludf.DUMMYFUNCTION("""COMPUTED_VALUE"""),"Electrically-controlled directional valve ; CRD02NCAMP3 ; Max:210Bar,16L/min;24V DC;Normal Close")</f>
        <v>Electrically-controlled directional valve ; CRD02NCAMP3 ; Max:210Bar,16L/min;24V DC;Normal Close</v>
      </c>
      <c r="H214" s="3" t="str">
        <f>IFERROR(__xludf.DUMMYFUNCTION("""COMPUTED_VALUE"""),"ARON")</f>
        <v>ARON</v>
      </c>
      <c r="I214" s="3">
        <f>IFERROR(__xludf.DUMMYFUNCTION("""COMPUTED_VALUE"""),2.0)</f>
        <v>2</v>
      </c>
      <c r="J214" s="3" t="str">
        <f>IFERROR(__xludf.DUMMYFUNCTION("""COMPUTED_VALUE"""),"Set")</f>
        <v>Set</v>
      </c>
      <c r="K214" s="3" t="str">
        <f>IFERROR(__xludf.DUMMYFUNCTION("""COMPUTED_VALUE"""),"NA")</f>
        <v>NA</v>
      </c>
      <c r="L214" s="3" t="str">
        <f>IFERROR(__xludf.DUMMYFUNCTION("""COMPUTED_VALUE"""),"Needed Date : 27-Jun-25")</f>
        <v>Needed Date : 27-Jun-25</v>
      </c>
      <c r="M214" s="3" t="str">
        <f>IFERROR(__xludf.DUMMYFUNCTION("""COMPUTED_VALUE"""),"Approve")</f>
        <v>Approve</v>
      </c>
      <c r="N214" s="3" t="str">
        <f>IFERROR(__xludf.DUMMYFUNCTION("""COMPUTED_VALUE"""),"Normal")</f>
        <v>Normal</v>
      </c>
      <c r="O214" s="3" t="str">
        <f>IFERROR(__xludf.DUMMYFUNCTION("""COMPUTED_VALUE"""),"Non Urgent")</f>
        <v>Non Urgent</v>
      </c>
    </row>
    <row r="215">
      <c r="A215" s="4">
        <f>IFERROR(__xludf.DUMMYFUNCTION("""COMPUTED_VALUE"""),45804.49534081019)</f>
        <v>45804.49534</v>
      </c>
      <c r="B215" s="3" t="str">
        <f>IFERROR(__xludf.DUMMYFUNCTION("""COMPUTED_VALUE"""),"AAABR0011")</f>
        <v>AAABR0011</v>
      </c>
      <c r="C215" s="3" t="str">
        <f>IFERROR(__xludf.DUMMYFUNCTION("""COMPUTED_VALUE"""),"Critical Part")</f>
        <v>Critical Part</v>
      </c>
      <c r="D215" s="3" t="str">
        <f>IFERROR(__xludf.DUMMYFUNCTION("""COMPUTED_VALUE"""),"NA")</f>
        <v>NA</v>
      </c>
      <c r="E215" s="3" t="str">
        <f>IFERROR(__xludf.DUMMYFUNCTION("""COMPUTED_VALUE"""),"Freeze dryer")</f>
        <v>Freeze dryer</v>
      </c>
      <c r="F215" s="3" t="str">
        <f>IFERROR(__xludf.DUMMYFUNCTION("""COMPUTED_VALUE"""),"EDV 2 + SV 205")</f>
        <v>EDV 2 + SV 205</v>
      </c>
      <c r="G215" s="3" t="str">
        <f>IFERROR(__xludf.DUMMYFUNCTION("""COMPUTED_VALUE"""),"Electrically-controlled directional valve ; CRD02NCAMP3 ; Max:210Bar,16L/min;24V DC;Normal Close")</f>
        <v>Electrically-controlled directional valve ; CRD02NCAMP3 ; Max:210Bar,16L/min;24V DC;Normal Close</v>
      </c>
      <c r="H215" s="3" t="str">
        <f>IFERROR(__xludf.DUMMYFUNCTION("""COMPUTED_VALUE"""),"ARON")</f>
        <v>ARON</v>
      </c>
      <c r="I215" s="3">
        <f>IFERROR(__xludf.DUMMYFUNCTION("""COMPUTED_VALUE"""),2.0)</f>
        <v>2</v>
      </c>
      <c r="J215" s="3" t="str">
        <f>IFERROR(__xludf.DUMMYFUNCTION("""COMPUTED_VALUE"""),"Set")</f>
        <v>Set</v>
      </c>
      <c r="K215" s="3" t="str">
        <f>IFERROR(__xludf.DUMMYFUNCTION("""COMPUTED_VALUE"""),"NA")</f>
        <v>NA</v>
      </c>
      <c r="L215" s="3" t="str">
        <f>IFERROR(__xludf.DUMMYFUNCTION("""COMPUTED_VALUE"""),"Needed Date : 27-Jun-25")</f>
        <v>Needed Date : 27-Jun-25</v>
      </c>
      <c r="M215" s="3" t="str">
        <f>IFERROR(__xludf.DUMMYFUNCTION("""COMPUTED_VALUE"""),"Approve")</f>
        <v>Approve</v>
      </c>
      <c r="N215" s="3" t="str">
        <f>IFERROR(__xludf.DUMMYFUNCTION("""COMPUTED_VALUE"""),"Normal")</f>
        <v>Normal</v>
      </c>
      <c r="O215" s="3" t="str">
        <f>IFERROR(__xludf.DUMMYFUNCTION("""COMPUTED_VALUE"""),"Non Urgent")</f>
        <v>Non Urgent</v>
      </c>
    </row>
    <row r="216">
      <c r="A216" s="4">
        <f>IFERROR(__xludf.DUMMYFUNCTION("""COMPUTED_VALUE"""),45810.97351447916)</f>
        <v>45810.97351</v>
      </c>
      <c r="B216" s="3" t="str">
        <f>IFERROR(__xludf.DUMMYFUNCTION("""COMPUTED_VALUE"""),"NDSBR0014")</f>
        <v>NDSBR0014</v>
      </c>
      <c r="C216" s="3" t="str">
        <f>IFERROR(__xludf.DUMMYFUNCTION("""COMPUTED_VALUE"""),"EJO")</f>
        <v>EJO</v>
      </c>
      <c r="D216" s="3" t="str">
        <f>IFERROR(__xludf.DUMMYFUNCTION("""COMPUTED_VALUE"""),"EJO/2025/05/130")</f>
        <v>EJO/2025/05/130</v>
      </c>
      <c r="E216" s="3" t="str">
        <f>IFERROR(__xludf.DUMMYFUNCTION("""COMPUTED_VALUE"""),"S&amp;D")</f>
        <v>S&amp;D</v>
      </c>
      <c r="F216" s="3" t="str">
        <f>IFERROR(__xludf.DUMMYFUNCTION("""COMPUTED_VALUE"""),"Magnehelic Dwyer")</f>
        <v>Magnehelic Dwyer</v>
      </c>
      <c r="G216" s="3" t="str">
        <f>IFERROR(__xludf.DUMMYFUNCTION("""COMPUTED_VALUE"""),"-")</f>
        <v>-</v>
      </c>
      <c r="H216" s="3" t="str">
        <f>IFERROR(__xludf.DUMMYFUNCTION("""COMPUTED_VALUE"""),"Dwyer")</f>
        <v>Dwyer</v>
      </c>
      <c r="I216" s="3">
        <f>IFERROR(__xludf.DUMMYFUNCTION("""COMPUTED_VALUE"""),3.0)</f>
        <v>3</v>
      </c>
      <c r="J216" s="3" t="str">
        <f>IFERROR(__xludf.DUMMYFUNCTION("""COMPUTED_VALUE"""),"PCS")</f>
        <v>PCS</v>
      </c>
      <c r="K216" s="5" t="str">
        <f>IFERROR(__xludf.DUMMYFUNCTION("""COMPUTED_VALUE"""),"https://drive.google.com/file/d/16NwXgqI1VK6m8g-HqsBf6riXewdw3PWP/view?usp=drive_link")</f>
        <v>https://drive.google.com/file/d/16NwXgqI1VK6m8g-HqsBf6riXewdw3PWP/view?usp=drive_link</v>
      </c>
      <c r="L216" s="3" t="str">
        <f>IFERROR(__xludf.DUMMYFUNCTION("""COMPUTED_VALUE"""),"Penawaran hanya 1 pcs, tolong beliin 3 ya dhil")</f>
        <v>Penawaran hanya 1 pcs, tolong beliin 3 ya dhil</v>
      </c>
      <c r="M216" s="3" t="str">
        <f>IFERROR(__xludf.DUMMYFUNCTION("""COMPUTED_VALUE"""),"Approve")</f>
        <v>Approve</v>
      </c>
      <c r="N216" s="3" t="str">
        <f>IFERROR(__xludf.DUMMYFUNCTION("""COMPUTED_VALUE"""),"Normal")</f>
        <v>Normal</v>
      </c>
      <c r="O216" s="3" t="str">
        <f>IFERROR(__xludf.DUMMYFUNCTION("""COMPUTED_VALUE"""),"Non Urgent")</f>
        <v>Non Urgent</v>
      </c>
    </row>
    <row r="217">
      <c r="A217" s="4">
        <f>IFERROR(__xludf.DUMMYFUNCTION("""COMPUTED_VALUE"""),45813.288651354174)</f>
        <v>45813.28865</v>
      </c>
      <c r="B217" s="3" t="str">
        <f>IFERROR(__xludf.DUMMYFUNCTION("""COMPUTED_VALUE"""),"MRNBR0017")</f>
        <v>MRNBR0017</v>
      </c>
      <c r="C217" s="3" t="str">
        <f>IFERROR(__xludf.DUMMYFUNCTION("""COMPUTED_VALUE"""),"EJO")</f>
        <v>EJO</v>
      </c>
      <c r="D217" s="3" t="str">
        <f>IFERROR(__xludf.DUMMYFUNCTION("""COMPUTED_VALUE"""),"EJO/2025/06/52")</f>
        <v>EJO/2025/06/52</v>
      </c>
      <c r="E217" s="3" t="str">
        <f>IFERROR(__xludf.DUMMYFUNCTION("""COMPUTED_VALUE"""),"Deep frezzer API")</f>
        <v>Deep frezzer API</v>
      </c>
      <c r="F217" s="3" t="str">
        <f>IFERROR(__xludf.DUMMYFUNCTION("""COMPUTED_VALUE"""),"Heater evaporator")</f>
        <v>Heater evaporator</v>
      </c>
      <c r="G217" s="3" t="str">
        <f>IFERROR(__xludf.DUMMYFUNCTION("""COMPUTED_VALUE"""),"Heater lebar 10cm x panjang 45 cm 15watt")</f>
        <v>Heater lebar 10cm x panjang 45 cm 15watt</v>
      </c>
      <c r="H217" s="3" t="str">
        <f>IFERROR(__xludf.DUMMYFUNCTION("""COMPUTED_VALUE"""),"liebherr LGPV 6520")</f>
        <v>liebherr LGPV 6520</v>
      </c>
      <c r="I217" s="3">
        <f>IFERROR(__xludf.DUMMYFUNCTION("""COMPUTED_VALUE"""),2.0)</f>
        <v>2</v>
      </c>
      <c r="J217" s="3" t="str">
        <f>IFERROR(__xludf.DUMMYFUNCTION("""COMPUTED_VALUE"""),"pcs")</f>
        <v>pcs</v>
      </c>
      <c r="K217" s="3" t="str">
        <f>IFERROR(__xludf.DUMMYFUNCTION("""COMPUTED_VALUE"""),"0857-2236-7726 ")</f>
        <v>0857-2236-7726 </v>
      </c>
      <c r="L217" s="3" t="str">
        <f>IFERROR(__xludf.DUMMYFUNCTION("""COMPUTED_VALUE"""),"kontak liebherr langsung pak yudi buat spare apartnya")</f>
        <v>kontak liebherr langsung pak yudi buat spare apartnya</v>
      </c>
      <c r="M217" s="3" t="str">
        <f>IFERROR(__xludf.DUMMYFUNCTION("""COMPUTED_VALUE"""),"Reject")</f>
        <v>Reject</v>
      </c>
      <c r="N217" s="3" t="str">
        <f>IFERROR(__xludf.DUMMYFUNCTION("""COMPUTED_VALUE"""),"Normal")</f>
        <v>Normal</v>
      </c>
      <c r="O217" s="3" t="str">
        <f>IFERROR(__xludf.DUMMYFUNCTION("""COMPUTED_VALUE"""),"Non Urgent")</f>
        <v>Non Urgent</v>
      </c>
    </row>
    <row r="218">
      <c r="A218" s="4">
        <f>IFERROR(__xludf.DUMMYFUNCTION("""COMPUTED_VALUE"""),45813.37534949074)</f>
        <v>45813.37535</v>
      </c>
      <c r="B218" s="3" t="str">
        <f>IFERROR(__xludf.DUMMYFUNCTION("""COMPUTED_VALUE"""),"SFHBR0023")</f>
        <v>SFHBR0023</v>
      </c>
      <c r="C218" s="3" t="str">
        <f>IFERROR(__xludf.DUMMYFUNCTION("""COMPUTED_VALUE"""),"Critical Part")</f>
        <v>Critical Part</v>
      </c>
      <c r="D218" s="3" t="str">
        <f>IFERROR(__xludf.DUMMYFUNCTION("""COMPUTED_VALUE"""),"-")</f>
        <v>-</v>
      </c>
      <c r="E218" s="3" t="str">
        <f>IFERROR(__xludf.DUMMYFUNCTION("""COMPUTED_VALUE"""),"lantai 2")</f>
        <v>lantai 2</v>
      </c>
      <c r="F218" s="3" t="str">
        <f>IFERROR(__xludf.DUMMYFUNCTION("""COMPUTED_VALUE"""),"kunci inggris")</f>
        <v>kunci inggris</v>
      </c>
      <c r="G218" s="3" t="str">
        <f>IFERROR(__xludf.DUMMYFUNCTION("""COMPUTED_VALUE"""),"kunci inggris 12 inch")</f>
        <v>kunci inggris 12 inch</v>
      </c>
      <c r="H218" s="3" t="str">
        <f>IFERROR(__xludf.DUMMYFUNCTION("""COMPUTED_VALUE"""),"tekiro")</f>
        <v>tekiro</v>
      </c>
      <c r="I218" s="3">
        <f>IFERROR(__xludf.DUMMYFUNCTION("""COMPUTED_VALUE"""),1.0)</f>
        <v>1</v>
      </c>
      <c r="J218" s="3" t="str">
        <f>IFERROR(__xludf.DUMMYFUNCTION("""COMPUTED_VALUE"""),"pcs")</f>
        <v>pcs</v>
      </c>
      <c r="K218" s="5" t="str">
        <f>IFERROR(__xludf.DUMMYFUNCTION("""COMPUTED_VALUE"""),"https://tk.tokopedia.com/ZSkrBgafC/")</f>
        <v>https://tk.tokopedia.com/ZSkrBgafC/</v>
      </c>
      <c r="L218" s="3" t="str">
        <f>IFERROR(__xludf.DUMMYFUNCTION("""COMPUTED_VALUE"""),"stock engga ada")</f>
        <v>stock engga ada</v>
      </c>
      <c r="M218" s="3" t="str">
        <f>IFERROR(__xludf.DUMMYFUNCTION("""COMPUTED_VALUE"""),"Reject")</f>
        <v>Reject</v>
      </c>
      <c r="N218" s="3" t="str">
        <f>IFERROR(__xludf.DUMMYFUNCTION("""COMPUTED_VALUE"""),"Normal")</f>
        <v>Normal</v>
      </c>
      <c r="O218" s="3" t="str">
        <f>IFERROR(__xludf.DUMMYFUNCTION("""COMPUTED_VALUE"""),"Non Urgent")</f>
        <v>Non Urgent</v>
      </c>
    </row>
    <row r="219">
      <c r="A219" s="4">
        <f>IFERROR(__xludf.DUMMYFUNCTION("""COMPUTED_VALUE"""),45813.44401478009)</f>
        <v>45813.44401</v>
      </c>
      <c r="B219" s="3" t="str">
        <f>IFERROR(__xludf.DUMMYFUNCTION("""COMPUTED_VALUE"""),"RIABR0041")</f>
        <v>RIABR0041</v>
      </c>
      <c r="C219" s="3" t="str">
        <f>IFERROR(__xludf.DUMMYFUNCTION("""COMPUTED_VALUE"""),"EJO")</f>
        <v>EJO</v>
      </c>
      <c r="D219" s="3" t="str">
        <f>IFERROR(__xludf.DUMMYFUNCTION("""COMPUTED_VALUE"""),"EJO/2025/05/03")</f>
        <v>EJO/2025/05/03</v>
      </c>
      <c r="E219" s="3" t="str">
        <f>IFERROR(__xludf.DUMMYFUNCTION("""COMPUTED_VALUE"""),"PSG")</f>
        <v>PSG</v>
      </c>
      <c r="F219" s="3" t="str">
        <f>IFERROR(__xludf.DUMMYFUNCTION("""COMPUTED_VALUE"""),"Wheel Sensor")</f>
        <v>Wheel Sensor</v>
      </c>
      <c r="G219" s="3" t="str">
        <f>IFERROR(__xludf.DUMMYFUNCTION("""COMPUTED_VALUE"""),"Burkert Spare Parts Paddle Wheel Sensor Type SET08")</f>
        <v>Burkert Spare Parts Paddle Wheel Sensor Type SET08</v>
      </c>
      <c r="H219" s="3" t="str">
        <f>IFERROR(__xludf.DUMMYFUNCTION("""COMPUTED_VALUE"""),"Burket")</f>
        <v>Burket</v>
      </c>
      <c r="I219" s="3">
        <f>IFERROR(__xludf.DUMMYFUNCTION("""COMPUTED_VALUE"""),1.0)</f>
        <v>1</v>
      </c>
      <c r="J219" s="3" t="str">
        <f>IFERROR(__xludf.DUMMYFUNCTION("""COMPUTED_VALUE"""),"Pcs")</f>
        <v>Pcs</v>
      </c>
      <c r="K219" s="5" t="str">
        <f>IFERROR(__xludf.DUMMYFUNCTION("""COMPUTED_VALUE"""),"https://drive.google.com/file/d/1m9WH1JTnYit8zQ7OCd7__4f-JdGKklLk/view?usp=drive_link")</f>
        <v>https://drive.google.com/file/d/1m9WH1JTnYit8zQ7OCd7__4f-JdGKklLk/view?usp=drive_link</v>
      </c>
      <c r="L219" s="3" t="str">
        <f>IFERROR(__xludf.DUMMYFUNCTION("""COMPUTED_VALUE"""),"Buat baling - baling flow meter PSG")</f>
        <v>Buat baling - baling flow meter PSG</v>
      </c>
      <c r="M219" s="3" t="str">
        <f>IFERROR(__xludf.DUMMYFUNCTION("""COMPUTED_VALUE"""),"Approve")</f>
        <v>Approve</v>
      </c>
      <c r="N219" s="3" t="str">
        <f>IFERROR(__xludf.DUMMYFUNCTION("""COMPUTED_VALUE"""),"Normal")</f>
        <v>Normal</v>
      </c>
      <c r="O219" s="3" t="str">
        <f>IFERROR(__xludf.DUMMYFUNCTION("""COMPUTED_VALUE"""),"Non Urgent")</f>
        <v>Non Urgent</v>
      </c>
    </row>
    <row r="220">
      <c r="A220" s="4">
        <f>IFERROR(__xludf.DUMMYFUNCTION("""COMPUTED_VALUE"""),45816.04569962963)</f>
        <v>45816.0457</v>
      </c>
      <c r="B220" s="3" t="str">
        <f>IFERROR(__xludf.DUMMYFUNCTION("""COMPUTED_VALUE"""),"MRNBR0018")</f>
        <v>MRNBR0018</v>
      </c>
      <c r="C220" s="3" t="str">
        <f>IFERROR(__xludf.DUMMYFUNCTION("""COMPUTED_VALUE"""),"EJO")</f>
        <v>EJO</v>
      </c>
      <c r="D220" s="3" t="str">
        <f>IFERROR(__xludf.DUMMYFUNCTION("""COMPUTED_VALUE"""),"EJO/2025/06/53")</f>
        <v>EJO/2025/06/53</v>
      </c>
      <c r="E220" s="3" t="str">
        <f>IFERROR(__xludf.DUMMYFUNCTION("""COMPUTED_VALUE"""),"Deep frezzer API")</f>
        <v>Deep frezzer API</v>
      </c>
      <c r="F220" s="3" t="str">
        <f>IFERROR(__xludf.DUMMYFUNCTION("""COMPUTED_VALUE"""),"Dimmer heater")</f>
        <v>Dimmer heater</v>
      </c>
      <c r="G220" s="3" t="str">
        <f>IFERROR(__xludf.DUMMYFUNCTION("""COMPUTED_VALUE"""),"Dimmer heater 4000watt")</f>
        <v>Dimmer heater 4000watt</v>
      </c>
      <c r="H220" s="3" t="str">
        <f>IFERROR(__xludf.DUMMYFUNCTION("""COMPUTED_VALUE"""),"NA")</f>
        <v>NA</v>
      </c>
      <c r="I220" s="3">
        <f>IFERROR(__xludf.DUMMYFUNCTION("""COMPUTED_VALUE"""),2.0)</f>
        <v>2</v>
      </c>
      <c r="J220" s="3" t="str">
        <f>IFERROR(__xludf.DUMMYFUNCTION("""COMPUTED_VALUE"""),"pcs")</f>
        <v>pcs</v>
      </c>
      <c r="K220" s="5" t="str">
        <f>IFERROR(__xludf.DUMMYFUNCTION("""COMPUTED_VALUE"""),"https://www.tokopedia.com/dw-store/digital-motor-speed-controller-dimmer-lampu-suhu-heater-ac-220v-4000w?extParam=ivf%3Dfalse%26keyword%3Ddimmer+ac+220v%26search_id%3D2025060718012963923F49E524131AAFM0%26src%3Dsearch&amp;t_id=1749319320813&amp;t_st=8&amp;t_pp=search_"&amp;"result&amp;t_efo=search_pure_goods_card&amp;t_ef=goods_search&amp;t_sm=&amp;t_spt=search_result")</f>
        <v>https://www.tokopedia.com/dw-store/digital-motor-speed-controller-dimmer-lampu-suhu-heater-ac-220v-4000w?extParam=ivf%3Dfalse%26keyword%3Ddimmer+ac+220v%26search_id%3D2025060718012963923F49E524131AAFM0%26src%3Dsearch&amp;t_id=1749319320813&amp;t_st=8&amp;t_pp=search_result&amp;t_efo=search_pure_goods_card&amp;t_ef=goods_search&amp;t_sm=&amp;t_spt=search_result</v>
      </c>
      <c r="L220" s="3" t="str">
        <f>IFERROR(__xludf.DUMMYFUNCTION("""COMPUTED_VALUE"""),"untuk heater deep frezzer")</f>
        <v>untuk heater deep frezzer</v>
      </c>
      <c r="M220" s="3" t="str">
        <f>IFERROR(__xludf.DUMMYFUNCTION("""COMPUTED_VALUE"""),"Approve")</f>
        <v>Approve</v>
      </c>
      <c r="N220" s="3" t="str">
        <f>IFERROR(__xludf.DUMMYFUNCTION("""COMPUTED_VALUE"""),"Normal")</f>
        <v>Normal</v>
      </c>
      <c r="O220" s="3" t="str">
        <f>IFERROR(__xludf.DUMMYFUNCTION("""COMPUTED_VALUE"""),"Non Urgent")</f>
        <v>Non Urgent</v>
      </c>
    </row>
    <row r="221">
      <c r="A221" s="4">
        <f>IFERROR(__xludf.DUMMYFUNCTION("""COMPUTED_VALUE"""),45816.68609575232)</f>
        <v>45816.6861</v>
      </c>
      <c r="B221" s="3" t="str">
        <f>IFERROR(__xludf.DUMMYFUNCTION("""COMPUTED_VALUE"""),"RIABR0042")</f>
        <v>RIABR0042</v>
      </c>
      <c r="C221" s="3" t="str">
        <f>IFERROR(__xludf.DUMMYFUNCTION("""COMPUTED_VALUE"""),"Consumable")</f>
        <v>Consumable</v>
      </c>
      <c r="D221" s="3" t="str">
        <f>IFERROR(__xludf.DUMMYFUNCTION("""COMPUTED_VALUE"""),"-")</f>
        <v>-</v>
      </c>
      <c r="E221" s="3" t="str">
        <f>IFERROR(__xludf.DUMMYFUNCTION("""COMPUTED_VALUE"""),"Equipmon")</f>
        <v>Equipmon</v>
      </c>
      <c r="F221" s="3" t="str">
        <f>IFERROR(__xludf.DUMMYFUNCTION("""COMPUTED_VALUE"""),"Thermal Paste")</f>
        <v>Thermal Paste</v>
      </c>
      <c r="G221" s="3" t="str">
        <f>IFERROR(__xludf.DUMMYFUNCTION("""COMPUTED_VALUE"""),"Cooler Master Thermal Paste - HIGH PERFORMANCE")</f>
        <v>Cooler Master Thermal Paste - HIGH PERFORMANCE</v>
      </c>
      <c r="H221" s="3" t="str">
        <f>IFERROR(__xludf.DUMMYFUNCTION("""COMPUTED_VALUE"""),"Cooling Master")</f>
        <v>Cooling Master</v>
      </c>
      <c r="I221" s="3">
        <f>IFERROR(__xludf.DUMMYFUNCTION("""COMPUTED_VALUE"""),5.0)</f>
        <v>5</v>
      </c>
      <c r="J221" s="3" t="str">
        <f>IFERROR(__xludf.DUMMYFUNCTION("""COMPUTED_VALUE"""),"Pcs")</f>
        <v>Pcs</v>
      </c>
      <c r="K221" s="5" t="str">
        <f>IFERROR(__xludf.DUMMYFUNCTION("""COMPUTED_VALUE"""),"https://www.tokopedia.com/toko-expert-komputer/cooler-master-thermal-paste-high-performance?extParam=ivf%3Dfalse%26keyword%3Dthermal+paste+tube&amp;src=topads&amp;t_id=1749374650747&amp;t_st=4&amp;t_pp=search_result&amp;t_efo=search_pure_goods_card&amp;t_ef=goods_search&amp;t_sm=&amp;t_"&amp;"spt=search_result")</f>
        <v>https://www.tokopedia.com/toko-expert-komputer/cooler-master-thermal-paste-high-performance?extParam=ivf%3Dfalse%26keyword%3Dthermal+paste+tube&amp;src=topads&amp;t_id=1749374650747&amp;t_st=4&amp;t_pp=search_result&amp;t_efo=search_pure_goods_card&amp;t_ef=goods_search&amp;t_sm=&amp;t_spt=search_result</v>
      </c>
      <c r="L221" s="3" t="str">
        <f>IFERROR(__xludf.DUMMYFUNCTION("""COMPUTED_VALUE"""),"Belikan buat sensor chiller pipe rack")</f>
        <v>Belikan buat sensor chiller pipe rack</v>
      </c>
      <c r="M221" s="3" t="str">
        <f>IFERROR(__xludf.DUMMYFUNCTION("""COMPUTED_VALUE"""),"Approve")</f>
        <v>Approve</v>
      </c>
      <c r="N221" s="3" t="str">
        <f>IFERROR(__xludf.DUMMYFUNCTION("""COMPUTED_VALUE"""),"Normal")</f>
        <v>Normal</v>
      </c>
      <c r="O221" s="3" t="str">
        <f>IFERROR(__xludf.DUMMYFUNCTION("""COMPUTED_VALUE"""),"Non Urgent")</f>
        <v>Non Urgent</v>
      </c>
    </row>
    <row r="222">
      <c r="A222" s="4">
        <f>IFERROR(__xludf.DUMMYFUNCTION("""COMPUTED_VALUE"""),45817.416896932875)</f>
        <v>45817.4169</v>
      </c>
      <c r="B222" s="3" t="str">
        <f>IFERROR(__xludf.DUMMYFUNCTION("""COMPUTED_VALUE"""),"MOBBR0029")</f>
        <v>MOBBR0029</v>
      </c>
      <c r="C222" s="3" t="str">
        <f>IFERROR(__xludf.DUMMYFUNCTION("""COMPUTED_VALUE"""),"EJO")</f>
        <v>EJO</v>
      </c>
      <c r="D222" s="3" t="str">
        <f>IFERROR(__xludf.DUMMYFUNCTION("""COMPUTED_VALUE"""),"-")</f>
        <v>-</v>
      </c>
      <c r="E222" s="3" t="str">
        <f>IFERROR(__xludf.DUMMYFUNCTION("""COMPUTED_VALUE"""),"HE Mixing")</f>
        <v>HE Mixing</v>
      </c>
      <c r="F222" s="3" t="str">
        <f>IFERROR(__xludf.DUMMYFUNCTION("""COMPUTED_VALUE"""),"Pressure Gauge")</f>
        <v>Pressure Gauge</v>
      </c>
      <c r="G222" s="3" t="str">
        <f>IFERROR(__xludf.DUMMYFUNCTION("""COMPUTED_VALUE"""),"Wika 0-6Bar, Drat 1/2 Inch")</f>
        <v>Wika 0-6Bar, Drat 1/2 Inch</v>
      </c>
      <c r="H222" s="3" t="str">
        <f>IFERROR(__xludf.DUMMYFUNCTION("""COMPUTED_VALUE"""),"Wika")</f>
        <v>Wika</v>
      </c>
      <c r="I222" s="3">
        <f>IFERROR(__xludf.DUMMYFUNCTION("""COMPUTED_VALUE"""),2.0)</f>
        <v>2</v>
      </c>
      <c r="J222" s="3" t="str">
        <f>IFERROR(__xludf.DUMMYFUNCTION("""COMPUTED_VALUE"""),"Pcs")</f>
        <v>Pcs</v>
      </c>
      <c r="K222" s="5" t="str">
        <f>IFERROR(__xludf.DUMMYFUNCTION("""COMPUTED_VALUE"""),"https://shopee.co.id/product/587909295/22385719147?gads_t_sig=VTJGc2RHVmtYMTlxTFVSVVRrdENkWVp3RFo3Mkw5czd4Z0hzdEF1WVFibkZLSi9SWDlWYnpqdzJKdURPM1FwMFhJT1g5bVB1QUhURi9zVlc2N1FhUjc1Q1FjUWF0VEQ3RU1BdjRGcENJWSs4RE1nQzFRSVE0MWUzRXNmZC9iNlM")</f>
        <v>https://shopee.co.id/product/587909295/22385719147?gads_t_sig=VTJGc2RHVmtYMTlxTFVSVVRrdENkWVp3RFo3Mkw5czd4Z0hzdEF1WVFibkZLSi9SWDlWYnpqdzJKdURPM1FwMFhJT1g5bVB1QUhURi9zVlc2N1FhUjc1Q1FjUWF0VEQ3RU1BdjRGcENJWSs4RE1nQzFRSVE0MWUzRXNmZC9iNlM</v>
      </c>
      <c r="L222" s="3" t="str">
        <f>IFERROR(__xludf.DUMMYFUNCTION("""COMPUTED_VALUE"""),"Pembacaan Supply dan Return Chiller HE Mixing")</f>
        <v>Pembacaan Supply dan Return Chiller HE Mixing</v>
      </c>
      <c r="M222" s="3" t="str">
        <f>IFERROR(__xludf.DUMMYFUNCTION("""COMPUTED_VALUE"""),"Approve")</f>
        <v>Approve</v>
      </c>
      <c r="N222" s="3" t="str">
        <f>IFERROR(__xludf.DUMMYFUNCTION("""COMPUTED_VALUE"""),"Normal")</f>
        <v>Normal</v>
      </c>
      <c r="O222" s="3" t="str">
        <f>IFERROR(__xludf.DUMMYFUNCTION("""COMPUTED_VALUE"""),"Non Urgent")</f>
        <v>Non Urgent</v>
      </c>
    </row>
    <row r="223">
      <c r="A223" s="4">
        <f>IFERROR(__xludf.DUMMYFUNCTION("""COMPUTED_VALUE"""),45821.08799895833)</f>
        <v>45821.088</v>
      </c>
      <c r="B223" s="3" t="str">
        <f>IFERROR(__xludf.DUMMYFUNCTION("""COMPUTED_VALUE"""),"ROSBR0023")</f>
        <v>ROSBR0023</v>
      </c>
      <c r="C223" s="3" t="str">
        <f>IFERROR(__xludf.DUMMYFUNCTION("""COMPUTED_VALUE"""),"EJO")</f>
        <v>EJO</v>
      </c>
      <c r="D223" s="3" t="str">
        <f>IFERROR(__xludf.DUMMYFUNCTION("""COMPUTED_VALUE"""),"EJO/2025/05/09")</f>
        <v>EJO/2025/05/09</v>
      </c>
      <c r="E223" s="3" t="str">
        <f>IFERROR(__xludf.DUMMYFUNCTION("""COMPUTED_VALUE"""),"Capping")</f>
        <v>Capping</v>
      </c>
      <c r="F223" s="3" t="str">
        <f>IFERROR(__xludf.DUMMYFUNCTION("""COMPUTED_VALUE"""),"Kunci rak lemari Capping ")</f>
        <v>Kunci rak lemari Capping </v>
      </c>
      <c r="G223" s="3" t="str">
        <f>IFERROR(__xludf.DUMMYFUNCTION("""COMPUTED_VALUE"""),"Ukuran 
Panjang : 110mm
lebar : 35mm
material Stainlees")</f>
        <v>Ukuran 
Panjang : 110mm
lebar : 35mm
material Stainlees</v>
      </c>
      <c r="H223" s="3" t="str">
        <f>IFERROR(__xludf.DUMMYFUNCTION("""COMPUTED_VALUE"""),"Universal ")</f>
        <v>Universal </v>
      </c>
      <c r="I223" s="3">
        <f>IFERROR(__xludf.DUMMYFUNCTION("""COMPUTED_VALUE"""),1.0)</f>
        <v>1</v>
      </c>
      <c r="J223" s="3" t="str">
        <f>IFERROR(__xludf.DUMMYFUNCTION("""COMPUTED_VALUE"""),"Set")</f>
        <v>Set</v>
      </c>
      <c r="K223" s="5" t="str">
        <f>IFERROR(__xludf.DUMMYFUNCTION("""COMPUTED_VALUE"""),"https://id.shp.ee/GekNx87")</f>
        <v>https://id.shp.ee/GekNx87</v>
      </c>
      <c r="L223" s="3" t="str">
        <f>IFERROR(__xludf.DUMMYFUNCTION("""COMPUTED_VALUE"""),"handle lemari rak capping ")</f>
        <v>handle lemari rak capping </v>
      </c>
      <c r="M223" s="3" t="str">
        <f>IFERROR(__xludf.DUMMYFUNCTION("""COMPUTED_VALUE"""),"Approve")</f>
        <v>Approve</v>
      </c>
      <c r="N223" s="3" t="str">
        <f>IFERROR(__xludf.DUMMYFUNCTION("""COMPUTED_VALUE"""),"Normal")</f>
        <v>Normal</v>
      </c>
      <c r="O223" s="3" t="str">
        <f>IFERROR(__xludf.DUMMYFUNCTION("""COMPUTED_VALUE"""),"Non Urgent")</f>
        <v>Non Urgent</v>
      </c>
    </row>
    <row r="224">
      <c r="A224" s="4">
        <f>IFERROR(__xludf.DUMMYFUNCTION("""COMPUTED_VALUE"""),45821.08799895833)</f>
        <v>45821.088</v>
      </c>
      <c r="B224" s="3" t="str">
        <f>IFERROR(__xludf.DUMMYFUNCTION("""COMPUTED_VALUE"""),"ROSBR0024")</f>
        <v>ROSBR0024</v>
      </c>
      <c r="C224" s="3" t="str">
        <f>IFERROR(__xludf.DUMMYFUNCTION("""COMPUTED_VALUE"""),"EJO")</f>
        <v>EJO</v>
      </c>
      <c r="D224" s="3" t="str">
        <f>IFERROR(__xludf.DUMMYFUNCTION("""COMPUTED_VALUE"""),"EJO/2025/05/09")</f>
        <v>EJO/2025/05/09</v>
      </c>
      <c r="E224" s="3" t="str">
        <f>IFERROR(__xludf.DUMMYFUNCTION("""COMPUTED_VALUE"""),"Capping")</f>
        <v>Capping</v>
      </c>
      <c r="F224" s="3" t="str">
        <f>IFERROR(__xludf.DUMMYFUNCTION("""COMPUTED_VALUE"""),"jepit udang buat Pintu lemari capping")</f>
        <v>jepit udang buat Pintu lemari capping</v>
      </c>
      <c r="G224" s="3" t="str">
        <f>IFERROR(__xludf.DUMMYFUNCTION("""COMPUTED_VALUE"""),"Ukuran 
panjang : 28mm
lebar : 23mm
material stainless")</f>
        <v>Ukuran 
panjang : 28mm
lebar : 23mm
material stainless</v>
      </c>
      <c r="H224" s="3" t="str">
        <f>IFERROR(__xludf.DUMMYFUNCTION("""COMPUTED_VALUE"""),"Universal ")</f>
        <v>Universal </v>
      </c>
      <c r="I224" s="3">
        <f>IFERROR(__xludf.DUMMYFUNCTION("""COMPUTED_VALUE"""),1.0)</f>
        <v>1</v>
      </c>
      <c r="J224" s="3" t="str">
        <f>IFERROR(__xludf.DUMMYFUNCTION("""COMPUTED_VALUE"""),"set")</f>
        <v>set</v>
      </c>
      <c r="K224" s="5" t="str">
        <f>IFERROR(__xludf.DUMMYFUNCTION("""COMPUTED_VALUE"""),"https://id.shp.ee/R5ihhSf")</f>
        <v>https://id.shp.ee/R5ihhSf</v>
      </c>
      <c r="L224" s="3" t="str">
        <f>IFERROR(__xludf.DUMMYFUNCTION("""COMPUTED_VALUE"""),"Jepit udang lemari rak capping")</f>
        <v>Jepit udang lemari rak capping</v>
      </c>
      <c r="M224" s="3" t="str">
        <f>IFERROR(__xludf.DUMMYFUNCTION("""COMPUTED_VALUE"""),"Reject")</f>
        <v>Reject</v>
      </c>
      <c r="N224" s="3" t="str">
        <f>IFERROR(__xludf.DUMMYFUNCTION("""COMPUTED_VALUE"""),"Normal")</f>
        <v>Normal</v>
      </c>
      <c r="O224" s="3" t="str">
        <f>IFERROR(__xludf.DUMMYFUNCTION("""COMPUTED_VALUE"""),"Non Urgent")</f>
        <v>Non Urgent</v>
      </c>
    </row>
    <row r="225">
      <c r="A225" s="4">
        <f>IFERROR(__xludf.DUMMYFUNCTION("""COMPUTED_VALUE"""),45821.08799895833)</f>
        <v>45821.088</v>
      </c>
      <c r="B225" s="3" t="str">
        <f>IFERROR(__xludf.DUMMYFUNCTION("""COMPUTED_VALUE"""),"ROSBR0025")</f>
        <v>ROSBR0025</v>
      </c>
      <c r="C225" s="3" t="str">
        <f>IFERROR(__xludf.DUMMYFUNCTION("""COMPUTED_VALUE"""),"Consumable")</f>
        <v>Consumable</v>
      </c>
      <c r="D225" s="3" t="str">
        <f>IFERROR(__xludf.DUMMYFUNCTION("""COMPUTED_VALUE"""),"NA")</f>
        <v>NA</v>
      </c>
      <c r="E225" s="3" t="str">
        <f>IFERROR(__xludf.DUMMYFUNCTION("""COMPUTED_VALUE"""),"Capping")</f>
        <v>Capping</v>
      </c>
      <c r="F225" s="3" t="str">
        <f>IFERROR(__xludf.DUMMYFUNCTION("""COMPUTED_VALUE"""),"Lock Nut Capping Uk M10x 0.75 x 15")</f>
        <v>Lock Nut Capping Uk M10x 0.75 x 15</v>
      </c>
      <c r="G225" s="3" t="str">
        <f>IFERROR(__xludf.DUMMYFUNCTION("""COMPUTED_VALUE"""),"-Lock Nut Capping Uk M10x 0.75 x 15
-Proses Bubut
-Profil Ulir M10x 0.75
-Insert Nylon Stopper")</f>
        <v>-Lock Nut Capping Uk M10x 0.75 x 15
-Proses Bubut
-Profil Ulir M10x 0.75
-Insert Nylon Stopper</v>
      </c>
      <c r="H225" s="3" t="str">
        <f>IFERROR(__xludf.DUMMYFUNCTION("""COMPUTED_VALUE"""),"General")</f>
        <v>General</v>
      </c>
      <c r="I225" s="3">
        <f>IFERROR(__xludf.DUMMYFUNCTION("""COMPUTED_VALUE"""),5.0)</f>
        <v>5</v>
      </c>
      <c r="J225" s="3" t="str">
        <f>IFERROR(__xludf.DUMMYFUNCTION("""COMPUTED_VALUE"""),"pcs")</f>
        <v>pcs</v>
      </c>
      <c r="K225" s="5" t="str">
        <f>IFERROR(__xludf.DUMMYFUNCTION("""COMPUTED_VALUE"""),"https://drive.google.com/drive/folders/1e1hU1KNZhTLjnhqKwXRs5lc5JJguLcXg?usp=sharing")</f>
        <v>https://drive.google.com/drive/folders/1e1hU1KNZhTLjnhqKwXRs5lc5JJguLcXg?usp=sharing</v>
      </c>
      <c r="L225" s="3" t="str">
        <f>IFERROR(__xludf.DUMMYFUNCTION("""COMPUTED_VALUE"""),"lock nut buat capping ")</f>
        <v>lock nut buat capping </v>
      </c>
      <c r="M225" s="3" t="str">
        <f>IFERROR(__xludf.DUMMYFUNCTION("""COMPUTED_VALUE"""),"Approve")</f>
        <v>Approve</v>
      </c>
      <c r="N225" s="3" t="str">
        <f>IFERROR(__xludf.DUMMYFUNCTION("""COMPUTED_VALUE"""),"Normal")</f>
        <v>Normal</v>
      </c>
      <c r="O225" s="3" t="str">
        <f>IFERROR(__xludf.DUMMYFUNCTION("""COMPUTED_VALUE"""),"Non Urgent")</f>
        <v>Non Urgent</v>
      </c>
    </row>
    <row r="226">
      <c r="A226" s="4">
        <f>IFERROR(__xludf.DUMMYFUNCTION("""COMPUTED_VALUE"""),45821.08799895833)</f>
        <v>45821.088</v>
      </c>
      <c r="B226" s="3" t="str">
        <f>IFERROR(__xludf.DUMMYFUNCTION("""COMPUTED_VALUE"""),"ROSBR0026")</f>
        <v>ROSBR0026</v>
      </c>
      <c r="C226" s="3" t="str">
        <f>IFERROR(__xludf.DUMMYFUNCTION("""COMPUTED_VALUE"""),"EJO")</f>
        <v>EJO</v>
      </c>
      <c r="D226" s="3" t="str">
        <f>IFERROR(__xludf.DUMMYFUNCTION("""COMPUTED_VALUE"""),"EJO 2025/05/156")</f>
        <v>EJO 2025/05/156</v>
      </c>
      <c r="E226" s="3" t="str">
        <f>IFERROR(__xludf.DUMMYFUNCTION("""COMPUTED_VALUE"""),"Dispensing OSD")</f>
        <v>Dispensing OSD</v>
      </c>
      <c r="F226" s="3" t="str">
        <f>IFERROR(__xludf.DUMMYFUNCTION("""COMPUTED_VALUE"""),"Trolley Polybottle 50lt uk 375x375x320")</f>
        <v>Trolley Polybottle 50lt uk 375x375x320</v>
      </c>
      <c r="G226" s="3" t="str">
        <f>IFERROR(__xludf.DUMMYFUNCTION("""COMPUTED_VALUE"""),"Specifikasi :
Machining Plate Mat'l SUS 304
Proses Laser Cutting
Pembutan Rangka Trolley
Assembly welding
Finishing")</f>
        <v>Specifikasi :
Machining Plate Mat'l SUS 304
Proses Laser Cutting
Pembutan Rangka Trolley
Assembly welding
Finishing</v>
      </c>
      <c r="H226" s="3" t="str">
        <f>IFERROR(__xludf.DUMMYFUNCTION("""COMPUTED_VALUE"""),"Agru")</f>
        <v>Agru</v>
      </c>
      <c r="I226" s="3">
        <f>IFERROR(__xludf.DUMMYFUNCTION("""COMPUTED_VALUE"""),1.0)</f>
        <v>1</v>
      </c>
      <c r="J226" s="3" t="str">
        <f>IFERROR(__xludf.DUMMYFUNCTION("""COMPUTED_VALUE"""),"Set")</f>
        <v>Set</v>
      </c>
      <c r="K226" s="5" t="str">
        <f>IFERROR(__xludf.DUMMYFUNCTION("""COMPUTED_VALUE"""),"https://drive.google.com/drive/folders/19RVTrpAUNAzyPR3c8XRT10d2UrCYXa12?usp=drive_link")</f>
        <v>https://drive.google.com/drive/folders/19RVTrpAUNAzyPR3c8XRT10d2UrCYXa12?usp=drive_link</v>
      </c>
      <c r="L226" s="3" t="str">
        <f>IFERROR(__xludf.DUMMYFUNCTION("""COMPUTED_VALUE"""),"Trolley poly bootle 50L")</f>
        <v>Trolley poly bootle 50L</v>
      </c>
      <c r="M226" s="3" t="str">
        <f>IFERROR(__xludf.DUMMYFUNCTION("""COMPUTED_VALUE"""),"Reject")</f>
        <v>Reject</v>
      </c>
      <c r="N226" s="3" t="str">
        <f>IFERROR(__xludf.DUMMYFUNCTION("""COMPUTED_VALUE"""),"Normal")</f>
        <v>Normal</v>
      </c>
      <c r="O226" s="3" t="str">
        <f>IFERROR(__xludf.DUMMYFUNCTION("""COMPUTED_VALUE"""),"Non Urgent")</f>
        <v>Non Urgent</v>
      </c>
    </row>
    <row r="227">
      <c r="A227" s="4">
        <f>IFERROR(__xludf.DUMMYFUNCTION("""COMPUTED_VALUE"""),45827.330814050925)</f>
        <v>45827.33081</v>
      </c>
      <c r="B227" s="3" t="str">
        <f>IFERROR(__xludf.DUMMYFUNCTION("""COMPUTED_VALUE"""),"RIABR0043")</f>
        <v>RIABR0043</v>
      </c>
      <c r="C227" s="3" t="str">
        <f>IFERROR(__xludf.DUMMYFUNCTION("""COMPUTED_VALUE"""),"Consumable")</f>
        <v>Consumable</v>
      </c>
      <c r="D227" s="3" t="str">
        <f>IFERROR(__xludf.DUMMYFUNCTION("""COMPUTED_VALUE"""),"-")</f>
        <v>-</v>
      </c>
      <c r="E227" s="3" t="str">
        <f>IFERROR(__xludf.DUMMYFUNCTION("""COMPUTED_VALUE"""),"WWTP")</f>
        <v>WWTP</v>
      </c>
      <c r="F227" s="3" t="str">
        <f>IFERROR(__xludf.DUMMYFUNCTION("""COMPUTED_VALUE"""),"Sepatu Boots")</f>
        <v>Sepatu Boots</v>
      </c>
      <c r="G227" s="3" t="str">
        <f>IFERROR(__xludf.DUMMYFUNCTION("""COMPUTED_VALUE"""),"AP Boots Safety S5 BLACK - Sepatu Boot PVC Shoes Karet - Size 42, 43, 44")</f>
        <v>AP Boots Safety S5 BLACK - Sepatu Boot PVC Shoes Karet - Size 42, 43, 44</v>
      </c>
      <c r="H227" s="3" t="str">
        <f>IFERROR(__xludf.DUMMYFUNCTION("""COMPUTED_VALUE"""),"AP Boots")</f>
        <v>AP Boots</v>
      </c>
      <c r="I227" s="3">
        <f>IFERROR(__xludf.DUMMYFUNCTION("""COMPUTED_VALUE"""),3.0)</f>
        <v>3</v>
      </c>
      <c r="J227" s="3" t="str">
        <f>IFERROR(__xludf.DUMMYFUNCTION("""COMPUTED_VALUE"""),"Pair")</f>
        <v>Pair</v>
      </c>
      <c r="K227" s="5" t="str">
        <f>IFERROR(__xludf.DUMMYFUNCTION("""COMPUTED_VALUE"""),"https://www.tokopedia.com/apbootsofficial/ap-boots-safety-s5-black-sepatu-boot-pvc-39?extParam=src%3Dshop%26whid%3D11618574&amp;aff_unique_id=&amp;channel=others&amp;chain_key=")</f>
        <v>https://www.tokopedia.com/apbootsofficial/ap-boots-safety-s5-black-sepatu-boot-pvc-39?extParam=src%3Dshop%26whid%3D11618574&amp;aff_unique_id=&amp;channel=others&amp;chain_key=</v>
      </c>
      <c r="L227" s="3" t="str">
        <f>IFERROR(__xludf.DUMMYFUNCTION("""COMPUTED_VALUE"""),"Buat di WWTP ")</f>
        <v>Buat di WWTP </v>
      </c>
      <c r="M227" s="3" t="str">
        <f>IFERROR(__xludf.DUMMYFUNCTION("""COMPUTED_VALUE"""),"Approve")</f>
        <v>Approve</v>
      </c>
      <c r="N227" s="3" t="str">
        <f>IFERROR(__xludf.DUMMYFUNCTION("""COMPUTED_VALUE"""),"Normal")</f>
        <v>Normal</v>
      </c>
      <c r="O227" s="3" t="str">
        <f>IFERROR(__xludf.DUMMYFUNCTION("""COMPUTED_VALUE"""),"Non Urgent")</f>
        <v>Non Urgent</v>
      </c>
    </row>
    <row r="228">
      <c r="A228" s="4">
        <f>IFERROR(__xludf.DUMMYFUNCTION("""COMPUTED_VALUE"""),45831.9722804051)</f>
        <v>45831.97228</v>
      </c>
      <c r="B228" s="3" t="str">
        <f>IFERROR(__xludf.DUMMYFUNCTION("""COMPUTED_VALUE"""),"INNBR0030")</f>
        <v>INNBR0030</v>
      </c>
      <c r="C228" s="3" t="str">
        <f>IFERROR(__xludf.DUMMYFUNCTION("""COMPUTED_VALUE"""),"EJO")</f>
        <v>EJO</v>
      </c>
      <c r="D228" s="3" t="str">
        <f>IFERROR(__xludf.DUMMYFUNCTION("""COMPUTED_VALUE"""),"EJO/2025/06/156")</f>
        <v>EJO/2025/06/156</v>
      </c>
      <c r="E228" s="3" t="str">
        <f>IFERROR(__xludf.DUMMYFUNCTION("""COMPUTED_VALUE"""),"Capping")</f>
        <v>Capping</v>
      </c>
      <c r="F228" s="3" t="str">
        <f>IFERROR(__xludf.DUMMYFUNCTION("""COMPUTED_VALUE""")," format part guide starwheel 6R")</f>
        <v> format part guide starwheel 6R</v>
      </c>
      <c r="G228" s="3" t="str">
        <f>IFERROR(__xludf.DUMMYFUNCTION("""COMPUTED_VALUE"""),"-")</f>
        <v>-</v>
      </c>
      <c r="H228" s="3" t="str">
        <f>IFERROR(__xludf.DUMMYFUNCTION("""COMPUTED_VALUE"""),"Custom")</f>
        <v>Custom</v>
      </c>
      <c r="I228" s="3">
        <f>IFERROR(__xludf.DUMMYFUNCTION("""COMPUTED_VALUE"""),1.0)</f>
        <v>1</v>
      </c>
      <c r="J228" s="3" t="str">
        <f>IFERROR(__xludf.DUMMYFUNCTION("""COMPUTED_VALUE"""),"pcs")</f>
        <v>pcs</v>
      </c>
      <c r="K228" s="5" t="str">
        <f>IFERROR(__xludf.DUMMYFUNCTION("""COMPUTED_VALUE"""),"https://drive.google.com/file/d/18q3lO3GjNDc-1O75CbNV--fuIooVPqSg/view?usp=drive_link")</f>
        <v>https://drive.google.com/file/d/18q3lO3GjNDc-1O75CbNV--fuIooVPqSg/view?usp=drive_link</v>
      </c>
      <c r="L228" s="3" t="str">
        <f>IFERROR(__xludf.DUMMYFUNCTION("""COMPUTED_VALUE"""),"photo format part")</f>
        <v>photo format part</v>
      </c>
      <c r="M228" s="3" t="str">
        <f>IFERROR(__xludf.DUMMYFUNCTION("""COMPUTED_VALUE"""),"Approve")</f>
        <v>Approve</v>
      </c>
      <c r="N228" s="3" t="str">
        <f>IFERROR(__xludf.DUMMYFUNCTION("""COMPUTED_VALUE"""),"Normal")</f>
        <v>Normal</v>
      </c>
      <c r="O228" s="3" t="str">
        <f>IFERROR(__xludf.DUMMYFUNCTION("""COMPUTED_VALUE"""),"Non Urgent")</f>
        <v>Non Urgent</v>
      </c>
    </row>
    <row r="229">
      <c r="A229" s="4">
        <f>IFERROR(__xludf.DUMMYFUNCTION("""COMPUTED_VALUE"""),45831.973374062494)</f>
        <v>45831.97337</v>
      </c>
      <c r="B229" s="3" t="str">
        <f>IFERROR(__xludf.DUMMYFUNCTION("""COMPUTED_VALUE"""),"INNBR0031")</f>
        <v>INNBR0031</v>
      </c>
      <c r="C229" s="3" t="str">
        <f>IFERROR(__xludf.DUMMYFUNCTION("""COMPUTED_VALUE"""),"EJO")</f>
        <v>EJO</v>
      </c>
      <c r="D229" s="3" t="str">
        <f>IFERROR(__xludf.DUMMYFUNCTION("""COMPUTED_VALUE"""),"EJO/2025/06/156")</f>
        <v>EJO/2025/06/156</v>
      </c>
      <c r="E229" s="3" t="str">
        <f>IFERROR(__xludf.DUMMYFUNCTION("""COMPUTED_VALUE"""),"Capping")</f>
        <v>Capping</v>
      </c>
      <c r="F229" s="3" t="str">
        <f>IFERROR(__xludf.DUMMYFUNCTION("""COMPUTED_VALUE""")," format part guide starwheel 10R")</f>
        <v> format part guide starwheel 10R</v>
      </c>
      <c r="G229" s="3" t="str">
        <f>IFERROR(__xludf.DUMMYFUNCTION("""COMPUTED_VALUE"""),"-")</f>
        <v>-</v>
      </c>
      <c r="H229" s="3" t="str">
        <f>IFERROR(__xludf.DUMMYFUNCTION("""COMPUTED_VALUE"""),"Custom")</f>
        <v>Custom</v>
      </c>
      <c r="I229" s="3">
        <f>IFERROR(__xludf.DUMMYFUNCTION("""COMPUTED_VALUE"""),1.0)</f>
        <v>1</v>
      </c>
      <c r="J229" s="3" t="str">
        <f>IFERROR(__xludf.DUMMYFUNCTION("""COMPUTED_VALUE"""),"pcs")</f>
        <v>pcs</v>
      </c>
      <c r="K229" s="5" t="str">
        <f>IFERROR(__xludf.DUMMYFUNCTION("""COMPUTED_VALUE"""),"https://drive.google.com/file/d/18q3lO3GjNDc-1O75CbNV--fuIooVPqSg/view?usp=drive_link")</f>
        <v>https://drive.google.com/file/d/18q3lO3GjNDc-1O75CbNV--fuIooVPqSg/view?usp=drive_link</v>
      </c>
      <c r="L229" s="3" t="str">
        <f>IFERROR(__xludf.DUMMYFUNCTION("""COMPUTED_VALUE"""),"photo format part")</f>
        <v>photo format part</v>
      </c>
      <c r="M229" s="3" t="str">
        <f>IFERROR(__xludf.DUMMYFUNCTION("""COMPUTED_VALUE"""),"Approve")</f>
        <v>Approve</v>
      </c>
      <c r="N229" s="3" t="str">
        <f>IFERROR(__xludf.DUMMYFUNCTION("""COMPUTED_VALUE"""),"Normal")</f>
        <v>Normal</v>
      </c>
      <c r="O229" s="3" t="str">
        <f>IFERROR(__xludf.DUMMYFUNCTION("""COMPUTED_VALUE"""),"Non Urgent")</f>
        <v>Non Urgent</v>
      </c>
    </row>
    <row r="230">
      <c r="A230" s="4">
        <f>IFERROR(__xludf.DUMMYFUNCTION("""COMPUTED_VALUE"""),45833.119915601856)</f>
        <v>45833.11992</v>
      </c>
      <c r="B230" s="3" t="str">
        <f>IFERROR(__xludf.DUMMYFUNCTION("""COMPUTED_VALUE"""),"MRNBR0019")</f>
        <v>MRNBR0019</v>
      </c>
      <c r="C230" s="3" t="str">
        <f>IFERROR(__xludf.DUMMYFUNCTION("""COMPUTED_VALUE"""),"EJO")</f>
        <v>EJO</v>
      </c>
      <c r="D230" s="3" t="str">
        <f>IFERROR(__xludf.DUMMYFUNCTION("""COMPUTED_VALUE"""),"EJO/2025/06/159")</f>
        <v>EJO/2025/06/159</v>
      </c>
      <c r="E230" s="3" t="str">
        <f>IFERROR(__xludf.DUMMYFUNCTION("""COMPUTED_VALUE"""),"Proyektor")</f>
        <v>Proyektor</v>
      </c>
      <c r="F230" s="3" t="str">
        <f>IFERROR(__xludf.DUMMYFUNCTION("""COMPUTED_VALUE"""),"Unp 100")</f>
        <v>Unp 100</v>
      </c>
      <c r="G230" s="3" t="str">
        <f>IFERROR(__xludf.DUMMYFUNCTION("""COMPUTED_VALUE"""),"100x50x3mm")</f>
        <v>100x50x3mm</v>
      </c>
      <c r="H230" s="3" t="str">
        <f>IFERROR(__xludf.DUMMYFUNCTION("""COMPUTED_VALUE"""),"krakatau steel")</f>
        <v>krakatau steel</v>
      </c>
      <c r="I230" s="3">
        <f>IFERROR(__xludf.DUMMYFUNCTION("""COMPUTED_VALUE"""),6.0)</f>
        <v>6</v>
      </c>
      <c r="J230" s="3" t="str">
        <f>IFERROR(__xludf.DUMMYFUNCTION("""COMPUTED_VALUE"""),"btg")</f>
        <v>btg</v>
      </c>
      <c r="K230" s="5" t="str">
        <f>IFERROR(__xludf.DUMMYFUNCTION("""COMPUTED_VALUE"""),"https://www.tokopedia.com/rianbaja/besi-unp-100-x-50-berat-36kg-unp-100-d1786?aff_unique_id=&amp;channel=others&amp;chain_key=")</f>
        <v>https://www.tokopedia.com/rianbaja/besi-unp-100-x-50-berat-36kg-unp-100-d1786?aff_unique_id=&amp;channel=others&amp;chain_key=</v>
      </c>
      <c r="L230" s="3" t="str">
        <f>IFERROR(__xludf.DUMMYFUNCTION("""COMPUTED_VALUE"""),"untuk proyektor")</f>
        <v>untuk proyektor</v>
      </c>
      <c r="M230" s="3" t="str">
        <f>IFERROR(__xludf.DUMMYFUNCTION("""COMPUTED_VALUE"""),"Approve")</f>
        <v>Approve</v>
      </c>
      <c r="N230" s="3" t="str">
        <f>IFERROR(__xludf.DUMMYFUNCTION("""COMPUTED_VALUE"""),"Normal")</f>
        <v>Normal</v>
      </c>
      <c r="O230" s="3" t="str">
        <f>IFERROR(__xludf.DUMMYFUNCTION("""COMPUTED_VALUE"""),"Non Urgent")</f>
        <v>Non Urgent</v>
      </c>
    </row>
    <row r="231">
      <c r="A231" s="4">
        <f>IFERROR(__xludf.DUMMYFUNCTION("""COMPUTED_VALUE"""),45833.12308788195)</f>
        <v>45833.12309</v>
      </c>
      <c r="B231" s="3" t="str">
        <f>IFERROR(__xludf.DUMMYFUNCTION("""COMPUTED_VALUE"""),"MRNBR0020")</f>
        <v>MRNBR0020</v>
      </c>
      <c r="C231" s="3" t="str">
        <f>IFERROR(__xludf.DUMMYFUNCTION("""COMPUTED_VALUE"""),"EJO")</f>
        <v>EJO</v>
      </c>
      <c r="D231" s="3" t="str">
        <f>IFERROR(__xludf.DUMMYFUNCTION("""COMPUTED_VALUE"""),"EJO/2025/06/160")</f>
        <v>EJO/2025/06/160</v>
      </c>
      <c r="E231" s="3" t="str">
        <f>IFERROR(__xludf.DUMMYFUNCTION("""COMPUTED_VALUE"""),"Proyektor")</f>
        <v>Proyektor</v>
      </c>
      <c r="F231" s="3" t="str">
        <f>IFERROR(__xludf.DUMMYFUNCTION("""COMPUTED_VALUE"""),"Plat strip")</f>
        <v>Plat strip</v>
      </c>
      <c r="G231" s="3" t="str">
        <f>IFERROR(__xludf.DUMMYFUNCTION("""COMPUTED_VALUE"""),"50mm x 6m x 5mm")</f>
        <v>50mm x 6m x 5mm</v>
      </c>
      <c r="H231" s="3" t="str">
        <f>IFERROR(__xludf.DUMMYFUNCTION("""COMPUTED_VALUE"""),"krakatau steel")</f>
        <v>krakatau steel</v>
      </c>
      <c r="I231" s="3">
        <f>IFERROR(__xludf.DUMMYFUNCTION("""COMPUTED_VALUE"""),1.0)</f>
        <v>1</v>
      </c>
      <c r="J231" s="3" t="str">
        <f>IFERROR(__xludf.DUMMYFUNCTION("""COMPUTED_VALUE"""),"byg")</f>
        <v>byg</v>
      </c>
      <c r="K231" s="5" t="str">
        <f>IFERROR(__xludf.DUMMYFUNCTION("""COMPUTED_VALUE"""),"https://www.tokopedia.com/besibetonjakarta/plat-strip-50mm-x-6mm-x-6m-full?extParam=ivf%3Dfalse%26keyword%3Dplate+strip+50mm+x+6mm%26search_id%3D2025062419583937BC2F75BF1BCF288DMN%26src%3Dsearch&amp;t_id=1750795129116&amp;t_st=2&amp;t_pp=search_result&amp;t_efo=search_pu"&amp;"re_goods_card&amp;t_ef=goods_search&amp;t_sm=&amp;t_spt=search_result")</f>
        <v>https://www.tokopedia.com/besibetonjakarta/plat-strip-50mm-x-6mm-x-6m-full?extParam=ivf%3Dfalse%26keyword%3Dplate+strip+50mm+x+6mm%26search_id%3D2025062419583937BC2F75BF1BCF288DMN%26src%3Dsearch&amp;t_id=1750795129116&amp;t_st=2&amp;t_pp=search_result&amp;t_efo=search_pure_goods_card&amp;t_ef=goods_search&amp;t_sm=&amp;t_spt=search_result</v>
      </c>
      <c r="L231" s="3" t="str">
        <f>IFERROR(__xludf.DUMMYFUNCTION("""COMPUTED_VALUE"""),"untuk proyektor")</f>
        <v>untuk proyektor</v>
      </c>
      <c r="M231" s="3" t="str">
        <f>IFERROR(__xludf.DUMMYFUNCTION("""COMPUTED_VALUE"""),"Approve")</f>
        <v>Approve</v>
      </c>
      <c r="N231" s="3" t="str">
        <f>IFERROR(__xludf.DUMMYFUNCTION("""COMPUTED_VALUE"""),"Normal")</f>
        <v>Normal</v>
      </c>
      <c r="O231" s="3" t="str">
        <f>IFERROR(__xludf.DUMMYFUNCTION("""COMPUTED_VALUE"""),"Non Urgent")</f>
        <v>Non Urgent</v>
      </c>
    </row>
    <row r="232">
      <c r="A232" s="4">
        <f>IFERROR(__xludf.DUMMYFUNCTION("""COMPUTED_VALUE"""),45833.12646987268)</f>
        <v>45833.12647</v>
      </c>
      <c r="B232" s="3" t="str">
        <f>IFERROR(__xludf.DUMMYFUNCTION("""COMPUTED_VALUE"""),"MRNBR0021")</f>
        <v>MRNBR0021</v>
      </c>
      <c r="C232" s="3" t="str">
        <f>IFERROR(__xludf.DUMMYFUNCTION("""COMPUTED_VALUE"""),"EJO")</f>
        <v>EJO</v>
      </c>
      <c r="D232" s="3" t="str">
        <f>IFERROR(__xludf.DUMMYFUNCTION("""COMPUTED_VALUE"""),"EJO/2025/06/160")</f>
        <v>EJO/2025/06/160</v>
      </c>
      <c r="E232" s="3" t="str">
        <f>IFERROR(__xludf.DUMMYFUNCTION("""COMPUTED_VALUE"""),"Proyektor")</f>
        <v>Proyektor</v>
      </c>
      <c r="F232" s="3" t="str">
        <f>IFERROR(__xludf.DUMMYFUNCTION("""COMPUTED_VALUE"""),"long drat ")</f>
        <v>long drat </v>
      </c>
      <c r="G232" s="3" t="str">
        <f>IFERROR(__xludf.DUMMYFUNCTION("""COMPUTED_VALUE"""),"M14")</f>
        <v>M14</v>
      </c>
      <c r="H232" s="3" t="str">
        <f>IFERROR(__xludf.DUMMYFUNCTION("""COMPUTED_VALUE"""),"krakatau steel")</f>
        <v>krakatau steel</v>
      </c>
      <c r="I232" s="3">
        <f>IFERROR(__xludf.DUMMYFUNCTION("""COMPUTED_VALUE"""),2.0)</f>
        <v>2</v>
      </c>
      <c r="J232" s="3" t="str">
        <f>IFERROR(__xludf.DUMMYFUNCTION("""COMPUTED_VALUE"""),"pcs")</f>
        <v>pcs</v>
      </c>
      <c r="K232" s="5" t="str">
        <f>IFERROR(__xludf.DUMMYFUNCTION("""COMPUTED_VALUE"""),"https://www.tokopedia.com/papabolt/asdrat-hitam-stud-bolt-fulldrat-m14-x-1-meter-long-drat-14mm?extParam=ivf%3Dfalse%26keyword%3Dmur+baut+m14+x+1mtr%26search_id%3D20250624200610577BCC914F9E5522D1VU%26src%3Dsearch&amp;t_id=1750795524866&amp;t_st=2&amp;t_pp=search_resu"&amp;"lt&amp;t_efo=search_pure_goods_card&amp;t_ef=goods_search&amp;t_sm=&amp;t_spt=search_result")</f>
        <v>https://www.tokopedia.com/papabolt/asdrat-hitam-stud-bolt-fulldrat-m14-x-1-meter-long-drat-14mm?extParam=ivf%3Dfalse%26keyword%3Dmur+baut+m14+x+1mtr%26search_id%3D20250624200610577BCC914F9E5522D1VU%26src%3Dsearch&amp;t_id=1750795524866&amp;t_st=2&amp;t_pp=search_result&amp;t_efo=search_pure_goods_card&amp;t_ef=goods_search&amp;t_sm=&amp;t_spt=search_result</v>
      </c>
      <c r="L232" s="3" t="str">
        <f>IFERROR(__xludf.DUMMYFUNCTION("""COMPUTED_VALUE"""),"untuk proyektor")</f>
        <v>untuk proyektor</v>
      </c>
      <c r="M232" s="3" t="str">
        <f>IFERROR(__xludf.DUMMYFUNCTION("""COMPUTED_VALUE"""),"Approve")</f>
        <v>Approve</v>
      </c>
      <c r="N232" s="3" t="str">
        <f>IFERROR(__xludf.DUMMYFUNCTION("""COMPUTED_VALUE"""),"Normal")</f>
        <v>Normal</v>
      </c>
      <c r="O232" s="3" t="str">
        <f>IFERROR(__xludf.DUMMYFUNCTION("""COMPUTED_VALUE"""),"Non Urgent")</f>
        <v>Non Urgent</v>
      </c>
    </row>
    <row r="233">
      <c r="A233" s="4">
        <f>IFERROR(__xludf.DUMMYFUNCTION("""COMPUTED_VALUE"""),45833.13043015046)</f>
        <v>45833.13043</v>
      </c>
      <c r="B233" s="3" t="str">
        <f>IFERROR(__xludf.DUMMYFUNCTION("""COMPUTED_VALUE"""),"MRNBR0022")</f>
        <v>MRNBR0022</v>
      </c>
      <c r="C233" s="3" t="str">
        <f>IFERROR(__xludf.DUMMYFUNCTION("""COMPUTED_VALUE"""),"EJO")</f>
        <v>EJO</v>
      </c>
      <c r="D233" s="3" t="str">
        <f>IFERROR(__xludf.DUMMYFUNCTION("""COMPUTED_VALUE"""),"EJO/2025/06/160")</f>
        <v>EJO/2025/06/160</v>
      </c>
      <c r="E233" s="3" t="str">
        <f>IFERROR(__xludf.DUMMYFUNCTION("""COMPUTED_VALUE"""),"Proyektor")</f>
        <v>Proyektor</v>
      </c>
      <c r="F233" s="3" t="str">
        <f>IFERROR(__xludf.DUMMYFUNCTION("""COMPUTED_VALUE"""),"Mur")</f>
        <v>Mur</v>
      </c>
      <c r="G233" s="3" t="str">
        <f>IFERROR(__xludf.DUMMYFUNCTION("""COMPUTED_VALUE"""),"M14")</f>
        <v>M14</v>
      </c>
      <c r="H233" s="3" t="str">
        <f>IFERROR(__xludf.DUMMYFUNCTION("""COMPUTED_VALUE"""),"krakatau steel")</f>
        <v>krakatau steel</v>
      </c>
      <c r="I233" s="3">
        <f>IFERROR(__xludf.DUMMYFUNCTION("""COMPUTED_VALUE"""),10.0)</f>
        <v>10</v>
      </c>
      <c r="J233" s="3" t="str">
        <f>IFERROR(__xludf.DUMMYFUNCTION("""COMPUTED_VALUE"""),"pcs")</f>
        <v>pcs</v>
      </c>
      <c r="K233" s="5" t="str">
        <f>IFERROR(__xludf.DUMMYFUNCTION("""COMPUTED_VALUE"""),"https://www.tokopedia.com/sumberbautsunter/m14-x-2-00-mur-baja-8-8-hitam-nut-only-hexagon-high-tensile-kunci-22?extParam=ivf%3Dfalse%26keyword%3Dmur+m14%26search_id%3D20250624200834320722549D17510566QD%26src%3Dsearch&amp;t_id=1750795524866&amp;t_st=3&amp;t_pp=search_"&amp;"result&amp;t_efo=search_pure_goods_card&amp;t_ef=goods_search&amp;t_sm=&amp;t_spt=search_result")</f>
        <v>https://www.tokopedia.com/sumberbautsunter/m14-x-2-00-mur-baja-8-8-hitam-nut-only-hexagon-high-tensile-kunci-22?extParam=ivf%3Dfalse%26keyword%3Dmur+m14%26search_id%3D20250624200834320722549D17510566QD%26src%3Dsearch&amp;t_id=1750795524866&amp;t_st=3&amp;t_pp=search_result&amp;t_efo=search_pure_goods_card&amp;t_ef=goods_search&amp;t_sm=&amp;t_spt=search_result</v>
      </c>
      <c r="L233" s="3" t="str">
        <f>IFERROR(__xludf.DUMMYFUNCTION("""COMPUTED_VALUE"""),"untuk proyektor")</f>
        <v>untuk proyektor</v>
      </c>
      <c r="M233" s="3" t="str">
        <f>IFERROR(__xludf.DUMMYFUNCTION("""COMPUTED_VALUE"""),"Approve")</f>
        <v>Approve</v>
      </c>
      <c r="N233" s="3" t="str">
        <f>IFERROR(__xludf.DUMMYFUNCTION("""COMPUTED_VALUE"""),"Normal")</f>
        <v>Normal</v>
      </c>
      <c r="O233" s="3" t="str">
        <f>IFERROR(__xludf.DUMMYFUNCTION("""COMPUTED_VALUE"""),"Non Urgent")</f>
        <v>Non Urgent</v>
      </c>
    </row>
    <row r="234">
      <c r="A234" s="4">
        <f>IFERROR(__xludf.DUMMYFUNCTION("""COMPUTED_VALUE"""),45833.13531938658)</f>
        <v>45833.13532</v>
      </c>
      <c r="B234" s="3" t="str">
        <f>IFERROR(__xludf.DUMMYFUNCTION("""COMPUTED_VALUE"""),"MRNBR0023")</f>
        <v>MRNBR0023</v>
      </c>
      <c r="C234" s="3" t="str">
        <f>IFERROR(__xludf.DUMMYFUNCTION("""COMPUTED_VALUE"""),"EJO")</f>
        <v>EJO</v>
      </c>
      <c r="D234" s="3" t="str">
        <f>IFERROR(__xludf.DUMMYFUNCTION("""COMPUTED_VALUE"""),"EJO/2025/06/162")</f>
        <v>EJO/2025/06/162</v>
      </c>
      <c r="E234" s="3" t="str">
        <f>IFERROR(__xludf.DUMMYFUNCTION("""COMPUTED_VALUE"""),"wwtp")</f>
        <v>wwtp</v>
      </c>
      <c r="F234" s="3" t="str">
        <f>IFERROR(__xludf.DUMMYFUNCTION("""COMPUTED_VALUE"""),"valve")</f>
        <v>valve</v>
      </c>
      <c r="G234" s="3" t="str">
        <f>IFERROR(__xludf.DUMMYFUNCTION("""COMPUTED_VALUE"""),"1 inch")</f>
        <v>1 inch</v>
      </c>
      <c r="H234" s="3" t="str">
        <f>IFERROR(__xludf.DUMMYFUNCTION("""COMPUTED_VALUE"""),"onda")</f>
        <v>onda</v>
      </c>
      <c r="I234" s="3">
        <f>IFERROR(__xludf.DUMMYFUNCTION("""COMPUTED_VALUE"""),4.0)</f>
        <v>4</v>
      </c>
      <c r="J234" s="3" t="str">
        <f>IFERROR(__xludf.DUMMYFUNCTION("""COMPUTED_VALUE"""),"pcs")</f>
        <v>pcs</v>
      </c>
      <c r="K234" s="5" t="str">
        <f>IFERROR(__xludf.DUMMYFUNCTION("""COMPUTED_VALUE"""),"https://www.tokopedia.com/cakratools-1/ball-valve-pvc-gagang-stainless-stop-kran-air-tebal-1-2-3-4-1-1-2-4861c?extParam=ivf%3Dfalse%26keyword%3Dstop+kran+1+inch%26search_id%3D2025062420154013F9896DF61279185ZXS%26src%3Dsearch&amp;t_id=1750795524866&amp;t_st=4&amp;t_pp"&amp;"=search_result&amp;t_efo=search_pure_goods_card&amp;t_ef=goods_search&amp;t_sm=&amp;t_spt=search_result")</f>
        <v>https://www.tokopedia.com/cakratools-1/ball-valve-pvc-gagang-stainless-stop-kran-air-tebal-1-2-3-4-1-1-2-4861c?extParam=ivf%3Dfalse%26keyword%3Dstop+kran+1+inch%26search_id%3D2025062420154013F9896DF61279185ZXS%26src%3Dsearch&amp;t_id=1750795524866&amp;t_st=4&amp;t_pp=search_result&amp;t_efo=search_pure_goods_card&amp;t_ef=goods_search&amp;t_sm=&amp;t_spt=search_result</v>
      </c>
      <c r="L234" s="3" t="str">
        <f>IFERROR(__xludf.DUMMYFUNCTION("""COMPUTED_VALUE"""),"wwtp")</f>
        <v>wwtp</v>
      </c>
      <c r="M234" s="3" t="str">
        <f>IFERROR(__xludf.DUMMYFUNCTION("""COMPUTED_VALUE"""),"Approve")</f>
        <v>Approve</v>
      </c>
      <c r="N234" s="3" t="str">
        <f>IFERROR(__xludf.DUMMYFUNCTION("""COMPUTED_VALUE"""),"Normal")</f>
        <v>Normal</v>
      </c>
      <c r="O234" s="3" t="str">
        <f>IFERROR(__xludf.DUMMYFUNCTION("""COMPUTED_VALUE"""),"Non Urgent")</f>
        <v>Non Urgent</v>
      </c>
    </row>
    <row r="235">
      <c r="A235" s="4">
        <f>IFERROR(__xludf.DUMMYFUNCTION("""COMPUTED_VALUE"""),45833.59157038195)</f>
        <v>45833.59157</v>
      </c>
      <c r="B235" s="3" t="str">
        <f>IFERROR(__xludf.DUMMYFUNCTION("""COMPUTED_VALUE"""),"ANOBR0021")</f>
        <v>ANOBR0021</v>
      </c>
      <c r="C235" s="3" t="str">
        <f>IFERROR(__xludf.DUMMYFUNCTION("""COMPUTED_VALUE"""),"EJO")</f>
        <v>EJO</v>
      </c>
      <c r="D235" s="3" t="str">
        <f>IFERROR(__xludf.DUMMYFUNCTION("""COMPUTED_VALUE"""),"EJO/2025/06/05")</f>
        <v>EJO/2025/06/05</v>
      </c>
      <c r="E235" s="3" t="str">
        <f>IFERROR(__xludf.DUMMYFUNCTION("""COMPUTED_VALUE"""),"vacum pump general lab")</f>
        <v>vacum pump general lab</v>
      </c>
      <c r="F235" s="3" t="str">
        <f>IFERROR(__xludf.DUMMYFUNCTION("""COMPUTED_VALUE"""),"Nepple T")</f>
        <v>Nepple T</v>
      </c>
      <c r="G235" s="3" t="str">
        <f>IFERROR(__xludf.DUMMYFUNCTION("""COMPUTED_VALUE"""),"Nepple T ukuran 3/8 ")</f>
        <v>Nepple T ukuran 3/8 </v>
      </c>
      <c r="H235" s="3" t="str">
        <f>IFERROR(__xludf.DUMMYFUNCTION("""COMPUTED_VALUE"""),"-")</f>
        <v>-</v>
      </c>
      <c r="I235" s="3">
        <f>IFERROR(__xludf.DUMMYFUNCTION("""COMPUTED_VALUE"""),2.0)</f>
        <v>2</v>
      </c>
      <c r="J235" s="3" t="str">
        <f>IFERROR(__xludf.DUMMYFUNCTION("""COMPUTED_VALUE"""),"Pcs")</f>
        <v>Pcs</v>
      </c>
      <c r="K235" s="3" t="str">
        <f>IFERROR(__xludf.DUMMYFUNCTION("""COMPUTED_VALUE"""),"-")</f>
        <v>-</v>
      </c>
      <c r="L235" s="3" t="str">
        <f>IFERROR(__xludf.DUMMYFUNCTION("""COMPUTED_VALUE"""),"keperluan untuk mengganti koneksi di vacuum pump ")</f>
        <v>keperluan untuk mengganti koneksi di vacuum pump </v>
      </c>
      <c r="M235" s="3" t="str">
        <f>IFERROR(__xludf.DUMMYFUNCTION("""COMPUTED_VALUE"""),"Reject")</f>
        <v>Reject</v>
      </c>
      <c r="N235" s="3" t="str">
        <f>IFERROR(__xludf.DUMMYFUNCTION("""COMPUTED_VALUE"""),"Normal")</f>
        <v>Normal</v>
      </c>
      <c r="O235" s="3" t="str">
        <f>IFERROR(__xludf.DUMMYFUNCTION("""COMPUTED_VALUE"""),"Non Urgent")</f>
        <v>Non Urgent</v>
      </c>
    </row>
    <row r="236">
      <c r="A236" s="4">
        <f>IFERROR(__xludf.DUMMYFUNCTION("""COMPUTED_VALUE"""),45834.89338793982)</f>
        <v>45834.89339</v>
      </c>
      <c r="B236" s="3" t="str">
        <f>IFERROR(__xludf.DUMMYFUNCTION("""COMPUTED_VALUE"""),"MFHBR0007")</f>
        <v>MFHBR0007</v>
      </c>
      <c r="C236" s="3" t="str">
        <f>IFERROR(__xludf.DUMMYFUNCTION("""COMPUTED_VALUE"""),"Critical Part")</f>
        <v>Critical Part</v>
      </c>
      <c r="D236" s="3" t="str">
        <f>IFERROR(__xludf.DUMMYFUNCTION("""COMPUTED_VALUE"""),"-")</f>
        <v>-</v>
      </c>
      <c r="E236" s="3" t="str">
        <f>IFERROR(__xludf.DUMMYFUNCTION("""COMPUTED_VALUE"""),"PW")</f>
        <v>PW</v>
      </c>
      <c r="F236" s="3" t="str">
        <f>IFERROR(__xludf.DUMMYFUNCTION("""COMPUTED_VALUE"""),"Valve")</f>
        <v>Valve</v>
      </c>
      <c r="G236" s="3" t="str">
        <f>IFERROR(__xludf.DUMMYFUNCTION("""COMPUTED_VALUE"""),"Valve P600M 04-02 U5 41 5317 1240000Z01AZ0300N1N1075 - Valve P600M 04-02 U5 41 5317 1240000Z01AZ0300N1N1075")</f>
        <v>Valve P600M 04-02 U5 41 5317 1240000Z01AZ0300N1N1075 - Valve P600M 04-02 U5 41 5317 1240000Z01AZ0300N1N1075</v>
      </c>
      <c r="H236" s="3" t="str">
        <f>IFERROR(__xludf.DUMMYFUNCTION("""COMPUTED_VALUE"""),"Gemu")</f>
        <v>Gemu</v>
      </c>
      <c r="I236" s="3">
        <f>IFERROR(__xludf.DUMMYFUNCTION("""COMPUTED_VALUE"""),2.0)</f>
        <v>2</v>
      </c>
      <c r="J236" s="3" t="str">
        <f>IFERROR(__xludf.DUMMYFUNCTION("""COMPUTED_VALUE"""),"Pcs")</f>
        <v>Pcs</v>
      </c>
      <c r="K236" s="3" t="str">
        <f>IFERROR(__xludf.DUMMYFUNCTION("""COMPUTED_VALUE"""),"Email Mas Ken")</f>
        <v>Email Mas Ken</v>
      </c>
      <c r="L236" s="3" t="str">
        <f>IFERROR(__xludf.DUMMYFUNCTION("""COMPUTED_VALUE"""),"2382 121702848")</f>
        <v>2382 121702848</v>
      </c>
      <c r="M236" s="3" t="str">
        <f>IFERROR(__xludf.DUMMYFUNCTION("""COMPUTED_VALUE"""),"Approve")</f>
        <v>Approve</v>
      </c>
      <c r="N236" s="3" t="str">
        <f>IFERROR(__xludf.DUMMYFUNCTION("""COMPUTED_VALUE"""),"Normal")</f>
        <v>Normal</v>
      </c>
      <c r="O236" s="3" t="str">
        <f>IFERROR(__xludf.DUMMYFUNCTION("""COMPUTED_VALUE"""),"Non Urgent")</f>
        <v>Non Urgent</v>
      </c>
    </row>
    <row r="237">
      <c r="A237" s="4">
        <f>IFERROR(__xludf.DUMMYFUNCTION("""COMPUTED_VALUE"""),45834.89406777777)</f>
        <v>45834.89407</v>
      </c>
      <c r="B237" s="3" t="str">
        <f>IFERROR(__xludf.DUMMYFUNCTION("""COMPUTED_VALUE"""),"MFHBR0008")</f>
        <v>MFHBR0008</v>
      </c>
      <c r="C237" s="3" t="str">
        <f>IFERROR(__xludf.DUMMYFUNCTION("""COMPUTED_VALUE"""),"Critical Part")</f>
        <v>Critical Part</v>
      </c>
      <c r="D237" s="3" t="str">
        <f>IFERROR(__xludf.DUMMYFUNCTION("""COMPUTED_VALUE"""),"-")</f>
        <v>-</v>
      </c>
      <c r="E237" s="3" t="str">
        <f>IFERROR(__xludf.DUMMYFUNCTION("""COMPUTED_VALUE"""),"Piping")</f>
        <v>Piping</v>
      </c>
      <c r="F237" s="3" t="str">
        <f>IFERROR(__xludf.DUMMYFUNCTION("""COMPUTED_VALUE"""),"-")</f>
        <v>-</v>
      </c>
      <c r="G237" s="3" t="str">
        <f>IFERROR(__xludf.DUMMYFUNCTION("""COMPUTED_VALUE"""),"Penggantian Pipa")</f>
        <v>Penggantian Pipa</v>
      </c>
      <c r="H237" s="3" t="str">
        <f>IFERROR(__xludf.DUMMYFUNCTION("""COMPUTED_VALUE"""),"-")</f>
        <v>-</v>
      </c>
      <c r="I237" s="3">
        <f>IFERROR(__xludf.DUMMYFUNCTION("""COMPUTED_VALUE"""),1.0)</f>
        <v>1</v>
      </c>
      <c r="J237" s="3" t="str">
        <f>IFERROR(__xludf.DUMMYFUNCTION("""COMPUTED_VALUE"""),"Lot")</f>
        <v>Lot</v>
      </c>
      <c r="K237" s="3" t="str">
        <f>IFERROR(__xludf.DUMMYFUNCTION("""COMPUTED_VALUE"""),"Email mas ken")</f>
        <v>Email mas ken</v>
      </c>
      <c r="L237" s="3" t="str">
        <f>IFERROR(__xludf.DUMMYFUNCTION("""COMPUTED_VALUE"""),"2269 121702710")</f>
        <v>2269 121702710</v>
      </c>
      <c r="M237" s="3" t="str">
        <f>IFERROR(__xludf.DUMMYFUNCTION("""COMPUTED_VALUE"""),"Approve")</f>
        <v>Approve</v>
      </c>
      <c r="N237" s="3" t="str">
        <f>IFERROR(__xludf.DUMMYFUNCTION("""COMPUTED_VALUE"""),"Normal")</f>
        <v>Normal</v>
      </c>
      <c r="O237" s="3" t="str">
        <f>IFERROR(__xludf.DUMMYFUNCTION("""COMPUTED_VALUE"""),"Non Urgent")</f>
        <v>Non Urgent</v>
      </c>
    </row>
    <row r="238">
      <c r="A238" s="4">
        <f>IFERROR(__xludf.DUMMYFUNCTION("""COMPUTED_VALUE"""),45834.99030369213)</f>
        <v>45834.9903</v>
      </c>
      <c r="B238" s="3" t="str">
        <f>IFERROR(__xludf.DUMMYFUNCTION("""COMPUTED_VALUE"""),"INNBR0032")</f>
        <v>INNBR0032</v>
      </c>
      <c r="C238" s="3" t="str">
        <f>IFERROR(__xludf.DUMMYFUNCTION("""COMPUTED_VALUE"""),"Consumable")</f>
        <v>Consumable</v>
      </c>
      <c r="D238" s="3" t="str">
        <f>IFERROR(__xludf.DUMMYFUNCTION("""COMPUTED_VALUE"""),"-")</f>
        <v>-</v>
      </c>
      <c r="E238" s="3" t="str">
        <f>IFERROR(__xludf.DUMMYFUNCTION("""COMPUTED_VALUE"""),"Capping")</f>
        <v>Capping</v>
      </c>
      <c r="F238" s="3" t="str">
        <f>IFERROR(__xludf.DUMMYFUNCTION("""COMPUTED_VALUE"""),"Oring silicone : 35.5 x 30.5 x 2.5 mm")</f>
        <v>Oring silicone : 35.5 x 30.5 x 2.5 mm</v>
      </c>
      <c r="G238" s="3" t="str">
        <f>IFERROR(__xludf.DUMMYFUNCTION("""COMPUTED_VALUE"""),"-")</f>
        <v>-</v>
      </c>
      <c r="H238" s="3" t="str">
        <f>IFERROR(__xludf.DUMMYFUNCTION("""COMPUTED_VALUE"""),"Custom")</f>
        <v>Custom</v>
      </c>
      <c r="I238" s="3">
        <f>IFERROR(__xludf.DUMMYFUNCTION("""COMPUTED_VALUE"""),10.0)</f>
        <v>10</v>
      </c>
      <c r="J238" s="3" t="str">
        <f>IFERROR(__xludf.DUMMYFUNCTION("""COMPUTED_VALUE"""),"pcs")</f>
        <v>pcs</v>
      </c>
      <c r="K238" s="3" t="str">
        <f>IFERROR(__xludf.DUMMYFUNCTION("""COMPUTED_VALUE"""),"-")</f>
        <v>-</v>
      </c>
      <c r="L238" s="3" t="str">
        <f>IFERROR(__xludf.DUMMYFUNCTION("""COMPUTED_VALUE"""),"Oring headcaps Zometa")</f>
        <v>Oring headcaps Zometa</v>
      </c>
      <c r="M238" s="3" t="str">
        <f>IFERROR(__xludf.DUMMYFUNCTION("""COMPUTED_VALUE"""),"Approve")</f>
        <v>Approve</v>
      </c>
      <c r="N238" s="3" t="str">
        <f>IFERROR(__xludf.DUMMYFUNCTION("""COMPUTED_VALUE"""),"Urgent")</f>
        <v>Urgent</v>
      </c>
      <c r="O238" s="3" t="str">
        <f>IFERROR(__xludf.DUMMYFUNCTION("""COMPUTED_VALUE"""),"Approve")</f>
        <v>Approve</v>
      </c>
    </row>
    <row r="239">
      <c r="A239" s="4">
        <f>IFERROR(__xludf.DUMMYFUNCTION("""COMPUTED_VALUE"""),45835.57681784722)</f>
        <v>45835.57682</v>
      </c>
      <c r="B239" s="3" t="str">
        <f>IFERROR(__xludf.DUMMYFUNCTION("""COMPUTED_VALUE"""),"MOBBR0030")</f>
        <v>MOBBR0030</v>
      </c>
      <c r="C239" s="3" t="str">
        <f>IFERROR(__xludf.DUMMYFUNCTION("""COMPUTED_VALUE"""),"Consumable")</f>
        <v>Consumable</v>
      </c>
      <c r="D239" s="3" t="str">
        <f>IFERROR(__xludf.DUMMYFUNCTION("""COMPUTED_VALUE"""),"-")</f>
        <v>-</v>
      </c>
      <c r="E239" s="3" t="str">
        <f>IFERROR(__xludf.DUMMYFUNCTION("""COMPUTED_VALUE"""),"AHU")</f>
        <v>AHU</v>
      </c>
      <c r="F239" s="3" t="str">
        <f>IFERROR(__xludf.DUMMYFUNCTION("""COMPUTED_VALUE"""),"Valve Drain Chiller AHU")</f>
        <v>Valve Drain Chiller AHU</v>
      </c>
      <c r="G239" s="3" t="str">
        <f>IFERROR(__xludf.DUMMYFUNCTION("""COMPUTED_VALUE"""),"Kitz 1/2"" ")</f>
        <v>Kitz 1/2" </v>
      </c>
      <c r="H239" s="3" t="str">
        <f>IFERROR(__xludf.DUMMYFUNCTION("""COMPUTED_VALUE"""),"Kitz")</f>
        <v>Kitz</v>
      </c>
      <c r="I239" s="3">
        <f>IFERROR(__xludf.DUMMYFUNCTION("""COMPUTED_VALUE"""),2.0)</f>
        <v>2</v>
      </c>
      <c r="J239" s="3" t="str">
        <f>IFERROR(__xludf.DUMMYFUNCTION("""COMPUTED_VALUE"""),"Pcs")</f>
        <v>Pcs</v>
      </c>
      <c r="K239" s="5" t="str">
        <f>IFERROR(__xludf.DUMMYFUNCTION("""COMPUTED_VALUE"""),"https://www.blibli.com/p/gate-valve-kitz-kuningan-1-2-inch/ps--TOB-70786-00834")</f>
        <v>https://www.blibli.com/p/gate-valve-kitz-kuningan-1-2-inch/ps--TOB-70786-00834</v>
      </c>
      <c r="L239" s="3" t="str">
        <f>IFERROR(__xludf.DUMMYFUNCTION("""COMPUTED_VALUE"""),"AHU FA BC perlu diganti")</f>
        <v>AHU FA BC perlu diganti</v>
      </c>
      <c r="M239" s="3" t="str">
        <f>IFERROR(__xludf.DUMMYFUNCTION("""COMPUTED_VALUE"""),"Approve")</f>
        <v>Approve</v>
      </c>
      <c r="N239" s="3" t="str">
        <f>IFERROR(__xludf.DUMMYFUNCTION("""COMPUTED_VALUE"""),"Normal")</f>
        <v>Normal</v>
      </c>
      <c r="O239" s="3" t="str">
        <f>IFERROR(__xludf.DUMMYFUNCTION("""COMPUTED_VALUE"""),"Non Urgent")</f>
        <v>Non Urgent</v>
      </c>
    </row>
    <row r="240">
      <c r="A240" s="4">
        <f>IFERROR(__xludf.DUMMYFUNCTION("""COMPUTED_VALUE"""),45840.39355422454)</f>
        <v>45840.39355</v>
      </c>
      <c r="B240" s="3" t="str">
        <f>IFERROR(__xludf.DUMMYFUNCTION("""COMPUTED_VALUE"""),"ANOBR0022")</f>
        <v>ANOBR0022</v>
      </c>
      <c r="C240" s="3" t="str">
        <f>IFERROR(__xludf.DUMMYFUNCTION("""COMPUTED_VALUE"""),"EJO")</f>
        <v>EJO</v>
      </c>
      <c r="D240" s="3" t="str">
        <f>IFERROR(__xludf.DUMMYFUNCTION("""COMPUTED_VALUE"""),"EJO/2025/06/05")</f>
        <v>EJO/2025/06/05</v>
      </c>
      <c r="E240" s="3" t="str">
        <f>IFERROR(__xludf.DUMMYFUNCTION("""COMPUTED_VALUE"""),"vacum pump general lab")</f>
        <v>vacum pump general lab</v>
      </c>
      <c r="F240" s="3" t="str">
        <f>IFERROR(__xludf.DUMMYFUNCTION("""COMPUTED_VALUE"""),"catridge filter vacuum pump")</f>
        <v>catridge filter vacuum pump</v>
      </c>
      <c r="G240" s="3" t="str">
        <f>IFERROR(__xludf.DUMMYFUNCTION("""COMPUTED_VALUE"""),"-")</f>
        <v>-</v>
      </c>
      <c r="H240" s="3" t="str">
        <f>IFERROR(__xludf.DUMMYFUNCTION("""COMPUTED_VALUE"""),"rocket")</f>
        <v>rocket</v>
      </c>
      <c r="I240" s="3">
        <f>IFERROR(__xludf.DUMMYFUNCTION("""COMPUTED_VALUE"""),2.0)</f>
        <v>2</v>
      </c>
      <c r="J240" s="3" t="str">
        <f>IFERROR(__xludf.DUMMYFUNCTION("""COMPUTED_VALUE"""),"Pcs")</f>
        <v>Pcs</v>
      </c>
      <c r="K240" s="3" t="str">
        <f>IFERROR(__xludf.DUMMYFUNCTION("""COMPUTED_VALUE"""),"-")</f>
        <v>-</v>
      </c>
      <c r="L240" s="3" t="str">
        <f>IFERROR(__xludf.DUMMYFUNCTION("""COMPUTED_VALUE"""),"keperluan mengganti catridge yang pecah (REJECT BY MFH KARENA TIDAK ADA ATTACHMENT DAN SPEK TIDAK JELAS)")</f>
        <v>keperluan mengganti catridge yang pecah (REJECT BY MFH KARENA TIDAK ADA ATTACHMENT DAN SPEK TIDAK JELAS)</v>
      </c>
      <c r="M240" s="3" t="str">
        <f>IFERROR(__xludf.DUMMYFUNCTION("""COMPUTED_VALUE"""),"Reject")</f>
        <v>Reject</v>
      </c>
      <c r="N240" s="3" t="str">
        <f>IFERROR(__xludf.DUMMYFUNCTION("""COMPUTED_VALUE"""),"Normal")</f>
        <v>Normal</v>
      </c>
      <c r="O240" s="3" t="str">
        <f>IFERROR(__xludf.DUMMYFUNCTION("""COMPUTED_VALUE"""),"Non Urgent")</f>
        <v>Non Urgent</v>
      </c>
    </row>
    <row r="241">
      <c r="A241" s="4">
        <f>IFERROR(__xludf.DUMMYFUNCTION("""COMPUTED_VALUE"""),45840.65523291666)</f>
        <v>45840.65523</v>
      </c>
      <c r="B241" s="3" t="str">
        <f>IFERROR(__xludf.DUMMYFUNCTION("""COMPUTED_VALUE"""),"INNBR0033")</f>
        <v>INNBR0033</v>
      </c>
      <c r="C241" s="3" t="str">
        <f>IFERROR(__xludf.DUMMYFUNCTION("""COMPUTED_VALUE"""),"EJO")</f>
        <v>EJO</v>
      </c>
      <c r="D241" s="3" t="str">
        <f>IFERROR(__xludf.DUMMYFUNCTION("""COMPUTED_VALUE"""),"EJO/2025/06/93")</f>
        <v>EJO/2025/06/93</v>
      </c>
      <c r="E241" s="3" t="str">
        <f>IFERROR(__xludf.DUMMYFUNCTION("""COMPUTED_VALUE"""),"Autoclave Service")</f>
        <v>Autoclave Service</v>
      </c>
      <c r="F241" s="3" t="str">
        <f>IFERROR(__xludf.DUMMYFUNCTION("""COMPUTED_VALUE"""),"Proximity sensor E2A-SO8KS02-M5-B1")</f>
        <v>Proximity sensor E2A-SO8KS02-M5-B1</v>
      </c>
      <c r="G241" s="3" t="str">
        <f>IFERROR(__xludf.DUMMYFUNCTION("""COMPUTED_VALUE"""),"-")</f>
        <v>-</v>
      </c>
      <c r="H241" s="3" t="str">
        <f>IFERROR(__xludf.DUMMYFUNCTION("""COMPUTED_VALUE"""),"Omron")</f>
        <v>Omron</v>
      </c>
      <c r="I241" s="3">
        <f>IFERROR(__xludf.DUMMYFUNCTION("""COMPUTED_VALUE"""),2.0)</f>
        <v>2</v>
      </c>
      <c r="J241" s="3" t="str">
        <f>IFERROR(__xludf.DUMMYFUNCTION("""COMPUTED_VALUE"""),"pcs")</f>
        <v>pcs</v>
      </c>
      <c r="K241" s="3" t="str">
        <f>IFERROR(__xludf.DUMMYFUNCTION("""COMPUTED_VALUE"""),"-")</f>
        <v>-</v>
      </c>
      <c r="L241" s="3" t="str">
        <f>IFERROR(__xludf.DUMMYFUNCTION("""COMPUTED_VALUE"""),"Sensor Pneumatik valve PO7")</f>
        <v>Sensor Pneumatik valve PO7</v>
      </c>
      <c r="M241" s="3" t="str">
        <f>IFERROR(__xludf.DUMMYFUNCTION("""COMPUTED_VALUE"""),"Approve")</f>
        <v>Approve</v>
      </c>
      <c r="N241" s="3" t="str">
        <f>IFERROR(__xludf.DUMMYFUNCTION("""COMPUTED_VALUE"""),"Normal")</f>
        <v>Normal</v>
      </c>
      <c r="O241" s="3" t="str">
        <f>IFERROR(__xludf.DUMMYFUNCTION("""COMPUTED_VALUE"""),"Non Urgent")</f>
        <v>Non Urgent</v>
      </c>
    </row>
    <row r="242">
      <c r="A242" s="4">
        <f>IFERROR(__xludf.DUMMYFUNCTION("""COMPUTED_VALUE"""),45841.40641902778)</f>
        <v>45841.40642</v>
      </c>
      <c r="B242" s="3" t="str">
        <f>IFERROR(__xludf.DUMMYFUNCTION("""COMPUTED_VALUE"""),"ANOBR0023")</f>
        <v>ANOBR0023</v>
      </c>
      <c r="C242" s="3" t="str">
        <f>IFERROR(__xludf.DUMMYFUNCTION("""COMPUTED_VALUE"""),"Consumable")</f>
        <v>Consumable</v>
      </c>
      <c r="D242" s="3" t="str">
        <f>IFERROR(__xludf.DUMMYFUNCTION("""COMPUTED_VALUE"""),"-")</f>
        <v>-</v>
      </c>
      <c r="E242" s="3" t="str">
        <f>IFERROR(__xludf.DUMMYFUNCTION("""COMPUTED_VALUE"""),"mesin las ")</f>
        <v>mesin las </v>
      </c>
      <c r="F242" s="3" t="str">
        <f>IFERROR(__xludf.DUMMYFUNCTION("""COMPUTED_VALUE"""),"elektroda ss 2.0 mm")</f>
        <v>elektroda ss 2.0 mm</v>
      </c>
      <c r="G242" s="3" t="str">
        <f>IFERROR(__xludf.DUMMYFUNCTION("""COMPUTED_VALUE"""),"elektroda ss 308,  2.0 mm")</f>
        <v>elektroda ss 308,  2.0 mm</v>
      </c>
      <c r="H242" s="3" t="str">
        <f>IFERROR(__xludf.DUMMYFUNCTION("""COMPUTED_VALUE"""),"nkko steel")</f>
        <v>nkko steel</v>
      </c>
      <c r="I242" s="3">
        <f>IFERROR(__xludf.DUMMYFUNCTION("""COMPUTED_VALUE"""),2.0)</f>
        <v>2</v>
      </c>
      <c r="J242" s="3" t="str">
        <f>IFERROR(__xludf.DUMMYFUNCTION("""COMPUTED_VALUE"""),"box")</f>
        <v>box</v>
      </c>
      <c r="K242" s="5" t="str">
        <f>IFERROR(__xludf.DUMMYFUNCTION("""COMPUTED_VALUE"""),"https://shopee.co.id/product/80262663/11669226864?gads_t_sig=VTJGc2RHVmtYMTlxTFVSVVRrdENkVzBLS2xuUGZzMlQ5NjlFWklmRkZjU1AvZHNQSXkwMzhhRTZYL2w5YUhCc2NVc3ZCd0JVTXoxWFNmZFo2cEZRVXl3aWhJWUgxMXZTMk5TR2QvV29FQ093K2xhYmhrY2FianF5bzNzRDhmdTE&amp;gad_source=1&amp;gad_campa"&amp;"ignid=22178753687&amp;gbraid=0AAAAADPpU83KnXLm_7hZs26_YvFWH7d_f&amp;gclid=CjwKCAjwsZPDBhBWEiwADuO6y3G5GRDYqSk1QpSAg_Uqa-ZqbaIV54eVLdbNN5k5HcQqkpuNMSMVPBoCfnwQAvD_BwE")</f>
        <v>https://shopee.co.id/product/80262663/11669226864?gads_t_sig=VTJGc2RHVmtYMTlxTFVSVVRrdENkVzBLS2xuUGZzMlQ5NjlFWklmRkZjU1AvZHNQSXkwMzhhRTZYL2w5YUhCc2NVc3ZCd0JVTXoxWFNmZFo2cEZRVXl3aWhJWUgxMXZTMk5TR2QvV29FQ093K2xhYmhrY2FianF5bzNzRDhmdTE&amp;gad_source=1&amp;gad_campaignid=22178753687&amp;gbraid=0AAAAADPpU83KnXLm_7hZs26_YvFWH7d_f&amp;gclid=CjwKCAjwsZPDBhBWEiwADuO6y3G5GRDYqSk1QpSAg_Uqa-ZqbaIV54eVLdbNN5k5HcQqkpuNMSMVPBoCfnwQAvD_BwE</v>
      </c>
      <c r="L242" s="3" t="str">
        <f>IFERROR(__xludf.DUMMYFUNCTION("""COMPUTED_VALUE"""),"untuk stock proses pengelasan")</f>
        <v>untuk stock proses pengelasan</v>
      </c>
      <c r="M242" s="3" t="str">
        <f>IFERROR(__xludf.DUMMYFUNCTION("""COMPUTED_VALUE"""),"Approve")</f>
        <v>Approve</v>
      </c>
      <c r="N242" s="3" t="str">
        <f>IFERROR(__xludf.DUMMYFUNCTION("""COMPUTED_VALUE"""),"Normal")</f>
        <v>Normal</v>
      </c>
      <c r="O242" s="3" t="str">
        <f>IFERROR(__xludf.DUMMYFUNCTION("""COMPUTED_VALUE"""),"Non Urgent")</f>
        <v>Non Urgent</v>
      </c>
    </row>
    <row r="243">
      <c r="A243" s="4">
        <f>IFERROR(__xludf.DUMMYFUNCTION("""COMPUTED_VALUE"""),45841.58838207176)</f>
        <v>45841.58838</v>
      </c>
      <c r="B243" s="3" t="str">
        <f>IFERROR(__xludf.DUMMYFUNCTION("""COMPUTED_VALUE"""),"MOBBR0031")</f>
        <v>MOBBR0031</v>
      </c>
      <c r="C243" s="3" t="str">
        <f>IFERROR(__xludf.DUMMYFUNCTION("""COMPUTED_VALUE"""),"EJO")</f>
        <v>EJO</v>
      </c>
      <c r="D243" s="3" t="str">
        <f>IFERROR(__xludf.DUMMYFUNCTION("""COMPUTED_VALUE"""),"EJO/2025/07/04")</f>
        <v>EJO/2025/07/04</v>
      </c>
      <c r="E243" s="3" t="str">
        <f>IFERROR(__xludf.DUMMYFUNCTION("""COMPUTED_VALUE"""),"Washbay Lt.1")</f>
        <v>Washbay Lt.1</v>
      </c>
      <c r="F243" s="3" t="str">
        <f>IFERROR(__xludf.DUMMYFUNCTION("""COMPUTED_VALUE"""),"Tanki NaOCL")</f>
        <v>Tanki NaOCL</v>
      </c>
      <c r="G243" s="3" t="str">
        <f>IFERROR(__xludf.DUMMYFUNCTION("""COMPUTED_VALUE"""),"316L")</f>
        <v>316L</v>
      </c>
      <c r="H243" s="3" t="str">
        <f>IFERROR(__xludf.DUMMYFUNCTION("""COMPUTED_VALUE"""),"By Vendor")</f>
        <v>By Vendor</v>
      </c>
      <c r="I243" s="3">
        <f>IFERROR(__xludf.DUMMYFUNCTION("""COMPUTED_VALUE"""),1.0)</f>
        <v>1</v>
      </c>
      <c r="J243" s="3" t="str">
        <f>IFERROR(__xludf.DUMMYFUNCTION("""COMPUTED_VALUE"""),"Lot")</f>
        <v>Lot</v>
      </c>
      <c r="K243" s="5" t="str">
        <f>IFERROR(__xludf.DUMMYFUNCTION("""COMPUTED_VALUE"""),"https://drive.google.com/drive/folders/16nNPAK_Kpq2W0kHLDM1XiYntl9v_HitU?usp=drive_link")</f>
        <v>https://drive.google.com/drive/folders/16nNPAK_Kpq2W0kHLDM1XiYntl9v_HitU?usp=drive_link</v>
      </c>
      <c r="L243" s="3" t="str">
        <f>IFERROR(__xludf.DUMMYFUNCTION("""COMPUTED_VALUE"""),"Penggantian Tanki NaOCL Washbay (REJECT KARENA PAKAI BUDGET PRODUKSI)")</f>
        <v>Penggantian Tanki NaOCL Washbay (REJECT KARENA PAKAI BUDGET PRODUKSI)</v>
      </c>
      <c r="M243" s="3" t="str">
        <f>IFERROR(__xludf.DUMMYFUNCTION("""COMPUTED_VALUE"""),"Reject")</f>
        <v>Reject</v>
      </c>
      <c r="N243" s="3" t="str">
        <f>IFERROR(__xludf.DUMMYFUNCTION("""COMPUTED_VALUE"""),"Normal")</f>
        <v>Normal</v>
      </c>
      <c r="O243" s="3" t="str">
        <f>IFERROR(__xludf.DUMMYFUNCTION("""COMPUTED_VALUE"""),"Non Urgent")</f>
        <v>Non Urgent</v>
      </c>
    </row>
    <row r="244">
      <c r="A244" s="4">
        <f>IFERROR(__xludf.DUMMYFUNCTION("""COMPUTED_VALUE"""),45842.86099738426)</f>
        <v>45842.861</v>
      </c>
      <c r="B244" s="3" t="str">
        <f>IFERROR(__xludf.DUMMYFUNCTION("""COMPUTED_VALUE"""),"AAABR0012")</f>
        <v>AAABR0012</v>
      </c>
      <c r="C244" s="3" t="str">
        <f>IFERROR(__xludf.DUMMYFUNCTION("""COMPUTED_VALUE"""),"EJO")</f>
        <v>EJO</v>
      </c>
      <c r="D244" s="3" t="str">
        <f>IFERROR(__xludf.DUMMYFUNCTION("""COMPUTED_VALUE"""),"EJO/2025/07/35")</f>
        <v>EJO/2025/07/35</v>
      </c>
      <c r="E244" s="3" t="str">
        <f>IFERROR(__xludf.DUMMYFUNCTION("""COMPUTED_VALUE"""),"Washing")</f>
        <v>Washing</v>
      </c>
      <c r="F244" s="3" t="str">
        <f>IFERROR(__xludf.DUMMYFUNCTION("""COMPUTED_VALUE"""),"EMERGENCY MODULE")</f>
        <v>EMERGENCY MODULE</v>
      </c>
      <c r="G244" s="3" t="str">
        <f>IFERROR(__xludf.DUMMYFUNCTION("""COMPUTED_VALUE"""),"Security and emergency relay PNOZX3 24V ACDC")</f>
        <v>Security and emergency relay PNOZX3 24V ACDC</v>
      </c>
      <c r="H244" s="3" t="str">
        <f>IFERROR(__xludf.DUMMYFUNCTION("""COMPUTED_VALUE"""),"PILZ")</f>
        <v>PILZ</v>
      </c>
      <c r="I244" s="3">
        <f>IFERROR(__xludf.DUMMYFUNCTION("""COMPUTED_VALUE"""),2.0)</f>
        <v>2</v>
      </c>
      <c r="J244" s="3" t="str">
        <f>IFERROR(__xludf.DUMMYFUNCTION("""COMPUTED_VALUE"""),"Set")</f>
        <v>Set</v>
      </c>
      <c r="K244" s="3" t="str">
        <f>IFERROR(__xludf.DUMMYFUNCTION("""COMPUTED_VALUE"""),"NA")</f>
        <v>NA</v>
      </c>
      <c r="L244" s="3" t="str">
        <f>IFERROR(__xludf.DUMMYFUNCTION("""COMPUTED_VALUE"""),"Needed Date : 04 Aug 25")</f>
        <v>Needed Date : 04 Aug 25</v>
      </c>
      <c r="M244" s="3" t="str">
        <f>IFERROR(__xludf.DUMMYFUNCTION("""COMPUTED_VALUE"""),"Approve")</f>
        <v>Approve</v>
      </c>
      <c r="N244" s="3" t="str">
        <f>IFERROR(__xludf.DUMMYFUNCTION("""COMPUTED_VALUE"""),"Normal")</f>
        <v>Normal</v>
      </c>
      <c r="O244" s="3" t="str">
        <f>IFERROR(__xludf.DUMMYFUNCTION("""COMPUTED_VALUE"""),"Non Urgent")</f>
        <v>Non Urgent</v>
      </c>
    </row>
    <row r="245">
      <c r="A245" s="4">
        <f>IFERROR(__xludf.DUMMYFUNCTION("""COMPUTED_VALUE"""),45842.86194228009)</f>
        <v>45842.86194</v>
      </c>
      <c r="B245" s="3" t="str">
        <f>IFERROR(__xludf.DUMMYFUNCTION("""COMPUTED_VALUE"""),"AAABR0013")</f>
        <v>AAABR0013</v>
      </c>
      <c r="C245" s="3" t="str">
        <f>IFERROR(__xludf.DUMMYFUNCTION("""COMPUTED_VALUE"""),"EJO")</f>
        <v>EJO</v>
      </c>
      <c r="D245" s="3" t="str">
        <f>IFERROR(__xludf.DUMMYFUNCTION("""COMPUTED_VALUE"""),"EJO/2025/07/35")</f>
        <v>EJO/2025/07/35</v>
      </c>
      <c r="E245" s="3" t="str">
        <f>IFERROR(__xludf.DUMMYFUNCTION("""COMPUTED_VALUE"""),"Washing")</f>
        <v>Washing</v>
      </c>
      <c r="F245" s="3" t="str">
        <f>IFERROR(__xludf.DUMMYFUNCTION("""COMPUTED_VALUE"""),"EMERGENCY STOP BUTTON")</f>
        <v>EMERGENCY STOP BUTTON</v>
      </c>
      <c r="G245" s="3" t="str">
        <f>IFERROR(__xludf.DUMMYFUNCTION("""COMPUTED_VALUE"""),"Emergency stop push button M22-PV ; Fixing adapter for button type M22-A ; Contact N.C.  M22-CK01
")</f>
        <v>Emergency stop push button M22-PV ; Fixing adapter for button type M22-A ; Contact N.C.  M22-CK01
</v>
      </c>
      <c r="H245" s="3" t="str">
        <f>IFERROR(__xludf.DUMMYFUNCTION("""COMPUTED_VALUE"""),"Moeller
")</f>
        <v>Moeller
</v>
      </c>
      <c r="I245" s="3">
        <f>IFERROR(__xludf.DUMMYFUNCTION("""COMPUTED_VALUE"""),1.0)</f>
        <v>1</v>
      </c>
      <c r="J245" s="3" t="str">
        <f>IFERROR(__xludf.DUMMYFUNCTION("""COMPUTED_VALUE"""),"Set")</f>
        <v>Set</v>
      </c>
      <c r="K245" s="3" t="str">
        <f>IFERROR(__xludf.DUMMYFUNCTION("""COMPUTED_VALUE"""),"NA")</f>
        <v>NA</v>
      </c>
      <c r="L245" s="3" t="str">
        <f>IFERROR(__xludf.DUMMYFUNCTION("""COMPUTED_VALUE"""),"Needed Date : 04 Aug 25")</f>
        <v>Needed Date : 04 Aug 25</v>
      </c>
      <c r="M245" s="3" t="str">
        <f>IFERROR(__xludf.DUMMYFUNCTION("""COMPUTED_VALUE"""),"Approve")</f>
        <v>Approve</v>
      </c>
      <c r="N245" s="3" t="str">
        <f>IFERROR(__xludf.DUMMYFUNCTION("""COMPUTED_VALUE"""),"Normal")</f>
        <v>Normal</v>
      </c>
      <c r="O245" s="3" t="str">
        <f>IFERROR(__xludf.DUMMYFUNCTION("""COMPUTED_VALUE"""),"Non Urgent")</f>
        <v>Non Urgent</v>
      </c>
    </row>
    <row r="246">
      <c r="A246" s="4">
        <f>IFERROR(__xludf.DUMMYFUNCTION("""COMPUTED_VALUE"""),45845.55516585648)</f>
        <v>45845.55517</v>
      </c>
      <c r="B246" s="3" t="str">
        <f>IFERROR(__xludf.DUMMYFUNCTION("""COMPUTED_VALUE"""),"MRNBR0024")</f>
        <v>MRNBR0024</v>
      </c>
      <c r="C246" s="3" t="str">
        <f>IFERROR(__xludf.DUMMYFUNCTION("""COMPUTED_VALUE"""),"Consumable")</f>
        <v>Consumable</v>
      </c>
      <c r="D246" s="3" t="str">
        <f>IFERROR(__xludf.DUMMYFUNCTION("""COMPUTED_VALUE"""),"-")</f>
        <v>-</v>
      </c>
      <c r="E246" s="3" t="str">
        <f>IFERROR(__xludf.DUMMYFUNCTION("""COMPUTED_VALUE"""),"AHU OSD")</f>
        <v>AHU OSD</v>
      </c>
      <c r="F246" s="3" t="str">
        <f>IFERROR(__xludf.DUMMYFUNCTION("""COMPUTED_VALUE"""),"Prefilter M-MNF")</f>
        <v>Prefilter M-MNF</v>
      </c>
      <c r="G246" s="3" t="str">
        <f>IFERROR(__xludf.DUMMYFUNCTION("""COMPUTED_VALUE"""),"595x595x46")</f>
        <v>595x595x46</v>
      </c>
      <c r="H246" s="3" t="str">
        <f>IFERROR(__xludf.DUMMYFUNCTION("""COMPUTED_VALUE"""),"Mayair")</f>
        <v>Mayair</v>
      </c>
      <c r="I246" s="3">
        <f>IFERROR(__xludf.DUMMYFUNCTION("""COMPUTED_VALUE"""),18.0)</f>
        <v>18</v>
      </c>
      <c r="J246" s="3" t="str">
        <f>IFERROR(__xludf.DUMMYFUNCTION("""COMPUTED_VALUE"""),"pcs")</f>
        <v>pcs</v>
      </c>
      <c r="K246" s="5" t="str">
        <f>IFERROR(__xludf.DUMMYFUNCTION("""COMPUTED_VALUE"""),"https://mayair.com.my/product/primary-filter-m-mnf/")</f>
        <v>https://mayair.com.my/product/primary-filter-m-mnf/</v>
      </c>
      <c r="L246" s="3" t="str">
        <f>IFERROR(__xludf.DUMMYFUNCTION("""COMPUTED_VALUE"""),"untuk AHU OSD E1-1")</f>
        <v>untuk AHU OSD E1-1</v>
      </c>
      <c r="M246" s="3" t="str">
        <f>IFERROR(__xludf.DUMMYFUNCTION("""COMPUTED_VALUE"""),"Reject")</f>
        <v>Reject</v>
      </c>
      <c r="N246" s="3" t="str">
        <f>IFERROR(__xludf.DUMMYFUNCTION("""COMPUTED_VALUE"""),"Normal")</f>
        <v>Normal</v>
      </c>
      <c r="O246" s="3" t="str">
        <f>IFERROR(__xludf.DUMMYFUNCTION("""COMPUTED_VALUE"""),"Non Urgent")</f>
        <v>Non Urgent</v>
      </c>
    </row>
    <row r="247">
      <c r="A247" s="4">
        <f>IFERROR(__xludf.DUMMYFUNCTION("""COMPUTED_VALUE"""),45845.5561737037)</f>
        <v>45845.55617</v>
      </c>
      <c r="B247" s="3" t="str">
        <f>IFERROR(__xludf.DUMMYFUNCTION("""COMPUTED_VALUE"""),"MRNBR0025")</f>
        <v>MRNBR0025</v>
      </c>
      <c r="C247" s="3" t="str">
        <f>IFERROR(__xludf.DUMMYFUNCTION("""COMPUTED_VALUE"""),"Consumable")</f>
        <v>Consumable</v>
      </c>
      <c r="D247" s="3" t="str">
        <f>IFERROR(__xludf.DUMMYFUNCTION("""COMPUTED_VALUE"""),"-")</f>
        <v>-</v>
      </c>
      <c r="E247" s="3" t="str">
        <f>IFERROR(__xludf.DUMMYFUNCTION("""COMPUTED_VALUE"""),"AHU OSD")</f>
        <v>AHU OSD</v>
      </c>
      <c r="F247" s="3" t="str">
        <f>IFERROR(__xludf.DUMMYFUNCTION("""COMPUTED_VALUE"""),"Prefilter M-MNF")</f>
        <v>Prefilter M-MNF</v>
      </c>
      <c r="G247" s="3" t="str">
        <f>IFERROR(__xludf.DUMMYFUNCTION("""COMPUTED_VALUE"""),"290x595x46")</f>
        <v>290x595x46</v>
      </c>
      <c r="H247" s="3" t="str">
        <f>IFERROR(__xludf.DUMMYFUNCTION("""COMPUTED_VALUE"""),"Mayair")</f>
        <v>Mayair</v>
      </c>
      <c r="I247" s="3">
        <f>IFERROR(__xludf.DUMMYFUNCTION("""COMPUTED_VALUE"""),6.0)</f>
        <v>6</v>
      </c>
      <c r="J247" s="3" t="str">
        <f>IFERROR(__xludf.DUMMYFUNCTION("""COMPUTED_VALUE"""),"pcs")</f>
        <v>pcs</v>
      </c>
      <c r="K247" s="5" t="str">
        <f>IFERROR(__xludf.DUMMYFUNCTION("""COMPUTED_VALUE"""),"https://mayair.com.my/product/primary-filter-m-mnf/")</f>
        <v>https://mayair.com.my/product/primary-filter-m-mnf/</v>
      </c>
      <c r="L247" s="3" t="str">
        <f>IFERROR(__xludf.DUMMYFUNCTION("""COMPUTED_VALUE"""),"untuk AHU OSD E1-1")</f>
        <v>untuk AHU OSD E1-1</v>
      </c>
      <c r="M247" s="3" t="str">
        <f>IFERROR(__xludf.DUMMYFUNCTION("""COMPUTED_VALUE"""),"Reject")</f>
        <v>Reject</v>
      </c>
      <c r="N247" s="3" t="str">
        <f>IFERROR(__xludf.DUMMYFUNCTION("""COMPUTED_VALUE"""),"Normal")</f>
        <v>Normal</v>
      </c>
      <c r="O247" s="3" t="str">
        <f>IFERROR(__xludf.DUMMYFUNCTION("""COMPUTED_VALUE"""),"Non Urgent")</f>
        <v>Non Urgent</v>
      </c>
    </row>
    <row r="248">
      <c r="A248" s="4">
        <f>IFERROR(__xludf.DUMMYFUNCTION("""COMPUTED_VALUE"""),45845.55694417824)</f>
        <v>45845.55694</v>
      </c>
      <c r="B248" s="3" t="str">
        <f>IFERROR(__xludf.DUMMYFUNCTION("""COMPUTED_VALUE"""),"MRNBR0026")</f>
        <v>MRNBR0026</v>
      </c>
      <c r="C248" s="3" t="str">
        <f>IFERROR(__xludf.DUMMYFUNCTION("""COMPUTED_VALUE"""),"Consumable")</f>
        <v>Consumable</v>
      </c>
      <c r="D248" s="3" t="str">
        <f>IFERROR(__xludf.DUMMYFUNCTION("""COMPUTED_VALUE"""),"-")</f>
        <v>-</v>
      </c>
      <c r="E248" s="3" t="str">
        <f>IFERROR(__xludf.DUMMYFUNCTION("""COMPUTED_VALUE"""),"AHU OSD")</f>
        <v>AHU OSD</v>
      </c>
      <c r="F248" s="3" t="str">
        <f>IFERROR(__xludf.DUMMYFUNCTION("""COMPUTED_VALUE"""),"Prefilter M-MNF")</f>
        <v>Prefilter M-MNF</v>
      </c>
      <c r="G248" s="3" t="str">
        <f>IFERROR(__xludf.DUMMYFUNCTION("""COMPUTED_VALUE"""),"493x493x46")</f>
        <v>493x493x46</v>
      </c>
      <c r="H248" s="3" t="str">
        <f>IFERROR(__xludf.DUMMYFUNCTION("""COMPUTED_VALUE"""),"Mayair")</f>
        <v>Mayair</v>
      </c>
      <c r="I248" s="3">
        <f>IFERROR(__xludf.DUMMYFUNCTION("""COMPUTED_VALUE"""),6.0)</f>
        <v>6</v>
      </c>
      <c r="J248" s="3" t="str">
        <f>IFERROR(__xludf.DUMMYFUNCTION("""COMPUTED_VALUE"""),"pcs")</f>
        <v>pcs</v>
      </c>
      <c r="K248" s="5" t="str">
        <f>IFERROR(__xludf.DUMMYFUNCTION("""COMPUTED_VALUE"""),"https://mayair.com.my/product/primary-filter-m-mnf/")</f>
        <v>https://mayair.com.my/product/primary-filter-m-mnf/</v>
      </c>
      <c r="L248" s="3" t="str">
        <f>IFERROR(__xludf.DUMMYFUNCTION("""COMPUTED_VALUE"""),"untuk AHU OSD E1-2")</f>
        <v>untuk AHU OSD E1-2</v>
      </c>
      <c r="M248" s="3" t="str">
        <f>IFERROR(__xludf.DUMMYFUNCTION("""COMPUTED_VALUE"""),"Reject")</f>
        <v>Reject</v>
      </c>
      <c r="N248" s="3" t="str">
        <f>IFERROR(__xludf.DUMMYFUNCTION("""COMPUTED_VALUE"""),"Normal")</f>
        <v>Normal</v>
      </c>
      <c r="O248" s="3" t="str">
        <f>IFERROR(__xludf.DUMMYFUNCTION("""COMPUTED_VALUE"""),"Non Urgent")</f>
        <v>Non Urgent</v>
      </c>
    </row>
    <row r="249">
      <c r="A249" s="4">
        <f>IFERROR(__xludf.DUMMYFUNCTION("""COMPUTED_VALUE"""),45845.55777835648)</f>
        <v>45845.55778</v>
      </c>
      <c r="B249" s="3" t="str">
        <f>IFERROR(__xludf.DUMMYFUNCTION("""COMPUTED_VALUE"""),"MRNBR0027")</f>
        <v>MRNBR0027</v>
      </c>
      <c r="C249" s="3" t="str">
        <f>IFERROR(__xludf.DUMMYFUNCTION("""COMPUTED_VALUE"""),"Consumable")</f>
        <v>Consumable</v>
      </c>
      <c r="D249" s="3" t="str">
        <f>IFERROR(__xludf.DUMMYFUNCTION("""COMPUTED_VALUE"""),"-")</f>
        <v>-</v>
      </c>
      <c r="E249" s="3" t="str">
        <f>IFERROR(__xludf.DUMMYFUNCTION("""COMPUTED_VALUE"""),"AHU OSD")</f>
        <v>AHU OSD</v>
      </c>
      <c r="F249" s="3" t="str">
        <f>IFERROR(__xludf.DUMMYFUNCTION("""COMPUTED_VALUE"""),"Prefilter M-MNF")</f>
        <v>Prefilter M-MNF</v>
      </c>
      <c r="G249" s="3" t="str">
        <f>IFERROR(__xludf.DUMMYFUNCTION("""COMPUTED_VALUE"""),"493x595x46")</f>
        <v>493x595x46</v>
      </c>
      <c r="H249" s="3" t="str">
        <f>IFERROR(__xludf.DUMMYFUNCTION("""COMPUTED_VALUE"""),"Mayair")</f>
        <v>Mayair</v>
      </c>
      <c r="I249" s="3">
        <f>IFERROR(__xludf.DUMMYFUNCTION("""COMPUTED_VALUE"""),6.0)</f>
        <v>6</v>
      </c>
      <c r="J249" s="3" t="str">
        <f>IFERROR(__xludf.DUMMYFUNCTION("""COMPUTED_VALUE"""),"pcs")</f>
        <v>pcs</v>
      </c>
      <c r="K249" s="5" t="str">
        <f>IFERROR(__xludf.DUMMYFUNCTION("""COMPUTED_VALUE"""),"https://mayair.com.my/product/primary-filter-m-mnf/")</f>
        <v>https://mayair.com.my/product/primary-filter-m-mnf/</v>
      </c>
      <c r="L249" s="3" t="str">
        <f>IFERROR(__xludf.DUMMYFUNCTION("""COMPUTED_VALUE"""),"untuk AHU OSD E1-2")</f>
        <v>untuk AHU OSD E1-2</v>
      </c>
      <c r="M249" s="3" t="str">
        <f>IFERROR(__xludf.DUMMYFUNCTION("""COMPUTED_VALUE"""),"Reject")</f>
        <v>Reject</v>
      </c>
      <c r="N249" s="3" t="str">
        <f>IFERROR(__xludf.DUMMYFUNCTION("""COMPUTED_VALUE"""),"Normal")</f>
        <v>Normal</v>
      </c>
      <c r="O249" s="3" t="str">
        <f>IFERROR(__xludf.DUMMYFUNCTION("""COMPUTED_VALUE"""),"Non Urgent")</f>
        <v>Non Urgent</v>
      </c>
    </row>
    <row r="250">
      <c r="A250" s="4">
        <f>IFERROR(__xludf.DUMMYFUNCTION("""COMPUTED_VALUE"""),45845.558436238425)</f>
        <v>45845.55844</v>
      </c>
      <c r="B250" s="3" t="str">
        <f>IFERROR(__xludf.DUMMYFUNCTION("""COMPUTED_VALUE"""),"MRNBR0028")</f>
        <v>MRNBR0028</v>
      </c>
      <c r="C250" s="3" t="str">
        <f>IFERROR(__xludf.DUMMYFUNCTION("""COMPUTED_VALUE"""),"Consumable")</f>
        <v>Consumable</v>
      </c>
      <c r="D250" s="3" t="str">
        <f>IFERROR(__xludf.DUMMYFUNCTION("""COMPUTED_VALUE"""),"-")</f>
        <v>-</v>
      </c>
      <c r="E250" s="3" t="str">
        <f>IFERROR(__xludf.DUMMYFUNCTION("""COMPUTED_VALUE"""),"AHU OSD")</f>
        <v>AHU OSD</v>
      </c>
      <c r="F250" s="3" t="str">
        <f>IFERROR(__xludf.DUMMYFUNCTION("""COMPUTED_VALUE"""),"Prefilter M-MNF")</f>
        <v>Prefilter M-MNF</v>
      </c>
      <c r="G250" s="3" t="str">
        <f>IFERROR(__xludf.DUMMYFUNCTION("""COMPUTED_VALUE"""),"290x493x46")</f>
        <v>290x493x46</v>
      </c>
      <c r="H250" s="3" t="str">
        <f>IFERROR(__xludf.DUMMYFUNCTION("""COMPUTED_VALUE"""),"Mayair")</f>
        <v>Mayair</v>
      </c>
      <c r="I250" s="3">
        <f>IFERROR(__xludf.DUMMYFUNCTION("""COMPUTED_VALUE"""),6.0)</f>
        <v>6</v>
      </c>
      <c r="J250" s="3" t="str">
        <f>IFERROR(__xludf.DUMMYFUNCTION("""COMPUTED_VALUE"""),"pcs")</f>
        <v>pcs</v>
      </c>
      <c r="K250" s="5" t="str">
        <f>IFERROR(__xludf.DUMMYFUNCTION("""COMPUTED_VALUE"""),"https://mayair.com.my/product/primary-filter-m-mnf/")</f>
        <v>https://mayair.com.my/product/primary-filter-m-mnf/</v>
      </c>
      <c r="L250" s="3" t="str">
        <f>IFERROR(__xludf.DUMMYFUNCTION("""COMPUTED_VALUE"""),"untuk AHU OSD CNC1-1")</f>
        <v>untuk AHU OSD CNC1-1</v>
      </c>
      <c r="M250" s="3" t="str">
        <f>IFERROR(__xludf.DUMMYFUNCTION("""COMPUTED_VALUE"""),"Reject")</f>
        <v>Reject</v>
      </c>
      <c r="N250" s="3" t="str">
        <f>IFERROR(__xludf.DUMMYFUNCTION("""COMPUTED_VALUE"""),"Normal")</f>
        <v>Normal</v>
      </c>
      <c r="O250" s="3" t="str">
        <f>IFERROR(__xludf.DUMMYFUNCTION("""COMPUTED_VALUE"""),"Non Urgent")</f>
        <v>Non Urgent</v>
      </c>
    </row>
    <row r="251">
      <c r="A251" s="4">
        <f>IFERROR(__xludf.DUMMYFUNCTION("""COMPUTED_VALUE"""),45845.55918340278)</f>
        <v>45845.55918</v>
      </c>
      <c r="B251" s="3" t="str">
        <f>IFERROR(__xludf.DUMMYFUNCTION("""COMPUTED_VALUE"""),"MRNBR0029")</f>
        <v>MRNBR0029</v>
      </c>
      <c r="C251" s="3" t="str">
        <f>IFERROR(__xludf.DUMMYFUNCTION("""COMPUTED_VALUE"""),"Consumable")</f>
        <v>Consumable</v>
      </c>
      <c r="D251" s="3" t="str">
        <f>IFERROR(__xludf.DUMMYFUNCTION("""COMPUTED_VALUE"""),"-")</f>
        <v>-</v>
      </c>
      <c r="E251" s="3" t="str">
        <f>IFERROR(__xludf.DUMMYFUNCTION("""COMPUTED_VALUE"""),"AHU OSD")</f>
        <v>AHU OSD</v>
      </c>
      <c r="F251" s="3" t="str">
        <f>IFERROR(__xludf.DUMMYFUNCTION("""COMPUTED_VALUE"""),"Prefilter M-MNF")</f>
        <v>Prefilter M-MNF</v>
      </c>
      <c r="G251" s="3" t="str">
        <f>IFERROR(__xludf.DUMMYFUNCTION("""COMPUTED_VALUE"""),"493x595x46")</f>
        <v>493x595x46</v>
      </c>
      <c r="H251" s="3" t="str">
        <f>IFERROR(__xludf.DUMMYFUNCTION("""COMPUTED_VALUE"""),"Mayair")</f>
        <v>Mayair</v>
      </c>
      <c r="I251" s="3">
        <f>IFERROR(__xludf.DUMMYFUNCTION("""COMPUTED_VALUE"""),6.0)</f>
        <v>6</v>
      </c>
      <c r="J251" s="3" t="str">
        <f>IFERROR(__xludf.DUMMYFUNCTION("""COMPUTED_VALUE"""),"pcs")</f>
        <v>pcs</v>
      </c>
      <c r="K251" s="5" t="str">
        <f>IFERROR(__xludf.DUMMYFUNCTION("""COMPUTED_VALUE"""),"https://mayair.com.my/product/primary-filter-m-mnf/")</f>
        <v>https://mayair.com.my/product/primary-filter-m-mnf/</v>
      </c>
      <c r="L251" s="3" t="str">
        <f>IFERROR(__xludf.DUMMYFUNCTION("""COMPUTED_VALUE"""),"untuk AHU OSD CNC1-1")</f>
        <v>untuk AHU OSD CNC1-1</v>
      </c>
      <c r="M251" s="3" t="str">
        <f>IFERROR(__xludf.DUMMYFUNCTION("""COMPUTED_VALUE"""),"Reject")</f>
        <v>Reject</v>
      </c>
      <c r="N251" s="3" t="str">
        <f>IFERROR(__xludf.DUMMYFUNCTION("""COMPUTED_VALUE"""),"Normal")</f>
        <v>Normal</v>
      </c>
      <c r="O251" s="3" t="str">
        <f>IFERROR(__xludf.DUMMYFUNCTION("""COMPUTED_VALUE"""),"Non Urgent")</f>
        <v>Non Urgent</v>
      </c>
    </row>
    <row r="252">
      <c r="A252" s="4">
        <f>IFERROR(__xludf.DUMMYFUNCTION("""COMPUTED_VALUE"""),45845.65731412037)</f>
        <v>45845.65731</v>
      </c>
      <c r="B252" s="3" t="str">
        <f>IFERROR(__xludf.DUMMYFUNCTION("""COMPUTED_VALUE"""),"NDSBR0015")</f>
        <v>NDSBR0015</v>
      </c>
      <c r="C252" s="3" t="str">
        <f>IFERROR(__xludf.DUMMYFUNCTION("""COMPUTED_VALUE"""),"EJO")</f>
        <v>EJO</v>
      </c>
      <c r="D252" s="3" t="str">
        <f>IFERROR(__xludf.DUMMYFUNCTION("""COMPUTED_VALUE"""),"EJO/2025/06/32")</f>
        <v>EJO/2025/06/32</v>
      </c>
      <c r="E252" s="3" t="str">
        <f>IFERROR(__xludf.DUMMYFUNCTION("""COMPUTED_VALUE"""),"Drum Loading Chamber")</f>
        <v>Drum Loading Chamber</v>
      </c>
      <c r="F252" s="3" t="str">
        <f>IFERROR(__xludf.DUMMYFUNCTION("""COMPUTED_VALUE"""),"Hidrolik")</f>
        <v>Hidrolik</v>
      </c>
      <c r="G252" s="3" t="str">
        <f>IFERROR(__xludf.DUMMYFUNCTION("""COMPUTED_VALUE"""),"-")</f>
        <v>-</v>
      </c>
      <c r="H252" s="3" t="str">
        <f>IFERROR(__xludf.DUMMYFUNCTION("""COMPUTED_VALUE"""),"-")</f>
        <v>-</v>
      </c>
      <c r="I252" s="3">
        <f>IFERROR(__xludf.DUMMYFUNCTION("""COMPUTED_VALUE"""),1.0)</f>
        <v>1</v>
      </c>
      <c r="J252" s="3" t="str">
        <f>IFERROR(__xludf.DUMMYFUNCTION("""COMPUTED_VALUE"""),"PCS")</f>
        <v>PCS</v>
      </c>
      <c r="K252" s="5" t="str">
        <f>IFERROR(__xludf.DUMMYFUNCTION("""COMPUTED_VALUE"""),"https://drive.google.com/drive/folders/1LWaP04hqwk4k9V79g4hF7TzxS_dMQr5R?usp=sharing")</f>
        <v>https://drive.google.com/drive/folders/1LWaP04hqwk4k9V79g4hF7TzxS_dMQr5R?usp=sharing</v>
      </c>
      <c r="L252" s="3" t="str">
        <f>IFERROR(__xludf.DUMMYFUNCTION("""COMPUTED_VALUE"""),"-")</f>
        <v>-</v>
      </c>
      <c r="M252" s="3" t="str">
        <f>IFERROR(__xludf.DUMMYFUNCTION("""COMPUTED_VALUE"""),"Reject")</f>
        <v>Reject</v>
      </c>
      <c r="N252" s="3" t="str">
        <f>IFERROR(__xludf.DUMMYFUNCTION("""COMPUTED_VALUE"""),"Normal")</f>
        <v>Normal</v>
      </c>
      <c r="O252" s="3" t="str">
        <f>IFERROR(__xludf.DUMMYFUNCTION("""COMPUTED_VALUE"""),"Non Urgent")</f>
        <v>Non Urgent</v>
      </c>
    </row>
    <row r="253">
      <c r="A253" s="4">
        <f>IFERROR(__xludf.DUMMYFUNCTION("""COMPUTED_VALUE"""),45846.65168865741)</f>
        <v>45846.65169</v>
      </c>
      <c r="B253" s="3" t="str">
        <f>IFERROR(__xludf.DUMMYFUNCTION("""COMPUTED_VALUE"""),"NDSBR0016")</f>
        <v>NDSBR0016</v>
      </c>
      <c r="C253" s="3" t="str">
        <f>IFERROR(__xludf.DUMMYFUNCTION("""COMPUTED_VALUE"""),"EJO")</f>
        <v>EJO</v>
      </c>
      <c r="D253" s="3" t="str">
        <f>IFERROR(__xludf.DUMMYFUNCTION("""COMPUTED_VALUE"""),"EJO/2025/06/32")</f>
        <v>EJO/2025/06/32</v>
      </c>
      <c r="E253" s="3" t="str">
        <f>IFERROR(__xludf.DUMMYFUNCTION("""COMPUTED_VALUE"""),"Drum Loading Chamber")</f>
        <v>Drum Loading Chamber</v>
      </c>
      <c r="F253" s="3" t="str">
        <f>IFERROR(__xludf.DUMMYFUNCTION("""COMPUTED_VALUE"""),"Cyilinder")</f>
        <v>Cyilinder</v>
      </c>
      <c r="G253" s="3" t="str">
        <f>IFERROR(__xludf.DUMMYFUNCTION("""COMPUTED_VALUE"""),"300N")</f>
        <v>300N</v>
      </c>
      <c r="H253" s="3" t="str">
        <f>IFERROR(__xludf.DUMMYFUNCTION("""COMPUTED_VALUE"""),"-")</f>
        <v>-</v>
      </c>
      <c r="I253" s="3">
        <f>IFERROR(__xludf.DUMMYFUNCTION("""COMPUTED_VALUE"""),4.0)</f>
        <v>4</v>
      </c>
      <c r="J253" s="3" t="str">
        <f>IFERROR(__xludf.DUMMYFUNCTION("""COMPUTED_VALUE"""),"PCS")</f>
        <v>PCS</v>
      </c>
      <c r="K253" s="5" t="str">
        <f>IFERROR(__xludf.DUMMYFUNCTION("""COMPUTED_VALUE"""),"https://drive.google.com/drive/folders/1LWaP04hqwk4k9V79g4hF7TzxS_dMQr5R?usp=sharing")</f>
        <v>https://drive.google.com/drive/folders/1LWaP04hqwk4k9V79g4hF7TzxS_dMQr5R?usp=sharing</v>
      </c>
      <c r="L253" s="3" t="str">
        <f>IFERROR(__xludf.DUMMYFUNCTION("""COMPUTED_VALUE"""),"REJECT BY MFH, TIDAK ADA YANG BISA SUPPLY, TOLONG CARI YANG UMUM SAJA")</f>
        <v>REJECT BY MFH, TIDAK ADA YANG BISA SUPPLY, TOLONG CARI YANG UMUM SAJA</v>
      </c>
      <c r="M253" s="3" t="str">
        <f>IFERROR(__xludf.DUMMYFUNCTION("""COMPUTED_VALUE"""),"Reject")</f>
        <v>Reject</v>
      </c>
      <c r="N253" s="3" t="str">
        <f>IFERROR(__xludf.DUMMYFUNCTION("""COMPUTED_VALUE"""),"Normal")</f>
        <v>Normal</v>
      </c>
      <c r="O253" s="3" t="str">
        <f>IFERROR(__xludf.DUMMYFUNCTION("""COMPUTED_VALUE"""),"Non Urgent")</f>
        <v>Non Urgent</v>
      </c>
    </row>
    <row r="254">
      <c r="A254" s="4">
        <f>IFERROR(__xludf.DUMMYFUNCTION("""COMPUTED_VALUE"""),45846.66374609953)</f>
        <v>45846.66375</v>
      </c>
      <c r="B254" s="3" t="str">
        <f>IFERROR(__xludf.DUMMYFUNCTION("""COMPUTED_VALUE"""),"ANOBR0024")</f>
        <v>ANOBR0024</v>
      </c>
      <c r="C254" s="3" t="str">
        <f>IFERROR(__xludf.DUMMYFUNCTION("""COMPUTED_VALUE"""),"Consumable")</f>
        <v>Consumable</v>
      </c>
      <c r="D254" s="3" t="str">
        <f>IFERROR(__xludf.DUMMYFUNCTION("""COMPUTED_VALUE"""),"-")</f>
        <v>-</v>
      </c>
      <c r="E254" s="3" t="str">
        <f>IFERROR(__xludf.DUMMYFUNCTION("""COMPUTED_VALUE"""),"Blistering")</f>
        <v>Blistering</v>
      </c>
      <c r="F254" s="3" t="str">
        <f>IFERROR(__xludf.DUMMYFUNCTION("""COMPUTED_VALUE"""),"Rod And Bearing")</f>
        <v>Rod And Bearing</v>
      </c>
      <c r="G254" s="3" t="str">
        <f>IFERROR(__xludf.DUMMYFUNCTION("""COMPUTED_VALUE"""),"Rod and bearing POS10LA  ulir kanan")</f>
        <v>Rod and bearing POS10LA  ulir kanan</v>
      </c>
      <c r="H254" s="3" t="str">
        <f>IFERROR(__xludf.DUMMYFUNCTION("""COMPUTED_VALUE"""),"-")</f>
        <v>-</v>
      </c>
      <c r="I254" s="3">
        <f>IFERROR(__xludf.DUMMYFUNCTION("""COMPUTED_VALUE"""),1.0)</f>
        <v>1</v>
      </c>
      <c r="J254" s="3" t="str">
        <f>IFERROR(__xludf.DUMMYFUNCTION("""COMPUTED_VALUE"""),"Pcs")</f>
        <v>Pcs</v>
      </c>
      <c r="K254" s="5" t="str">
        <f>IFERROR(__xludf.DUMMYFUNCTION("""COMPUTED_VALUE"""),"https://www.tokopedia.com/tngindustrial/pos-10-pos10-rod-end-bearing-d6e4")</f>
        <v>https://www.tokopedia.com/tngindustrial/pos-10-pos10-rod-end-bearing-d6e4</v>
      </c>
      <c r="L254" s="3" t="str">
        <f>IFERROR(__xludf.DUMMYFUNCTION("""COMPUTED_VALUE"""),"untuk stock penggantian jika ada problem")</f>
        <v>untuk stock penggantian jika ada problem</v>
      </c>
      <c r="M254" s="3" t="str">
        <f>IFERROR(__xludf.DUMMYFUNCTION("""COMPUTED_VALUE"""),"Approve")</f>
        <v>Approve</v>
      </c>
      <c r="N254" s="3" t="str">
        <f>IFERROR(__xludf.DUMMYFUNCTION("""COMPUTED_VALUE"""),"Normal")</f>
        <v>Normal</v>
      </c>
      <c r="O254" s="3" t="str">
        <f>IFERROR(__xludf.DUMMYFUNCTION("""COMPUTED_VALUE"""),"Non Urgent")</f>
        <v>Non Urgent</v>
      </c>
    </row>
    <row r="255">
      <c r="A255" s="4">
        <f>IFERROR(__xludf.DUMMYFUNCTION("""COMPUTED_VALUE"""),45846.666147662036)</f>
        <v>45846.66615</v>
      </c>
      <c r="B255" s="3" t="str">
        <f>IFERROR(__xludf.DUMMYFUNCTION("""COMPUTED_VALUE"""),"ANOBR0025")</f>
        <v>ANOBR0025</v>
      </c>
      <c r="C255" s="3" t="str">
        <f>IFERROR(__xludf.DUMMYFUNCTION("""COMPUTED_VALUE"""),"Consumable")</f>
        <v>Consumable</v>
      </c>
      <c r="D255" s="3" t="str">
        <f>IFERROR(__xludf.DUMMYFUNCTION("""COMPUTED_VALUE"""),"-")</f>
        <v>-</v>
      </c>
      <c r="E255" s="3" t="str">
        <f>IFERROR(__xludf.DUMMYFUNCTION("""COMPUTED_VALUE"""),"Blistering")</f>
        <v>Blistering</v>
      </c>
      <c r="F255" s="3" t="str">
        <f>IFERROR(__xludf.DUMMYFUNCTION("""COMPUTED_VALUE"""),"Rod And Bearing")</f>
        <v>Rod And Bearing</v>
      </c>
      <c r="G255" s="3" t="str">
        <f>IFERROR(__xludf.DUMMYFUNCTION("""COMPUTED_VALUE"""),"Rod and bearing POS10LA  ulir kiri")</f>
        <v>Rod and bearing POS10LA  ulir kiri</v>
      </c>
      <c r="H255" s="3" t="str">
        <f>IFERROR(__xludf.DUMMYFUNCTION("""COMPUTED_VALUE"""),"-")</f>
        <v>-</v>
      </c>
      <c r="I255" s="3">
        <f>IFERROR(__xludf.DUMMYFUNCTION("""COMPUTED_VALUE"""),1.0)</f>
        <v>1</v>
      </c>
      <c r="J255" s="3" t="str">
        <f>IFERROR(__xludf.DUMMYFUNCTION("""COMPUTED_VALUE"""),"Pcs")</f>
        <v>Pcs</v>
      </c>
      <c r="K255" s="5" t="str">
        <f>IFERROR(__xludf.DUMMYFUNCTION("""COMPUTED_VALUE"""),"https://www.tokopedia.com/tngindustrial/pos-10-pos10-rod-end-bearing-d6e4")</f>
        <v>https://www.tokopedia.com/tngindustrial/pos-10-pos10-rod-end-bearing-d6e4</v>
      </c>
      <c r="L255" s="3" t="str">
        <f>IFERROR(__xludf.DUMMYFUNCTION("""COMPUTED_VALUE"""),"untuk stock penggantian jika ada problem")</f>
        <v>untuk stock penggantian jika ada problem</v>
      </c>
      <c r="M255" s="3" t="str">
        <f>IFERROR(__xludf.DUMMYFUNCTION("""COMPUTED_VALUE"""),"Approve")</f>
        <v>Approve</v>
      </c>
      <c r="N255" s="3" t="str">
        <f>IFERROR(__xludf.DUMMYFUNCTION("""COMPUTED_VALUE"""),"Normal")</f>
        <v>Normal</v>
      </c>
      <c r="O255" s="3" t="str">
        <f>IFERROR(__xludf.DUMMYFUNCTION("""COMPUTED_VALUE"""),"Non Urgent")</f>
        <v>Non Urgent</v>
      </c>
    </row>
    <row r="256">
      <c r="A256" s="4">
        <f>IFERROR(__xludf.DUMMYFUNCTION("""COMPUTED_VALUE"""),45848.135704988425)</f>
        <v>45848.1357</v>
      </c>
      <c r="B256" s="3" t="str">
        <f>IFERROR(__xludf.DUMMYFUNCTION("""COMPUTED_VALUE"""),"INNBR0034")</f>
        <v>INNBR0034</v>
      </c>
      <c r="C256" s="3" t="str">
        <f>IFERROR(__xludf.DUMMYFUNCTION("""COMPUTED_VALUE"""),"EJO")</f>
        <v>EJO</v>
      </c>
      <c r="D256" s="3" t="str">
        <f>IFERROR(__xludf.DUMMYFUNCTION("""COMPUTED_VALUE"""),"EJO/2025/07/60")</f>
        <v>EJO/2025/07/60</v>
      </c>
      <c r="E256" s="3" t="str">
        <f>IFERROR(__xludf.DUMMYFUNCTION("""COMPUTED_VALUE"""),"Labeling")</f>
        <v>Labeling</v>
      </c>
      <c r="F256" s="3" t="str">
        <f>IFERROR(__xludf.DUMMYFUNCTION("""COMPUTED_VALUE"""),"Amplifier - BF3RX Autonic")</f>
        <v>Amplifier - BF3RX Autonic</v>
      </c>
      <c r="G256" s="3" t="str">
        <f>IFERROR(__xludf.DUMMYFUNCTION("""COMPUTED_VALUE"""),"Sesuai penawaran")</f>
        <v>Sesuai penawaran</v>
      </c>
      <c r="H256" s="3" t="str">
        <f>IFERROR(__xludf.DUMMYFUNCTION("""COMPUTED_VALUE"""),"Autonic")</f>
        <v>Autonic</v>
      </c>
      <c r="I256" s="3">
        <f>IFERROR(__xludf.DUMMYFUNCTION("""COMPUTED_VALUE"""),2.0)</f>
        <v>2</v>
      </c>
      <c r="J256" s="3" t="str">
        <f>IFERROR(__xludf.DUMMYFUNCTION("""COMPUTED_VALUE"""),"pcs")</f>
        <v>pcs</v>
      </c>
      <c r="K256" s="5" t="str">
        <f>IFERROR(__xludf.DUMMYFUNCTION("""COMPUTED_VALUE"""),"https://drive.google.com/file/d/1595nqTfGnZ3sgnxhGWvcEEMdxSHhKn4Q/view?usp=drive_link")</f>
        <v>https://drive.google.com/file/d/1595nqTfGnZ3sgnxhGWvcEEMdxSHhKn4Q/view?usp=drive_link</v>
      </c>
      <c r="L256" s="3" t="str">
        <f>IFERROR(__xludf.DUMMYFUNCTION("""COMPUTED_VALUE"""),"Untuk sensor vial")</f>
        <v>Untuk sensor vial</v>
      </c>
      <c r="M256" s="3" t="str">
        <f>IFERROR(__xludf.DUMMYFUNCTION("""COMPUTED_VALUE"""),"Approve")</f>
        <v>Approve</v>
      </c>
      <c r="N256" s="3" t="str">
        <f>IFERROR(__xludf.DUMMYFUNCTION("""COMPUTED_VALUE"""),"Normal")</f>
        <v>Normal</v>
      </c>
      <c r="O256" s="3" t="str">
        <f>IFERROR(__xludf.DUMMYFUNCTION("""COMPUTED_VALUE"""),"Non Urgent")</f>
        <v>Non Urgent</v>
      </c>
    </row>
    <row r="257">
      <c r="A257" s="4">
        <f>IFERROR(__xludf.DUMMYFUNCTION("""COMPUTED_VALUE"""),45848.13584340278)</f>
        <v>45848.13584</v>
      </c>
      <c r="B257" s="3" t="str">
        <f>IFERROR(__xludf.DUMMYFUNCTION("""COMPUTED_VALUE"""),"INNBR0035")</f>
        <v>INNBR0035</v>
      </c>
      <c r="C257" s="3" t="str">
        <f>IFERROR(__xludf.DUMMYFUNCTION("""COMPUTED_VALUE"""),"EJO")</f>
        <v>EJO</v>
      </c>
      <c r="D257" s="3" t="str">
        <f>IFERROR(__xludf.DUMMYFUNCTION("""COMPUTED_VALUE"""),"EJO/2025/07/60")</f>
        <v>EJO/2025/07/60</v>
      </c>
      <c r="E257" s="3" t="str">
        <f>IFERROR(__xludf.DUMMYFUNCTION("""COMPUTED_VALUE"""),"Labeling")</f>
        <v>Labeling</v>
      </c>
      <c r="F257" s="3" t="str">
        <f>IFERROR(__xludf.DUMMYFUNCTION("""COMPUTED_VALUE"""),"Fiber optic - FD-620-10 Autonic")</f>
        <v>Fiber optic - FD-620-10 Autonic</v>
      </c>
      <c r="G257" s="3" t="str">
        <f>IFERROR(__xludf.DUMMYFUNCTION("""COMPUTED_VALUE"""),"Sesuai penawaran")</f>
        <v>Sesuai penawaran</v>
      </c>
      <c r="H257" s="3" t="str">
        <f>IFERROR(__xludf.DUMMYFUNCTION("""COMPUTED_VALUE"""),"Autonic")</f>
        <v>Autonic</v>
      </c>
      <c r="I257" s="3">
        <f>IFERROR(__xludf.DUMMYFUNCTION("""COMPUTED_VALUE"""),2.0)</f>
        <v>2</v>
      </c>
      <c r="J257" s="3" t="str">
        <f>IFERROR(__xludf.DUMMYFUNCTION("""COMPUTED_VALUE"""),"pcs")</f>
        <v>pcs</v>
      </c>
      <c r="K257" s="5" t="str">
        <f>IFERROR(__xludf.DUMMYFUNCTION("""COMPUTED_VALUE"""),"https://drive.google.com/file/d/1595nqTfGnZ3sgnxhGWvcEEMdxSHhKn4Q/view?usp=drive_link")</f>
        <v>https://drive.google.com/file/d/1595nqTfGnZ3sgnxhGWvcEEMdxSHhKn4Q/view?usp=drive_link</v>
      </c>
      <c r="L257" s="3" t="str">
        <f>IFERROR(__xludf.DUMMYFUNCTION("""COMPUTED_VALUE"""),"Untuk sensor vial")</f>
        <v>Untuk sensor vial</v>
      </c>
      <c r="M257" s="3" t="str">
        <f>IFERROR(__xludf.DUMMYFUNCTION("""COMPUTED_VALUE"""),"Approve")</f>
        <v>Approve</v>
      </c>
      <c r="N257" s="3" t="str">
        <f>IFERROR(__xludf.DUMMYFUNCTION("""COMPUTED_VALUE"""),"Normal")</f>
        <v>Normal</v>
      </c>
      <c r="O257" s="3" t="str">
        <f>IFERROR(__xludf.DUMMYFUNCTION("""COMPUTED_VALUE"""),"Non Urgent")</f>
        <v>Non Urgent</v>
      </c>
    </row>
    <row r="258">
      <c r="A258" s="4">
        <f>IFERROR(__xludf.DUMMYFUNCTION("""COMPUTED_VALUE"""),45849.66173594907)</f>
        <v>45849.66174</v>
      </c>
      <c r="B258" s="3" t="str">
        <f>IFERROR(__xludf.DUMMYFUNCTION("""COMPUTED_VALUE"""),"NDSBR0017")</f>
        <v>NDSBR0017</v>
      </c>
      <c r="C258" s="3" t="str">
        <f>IFERROR(__xludf.DUMMYFUNCTION("""COMPUTED_VALUE"""),"EJO")</f>
        <v>EJO</v>
      </c>
      <c r="D258" s="3" t="str">
        <f>IFERROR(__xludf.DUMMYFUNCTION("""COMPUTED_VALUE"""),"EJO/2025/07/74")</f>
        <v>EJO/2025/07/74</v>
      </c>
      <c r="E258" s="3" t="str">
        <f>IFERROR(__xludf.DUMMYFUNCTION("""COMPUTED_VALUE"""),"Scissor Lift ")</f>
        <v>Scissor Lift </v>
      </c>
      <c r="F258" s="3" t="str">
        <f>IFERROR(__xludf.DUMMYFUNCTION("""COMPUTED_VALUE"""),"Pengunci Panel Scissor Lift")</f>
        <v>Pengunci Panel Scissor Lift</v>
      </c>
      <c r="G258" s="3" t="str">
        <f>IFERROR(__xludf.DUMMYFUNCTION("""COMPUTED_VALUE"""),"P : 84mm.  L : 28mm")</f>
        <v>P : 84mm.  L : 28mm</v>
      </c>
      <c r="H258" s="3" t="str">
        <f>IFERROR(__xludf.DUMMYFUNCTION("""COMPUTED_VALUE"""),"-")</f>
        <v>-</v>
      </c>
      <c r="I258" s="3">
        <f>IFERROR(__xludf.DUMMYFUNCTION("""COMPUTED_VALUE"""),2.0)</f>
        <v>2</v>
      </c>
      <c r="J258" s="3" t="str">
        <f>IFERROR(__xludf.DUMMYFUNCTION("""COMPUTED_VALUE"""),"PCS")</f>
        <v>PCS</v>
      </c>
      <c r="K258" s="5" t="str">
        <f>IFERROR(__xludf.DUMMYFUNCTION("""COMPUTED_VALUE"""),"https://www.tokopedia.com/utama-jaya-elektrindo/kunci-box-panel-listrik-84x28mm-ms601-new-push-lock-haitan-murah?extParam=ivf%3Dfalse%26keyword%3Dkunci+panel%26search_id%3D2025071108500794F6D7E04A4D4512AXD3%26src%3Dsearch&amp;t_id=1752223856046&amp;t_st=1&amp;t_pp=se"&amp;"arch_result&amp;t_efo=search_pure_goods_card&amp;t_ef=goods_search&amp;t_sm=&amp;t_spt=search_result")</f>
        <v>https://www.tokopedia.com/utama-jaya-elektrindo/kunci-box-panel-listrik-84x28mm-ms601-new-push-lock-haitan-murah?extParam=ivf%3Dfalse%26keyword%3Dkunci+panel%26search_id%3D2025071108500794F6D7E04A4D4512AXD3%26src%3Dsearch&amp;t_id=1752223856046&amp;t_st=1&amp;t_pp=search_result&amp;t_efo=search_pure_goods_card&amp;t_ef=goods_search&amp;t_sm=&amp;t_spt=search_result</v>
      </c>
      <c r="L258" s="3" t="str">
        <f>IFERROR(__xludf.DUMMYFUNCTION("""COMPUTED_VALUE"""),"-")</f>
        <v>-</v>
      </c>
      <c r="M258" s="3" t="str">
        <f>IFERROR(__xludf.DUMMYFUNCTION("""COMPUTED_VALUE"""),"Reject")</f>
        <v>Reject</v>
      </c>
      <c r="N258" s="3" t="str">
        <f>IFERROR(__xludf.DUMMYFUNCTION("""COMPUTED_VALUE"""),"Normal")</f>
        <v>Normal</v>
      </c>
      <c r="O258" s="3" t="str">
        <f>IFERROR(__xludf.DUMMYFUNCTION("""COMPUTED_VALUE"""),"Non Urgent")</f>
        <v>Non Urgent</v>
      </c>
    </row>
    <row r="259">
      <c r="A259" s="4">
        <f>IFERROR(__xludf.DUMMYFUNCTION("""COMPUTED_VALUE"""),45852.67276260417)</f>
        <v>45852.67276</v>
      </c>
      <c r="B259" s="3" t="str">
        <f>IFERROR(__xludf.DUMMYFUNCTION("""COMPUTED_VALUE"""),"RIABR0044")</f>
        <v>RIABR0044</v>
      </c>
      <c r="C259" s="3" t="str">
        <f>IFERROR(__xludf.DUMMYFUNCTION("""COMPUTED_VALUE"""),"Consumable")</f>
        <v>Consumable</v>
      </c>
      <c r="D259" s="3" t="str">
        <f>IFERROR(__xludf.DUMMYFUNCTION("""COMPUTED_VALUE"""),"-")</f>
        <v>-</v>
      </c>
      <c r="E259" s="3" t="str">
        <f>IFERROR(__xludf.DUMMYFUNCTION("""COMPUTED_VALUE"""),"Alarm System")</f>
        <v>Alarm System</v>
      </c>
      <c r="F259" s="3" t="str">
        <f>IFERROR(__xludf.DUMMYFUNCTION("""COMPUTED_VALUE"""),"Sensor PT 100 ")</f>
        <v>Sensor PT 100 </v>
      </c>
      <c r="G259" s="3" t="str">
        <f>IFERROR(__xludf.DUMMYFUNCTION("""COMPUTED_VALUE"""),"AUTONICS Thermocouple TW-N(PT100) - 6.4 150mm 1.5M PT1/8")</f>
        <v>AUTONICS Thermocouple TW-N(PT100) - 6.4 150mm 1.5M PT1/8</v>
      </c>
      <c r="H259" s="3" t="str">
        <f>IFERROR(__xludf.DUMMYFUNCTION("""COMPUTED_VALUE"""),"Autonics")</f>
        <v>Autonics</v>
      </c>
      <c r="I259" s="3">
        <f>IFERROR(__xludf.DUMMYFUNCTION("""COMPUTED_VALUE"""),6.0)</f>
        <v>6</v>
      </c>
      <c r="J259" s="3" t="str">
        <f>IFERROR(__xludf.DUMMYFUNCTION("""COMPUTED_VALUE"""),"Pcs")</f>
        <v>Pcs</v>
      </c>
      <c r="K259" s="5" t="str">
        <f>IFERROR(__xludf.DUMMYFUNCTION("""COMPUTED_VALUE"""),"https://www.tokopedia.com/ptsahabatmitra/autonics-thermocouple-tw-n-pt100-6-4-150mm-1-5m-pt1-8?utm_source=google&amp;utm_medium=organic&amp;utm_campaign=pdp")</f>
        <v>https://www.tokopedia.com/ptsahabatmitra/autonics-thermocouple-tw-n-pt100-6-4-150mm-1-5m-pt1-8?utm_source=google&amp;utm_medium=organic&amp;utm_campaign=pdp</v>
      </c>
      <c r="L259" s="3" t="str">
        <f>IFERROR(__xludf.DUMMYFUNCTION("""COMPUTED_VALUE"""),"Alarm untuk API, Raw Material, Intermediate1 &amp; 2 OSD, Beli yang 2 kabel 100 meteran ya")</f>
        <v>Alarm untuk API, Raw Material, Intermediate1 &amp; 2 OSD, Beli yang 2 kabel 100 meteran ya</v>
      </c>
      <c r="M259" s="3" t="str">
        <f>IFERROR(__xludf.DUMMYFUNCTION("""COMPUTED_VALUE"""),"Approve")</f>
        <v>Approve</v>
      </c>
      <c r="N259" s="3" t="str">
        <f>IFERROR(__xludf.DUMMYFUNCTION("""COMPUTED_VALUE"""),"Normal")</f>
        <v>Normal</v>
      </c>
      <c r="O259" s="3" t="str">
        <f>IFERROR(__xludf.DUMMYFUNCTION("""COMPUTED_VALUE"""),"Non Urgent")</f>
        <v>Non Urgent</v>
      </c>
    </row>
    <row r="260">
      <c r="A260" s="4">
        <f>IFERROR(__xludf.DUMMYFUNCTION("""COMPUTED_VALUE"""),45853.41180569445)</f>
        <v>45853.41181</v>
      </c>
      <c r="B260" s="3" t="str">
        <f>IFERROR(__xludf.DUMMYFUNCTION("""COMPUTED_VALUE"""),"INNBR0036")</f>
        <v>INNBR0036</v>
      </c>
      <c r="C260" s="3" t="str">
        <f>IFERROR(__xludf.DUMMYFUNCTION("""COMPUTED_VALUE"""),"EJO")</f>
        <v>EJO</v>
      </c>
      <c r="D260" s="3" t="str">
        <f>IFERROR(__xludf.DUMMYFUNCTION("""COMPUTED_VALUE"""),"EJO/2025/07/60")</f>
        <v>EJO/2025/07/60</v>
      </c>
      <c r="E260" s="3" t="str">
        <f>IFERROR(__xludf.DUMMYFUNCTION("""COMPUTED_VALUE"""),"Labeling")</f>
        <v>Labeling</v>
      </c>
      <c r="F260" s="3" t="str">
        <f>IFERROR(__xludf.DUMMYFUNCTION("""COMPUTED_VALUE"""),"Fork Sensor WF2-40B410")</f>
        <v>Fork Sensor WF2-40B410</v>
      </c>
      <c r="G260" s="3" t="str">
        <f>IFERROR(__xludf.DUMMYFUNCTION("""COMPUTED_VALUE"""),"Sesuai penawaran")</f>
        <v>Sesuai penawaran</v>
      </c>
      <c r="H260" s="3" t="str">
        <f>IFERROR(__xludf.DUMMYFUNCTION("""COMPUTED_VALUE"""),"SIck")</f>
        <v>SIck</v>
      </c>
      <c r="I260" s="3">
        <f>IFERROR(__xludf.DUMMYFUNCTION("""COMPUTED_VALUE"""),2.0)</f>
        <v>2</v>
      </c>
      <c r="J260" s="3" t="str">
        <f>IFERROR(__xludf.DUMMYFUNCTION("""COMPUTED_VALUE"""),"pcs")</f>
        <v>pcs</v>
      </c>
      <c r="K260" s="5" t="str">
        <f>IFERROR(__xludf.DUMMYFUNCTION("""COMPUTED_VALUE"""),"https://drive.google.com/file/d/18wo9hmuOIwH8ngUFir2QDrKYwHuVnjUB/view?usp=drive_link")</f>
        <v>https://drive.google.com/file/d/18wo9hmuOIwH8ngUFir2QDrKYwHuVnjUB/view?usp=drive_link</v>
      </c>
      <c r="L260" s="3" t="str">
        <f>IFERROR(__xludf.DUMMYFUNCTION("""COMPUTED_VALUE"""),"Untuk sensor label dan counting di OCR")</f>
        <v>Untuk sensor label dan counting di OCR</v>
      </c>
      <c r="M260" s="3" t="str">
        <f>IFERROR(__xludf.DUMMYFUNCTION("""COMPUTED_VALUE"""),"Approve")</f>
        <v>Approve</v>
      </c>
      <c r="N260" s="3" t="str">
        <f>IFERROR(__xludf.DUMMYFUNCTION("""COMPUTED_VALUE"""),"Normal")</f>
        <v>Normal</v>
      </c>
      <c r="O260" s="3" t="str">
        <f>IFERROR(__xludf.DUMMYFUNCTION("""COMPUTED_VALUE"""),"Non Urgent")</f>
        <v>Non Urgent</v>
      </c>
    </row>
    <row r="261">
      <c r="A261" s="4">
        <f>IFERROR(__xludf.DUMMYFUNCTION("""COMPUTED_VALUE"""),45853.412138182866)</f>
        <v>45853.41214</v>
      </c>
      <c r="B261" s="3" t="str">
        <f>IFERROR(__xludf.DUMMYFUNCTION("""COMPUTED_VALUE"""),"INNBR0037")</f>
        <v>INNBR0037</v>
      </c>
      <c r="C261" s="3" t="str">
        <f>IFERROR(__xludf.DUMMYFUNCTION("""COMPUTED_VALUE"""),"EJO")</f>
        <v>EJO</v>
      </c>
      <c r="D261" s="3" t="str">
        <f>IFERROR(__xludf.DUMMYFUNCTION("""COMPUTED_VALUE"""),"EJO/2025/07/60")</f>
        <v>EJO/2025/07/60</v>
      </c>
      <c r="E261" s="3" t="str">
        <f>IFERROR(__xludf.DUMMYFUNCTION("""COMPUTED_VALUE"""),"Labeling")</f>
        <v>Labeling</v>
      </c>
      <c r="F261" s="3" t="str">
        <f>IFERROR(__xludf.DUMMYFUNCTION("""COMPUTED_VALUE"""),"Female connector, M8, 4-pin, straight, A-coded, 2 m YF8U14-020VA3XLEAX")</f>
        <v>Female connector, M8, 4-pin, straight, A-coded, 2 m YF8U14-020VA3XLEAX</v>
      </c>
      <c r="G261" s="3" t="str">
        <f>IFERROR(__xludf.DUMMYFUNCTION("""COMPUTED_VALUE"""),"Sesuai penawaran")</f>
        <v>Sesuai penawaran</v>
      </c>
      <c r="H261" s="3" t="str">
        <f>IFERROR(__xludf.DUMMYFUNCTION("""COMPUTED_VALUE"""),"SIck")</f>
        <v>SIck</v>
      </c>
      <c r="I261" s="3">
        <f>IFERROR(__xludf.DUMMYFUNCTION("""COMPUTED_VALUE"""),2.0)</f>
        <v>2</v>
      </c>
      <c r="J261" s="3" t="str">
        <f>IFERROR(__xludf.DUMMYFUNCTION("""COMPUTED_VALUE"""),"pcs")</f>
        <v>pcs</v>
      </c>
      <c r="K261" s="5" t="str">
        <f>IFERROR(__xludf.DUMMYFUNCTION("""COMPUTED_VALUE"""),"https://drive.google.com/file/d/18wo9hmuOIwH8ngUFir2QDrKYwHuVnjUB/view?usp=drive_link")</f>
        <v>https://drive.google.com/file/d/18wo9hmuOIwH8ngUFir2QDrKYwHuVnjUB/view?usp=drive_link</v>
      </c>
      <c r="L261" s="3" t="str">
        <f>IFERROR(__xludf.DUMMYFUNCTION("""COMPUTED_VALUE"""),"Untuk sensor label dan counting di OCR")</f>
        <v>Untuk sensor label dan counting di OCR</v>
      </c>
      <c r="M261" s="3" t="str">
        <f>IFERROR(__xludf.DUMMYFUNCTION("""COMPUTED_VALUE"""),"Approve")</f>
        <v>Approve</v>
      </c>
      <c r="N261" s="3" t="str">
        <f>IFERROR(__xludf.DUMMYFUNCTION("""COMPUTED_VALUE"""),"Normal")</f>
        <v>Normal</v>
      </c>
      <c r="O261" s="3" t="str">
        <f>IFERROR(__xludf.DUMMYFUNCTION("""COMPUTED_VALUE"""),"Non Urgent")</f>
        <v>Non Urgent</v>
      </c>
    </row>
    <row r="262">
      <c r="A262" s="4">
        <f>IFERROR(__xludf.DUMMYFUNCTION("""COMPUTED_VALUE"""),45853.65111989583)</f>
        <v>45853.65112</v>
      </c>
      <c r="B262" s="3" t="str">
        <f>IFERROR(__xludf.DUMMYFUNCTION("""COMPUTED_VALUE"""),"RIABR0045")</f>
        <v>RIABR0045</v>
      </c>
      <c r="C262" s="3" t="str">
        <f>IFERROR(__xludf.DUMMYFUNCTION("""COMPUTED_VALUE"""),"EJO")</f>
        <v>EJO</v>
      </c>
      <c r="D262" s="3" t="str">
        <f>IFERROR(__xludf.DUMMYFUNCTION("""COMPUTED_VALUE"""),"EJO/2025/07/119")</f>
        <v>EJO/2025/07/119</v>
      </c>
      <c r="E262" s="3" t="str">
        <f>IFERROR(__xludf.DUMMYFUNCTION("""COMPUTED_VALUE"""),"EF F2-31")</f>
        <v>EF F2-31</v>
      </c>
      <c r="F262" s="3" t="str">
        <f>IFERROR(__xludf.DUMMYFUNCTION("""COMPUTED_VALUE"""),"Exhaust Fan")</f>
        <v>Exhaust Fan</v>
      </c>
      <c r="G262" s="3" t="str">
        <f>IFERROR(__xludf.DUMMYFUNCTION("""COMPUTED_VALUE"""),"Exhaust Fan CD0200 150 Watt Nicotra")</f>
        <v>Exhaust Fan CD0200 150 Watt Nicotra</v>
      </c>
      <c r="H262" s="3" t="str">
        <f>IFERROR(__xludf.DUMMYFUNCTION("""COMPUTED_VALUE"""),"Nicotra")</f>
        <v>Nicotra</v>
      </c>
      <c r="I262" s="3">
        <f>IFERROR(__xludf.DUMMYFUNCTION("""COMPUTED_VALUE"""),1.0)</f>
        <v>1</v>
      </c>
      <c r="J262" s="3" t="str">
        <f>IFERROR(__xludf.DUMMYFUNCTION("""COMPUTED_VALUE"""),"Pcs")</f>
        <v>Pcs</v>
      </c>
      <c r="K262" s="5" t="str">
        <f>IFERROR(__xludf.DUMMYFUNCTION("""COMPUTED_VALUE"""),"https://media.monotaro.id/mid01/big/Alat%20AC%20%26%20Pipa/Penyejuk%20Udara%2C%20Ventilasi/Produk%20Ventilasi/Kipas%20Angin%20Exhaust%2FBlower/Nicotra%20Gebhardt%20Cabinet%20Fan/Nicotra%20Gebhardt%20Cabinet%20Fan%20CD-280N%20220-230V%201pc/rnS045413995-1."&amp;"jpg")</f>
        <v>https://media.monotaro.id/mid01/big/Alat%20AC%20%26%20Pipa/Penyejuk%20Udara%2C%20Ventilasi/Produk%20Ventilasi/Kipas%20Angin%20Exhaust%2FBlower/Nicotra%20Gebhardt%20Cabinet%20Fan/Nicotra%20Gebhardt%20Cabinet%20Fan%20CD-280N%20220-230V%201pc/rnS045413995-1.jpg</v>
      </c>
      <c r="L262" s="3" t="str">
        <f>IFERROR(__xludf.DUMMYFUNCTION("""COMPUTED_VALUE"""),"Untuk Exhaust ducing buat spare ef f2-31, beberapa ef yang lain ada yang pakai juga (REJECT BY MFH, ITEM SUDAH DISCONTINUE DAN TIDAK ADA YANG BISA SUPPLY, SILAHKAN CARI SUBSTITUSINYA)")</f>
        <v>Untuk Exhaust ducing buat spare ef f2-31, beberapa ef yang lain ada yang pakai juga (REJECT BY MFH, ITEM SUDAH DISCONTINUE DAN TIDAK ADA YANG BISA SUPPLY, SILAHKAN CARI SUBSTITUSINYA)</v>
      </c>
      <c r="M262" s="3" t="str">
        <f>IFERROR(__xludf.DUMMYFUNCTION("""COMPUTED_VALUE"""),"Reject")</f>
        <v>Reject</v>
      </c>
      <c r="N262" s="3" t="str">
        <f>IFERROR(__xludf.DUMMYFUNCTION("""COMPUTED_VALUE"""),"Normal")</f>
        <v>Normal</v>
      </c>
      <c r="O262" s="3" t="str">
        <f>IFERROR(__xludf.DUMMYFUNCTION("""COMPUTED_VALUE"""),"Non Urgent")</f>
        <v>Non Urgent</v>
      </c>
    </row>
    <row r="263">
      <c r="A263" s="4">
        <f>IFERROR(__xludf.DUMMYFUNCTION("""COMPUTED_VALUE"""),45853.657723599536)</f>
        <v>45853.65772</v>
      </c>
      <c r="B263" s="3" t="str">
        <f>IFERROR(__xludf.DUMMYFUNCTION("""COMPUTED_VALUE"""),"RIABR0046")</f>
        <v>RIABR0046</v>
      </c>
      <c r="C263" s="3" t="str">
        <f>IFERROR(__xludf.DUMMYFUNCTION("""COMPUTED_VALUE"""),"Consumable")</f>
        <v>Consumable</v>
      </c>
      <c r="D263" s="3" t="str">
        <f>IFERROR(__xludf.DUMMYFUNCTION("""COMPUTED_VALUE"""),"-")</f>
        <v>-</v>
      </c>
      <c r="E263" s="3" t="str">
        <f>IFERROR(__xludf.DUMMYFUNCTION("""COMPUTED_VALUE"""),"Water System")</f>
        <v>Water System</v>
      </c>
      <c r="F263" s="3" t="str">
        <f>IFERROR(__xludf.DUMMYFUNCTION("""COMPUTED_VALUE"""),"Chemical NaOH")</f>
        <v>Chemical NaOH</v>
      </c>
      <c r="G263" s="3" t="str">
        <f>IFERROR(__xludf.DUMMYFUNCTION("""COMPUTED_VALUE"""),"Natrium Hidroksida (NaOH)")</f>
        <v>Natrium Hidroksida (NaOH)</v>
      </c>
      <c r="H263" s="3" t="str">
        <f>IFERROR(__xludf.DUMMYFUNCTION("""COMPUTED_VALUE"""),"-")</f>
        <v>-</v>
      </c>
      <c r="I263" s="3">
        <f>IFERROR(__xludf.DUMMYFUNCTION("""COMPUTED_VALUE"""),1.0)</f>
        <v>1</v>
      </c>
      <c r="J263" s="3" t="str">
        <f>IFERROR(__xludf.DUMMYFUNCTION("""COMPUTED_VALUE"""),"Sak")</f>
        <v>Sak</v>
      </c>
      <c r="K263" s="5" t="str">
        <f>IFERROR(__xludf.DUMMYFUNCTION("""COMPUTED_VALUE"""),"https://www.google.com/url?sa=i&amp;url=https%3A%2F%2Fwww.coolboxdelta.com%2Fproduct%2Fcaustic-soda-flakes-naoh-ex-lokal-soda-api-p1186934.aspx&amp;psig=AOvVaw3II2GQwqK0bgkkfbcMTixR&amp;ust=1752655595485000&amp;source=images&amp;cd=vfe&amp;opi=89978449&amp;ved=0CBUQjRxqFwoTCOjDhIW9v"&amp;"o4DFQAAAAAdAAAAABAE")</f>
        <v>https://www.google.com/url?sa=i&amp;url=https%3A%2F%2Fwww.coolboxdelta.com%2Fproduct%2Fcaustic-soda-flakes-naoh-ex-lokal-soda-api-p1186934.aspx&amp;psig=AOvVaw3II2GQwqK0bgkkfbcMTixR&amp;ust=1752655595485000&amp;source=images&amp;cd=vfe&amp;opi=89978449&amp;ved=0CBUQjRxqFwoTCOjDhIW9vo4DFQAAAAAdAAAAABAE</v>
      </c>
      <c r="L263" s="3" t="str">
        <f>IFERROR(__xludf.DUMMYFUNCTION("""COMPUTED_VALUE"""),"Buat Water System PWG")</f>
        <v>Buat Water System PWG</v>
      </c>
      <c r="M263" s="3" t="str">
        <f>IFERROR(__xludf.DUMMYFUNCTION("""COMPUTED_VALUE"""),"Approve")</f>
        <v>Approve</v>
      </c>
      <c r="N263" s="3" t="str">
        <f>IFERROR(__xludf.DUMMYFUNCTION("""COMPUTED_VALUE"""),"Normal")</f>
        <v>Normal</v>
      </c>
      <c r="O263" s="3" t="str">
        <f>IFERROR(__xludf.DUMMYFUNCTION("""COMPUTED_VALUE"""),"Non Urgent")</f>
        <v>Non Urgent</v>
      </c>
    </row>
    <row r="264">
      <c r="A264" s="4">
        <f>IFERROR(__xludf.DUMMYFUNCTION("""COMPUTED_VALUE"""),45853.69039819444)</f>
        <v>45853.6904</v>
      </c>
      <c r="B264" s="3" t="str">
        <f>IFERROR(__xludf.DUMMYFUNCTION("""COMPUTED_VALUE"""),"INNBR0038")</f>
        <v>INNBR0038</v>
      </c>
      <c r="C264" s="3" t="str">
        <f>IFERROR(__xludf.DUMMYFUNCTION("""COMPUTED_VALUE"""),"EJO")</f>
        <v>EJO</v>
      </c>
      <c r="D264" s="3" t="str">
        <f>IFERROR(__xludf.DUMMYFUNCTION("""COMPUTED_VALUE"""),"EJO/2025/07/35")</f>
        <v>EJO/2025/07/35</v>
      </c>
      <c r="E264" s="3" t="str">
        <f>IFERROR(__xludf.DUMMYFUNCTION("""COMPUTED_VALUE"""),"Washing")</f>
        <v>Washing</v>
      </c>
      <c r="F264" s="3" t="str">
        <f>IFERROR(__xludf.DUMMYFUNCTION("""COMPUTED_VALUE"""),"PNOZ X3 24VAC 24VDC 3n/o 1n/c 1so")</f>
        <v>PNOZ X3 24VAC 24VDC 3n/o 1n/c 1so</v>
      </c>
      <c r="G264" s="3" t="str">
        <f>IFERROR(__xludf.DUMMYFUNCTION("""COMPUTED_VALUE"""),"Sesuai penawaran")</f>
        <v>Sesuai penawaran</v>
      </c>
      <c r="H264" s="3" t="str">
        <f>IFERROR(__xludf.DUMMYFUNCTION("""COMPUTED_VALUE"""),"PNOZ")</f>
        <v>PNOZ</v>
      </c>
      <c r="I264" s="3">
        <f>IFERROR(__xludf.DUMMYFUNCTION("""COMPUTED_VALUE"""),2.0)</f>
        <v>2</v>
      </c>
      <c r="J264" s="3" t="str">
        <f>IFERROR(__xludf.DUMMYFUNCTION("""COMPUTED_VALUE"""),"pcs")</f>
        <v>pcs</v>
      </c>
      <c r="K264" s="5" t="str">
        <f>IFERROR(__xludf.DUMMYFUNCTION("""COMPUTED_VALUE"""),"https://drive.google.com/file/d/10CdrI5_1yuFZmRN3BizcN7HnwkdegEJp/view?usp=drive_link")</f>
        <v>https://drive.google.com/file/d/10CdrI5_1yuFZmRN3BizcN7HnwkdegEJp/view?usp=drive_link</v>
      </c>
      <c r="L264" s="3" t="str">
        <f>IFERROR(__xludf.DUMMYFUNCTION("""COMPUTED_VALUE"""),"Untuk Emergancy modul pintu washing, REJECT BY MFH KARENA DOUBLE DENGAN AAA DI AAABR0012")</f>
        <v>Untuk Emergancy modul pintu washing, REJECT BY MFH KARENA DOUBLE DENGAN AAA DI AAABR0012</v>
      </c>
      <c r="M264" s="3" t="str">
        <f>IFERROR(__xludf.DUMMYFUNCTION("""COMPUTED_VALUE"""),"Reject")</f>
        <v>Reject</v>
      </c>
      <c r="N264" s="3" t="str">
        <f>IFERROR(__xludf.DUMMYFUNCTION("""COMPUTED_VALUE"""),"Normal")</f>
        <v>Normal</v>
      </c>
      <c r="O264" s="3" t="str">
        <f>IFERROR(__xludf.DUMMYFUNCTION("""COMPUTED_VALUE"""),"Non Urgent")</f>
        <v>Non Urgent</v>
      </c>
    </row>
    <row r="265">
      <c r="A265" s="4">
        <f>IFERROR(__xludf.DUMMYFUNCTION("""COMPUTED_VALUE"""),45854.582451585644)</f>
        <v>45854.58245</v>
      </c>
      <c r="B265" s="3" t="str">
        <f>IFERROR(__xludf.DUMMYFUNCTION("""COMPUTED_VALUE"""),"MRNBR0030")</f>
        <v>MRNBR0030</v>
      </c>
      <c r="C265" s="3" t="str">
        <f>IFERROR(__xludf.DUMMYFUNCTION("""COMPUTED_VALUE"""),"EJO")</f>
        <v>EJO</v>
      </c>
      <c r="D265" s="3" t="str">
        <f>IFERROR(__xludf.DUMMYFUNCTION("""COMPUTED_VALUE"""),"Ejo/2025/07/154")</f>
        <v>Ejo/2025/07/154</v>
      </c>
      <c r="E265" s="3" t="str">
        <f>IFERROR(__xludf.DUMMYFUNCTION("""COMPUTED_VALUE"""),"Pintu Extension")</f>
        <v>Pintu Extension</v>
      </c>
      <c r="F265" s="3" t="str">
        <f>IFERROR(__xludf.DUMMYFUNCTION("""COMPUTED_VALUE"""),"UNP 100")</f>
        <v>UNP 100</v>
      </c>
      <c r="G265" s="3" t="str">
        <f>IFERROR(__xludf.DUMMYFUNCTION("""COMPUTED_VALUE"""),"100x50x3mm")</f>
        <v>100x50x3mm</v>
      </c>
      <c r="H265" s="3" t="str">
        <f>IFERROR(__xludf.DUMMYFUNCTION("""COMPUTED_VALUE"""),"krakatau steel")</f>
        <v>krakatau steel</v>
      </c>
      <c r="I265" s="3">
        <f>IFERROR(__xludf.DUMMYFUNCTION("""COMPUTED_VALUE"""),2.0)</f>
        <v>2</v>
      </c>
      <c r="J265" s="3" t="str">
        <f>IFERROR(__xludf.DUMMYFUNCTION("""COMPUTED_VALUE"""),"btg")</f>
        <v>btg</v>
      </c>
      <c r="K265" s="5" t="str">
        <f>IFERROR(__xludf.DUMMYFUNCTION("""COMPUTED_VALUE"""),"https://www.tokopedia.com/rianbaja/besi-unp-100-x-50-berat-36kg-unp-100-d1786?aff_unique_id=&amp;channel=others&amp;chain_key=")</f>
        <v>https://www.tokopedia.com/rianbaja/besi-unp-100-x-50-berat-36kg-unp-100-d1786?aff_unique_id=&amp;channel=others&amp;chain_key=</v>
      </c>
      <c r="L265" s="3" t="str">
        <f>IFERROR(__xludf.DUMMYFUNCTION("""COMPUTED_VALUE"""),"untuk pintu extension")</f>
        <v>untuk pintu extension</v>
      </c>
      <c r="M265" s="3" t="str">
        <f>IFERROR(__xludf.DUMMYFUNCTION("""COMPUTED_VALUE"""),"Approve")</f>
        <v>Approve</v>
      </c>
      <c r="N265" s="3" t="str">
        <f>IFERROR(__xludf.DUMMYFUNCTION("""COMPUTED_VALUE"""),"Normal")</f>
        <v>Normal</v>
      </c>
      <c r="O265" s="3" t="str">
        <f>IFERROR(__xludf.DUMMYFUNCTION("""COMPUTED_VALUE"""),"Non Urgent")</f>
        <v>Non Urgent</v>
      </c>
    </row>
    <row r="266">
      <c r="A266" s="4">
        <f>IFERROR(__xludf.DUMMYFUNCTION("""COMPUTED_VALUE"""),45854.58495675925)</f>
        <v>45854.58496</v>
      </c>
      <c r="B266" s="3" t="str">
        <f>IFERROR(__xludf.DUMMYFUNCTION("""COMPUTED_VALUE"""),"MRNBR0031")</f>
        <v>MRNBR0031</v>
      </c>
      <c r="C266" s="3" t="str">
        <f>IFERROR(__xludf.DUMMYFUNCTION("""COMPUTED_VALUE"""),"EJO")</f>
        <v>EJO</v>
      </c>
      <c r="D266" s="3" t="str">
        <f>IFERROR(__xludf.DUMMYFUNCTION("""COMPUTED_VALUE"""),"Ejo/2025/07/155")</f>
        <v>Ejo/2025/07/155</v>
      </c>
      <c r="E266" s="3" t="str">
        <f>IFERROR(__xludf.DUMMYFUNCTION("""COMPUTED_VALUE"""),"Pintu Extension")</f>
        <v>Pintu Extension</v>
      </c>
      <c r="F266" s="3" t="str">
        <f>IFERROR(__xludf.DUMMYFUNCTION("""COMPUTED_VALUE"""),"GRC")</f>
        <v>GRC</v>
      </c>
      <c r="G266" s="3" t="str">
        <f>IFERROR(__xludf.DUMMYFUNCTION("""COMPUTED_VALUE"""),"9mm")</f>
        <v>9mm</v>
      </c>
      <c r="H266" s="3" t="str">
        <f>IFERROR(__xludf.DUMMYFUNCTION("""COMPUTED_VALUE"""),"elephant")</f>
        <v>elephant</v>
      </c>
      <c r="I266" s="3">
        <f>IFERROR(__xludf.DUMMYFUNCTION("""COMPUTED_VALUE"""),3.0)</f>
        <v>3</v>
      </c>
      <c r="J266" s="3" t="str">
        <f>IFERROR(__xludf.DUMMYFUNCTION("""COMPUTED_VALUE"""),"lbr")</f>
        <v>lbr</v>
      </c>
      <c r="K266" s="5" t="str">
        <f>IFERROR(__xludf.DUMMYFUNCTION("""COMPUTED_VALUE"""),"https://www.tokopedia.com/sulawesiutamapersada/elephant-gyspum-papan-gypsum-elephant-9mm?extParam=ivf%3Dfalse%26keyword%3Dgypsum+elephant%26search_id%3D20250716070526496E05E1AEA0A92DEMLN%26src%3Dsearch")</f>
        <v>https://www.tokopedia.com/sulawesiutamapersada/elephant-gyspum-papan-gypsum-elephant-9mm?extParam=ivf%3Dfalse%26keyword%3Dgypsum+elephant%26search_id%3D20250716070526496E05E1AEA0A92DEMLN%26src%3Dsearch</v>
      </c>
      <c r="L266" s="3" t="str">
        <f>IFERROR(__xludf.DUMMYFUNCTION("""COMPUTED_VALUE"""),"untuk pintu extension")</f>
        <v>untuk pintu extension</v>
      </c>
      <c r="M266" s="3" t="str">
        <f>IFERROR(__xludf.DUMMYFUNCTION("""COMPUTED_VALUE"""),"Approve")</f>
        <v>Approve</v>
      </c>
      <c r="N266" s="3" t="str">
        <f>IFERROR(__xludf.DUMMYFUNCTION("""COMPUTED_VALUE"""),"Normal")</f>
        <v>Normal</v>
      </c>
      <c r="O266" s="3" t="str">
        <f>IFERROR(__xludf.DUMMYFUNCTION("""COMPUTED_VALUE"""),"Non Urgent")</f>
        <v>Non Urgent</v>
      </c>
    </row>
    <row r="267">
      <c r="A267" s="4">
        <f>IFERROR(__xludf.DUMMYFUNCTION("""COMPUTED_VALUE"""),45854.60868311342)</f>
        <v>45854.60868</v>
      </c>
      <c r="B267" s="3" t="str">
        <f>IFERROR(__xludf.DUMMYFUNCTION("""COMPUTED_VALUE"""),"MRNBR0032")</f>
        <v>MRNBR0032</v>
      </c>
      <c r="C267" s="3" t="str">
        <f>IFERROR(__xludf.DUMMYFUNCTION("""COMPUTED_VALUE"""),"EJO")</f>
        <v>EJO</v>
      </c>
      <c r="D267" s="3" t="str">
        <f>IFERROR(__xludf.DUMMYFUNCTION("""COMPUTED_VALUE"""),"Ejo/2025/07/156")</f>
        <v>Ejo/2025/07/156</v>
      </c>
      <c r="E267" s="3" t="str">
        <f>IFERROR(__xludf.DUMMYFUNCTION("""COMPUTED_VALUE"""),"Pintu Extension")</f>
        <v>Pintu Extension</v>
      </c>
      <c r="F267" s="3" t="str">
        <f>IFERROR(__xludf.DUMMYFUNCTION("""COMPUTED_VALUE"""),"engsel")</f>
        <v>engsel</v>
      </c>
      <c r="G267" s="3" t="str">
        <f>IFERROR(__xludf.DUMMYFUNCTION("""COMPUTED_VALUE"""),"Dekson Concealed hinge - D40")</f>
        <v>Dekson Concealed hinge - D40</v>
      </c>
      <c r="H267" s="3" t="str">
        <f>IFERROR(__xludf.DUMMYFUNCTION("""COMPUTED_VALUE"""),"dekson")</f>
        <v>dekson</v>
      </c>
      <c r="I267" s="3">
        <f>IFERROR(__xludf.DUMMYFUNCTION("""COMPUTED_VALUE"""),3.0)</f>
        <v>3</v>
      </c>
      <c r="J267" s="3" t="str">
        <f>IFERROR(__xludf.DUMMYFUNCTION("""COMPUTED_VALUE"""),"pcs")</f>
        <v>pcs</v>
      </c>
      <c r="K267" s="5" t="str">
        <f>IFERROR(__xludf.DUMMYFUNCTION("""COMPUTED_VALUE"""),"https://www.tokopedia.com/royalkeys/engsel-tanam-pintu-dekkson-d40-d80-d120-na-dekson-concealed-hinge-d40?extParam=ivf%3Dfalse%26keyword%3Dengsel+tanam+pintu%26search_id%3D20250716072822432ACA3A1E345E1544RI%26src%3Dsearch&amp;t_id=1752650910822&amp;t_st=1&amp;t_pp=se"&amp;"arch_result&amp;t_efo=search_pure_goods_card&amp;t_ef=goods_search&amp;t_sm=&amp;t_spt=search_result")</f>
        <v>https://www.tokopedia.com/royalkeys/engsel-tanam-pintu-dekkson-d40-d80-d120-na-dekson-concealed-hinge-d40?extParam=ivf%3Dfalse%26keyword%3Dengsel+tanam+pintu%26search_id%3D20250716072822432ACA3A1E345E1544RI%26src%3Dsearch&amp;t_id=1752650910822&amp;t_st=1&amp;t_pp=search_result&amp;t_efo=search_pure_goods_card&amp;t_ef=goods_search&amp;t_sm=&amp;t_spt=search_result</v>
      </c>
      <c r="L267" s="3" t="str">
        <f>IFERROR(__xludf.DUMMYFUNCTION("""COMPUTED_VALUE"""),"untuk pintu extension")</f>
        <v>untuk pintu extension</v>
      </c>
      <c r="M267" s="3" t="str">
        <f>IFERROR(__xludf.DUMMYFUNCTION("""COMPUTED_VALUE"""),"Approve")</f>
        <v>Approve</v>
      </c>
      <c r="N267" s="3" t="str">
        <f>IFERROR(__xludf.DUMMYFUNCTION("""COMPUTED_VALUE"""),"Normal")</f>
        <v>Normal</v>
      </c>
      <c r="O267" s="3" t="str">
        <f>IFERROR(__xludf.DUMMYFUNCTION("""COMPUTED_VALUE"""),"Non Urgent")</f>
        <v>Non Urgent</v>
      </c>
    </row>
    <row r="268">
      <c r="A268" s="4">
        <f>IFERROR(__xludf.DUMMYFUNCTION("""COMPUTED_VALUE"""),45854.661876724545)</f>
        <v>45854.66188</v>
      </c>
      <c r="B268" s="3" t="str">
        <f>IFERROR(__xludf.DUMMYFUNCTION("""COMPUTED_VALUE"""),"MRNBR0033")</f>
        <v>MRNBR0033</v>
      </c>
      <c r="C268" s="3" t="str">
        <f>IFERROR(__xludf.DUMMYFUNCTION("""COMPUTED_VALUE"""),"EJO")</f>
        <v>EJO</v>
      </c>
      <c r="D268" s="3" t="str">
        <f>IFERROR(__xludf.DUMMYFUNCTION("""COMPUTED_VALUE"""),"Ejo/2025/07/157")</f>
        <v>Ejo/2025/07/157</v>
      </c>
      <c r="E268" s="3" t="str">
        <f>IFERROR(__xludf.DUMMYFUNCTION("""COMPUTED_VALUE"""),"Pintu Extension")</f>
        <v>Pintu Extension</v>
      </c>
      <c r="F268" s="3" t="str">
        <f>IFERROR(__xludf.DUMMYFUNCTION("""COMPUTED_VALUE"""),"CNP 100")</f>
        <v>CNP 100</v>
      </c>
      <c r="G268" s="3" t="str">
        <f>IFERROR(__xludf.DUMMYFUNCTION("""COMPUTED_VALUE"""),"100x50x2mm")</f>
        <v>100x50x2mm</v>
      </c>
      <c r="H268" s="3" t="str">
        <f>IFERROR(__xludf.DUMMYFUNCTION("""COMPUTED_VALUE"""),"krakatau steel")</f>
        <v>krakatau steel</v>
      </c>
      <c r="I268" s="3">
        <f>IFERROR(__xludf.DUMMYFUNCTION("""COMPUTED_VALUE"""),2.0)</f>
        <v>2</v>
      </c>
      <c r="J268" s="3" t="str">
        <f>IFERROR(__xludf.DUMMYFUNCTION("""COMPUTED_VALUE"""),"btg")</f>
        <v>btg</v>
      </c>
      <c r="K268" s="5" t="str">
        <f>IFERROR(__xludf.DUMMYFUNCTION("""COMPUTED_VALUE"""),"https://www.tokopedia.com/besibetonjakarta/cnp-100-x-2-0mm-x-6m?extParam=ivf%3Dfalse%26keyword%3Dcnp+100%26search_id%3D2025071607431701386BD6D8E09119A2JT%26src%3Dsearch&amp;t_id=1752650910822&amp;t_st=2&amp;t_pp=search_result&amp;t_efo=search_pure_goods_card&amp;t_ef=goods_s"&amp;"earch&amp;t_sm=&amp;t_spt=search_result")</f>
        <v>https://www.tokopedia.com/besibetonjakarta/cnp-100-x-2-0mm-x-6m?extParam=ivf%3Dfalse%26keyword%3Dcnp+100%26search_id%3D2025071607431701386BD6D8E09119A2JT%26src%3Dsearch&amp;t_id=1752650910822&amp;t_st=2&amp;t_pp=search_result&amp;t_efo=search_pure_goods_card&amp;t_ef=goods_search&amp;t_sm=&amp;t_spt=search_result</v>
      </c>
      <c r="L268" s="3" t="str">
        <f>IFERROR(__xludf.DUMMYFUNCTION("""COMPUTED_VALUE"""),"untuk pintu extension")</f>
        <v>untuk pintu extension</v>
      </c>
      <c r="M268" s="3" t="str">
        <f>IFERROR(__xludf.DUMMYFUNCTION("""COMPUTED_VALUE"""),"Approve")</f>
        <v>Approve</v>
      </c>
      <c r="N268" s="3" t="str">
        <f>IFERROR(__xludf.DUMMYFUNCTION("""COMPUTED_VALUE"""),"Normal")</f>
        <v>Normal</v>
      </c>
      <c r="O268" s="3" t="str">
        <f>IFERROR(__xludf.DUMMYFUNCTION("""COMPUTED_VALUE"""),"Non Urgent")</f>
        <v>Non Urgent</v>
      </c>
    </row>
    <row r="269">
      <c r="A269" s="4">
        <f>IFERROR(__xludf.DUMMYFUNCTION("""COMPUTED_VALUE"""),45854.661876724545)</f>
        <v>45854.66188</v>
      </c>
      <c r="B269" s="3" t="str">
        <f>IFERROR(__xludf.DUMMYFUNCTION("""COMPUTED_VALUE"""),"MRNBR0034")</f>
        <v>MRNBR0034</v>
      </c>
      <c r="C269" s="3" t="str">
        <f>IFERROR(__xludf.DUMMYFUNCTION("""COMPUTED_VALUE"""),"EJO")</f>
        <v>EJO</v>
      </c>
      <c r="D269" s="3" t="str">
        <f>IFERROR(__xludf.DUMMYFUNCTION("""COMPUTED_VALUE"""),"Ejo/2025/07/158")</f>
        <v>Ejo/2025/07/158</v>
      </c>
      <c r="E269" s="3" t="str">
        <f>IFERROR(__xludf.DUMMYFUNCTION("""COMPUTED_VALUE"""),"Pintu Extension")</f>
        <v>Pintu Extension</v>
      </c>
      <c r="F269" s="3" t="str">
        <f>IFERROR(__xludf.DUMMYFUNCTION("""COMPUTED_VALUE"""),"Kawat lass")</f>
        <v>Kawat lass</v>
      </c>
      <c r="G269" s="3" t="str">
        <f>IFERROR(__xludf.DUMMYFUNCTION("""COMPUTED_VALUE"""),"kawat las rb 2mm")</f>
        <v>kawat las rb 2mm</v>
      </c>
      <c r="H269" s="3" t="str">
        <f>IFERROR(__xludf.DUMMYFUNCTION("""COMPUTED_VALUE"""),"kobelko")</f>
        <v>kobelko</v>
      </c>
      <c r="I269" s="3">
        <f>IFERROR(__xludf.DUMMYFUNCTION("""COMPUTED_VALUE"""),1.0)</f>
        <v>1</v>
      </c>
      <c r="J269" s="3" t="str">
        <f>IFERROR(__xludf.DUMMYFUNCTION("""COMPUTED_VALUE"""),"kg")</f>
        <v>kg</v>
      </c>
      <c r="K269" s="5" t="str">
        <f>IFERROR(__xludf.DUMMYFUNCTION("""COMPUTED_VALUE"""),"https://www.tokopedia.com/perkakassmart-indo/kobelco-kawat-las-rb26-2mm-per-2kg-kobe-steel-familiarc-welding-electrode-rb-26-2-0-mm-aws-6013-kobesteel?extParam=ivf%3Dfalse%26keyword%3Dkawat+las+rb+2.0%26search_id%3D202507160832238D3BBA7425E7C9134RFX%26src"&amp;"%3Dsearch&amp;t_id=1752650910822&amp;t_st=3&amp;t_pp=search_result&amp;t_efo=search_pure_goods_card&amp;t_ef=goods_search&amp;t_sm=&amp;t_spt=search_result")</f>
        <v>https://www.tokopedia.com/perkakassmart-indo/kobelco-kawat-las-rb26-2mm-per-2kg-kobe-steel-familiarc-welding-electrode-rb-26-2-0-mm-aws-6013-kobesteel?extParam=ivf%3Dfalse%26keyword%3Dkawat+las+rb+2.0%26search_id%3D202507160832238D3BBA7425E7C9134RFX%26src%3Dsearch&amp;t_id=1752650910822&amp;t_st=3&amp;t_pp=search_result&amp;t_efo=search_pure_goods_card&amp;t_ef=goods_search&amp;t_sm=&amp;t_spt=search_result</v>
      </c>
      <c r="L269" s="3" t="str">
        <f>IFERROR(__xludf.DUMMYFUNCTION("""COMPUTED_VALUE"""),"untuk pintu extension")</f>
        <v>untuk pintu extension</v>
      </c>
      <c r="M269" s="3" t="str">
        <f>IFERROR(__xludf.DUMMYFUNCTION("""COMPUTED_VALUE"""),"Approve")</f>
        <v>Approve</v>
      </c>
      <c r="N269" s="3" t="str">
        <f>IFERROR(__xludf.DUMMYFUNCTION("""COMPUTED_VALUE"""),"Normal")</f>
        <v>Normal</v>
      </c>
      <c r="O269" s="3" t="str">
        <f>IFERROR(__xludf.DUMMYFUNCTION("""COMPUTED_VALUE"""),"Non Urgent")</f>
        <v>Non Urgent</v>
      </c>
    </row>
    <row r="270">
      <c r="A270" s="4">
        <f>IFERROR(__xludf.DUMMYFUNCTION("""COMPUTED_VALUE"""),45854.711982719906)</f>
        <v>45854.71198</v>
      </c>
      <c r="B270" s="3" t="str">
        <f>IFERROR(__xludf.DUMMYFUNCTION("""COMPUTED_VALUE"""),"SFHBR0024")</f>
        <v>SFHBR0024</v>
      </c>
      <c r="C270" s="3" t="str">
        <f>IFERROR(__xludf.DUMMYFUNCTION("""COMPUTED_VALUE"""),"EJO")</f>
        <v>EJO</v>
      </c>
      <c r="D270" s="3" t="str">
        <f>IFERROR(__xludf.DUMMYFUNCTION("""COMPUTED_VALUE"""),"EJO/2025/06/159")</f>
        <v>EJO/2025/06/159</v>
      </c>
      <c r="E270" s="3" t="str">
        <f>IFERROR(__xludf.DUMMYFUNCTION("""COMPUTED_VALUE"""),"lantai 2")</f>
        <v>lantai 2</v>
      </c>
      <c r="F270" s="3" t="str">
        <f>IFERROR(__xludf.DUMMYFUNCTION("""COMPUTED_VALUE"""),"holo staniless mirror 304")</f>
        <v>holo staniless mirror 304</v>
      </c>
      <c r="G270" s="3" t="str">
        <f>IFERROR(__xludf.DUMMYFUNCTION("""COMPUTED_VALUE"""),"holo stanilees mirror 304 40x40x1,5x3 mtr")</f>
        <v>holo stanilees mirror 304 40x40x1,5x3 mtr</v>
      </c>
      <c r="H270" s="3" t="str">
        <f>IFERROR(__xludf.DUMMYFUNCTION("""COMPUTED_VALUE"""),"jbs staniless")</f>
        <v>jbs staniless</v>
      </c>
      <c r="I270" s="3">
        <f>IFERROR(__xludf.DUMMYFUNCTION("""COMPUTED_VALUE"""),3.0)</f>
        <v>3</v>
      </c>
      <c r="J270" s="3" t="str">
        <f>IFERROR(__xludf.DUMMYFUNCTION("""COMPUTED_VALUE"""),"btg")</f>
        <v>btg</v>
      </c>
      <c r="K270" s="5" t="str">
        <f>IFERROR(__xludf.DUMMYFUNCTION("""COMPUTED_VALUE"""),"https://www.tokopedia.com/jbsstainless/holo-stainless-steel-mirror-sus-304-40x40x1-5mmx3-mtr?utm_source=salinlink&amp;utm_medium=share&amp;utm_campaign=PDP-19222668-2093038838-160725-RKdhUE")</f>
        <v>https://www.tokopedia.com/jbsstainless/holo-stainless-steel-mirror-sus-304-40x40x1-5mmx3-mtr?utm_source=salinlink&amp;utm_medium=share&amp;utm_campaign=PDP-19222668-2093038838-160725-RKdhUE</v>
      </c>
      <c r="L270" s="3" t="str">
        <f>IFERROR(__xludf.DUMMYFUNCTION("""COMPUTED_VALUE"""),"-")</f>
        <v>-</v>
      </c>
      <c r="M270" s="3" t="str">
        <f>IFERROR(__xludf.DUMMYFUNCTION("""COMPUTED_VALUE"""),"Approve")</f>
        <v>Approve</v>
      </c>
      <c r="N270" s="3" t="str">
        <f>IFERROR(__xludf.DUMMYFUNCTION("""COMPUTED_VALUE"""),"Normal")</f>
        <v>Normal</v>
      </c>
      <c r="O270" s="3" t="str">
        <f>IFERROR(__xludf.DUMMYFUNCTION("""COMPUTED_VALUE"""),"Non Urgent")</f>
        <v>Non Urgent</v>
      </c>
    </row>
    <row r="271">
      <c r="A271" s="4">
        <f>IFERROR(__xludf.DUMMYFUNCTION("""COMPUTED_VALUE"""),45854.722886331016)</f>
        <v>45854.72289</v>
      </c>
      <c r="B271" s="3" t="str">
        <f>IFERROR(__xludf.DUMMYFUNCTION("""COMPUTED_VALUE"""),"SFHBR0025")</f>
        <v>SFHBR0025</v>
      </c>
      <c r="C271" s="3" t="str">
        <f>IFERROR(__xludf.DUMMYFUNCTION("""COMPUTED_VALUE"""),"EJO")</f>
        <v>EJO</v>
      </c>
      <c r="D271" s="3" t="str">
        <f>IFERROR(__xludf.DUMMYFUNCTION("""COMPUTED_VALUE"""),"EJO/2025/06/159")</f>
        <v>EJO/2025/06/159</v>
      </c>
      <c r="E271" s="3" t="str">
        <f>IFERROR(__xludf.DUMMYFUNCTION("""COMPUTED_VALUE"""),"lantai 2")</f>
        <v>lantai 2</v>
      </c>
      <c r="F271" s="3" t="str">
        <f>IFERROR(__xludf.DUMMYFUNCTION("""COMPUTED_VALUE"""),"Besi siku staniles 304")</f>
        <v>Besi siku staniles 304</v>
      </c>
      <c r="G271" s="3" t="str">
        <f>IFERROR(__xludf.DUMMYFUNCTION("""COMPUTED_VALUE"""),"Besi siku stainless 304 30x30 tebal 3mm panjang 6 mtr")</f>
        <v>Besi siku stainless 304 30x30 tebal 3mm panjang 6 mtr</v>
      </c>
      <c r="H271" s="3" t="str">
        <f>IFERROR(__xludf.DUMMYFUNCTION("""COMPUTED_VALUE"""),"besi")</f>
        <v>besi</v>
      </c>
      <c r="I271" s="3">
        <f>IFERROR(__xludf.DUMMYFUNCTION("""COMPUTED_VALUE"""),2.0)</f>
        <v>2</v>
      </c>
      <c r="J271" s="3" t="str">
        <f>IFERROR(__xludf.DUMMYFUNCTION("""COMPUTED_VALUE"""),"btg")</f>
        <v>btg</v>
      </c>
      <c r="K271" s="5" t="str">
        <f>IFERROR(__xludf.DUMMYFUNCTION("""COMPUTED_VALUE"""),"https://www.tokopedia.com/futurateknik/siku-stainless-ss304-30-x-30-tebal-3mm-panjang-6meter-1731439103670061030?utm_source=salinlink&amp;utm_medium=share&amp;utm_campaign=PDP-19222668-100481284480-160725-RKdhUE")</f>
        <v>https://www.tokopedia.com/futurateknik/siku-stainless-ss304-30-x-30-tebal-3mm-panjang-6meter-1731439103670061030?utm_source=salinlink&amp;utm_medium=share&amp;utm_campaign=PDP-19222668-100481284480-160725-RKdhUE</v>
      </c>
      <c r="L271" s="3" t="str">
        <f>IFERROR(__xludf.DUMMYFUNCTION("""COMPUTED_VALUE"""),"-")</f>
        <v>-</v>
      </c>
      <c r="M271" s="3" t="str">
        <f>IFERROR(__xludf.DUMMYFUNCTION("""COMPUTED_VALUE"""),"Approve")</f>
        <v>Approve</v>
      </c>
      <c r="N271" s="3" t="str">
        <f>IFERROR(__xludf.DUMMYFUNCTION("""COMPUTED_VALUE"""),"Normal")</f>
        <v>Normal</v>
      </c>
      <c r="O271" s="3" t="str">
        <f>IFERROR(__xludf.DUMMYFUNCTION("""COMPUTED_VALUE"""),"Non Urgent")</f>
        <v>Non Urgent</v>
      </c>
    </row>
    <row r="272">
      <c r="A272" s="4">
        <f>IFERROR(__xludf.DUMMYFUNCTION("""COMPUTED_VALUE"""),45854.7257002662)</f>
        <v>45854.7257</v>
      </c>
      <c r="B272" s="3" t="str">
        <f>IFERROR(__xludf.DUMMYFUNCTION("""COMPUTED_VALUE"""),"SFHBR0026")</f>
        <v>SFHBR0026</v>
      </c>
      <c r="C272" s="3" t="str">
        <f>IFERROR(__xludf.DUMMYFUNCTION("""COMPUTED_VALUE"""),"EJO")</f>
        <v>EJO</v>
      </c>
      <c r="D272" s="3" t="str">
        <f>IFERROR(__xludf.DUMMYFUNCTION("""COMPUTED_VALUE"""),"EJO/2025/06/159")</f>
        <v>EJO/2025/06/159</v>
      </c>
      <c r="E272" s="3" t="str">
        <f>IFERROR(__xludf.DUMMYFUNCTION("""COMPUTED_VALUE"""),"lantai 2")</f>
        <v>lantai 2</v>
      </c>
      <c r="F272" s="3" t="str">
        <f>IFERROR(__xludf.DUMMYFUNCTION("""COMPUTED_VALUE"""),"Expanded metal besi ")</f>
        <v>Expanded metal besi </v>
      </c>
      <c r="G272" s="3" t="str">
        <f>IFERROR(__xludf.DUMMYFUNCTION("""COMPUTED_VALUE"""),"Expanded metal besi tipe 3035 UK 120x240cm-tebal 3mm")</f>
        <v>Expanded metal besi tipe 3035 UK 120x240cm-tebal 3mm</v>
      </c>
      <c r="H272" s="3" t="str">
        <f>IFERROR(__xludf.DUMMYFUNCTION("""COMPUTED_VALUE"""),"expanded")</f>
        <v>expanded</v>
      </c>
      <c r="I272" s="3">
        <f>IFERROR(__xludf.DUMMYFUNCTION("""COMPUTED_VALUE"""),1.0)</f>
        <v>1</v>
      </c>
      <c r="J272" s="3" t="str">
        <f>IFERROR(__xludf.DUMMYFUNCTION("""COMPUTED_VALUE"""),"lembar")</f>
        <v>lembar</v>
      </c>
      <c r="K272" s="5" t="str">
        <f>IFERROR(__xludf.DUMMYFUNCTION("""COMPUTED_VALUE"""),"https://www.tokopedia.com/agasperforated/expanded-metal-besi-tipe-3035-uk-120x240cm-tebal-3mm-1729843510168749373?utm_source=salinlink&amp;utm_medium=share&amp;utm_campaign=PDP-19222668-4261606302-160725-RKdhUE")</f>
        <v>https://www.tokopedia.com/agasperforated/expanded-metal-besi-tipe-3035-uk-120x240cm-tebal-3mm-1729843510168749373?utm_source=salinlink&amp;utm_medium=share&amp;utm_campaign=PDP-19222668-4261606302-160725-RKdhUE</v>
      </c>
      <c r="L272" s="3" t="str">
        <f>IFERROR(__xludf.DUMMYFUNCTION("""COMPUTED_VALUE"""),"-")</f>
        <v>-</v>
      </c>
      <c r="M272" s="3" t="str">
        <f>IFERROR(__xludf.DUMMYFUNCTION("""COMPUTED_VALUE"""),"Approve")</f>
        <v>Approve</v>
      </c>
      <c r="N272" s="3" t="str">
        <f>IFERROR(__xludf.DUMMYFUNCTION("""COMPUTED_VALUE"""),"Normal")</f>
        <v>Normal</v>
      </c>
      <c r="O272" s="3" t="str">
        <f>IFERROR(__xludf.DUMMYFUNCTION("""COMPUTED_VALUE"""),"Non Urgent")</f>
        <v>Non Urgent</v>
      </c>
    </row>
    <row r="273">
      <c r="A273" s="4">
        <f>IFERROR(__xludf.DUMMYFUNCTION("""COMPUTED_VALUE"""),45856.946698657404)</f>
        <v>45856.9467</v>
      </c>
      <c r="B273" s="3" t="str">
        <f>IFERROR(__xludf.DUMMYFUNCTION("""COMPUTED_VALUE"""),"SFHBR0027")</f>
        <v>SFHBR0027</v>
      </c>
      <c r="C273" s="3" t="str">
        <f>IFERROR(__xludf.DUMMYFUNCTION("""COMPUTED_VALUE"""),"Consumable")</f>
        <v>Consumable</v>
      </c>
      <c r="D273" s="3" t="str">
        <f>IFERROR(__xludf.DUMMYFUNCTION("""COMPUTED_VALUE"""),"-")</f>
        <v>-</v>
      </c>
      <c r="E273" s="3" t="str">
        <f>IFERROR(__xludf.DUMMYFUNCTION("""COMPUTED_VALUE"""),"lantai 2")</f>
        <v>lantai 2</v>
      </c>
      <c r="F273" s="3" t="str">
        <f>IFERROR(__xludf.DUMMYFUNCTION("""COMPUTED_VALUE"""),"nachi mata bor besi")</f>
        <v>nachi mata bor besi</v>
      </c>
      <c r="G273" s="3" t="str">
        <f>IFERROR(__xludf.DUMMYFUNCTION("""COMPUTED_VALUE"""),"nachi mata bor besi HSS 1set ")</f>
        <v>nachi mata bor besi HSS 1set </v>
      </c>
      <c r="H273" s="3" t="str">
        <f>IFERROR(__xludf.DUMMYFUNCTION("""COMPUTED_VALUE"""),"Nachi")</f>
        <v>Nachi</v>
      </c>
      <c r="I273" s="3">
        <f>IFERROR(__xludf.DUMMYFUNCTION("""COMPUTED_VALUE"""),1.0)</f>
        <v>1</v>
      </c>
      <c r="J273" s="3" t="str">
        <f>IFERROR(__xludf.DUMMYFUNCTION("""COMPUTED_VALUE"""),"set")</f>
        <v>set</v>
      </c>
      <c r="K273" s="5" t="str">
        <f>IFERROR(__xludf.DUMMYFUNCTION("""COMPUTED_VALUE"""),"https://tk.tokopedia.com/ZSB7hs9np/")</f>
        <v>https://tk.tokopedia.com/ZSB7hs9np/</v>
      </c>
      <c r="L273" s="3" t="str">
        <f>IFERROR(__xludf.DUMMYFUNCTION("""COMPUTED_VALUE"""),"-")</f>
        <v>-</v>
      </c>
      <c r="M273" s="3" t="str">
        <f>IFERROR(__xludf.DUMMYFUNCTION("""COMPUTED_VALUE"""),"Approve")</f>
        <v>Approve</v>
      </c>
      <c r="N273" s="3" t="str">
        <f>IFERROR(__xludf.DUMMYFUNCTION("""COMPUTED_VALUE"""),"Normal")</f>
        <v>Normal</v>
      </c>
      <c r="O273" s="3" t="str">
        <f>IFERROR(__xludf.DUMMYFUNCTION("""COMPUTED_VALUE"""),"Non Urgent")</f>
        <v>Non Urgent</v>
      </c>
    </row>
    <row r="274">
      <c r="A274" s="4">
        <f>IFERROR(__xludf.DUMMYFUNCTION("""COMPUTED_VALUE"""),45860.91860982639)</f>
        <v>45860.91861</v>
      </c>
      <c r="B274" s="3" t="str">
        <f>IFERROR(__xludf.DUMMYFUNCTION("""COMPUTED_VALUE"""),"RIABR0047")</f>
        <v>RIABR0047</v>
      </c>
      <c r="C274" s="3" t="str">
        <f>IFERROR(__xludf.DUMMYFUNCTION("""COMPUTED_VALUE"""),"EJO")</f>
        <v>EJO</v>
      </c>
      <c r="D274" s="3" t="str">
        <f>IFERROR(__xludf.DUMMYFUNCTION("""COMPUTED_VALUE"""),"EJO/2025/07/153")</f>
        <v>EJO/2025/07/153</v>
      </c>
      <c r="E274" s="3" t="str">
        <f>IFERROR(__xludf.DUMMYFUNCTION("""COMPUTED_VALUE"""),"WWTP")</f>
        <v>WWTP</v>
      </c>
      <c r="F274" s="3" t="str">
        <f>IFERROR(__xludf.DUMMYFUNCTION("""COMPUTED_VALUE"""),"Pilot Lamp")</f>
        <v>Pilot Lamp</v>
      </c>
      <c r="G274" s="3" t="str">
        <f>IFERROR(__xludf.DUMMYFUNCTION("""COMPUTED_VALUE"""),"Pilot Lamp LED 22MM AD22-22DS / AD2222DS Merah Kuning Hijau, 220 VAC")</f>
        <v>Pilot Lamp LED 22MM AD22-22DS / AD2222DS Merah Kuning Hijau, 220 VAC</v>
      </c>
      <c r="H274" s="3" t="str">
        <f>IFERROR(__xludf.DUMMYFUNCTION("""COMPUTED_VALUE"""),"Fort")</f>
        <v>Fort</v>
      </c>
      <c r="I274" s="3">
        <f>IFERROR(__xludf.DUMMYFUNCTION("""COMPUTED_VALUE"""),3.0)</f>
        <v>3</v>
      </c>
      <c r="J274" s="3" t="str">
        <f>IFERROR(__xludf.DUMMYFUNCTION("""COMPUTED_VALUE"""),"Pcs")</f>
        <v>Pcs</v>
      </c>
      <c r="K274" s="5" t="str">
        <f>IFERROR(__xludf.DUMMYFUNCTION("""COMPUTED_VALUE"""),"https://www.tokopedia.com/aaelec/pilot-lamp-led-22mm-ad22-22ds-ad2222ds-merah-hijau-kuning-fort?extParam=ivf%3Dfalse%26keyword%3Dpilot+lamp+220+v%26search_id%3D20250722150116496E05E1AEA0A9031JW6%26src%3Dsearch&amp;t_id=1753196486907&amp;t_st=1&amp;t_pp=search_result&amp;"&amp;"t_efo=search_pure_goods_card&amp;t_ef=goods_search&amp;t_sm=&amp;t_spt=search_result")</f>
        <v>https://www.tokopedia.com/aaelec/pilot-lamp-led-22mm-ad22-22ds-ad2222ds-merah-hijau-kuning-fort?extParam=ivf%3Dfalse%26keyword%3Dpilot+lamp+220+v%26search_id%3D20250722150116496E05E1AEA0A9031JW6%26src%3Dsearch&amp;t_id=1753196486907&amp;t_st=1&amp;t_pp=search_result&amp;t_efo=search_pure_goods_card&amp;t_ef=goods_search&amp;t_sm=&amp;t_spt=search_result</v>
      </c>
      <c r="L274" s="3" t="str">
        <f>IFERROR(__xludf.DUMMYFUNCTION("""COMPUTED_VALUE"""),"Warna MERAH KUNING HIJAU ya")</f>
        <v>Warna MERAH KUNING HIJAU ya</v>
      </c>
      <c r="M274" s="3" t="str">
        <f>IFERROR(__xludf.DUMMYFUNCTION("""COMPUTED_VALUE"""),"Approve")</f>
        <v>Approve</v>
      </c>
      <c r="N274" s="3" t="str">
        <f>IFERROR(__xludf.DUMMYFUNCTION("""COMPUTED_VALUE"""),"Normal")</f>
        <v>Normal</v>
      </c>
      <c r="O274" s="3" t="str">
        <f>IFERROR(__xludf.DUMMYFUNCTION("""COMPUTED_VALUE"""),"Non Urgent")</f>
        <v>Non Urgent</v>
      </c>
    </row>
    <row r="275">
      <c r="A275" s="4">
        <f>IFERROR(__xludf.DUMMYFUNCTION("""COMPUTED_VALUE"""),45861.66406931713)</f>
        <v>45861.66407</v>
      </c>
      <c r="B275" s="3" t="str">
        <f>IFERROR(__xludf.DUMMYFUNCTION("""COMPUTED_VALUE"""),"INNBR0039")</f>
        <v>INNBR0039</v>
      </c>
      <c r="C275" s="3" t="str">
        <f>IFERROR(__xludf.DUMMYFUNCTION("""COMPUTED_VALUE"""),"EJO")</f>
        <v>EJO</v>
      </c>
      <c r="D275" s="3" t="str">
        <f>IFERROR(__xludf.DUMMYFUNCTION("""COMPUTED_VALUE"""),"EJO/2025/07/170")</f>
        <v>EJO/2025/07/170</v>
      </c>
      <c r="E275" s="3" t="str">
        <f>IFERROR(__xludf.DUMMYFUNCTION("""COMPUTED_VALUE"""),"GC")</f>
        <v>GC</v>
      </c>
      <c r="F275" s="3" t="str">
        <f>IFERROR(__xludf.DUMMYFUNCTION("""COMPUTED_VALUE"""),"HTR/Sensor for FID/TCD/NPD/SSL p/n: G1530-67950")</f>
        <v>HTR/Sensor for FID/TCD/NPD/SSL p/n: G1530-67950</v>
      </c>
      <c r="G275" s="3" t="str">
        <f>IFERROR(__xludf.DUMMYFUNCTION("""COMPUTED_VALUE"""),"Sesuai penawaran")</f>
        <v>Sesuai penawaran</v>
      </c>
      <c r="H275" s="3" t="str">
        <f>IFERROR(__xludf.DUMMYFUNCTION("""COMPUTED_VALUE"""),"GC")</f>
        <v>GC</v>
      </c>
      <c r="I275" s="3">
        <f>IFERROR(__xludf.DUMMYFUNCTION("""COMPUTED_VALUE"""),1.0)</f>
        <v>1</v>
      </c>
      <c r="J275" s="3" t="str">
        <f>IFERROR(__xludf.DUMMYFUNCTION("""COMPUTED_VALUE"""),"Unit")</f>
        <v>Unit</v>
      </c>
      <c r="K275" s="5" t="str">
        <f>IFERROR(__xludf.DUMMYFUNCTION("""COMPUTED_VALUE"""),"https://drive.google.com/file/d/127Rng8nh31Kwgdl5jNkROyeyqTaYG605/view?usp=drive_link")</f>
        <v>https://drive.google.com/file/d/127Rng8nh31Kwgdl5jNkROyeyqTaYG605/view?usp=drive_link</v>
      </c>
      <c r="L275" s="3" t="str">
        <f>IFERROR(__xludf.DUMMYFUNCTION("""COMPUTED_VALUE"""),"Untuk sensor dan heater FID ( untuk semetara di pinjamkan oleh vendor)")</f>
        <v>Untuk sensor dan heater FID ( untuk semetara di pinjamkan oleh vendor)</v>
      </c>
      <c r="M275" s="3" t="str">
        <f>IFERROR(__xludf.DUMMYFUNCTION("""COMPUTED_VALUE"""),"Approve")</f>
        <v>Approve</v>
      </c>
      <c r="N275" s="3" t="str">
        <f>IFERROR(__xludf.DUMMYFUNCTION("""COMPUTED_VALUE"""),"Normal")</f>
        <v>Normal</v>
      </c>
      <c r="O275" s="3" t="str">
        <f>IFERROR(__xludf.DUMMYFUNCTION("""COMPUTED_VALUE"""),"Non Urgent")</f>
        <v>Non Urgent</v>
      </c>
    </row>
    <row r="276">
      <c r="A276" s="4">
        <f>IFERROR(__xludf.DUMMYFUNCTION("""COMPUTED_VALUE"""),45862.840181064814)</f>
        <v>45862.84018</v>
      </c>
      <c r="B276" s="3" t="str">
        <f>IFERROR(__xludf.DUMMYFUNCTION("""COMPUTED_VALUE"""),"ANOBR0026")</f>
        <v>ANOBR0026</v>
      </c>
      <c r="C276" s="3" t="str">
        <f>IFERROR(__xludf.DUMMYFUNCTION("""COMPUTED_VALUE"""),"EJO")</f>
        <v>EJO</v>
      </c>
      <c r="D276" s="3" t="str">
        <f>IFERROR(__xludf.DUMMYFUNCTION("""COMPUTED_VALUE"""),"EJO/2025/05/156")</f>
        <v>EJO/2025/05/156</v>
      </c>
      <c r="E276" s="3" t="str">
        <f>IFERROR(__xludf.DUMMYFUNCTION("""COMPUTED_VALUE"""),"trolley pollybotle")</f>
        <v>trolley pollybotle</v>
      </c>
      <c r="F276" s="3" t="str">
        <f>IFERROR(__xludf.DUMMYFUNCTION("""COMPUTED_VALUE"""),"pilox warna stainless")</f>
        <v>pilox warna stainless</v>
      </c>
      <c r="G276" s="3" t="str">
        <f>IFERROR(__xludf.DUMMYFUNCTION("""COMPUTED_VALUE"""),"pilox warna stainless")</f>
        <v>pilox warna stainless</v>
      </c>
      <c r="H276" s="3" t="str">
        <f>IFERROR(__xludf.DUMMYFUNCTION("""COMPUTED_VALUE"""),"-")</f>
        <v>-</v>
      </c>
      <c r="I276" s="3">
        <f>IFERROR(__xludf.DUMMYFUNCTION("""COMPUTED_VALUE"""),1.0)</f>
        <v>1</v>
      </c>
      <c r="J276" s="3" t="str">
        <f>IFERROR(__xludf.DUMMYFUNCTION("""COMPUTED_VALUE"""),"Pcs")</f>
        <v>Pcs</v>
      </c>
      <c r="K276" s="5" t="str">
        <f>IFERROR(__xludf.DUMMYFUNCTION("""COMPUTED_VALUE"""),"https://www.tokopedia.com/tokomitraaneka/cat-semprot-chrome-stainless-360ml-spray-paint-anti-karat-warna-stainless?aff_unique_id=&amp;channel=others&amp;chain_key=")</f>
        <v>https://www.tokopedia.com/tokomitraaneka/cat-semprot-chrome-stainless-360ml-spray-paint-anti-karat-warna-stainless?aff_unique_id=&amp;channel=others&amp;chain_key=</v>
      </c>
      <c r="L276" s="3" t="str">
        <f>IFERROR(__xludf.DUMMYFUNCTION("""COMPUTED_VALUE"""),"untuk keperluan cat body trolley pollybottle")</f>
        <v>untuk keperluan cat body trolley pollybottle</v>
      </c>
      <c r="M276" s="3" t="str">
        <f>IFERROR(__xludf.DUMMYFUNCTION("""COMPUTED_VALUE"""),"Approve")</f>
        <v>Approve</v>
      </c>
      <c r="N276" s="3" t="str">
        <f>IFERROR(__xludf.DUMMYFUNCTION("""COMPUTED_VALUE"""),"Normal")</f>
        <v>Normal</v>
      </c>
      <c r="O276" s="3" t="str">
        <f>IFERROR(__xludf.DUMMYFUNCTION("""COMPUTED_VALUE"""),"Non Urgent")</f>
        <v>Non Urgent</v>
      </c>
    </row>
    <row r="277">
      <c r="A277" s="4">
        <f>IFERROR(__xludf.DUMMYFUNCTION("""COMPUTED_VALUE"""),45865.62745817129)</f>
        <v>45865.62746</v>
      </c>
      <c r="B277" s="3" t="str">
        <f>IFERROR(__xludf.DUMMYFUNCTION("""COMPUTED_VALUE"""),"MFHBR0009")</f>
        <v>MFHBR0009</v>
      </c>
      <c r="C277" s="3" t="str">
        <f>IFERROR(__xludf.DUMMYFUNCTION("""COMPUTED_VALUE"""),"Critical Part")</f>
        <v>Critical Part</v>
      </c>
      <c r="D277" s="3" t="str">
        <f>IFERROR(__xludf.DUMMYFUNCTION("""COMPUTED_VALUE"""),"-")</f>
        <v>-</v>
      </c>
      <c r="E277" s="3" t="str">
        <f>IFERROR(__xludf.DUMMYFUNCTION("""COMPUTED_VALUE"""),"Autoclave")</f>
        <v>Autoclave</v>
      </c>
      <c r="F277" s="3" t="str">
        <f>IFERROR(__xludf.DUMMYFUNCTION("""COMPUTED_VALUE"""),"HMI Siemens")</f>
        <v>HMI Siemens</v>
      </c>
      <c r="G277" s="3" t="str">
        <f>IFERROR(__xludf.DUMMYFUNCTION("""COMPUTED_VALUE"""),"KIT REPLACEMENT Siemens PC577C/Proface/B&amp;R WITH IPC277EE (KIT MEDIUM)")</f>
        <v>KIT REPLACEMENT Siemens PC577C/Proface/B&amp;R WITH IPC277EE (KIT MEDIUM)</v>
      </c>
      <c r="H277" s="3" t="str">
        <f>IFERROR(__xludf.DUMMYFUNCTION("""COMPUTED_VALUE"""),"Siemens")</f>
        <v>Siemens</v>
      </c>
      <c r="I277" s="3">
        <f>IFERROR(__xludf.DUMMYFUNCTION("""COMPUTED_VALUE"""),1.0)</f>
        <v>1</v>
      </c>
      <c r="J277" s="3" t="str">
        <f>IFERROR(__xludf.DUMMYFUNCTION("""COMPUTED_VALUE"""),"Unit")</f>
        <v>Unit</v>
      </c>
      <c r="K277" s="3" t="str">
        <f>IFERROR(__xludf.DUMMYFUNCTION("""COMPUTED_VALUE"""),"Email Pak Kris")</f>
        <v>Email Pak Kris</v>
      </c>
      <c r="L277" s="3" t="str">
        <f>IFERROR(__xludf.DUMMYFUNCTION("""COMPUTED_VALUE"""),"2342 121702798")</f>
        <v>2342 121702798</v>
      </c>
      <c r="M277" s="3" t="str">
        <f>IFERROR(__xludf.DUMMYFUNCTION("""COMPUTED_VALUE"""),"Approve")</f>
        <v>Approve</v>
      </c>
      <c r="N277" s="3" t="str">
        <f>IFERROR(__xludf.DUMMYFUNCTION("""COMPUTED_VALUE"""),"Normal")</f>
        <v>Normal</v>
      </c>
      <c r="O277" s="3" t="str">
        <f>IFERROR(__xludf.DUMMYFUNCTION("""COMPUTED_VALUE"""),"Non Urgent")</f>
        <v>Non Urgent</v>
      </c>
    </row>
    <row r="278">
      <c r="A278" s="4">
        <f>IFERROR(__xludf.DUMMYFUNCTION("""COMPUTED_VALUE"""),45865.6284737037)</f>
        <v>45865.62847</v>
      </c>
      <c r="B278" s="3" t="str">
        <f>IFERROR(__xludf.DUMMYFUNCTION("""COMPUTED_VALUE"""),"MFHBR0010")</f>
        <v>MFHBR0010</v>
      </c>
      <c r="C278" s="3" t="str">
        <f>IFERROR(__xludf.DUMMYFUNCTION("""COMPUTED_VALUE"""),"Critical Part")</f>
        <v>Critical Part</v>
      </c>
      <c r="D278" s="3" t="str">
        <f>IFERROR(__xludf.DUMMYFUNCTION("""COMPUTED_VALUE"""),"-")</f>
        <v>-</v>
      </c>
      <c r="E278" s="3" t="str">
        <f>IFERROR(__xludf.DUMMYFUNCTION("""COMPUTED_VALUE"""),"Building")</f>
        <v>Building</v>
      </c>
      <c r="F278" s="3" t="str">
        <f>IFERROR(__xludf.DUMMYFUNCTION("""COMPUTED_VALUE"""),"Epoxy")</f>
        <v>Epoxy</v>
      </c>
      <c r="G278" s="3" t="str">
        <f>IFERROR(__xludf.DUMMYFUNCTION("""COMPUTED_VALUE"""),"Epoxy Area FD dan Koridor")</f>
        <v>Epoxy Area FD dan Koridor</v>
      </c>
      <c r="H278" s="3" t="str">
        <f>IFERROR(__xludf.DUMMYFUNCTION("""COMPUTED_VALUE"""),"-")</f>
        <v>-</v>
      </c>
      <c r="I278" s="3">
        <f>IFERROR(__xludf.DUMMYFUNCTION("""COMPUTED_VALUE"""),1.0)</f>
        <v>1</v>
      </c>
      <c r="J278" s="3" t="str">
        <f>IFERROR(__xludf.DUMMYFUNCTION("""COMPUTED_VALUE"""),"Lot")</f>
        <v>Lot</v>
      </c>
      <c r="K278" s="3" t="str">
        <f>IFERROR(__xludf.DUMMYFUNCTION("""COMPUTED_VALUE"""),"Email mas Ken")</f>
        <v>Email mas Ken</v>
      </c>
      <c r="L278" s="3" t="str">
        <f>IFERROR(__xludf.DUMMYFUNCTION("""COMPUTED_VALUE"""),"2564 121702983")</f>
        <v>2564 121702983</v>
      </c>
      <c r="M278" s="3" t="str">
        <f>IFERROR(__xludf.DUMMYFUNCTION("""COMPUTED_VALUE"""),"Approve")</f>
        <v>Approve</v>
      </c>
      <c r="N278" s="3" t="str">
        <f>IFERROR(__xludf.DUMMYFUNCTION("""COMPUTED_VALUE"""),"Normal")</f>
        <v>Normal</v>
      </c>
      <c r="O278" s="3" t="str">
        <f>IFERROR(__xludf.DUMMYFUNCTION("""COMPUTED_VALUE"""),"Non Urgent")</f>
        <v>Non Urgent</v>
      </c>
    </row>
    <row r="279">
      <c r="A279" s="4">
        <f>IFERROR(__xludf.DUMMYFUNCTION("""COMPUTED_VALUE"""),45865.63765895833)</f>
        <v>45865.63766</v>
      </c>
      <c r="B279" s="3" t="str">
        <f>IFERROR(__xludf.DUMMYFUNCTION("""COMPUTED_VALUE"""),"MRNBR0035")</f>
        <v>MRNBR0035</v>
      </c>
      <c r="C279" s="3" t="str">
        <f>IFERROR(__xludf.DUMMYFUNCTION("""COMPUTED_VALUE"""),"EJO")</f>
        <v>EJO</v>
      </c>
      <c r="D279" s="3" t="str">
        <f>IFERROR(__xludf.DUMMYFUNCTION("""COMPUTED_VALUE"""),"EJO/2025/07/42")</f>
        <v>EJO/2025/07/42</v>
      </c>
      <c r="E279" s="3" t="str">
        <f>IFERROR(__xludf.DUMMYFUNCTION("""COMPUTED_VALUE"""),"Ruang GC lab")</f>
        <v>Ruang GC lab</v>
      </c>
      <c r="F279" s="3" t="str">
        <f>IFERROR(__xludf.DUMMYFUNCTION("""COMPUTED_VALUE"""),"solenoid valve 1/4 inch")</f>
        <v>solenoid valve 1/4 inch</v>
      </c>
      <c r="G279" s="3" t="str">
        <f>IFERROR(__xludf.DUMMYFUNCTION("""COMPUTED_VALUE"""),"Solenoid 2 way EMC 2V025-08 1/4 inch")</f>
        <v>Solenoid 2 way EMC 2V025-08 1/4 inch</v>
      </c>
      <c r="H279" s="3" t="str">
        <f>IFERROR(__xludf.DUMMYFUNCTION("""COMPUTED_VALUE"""),"EMC")</f>
        <v>EMC</v>
      </c>
      <c r="I279" s="3">
        <f>IFERROR(__xludf.DUMMYFUNCTION("""COMPUTED_VALUE"""),2.0)</f>
        <v>2</v>
      </c>
      <c r="J279" s="3" t="str">
        <f>IFERROR(__xludf.DUMMYFUNCTION("""COMPUTED_VALUE"""),"pcs")</f>
        <v>pcs</v>
      </c>
      <c r="K279" s="5" t="str">
        <f>IFERROR(__xludf.DUMMYFUNCTION("""COMPUTED_VALUE"""),"https://www.tokopedia.com/hydraulicpneumaticpower/solenoid-2-way-emc-2v025-08?extParam=ivf%3Dfalse%26keyword%3Dsolenoid+smc+2way%26search_id%3D2025072706554834ED066DF378EF066HKR%26src%3Dsearch&amp;t_id=1753599329818&amp;t_st=4&amp;t_pp=search_result&amp;t_efo=search_pure"&amp;"_goods_card&amp;t_ef=goods_search&amp;t_sm=&amp;t_spt=search_result")</f>
        <v>https://www.tokopedia.com/hydraulicpneumaticpower/solenoid-2-way-emc-2v025-08?extParam=ivf%3Dfalse%26keyword%3Dsolenoid+smc+2way%26search_id%3D2025072706554834ED066DF378EF066HKR%26src%3Dsearch&amp;t_id=1753599329818&amp;t_st=4&amp;t_pp=search_result&amp;t_efo=search_pure_goods_card&amp;t_ef=goods_search&amp;t_sm=&amp;t_spt=search_result</v>
      </c>
      <c r="L279" s="3" t="str">
        <f>IFERROR(__xludf.DUMMYFUNCTION("""COMPUTED_VALUE"""),"untuk GC lab")</f>
        <v>untuk GC lab</v>
      </c>
      <c r="M279" s="3" t="str">
        <f>IFERROR(__xludf.DUMMYFUNCTION("""COMPUTED_VALUE"""),"Approve")</f>
        <v>Approve</v>
      </c>
      <c r="N279" s="3" t="str">
        <f>IFERROR(__xludf.DUMMYFUNCTION("""COMPUTED_VALUE"""),"Normal")</f>
        <v>Normal</v>
      </c>
      <c r="O279" s="3" t="str">
        <f>IFERROR(__xludf.DUMMYFUNCTION("""COMPUTED_VALUE"""),"Non Urgent")</f>
        <v>Non Urgent</v>
      </c>
    </row>
    <row r="280">
      <c r="A280" s="4">
        <f>IFERROR(__xludf.DUMMYFUNCTION("""COMPUTED_VALUE"""),45867.668365590274)</f>
        <v>45867.66837</v>
      </c>
      <c r="B280" s="3" t="str">
        <f>IFERROR(__xludf.DUMMYFUNCTION("""COMPUTED_VALUE"""),"ROSBR0027")</f>
        <v>ROSBR0027</v>
      </c>
      <c r="C280" s="3" t="str">
        <f>IFERROR(__xludf.DUMMYFUNCTION("""COMPUTED_VALUE"""),"EJO")</f>
        <v>EJO</v>
      </c>
      <c r="D280" s="3" t="str">
        <f>IFERROR(__xludf.DUMMYFUNCTION("""COMPUTED_VALUE"""),"EJO/2025/07/56")</f>
        <v>EJO/2025/07/56</v>
      </c>
      <c r="E280" s="3" t="str">
        <f>IFERROR(__xludf.DUMMYFUNCTION("""COMPUTED_VALUE"""),"Cartoning ")</f>
        <v>Cartoning </v>
      </c>
      <c r="F280" s="3" t="str">
        <f>IFERROR(__xludf.DUMMYFUNCTION("""COMPUTED_VALUE"""),"Stabillus Lift-O-Mat
350N")</f>
        <v>Stabillus Lift-O-Mat
350N</v>
      </c>
      <c r="G280" s="3" t="str">
        <f>IFERROR(__xludf.DUMMYFUNCTION("""COMPUTED_VALUE"""),"Spesifikasi 
350N
Panjang B 245mm
panjang Stroke A 80mm
diameter Lubang 8,1mm")</f>
        <v>Spesifikasi 
350N
Panjang B 245mm
panjang Stroke A 80mm
diameter Lubang 8,1mm</v>
      </c>
      <c r="H280" s="3" t="str">
        <f>IFERROR(__xludf.DUMMYFUNCTION("""COMPUTED_VALUE"""),"Stabilus ")</f>
        <v>Stabilus </v>
      </c>
      <c r="I280" s="3">
        <f>IFERROR(__xludf.DUMMYFUNCTION("""COMPUTED_VALUE"""),2.0)</f>
        <v>2</v>
      </c>
      <c r="J280" s="3" t="str">
        <f>IFERROR(__xludf.DUMMYFUNCTION("""COMPUTED_VALUE"""),"Pcs")</f>
        <v>Pcs</v>
      </c>
      <c r="K280" s="5" t="str">
        <f>IFERROR(__xludf.DUMMYFUNCTION("""COMPUTED_VALUE"""),"https://drive.google.com/file/d/17L-6_bGUNd9ixK3VuVqmxtZA2TKaqWaJ/view?usp=drive_link")</f>
        <v>https://drive.google.com/file/d/17L-6_bGUNd9ixK3VuVqmxtZA2TKaqWaJ/view?usp=drive_link</v>
      </c>
      <c r="L280" s="3" t="str">
        <f>IFERROR(__xludf.DUMMYFUNCTION("""COMPUTED_VALUE"""),"Cylinder Pintu Cartoning (REJECT BY MFH, TIDAK ADA YANG BISA SUPPLY, TOLONG CARI P/N DI MESINNYA)")</f>
        <v>Cylinder Pintu Cartoning (REJECT BY MFH, TIDAK ADA YANG BISA SUPPLY, TOLONG CARI P/N DI MESINNYA)</v>
      </c>
      <c r="M280" s="3" t="str">
        <f>IFERROR(__xludf.DUMMYFUNCTION("""COMPUTED_VALUE"""),"Reject")</f>
        <v>Reject</v>
      </c>
      <c r="N280" s="3" t="str">
        <f>IFERROR(__xludf.DUMMYFUNCTION("""COMPUTED_VALUE"""),"Normal")</f>
        <v>Normal</v>
      </c>
      <c r="O280" s="3" t="str">
        <f>IFERROR(__xludf.DUMMYFUNCTION("""COMPUTED_VALUE"""),"Non Urgent")</f>
        <v>Non Urgent</v>
      </c>
    </row>
    <row r="281">
      <c r="A281" s="4">
        <f>IFERROR(__xludf.DUMMYFUNCTION("""COMPUTED_VALUE"""),45871.05889086806)</f>
        <v>45871.05889</v>
      </c>
      <c r="B281" s="3" t="str">
        <f>IFERROR(__xludf.DUMMYFUNCTION("""COMPUTED_VALUE"""),"SFHBR0028")</f>
        <v>SFHBR0028</v>
      </c>
      <c r="C281" s="3" t="str">
        <f>IFERROR(__xludf.DUMMYFUNCTION("""COMPUTED_VALUE"""),"Consumable")</f>
        <v>Consumable</v>
      </c>
      <c r="D281" s="3" t="str">
        <f>IFERROR(__xludf.DUMMYFUNCTION("""COMPUTED_VALUE"""),"-")</f>
        <v>-</v>
      </c>
      <c r="E281" s="3" t="str">
        <f>IFERROR(__xludf.DUMMYFUNCTION("""COMPUTED_VALUE"""),"lantai 2")</f>
        <v>lantai 2</v>
      </c>
      <c r="F281" s="3" t="str">
        <f>IFERROR(__xludf.DUMMYFUNCTION("""COMPUTED_VALUE"""),"cat dulux water shield")</f>
        <v>cat dulux water shield</v>
      </c>
      <c r="G281" s="3" t="str">
        <f>IFERROR(__xludf.DUMMYFUNCTION("""COMPUTED_VALUE"""),"Base T918A")</f>
        <v>Base T918A</v>
      </c>
      <c r="H281" s="3" t="str">
        <f>IFERROR(__xludf.DUMMYFUNCTION("""COMPUTED_VALUE"""),"DULUX ")</f>
        <v>DULUX </v>
      </c>
      <c r="I281" s="3">
        <f>IFERROR(__xludf.DUMMYFUNCTION("""COMPUTED_VALUE"""),2.0)</f>
        <v>2</v>
      </c>
      <c r="J281" s="3" t="str">
        <f>IFERROR(__xludf.DUMMYFUNCTION("""COMPUTED_VALUE"""),"pel")</f>
        <v>pel</v>
      </c>
      <c r="K281" s="5" t="str">
        <f>IFERROR(__xludf.DUMMYFUNCTION("""COMPUTED_VALUE"""),"https://tokopedia.link/Sc8UgwJmDVb")</f>
        <v>https://tokopedia.link/Sc8UgwJmDVb</v>
      </c>
      <c r="L281" s="3" t="str">
        <f>IFERROR(__xludf.DUMMYFUNCTION("""COMPUTED_VALUE"""),"-")</f>
        <v>-</v>
      </c>
      <c r="M281" s="3" t="str">
        <f>IFERROR(__xludf.DUMMYFUNCTION("""COMPUTED_VALUE"""),"Approve")</f>
        <v>Approve</v>
      </c>
      <c r="N281" s="3" t="str">
        <f>IFERROR(__xludf.DUMMYFUNCTION("""COMPUTED_VALUE"""),"Normal")</f>
        <v>Normal</v>
      </c>
      <c r="O281" s="3" t="str">
        <f>IFERROR(__xludf.DUMMYFUNCTION("""COMPUTED_VALUE"""),"Non Urgent")</f>
        <v>Non Urgent</v>
      </c>
    </row>
    <row r="282">
      <c r="A282" s="4">
        <f>IFERROR(__xludf.DUMMYFUNCTION("""COMPUTED_VALUE"""),45873.44341615741)</f>
        <v>45873.44342</v>
      </c>
      <c r="B282" s="3" t="str">
        <f>IFERROR(__xludf.DUMMYFUNCTION("""COMPUTED_VALUE"""),"MRNBR0036")</f>
        <v>MRNBR0036</v>
      </c>
      <c r="C282" s="3" t="str">
        <f>IFERROR(__xludf.DUMMYFUNCTION("""COMPUTED_VALUE"""),"EJO")</f>
        <v>EJO</v>
      </c>
      <c r="D282" s="3" t="str">
        <f>IFERROR(__xludf.DUMMYFUNCTION("""COMPUTED_VALUE"""),"EJO/2025/08/58")</f>
        <v>EJO/2025/08/58</v>
      </c>
      <c r="E282" s="3" t="str">
        <f>IFERROR(__xludf.DUMMYFUNCTION("""COMPUTED_VALUE"""),"PW SIKD")</f>
        <v>PW SIKD</v>
      </c>
      <c r="F282" s="3" t="str">
        <f>IFERROR(__xludf.DUMMYFUNCTION("""COMPUTED_VALUE"""),"Gasket Tanki silicon")</f>
        <v>Gasket Tanki silicon</v>
      </c>
      <c r="G282" s="3" t="str">
        <f>IFERROR(__xludf.DUMMYFUNCTION("""COMPUTED_VALUE"""),"diameter 42cm lebar 2,5cm type profile")</f>
        <v>diameter 42cm lebar 2,5cm type profile</v>
      </c>
      <c r="H282" s="3" t="str">
        <f>IFERROR(__xludf.DUMMYFUNCTION("""COMPUTED_VALUE"""),"NA")</f>
        <v>NA</v>
      </c>
      <c r="I282" s="3">
        <f>IFERROR(__xludf.DUMMYFUNCTION("""COMPUTED_VALUE"""),2.0)</f>
        <v>2</v>
      </c>
      <c r="J282" s="3" t="str">
        <f>IFERROR(__xludf.DUMMYFUNCTION("""COMPUTED_VALUE"""),"pcs")</f>
        <v>pcs</v>
      </c>
      <c r="K282" s="3" t="str">
        <f>IFERROR(__xludf.DUMMYFUNCTION("""COMPUTED_VALUE"""),"Harisa ,aku gak ada kontaknya")</f>
        <v>Harisa ,aku gak ada kontaknya</v>
      </c>
      <c r="L282" s="3" t="str">
        <f>IFERROR(__xludf.DUMMYFUNCTION("""COMPUTED_VALUE"""),"minta tolong survey harisa atau vendor gasket yang lain")</f>
        <v>minta tolong survey harisa atau vendor gasket yang lain</v>
      </c>
      <c r="M282" s="3" t="str">
        <f>IFERROR(__xludf.DUMMYFUNCTION("""COMPUTED_VALUE"""),"Approve")</f>
        <v>Approve</v>
      </c>
      <c r="N282" s="3" t="str">
        <f>IFERROR(__xludf.DUMMYFUNCTION("""COMPUTED_VALUE"""),"Normal")</f>
        <v>Normal</v>
      </c>
      <c r="O282" s="3" t="str">
        <f>IFERROR(__xludf.DUMMYFUNCTION("""COMPUTED_VALUE"""),"Non Urgent")</f>
        <v>Non Urgent</v>
      </c>
    </row>
    <row r="283">
      <c r="A283" s="4">
        <f>IFERROR(__xludf.DUMMYFUNCTION("""COMPUTED_VALUE"""),45874.41374378472)</f>
        <v>45874.41374</v>
      </c>
      <c r="B283" s="3" t="str">
        <f>IFERROR(__xludf.DUMMYFUNCTION("""COMPUTED_VALUE"""),"ANOBR0027")</f>
        <v>ANOBR0027</v>
      </c>
      <c r="C283" s="3" t="str">
        <f>IFERROR(__xludf.DUMMYFUNCTION("""COMPUTED_VALUE"""),"Consumable")</f>
        <v>Consumable</v>
      </c>
      <c r="D283" s="3" t="str">
        <f>IFERROR(__xludf.DUMMYFUNCTION("""COMPUTED_VALUE"""),"-")</f>
        <v>-</v>
      </c>
      <c r="E283" s="3" t="str">
        <f>IFERROR(__xludf.DUMMYFUNCTION("""COMPUTED_VALUE"""),"Instrumen BSC")</f>
        <v>Instrumen BSC</v>
      </c>
      <c r="F283" s="3" t="str">
        <f>IFERROR(__xludf.DUMMYFUNCTION("""COMPUTED_VALUE"""),"Akrilik 3 mm")</f>
        <v>Akrilik 3 mm</v>
      </c>
      <c r="G283" s="3" t="str">
        <f>IFERROR(__xludf.DUMMYFUNCTION("""COMPUTED_VALUE"""),"akrilik tebal 3 mm 120 cm x 120 cm")</f>
        <v>akrilik tebal 3 mm 120 cm x 120 cm</v>
      </c>
      <c r="H283" s="3" t="str">
        <f>IFERROR(__xludf.DUMMYFUNCTION("""COMPUTED_VALUE"""),"-")</f>
        <v>-</v>
      </c>
      <c r="I283" s="3">
        <f>IFERROR(__xludf.DUMMYFUNCTION("""COMPUTED_VALUE"""),1.0)</f>
        <v>1</v>
      </c>
      <c r="J283" s="3" t="str">
        <f>IFERROR(__xludf.DUMMYFUNCTION("""COMPUTED_VALUE"""),"lembar")</f>
        <v>lembar</v>
      </c>
      <c r="K283" s="3" t="str">
        <f>IFERROR(__xludf.DUMMYFUNCTION("""COMPUTED_VALUE"""),"-")</f>
        <v>-</v>
      </c>
      <c r="L283" s="3" t="str">
        <f>IFERROR(__xludf.DUMMYFUNCTION("""COMPUTED_VALUE"""),"untuk keperluan membuat pintu cover timbangan analitical balance")</f>
        <v>untuk keperluan membuat pintu cover timbangan analitical balance</v>
      </c>
      <c r="M283" s="3" t="str">
        <f>IFERROR(__xludf.DUMMYFUNCTION("""COMPUTED_VALUE"""),"Approve")</f>
        <v>Approve</v>
      </c>
      <c r="N283" s="3" t="str">
        <f>IFERROR(__xludf.DUMMYFUNCTION("""COMPUTED_VALUE"""),"Normal")</f>
        <v>Normal</v>
      </c>
      <c r="O283" s="3" t="str">
        <f>IFERROR(__xludf.DUMMYFUNCTION("""COMPUTED_VALUE"""),"Non Urgent")</f>
        <v>Non Urgent</v>
      </c>
    </row>
    <row r="284">
      <c r="A284" s="4">
        <f>IFERROR(__xludf.DUMMYFUNCTION("""COMPUTED_VALUE"""),45875.442428726856)</f>
        <v>45875.44243</v>
      </c>
      <c r="B284" s="3" t="str">
        <f>IFERROR(__xludf.DUMMYFUNCTION("""COMPUTED_VALUE"""),"ROSBR0028")</f>
        <v>ROSBR0028</v>
      </c>
      <c r="C284" s="3" t="str">
        <f>IFERROR(__xludf.DUMMYFUNCTION("""COMPUTED_VALUE"""),"Consumable")</f>
        <v>Consumable</v>
      </c>
      <c r="D284" s="3" t="str">
        <f>IFERROR(__xludf.DUMMYFUNCTION("""COMPUTED_VALUE"""),"NA ")</f>
        <v>NA </v>
      </c>
      <c r="E284" s="3" t="str">
        <f>IFERROR(__xludf.DUMMYFUNCTION("""COMPUTED_VALUE"""),"Preparasi Autoclave Lab mikro ")</f>
        <v>Preparasi Autoclave Lab mikro </v>
      </c>
      <c r="F284" s="3" t="str">
        <f>IFERROR(__xludf.DUMMYFUNCTION("""COMPUTED_VALUE"""),"Oring Dop pintu preparasi autoclave lab Mikro ")</f>
        <v>Oring Dop pintu preparasi autoclave lab Mikro </v>
      </c>
      <c r="G284" s="3" t="str">
        <f>IFERROR(__xludf.DUMMYFUNCTION("""COMPUTED_VALUE"""),"Material EPDM 
OD 28,20mm
ID 20,80mm
Tebal 3,7mm ")</f>
        <v>Material EPDM 
OD 28,20mm
ID 20,80mm
Tebal 3,7mm </v>
      </c>
      <c r="H284" s="3" t="str">
        <f>IFERROR(__xludf.DUMMYFUNCTION("""COMPUTED_VALUE"""),"Lokal ")</f>
        <v>Lokal </v>
      </c>
      <c r="I284" s="3">
        <f>IFERROR(__xludf.DUMMYFUNCTION("""COMPUTED_VALUE"""),10.0)</f>
        <v>10</v>
      </c>
      <c r="J284" s="3" t="str">
        <f>IFERROR(__xludf.DUMMYFUNCTION("""COMPUTED_VALUE"""),"Pcs")</f>
        <v>Pcs</v>
      </c>
      <c r="K284" s="3" t="str">
        <f>IFERROR(__xludf.DUMMYFUNCTION("""COMPUTED_VALUE"""),"-")</f>
        <v>-</v>
      </c>
      <c r="L284" s="3" t="str">
        <f>IFERROR(__xludf.DUMMYFUNCTION("""COMPUTED_VALUE"""),"Oring dop pintu autoclave Preparasi lab mikro ")</f>
        <v>Oring dop pintu autoclave Preparasi lab mikro </v>
      </c>
      <c r="M284" s="3" t="str">
        <f>IFERROR(__xludf.DUMMYFUNCTION("""COMPUTED_VALUE"""),"Approve")</f>
        <v>Approve</v>
      </c>
      <c r="N284" s="3" t="str">
        <f>IFERROR(__xludf.DUMMYFUNCTION("""COMPUTED_VALUE"""),"Normal")</f>
        <v>Normal</v>
      </c>
      <c r="O284" s="3" t="str">
        <f>IFERROR(__xludf.DUMMYFUNCTION("""COMPUTED_VALUE"""),"Non Urgent")</f>
        <v>Non Urgent</v>
      </c>
    </row>
    <row r="285">
      <c r="A285" s="4">
        <f>IFERROR(__xludf.DUMMYFUNCTION("""COMPUTED_VALUE"""),45875.45508028936)</f>
        <v>45875.45508</v>
      </c>
      <c r="B285" s="3" t="str">
        <f>IFERROR(__xludf.DUMMYFUNCTION("""COMPUTED_VALUE"""),"ROSBR0029")</f>
        <v>ROSBR0029</v>
      </c>
      <c r="C285" s="3" t="str">
        <f>IFERROR(__xludf.DUMMYFUNCTION("""COMPUTED_VALUE"""),"Consumable")</f>
        <v>Consumable</v>
      </c>
      <c r="D285" s="3" t="str">
        <f>IFERROR(__xludf.DUMMYFUNCTION("""COMPUTED_VALUE"""),"NA")</f>
        <v>NA</v>
      </c>
      <c r="E285" s="3" t="str">
        <f>IFERROR(__xludf.DUMMYFUNCTION("""COMPUTED_VALUE"""),"Preparasi Autoclave Lab Mikro 
")</f>
        <v>Preparasi Autoclave Lab Mikro 
</v>
      </c>
      <c r="F285" s="3" t="str">
        <f>IFERROR(__xludf.DUMMYFUNCTION("""COMPUTED_VALUE"""),"Oring Dop pintu preparasi autoclave lab Mikro ")</f>
        <v>Oring Dop pintu preparasi autoclave lab Mikro </v>
      </c>
      <c r="G285" s="3" t="str">
        <f>IFERROR(__xludf.DUMMYFUNCTION("""COMPUTED_VALUE"""),"Material EPDM 
OD 76,80mm
ID 69,70mm 
Tebal 3.50mm ")</f>
        <v>Material EPDM 
OD 76,80mm
ID 69,70mm 
Tebal 3.50mm </v>
      </c>
      <c r="H285" s="3" t="str">
        <f>IFERROR(__xludf.DUMMYFUNCTION("""COMPUTED_VALUE"""),"lokal ")</f>
        <v>lokal </v>
      </c>
      <c r="I285" s="3">
        <f>IFERROR(__xludf.DUMMYFUNCTION("""COMPUTED_VALUE"""),5.0)</f>
        <v>5</v>
      </c>
      <c r="J285" s="3" t="str">
        <f>IFERROR(__xludf.DUMMYFUNCTION("""COMPUTED_VALUE"""),"pcs")</f>
        <v>pcs</v>
      </c>
      <c r="K285" s="3" t="str">
        <f>IFERROR(__xludf.DUMMYFUNCTION("""COMPUTED_VALUE"""),"-")</f>
        <v>-</v>
      </c>
      <c r="L285" s="3" t="str">
        <f>IFERROR(__xludf.DUMMYFUNCTION("""COMPUTED_VALUE"""),"Oring dop pintu autoclave Preparasi lab mikro ")</f>
        <v>Oring dop pintu autoclave Preparasi lab mikro </v>
      </c>
      <c r="M285" s="3" t="str">
        <f>IFERROR(__xludf.DUMMYFUNCTION("""COMPUTED_VALUE"""),"Approve")</f>
        <v>Approve</v>
      </c>
      <c r="N285" s="3" t="str">
        <f>IFERROR(__xludf.DUMMYFUNCTION("""COMPUTED_VALUE"""),"Normal")</f>
        <v>Normal</v>
      </c>
      <c r="O285" s="3" t="str">
        <f>IFERROR(__xludf.DUMMYFUNCTION("""COMPUTED_VALUE"""),"Non Urgent")</f>
        <v>Non Urgent</v>
      </c>
    </row>
    <row r="286">
      <c r="A286" s="4">
        <f>IFERROR(__xludf.DUMMYFUNCTION("""COMPUTED_VALUE"""),45875.47010125)</f>
        <v>45875.4701</v>
      </c>
      <c r="B286" s="3" t="str">
        <f>IFERROR(__xludf.DUMMYFUNCTION("""COMPUTED_VALUE"""),"ROSBR0030")</f>
        <v>ROSBR0030</v>
      </c>
      <c r="C286" s="3" t="str">
        <f>IFERROR(__xludf.DUMMYFUNCTION("""COMPUTED_VALUE"""),"Consumable")</f>
        <v>Consumable</v>
      </c>
      <c r="D286" s="3" t="str">
        <f>IFERROR(__xludf.DUMMYFUNCTION("""COMPUTED_VALUE"""),"NA")</f>
        <v>NA</v>
      </c>
      <c r="E286" s="3" t="str">
        <f>IFERROR(__xludf.DUMMYFUNCTION("""COMPUTED_VALUE"""),"Compressor FD ")</f>
        <v>Compressor FD </v>
      </c>
      <c r="F286" s="3" t="str">
        <f>IFERROR(__xludf.DUMMYFUNCTION("""COMPUTED_VALUE"""),"Baut terminal kompressor ")</f>
        <v>Baut terminal kompressor </v>
      </c>
      <c r="G286" s="3" t="str">
        <f>IFERROR(__xludf.DUMMYFUNCTION("""COMPUTED_VALUE"""),"Baut Hexagonal M10
Material Tembaga 
Pitch 1.5mm
Diameter nominal  : 10mm
Panjang baut 20mm
panjang total : 26.80mm 
ukuran kepala : 17mm
tinggi kepala : 6.4mm")</f>
        <v>Baut Hexagonal M10
Material Tembaga 
Pitch 1.5mm
Diameter nominal  : 10mm
Panjang baut 20mm
panjang total : 26.80mm 
ukuran kepala : 17mm
tinggi kepala : 6.4mm</v>
      </c>
      <c r="H286" s="3" t="str">
        <f>IFERROR(__xludf.DUMMYFUNCTION("""COMPUTED_VALUE"""),"Lokal ")</f>
        <v>Lokal </v>
      </c>
      <c r="I286" s="3">
        <f>IFERROR(__xludf.DUMMYFUNCTION("""COMPUTED_VALUE"""),20.0)</f>
        <v>20</v>
      </c>
      <c r="J286" s="3" t="str">
        <f>IFERROR(__xludf.DUMMYFUNCTION("""COMPUTED_VALUE"""),"pcs")</f>
        <v>pcs</v>
      </c>
      <c r="K286" s="3" t="str">
        <f>IFERROR(__xludf.DUMMYFUNCTION("""COMPUTED_VALUE"""),"-")</f>
        <v>-</v>
      </c>
      <c r="L286" s="3" t="str">
        <f>IFERROR(__xludf.DUMMYFUNCTION("""COMPUTED_VALUE"""),"Baut Hexagonal buat teriminal kompressor FD ")</f>
        <v>Baut Hexagonal buat teriminal kompressor FD </v>
      </c>
      <c r="M286" s="3" t="str">
        <f>IFERROR(__xludf.DUMMYFUNCTION("""COMPUTED_VALUE"""),"Approve")</f>
        <v>Approve</v>
      </c>
      <c r="N286" s="3" t="str">
        <f>IFERROR(__xludf.DUMMYFUNCTION("""COMPUTED_VALUE"""),"Normal")</f>
        <v>Normal</v>
      </c>
      <c r="O286" s="3" t="str">
        <f>IFERROR(__xludf.DUMMYFUNCTION("""COMPUTED_VALUE"""),"Non Urgent")</f>
        <v>Non Urgent</v>
      </c>
    </row>
    <row r="287">
      <c r="A287" s="4">
        <f>IFERROR(__xludf.DUMMYFUNCTION("""COMPUTED_VALUE"""),45876.670065509265)</f>
        <v>45876.67007</v>
      </c>
      <c r="B287" s="3" t="str">
        <f>IFERROR(__xludf.DUMMYFUNCTION("""COMPUTED_VALUE"""),"AAABR0014")</f>
        <v>AAABR0014</v>
      </c>
      <c r="C287" s="3" t="str">
        <f>IFERROR(__xludf.DUMMYFUNCTION("""COMPUTED_VALUE"""),"EJO")</f>
        <v>EJO</v>
      </c>
      <c r="D287" s="3" t="str">
        <f>IFERROR(__xludf.DUMMYFUNCTION("""COMPUTED_VALUE"""),"EJO/2025/08/103")</f>
        <v>EJO/2025/08/103</v>
      </c>
      <c r="E287" s="3" t="str">
        <f>IFERROR(__xludf.DUMMYFUNCTION("""COMPUTED_VALUE"""),"EDM")</f>
        <v>EDM</v>
      </c>
      <c r="F287" s="3" t="str">
        <f>IFERROR(__xludf.DUMMYFUNCTION("""COMPUTED_VALUE"""),"P.W. SPRAYING VALVE ACTUATOR")</f>
        <v>P.W. SPRAYING VALVE ACTUATOR</v>
      </c>
      <c r="G287" s="3" t="str">
        <f>IFERROR(__xludf.DUMMYFUNCTION("""COMPUTED_VALUE"""),"Valve CL 1/8"" 3 ways 2 positions, N.C ; CL-302A
")</f>
        <v>Valve CL 1/8" 3 ways 2 positions, N.C ; CL-302A
</v>
      </c>
      <c r="H287" s="3" t="str">
        <f>IFERROR(__xludf.DUMMYFUNCTION("""COMPUTED_VALUE"""),"Univer")</f>
        <v>Univer</v>
      </c>
      <c r="I287" s="3">
        <f>IFERROR(__xludf.DUMMYFUNCTION("""COMPUTED_VALUE"""),3.0)</f>
        <v>3</v>
      </c>
      <c r="J287" s="3" t="str">
        <f>IFERROR(__xludf.DUMMYFUNCTION("""COMPUTED_VALUE"""),"Set")</f>
        <v>Set</v>
      </c>
      <c r="K287" s="3" t="str">
        <f>IFERROR(__xludf.DUMMYFUNCTION("""COMPUTED_VALUE"""),"NA")</f>
        <v>NA</v>
      </c>
      <c r="L287" s="3" t="str">
        <f>IFERROR(__xludf.DUMMYFUNCTION("""COMPUTED_VALUE"""),"Needed date : 07 Sep 25")</f>
        <v>Needed date : 07 Sep 25</v>
      </c>
      <c r="M287" s="3" t="str">
        <f>IFERROR(__xludf.DUMMYFUNCTION("""COMPUTED_VALUE"""),"Approve")</f>
        <v>Approve</v>
      </c>
      <c r="N287" s="3" t="str">
        <f>IFERROR(__xludf.DUMMYFUNCTION("""COMPUTED_VALUE"""),"Normal")</f>
        <v>Normal</v>
      </c>
      <c r="O287" s="3" t="str">
        <f>IFERROR(__xludf.DUMMYFUNCTION("""COMPUTED_VALUE"""),"Non Urgent")</f>
        <v>Non Urgent</v>
      </c>
    </row>
    <row r="288">
      <c r="A288" s="4">
        <f>IFERROR(__xludf.DUMMYFUNCTION("""COMPUTED_VALUE"""),45876.672597164354)</f>
        <v>45876.6726</v>
      </c>
      <c r="B288" s="3" t="str">
        <f>IFERROR(__xludf.DUMMYFUNCTION("""COMPUTED_VALUE"""),"AAABR0015")</f>
        <v>AAABR0015</v>
      </c>
      <c r="C288" s="3" t="str">
        <f>IFERROR(__xludf.DUMMYFUNCTION("""COMPUTED_VALUE"""),"EJO")</f>
        <v>EJO</v>
      </c>
      <c r="D288" s="3" t="str">
        <f>IFERROR(__xludf.DUMMYFUNCTION("""COMPUTED_VALUE"""),"EJO/2025/08/103")</f>
        <v>EJO/2025/08/103</v>
      </c>
      <c r="E288" s="3" t="str">
        <f>IFERROR(__xludf.DUMMYFUNCTION("""COMPUTED_VALUE"""),"EDM")</f>
        <v>EDM</v>
      </c>
      <c r="F288" s="3" t="str">
        <f>IFERROR(__xludf.DUMMYFUNCTION("""COMPUTED_VALUE"""),"P.W. SPRAYING VALVE ACTUATOR")</f>
        <v>P.W. SPRAYING VALVE ACTUATOR</v>
      </c>
      <c r="G288" s="3" t="str">
        <f>IFERROR(__xludf.DUMMYFUNCTION("""COMPUTED_VALUE"""),"Coil U1 3,5W 24VDC ; DA-0051
")</f>
        <v>Coil U1 3,5W 24VDC ; DA-0051
</v>
      </c>
      <c r="H288" s="3" t="str">
        <f>IFERROR(__xludf.DUMMYFUNCTION("""COMPUTED_VALUE"""),"Univer")</f>
        <v>Univer</v>
      </c>
      <c r="I288" s="3">
        <f>IFERROR(__xludf.DUMMYFUNCTION("""COMPUTED_VALUE"""),3.0)</f>
        <v>3</v>
      </c>
      <c r="J288" s="3" t="str">
        <f>IFERROR(__xludf.DUMMYFUNCTION("""COMPUTED_VALUE"""),"Ser")</f>
        <v>Ser</v>
      </c>
      <c r="K288" s="3" t="str">
        <f>IFERROR(__xludf.DUMMYFUNCTION("""COMPUTED_VALUE"""),"NA")</f>
        <v>NA</v>
      </c>
      <c r="L288" s="3" t="str">
        <f>IFERROR(__xludf.DUMMYFUNCTION("""COMPUTED_VALUE"""),"Needed date : 07 Sep 25")</f>
        <v>Needed date : 07 Sep 25</v>
      </c>
      <c r="M288" s="3" t="str">
        <f>IFERROR(__xludf.DUMMYFUNCTION("""COMPUTED_VALUE"""),"Approve")</f>
        <v>Approve</v>
      </c>
      <c r="N288" s="3" t="str">
        <f>IFERROR(__xludf.DUMMYFUNCTION("""COMPUTED_VALUE"""),"Normal")</f>
        <v>Normal</v>
      </c>
      <c r="O288" s="3" t="str">
        <f>IFERROR(__xludf.DUMMYFUNCTION("""COMPUTED_VALUE"""),"Non Urgent")</f>
        <v>Non Urgent</v>
      </c>
    </row>
    <row r="289">
      <c r="A289" s="4">
        <f>IFERROR(__xludf.DUMMYFUNCTION("""COMPUTED_VALUE"""),45882.236768981486)</f>
        <v>45882.23677</v>
      </c>
      <c r="B289" s="3" t="str">
        <f>IFERROR(__xludf.DUMMYFUNCTION("""COMPUTED_VALUE"""),"ROSBR0031")</f>
        <v>ROSBR0031</v>
      </c>
      <c r="C289" s="3" t="str">
        <f>IFERROR(__xludf.DUMMYFUNCTION("""COMPUTED_VALUE"""),"EJO")</f>
        <v>EJO</v>
      </c>
      <c r="D289" s="3" t="str">
        <f>IFERROR(__xludf.DUMMYFUNCTION("""COMPUTED_VALUE"""),"EJO/2025/08/114")</f>
        <v>EJO/2025/08/114</v>
      </c>
      <c r="E289" s="3" t="str">
        <f>IFERROR(__xludf.DUMMYFUNCTION("""COMPUTED_VALUE"""),"Panel Coating ")</f>
        <v>Panel Coating </v>
      </c>
      <c r="F289" s="3" t="str">
        <f>IFERROR(__xludf.DUMMYFUNCTION("""COMPUTED_VALUE"""),"Cooling fan ")</f>
        <v>Cooling fan </v>
      </c>
      <c r="G289" s="3" t="str">
        <f>IFERROR(__xludf.DUMMYFUNCTION("""COMPUTED_VALUE"""),"Cooling fan 
Merk KAKU
type KA1725HA2
220-240vac
50/60Hz 
 0.20-0.17A
dimensi 170x50mm")</f>
        <v>Cooling fan 
Merk KAKU
type KA1725HA2
220-240vac
50/60Hz 
 0.20-0.17A
dimensi 170x50mm</v>
      </c>
      <c r="H289" s="3" t="str">
        <f>IFERROR(__xludf.DUMMYFUNCTION("""COMPUTED_VALUE"""),"KAKU")</f>
        <v>KAKU</v>
      </c>
      <c r="I289" s="3">
        <f>IFERROR(__xludf.DUMMYFUNCTION("""COMPUTED_VALUE"""),1.0)</f>
        <v>1</v>
      </c>
      <c r="J289" s="3" t="str">
        <f>IFERROR(__xludf.DUMMYFUNCTION("""COMPUTED_VALUE"""),"Set")</f>
        <v>Set</v>
      </c>
      <c r="K289" s="5" t="str">
        <f>IFERROR(__xludf.DUMMYFUNCTION("""COMPUTED_VALUE"""),"https://shopee.co.id/Kaku-Ka1725Ha2-Fan-Kaku-Ka1725Ha2-Ball-Bearing-i.1524555400.41606998175?xptdk=04553a51-d4c6-4fed-94f6-5a1dd37959c2")</f>
        <v>https://shopee.co.id/Kaku-Ka1725Ha2-Fan-Kaku-Ka1725Ha2-Ball-Bearing-i.1524555400.41606998175?xptdk=04553a51-d4c6-4fed-94f6-5a1dd37959c2</v>
      </c>
      <c r="L289" s="3" t="str">
        <f>IFERROR(__xludf.DUMMYFUNCTION("""COMPUTED_VALUE"""),"Cooling fan buat panel mesin coating ")</f>
        <v>Cooling fan buat panel mesin coating </v>
      </c>
      <c r="M289" s="3" t="str">
        <f>IFERROR(__xludf.DUMMYFUNCTION("""COMPUTED_VALUE"""),"Approve")</f>
        <v>Approve</v>
      </c>
      <c r="N289" s="3" t="str">
        <f>IFERROR(__xludf.DUMMYFUNCTION("""COMPUTED_VALUE"""),"Normal")</f>
        <v>Normal</v>
      </c>
      <c r="O289" s="3" t="str">
        <f>IFERROR(__xludf.DUMMYFUNCTION("""COMPUTED_VALUE"""),"Non Urgent")</f>
        <v>Non Urgent</v>
      </c>
    </row>
    <row r="290">
      <c r="A290" s="4">
        <f>IFERROR(__xludf.DUMMYFUNCTION("""COMPUTED_VALUE"""),45882.389632708335)</f>
        <v>45882.38963</v>
      </c>
      <c r="B290" s="3" t="str">
        <f>IFERROR(__xludf.DUMMYFUNCTION("""COMPUTED_VALUE"""),"INNBR0040")</f>
        <v>INNBR0040</v>
      </c>
      <c r="C290" s="3" t="str">
        <f>IFERROR(__xludf.DUMMYFUNCTION("""COMPUTED_VALUE"""),"Critical Part")</f>
        <v>Critical Part</v>
      </c>
      <c r="D290" s="3" t="str">
        <f>IFERROR(__xludf.DUMMYFUNCTION("""COMPUTED_VALUE"""),"-")</f>
        <v>-</v>
      </c>
      <c r="E290" s="3" t="str">
        <f>IFERROR(__xludf.DUMMYFUNCTION("""COMPUTED_VALUE"""),"Filling")</f>
        <v>Filling</v>
      </c>
      <c r="F290" s="3" t="str">
        <f>IFERROR(__xludf.DUMMYFUNCTION("""COMPUTED_VALUE"""),"Spare Membrane diaphragm MA8 PTFE/EPDM SED")</f>
        <v>Spare Membrane diaphragm MA8 PTFE/EPDM SED</v>
      </c>
      <c r="G290" s="3" t="str">
        <f>IFERROR(__xludf.DUMMYFUNCTION("""COMPUTED_VALUE"""),"Sesuai penawaran")</f>
        <v>Sesuai penawaran</v>
      </c>
      <c r="H290" s="3" t="str">
        <f>IFERROR(__xludf.DUMMYFUNCTION("""COMPUTED_VALUE"""),"Filing")</f>
        <v>Filing</v>
      </c>
      <c r="I290" s="3">
        <f>IFERROR(__xludf.DUMMYFUNCTION("""COMPUTED_VALUE"""),4.0)</f>
        <v>4</v>
      </c>
      <c r="J290" s="3" t="str">
        <f>IFERROR(__xludf.DUMMYFUNCTION("""COMPUTED_VALUE"""),"Pcs")</f>
        <v>Pcs</v>
      </c>
      <c r="K290" s="5" t="str">
        <f>IFERROR(__xludf.DUMMYFUNCTION("""COMPUTED_VALUE"""),"https://drive.google.com/file/d/1c4GQT33CgbLa-GF_OX0w_b6sQB3WcTgt/view?usp=drive_link")</f>
        <v>https://drive.google.com/file/d/1c4GQT33CgbLa-GF_OX0w_b6sQB3WcTgt/view?usp=drive_link</v>
      </c>
      <c r="L290" s="3" t="str">
        <f>IFERROR(__xludf.DUMMYFUNCTION("""COMPUTED_VALUE"""),"Untuk buffer tank filling")</f>
        <v>Untuk buffer tank filling</v>
      </c>
      <c r="M290" s="3" t="str">
        <f>IFERROR(__xludf.DUMMYFUNCTION("""COMPUTED_VALUE"""),"Approve")</f>
        <v>Approve</v>
      </c>
      <c r="N290" s="3" t="str">
        <f>IFERROR(__xludf.DUMMYFUNCTION("""COMPUTED_VALUE"""),"Normal")</f>
        <v>Normal</v>
      </c>
      <c r="O290" s="3" t="str">
        <f>IFERROR(__xludf.DUMMYFUNCTION("""COMPUTED_VALUE"""),"Non Urgent")</f>
        <v>Non Urgent</v>
      </c>
    </row>
    <row r="291">
      <c r="A291" s="4">
        <f>IFERROR(__xludf.DUMMYFUNCTION("""COMPUTED_VALUE"""),45883.18858967593)</f>
        <v>45883.18859</v>
      </c>
      <c r="B291" s="3" t="str">
        <f>IFERROR(__xludf.DUMMYFUNCTION("""COMPUTED_VALUE"""),"ROSBR0032")</f>
        <v>ROSBR0032</v>
      </c>
      <c r="C291" s="3" t="str">
        <f>IFERROR(__xludf.DUMMYFUNCTION("""COMPUTED_VALUE"""),"EJO")</f>
        <v>EJO</v>
      </c>
      <c r="D291" s="3" t="str">
        <f>IFERROR(__xludf.DUMMYFUNCTION("""COMPUTED_VALUE"""),"EJO/2025/08/152")</f>
        <v>EJO/2025/08/152</v>
      </c>
      <c r="E291" s="3" t="str">
        <f>IFERROR(__xludf.DUMMYFUNCTION("""COMPUTED_VALUE"""),"Capping")</f>
        <v>Capping</v>
      </c>
      <c r="F291" s="3" t="str">
        <f>IFERROR(__xludf.DUMMYFUNCTION("""COMPUTED_VALUE"""),"Poisition indikator ")</f>
        <v>Poisition indikator </v>
      </c>
      <c r="G291" s="3" t="str">
        <f>IFERROR(__xludf.DUMMYFUNCTION("""COMPUTED_VALUE"""),"name ; Position Indikator
type DSNR
material shaft : stainless steel 
Diameter shaft : 14F7
material backboard : Nylon
Housing material ; ABS Yellow
Sleeve Material: SUS304")</f>
        <v>name ; Position Indikator
type DSNR
material shaft : stainless steel 
Diameter shaft : 14F7
material backboard : Nylon
Housing material ; ABS Yellow
Sleeve Material: SUS304</v>
      </c>
      <c r="H291" s="3" t="str">
        <f>IFERROR(__xludf.DUMMYFUNCTION("""COMPUTED_VALUE"""),"Misumi")</f>
        <v>Misumi</v>
      </c>
      <c r="I291" s="3">
        <f>IFERROR(__xludf.DUMMYFUNCTION("""COMPUTED_VALUE"""),1.0)</f>
        <v>1</v>
      </c>
      <c r="J291" s="3" t="str">
        <f>IFERROR(__xludf.DUMMYFUNCTION("""COMPUTED_VALUE"""),"set")</f>
        <v>set</v>
      </c>
      <c r="K291" s="5" t="str">
        <f>IFERROR(__xludf.DUMMYFUNCTION("""COMPUTED_VALUE"""),"https://drive.google.com/drive/folders/1AM6C0hzUr-5v39s7s6tXSZAMPk5WCFlV?usp=drive_link")</f>
        <v>https://drive.google.com/drive/folders/1AM6C0hzUr-5v39s7s6tXSZAMPk5WCFlV?usp=drive_link</v>
      </c>
      <c r="L291" s="3" t="str">
        <f>IFERROR(__xludf.DUMMYFUNCTION("""COMPUTED_VALUE"""),"Minta tolong beliin Position indikator sesuai dari merk misumi")</f>
        <v>Minta tolong beliin Position indikator sesuai dari merk misumi</v>
      </c>
      <c r="M291" s="3" t="str">
        <f>IFERROR(__xludf.DUMMYFUNCTION("""COMPUTED_VALUE"""),"Approve")</f>
        <v>Approve</v>
      </c>
      <c r="N291" s="3" t="str">
        <f>IFERROR(__xludf.DUMMYFUNCTION("""COMPUTED_VALUE"""),"Urgent")</f>
        <v>Urgent</v>
      </c>
      <c r="O291" s="3" t="str">
        <f>IFERROR(__xludf.DUMMYFUNCTION("""COMPUTED_VALUE"""),"Approve")</f>
        <v>Approve</v>
      </c>
    </row>
    <row r="292">
      <c r="A292" s="4">
        <f>IFERROR(__xludf.DUMMYFUNCTION("""COMPUTED_VALUE"""),45883.968983831015)</f>
        <v>45883.96898</v>
      </c>
      <c r="B292" s="3" t="str">
        <f>IFERROR(__xludf.DUMMYFUNCTION("""COMPUTED_VALUE"""),"RIABR0048")</f>
        <v>RIABR0048</v>
      </c>
      <c r="C292" s="3" t="str">
        <f>IFERROR(__xludf.DUMMYFUNCTION("""COMPUTED_VALUE"""),"EJO")</f>
        <v>EJO</v>
      </c>
      <c r="D292" s="3" t="str">
        <f>IFERROR(__xludf.DUMMYFUNCTION("""COMPUTED_VALUE"""),"EJO/2025/08/152")</f>
        <v>EJO/2025/08/152</v>
      </c>
      <c r="E292" s="3" t="str">
        <f>IFERROR(__xludf.DUMMYFUNCTION("""COMPUTED_VALUE"""),"Granulasi")</f>
        <v>Granulasi</v>
      </c>
      <c r="F292" s="3" t="str">
        <f>IFERROR(__xludf.DUMMYFUNCTION("""COMPUTED_VALUE"""),"Kabel Program")</f>
        <v>Kabel Program</v>
      </c>
      <c r="G292" s="3" t="str">
        <f>IFERROR(__xludf.DUMMYFUNCTION("""COMPUTED_VALUE"""),"K-Adp-Usb Programmer Pepperl+Fuchs")</f>
        <v>K-Adp-Usb Programmer Pepperl+Fuchs</v>
      </c>
      <c r="H292" s="3" t="str">
        <f>IFERROR(__xludf.DUMMYFUNCTION("""COMPUTED_VALUE"""),"Pepperl+Fuchs")</f>
        <v>Pepperl+Fuchs</v>
      </c>
      <c r="I292" s="3">
        <f>IFERROR(__xludf.DUMMYFUNCTION("""COMPUTED_VALUE"""),1.0)</f>
        <v>1</v>
      </c>
      <c r="J292" s="3" t="str">
        <f>IFERROR(__xludf.DUMMYFUNCTION("""COMPUTED_VALUE"""),"Pcs")</f>
        <v>Pcs</v>
      </c>
      <c r="K292" s="5" t="str">
        <f>IFERROR(__xludf.DUMMYFUNCTION("""COMPUTED_VALUE"""),"https://www.tokopedia.com/mitra-autopedia/k-adp-usb-programmer-pepperl-fuchs?t_id=1755187951766&amp;t_st=3&amp;t_pp=cart&amp;t_efo=cart&amp;t_ef=&amp;t_sm=&amp;t_spt=cart")</f>
        <v>https://www.tokopedia.com/mitra-autopedia/k-adp-usb-programmer-pepperl-fuchs?t_id=1755187951766&amp;t_st=3&amp;t_pp=cart&amp;t_efo=cart&amp;t_ef=&amp;t_sm=&amp;t_spt=cart</v>
      </c>
      <c r="L292" s="3" t="str">
        <f>IFERROR(__xludf.DUMMYFUNCTION("""COMPUTED_VALUE"""),"Untuk kabel adjust sensor temperature mesin granulasi. ")</f>
        <v>Untuk kabel adjust sensor temperature mesin granulasi. </v>
      </c>
      <c r="M292" s="3" t="str">
        <f>IFERROR(__xludf.DUMMYFUNCTION("""COMPUTED_VALUE"""),"Approve")</f>
        <v>Approve</v>
      </c>
      <c r="N292" s="3" t="str">
        <f>IFERROR(__xludf.DUMMYFUNCTION("""COMPUTED_VALUE"""),"Normal")</f>
        <v>Normal</v>
      </c>
      <c r="O292" s="3" t="str">
        <f>IFERROR(__xludf.DUMMYFUNCTION("""COMPUTED_VALUE"""),"Non Urgent")</f>
        <v>Non Urgent</v>
      </c>
    </row>
    <row r="293">
      <c r="A293" s="4">
        <f>IFERROR(__xludf.DUMMYFUNCTION("""COMPUTED_VALUE"""),45883.97457641204)</f>
        <v>45883.97458</v>
      </c>
      <c r="B293" s="3" t="str">
        <f>IFERROR(__xludf.DUMMYFUNCTION("""COMPUTED_VALUE"""),"RIABR0049")</f>
        <v>RIABR0049</v>
      </c>
      <c r="C293" s="3" t="str">
        <f>IFERROR(__xludf.DUMMYFUNCTION("""COMPUTED_VALUE"""),"Consumable")</f>
        <v>Consumable</v>
      </c>
      <c r="D293" s="3" t="str">
        <f>IFERROR(__xludf.DUMMYFUNCTION("""COMPUTED_VALUE"""),"-")</f>
        <v>-</v>
      </c>
      <c r="E293" s="3" t="str">
        <f>IFERROR(__xludf.DUMMYFUNCTION("""COMPUTED_VALUE"""),"PSG")</f>
        <v>PSG</v>
      </c>
      <c r="F293" s="3" t="str">
        <f>IFERROR(__xludf.DUMMYFUNCTION("""COMPUTED_VALUE"""),"Sarung Tangan")</f>
        <v>Sarung Tangan</v>
      </c>
      <c r="G293" s="3" t="str">
        <f>IFERROR(__xludf.DUMMYFUNCTION("""COMPUTED_VALUE"""),"Castong Heat Resistant Glove ABY 5T - Sarung Tangan Tahan Panas 500 C - ABY5T-34. The main material for the palm is para aramid felt and reinforced with para aramid twill. Resisting temperature of 500 deg.C for 30 - 40 seconds. With the para aramid twill "&amp;"reinforced, the service life prolongs more than two times")</f>
        <v>Castong Heat Resistant Glove ABY 5T - Sarung Tangan Tahan Panas 500 C - ABY5T-34. The main material for the palm is para aramid felt and reinforced with para aramid twill. Resisting temperature of 500 deg.C for 30 - 40 seconds. With the para aramid twill reinforced, the service life prolongs more than two times</v>
      </c>
      <c r="H293" s="3" t="str">
        <f>IFERROR(__xludf.DUMMYFUNCTION("""COMPUTED_VALUE"""),"Castong")</f>
        <v>Castong</v>
      </c>
      <c r="I293" s="3">
        <f>IFERROR(__xludf.DUMMYFUNCTION("""COMPUTED_VALUE"""),3.0)</f>
        <v>3</v>
      </c>
      <c r="J293" s="3" t="str">
        <f>IFERROR(__xludf.DUMMYFUNCTION("""COMPUTED_VALUE"""),"Pair")</f>
        <v>Pair</v>
      </c>
      <c r="K293" s="5" t="str">
        <f>IFERROR(__xludf.DUMMYFUNCTION("""COMPUTED_VALUE"""),"https://www.tokopedia.com/safetyfirstjkt/castong-heat-resistant-glove-aby-5t-sarung-tangan-tahan-panas-500-c-aby5t-34?extParam=ivf%3Dfalse%26keyword%3Dsarung+tangan+tahan+panas%26search_id%3D2025081416192611B9842E0A271F206M3E%26src%3Dsearch&amp;t_id=175518795"&amp;"1766&amp;t_st=6&amp;t_pp=search_result&amp;t_efo=search_pure_goods_card&amp;t_ef=goods_search&amp;t_sm=&amp;t_spt=search_result")</f>
        <v>https://www.tokopedia.com/safetyfirstjkt/castong-heat-resistant-glove-aby-5t-sarung-tangan-tahan-panas-500-c-aby5t-34?extParam=ivf%3Dfalse%26keyword%3Dsarung+tangan+tahan+panas%26search_id%3D2025081416192611B9842E0A271F206M3E%26src%3Dsearch&amp;t_id=1755187951766&amp;t_st=6&amp;t_pp=search_result&amp;t_efo=search_pure_goods_card&amp;t_ef=goods_search&amp;t_sm=&amp;t_spt=search_result</v>
      </c>
      <c r="L293" s="3" t="str">
        <f>IFERROR(__xludf.DUMMYFUNCTION("""COMPUTED_VALUE"""),"Untuk sarung tangan tahan panas buat PSG WFIG")</f>
        <v>Untuk sarung tangan tahan panas buat PSG WFIG</v>
      </c>
      <c r="M293" s="3" t="str">
        <f>IFERROR(__xludf.DUMMYFUNCTION("""COMPUTED_VALUE"""),"Approve")</f>
        <v>Approve</v>
      </c>
      <c r="N293" s="3" t="str">
        <f>IFERROR(__xludf.DUMMYFUNCTION("""COMPUTED_VALUE"""),"Normal")</f>
        <v>Normal</v>
      </c>
      <c r="O293" s="3" t="str">
        <f>IFERROR(__xludf.DUMMYFUNCTION("""COMPUTED_VALUE"""),"Non Urgent")</f>
        <v>Non Urgent</v>
      </c>
    </row>
    <row r="294">
      <c r="A294" s="4">
        <f>IFERROR(__xludf.DUMMYFUNCTION("""COMPUTED_VALUE"""),45884.56472163194)</f>
        <v>45884.56472</v>
      </c>
      <c r="B294" s="3" t="str">
        <f>IFERROR(__xludf.DUMMYFUNCTION("""COMPUTED_VALUE"""),"NDSBR0018")</f>
        <v>NDSBR0018</v>
      </c>
      <c r="C294" s="3" t="str">
        <f>IFERROR(__xludf.DUMMYFUNCTION("""COMPUTED_VALUE"""),"EJO")</f>
        <v>EJO</v>
      </c>
      <c r="D294" s="3" t="str">
        <f>IFERROR(__xludf.DUMMYFUNCTION("""COMPUTED_VALUE"""),"EJO/2025/08/178")</f>
        <v>EJO/2025/08/178</v>
      </c>
      <c r="E294" s="3" t="str">
        <f>IFERROR(__xludf.DUMMYFUNCTION("""COMPUTED_VALUE"""),"Tunnel")</f>
        <v>Tunnel</v>
      </c>
      <c r="F294" s="3" t="str">
        <f>IFERROR(__xludf.DUMMYFUNCTION("""COMPUTED_VALUE"""),"Pengunci Panel atas Tunnel")</f>
        <v>Pengunci Panel atas Tunnel</v>
      </c>
      <c r="G294" s="3" t="str">
        <f>IFERROR(__xludf.DUMMYFUNCTION("""COMPUTED_VALUE"""),"-")</f>
        <v>-</v>
      </c>
      <c r="H294" s="3" t="str">
        <f>IFERROR(__xludf.DUMMYFUNCTION("""COMPUTED_VALUE"""),"-")</f>
        <v>-</v>
      </c>
      <c r="I294" s="3">
        <f>IFERROR(__xludf.DUMMYFUNCTION("""COMPUTED_VALUE"""),1.0)</f>
        <v>1</v>
      </c>
      <c r="J294" s="3" t="str">
        <f>IFERROR(__xludf.DUMMYFUNCTION("""COMPUTED_VALUE"""),"PCS")</f>
        <v>PCS</v>
      </c>
      <c r="K294" s="5" t="str">
        <f>IFERROR(__xludf.DUMMYFUNCTION("""COMPUTED_VALUE"""),"https://www.lazada.co.id/products/slot-kunci-pintu-2-inch-grendel-slot-snless-kunci-pintu-5-cm-kunci-slot-cantol-50-mm-i6551580367.html")</f>
        <v>https://www.lazada.co.id/products/slot-kunci-pintu-2-inch-grendel-slot-snless-kunci-pintu-5-cm-kunci-slot-cantol-50-mm-i6551580367.html</v>
      </c>
      <c r="L294" s="3" t="str">
        <f>IFERROR(__xludf.DUMMYFUNCTION("""COMPUTED_VALUE"""),"-")</f>
        <v>-</v>
      </c>
      <c r="M294" s="3" t="str">
        <f>IFERROR(__xludf.DUMMYFUNCTION("""COMPUTED_VALUE"""),"Reject")</f>
        <v>Reject</v>
      </c>
      <c r="N294" s="3" t="str">
        <f>IFERROR(__xludf.DUMMYFUNCTION("""COMPUTED_VALUE"""),"Normal")</f>
        <v>Normal</v>
      </c>
      <c r="O294" s="3" t="str">
        <f>IFERROR(__xludf.DUMMYFUNCTION("""COMPUTED_VALUE"""),"Non Urgent")</f>
        <v>Non Urgent</v>
      </c>
    </row>
    <row r="295">
      <c r="A295" s="4">
        <f>IFERROR(__xludf.DUMMYFUNCTION("""COMPUTED_VALUE"""),45884.82297146991)</f>
        <v>45884.82297</v>
      </c>
      <c r="B295" s="3" t="str">
        <f>IFERROR(__xludf.DUMMYFUNCTION("""COMPUTED_VALUE"""),"MRNBR0037")</f>
        <v>MRNBR0037</v>
      </c>
      <c r="C295" s="3" t="str">
        <f>IFERROR(__xludf.DUMMYFUNCTION("""COMPUTED_VALUE"""),"EJO")</f>
        <v>EJO</v>
      </c>
      <c r="D295" s="3" t="str">
        <f>IFERROR(__xludf.DUMMYFUNCTION("""COMPUTED_VALUE"""),"EJO/2025/08/113")</f>
        <v>EJO/2025/08/113</v>
      </c>
      <c r="E295" s="3" t="str">
        <f>IFERROR(__xludf.DUMMYFUNCTION("""COMPUTED_VALUE"""),"Pintu gowning sampling")</f>
        <v>Pintu gowning sampling</v>
      </c>
      <c r="F295" s="3" t="str">
        <f>IFERROR(__xludf.DUMMYFUNCTION("""COMPUTED_VALUE"""),"Slot door")</f>
        <v>Slot door</v>
      </c>
      <c r="G295" s="3" t="str">
        <f>IFERROR(__xludf.DUMMYFUNCTION("""COMPUTED_VALUE"""),"electric dropbolt lock kunci pintu door access 5 kabel delay")</f>
        <v>electric dropbolt lock kunci pintu door access 5 kabel delay</v>
      </c>
      <c r="H295" s="3" t="str">
        <f>IFERROR(__xludf.DUMMYFUNCTION("""COMPUTED_VALUE"""),"NA")</f>
        <v>NA</v>
      </c>
      <c r="I295" s="3">
        <f>IFERROR(__xludf.DUMMYFUNCTION("""COMPUTED_VALUE"""),2.0)</f>
        <v>2</v>
      </c>
      <c r="J295" s="3" t="str">
        <f>IFERROR(__xludf.DUMMYFUNCTION("""COMPUTED_VALUE"""),"pcs")</f>
        <v>pcs</v>
      </c>
      <c r="K295" s="5" t="str">
        <f>IFERROR(__xludf.DUMMYFUNCTION("""COMPUTED_VALUE"""),"https://www.tokopedia.com/acesories038/electric-dropbolt-lock-kunci-pintu-door-access-5-kabel-delay")</f>
        <v>https://www.tokopedia.com/acesories038/electric-dropbolt-lock-kunci-pintu-door-access-5-kabel-delay</v>
      </c>
      <c r="L295" s="3" t="str">
        <f>IFERROR(__xludf.DUMMYFUNCTION("""COMPUTED_VALUE"""),"pintu sandwich sampling")</f>
        <v>pintu sandwich sampling</v>
      </c>
      <c r="M295" s="3" t="str">
        <f>IFERROR(__xludf.DUMMYFUNCTION("""COMPUTED_VALUE"""),"Approve")</f>
        <v>Approve</v>
      </c>
      <c r="N295" s="3" t="str">
        <f>IFERROR(__xludf.DUMMYFUNCTION("""COMPUTED_VALUE"""),"Normal")</f>
        <v>Normal</v>
      </c>
      <c r="O295" s="3" t="str">
        <f>IFERROR(__xludf.DUMMYFUNCTION("""COMPUTED_VALUE"""),"Non Urgent")</f>
        <v>Non Urgent</v>
      </c>
    </row>
    <row r="296">
      <c r="A296" s="4">
        <f>IFERROR(__xludf.DUMMYFUNCTION("""COMPUTED_VALUE"""),45884.82838428241)</f>
        <v>45884.82838</v>
      </c>
      <c r="B296" s="3" t="str">
        <f>IFERROR(__xludf.DUMMYFUNCTION("""COMPUTED_VALUE"""),"MRNBR0038")</f>
        <v>MRNBR0038</v>
      </c>
      <c r="C296" s="3" t="str">
        <f>IFERROR(__xludf.DUMMYFUNCTION("""COMPUTED_VALUE"""),"EJO")</f>
        <v>EJO</v>
      </c>
      <c r="D296" s="3" t="str">
        <f>IFERROR(__xludf.DUMMYFUNCTION("""COMPUTED_VALUE"""),"EJO/2025/08/144")</f>
        <v>EJO/2025/08/144</v>
      </c>
      <c r="E296" s="3" t="str">
        <f>IFERROR(__xludf.DUMMYFUNCTION("""COMPUTED_VALUE"""),"Ahu facd")</f>
        <v>Ahu facd</v>
      </c>
      <c r="F296" s="3" t="str">
        <f>IFERROR(__xludf.DUMMYFUNCTION("""COMPUTED_VALUE"""),"Body valve")</f>
        <v>Body valve</v>
      </c>
      <c r="G296" s="3" t="str">
        <f>IFERROR(__xludf.DUMMYFUNCTION("""COMPUTED_VALUE"""),"VVF31.90")</f>
        <v>VVF31.90</v>
      </c>
      <c r="H296" s="3" t="str">
        <f>IFERROR(__xludf.DUMMYFUNCTION("""COMPUTED_VALUE"""),"Siemens")</f>
        <v>Siemens</v>
      </c>
      <c r="I296" s="3">
        <f>IFERROR(__xludf.DUMMYFUNCTION("""COMPUTED_VALUE"""),1.0)</f>
        <v>1</v>
      </c>
      <c r="J296" s="3" t="str">
        <f>IFERROR(__xludf.DUMMYFUNCTION("""COMPUTED_VALUE"""),"pcs")</f>
        <v>pcs</v>
      </c>
      <c r="K296" s="5" t="str">
        <f>IFERROR(__xludf.DUMMYFUNCTION("""COMPUTED_VALUE"""),"https://hvac.de/en/obsolete-units/3436-vvf3190.html")</f>
        <v>https://hvac.de/en/obsolete-units/3436-vvf3190.html</v>
      </c>
      <c r="L296" s="3" t="str">
        <f>IFERROR(__xludf.DUMMYFUNCTION("""COMPUTED_VALUE"""),"return chiller, REJECT BY MFH KARENA ITEM DISCONTINUE ATAU OBSOLETE")</f>
        <v>return chiller, REJECT BY MFH KARENA ITEM DISCONTINUE ATAU OBSOLETE</v>
      </c>
      <c r="M296" s="3" t="str">
        <f>IFERROR(__xludf.DUMMYFUNCTION("""COMPUTED_VALUE"""),"Reject")</f>
        <v>Reject</v>
      </c>
      <c r="N296" s="3" t="str">
        <f>IFERROR(__xludf.DUMMYFUNCTION("""COMPUTED_VALUE"""),"Normal")</f>
        <v>Normal</v>
      </c>
      <c r="O296" s="3" t="str">
        <f>IFERROR(__xludf.DUMMYFUNCTION("""COMPUTED_VALUE"""),"Non Urgent")</f>
        <v>Non Urgent</v>
      </c>
    </row>
    <row r="297">
      <c r="A297" s="4">
        <f>IFERROR(__xludf.DUMMYFUNCTION("""COMPUTED_VALUE"""),45884.88693613426)</f>
        <v>45884.88694</v>
      </c>
      <c r="B297" s="3" t="str">
        <f>IFERROR(__xludf.DUMMYFUNCTION("""COMPUTED_VALUE"""),"MRNBR0039")</f>
        <v>MRNBR0039</v>
      </c>
      <c r="C297" s="3" t="str">
        <f>IFERROR(__xludf.DUMMYFUNCTION("""COMPUTED_VALUE"""),"EJO")</f>
        <v>EJO</v>
      </c>
      <c r="D297" s="3" t="str">
        <f>IFERROR(__xludf.DUMMYFUNCTION("""COMPUTED_VALUE"""),"EJO/2025/08/165")</f>
        <v>EJO/2025/08/165</v>
      </c>
      <c r="E297" s="3" t="str">
        <f>IFERROR(__xludf.DUMMYFUNCTION("""COMPUTED_VALUE"""),"AHU D1-1")</f>
        <v>AHU D1-1</v>
      </c>
      <c r="F297" s="3" t="str">
        <f>IFERROR(__xludf.DUMMYFUNCTION("""COMPUTED_VALUE"""),"Sensor flow")</f>
        <v>Sensor flow</v>
      </c>
      <c r="G297" s="3" t="str">
        <f>IFERROR(__xludf.DUMMYFUNCTION("""COMPUTED_VALUE"""),"Sensor flow MFS-R-500")</f>
        <v>Sensor flow MFS-R-500</v>
      </c>
      <c r="H297" s="3" t="str">
        <f>IFERROR(__xludf.DUMMYFUNCTION("""COMPUTED_VALUE"""),"Micatrone")</f>
        <v>Micatrone</v>
      </c>
      <c r="I297" s="3">
        <f>IFERROR(__xludf.DUMMYFUNCTION("""COMPUTED_VALUE"""),2.0)</f>
        <v>2</v>
      </c>
      <c r="J297" s="3" t="str">
        <f>IFERROR(__xludf.DUMMYFUNCTION("""COMPUTED_VALUE"""),"pcs")</f>
        <v>pcs</v>
      </c>
      <c r="K297" s="5" t="str">
        <f>IFERROR(__xludf.DUMMYFUNCTION("""COMPUTED_VALUE"""),"https://en.micatrone.se/produktor/mfs")</f>
        <v>https://en.micatrone.se/produktor/mfs</v>
      </c>
      <c r="L297" s="3" t="str">
        <f>IFERROR(__xludf.DUMMYFUNCTION("""COMPUTED_VALUE"""),"Rusak tidak terbaca")</f>
        <v>Rusak tidak terbaca</v>
      </c>
      <c r="M297" s="3" t="str">
        <f>IFERROR(__xludf.DUMMYFUNCTION("""COMPUTED_VALUE"""),"Approve")</f>
        <v>Approve</v>
      </c>
      <c r="N297" s="3" t="str">
        <f>IFERROR(__xludf.DUMMYFUNCTION("""COMPUTED_VALUE"""),"Normal")</f>
        <v>Normal</v>
      </c>
      <c r="O297" s="3" t="str">
        <f>IFERROR(__xludf.DUMMYFUNCTION("""COMPUTED_VALUE"""),"Non Urgent")</f>
        <v>Non Urgent</v>
      </c>
    </row>
    <row r="298">
      <c r="A298" s="4">
        <f>IFERROR(__xludf.DUMMYFUNCTION("""COMPUTED_VALUE"""),45884.888879652775)</f>
        <v>45884.88888</v>
      </c>
      <c r="B298" s="3" t="str">
        <f>IFERROR(__xludf.DUMMYFUNCTION("""COMPUTED_VALUE"""),"MRNBR0040")</f>
        <v>MRNBR0040</v>
      </c>
      <c r="C298" s="3" t="str">
        <f>IFERROR(__xludf.DUMMYFUNCTION("""COMPUTED_VALUE"""),"EJO")</f>
        <v>EJO</v>
      </c>
      <c r="D298" s="3" t="str">
        <f>IFERROR(__xludf.DUMMYFUNCTION("""COMPUTED_VALUE"""),"EJO/2025/08/82")</f>
        <v>EJO/2025/08/82</v>
      </c>
      <c r="E298" s="3" t="str">
        <f>IFERROR(__xludf.DUMMYFUNCTION("""COMPUTED_VALUE"""),"Kondensat hot water")</f>
        <v>Kondensat hot water</v>
      </c>
      <c r="F298" s="3" t="str">
        <f>IFERROR(__xludf.DUMMYFUNCTION("""COMPUTED_VALUE"""),"Steam trap ")</f>
        <v>Steam trap </v>
      </c>
      <c r="G298" s="3" t="str">
        <f>IFERROR(__xludf.DUMMYFUNCTION("""COMPUTED_VALUE"""),"Dn25 CA14S PMA 16bar 250 deg")</f>
        <v>Dn25 CA14S PMA 16bar 250 deg</v>
      </c>
      <c r="H298" s="3" t="str">
        <f>IFERROR(__xludf.DUMMYFUNCTION("""COMPUTED_VALUE"""),"Spirax sarco")</f>
        <v>Spirax sarco</v>
      </c>
      <c r="I298" s="3">
        <f>IFERROR(__xludf.DUMMYFUNCTION("""COMPUTED_VALUE"""),1.0)</f>
        <v>1</v>
      </c>
      <c r="J298" s="3" t="str">
        <f>IFERROR(__xludf.DUMMYFUNCTION("""COMPUTED_VALUE"""),"pcs")</f>
        <v>pcs</v>
      </c>
      <c r="K298" s="3" t="str">
        <f>IFERROR(__xludf.DUMMYFUNCTION("""COMPUTED_VALUE"""),"ikut spirax")</f>
        <v>ikut spirax</v>
      </c>
      <c r="L298" s="3" t="str">
        <f>IFERROR(__xludf.DUMMYFUNCTION("""COMPUTED_VALUE"""),"bocor (REJECT BY MFH KARENA SUDAH DI BQ KAN KEMBALI DI MRNBR0066)")</f>
        <v>bocor (REJECT BY MFH KARENA SUDAH DI BQ KAN KEMBALI DI MRNBR0066)</v>
      </c>
      <c r="M298" s="3" t="str">
        <f>IFERROR(__xludf.DUMMYFUNCTION("""COMPUTED_VALUE"""),"Reject")</f>
        <v>Reject</v>
      </c>
      <c r="N298" s="3" t="str">
        <f>IFERROR(__xludf.DUMMYFUNCTION("""COMPUTED_VALUE"""),"Normal")</f>
        <v>Normal</v>
      </c>
      <c r="O298" s="3" t="str">
        <f>IFERROR(__xludf.DUMMYFUNCTION("""COMPUTED_VALUE"""),"Non Urgent")</f>
        <v>Non Urgent</v>
      </c>
    </row>
    <row r="299">
      <c r="A299" s="4">
        <f>IFERROR(__xludf.DUMMYFUNCTION("""COMPUTED_VALUE"""),45884.99784077546)</f>
        <v>45884.99784</v>
      </c>
      <c r="B299" s="3" t="str">
        <f>IFERROR(__xludf.DUMMYFUNCTION("""COMPUTED_VALUE"""),"MRNBR0041")</f>
        <v>MRNBR0041</v>
      </c>
      <c r="C299" s="3" t="str">
        <f>IFERROR(__xludf.DUMMYFUNCTION("""COMPUTED_VALUE"""),"EJO")</f>
        <v>EJO</v>
      </c>
      <c r="D299" s="3" t="str">
        <f>IFERROR(__xludf.DUMMYFUNCTION("""COMPUTED_VALUE"""),"EJO/2025/03/153")</f>
        <v>EJO/2025/03/153</v>
      </c>
      <c r="E299" s="3" t="str">
        <f>IFERROR(__xludf.DUMMYFUNCTION("""COMPUTED_VALUE"""),"AHU OSD")</f>
        <v>AHU OSD</v>
      </c>
      <c r="F299" s="3" t="str">
        <f>IFERROR(__xludf.DUMMYFUNCTION("""COMPUTED_VALUE"""),"Prefilter M-MNF")</f>
        <v>Prefilter M-MNF</v>
      </c>
      <c r="G299" s="3" t="str">
        <f>IFERROR(__xludf.DUMMYFUNCTION("""COMPUTED_VALUE"""),"595x595x46")</f>
        <v>595x595x46</v>
      </c>
      <c r="H299" s="3" t="str">
        <f>IFERROR(__xludf.DUMMYFUNCTION("""COMPUTED_VALUE"""),"Mayair")</f>
        <v>Mayair</v>
      </c>
      <c r="I299" s="3">
        <f>IFERROR(__xludf.DUMMYFUNCTION("""COMPUTED_VALUE"""),18.0)</f>
        <v>18</v>
      </c>
      <c r="J299" s="3" t="str">
        <f>IFERROR(__xludf.DUMMYFUNCTION("""COMPUTED_VALUE"""),"pcs")</f>
        <v>pcs</v>
      </c>
      <c r="K299" s="5" t="str">
        <f>IFERROR(__xludf.DUMMYFUNCTION("""COMPUTED_VALUE"""),"https://mayair.com.my/product/primary-filter-m-mnf/")</f>
        <v>https://mayair.com.my/product/primary-filter-m-mnf/</v>
      </c>
      <c r="L299" s="3" t="str">
        <f>IFERROR(__xludf.DUMMYFUNCTION("""COMPUTED_VALUE"""),"untuk AHU OSD E1-1")</f>
        <v>untuk AHU OSD E1-1</v>
      </c>
      <c r="M299" s="3" t="str">
        <f>IFERROR(__xludf.DUMMYFUNCTION("""COMPUTED_VALUE"""),"Approve")</f>
        <v>Approve</v>
      </c>
      <c r="N299" s="3" t="str">
        <f>IFERROR(__xludf.DUMMYFUNCTION("""COMPUTED_VALUE"""),"Normal")</f>
        <v>Normal</v>
      </c>
      <c r="O299" s="3" t="str">
        <f>IFERROR(__xludf.DUMMYFUNCTION("""COMPUTED_VALUE"""),"Non Urgent")</f>
        <v>Non Urgent</v>
      </c>
    </row>
    <row r="300">
      <c r="A300" s="4">
        <f>IFERROR(__xludf.DUMMYFUNCTION("""COMPUTED_VALUE"""),45884.99798289352)</f>
        <v>45884.99798</v>
      </c>
      <c r="B300" s="3" t="str">
        <f>IFERROR(__xludf.DUMMYFUNCTION("""COMPUTED_VALUE"""),"MRNBR0042")</f>
        <v>MRNBR0042</v>
      </c>
      <c r="C300" s="3" t="str">
        <f>IFERROR(__xludf.DUMMYFUNCTION("""COMPUTED_VALUE"""),"EJO")</f>
        <v>EJO</v>
      </c>
      <c r="D300" s="3" t="str">
        <f>IFERROR(__xludf.DUMMYFUNCTION("""COMPUTED_VALUE"""),"EJO/2025/03/153")</f>
        <v>EJO/2025/03/153</v>
      </c>
      <c r="E300" s="3" t="str">
        <f>IFERROR(__xludf.DUMMYFUNCTION("""COMPUTED_VALUE"""),"AHU OSD")</f>
        <v>AHU OSD</v>
      </c>
      <c r="F300" s="3" t="str">
        <f>IFERROR(__xludf.DUMMYFUNCTION("""COMPUTED_VALUE"""),"Prefilter M-MNF")</f>
        <v>Prefilter M-MNF</v>
      </c>
      <c r="G300" s="3" t="str">
        <f>IFERROR(__xludf.DUMMYFUNCTION("""COMPUTED_VALUE"""),"290x595x46")</f>
        <v>290x595x46</v>
      </c>
      <c r="H300" s="3" t="str">
        <f>IFERROR(__xludf.DUMMYFUNCTION("""COMPUTED_VALUE"""),"Mayair")</f>
        <v>Mayair</v>
      </c>
      <c r="I300" s="3">
        <f>IFERROR(__xludf.DUMMYFUNCTION("""COMPUTED_VALUE"""),6.0)</f>
        <v>6</v>
      </c>
      <c r="J300" s="3" t="str">
        <f>IFERROR(__xludf.DUMMYFUNCTION("""COMPUTED_VALUE"""),"pcs")</f>
        <v>pcs</v>
      </c>
      <c r="K300" s="5" t="str">
        <f>IFERROR(__xludf.DUMMYFUNCTION("""COMPUTED_VALUE"""),"https://mayair.com.my/product/primary-filter-m-mnf/")</f>
        <v>https://mayair.com.my/product/primary-filter-m-mnf/</v>
      </c>
      <c r="L300" s="3" t="str">
        <f>IFERROR(__xludf.DUMMYFUNCTION("""COMPUTED_VALUE"""),"untuk AHU OSD E1-1")</f>
        <v>untuk AHU OSD E1-1</v>
      </c>
      <c r="M300" s="3" t="str">
        <f>IFERROR(__xludf.DUMMYFUNCTION("""COMPUTED_VALUE"""),"Approve")</f>
        <v>Approve</v>
      </c>
      <c r="N300" s="3" t="str">
        <f>IFERROR(__xludf.DUMMYFUNCTION("""COMPUTED_VALUE"""),"Normal")</f>
        <v>Normal</v>
      </c>
      <c r="O300" s="3" t="str">
        <f>IFERROR(__xludf.DUMMYFUNCTION("""COMPUTED_VALUE"""),"Non Urgent")</f>
        <v>Non Urgent</v>
      </c>
    </row>
    <row r="301">
      <c r="A301" s="4">
        <f>IFERROR(__xludf.DUMMYFUNCTION("""COMPUTED_VALUE"""),45884.99798289352)</f>
        <v>45884.99798</v>
      </c>
      <c r="B301" s="3" t="str">
        <f>IFERROR(__xludf.DUMMYFUNCTION("""COMPUTED_VALUE"""),"MRNBR0043")</f>
        <v>MRNBR0043</v>
      </c>
      <c r="C301" s="3" t="str">
        <f>IFERROR(__xludf.DUMMYFUNCTION("""COMPUTED_VALUE"""),"EJO")</f>
        <v>EJO</v>
      </c>
      <c r="D301" s="3" t="str">
        <f>IFERROR(__xludf.DUMMYFUNCTION("""COMPUTED_VALUE"""),"EJO/2025/03/153")</f>
        <v>EJO/2025/03/153</v>
      </c>
      <c r="E301" s="3" t="str">
        <f>IFERROR(__xludf.DUMMYFUNCTION("""COMPUTED_VALUE"""),"AHU OSD")</f>
        <v>AHU OSD</v>
      </c>
      <c r="F301" s="3" t="str">
        <f>IFERROR(__xludf.DUMMYFUNCTION("""COMPUTED_VALUE"""),"Prefilter M-MNF")</f>
        <v>Prefilter M-MNF</v>
      </c>
      <c r="G301" s="3" t="str">
        <f>IFERROR(__xludf.DUMMYFUNCTION("""COMPUTED_VALUE"""),"493x493x46")</f>
        <v>493x493x46</v>
      </c>
      <c r="H301" s="3" t="str">
        <f>IFERROR(__xludf.DUMMYFUNCTION("""COMPUTED_VALUE"""),"Mayair")</f>
        <v>Mayair</v>
      </c>
      <c r="I301" s="3">
        <f>IFERROR(__xludf.DUMMYFUNCTION("""COMPUTED_VALUE"""),6.0)</f>
        <v>6</v>
      </c>
      <c r="J301" s="3" t="str">
        <f>IFERROR(__xludf.DUMMYFUNCTION("""COMPUTED_VALUE"""),"pcs")</f>
        <v>pcs</v>
      </c>
      <c r="K301" s="5" t="str">
        <f>IFERROR(__xludf.DUMMYFUNCTION("""COMPUTED_VALUE"""),"https://mayair.com.my/product/primary-filter-m-mnf/")</f>
        <v>https://mayair.com.my/product/primary-filter-m-mnf/</v>
      </c>
      <c r="L301" s="3" t="str">
        <f>IFERROR(__xludf.DUMMYFUNCTION("""COMPUTED_VALUE"""),"untuk AHU OSD E1-2")</f>
        <v>untuk AHU OSD E1-2</v>
      </c>
      <c r="M301" s="3" t="str">
        <f>IFERROR(__xludf.DUMMYFUNCTION("""COMPUTED_VALUE"""),"Approve")</f>
        <v>Approve</v>
      </c>
      <c r="N301" s="3" t="str">
        <f>IFERROR(__xludf.DUMMYFUNCTION("""COMPUTED_VALUE"""),"Normal")</f>
        <v>Normal</v>
      </c>
      <c r="O301" s="3" t="str">
        <f>IFERROR(__xludf.DUMMYFUNCTION("""COMPUTED_VALUE"""),"Non Urgent")</f>
        <v>Non Urgent</v>
      </c>
    </row>
    <row r="302">
      <c r="A302" s="4">
        <f>IFERROR(__xludf.DUMMYFUNCTION("""COMPUTED_VALUE"""),45884.99798289352)</f>
        <v>45884.99798</v>
      </c>
      <c r="B302" s="3" t="str">
        <f>IFERROR(__xludf.DUMMYFUNCTION("""COMPUTED_VALUE"""),"MRNBR0044")</f>
        <v>MRNBR0044</v>
      </c>
      <c r="C302" s="3" t="str">
        <f>IFERROR(__xludf.DUMMYFUNCTION("""COMPUTED_VALUE"""),"EJO")</f>
        <v>EJO</v>
      </c>
      <c r="D302" s="3" t="str">
        <f>IFERROR(__xludf.DUMMYFUNCTION("""COMPUTED_VALUE"""),"EJO/2025/03/153")</f>
        <v>EJO/2025/03/153</v>
      </c>
      <c r="E302" s="3" t="str">
        <f>IFERROR(__xludf.DUMMYFUNCTION("""COMPUTED_VALUE"""),"AHU OSD")</f>
        <v>AHU OSD</v>
      </c>
      <c r="F302" s="3" t="str">
        <f>IFERROR(__xludf.DUMMYFUNCTION("""COMPUTED_VALUE"""),"Prefilter M-MNF")</f>
        <v>Prefilter M-MNF</v>
      </c>
      <c r="G302" s="3" t="str">
        <f>IFERROR(__xludf.DUMMYFUNCTION("""COMPUTED_VALUE"""),"493x595x46")</f>
        <v>493x595x46</v>
      </c>
      <c r="H302" s="3" t="str">
        <f>IFERROR(__xludf.DUMMYFUNCTION("""COMPUTED_VALUE"""),"Mayair")</f>
        <v>Mayair</v>
      </c>
      <c r="I302" s="3">
        <f>IFERROR(__xludf.DUMMYFUNCTION("""COMPUTED_VALUE"""),6.0)</f>
        <v>6</v>
      </c>
      <c r="J302" s="3" t="str">
        <f>IFERROR(__xludf.DUMMYFUNCTION("""COMPUTED_VALUE"""),"pcs")</f>
        <v>pcs</v>
      </c>
      <c r="K302" s="5" t="str">
        <f>IFERROR(__xludf.DUMMYFUNCTION("""COMPUTED_VALUE"""),"https://mayair.com.my/product/primary-filter-m-mnf/")</f>
        <v>https://mayair.com.my/product/primary-filter-m-mnf/</v>
      </c>
      <c r="L302" s="3" t="str">
        <f>IFERROR(__xludf.DUMMYFUNCTION("""COMPUTED_VALUE"""),"untuk AHU OSD E1-2")</f>
        <v>untuk AHU OSD E1-2</v>
      </c>
      <c r="M302" s="3" t="str">
        <f>IFERROR(__xludf.DUMMYFUNCTION("""COMPUTED_VALUE"""),"Approve")</f>
        <v>Approve</v>
      </c>
      <c r="N302" s="3" t="str">
        <f>IFERROR(__xludf.DUMMYFUNCTION("""COMPUTED_VALUE"""),"Normal")</f>
        <v>Normal</v>
      </c>
      <c r="O302" s="3" t="str">
        <f>IFERROR(__xludf.DUMMYFUNCTION("""COMPUTED_VALUE"""),"Non Urgent")</f>
        <v>Non Urgent</v>
      </c>
    </row>
    <row r="303">
      <c r="A303" s="4">
        <f>IFERROR(__xludf.DUMMYFUNCTION("""COMPUTED_VALUE"""),45884.99798289352)</f>
        <v>45884.99798</v>
      </c>
      <c r="B303" s="3" t="str">
        <f>IFERROR(__xludf.DUMMYFUNCTION("""COMPUTED_VALUE"""),"MRNBR0045")</f>
        <v>MRNBR0045</v>
      </c>
      <c r="C303" s="3" t="str">
        <f>IFERROR(__xludf.DUMMYFUNCTION("""COMPUTED_VALUE"""),"EJO")</f>
        <v>EJO</v>
      </c>
      <c r="D303" s="3" t="str">
        <f>IFERROR(__xludf.DUMMYFUNCTION("""COMPUTED_VALUE"""),"EJO/2025/03/153")</f>
        <v>EJO/2025/03/153</v>
      </c>
      <c r="E303" s="3" t="str">
        <f>IFERROR(__xludf.DUMMYFUNCTION("""COMPUTED_VALUE"""),"AHU OSD")</f>
        <v>AHU OSD</v>
      </c>
      <c r="F303" s="3" t="str">
        <f>IFERROR(__xludf.DUMMYFUNCTION("""COMPUTED_VALUE"""),"Prefilter M-MNF")</f>
        <v>Prefilter M-MNF</v>
      </c>
      <c r="G303" s="3" t="str">
        <f>IFERROR(__xludf.DUMMYFUNCTION("""COMPUTED_VALUE"""),"290x493x46")</f>
        <v>290x493x46</v>
      </c>
      <c r="H303" s="3" t="str">
        <f>IFERROR(__xludf.DUMMYFUNCTION("""COMPUTED_VALUE"""),"Mayair")</f>
        <v>Mayair</v>
      </c>
      <c r="I303" s="3">
        <f>IFERROR(__xludf.DUMMYFUNCTION("""COMPUTED_VALUE"""),6.0)</f>
        <v>6</v>
      </c>
      <c r="J303" s="3" t="str">
        <f>IFERROR(__xludf.DUMMYFUNCTION("""COMPUTED_VALUE"""),"pcs")</f>
        <v>pcs</v>
      </c>
      <c r="K303" s="5" t="str">
        <f>IFERROR(__xludf.DUMMYFUNCTION("""COMPUTED_VALUE"""),"https://mayair.com.my/product/primary-filter-m-mnf/")</f>
        <v>https://mayair.com.my/product/primary-filter-m-mnf/</v>
      </c>
      <c r="L303" s="3" t="str">
        <f>IFERROR(__xludf.DUMMYFUNCTION("""COMPUTED_VALUE"""),"untuk AHU OSD CNC1-1")</f>
        <v>untuk AHU OSD CNC1-1</v>
      </c>
      <c r="M303" s="3" t="str">
        <f>IFERROR(__xludf.DUMMYFUNCTION("""COMPUTED_VALUE"""),"Approve")</f>
        <v>Approve</v>
      </c>
      <c r="N303" s="3" t="str">
        <f>IFERROR(__xludf.DUMMYFUNCTION("""COMPUTED_VALUE"""),"Normal")</f>
        <v>Normal</v>
      </c>
      <c r="O303" s="3" t="str">
        <f>IFERROR(__xludf.DUMMYFUNCTION("""COMPUTED_VALUE"""),"Non Urgent")</f>
        <v>Non Urgent</v>
      </c>
    </row>
    <row r="304">
      <c r="A304" s="4">
        <f>IFERROR(__xludf.DUMMYFUNCTION("""COMPUTED_VALUE"""),45884.99798289352)</f>
        <v>45884.99798</v>
      </c>
      <c r="B304" s="3" t="str">
        <f>IFERROR(__xludf.DUMMYFUNCTION("""COMPUTED_VALUE"""),"MRNBR0046")</f>
        <v>MRNBR0046</v>
      </c>
      <c r="C304" s="3" t="str">
        <f>IFERROR(__xludf.DUMMYFUNCTION("""COMPUTED_VALUE"""),"EJO")</f>
        <v>EJO</v>
      </c>
      <c r="D304" s="3" t="str">
        <f>IFERROR(__xludf.DUMMYFUNCTION("""COMPUTED_VALUE"""),"EJO/2025/03/153")</f>
        <v>EJO/2025/03/153</v>
      </c>
      <c r="E304" s="3" t="str">
        <f>IFERROR(__xludf.DUMMYFUNCTION("""COMPUTED_VALUE"""),"AHU OSD")</f>
        <v>AHU OSD</v>
      </c>
      <c r="F304" s="3" t="str">
        <f>IFERROR(__xludf.DUMMYFUNCTION("""COMPUTED_VALUE"""),"Prefilter M-MNF")</f>
        <v>Prefilter M-MNF</v>
      </c>
      <c r="G304" s="3" t="str">
        <f>IFERROR(__xludf.DUMMYFUNCTION("""COMPUTED_VALUE"""),"493x595x46")</f>
        <v>493x595x46</v>
      </c>
      <c r="H304" s="3" t="str">
        <f>IFERROR(__xludf.DUMMYFUNCTION("""COMPUTED_VALUE"""),"Mayair")</f>
        <v>Mayair</v>
      </c>
      <c r="I304" s="3">
        <f>IFERROR(__xludf.DUMMYFUNCTION("""COMPUTED_VALUE"""),6.0)</f>
        <v>6</v>
      </c>
      <c r="J304" s="3" t="str">
        <f>IFERROR(__xludf.DUMMYFUNCTION("""COMPUTED_VALUE"""),"pcs")</f>
        <v>pcs</v>
      </c>
      <c r="K304" s="5" t="str">
        <f>IFERROR(__xludf.DUMMYFUNCTION("""COMPUTED_VALUE"""),"https://mayair.com.my/product/primary-filter-m-mnf/")</f>
        <v>https://mayair.com.my/product/primary-filter-m-mnf/</v>
      </c>
      <c r="L304" s="3" t="str">
        <f>IFERROR(__xludf.DUMMYFUNCTION("""COMPUTED_VALUE"""),"untuk AHU OSD CNC1-1")</f>
        <v>untuk AHU OSD CNC1-1</v>
      </c>
      <c r="M304" s="3" t="str">
        <f>IFERROR(__xludf.DUMMYFUNCTION("""COMPUTED_VALUE"""),"Approve")</f>
        <v>Approve</v>
      </c>
      <c r="N304" s="3" t="str">
        <f>IFERROR(__xludf.DUMMYFUNCTION("""COMPUTED_VALUE"""),"Normal")</f>
        <v>Normal</v>
      </c>
      <c r="O304" s="3" t="str">
        <f>IFERROR(__xludf.DUMMYFUNCTION("""COMPUTED_VALUE"""),"Non Urgent")</f>
        <v>Non Urgent</v>
      </c>
    </row>
    <row r="305">
      <c r="A305" s="4">
        <f>IFERROR(__xludf.DUMMYFUNCTION("""COMPUTED_VALUE"""),45885.28570204861)</f>
        <v>45885.2857</v>
      </c>
      <c r="B305" s="3" t="str">
        <f>IFERROR(__xludf.DUMMYFUNCTION("""COMPUTED_VALUE"""),"ROSBR0033")</f>
        <v>ROSBR0033</v>
      </c>
      <c r="C305" s="3" t="str">
        <f>IFERROR(__xludf.DUMMYFUNCTION("""COMPUTED_VALUE"""),"EJO")</f>
        <v>EJO</v>
      </c>
      <c r="D305" s="3" t="str">
        <f>IFERROR(__xludf.DUMMYFUNCTION("""COMPUTED_VALUE"""),"EJO/2025/07/164
EJO/2025/07/64")</f>
        <v>EJO/2025/07/164
EJO/2025/07/64</v>
      </c>
      <c r="E305" s="3" t="str">
        <f>IFERROR(__xludf.DUMMYFUNCTION("""COMPUTED_VALUE"""),"Filling")</f>
        <v>Filling</v>
      </c>
      <c r="F305" s="3" t="str">
        <f>IFERROR(__xludf.DUMMYFUNCTION("""COMPUTED_VALUE"""),"Handle Manual Valve Model Hexagon")</f>
        <v>Handle Manual Valve Model Hexagon</v>
      </c>
      <c r="G305" s="3" t="str">
        <f>IFERROR(__xludf.DUMMYFUNCTION("""COMPUTED_VALUE"""),"Handle Manual Valve Model Hexagon Uk Ø60 x 27
Specifikasi :
Machining As Mat'l SUS 304
Proses Bubut
Profil Wire Cutt Gear/hexagon
Finishing")</f>
        <v>Handle Manual Valve Model Hexagon Uk Ø60 x 27
Specifikasi :
Machining As Mat'l SUS 304
Proses Bubut
Profil Wire Cutt Gear/hexagon
Finishing</v>
      </c>
      <c r="H305" s="3" t="str">
        <f>IFERROR(__xludf.DUMMYFUNCTION("""COMPUTED_VALUE"""),"Lokal ")</f>
        <v>Lokal </v>
      </c>
      <c r="I305" s="3">
        <f>IFERROR(__xludf.DUMMYFUNCTION("""COMPUTED_VALUE"""),3.0)</f>
        <v>3</v>
      </c>
      <c r="J305" s="3" t="str">
        <f>IFERROR(__xludf.DUMMYFUNCTION("""COMPUTED_VALUE"""),"unit")</f>
        <v>unit</v>
      </c>
      <c r="K305" s="5" t="str">
        <f>IFERROR(__xludf.DUMMYFUNCTION("""COMPUTED_VALUE"""),"https://drive.google.com/file/d/1dW-1SnqQJWlXxzlM-twf9s_ijZTf0fyF/view?usp=drive_link")</f>
        <v>https://drive.google.com/file/d/1dW-1SnqQJWlXxzlM-twf9s_ijZTf0fyF/view?usp=drive_link</v>
      </c>
      <c r="L305" s="3" t="str">
        <f>IFERROR(__xludf.DUMMYFUNCTION("""COMPUTED_VALUE"""),"https://drive.google.com/file/d/1gDWiYeVgEuCSSTJux9GWeBxK1nGptHA-/view?usp=drive_link
2pcs untuk penggantian 
1pcs untuk spare ")</f>
        <v>https://drive.google.com/file/d/1gDWiYeVgEuCSSTJux9GWeBxK1nGptHA-/view?usp=drive_link
2pcs untuk penggantian 
1pcs untuk spare </v>
      </c>
      <c r="M305" s="3" t="str">
        <f>IFERROR(__xludf.DUMMYFUNCTION("""COMPUTED_VALUE"""),"Approve")</f>
        <v>Approve</v>
      </c>
      <c r="N305" s="3" t="str">
        <f>IFERROR(__xludf.DUMMYFUNCTION("""COMPUTED_VALUE"""),"Normal")</f>
        <v>Normal</v>
      </c>
      <c r="O305" s="3" t="str">
        <f>IFERROR(__xludf.DUMMYFUNCTION("""COMPUTED_VALUE"""),"Non Urgent")</f>
        <v>Non Urgent</v>
      </c>
    </row>
    <row r="306">
      <c r="A306" s="4">
        <f>IFERROR(__xludf.DUMMYFUNCTION("""COMPUTED_VALUE"""),45887.55203333333)</f>
        <v>45887.55203</v>
      </c>
      <c r="B306" s="3" t="str">
        <f>IFERROR(__xludf.DUMMYFUNCTION("""COMPUTED_VALUE"""),"ROSBR0034")</f>
        <v>ROSBR0034</v>
      </c>
      <c r="C306" s="3" t="str">
        <f>IFERROR(__xludf.DUMMYFUNCTION("""COMPUTED_VALUE"""),"Consumable")</f>
        <v>Consumable</v>
      </c>
      <c r="D306" s="3" t="str">
        <f>IFERROR(__xludf.DUMMYFUNCTION("""COMPUTED_VALUE"""),"NA")</f>
        <v>NA</v>
      </c>
      <c r="E306" s="3" t="str">
        <f>IFERROR(__xludf.DUMMYFUNCTION("""COMPUTED_VALUE"""),"Base Plate Capping")</f>
        <v>Base Plate Capping</v>
      </c>
      <c r="F306" s="3" t="str">
        <f>IFERROR(__xludf.DUMMYFUNCTION("""COMPUTED_VALUE"""),"Baut L 
hexagon Socket head Cap screws")</f>
        <v>Baut L 
hexagon Socket head Cap screws</v>
      </c>
      <c r="G306" s="3" t="str">
        <f>IFERROR(__xludf.DUMMYFUNCTION("""COMPUTED_VALUE"""),"Baut L
hexagon Socket head Cap screws
Type : SUSLB
Material : Stainless Steel
MxP : 5 x 0.8
A : 8.5 
E : 5
B : 4
MxL : 5 x 50 ")</f>
        <v>Baut L
hexagon Socket head Cap screws
Type : SUSLB
Material : Stainless Steel
MxP : 5 x 0.8
A : 8.5 
E : 5
B : 4
MxL : 5 x 50 </v>
      </c>
      <c r="H306" s="3" t="str">
        <f>IFERROR(__xludf.DUMMYFUNCTION("""COMPUTED_VALUE"""),"Misumi")</f>
        <v>Misumi</v>
      </c>
      <c r="I306" s="3">
        <f>IFERROR(__xludf.DUMMYFUNCTION("""COMPUTED_VALUE"""),50.0)</f>
        <v>50</v>
      </c>
      <c r="J306" s="3" t="str">
        <f>IFERROR(__xludf.DUMMYFUNCTION("""COMPUTED_VALUE"""),"pac/pcs")</f>
        <v>pac/pcs</v>
      </c>
      <c r="K306" s="5" t="str">
        <f>IFERROR(__xludf.DUMMYFUNCTION("""COMPUTED_VALUE"""),"https://id.misumi-ec.com/vona2/detail/110300240310/?PNSearch=SUSLB&amp;HissuCode=SUSLB&amp;searchFlow=suggest2products&amp;Keyword=SUSLB&amp;list=SuggestPreview")</f>
        <v>https://id.misumi-ec.com/vona2/detail/110300240310/?PNSearch=SUSLB&amp;HissuCode=SUSLB&amp;searchFlow=suggest2products&amp;Keyword=SUSLB&amp;list=SuggestPreview</v>
      </c>
      <c r="L306" s="3" t="str">
        <f>IFERROR(__xludf.DUMMYFUNCTION("""COMPUTED_VALUE"""),"Tolong carrin yang panjang total baut 55mm
atau panjang L nya 50mm 
buat baut base plate (REJECT BY MFH KARENA MISUMI TIDAK BISA SUPPLY)")</f>
        <v>Tolong carrin yang panjang total baut 55mm
atau panjang L nya 50mm 
buat baut base plate (REJECT BY MFH KARENA MISUMI TIDAK BISA SUPPLY)</v>
      </c>
      <c r="M306" s="3" t="str">
        <f>IFERROR(__xludf.DUMMYFUNCTION("""COMPUTED_VALUE"""),"Reject")</f>
        <v>Reject</v>
      </c>
      <c r="N306" s="3" t="str">
        <f>IFERROR(__xludf.DUMMYFUNCTION("""COMPUTED_VALUE"""),"Normal")</f>
        <v>Normal</v>
      </c>
      <c r="O306" s="3" t="str">
        <f>IFERROR(__xludf.DUMMYFUNCTION("""COMPUTED_VALUE"""),"Non Urgent")</f>
        <v>Non Urgent</v>
      </c>
    </row>
    <row r="307">
      <c r="A307" s="4">
        <f>IFERROR(__xludf.DUMMYFUNCTION("""COMPUTED_VALUE"""),45887.75498704861)</f>
        <v>45887.75499</v>
      </c>
      <c r="B307" s="3" t="str">
        <f>IFERROR(__xludf.DUMMYFUNCTION("""COMPUTED_VALUE"""),"NDSBR0019")</f>
        <v>NDSBR0019</v>
      </c>
      <c r="C307" s="3" t="str">
        <f>IFERROR(__xludf.DUMMYFUNCTION("""COMPUTED_VALUE"""),"EJO")</f>
        <v>EJO</v>
      </c>
      <c r="D307" s="3" t="str">
        <f>IFERROR(__xludf.DUMMYFUNCTION("""COMPUTED_VALUE"""),"EJO/2025/08/64")</f>
        <v>EJO/2025/08/64</v>
      </c>
      <c r="E307" s="3" t="str">
        <f>IFERROR(__xludf.DUMMYFUNCTION("""COMPUTED_VALUE"""),"Heating Plate")</f>
        <v>Heating Plate</v>
      </c>
      <c r="F307" s="3" t="str">
        <f>IFERROR(__xludf.DUMMYFUNCTION("""COMPUTED_VALUE"""),"Kabel Power")</f>
        <v>Kabel Power</v>
      </c>
      <c r="G307" s="3" t="str">
        <f>IFERROR(__xludf.DUMMYFUNCTION("""COMPUTED_VALUE"""),"-")</f>
        <v>-</v>
      </c>
      <c r="H307" s="3" t="str">
        <f>IFERROR(__xludf.DUMMYFUNCTION("""COMPUTED_VALUE"""),"-")</f>
        <v>-</v>
      </c>
      <c r="I307" s="3">
        <f>IFERROR(__xludf.DUMMYFUNCTION("""COMPUTED_VALUE"""),1.0)</f>
        <v>1</v>
      </c>
      <c r="J307" s="3" t="str">
        <f>IFERROR(__xludf.DUMMYFUNCTION("""COMPUTED_VALUE"""),"PCS")</f>
        <v>PCS</v>
      </c>
      <c r="K307" s="5" t="str">
        <f>IFERROR(__xludf.DUMMYFUNCTION("""COMPUTED_VALUE"""),"https://jadistore.com/product/kabel-power-cable-power-kabel-power-cpu-kabel-komputer-kabel-pc/")</f>
        <v>https://jadistore.com/product/kabel-power-cable-power-kabel-power-cpu-kabel-komputer-kabel-pc/</v>
      </c>
      <c r="L307" s="3" t="str">
        <f>IFERROR(__xludf.DUMMYFUNCTION("""COMPUTED_VALUE"""),"-")</f>
        <v>-</v>
      </c>
      <c r="M307" s="3" t="str">
        <f>IFERROR(__xludf.DUMMYFUNCTION("""COMPUTED_VALUE"""),"Approve")</f>
        <v>Approve</v>
      </c>
      <c r="N307" s="3" t="str">
        <f>IFERROR(__xludf.DUMMYFUNCTION("""COMPUTED_VALUE"""),"Normal")</f>
        <v>Normal</v>
      </c>
      <c r="O307" s="3" t="str">
        <f>IFERROR(__xludf.DUMMYFUNCTION("""COMPUTED_VALUE"""),"Non Urgent")</f>
        <v>Non Urgent</v>
      </c>
    </row>
    <row r="308">
      <c r="A308" s="4">
        <f>IFERROR(__xludf.DUMMYFUNCTION("""COMPUTED_VALUE"""),45888.944749062495)</f>
        <v>45888.94475</v>
      </c>
      <c r="B308" s="3" t="str">
        <f>IFERROR(__xludf.DUMMYFUNCTION("""COMPUTED_VALUE"""),"MOBBR0032")</f>
        <v>MOBBR0032</v>
      </c>
      <c r="C308" s="3" t="str">
        <f>IFERROR(__xludf.DUMMYFUNCTION("""COMPUTED_VALUE"""),"Consumable")</f>
        <v>Consumable</v>
      </c>
      <c r="D308" s="3" t="str">
        <f>IFERROR(__xludf.DUMMYFUNCTION("""COMPUTED_VALUE"""),"-")</f>
        <v>-</v>
      </c>
      <c r="E308" s="3" t="str">
        <f>IFERROR(__xludf.DUMMYFUNCTION("""COMPUTED_VALUE"""),"AHU")</f>
        <v>AHU</v>
      </c>
      <c r="F308" s="3" t="str">
        <f>IFERROR(__xludf.DUMMYFUNCTION("""COMPUTED_VALUE"""),"Constant Air Volume")</f>
        <v>Constant Air Volume</v>
      </c>
      <c r="G308" s="3" t="str">
        <f>IFERROR(__xludf.DUMMYFUNCTION("""COMPUTED_VALUE"""),"EN 300X100")</f>
        <v>EN 300X100</v>
      </c>
      <c r="H308" s="3" t="str">
        <f>IFERROR(__xludf.DUMMYFUNCTION("""COMPUTED_VALUE"""),"Trox")</f>
        <v>Trox</v>
      </c>
      <c r="I308" s="3">
        <f>IFERROR(__xludf.DUMMYFUNCTION("""COMPUTED_VALUE"""),2.0)</f>
        <v>2</v>
      </c>
      <c r="J308" s="3" t="str">
        <f>IFERROR(__xludf.DUMMYFUNCTION("""COMPUTED_VALUE"""),"Pcs")</f>
        <v>Pcs</v>
      </c>
      <c r="K308" s="5" t="str">
        <f>IFERROR(__xludf.DUMMYFUNCTION("""COMPUTED_VALUE"""),"https://cdn.trox.de/44f27a8a5d5b54ac/f10ec6203623/00275603_0.pdf")</f>
        <v>https://cdn.trox.de/44f27a8a5d5b54ac/f10ec6203623/00275603_0.pdf</v>
      </c>
      <c r="L308" s="3" t="str">
        <f>IFERROR(__xludf.DUMMYFUNCTION("""COMPUTED_VALUE"""),"Penggantian CAV AHU (REJECY BY MFH, SILAHKAN CARI SPEK LENGKAP)")</f>
        <v>Penggantian CAV AHU (REJECY BY MFH, SILAHKAN CARI SPEK LENGKAP)</v>
      </c>
      <c r="M308" s="3" t="str">
        <f>IFERROR(__xludf.DUMMYFUNCTION("""COMPUTED_VALUE"""),"Reject")</f>
        <v>Reject</v>
      </c>
      <c r="N308" s="3" t="str">
        <f>IFERROR(__xludf.DUMMYFUNCTION("""COMPUTED_VALUE"""),"Normal")</f>
        <v>Normal</v>
      </c>
      <c r="O308" s="3" t="str">
        <f>IFERROR(__xludf.DUMMYFUNCTION("""COMPUTED_VALUE"""),"Non Urgent")</f>
        <v>Non Urgent</v>
      </c>
    </row>
    <row r="309">
      <c r="A309" s="4">
        <f>IFERROR(__xludf.DUMMYFUNCTION("""COMPUTED_VALUE"""),45888.94750773148)</f>
        <v>45888.94751</v>
      </c>
      <c r="B309" s="3" t="str">
        <f>IFERROR(__xludf.DUMMYFUNCTION("""COMPUTED_VALUE"""),"MOBBR0033")</f>
        <v>MOBBR0033</v>
      </c>
      <c r="C309" s="3" t="str">
        <f>IFERROR(__xludf.DUMMYFUNCTION("""COMPUTED_VALUE"""),"Consumable")</f>
        <v>Consumable</v>
      </c>
      <c r="D309" s="3" t="str">
        <f>IFERROR(__xludf.DUMMYFUNCTION("""COMPUTED_VALUE"""),"-")</f>
        <v>-</v>
      </c>
      <c r="E309" s="3" t="str">
        <f>IFERROR(__xludf.DUMMYFUNCTION("""COMPUTED_VALUE"""),"AHU")</f>
        <v>AHU</v>
      </c>
      <c r="F309" s="3" t="str">
        <f>IFERROR(__xludf.DUMMYFUNCTION("""COMPUTED_VALUE"""),"Constant Air Volume")</f>
        <v>Constant Air Volume</v>
      </c>
      <c r="G309" s="3" t="str">
        <f>IFERROR(__xludf.DUMMYFUNCTION("""COMPUTED_VALUE"""),"EN 400X200")</f>
        <v>EN 400X200</v>
      </c>
      <c r="H309" s="3" t="str">
        <f>IFERROR(__xludf.DUMMYFUNCTION("""COMPUTED_VALUE"""),"Trox")</f>
        <v>Trox</v>
      </c>
      <c r="I309" s="3">
        <f>IFERROR(__xludf.DUMMYFUNCTION("""COMPUTED_VALUE"""),2.0)</f>
        <v>2</v>
      </c>
      <c r="J309" s="3" t="str">
        <f>IFERROR(__xludf.DUMMYFUNCTION("""COMPUTED_VALUE"""),"Pcs")</f>
        <v>Pcs</v>
      </c>
      <c r="K309" s="5" t="str">
        <f>IFERROR(__xludf.DUMMYFUNCTION("""COMPUTED_VALUE"""),"https://cdn.trox.de/44f27a8a5d5b54ac/f10ec6203623/00275603_0.pdf")</f>
        <v>https://cdn.trox.de/44f27a8a5d5b54ac/f10ec6203623/00275603_0.pdf</v>
      </c>
      <c r="L309" s="3" t="str">
        <f>IFERROR(__xludf.DUMMYFUNCTION("""COMPUTED_VALUE"""),"Penggantian CAV AHU (REJECY BY MFH, SILAHKAN CARI SPEK LENGKAP)")</f>
        <v>Penggantian CAV AHU (REJECY BY MFH, SILAHKAN CARI SPEK LENGKAP)</v>
      </c>
      <c r="M309" s="3" t="str">
        <f>IFERROR(__xludf.DUMMYFUNCTION("""COMPUTED_VALUE"""),"Reject")</f>
        <v>Reject</v>
      </c>
      <c r="N309" s="3" t="str">
        <f>IFERROR(__xludf.DUMMYFUNCTION("""COMPUTED_VALUE"""),"Normal")</f>
        <v>Normal</v>
      </c>
      <c r="O309" s="3" t="str">
        <f>IFERROR(__xludf.DUMMYFUNCTION("""COMPUTED_VALUE"""),"Non Urgent")</f>
        <v>Non Urgent</v>
      </c>
    </row>
    <row r="310">
      <c r="A310" s="4">
        <f>IFERROR(__xludf.DUMMYFUNCTION("""COMPUTED_VALUE"""),45888.94784097222)</f>
        <v>45888.94784</v>
      </c>
      <c r="B310" s="3" t="str">
        <f>IFERROR(__xludf.DUMMYFUNCTION("""COMPUTED_VALUE"""),"MOBBR0034")</f>
        <v>MOBBR0034</v>
      </c>
      <c r="C310" s="3" t="str">
        <f>IFERROR(__xludf.DUMMYFUNCTION("""COMPUTED_VALUE"""),"Consumable")</f>
        <v>Consumable</v>
      </c>
      <c r="D310" s="3" t="str">
        <f>IFERROR(__xludf.DUMMYFUNCTION("""COMPUTED_VALUE"""),"-")</f>
        <v>-</v>
      </c>
      <c r="E310" s="3" t="str">
        <f>IFERROR(__xludf.DUMMYFUNCTION("""COMPUTED_VALUE"""),"AHU")</f>
        <v>AHU</v>
      </c>
      <c r="F310" s="3" t="str">
        <f>IFERROR(__xludf.DUMMYFUNCTION("""COMPUTED_VALUE"""),"Constant Air Volume")</f>
        <v>Constant Air Volume</v>
      </c>
      <c r="G310" s="3" t="str">
        <f>IFERROR(__xludf.DUMMYFUNCTION("""COMPUTED_VALUE"""),"EN 300X150")</f>
        <v>EN 300X150</v>
      </c>
      <c r="H310" s="3" t="str">
        <f>IFERROR(__xludf.DUMMYFUNCTION("""COMPUTED_VALUE"""),"Trox")</f>
        <v>Trox</v>
      </c>
      <c r="I310" s="3">
        <f>IFERROR(__xludf.DUMMYFUNCTION("""COMPUTED_VALUE"""),2.0)</f>
        <v>2</v>
      </c>
      <c r="J310" s="3" t="str">
        <f>IFERROR(__xludf.DUMMYFUNCTION("""COMPUTED_VALUE"""),"Pcs")</f>
        <v>Pcs</v>
      </c>
      <c r="K310" s="5" t="str">
        <f>IFERROR(__xludf.DUMMYFUNCTION("""COMPUTED_VALUE"""),"https://cdn.trox.de/44f27a8a5d5b54ac/f10ec6203623/00275603_0.pdf")</f>
        <v>https://cdn.trox.de/44f27a8a5d5b54ac/f10ec6203623/00275603_0.pdf</v>
      </c>
      <c r="L310" s="3" t="str">
        <f>IFERROR(__xludf.DUMMYFUNCTION("""COMPUTED_VALUE"""),"Penggantian CAV AHU (REJECY BY MFH, SILAHKAN CARI SPEK LENGKAP)")</f>
        <v>Penggantian CAV AHU (REJECY BY MFH, SILAHKAN CARI SPEK LENGKAP)</v>
      </c>
      <c r="M310" s="3" t="str">
        <f>IFERROR(__xludf.DUMMYFUNCTION("""COMPUTED_VALUE"""),"Reject")</f>
        <v>Reject</v>
      </c>
      <c r="N310" s="3" t="str">
        <f>IFERROR(__xludf.DUMMYFUNCTION("""COMPUTED_VALUE"""),"Normal")</f>
        <v>Normal</v>
      </c>
      <c r="O310" s="3" t="str">
        <f>IFERROR(__xludf.DUMMYFUNCTION("""COMPUTED_VALUE"""),"Non Urgent")</f>
        <v>Non Urgent</v>
      </c>
    </row>
    <row r="311">
      <c r="A311" s="4">
        <f>IFERROR(__xludf.DUMMYFUNCTION("""COMPUTED_VALUE"""),45888.94814719908)</f>
        <v>45888.94815</v>
      </c>
      <c r="B311" s="3" t="str">
        <f>IFERROR(__xludf.DUMMYFUNCTION("""COMPUTED_VALUE"""),"MOBBR0035")</f>
        <v>MOBBR0035</v>
      </c>
      <c r="C311" s="3" t="str">
        <f>IFERROR(__xludf.DUMMYFUNCTION("""COMPUTED_VALUE"""),"Consumable")</f>
        <v>Consumable</v>
      </c>
      <c r="D311" s="3" t="str">
        <f>IFERROR(__xludf.DUMMYFUNCTION("""COMPUTED_VALUE"""),"-")</f>
        <v>-</v>
      </c>
      <c r="E311" s="3" t="str">
        <f>IFERROR(__xludf.DUMMYFUNCTION("""COMPUTED_VALUE"""),"AHU")</f>
        <v>AHU</v>
      </c>
      <c r="F311" s="3" t="str">
        <f>IFERROR(__xludf.DUMMYFUNCTION("""COMPUTED_VALUE"""),"Constant Air Volume")</f>
        <v>Constant Air Volume</v>
      </c>
      <c r="G311" s="3" t="str">
        <f>IFERROR(__xludf.DUMMYFUNCTION("""COMPUTED_VALUE"""),"EN 500X200")</f>
        <v>EN 500X200</v>
      </c>
      <c r="H311" s="3" t="str">
        <f>IFERROR(__xludf.DUMMYFUNCTION("""COMPUTED_VALUE"""),"Trox")</f>
        <v>Trox</v>
      </c>
      <c r="I311" s="3">
        <f>IFERROR(__xludf.DUMMYFUNCTION("""COMPUTED_VALUE"""),1.0)</f>
        <v>1</v>
      </c>
      <c r="J311" s="3" t="str">
        <f>IFERROR(__xludf.DUMMYFUNCTION("""COMPUTED_VALUE"""),"Pcs")</f>
        <v>Pcs</v>
      </c>
      <c r="K311" s="5" t="str">
        <f>IFERROR(__xludf.DUMMYFUNCTION("""COMPUTED_VALUE"""),"https://cdn.trox.de/44f27a8a5d5b54ac/f10ec6203623/00275603_0.pdf")</f>
        <v>https://cdn.trox.de/44f27a8a5d5b54ac/f10ec6203623/00275603_0.pdf</v>
      </c>
      <c r="L311" s="3" t="str">
        <f>IFERROR(__xludf.DUMMYFUNCTION("""COMPUTED_VALUE"""),"Penggantian CAV AHU (REJECY BY MFH, SILAHKAN CARI SPEK LENGKAP)")</f>
        <v>Penggantian CAV AHU (REJECY BY MFH, SILAHKAN CARI SPEK LENGKAP)</v>
      </c>
      <c r="M311" s="3" t="str">
        <f>IFERROR(__xludf.DUMMYFUNCTION("""COMPUTED_VALUE"""),"Reject")</f>
        <v>Reject</v>
      </c>
      <c r="N311" s="3" t="str">
        <f>IFERROR(__xludf.DUMMYFUNCTION("""COMPUTED_VALUE"""),"Normal")</f>
        <v>Normal</v>
      </c>
      <c r="O311" s="3" t="str">
        <f>IFERROR(__xludf.DUMMYFUNCTION("""COMPUTED_VALUE"""),"Non Urgent")</f>
        <v>Non Urgent</v>
      </c>
    </row>
    <row r="312">
      <c r="A312" s="4">
        <f>IFERROR(__xludf.DUMMYFUNCTION("""COMPUTED_VALUE"""),45888.94839600694)</f>
        <v>45888.9484</v>
      </c>
      <c r="B312" s="3" t="str">
        <f>IFERROR(__xludf.DUMMYFUNCTION("""COMPUTED_VALUE"""),"MOBBR0036")</f>
        <v>MOBBR0036</v>
      </c>
      <c r="C312" s="3" t="str">
        <f>IFERROR(__xludf.DUMMYFUNCTION("""COMPUTED_VALUE"""),"Consumable")</f>
        <v>Consumable</v>
      </c>
      <c r="D312" s="3" t="str">
        <f>IFERROR(__xludf.DUMMYFUNCTION("""COMPUTED_VALUE"""),"-")</f>
        <v>-</v>
      </c>
      <c r="E312" s="3" t="str">
        <f>IFERROR(__xludf.DUMMYFUNCTION("""COMPUTED_VALUE"""),"AHU")</f>
        <v>AHU</v>
      </c>
      <c r="F312" s="3" t="str">
        <f>IFERROR(__xludf.DUMMYFUNCTION("""COMPUTED_VALUE"""),"Constant Air Volume")</f>
        <v>Constant Air Volume</v>
      </c>
      <c r="G312" s="3" t="str">
        <f>IFERROR(__xludf.DUMMYFUNCTION("""COMPUTED_VALUE"""),"EN 600X200")</f>
        <v>EN 600X200</v>
      </c>
      <c r="H312" s="3" t="str">
        <f>IFERROR(__xludf.DUMMYFUNCTION("""COMPUTED_VALUE"""),"Trox")</f>
        <v>Trox</v>
      </c>
      <c r="I312" s="3">
        <f>IFERROR(__xludf.DUMMYFUNCTION("""COMPUTED_VALUE"""),1.0)</f>
        <v>1</v>
      </c>
      <c r="J312" s="3" t="str">
        <f>IFERROR(__xludf.DUMMYFUNCTION("""COMPUTED_VALUE"""),"Pcs")</f>
        <v>Pcs</v>
      </c>
      <c r="K312" s="5" t="str">
        <f>IFERROR(__xludf.DUMMYFUNCTION("""COMPUTED_VALUE"""),"https://cdn.trox.de/44f27a8a5d5b54ac/f10ec6203623/00275603_0.pdf")</f>
        <v>https://cdn.trox.de/44f27a8a5d5b54ac/f10ec6203623/00275603_0.pdf</v>
      </c>
      <c r="L312" s="3" t="str">
        <f>IFERROR(__xludf.DUMMYFUNCTION("""COMPUTED_VALUE"""),"Penggantian CAV AHU (REJECT BY MFH KARENA TIDAK ADA SPEK YANG SESUAI DENGAN YANG DIBUTUHKAN)")</f>
        <v>Penggantian CAV AHU (REJECT BY MFH KARENA TIDAK ADA SPEK YANG SESUAI DENGAN YANG DIBUTUHKAN)</v>
      </c>
      <c r="M312" s="3" t="str">
        <f>IFERROR(__xludf.DUMMYFUNCTION("""COMPUTED_VALUE"""),"Reject")</f>
        <v>Reject</v>
      </c>
      <c r="N312" s="3" t="str">
        <f>IFERROR(__xludf.DUMMYFUNCTION("""COMPUTED_VALUE"""),"Normal")</f>
        <v>Normal</v>
      </c>
      <c r="O312" s="3" t="str">
        <f>IFERROR(__xludf.DUMMYFUNCTION("""COMPUTED_VALUE"""),"Non Urgent")</f>
        <v>Non Urgent</v>
      </c>
    </row>
    <row r="313">
      <c r="A313" s="4">
        <f>IFERROR(__xludf.DUMMYFUNCTION("""COMPUTED_VALUE"""),45888.94859375)</f>
        <v>45888.94859</v>
      </c>
      <c r="B313" s="3" t="str">
        <f>IFERROR(__xludf.DUMMYFUNCTION("""COMPUTED_VALUE"""),"MOBBR0037")</f>
        <v>MOBBR0037</v>
      </c>
      <c r="C313" s="3" t="str">
        <f>IFERROR(__xludf.DUMMYFUNCTION("""COMPUTED_VALUE"""),"Consumable")</f>
        <v>Consumable</v>
      </c>
      <c r="D313" s="3" t="str">
        <f>IFERROR(__xludf.DUMMYFUNCTION("""COMPUTED_VALUE"""),"-")</f>
        <v>-</v>
      </c>
      <c r="E313" s="3" t="str">
        <f>IFERROR(__xludf.DUMMYFUNCTION("""COMPUTED_VALUE"""),"AHU")</f>
        <v>AHU</v>
      </c>
      <c r="F313" s="3" t="str">
        <f>IFERROR(__xludf.DUMMYFUNCTION("""COMPUTED_VALUE"""),"Constant Air Volume")</f>
        <v>Constant Air Volume</v>
      </c>
      <c r="G313" s="3" t="str">
        <f>IFERROR(__xludf.DUMMYFUNCTION("""COMPUTED_VALUE"""),"EN 500X300")</f>
        <v>EN 500X300</v>
      </c>
      <c r="H313" s="3" t="str">
        <f>IFERROR(__xludf.DUMMYFUNCTION("""COMPUTED_VALUE"""),"Trox")</f>
        <v>Trox</v>
      </c>
      <c r="I313" s="3">
        <f>IFERROR(__xludf.DUMMYFUNCTION("""COMPUTED_VALUE"""),1.0)</f>
        <v>1</v>
      </c>
      <c r="J313" s="3" t="str">
        <f>IFERROR(__xludf.DUMMYFUNCTION("""COMPUTED_VALUE"""),"Pcs")</f>
        <v>Pcs</v>
      </c>
      <c r="K313" s="5" t="str">
        <f>IFERROR(__xludf.DUMMYFUNCTION("""COMPUTED_VALUE"""),"https://cdn.trox.de/44f27a8a5d5b54ac/f10ec6203623/00275603_0.pdf")</f>
        <v>https://cdn.trox.de/44f27a8a5d5b54ac/f10ec6203623/00275603_0.pdf</v>
      </c>
      <c r="L313" s="3" t="str">
        <f>IFERROR(__xludf.DUMMYFUNCTION("""COMPUTED_VALUE"""),"Penggantian CAV AHU (REJECT BY MFH KARENA TIDAK ADA SPEK YANG SESUAI DENGAN YANG DIBUTUHKAN)")</f>
        <v>Penggantian CAV AHU (REJECT BY MFH KARENA TIDAK ADA SPEK YANG SESUAI DENGAN YANG DIBUTUHKAN)</v>
      </c>
      <c r="M313" s="3" t="str">
        <f>IFERROR(__xludf.DUMMYFUNCTION("""COMPUTED_VALUE"""),"Reject")</f>
        <v>Reject</v>
      </c>
      <c r="N313" s="3" t="str">
        <f>IFERROR(__xludf.DUMMYFUNCTION("""COMPUTED_VALUE"""),"Normal")</f>
        <v>Normal</v>
      </c>
      <c r="O313" s="3" t="str">
        <f>IFERROR(__xludf.DUMMYFUNCTION("""COMPUTED_VALUE"""),"Non Urgent")</f>
        <v>Non Urgent</v>
      </c>
    </row>
    <row r="314">
      <c r="A314" s="4">
        <f>IFERROR(__xludf.DUMMYFUNCTION("""COMPUTED_VALUE"""),45888.94880755787)</f>
        <v>45888.94881</v>
      </c>
      <c r="B314" s="3" t="str">
        <f>IFERROR(__xludf.DUMMYFUNCTION("""COMPUTED_VALUE"""),"MOBBR0038")</f>
        <v>MOBBR0038</v>
      </c>
      <c r="C314" s="3" t="str">
        <f>IFERROR(__xludf.DUMMYFUNCTION("""COMPUTED_VALUE"""),"Consumable")</f>
        <v>Consumable</v>
      </c>
      <c r="D314" s="3" t="str">
        <f>IFERROR(__xludf.DUMMYFUNCTION("""COMPUTED_VALUE"""),"-")</f>
        <v>-</v>
      </c>
      <c r="E314" s="3" t="str">
        <f>IFERROR(__xludf.DUMMYFUNCTION("""COMPUTED_VALUE"""),"AHU")</f>
        <v>AHU</v>
      </c>
      <c r="F314" s="3" t="str">
        <f>IFERROR(__xludf.DUMMYFUNCTION("""COMPUTED_VALUE"""),"Constant Air Volume")</f>
        <v>Constant Air Volume</v>
      </c>
      <c r="G314" s="3" t="str">
        <f>IFERROR(__xludf.DUMMYFUNCTION("""COMPUTED_VALUE"""),"EN 300X200")</f>
        <v>EN 300X200</v>
      </c>
      <c r="H314" s="3" t="str">
        <f>IFERROR(__xludf.DUMMYFUNCTION("""COMPUTED_VALUE"""),"Trox")</f>
        <v>Trox</v>
      </c>
      <c r="I314" s="3">
        <f>IFERROR(__xludf.DUMMYFUNCTION("""COMPUTED_VALUE"""),1.0)</f>
        <v>1</v>
      </c>
      <c r="J314" s="3" t="str">
        <f>IFERROR(__xludf.DUMMYFUNCTION("""COMPUTED_VALUE"""),"Pcs")</f>
        <v>Pcs</v>
      </c>
      <c r="K314" s="5" t="str">
        <f>IFERROR(__xludf.DUMMYFUNCTION("""COMPUTED_VALUE"""),"https://cdn.trox.de/44f27a8a5d5b54ac/f10ec6203623/00275603_0.pdf")</f>
        <v>https://cdn.trox.de/44f27a8a5d5b54ac/f10ec6203623/00275603_0.pdf</v>
      </c>
      <c r="L314" s="3" t="str">
        <f>IFERROR(__xludf.DUMMYFUNCTION("""COMPUTED_VALUE"""),"Penggantian CAV AHU (REJECY BY MFH, SILAHKAN CARI SPEK LENGKAP)")</f>
        <v>Penggantian CAV AHU (REJECY BY MFH, SILAHKAN CARI SPEK LENGKAP)</v>
      </c>
      <c r="M314" s="3" t="str">
        <f>IFERROR(__xludf.DUMMYFUNCTION("""COMPUTED_VALUE"""),"Reject")</f>
        <v>Reject</v>
      </c>
      <c r="N314" s="3" t="str">
        <f>IFERROR(__xludf.DUMMYFUNCTION("""COMPUTED_VALUE"""),"Normal")</f>
        <v>Normal</v>
      </c>
      <c r="O314" s="3" t="str">
        <f>IFERROR(__xludf.DUMMYFUNCTION("""COMPUTED_VALUE"""),"Non Urgent")</f>
        <v>Non Urgent</v>
      </c>
    </row>
    <row r="315">
      <c r="A315" s="4">
        <f>IFERROR(__xludf.DUMMYFUNCTION("""COMPUTED_VALUE"""),45888.95884670139)</f>
        <v>45888.95885</v>
      </c>
      <c r="B315" s="3" t="str">
        <f>IFERROR(__xludf.DUMMYFUNCTION("""COMPUTED_VALUE"""),"SFHBR0029")</f>
        <v>SFHBR0029</v>
      </c>
      <c r="C315" s="3" t="str">
        <f>IFERROR(__xludf.DUMMYFUNCTION("""COMPUTED_VALUE"""),"EJO")</f>
        <v>EJO</v>
      </c>
      <c r="D315" s="3" t="str">
        <f>IFERROR(__xludf.DUMMYFUNCTION("""COMPUTED_VALUE"""),"EJO/2025/08/80")</f>
        <v>EJO/2025/08/80</v>
      </c>
      <c r="E315" s="3" t="str">
        <f>IFERROR(__xludf.DUMMYFUNCTION("""COMPUTED_VALUE"""),"lantai 1")</f>
        <v>lantai 1</v>
      </c>
      <c r="F315" s="3" t="str">
        <f>IFERROR(__xludf.DUMMYFUNCTION("""COMPUTED_VALUE"""),"kaca film 3M")</f>
        <v>kaca film 3M</v>
      </c>
      <c r="G315" s="3" t="str">
        <f>IFERROR(__xludf.DUMMYFUNCTION("""COMPUTED_VALUE"""),"kaca film window film 3m black crome kegelapan 60% anti UV 99%")</f>
        <v>kaca film window film 3m black crome kegelapan 60% anti UV 99%</v>
      </c>
      <c r="H315" s="3" t="str">
        <f>IFERROR(__xludf.DUMMYFUNCTION("""COMPUTED_VALUE"""),"3M")</f>
        <v>3M</v>
      </c>
      <c r="I315" s="3">
        <f>IFERROR(__xludf.DUMMYFUNCTION("""COMPUTED_VALUE"""),1.0)</f>
        <v>1</v>
      </c>
      <c r="J315" s="3" t="str">
        <f>IFERROR(__xludf.DUMMYFUNCTION("""COMPUTED_VALUE"""),"Roll")</f>
        <v>Roll</v>
      </c>
      <c r="K315" s="5" t="str">
        <f>IFERROR(__xludf.DUMMYFUNCTION("""COMPUTED_VALUE"""),"https://tk.tokopedia.com/ZSAFBavJD/")</f>
        <v>https://tk.tokopedia.com/ZSAFBavJD/</v>
      </c>
      <c r="L315" s="3" t="str">
        <f>IFERROR(__xludf.DUMMYFUNCTION("""COMPUTED_VALUE"""),"-")</f>
        <v>-</v>
      </c>
      <c r="M315" s="3" t="str">
        <f>IFERROR(__xludf.DUMMYFUNCTION("""COMPUTED_VALUE"""),"Approve")</f>
        <v>Approve</v>
      </c>
      <c r="N315" s="3" t="str">
        <f>IFERROR(__xludf.DUMMYFUNCTION("""COMPUTED_VALUE"""),"Normal")</f>
        <v>Normal</v>
      </c>
      <c r="O315" s="3" t="str">
        <f>IFERROR(__xludf.DUMMYFUNCTION("""COMPUTED_VALUE"""),"Non Urgent")</f>
        <v>Non Urgent</v>
      </c>
    </row>
    <row r="316">
      <c r="A316" s="4">
        <f>IFERROR(__xludf.DUMMYFUNCTION("""COMPUTED_VALUE"""),45888.96667045139)</f>
        <v>45888.96667</v>
      </c>
      <c r="B316" s="3" t="str">
        <f>IFERROR(__xludf.DUMMYFUNCTION("""COMPUTED_VALUE"""),"MOBBR0039")</f>
        <v>MOBBR0039</v>
      </c>
      <c r="C316" s="3" t="str">
        <f>IFERROR(__xludf.DUMMYFUNCTION("""COMPUTED_VALUE"""),"EJO")</f>
        <v>EJO</v>
      </c>
      <c r="D316" s="3" t="str">
        <f>IFERROR(__xludf.DUMMYFUNCTION("""COMPUTED_VALUE"""),"EJO/2025/07/04")</f>
        <v>EJO/2025/07/04</v>
      </c>
      <c r="E316" s="3" t="str">
        <f>IFERROR(__xludf.DUMMYFUNCTION("""COMPUTED_VALUE"""),"Produksi")</f>
        <v>Produksi</v>
      </c>
      <c r="F316" s="3" t="str">
        <f>IFERROR(__xludf.DUMMYFUNCTION("""COMPUTED_VALUE"""),"Tanki NaOCL")</f>
        <v>Tanki NaOCL</v>
      </c>
      <c r="G316" s="3" t="str">
        <f>IFERROR(__xludf.DUMMYFUNCTION("""COMPUTED_VALUE"""),"Tanki Kap 200 litter dia. 350 x H 700 SS 316 L")</f>
        <v>Tanki Kap 200 litter dia. 350 x H 700 SS 316 L</v>
      </c>
      <c r="H316" s="3" t="str">
        <f>IFERROR(__xludf.DUMMYFUNCTION("""COMPUTED_VALUE"""),"TSP")</f>
        <v>TSP</v>
      </c>
      <c r="I316" s="3">
        <f>IFERROR(__xludf.DUMMYFUNCTION("""COMPUTED_VALUE"""),1.0)</f>
        <v>1</v>
      </c>
      <c r="J316" s="3" t="str">
        <f>IFERROR(__xludf.DUMMYFUNCTION("""COMPUTED_VALUE"""),"Lot")</f>
        <v>Lot</v>
      </c>
      <c r="K316" s="5" t="str">
        <f>IFERROR(__xludf.DUMMYFUNCTION("""COMPUTED_VALUE"""),"https://drive.google.com/file/d/1H7usACl04xWCy1kseh_ubTg0ruJvPO16/view?usp=sharing")</f>
        <v>https://drive.google.com/file/d/1H7usACl04xWCy1kseh_ubTg0ruJvPO16/view?usp=sharing</v>
      </c>
      <c r="L316" s="3" t="str">
        <f>IFERROR(__xludf.DUMMYFUNCTION("""COMPUTED_VALUE"""),"Penggantian Tanki NaOCL Washbay (REJECT KARENA PAKAI BUDGET PRODUKSI)")</f>
        <v>Penggantian Tanki NaOCL Washbay (REJECT KARENA PAKAI BUDGET PRODUKSI)</v>
      </c>
      <c r="M316" s="3" t="str">
        <f>IFERROR(__xludf.DUMMYFUNCTION("""COMPUTED_VALUE"""),"Reject")</f>
        <v>Reject</v>
      </c>
      <c r="N316" s="3" t="str">
        <f>IFERROR(__xludf.DUMMYFUNCTION("""COMPUTED_VALUE"""),"Normal")</f>
        <v>Normal</v>
      </c>
      <c r="O316" s="3" t="str">
        <f>IFERROR(__xludf.DUMMYFUNCTION("""COMPUTED_VALUE"""),"Non Urgent")</f>
        <v>Non Urgent</v>
      </c>
    </row>
    <row r="317">
      <c r="A317" s="4">
        <f>IFERROR(__xludf.DUMMYFUNCTION("""COMPUTED_VALUE"""),45889.52683224537)</f>
        <v>45889.52683</v>
      </c>
      <c r="B317" s="3" t="str">
        <f>IFERROR(__xludf.DUMMYFUNCTION("""COMPUTED_VALUE"""),"RIABR0050")</f>
        <v>RIABR0050</v>
      </c>
      <c r="C317" s="3" t="str">
        <f>IFERROR(__xludf.DUMMYFUNCTION("""COMPUTED_VALUE"""),"EJO")</f>
        <v>EJO</v>
      </c>
      <c r="D317" s="3" t="str">
        <f>IFERROR(__xludf.DUMMYFUNCTION("""COMPUTED_VALUE"""),"EJO/2025/05/152")</f>
        <v>EJO/2025/05/152</v>
      </c>
      <c r="E317" s="3" t="str">
        <f>IFERROR(__xludf.DUMMYFUNCTION("""COMPUTED_VALUE"""),"Soften Water")</f>
        <v>Soften Water</v>
      </c>
      <c r="F317" s="3" t="str">
        <f>IFERROR(__xludf.DUMMYFUNCTION("""COMPUTED_VALUE"""),"T Reducer pvc")</f>
        <v>T Reducer pvc</v>
      </c>
      <c r="G317" s="3" t="str">
        <f>IFERROR(__xludf.DUMMYFUNCTION("""COMPUTED_VALUE"""),"T Reducer 2""' x 3/4''")</f>
        <v>T Reducer 2"' x 3/4''</v>
      </c>
      <c r="H317" s="3" t="str">
        <f>IFERROR(__xludf.DUMMYFUNCTION("""COMPUTED_VALUE"""),"Rucika")</f>
        <v>Rucika</v>
      </c>
      <c r="I317" s="3">
        <f>IFERROR(__xludf.DUMMYFUNCTION("""COMPUTED_VALUE"""),1.0)</f>
        <v>1</v>
      </c>
      <c r="J317" s="3" t="str">
        <f>IFERROR(__xludf.DUMMYFUNCTION("""COMPUTED_VALUE"""),"Pcs")</f>
        <v>Pcs</v>
      </c>
      <c r="K317" s="5" t="str">
        <f>IFERROR(__xludf.DUMMYFUNCTION("""COMPUTED_VALUE"""),"https://www.tokopedia.com/suryamajumakmur/rucika-reducer-tee-2-x-1-1-2-inch-2-x-1-1-4-aw-2-x-1-inch-ts-2-x-3-4-inch-2-x-1-2-dim-vtee-reduser-tee-t-tebal-sekali-2-x-3-4-inch-96d6a?t_id=1747715906676&amp;t_st=2&amp;t_pp=cart&amp;t_efo=cart&amp;t_ef=&amp;t_sm=&amp;t_spt=cart")</f>
        <v>https://www.tokopedia.com/suryamajumakmur/rucika-reducer-tee-2-x-1-1-2-inch-2-x-1-1-4-aw-2-x-1-inch-ts-2-x-3-4-inch-2-x-1-2-dim-vtee-reduser-tee-t-tebal-sekali-2-x-3-4-inch-96d6a?t_id=1747715906676&amp;t_st=2&amp;t_pp=cart&amp;t_efo=cart&amp;t_ef=&amp;t_sm=&amp;t_spt=cart</v>
      </c>
      <c r="L317" s="3" t="str">
        <f>IFERROR(__xludf.DUMMYFUNCTION("""COMPUTED_VALUE"""),"Untuk Pasang PG")</f>
        <v>Untuk Pasang PG</v>
      </c>
      <c r="M317" s="3" t="str">
        <f>IFERROR(__xludf.DUMMYFUNCTION("""COMPUTED_VALUE"""),"Approve")</f>
        <v>Approve</v>
      </c>
      <c r="N317" s="3" t="str">
        <f>IFERROR(__xludf.DUMMYFUNCTION("""COMPUTED_VALUE"""),"Normal")</f>
        <v>Normal</v>
      </c>
      <c r="O317" s="3" t="str">
        <f>IFERROR(__xludf.DUMMYFUNCTION("""COMPUTED_VALUE"""),"Non Urgent")</f>
        <v>Non Urgent</v>
      </c>
    </row>
    <row r="318">
      <c r="A318" s="4">
        <f>IFERROR(__xludf.DUMMYFUNCTION("""COMPUTED_VALUE"""),45889.52683224537)</f>
        <v>45889.52683</v>
      </c>
      <c r="B318" s="3" t="str">
        <f>IFERROR(__xludf.DUMMYFUNCTION("""COMPUTED_VALUE"""),"RIABR0051")</f>
        <v>RIABR0051</v>
      </c>
      <c r="C318" s="3" t="str">
        <f>IFERROR(__xludf.DUMMYFUNCTION("""COMPUTED_VALUE"""),"EJO")</f>
        <v>EJO</v>
      </c>
      <c r="D318" s="3" t="str">
        <f>IFERROR(__xludf.DUMMYFUNCTION("""COMPUTED_VALUE"""),"EJO/2025/05/152")</f>
        <v>EJO/2025/05/152</v>
      </c>
      <c r="E318" s="3" t="str">
        <f>IFERROR(__xludf.DUMMYFUNCTION("""COMPUTED_VALUE"""),"Soften Water")</f>
        <v>Soften Water</v>
      </c>
      <c r="F318" s="3" t="str">
        <f>IFERROR(__xludf.DUMMYFUNCTION("""COMPUTED_VALUE"""),"Shock Drat Luar PVC")</f>
        <v>Shock Drat Luar PVC</v>
      </c>
      <c r="G318" s="3" t="str">
        <f>IFERROR(__xludf.DUMMYFUNCTION("""COMPUTED_VALUE"""),"Shock Drat Luar 3/4"" x 1/2""")</f>
        <v>Shock Drat Luar 3/4" x 1/2"</v>
      </c>
      <c r="H318" s="3" t="str">
        <f>IFERROR(__xludf.DUMMYFUNCTION("""COMPUTED_VALUE"""),"Rucika")</f>
        <v>Rucika</v>
      </c>
      <c r="I318" s="3">
        <f>IFERROR(__xludf.DUMMYFUNCTION("""COMPUTED_VALUE"""),2.0)</f>
        <v>2</v>
      </c>
      <c r="J318" s="3" t="str">
        <f>IFERROR(__xludf.DUMMYFUNCTION("""COMPUTED_VALUE"""),"Pcs")</f>
        <v>Pcs</v>
      </c>
      <c r="K318" s="5" t="str">
        <f>IFERROR(__xludf.DUMMYFUNCTION("""COMPUTED_VALUE"""),"https://www.tokopedia.com/setiajayabangunan/socket-sock-sok-drat-luar-rucika-pvc-1-2-3-4-1-inch-1730856356958996223")</f>
        <v>https://www.tokopedia.com/setiajayabangunan/socket-sock-sok-drat-luar-rucika-pvc-1-2-3-4-1-inch-1730856356958996223</v>
      </c>
      <c r="L318" s="3" t="str">
        <f>IFERROR(__xludf.DUMMYFUNCTION("""COMPUTED_VALUE"""),"Untuk Pasang PG")</f>
        <v>Untuk Pasang PG</v>
      </c>
      <c r="M318" s="3" t="str">
        <f>IFERROR(__xludf.DUMMYFUNCTION("""COMPUTED_VALUE"""),"Approve")</f>
        <v>Approve</v>
      </c>
      <c r="N318" s="3" t="str">
        <f>IFERROR(__xludf.DUMMYFUNCTION("""COMPUTED_VALUE"""),"Normal")</f>
        <v>Normal</v>
      </c>
      <c r="O318" s="3" t="str">
        <f>IFERROR(__xludf.DUMMYFUNCTION("""COMPUTED_VALUE"""),"Non Urgent")</f>
        <v>Non Urgent</v>
      </c>
    </row>
    <row r="319">
      <c r="A319" s="4">
        <f>IFERROR(__xludf.DUMMYFUNCTION("""COMPUTED_VALUE"""),45889.52683224537)</f>
        <v>45889.52683</v>
      </c>
      <c r="B319" s="3" t="str">
        <f>IFERROR(__xludf.DUMMYFUNCTION("""COMPUTED_VALUE"""),"RIABR0052")</f>
        <v>RIABR0052</v>
      </c>
      <c r="C319" s="3" t="str">
        <f>IFERROR(__xludf.DUMMYFUNCTION("""COMPUTED_VALUE"""),"EJO")</f>
        <v>EJO</v>
      </c>
      <c r="D319" s="3" t="str">
        <f>IFERROR(__xludf.DUMMYFUNCTION("""COMPUTED_VALUE"""),"EJO/2025/05/152")</f>
        <v>EJO/2025/05/152</v>
      </c>
      <c r="E319" s="3" t="str">
        <f>IFERROR(__xludf.DUMMYFUNCTION("""COMPUTED_VALUE"""),"Soften Water")</f>
        <v>Soften Water</v>
      </c>
      <c r="F319" s="3" t="str">
        <f>IFERROR(__xludf.DUMMYFUNCTION("""COMPUTED_VALUE"""),"Ball Valve")</f>
        <v>Ball Valve</v>
      </c>
      <c r="G319" s="3" t="str">
        <f>IFERROR(__xludf.DUMMYFUNCTION("""COMPUTED_VALUE"""),"Ball Valve 1/2""")</f>
        <v>Ball Valve 1/2"</v>
      </c>
      <c r="H319" s="3" t="str">
        <f>IFERROR(__xludf.DUMMYFUNCTION("""COMPUTED_VALUE"""),"Kitz")</f>
        <v>Kitz</v>
      </c>
      <c r="I319" s="3">
        <f>IFERROR(__xludf.DUMMYFUNCTION("""COMPUTED_VALUE"""),2.0)</f>
        <v>2</v>
      </c>
      <c r="J319" s="3" t="str">
        <f>IFERROR(__xludf.DUMMYFUNCTION("""COMPUTED_VALUE"""),"Pcs")</f>
        <v>Pcs</v>
      </c>
      <c r="K319" s="5" t="str">
        <f>IFERROR(__xludf.DUMMYFUNCTION("""COMPUTED_VALUE"""),"https://www.tokopedia.com/kitzvalve/kitz-brass-ball-valve-fig-400-t-1-2-15a-15mm-drat-screw-1730871264804767182?t_id=1747715906676&amp;t_st=3&amp;t_pp=cart&amp;t_efo=cart&amp;t_ef=&amp;t_sm=&amp;t_spt=cart")</f>
        <v>https://www.tokopedia.com/kitzvalve/kitz-brass-ball-valve-fig-400-t-1-2-15a-15mm-drat-screw-1730871264804767182?t_id=1747715906676&amp;t_st=3&amp;t_pp=cart&amp;t_efo=cart&amp;t_ef=&amp;t_sm=&amp;t_spt=cart</v>
      </c>
      <c r="L319" s="3" t="str">
        <f>IFERROR(__xludf.DUMMYFUNCTION("""COMPUTED_VALUE"""),"Untuk Pasang PG")</f>
        <v>Untuk Pasang PG</v>
      </c>
      <c r="M319" s="3" t="str">
        <f>IFERROR(__xludf.DUMMYFUNCTION("""COMPUTED_VALUE"""),"Approve")</f>
        <v>Approve</v>
      </c>
      <c r="N319" s="3" t="str">
        <f>IFERROR(__xludf.DUMMYFUNCTION("""COMPUTED_VALUE"""),"Normal")</f>
        <v>Normal</v>
      </c>
      <c r="O319" s="3" t="str">
        <f>IFERROR(__xludf.DUMMYFUNCTION("""COMPUTED_VALUE"""),"Non Urgent")</f>
        <v>Non Urgent</v>
      </c>
    </row>
    <row r="320">
      <c r="A320" s="4">
        <f>IFERROR(__xludf.DUMMYFUNCTION("""COMPUTED_VALUE"""),45889.52683224537)</f>
        <v>45889.52683</v>
      </c>
      <c r="B320" s="3" t="str">
        <f>IFERROR(__xludf.DUMMYFUNCTION("""COMPUTED_VALUE"""),"RIABR0053")</f>
        <v>RIABR0053</v>
      </c>
      <c r="C320" s="3" t="str">
        <f>IFERROR(__xludf.DUMMYFUNCTION("""COMPUTED_VALUE"""),"EJO")</f>
        <v>EJO</v>
      </c>
      <c r="D320" s="3" t="str">
        <f>IFERROR(__xludf.DUMMYFUNCTION("""COMPUTED_VALUE"""),"EJO/2025/05/152")</f>
        <v>EJO/2025/05/152</v>
      </c>
      <c r="E320" s="3" t="str">
        <f>IFERROR(__xludf.DUMMYFUNCTION("""COMPUTED_VALUE"""),"Soften Water")</f>
        <v>Soften Water</v>
      </c>
      <c r="F320" s="3" t="str">
        <f>IFERROR(__xludf.DUMMYFUNCTION("""COMPUTED_VALUE"""),"Pressure Gauge")</f>
        <v>Pressure Gauge</v>
      </c>
      <c r="G320" s="3" t="str">
        <f>IFERROR(__xludf.DUMMYFUNCTION("""COMPUTED_VALUE"""),"PG 1/2""")</f>
        <v>PG 1/2"</v>
      </c>
      <c r="H320" s="3" t="str">
        <f>IFERROR(__xludf.DUMMYFUNCTION("""COMPUTED_VALUE"""),"Lokal")</f>
        <v>Lokal</v>
      </c>
      <c r="I320" s="3">
        <f>IFERROR(__xludf.DUMMYFUNCTION("""COMPUTED_VALUE"""),1.0)</f>
        <v>1</v>
      </c>
      <c r="J320" s="3" t="str">
        <f>IFERROR(__xludf.DUMMYFUNCTION("""COMPUTED_VALUE"""),"Pcs")</f>
        <v>Pcs</v>
      </c>
      <c r="K320" s="5" t="str">
        <f>IFERROR(__xludf.DUMMYFUNCTION("""COMPUTED_VALUE"""),"https://www.tokopedia.com/nusanjadi/pressure-gauge-full-stainless-4-0-6-bar")</f>
        <v>https://www.tokopedia.com/nusanjadi/pressure-gauge-full-stainless-4-0-6-bar</v>
      </c>
      <c r="L320" s="3" t="str">
        <f>IFERROR(__xludf.DUMMYFUNCTION("""COMPUTED_VALUE"""),"Untuk Pasang PG")</f>
        <v>Untuk Pasang PG</v>
      </c>
      <c r="M320" s="3" t="str">
        <f>IFERROR(__xludf.DUMMYFUNCTION("""COMPUTED_VALUE"""),"Approve")</f>
        <v>Approve</v>
      </c>
      <c r="N320" s="3" t="str">
        <f>IFERROR(__xludf.DUMMYFUNCTION("""COMPUTED_VALUE"""),"Normal")</f>
        <v>Normal</v>
      </c>
      <c r="O320" s="3" t="str">
        <f>IFERROR(__xludf.DUMMYFUNCTION("""COMPUTED_VALUE"""),"Non Urgent")</f>
        <v>Non Urgent</v>
      </c>
    </row>
    <row r="321">
      <c r="A321" s="4">
        <f>IFERROR(__xludf.DUMMYFUNCTION("""COMPUTED_VALUE"""),45889.52683224537)</f>
        <v>45889.52683</v>
      </c>
      <c r="B321" s="3" t="str">
        <f>IFERROR(__xludf.DUMMYFUNCTION("""COMPUTED_VALUE"""),"RIABR0054")</f>
        <v>RIABR0054</v>
      </c>
      <c r="C321" s="3" t="str">
        <f>IFERROR(__xludf.DUMMYFUNCTION("""COMPUTED_VALUE"""),"EJO")</f>
        <v>EJO</v>
      </c>
      <c r="D321" s="3" t="str">
        <f>IFERROR(__xludf.DUMMYFUNCTION("""COMPUTED_VALUE"""),"EJO/2025/05/152")</f>
        <v>EJO/2025/05/152</v>
      </c>
      <c r="E321" s="3" t="str">
        <f>IFERROR(__xludf.DUMMYFUNCTION("""COMPUTED_VALUE"""),"Fresh Water")</f>
        <v>Fresh Water</v>
      </c>
      <c r="F321" s="3" t="str">
        <f>IFERROR(__xludf.DUMMYFUNCTION("""COMPUTED_VALUE"""),"T Reducer pvc")</f>
        <v>T Reducer pvc</v>
      </c>
      <c r="G321" s="3" t="str">
        <f>IFERROR(__xludf.DUMMYFUNCTION("""COMPUTED_VALUE"""),"T Reducer 2 1/2"" x 3/4""")</f>
        <v>T Reducer 2 1/2" x 3/4"</v>
      </c>
      <c r="H321" s="3" t="str">
        <f>IFERROR(__xludf.DUMMYFUNCTION("""COMPUTED_VALUE"""),"Rucika")</f>
        <v>Rucika</v>
      </c>
      <c r="I321" s="3">
        <f>IFERROR(__xludf.DUMMYFUNCTION("""COMPUTED_VALUE"""),1.0)</f>
        <v>1</v>
      </c>
      <c r="J321" s="3" t="str">
        <f>IFERROR(__xludf.DUMMYFUNCTION("""COMPUTED_VALUE"""),"Pcs")</f>
        <v>Pcs</v>
      </c>
      <c r="K321" s="5" t="str">
        <f>IFERROR(__xludf.DUMMYFUNCTION("""COMPUTED_VALUE"""),"https://www.tokopedia.com/totalsolusi/vlok-tee-2-1-2-x-3-4-inch-reducing-t-2-1-2-x-3-4-scg?t_id=1747715906676&amp;t_st=1&amp;t_pp=cart&amp;t_efo=cart&amp;t_ef=&amp;t_sm=&amp;t_spt=cart")</f>
        <v>https://www.tokopedia.com/totalsolusi/vlok-tee-2-1-2-x-3-4-inch-reducing-t-2-1-2-x-3-4-scg?t_id=1747715906676&amp;t_st=1&amp;t_pp=cart&amp;t_efo=cart&amp;t_ef=&amp;t_sm=&amp;t_spt=cart</v>
      </c>
      <c r="L321" s="3" t="str">
        <f>IFERROR(__xludf.DUMMYFUNCTION("""COMPUTED_VALUE"""),"Untuk Pasang PG")</f>
        <v>Untuk Pasang PG</v>
      </c>
      <c r="M321" s="3" t="str">
        <f>IFERROR(__xludf.DUMMYFUNCTION("""COMPUTED_VALUE"""),"Approve")</f>
        <v>Approve</v>
      </c>
      <c r="N321" s="3" t="str">
        <f>IFERROR(__xludf.DUMMYFUNCTION("""COMPUTED_VALUE"""),"Normal")</f>
        <v>Normal</v>
      </c>
      <c r="O321" s="3" t="str">
        <f>IFERROR(__xludf.DUMMYFUNCTION("""COMPUTED_VALUE"""),"Non Urgent")</f>
        <v>Non Urgent</v>
      </c>
    </row>
    <row r="322">
      <c r="A322" s="4">
        <f>IFERROR(__xludf.DUMMYFUNCTION("""COMPUTED_VALUE"""),45889.52683224537)</f>
        <v>45889.52683</v>
      </c>
      <c r="B322" s="3" t="str">
        <f>IFERROR(__xludf.DUMMYFUNCTION("""COMPUTED_VALUE"""),"RIABR0055")</f>
        <v>RIABR0055</v>
      </c>
      <c r="C322" s="3" t="str">
        <f>IFERROR(__xludf.DUMMYFUNCTION("""COMPUTED_VALUE"""),"EJO")</f>
        <v>EJO</v>
      </c>
      <c r="D322" s="3" t="str">
        <f>IFERROR(__xludf.DUMMYFUNCTION("""COMPUTED_VALUE"""),"EJO/2025/05/152")</f>
        <v>EJO/2025/05/152</v>
      </c>
      <c r="E322" s="3" t="str">
        <f>IFERROR(__xludf.DUMMYFUNCTION("""COMPUTED_VALUE"""),"Fresh Water")</f>
        <v>Fresh Water</v>
      </c>
      <c r="F322" s="3" t="str">
        <f>IFERROR(__xludf.DUMMYFUNCTION("""COMPUTED_VALUE"""),"Shock Drat Luar 3/4"" x 1/2""")</f>
        <v>Shock Drat Luar 3/4" x 1/2"</v>
      </c>
      <c r="G322" s="3" t="str">
        <f>IFERROR(__xludf.DUMMYFUNCTION("""COMPUTED_VALUE"""),"Shock Drat Luar 3/4"" x 1/2""")</f>
        <v>Shock Drat Luar 3/4" x 1/2"</v>
      </c>
      <c r="H322" s="3" t="str">
        <f>IFERROR(__xludf.DUMMYFUNCTION("""COMPUTED_VALUE"""),"Rucika")</f>
        <v>Rucika</v>
      </c>
      <c r="I322" s="3">
        <f>IFERROR(__xludf.DUMMYFUNCTION("""COMPUTED_VALUE"""),1.0)</f>
        <v>1</v>
      </c>
      <c r="J322" s="3" t="str">
        <f>IFERROR(__xludf.DUMMYFUNCTION("""COMPUTED_VALUE"""),"Pcs")</f>
        <v>Pcs</v>
      </c>
      <c r="K322" s="5" t="str">
        <f>IFERROR(__xludf.DUMMYFUNCTION("""COMPUTED_VALUE"""),"https://www.tokopedia.com/setiajayabangunan/socket-sock-sok-drat-luar-rucika-pvc-1-2-3-4-1-inch-1730856356958996223")</f>
        <v>https://www.tokopedia.com/setiajayabangunan/socket-sock-sok-drat-luar-rucika-pvc-1-2-3-4-1-inch-1730856356958996223</v>
      </c>
      <c r="L322" s="3" t="str">
        <f>IFERROR(__xludf.DUMMYFUNCTION("""COMPUTED_VALUE"""),"Untuk Pasang PG, REJECT BY MFH KARENA DOUBLE DENGAN RIABR0051 DAN SUDAH DITAMBAH QTYNYA")</f>
        <v>Untuk Pasang PG, REJECT BY MFH KARENA DOUBLE DENGAN RIABR0051 DAN SUDAH DITAMBAH QTYNYA</v>
      </c>
      <c r="M322" s="3" t="str">
        <f>IFERROR(__xludf.DUMMYFUNCTION("""COMPUTED_VALUE"""),"Reject")</f>
        <v>Reject</v>
      </c>
      <c r="N322" s="3" t="str">
        <f>IFERROR(__xludf.DUMMYFUNCTION("""COMPUTED_VALUE"""),"Normal")</f>
        <v>Normal</v>
      </c>
      <c r="O322" s="3" t="str">
        <f>IFERROR(__xludf.DUMMYFUNCTION("""COMPUTED_VALUE"""),"Non Urgent")</f>
        <v>Non Urgent</v>
      </c>
    </row>
    <row r="323">
      <c r="A323" s="4">
        <f>IFERROR(__xludf.DUMMYFUNCTION("""COMPUTED_VALUE"""),45889.52683224537)</f>
        <v>45889.52683</v>
      </c>
      <c r="B323" s="3" t="str">
        <f>IFERROR(__xludf.DUMMYFUNCTION("""COMPUTED_VALUE"""),"RIABR0056")</f>
        <v>RIABR0056</v>
      </c>
      <c r="C323" s="3" t="str">
        <f>IFERROR(__xludf.DUMMYFUNCTION("""COMPUTED_VALUE"""),"EJO")</f>
        <v>EJO</v>
      </c>
      <c r="D323" s="3" t="str">
        <f>IFERROR(__xludf.DUMMYFUNCTION("""COMPUTED_VALUE"""),"EJO/2025/05/152")</f>
        <v>EJO/2025/05/152</v>
      </c>
      <c r="E323" s="3" t="str">
        <f>IFERROR(__xludf.DUMMYFUNCTION("""COMPUTED_VALUE"""),"Fresh Water")</f>
        <v>Fresh Water</v>
      </c>
      <c r="F323" s="3" t="str">
        <f>IFERROR(__xludf.DUMMYFUNCTION("""COMPUTED_VALUE"""),"Ball Valve 1/2""")</f>
        <v>Ball Valve 1/2"</v>
      </c>
      <c r="G323" s="3" t="str">
        <f>IFERROR(__xludf.DUMMYFUNCTION("""COMPUTED_VALUE"""),"Ball Valve 1/2""")</f>
        <v>Ball Valve 1/2"</v>
      </c>
      <c r="H323" s="3" t="str">
        <f>IFERROR(__xludf.DUMMYFUNCTION("""COMPUTED_VALUE"""),"Kitz")</f>
        <v>Kitz</v>
      </c>
      <c r="I323" s="3">
        <f>IFERROR(__xludf.DUMMYFUNCTION("""COMPUTED_VALUE"""),1.0)</f>
        <v>1</v>
      </c>
      <c r="J323" s="3" t="str">
        <f>IFERROR(__xludf.DUMMYFUNCTION("""COMPUTED_VALUE"""),"Pcs")</f>
        <v>Pcs</v>
      </c>
      <c r="K323" s="5" t="str">
        <f>IFERROR(__xludf.DUMMYFUNCTION("""COMPUTED_VALUE"""),"https://www.tokopedia.com/kitzvalve/kitz-brass-ball-valve-fig-400-t-1-2-15a-15mm-drat-screw-1730871264804767182?t_id=1747715906676&amp;t_st=3&amp;t_pp=cart&amp;t_efo=cart&amp;t_ef=&amp;t_sm=&amp;t_spt=cart")</f>
        <v>https://www.tokopedia.com/kitzvalve/kitz-brass-ball-valve-fig-400-t-1-2-15a-15mm-drat-screw-1730871264804767182?t_id=1747715906676&amp;t_st=3&amp;t_pp=cart&amp;t_efo=cart&amp;t_ef=&amp;t_sm=&amp;t_spt=cart</v>
      </c>
      <c r="L323" s="3" t="str">
        <f>IFERROR(__xludf.DUMMYFUNCTION("""COMPUTED_VALUE"""),"Untuk Pasang PG, REJECT BY MFH KARENA DOUBLE DENGAN RIABR0052 DAN SUDAH DITAMBAH QTYNYA")</f>
        <v>Untuk Pasang PG, REJECT BY MFH KARENA DOUBLE DENGAN RIABR0052 DAN SUDAH DITAMBAH QTYNYA</v>
      </c>
      <c r="M323" s="3" t="str">
        <f>IFERROR(__xludf.DUMMYFUNCTION("""COMPUTED_VALUE"""),"Reject")</f>
        <v>Reject</v>
      </c>
      <c r="N323" s="3" t="str">
        <f>IFERROR(__xludf.DUMMYFUNCTION("""COMPUTED_VALUE"""),"Normal")</f>
        <v>Normal</v>
      </c>
      <c r="O323" s="3" t="str">
        <f>IFERROR(__xludf.DUMMYFUNCTION("""COMPUTED_VALUE"""),"Non Urgent")</f>
        <v>Non Urgent</v>
      </c>
    </row>
    <row r="324">
      <c r="A324" s="4">
        <f>IFERROR(__xludf.DUMMYFUNCTION("""COMPUTED_VALUE"""),45889.52683224537)</f>
        <v>45889.52683</v>
      </c>
      <c r="B324" s="3" t="str">
        <f>IFERROR(__xludf.DUMMYFUNCTION("""COMPUTED_VALUE"""),"RIABR0057")</f>
        <v>RIABR0057</v>
      </c>
      <c r="C324" s="3" t="str">
        <f>IFERROR(__xludf.DUMMYFUNCTION("""COMPUTED_VALUE"""),"EJO")</f>
        <v>EJO</v>
      </c>
      <c r="D324" s="3" t="str">
        <f>IFERROR(__xludf.DUMMYFUNCTION("""COMPUTED_VALUE"""),"EJO/2025/05/152")</f>
        <v>EJO/2025/05/152</v>
      </c>
      <c r="E324" s="3" t="str">
        <f>IFERROR(__xludf.DUMMYFUNCTION("""COMPUTED_VALUE"""),"Fresh Water")</f>
        <v>Fresh Water</v>
      </c>
      <c r="F324" s="3" t="str">
        <f>IFERROR(__xludf.DUMMYFUNCTION("""COMPUTED_VALUE"""),"PG 1/2""")</f>
        <v>PG 1/2"</v>
      </c>
      <c r="G324" s="3" t="str">
        <f>IFERROR(__xludf.DUMMYFUNCTION("""COMPUTED_VALUE"""),"PG 1/2""")</f>
        <v>PG 1/2"</v>
      </c>
      <c r="H324" s="3" t="str">
        <f>IFERROR(__xludf.DUMMYFUNCTION("""COMPUTED_VALUE"""),"Lokal")</f>
        <v>Lokal</v>
      </c>
      <c r="I324" s="3">
        <f>IFERROR(__xludf.DUMMYFUNCTION("""COMPUTED_VALUE"""),1.0)</f>
        <v>1</v>
      </c>
      <c r="J324" s="3" t="str">
        <f>IFERROR(__xludf.DUMMYFUNCTION("""COMPUTED_VALUE"""),"Pcs")</f>
        <v>Pcs</v>
      </c>
      <c r="K324" s="8" t="str">
        <f>IFERROR(__xludf.DUMMYFUNCTION("""COMPUTED_VALUE"""),"https://www.tokopedia.com/nusanjadi/pressure-gauge-full-stainless-4-0-6-bar")</f>
        <v>https://www.tokopedia.com/nusanjadi/pressure-gauge-full-stainless-4-0-6-bar</v>
      </c>
      <c r="L324" s="3" t="str">
        <f>IFERROR(__xludf.DUMMYFUNCTION("""COMPUTED_VALUE"""),"Untuk Pasang PG,REJECT BY MFH KARENA DOUBLE DENGAN RIABR0053")</f>
        <v>Untuk Pasang PG,REJECT BY MFH KARENA DOUBLE DENGAN RIABR0053</v>
      </c>
      <c r="M324" s="3" t="str">
        <f>IFERROR(__xludf.DUMMYFUNCTION("""COMPUTED_VALUE"""),"Reject")</f>
        <v>Reject</v>
      </c>
      <c r="N324" s="3" t="str">
        <f>IFERROR(__xludf.DUMMYFUNCTION("""COMPUTED_VALUE"""),"Normal")</f>
        <v>Normal</v>
      </c>
      <c r="O324" s="3" t="str">
        <f>IFERROR(__xludf.DUMMYFUNCTION("""COMPUTED_VALUE"""),"Non Urgent")</f>
        <v>Non Urgent</v>
      </c>
    </row>
    <row r="325">
      <c r="A325" s="4">
        <f>IFERROR(__xludf.DUMMYFUNCTION("""COMPUTED_VALUE"""),45890.56369354166)</f>
        <v>45890.56369</v>
      </c>
      <c r="B325" s="3" t="str">
        <f>IFERROR(__xludf.DUMMYFUNCTION("""COMPUTED_VALUE"""),"MRNBR0047")</f>
        <v>MRNBR0047</v>
      </c>
      <c r="C325" s="3" t="str">
        <f>IFERROR(__xludf.DUMMYFUNCTION("""COMPUTED_VALUE"""),"EJO")</f>
        <v>EJO</v>
      </c>
      <c r="D325" s="3" t="str">
        <f>IFERROR(__xludf.DUMMYFUNCTION("""COMPUTED_VALUE"""),"EJO/2025/08/205")</f>
        <v>EJO/2025/08/205</v>
      </c>
      <c r="E325" s="3" t="str">
        <f>IFERROR(__xludf.DUMMYFUNCTION("""COMPUTED_VALUE"""),"Lampu di IPC")</f>
        <v>Lampu di IPC</v>
      </c>
      <c r="F325" s="3" t="str">
        <f>IFERROR(__xludf.DUMMYFUNCTION("""COMPUTED_VALUE"""),"BOX lampu")</f>
        <v>BOX lampu</v>
      </c>
      <c r="G325" s="3" t="str">
        <f>IFERROR(__xludf.DUMMYFUNCTION("""COMPUTED_VALUE"""),"Kap lampu TKI outbow TL5 2 x 14 watt")</f>
        <v>Kap lampu TKI outbow TL5 2 x 14 watt</v>
      </c>
      <c r="H325" s="3" t="str">
        <f>IFERROR(__xludf.DUMMYFUNCTION("""COMPUTED_VALUE"""),"NA")</f>
        <v>NA</v>
      </c>
      <c r="I325" s="3">
        <f>IFERROR(__xludf.DUMMYFUNCTION("""COMPUTED_VALUE"""),2.0)</f>
        <v>2</v>
      </c>
      <c r="J325" s="3" t="str">
        <f>IFERROR(__xludf.DUMMYFUNCTION("""COMPUTED_VALUE"""),"pcs")</f>
        <v>pcs</v>
      </c>
      <c r="K325" s="5" t="str">
        <f>IFERROR(__xludf.DUMMYFUNCTION("""COMPUTED_VALUE"""),"https://sinarglodok.com/index.php/semua-produk/kap-lampu-tl-neon")</f>
        <v>https://sinarglodok.com/index.php/semua-produk/kap-lampu-tl-neon</v>
      </c>
      <c r="L325" s="3" t="str">
        <f>IFERROR(__xludf.DUMMYFUNCTION("""COMPUTED_VALUE"""),"Untuk kap lampi IPC berkarat")</f>
        <v>Untuk kap lampi IPC berkarat</v>
      </c>
      <c r="M325" s="3" t="str">
        <f>IFERROR(__xludf.DUMMYFUNCTION("""COMPUTED_VALUE"""),"Reject")</f>
        <v>Reject</v>
      </c>
      <c r="N325" s="3" t="str">
        <f>IFERROR(__xludf.DUMMYFUNCTION("""COMPUTED_VALUE"""),"Normal")</f>
        <v>Normal</v>
      </c>
      <c r="O325" s="3" t="str">
        <f>IFERROR(__xludf.DUMMYFUNCTION("""COMPUTED_VALUE"""),"Non Urgent")</f>
        <v>Non Urgent</v>
      </c>
    </row>
    <row r="326">
      <c r="A326" s="4">
        <f>IFERROR(__xludf.DUMMYFUNCTION("""COMPUTED_VALUE"""),45890.58345658565)</f>
        <v>45890.58346</v>
      </c>
      <c r="B326" s="3" t="str">
        <f>IFERROR(__xludf.DUMMYFUNCTION("""COMPUTED_VALUE"""),"MRNBR0048")</f>
        <v>MRNBR0048</v>
      </c>
      <c r="C326" s="3" t="str">
        <f>IFERROR(__xludf.DUMMYFUNCTION("""COMPUTED_VALUE"""),"EJO")</f>
        <v>EJO</v>
      </c>
      <c r="D326" s="3" t="str">
        <f>IFERROR(__xludf.DUMMYFUNCTION("""COMPUTED_VALUE"""),"EJO/2025/05/102")</f>
        <v>EJO/2025/05/102</v>
      </c>
      <c r="E326" s="3" t="str">
        <f>IFERROR(__xludf.DUMMYFUNCTION("""COMPUTED_VALUE"""),"AC lantai 3")</f>
        <v>AC lantai 3</v>
      </c>
      <c r="F326" s="3" t="str">
        <f>IFERROR(__xludf.DUMMYFUNCTION("""COMPUTED_VALUE"""),"Untuk AC QC dan Server")</f>
        <v>Untuk AC QC dan Server</v>
      </c>
      <c r="G326" s="3" t="str">
        <f>IFERROR(__xludf.DUMMYFUNCTION("""COMPUTED_VALUE"""),"Freon R32")</f>
        <v>Freon R32</v>
      </c>
      <c r="H326" s="3" t="str">
        <f>IFERROR(__xludf.DUMMYFUNCTION("""COMPUTED_VALUE"""),"Dupont")</f>
        <v>Dupont</v>
      </c>
      <c r="I326" s="3">
        <f>IFERROR(__xludf.DUMMYFUNCTION("""COMPUTED_VALUE"""),2.0)</f>
        <v>2</v>
      </c>
      <c r="J326" s="3" t="str">
        <f>IFERROR(__xludf.DUMMYFUNCTION("""COMPUTED_VALUE"""),"klg")</f>
        <v>klg</v>
      </c>
      <c r="K326" s="5" t="str">
        <f>IFERROR(__xludf.DUMMYFUNCTION("""COMPUTED_VALUE"""),"https://www.tokopedia.com/grandyc/freon-r32-refrigerant?extParam=ivf%3Dfalse%26keyword%3Dfreon+r32%26search_id%3D2025082107024211B9842E0A271F1718O6%26src%3Dsearch&amp;t_id=1755758423342&amp;t_st=5&amp;t_pp=search_result&amp;t_efo=search_pure_goods_card&amp;t_ef=goods_search&amp;"&amp;"t_sm=&amp;t_spt=search_result")</f>
        <v>https://www.tokopedia.com/grandyc/freon-r32-refrigerant?extParam=ivf%3Dfalse%26keyword%3Dfreon+r32%26search_id%3D2025082107024211B9842E0A271F1718O6%26src%3Dsearch&amp;t_id=1755758423342&amp;t_st=5&amp;t_pp=search_result&amp;t_efo=search_pure_goods_card&amp;t_ef=goods_search&amp;t_sm=&amp;t_spt=search_result</v>
      </c>
      <c r="L326" s="3" t="str">
        <f>IFERROR(__xludf.DUMMYFUNCTION("""COMPUTED_VALUE"""),"Untuk PM AC")</f>
        <v>Untuk PM AC</v>
      </c>
      <c r="M326" s="3" t="str">
        <f>IFERROR(__xludf.DUMMYFUNCTION("""COMPUTED_VALUE"""),"Approve")</f>
        <v>Approve</v>
      </c>
      <c r="N326" s="3" t="str">
        <f>IFERROR(__xludf.DUMMYFUNCTION("""COMPUTED_VALUE"""),"Normal")</f>
        <v>Normal</v>
      </c>
      <c r="O326" s="3" t="str">
        <f>IFERROR(__xludf.DUMMYFUNCTION("""COMPUTED_VALUE"""),"Non Urgent")</f>
        <v>Non Urgent</v>
      </c>
    </row>
    <row r="327">
      <c r="A327" s="4">
        <f>IFERROR(__xludf.DUMMYFUNCTION("""COMPUTED_VALUE"""),45890.58558893518)</f>
        <v>45890.58559</v>
      </c>
      <c r="B327" s="3" t="str">
        <f>IFERROR(__xludf.DUMMYFUNCTION("""COMPUTED_VALUE"""),"MRNBR0049")</f>
        <v>MRNBR0049</v>
      </c>
      <c r="C327" s="3" t="str">
        <f>IFERROR(__xludf.DUMMYFUNCTION("""COMPUTED_VALUE"""),"EJO")</f>
        <v>EJO</v>
      </c>
      <c r="D327" s="3" t="str">
        <f>IFERROR(__xludf.DUMMYFUNCTION("""COMPUTED_VALUE"""),"EJO/2025/05/102")</f>
        <v>EJO/2025/05/102</v>
      </c>
      <c r="E327" s="3" t="str">
        <f>IFERROR(__xludf.DUMMYFUNCTION("""COMPUTED_VALUE"""),"AC split")</f>
        <v>AC split</v>
      </c>
      <c r="F327" s="3" t="str">
        <f>IFERROR(__xludf.DUMMYFUNCTION("""COMPUTED_VALUE"""),"AC kurang dingin")</f>
        <v>AC kurang dingin</v>
      </c>
      <c r="G327" s="3" t="str">
        <f>IFERROR(__xludf.DUMMYFUNCTION("""COMPUTED_VALUE"""),"Adaptor Ac R32")</f>
        <v>Adaptor Ac R32</v>
      </c>
      <c r="H327" s="3" t="str">
        <f>IFERROR(__xludf.DUMMYFUNCTION("""COMPUTED_VALUE"""),"NA")</f>
        <v>NA</v>
      </c>
      <c r="I327" s="3">
        <f>IFERROR(__xludf.DUMMYFUNCTION("""COMPUTED_VALUE"""),5.0)</f>
        <v>5</v>
      </c>
      <c r="J327" s="3" t="str">
        <f>IFERROR(__xludf.DUMMYFUNCTION("""COMPUTED_VALUE"""),"pcs")</f>
        <v>pcs</v>
      </c>
      <c r="K327" s="5" t="str">
        <f>IFERROR(__xludf.DUMMYFUNCTION("""COMPUTED_VALUE"""),"https://www.tokopedia.com/anaekemak/premium-kran-charging-valve-adaptor-perubah-ac-rumah-r22-ke-r410-r32?extParam=ivf%3Dfalse%26keyword%3Dadaptor+kran+freon+r32%26search_id%3D20250821070423432ACA3A1E345E258IWI%26src%3Dsearch&amp;t_id=1755759869543&amp;t_st=1&amp;t_pp"&amp;"=search_result&amp;t_efo=search_pure_goods_card&amp;t_ef=goods_search&amp;t_sm=&amp;t_spt=search_result")</f>
        <v>https://www.tokopedia.com/anaekemak/premium-kran-charging-valve-adaptor-perubah-ac-rumah-r22-ke-r410-r32?extParam=ivf%3Dfalse%26keyword%3Dadaptor+kran+freon+r32%26search_id%3D20250821070423432ACA3A1E345E258IWI%26src%3Dsearch&amp;t_id=1755759869543&amp;t_st=1&amp;t_pp=search_result&amp;t_efo=search_pure_goods_card&amp;t_ef=goods_search&amp;t_sm=&amp;t_spt=search_result</v>
      </c>
      <c r="L327" s="3" t="str">
        <f>IFERROR(__xludf.DUMMYFUNCTION("""COMPUTED_VALUE"""),"Untuk PM AC")</f>
        <v>Untuk PM AC</v>
      </c>
      <c r="M327" s="3" t="str">
        <f>IFERROR(__xludf.DUMMYFUNCTION("""COMPUTED_VALUE"""),"Approve")</f>
        <v>Approve</v>
      </c>
      <c r="N327" s="3" t="str">
        <f>IFERROR(__xludf.DUMMYFUNCTION("""COMPUTED_VALUE"""),"Normal")</f>
        <v>Normal</v>
      </c>
      <c r="O327" s="3" t="str">
        <f>IFERROR(__xludf.DUMMYFUNCTION("""COMPUTED_VALUE"""),"Non Urgent")</f>
        <v>Non Urgent</v>
      </c>
    </row>
    <row r="328">
      <c r="A328" s="4">
        <f>IFERROR(__xludf.DUMMYFUNCTION("""COMPUTED_VALUE"""),45890.59159186342)</f>
        <v>45890.59159</v>
      </c>
      <c r="B328" s="3" t="str">
        <f>IFERROR(__xludf.DUMMYFUNCTION("""COMPUTED_VALUE"""),"MRNBR0050")</f>
        <v>MRNBR0050</v>
      </c>
      <c r="C328" s="3" t="str">
        <f>IFERROR(__xludf.DUMMYFUNCTION("""COMPUTED_VALUE"""),"EJO")</f>
        <v>EJO</v>
      </c>
      <c r="D328" s="3" t="str">
        <f>IFERROR(__xludf.DUMMYFUNCTION("""COMPUTED_VALUE"""),"EJO/2025/01/13")</f>
        <v>EJO/2025/01/13</v>
      </c>
      <c r="E328" s="3" t="str">
        <f>IFERROR(__xludf.DUMMYFUNCTION("""COMPUTED_VALUE"""),"Lantai 2")</f>
        <v>Lantai 2</v>
      </c>
      <c r="F328" s="3" t="str">
        <f>IFERROR(__xludf.DUMMYFUNCTION("""COMPUTED_VALUE"""),"Kondensasi menetes")</f>
        <v>Kondensasi menetes</v>
      </c>
      <c r="G328" s="3" t="str">
        <f>IFERROR(__xludf.DUMMYFUNCTION("""COMPUTED_VALUE"""),"Insulation ducting tebal 20mm")</f>
        <v>Insulation ducting tebal 20mm</v>
      </c>
      <c r="H328" s="3" t="str">
        <f>IFERROR(__xludf.DUMMYFUNCTION("""COMPUTED_VALUE"""),"Proflex")</f>
        <v>Proflex</v>
      </c>
      <c r="I328" s="3">
        <f>IFERROR(__xludf.DUMMYFUNCTION("""COMPUTED_VALUE"""),5.0)</f>
        <v>5</v>
      </c>
      <c r="J328" s="3" t="str">
        <f>IFERROR(__xludf.DUMMYFUNCTION("""COMPUTED_VALUE"""),"roll")</f>
        <v>roll</v>
      </c>
      <c r="K328" s="5" t="str">
        <f>IFERROR(__xludf.DUMMYFUNCTION("""COMPUTED_VALUE"""),"https://www.tokopedia.com/dayagaskencana/proflex-sheet-insulation-insulasi-pembungkus-pipa-ac-roll-khusus-kiriman-instant-3-4-20mm-9f89b?aff_unique_id=&amp;channel=others&amp;chain_key=")</f>
        <v>https://www.tokopedia.com/dayagaskencana/proflex-sheet-insulation-insulasi-pembungkus-pipa-ac-roll-khusus-kiriman-instant-3-4-20mm-9f89b?aff_unique_id=&amp;channel=others&amp;chain_key=</v>
      </c>
      <c r="L328" s="3" t="str">
        <f>IFERROR(__xludf.DUMMYFUNCTION("""COMPUTED_VALUE"""),"Untuk ducting yang sudah menetes")</f>
        <v>Untuk ducting yang sudah menetes</v>
      </c>
      <c r="M328" s="3" t="str">
        <f>IFERROR(__xludf.DUMMYFUNCTION("""COMPUTED_VALUE"""),"Approve")</f>
        <v>Approve</v>
      </c>
      <c r="N328" s="3" t="str">
        <f>IFERROR(__xludf.DUMMYFUNCTION("""COMPUTED_VALUE"""),"Normal")</f>
        <v>Normal</v>
      </c>
      <c r="O328" s="3" t="str">
        <f>IFERROR(__xludf.DUMMYFUNCTION("""COMPUTED_VALUE"""),"Non Urgent")</f>
        <v>Non Urgent</v>
      </c>
    </row>
    <row r="329">
      <c r="A329" s="4">
        <f>IFERROR(__xludf.DUMMYFUNCTION("""COMPUTED_VALUE"""),45890.99744623843)</f>
        <v>45890.99745</v>
      </c>
      <c r="B329" s="3" t="str">
        <f>IFERROR(__xludf.DUMMYFUNCTION("""COMPUTED_VALUE"""),"MOBBR0040")</f>
        <v>MOBBR0040</v>
      </c>
      <c r="C329" s="3" t="str">
        <f>IFERROR(__xludf.DUMMYFUNCTION("""COMPUTED_VALUE"""),"EJO")</f>
        <v>EJO</v>
      </c>
      <c r="D329" s="3" t="str">
        <f>IFERROR(__xludf.DUMMYFUNCTION("""COMPUTED_VALUE"""),"Menyusul")</f>
        <v>Menyusul</v>
      </c>
      <c r="E329" s="3" t="str">
        <f>IFERROR(__xludf.DUMMYFUNCTION("""COMPUTED_VALUE"""),"PWG")</f>
        <v>PWG</v>
      </c>
      <c r="F329" s="3" t="str">
        <f>IFERROR(__xludf.DUMMYFUNCTION("""COMPUTED_VALUE"""),"Pressure Gauge")</f>
        <v>Pressure Gauge</v>
      </c>
      <c r="G329" s="3" t="str">
        <f>IFERROR(__xludf.DUMMYFUNCTION("""COMPUTED_VALUE"""),"BLD 2.5 10 Bar 3/4""")</f>
        <v>BLD 2.5 10 Bar 3/4"</v>
      </c>
      <c r="H329" s="3" t="str">
        <f>IFERROR(__xludf.DUMMYFUNCTION("""COMPUTED_VALUE"""),"BLD")</f>
        <v>BLD</v>
      </c>
      <c r="I329" s="3">
        <f>IFERROR(__xludf.DUMMYFUNCTION("""COMPUTED_VALUE"""),2.0)</f>
        <v>2</v>
      </c>
      <c r="J329" s="3" t="str">
        <f>IFERROR(__xludf.DUMMYFUNCTION("""COMPUTED_VALUE"""),"Pcs")</f>
        <v>Pcs</v>
      </c>
      <c r="K329" s="5" t="str">
        <f>IFERROR(__xludf.DUMMYFUNCTION("""COMPUTED_VALUE"""),"https://drive.google.com/file/d/1DzzmgNjSdgFek8aDUvMDkp1wEWrSiEUL/view?usp=sharing")</f>
        <v>https://drive.google.com/file/d/1DzzmgNjSdgFek8aDUvMDkp1wEWrSiEUL/view?usp=sharing</v>
      </c>
      <c r="L329" s="3" t="str">
        <f>IFERROR(__xludf.DUMMYFUNCTION("""COMPUTED_VALUE"""),"Penggantian di PWG (Deviasi) REJECT BY MFH (PENGGANTIAN DI BQ MOBBR0043)")</f>
        <v>Penggantian di PWG (Deviasi) REJECT BY MFH (PENGGANTIAN DI BQ MOBBR0043)</v>
      </c>
      <c r="M329" s="3" t="str">
        <f>IFERROR(__xludf.DUMMYFUNCTION("""COMPUTED_VALUE"""),"Reject")</f>
        <v>Reject</v>
      </c>
      <c r="N329" s="3" t="str">
        <f>IFERROR(__xludf.DUMMYFUNCTION("""COMPUTED_VALUE"""),"Normal")</f>
        <v>Normal</v>
      </c>
      <c r="O329" s="3" t="str">
        <f>IFERROR(__xludf.DUMMYFUNCTION("""COMPUTED_VALUE"""),"Non Urgent")</f>
        <v>Non Urgent</v>
      </c>
    </row>
    <row r="330">
      <c r="A330" s="4">
        <f>IFERROR(__xludf.DUMMYFUNCTION("""COMPUTED_VALUE"""),45891.47744128472)</f>
        <v>45891.47744</v>
      </c>
      <c r="B330" s="3" t="str">
        <f>IFERROR(__xludf.DUMMYFUNCTION("""COMPUTED_VALUE"""),"ROSBR0035")</f>
        <v>ROSBR0035</v>
      </c>
      <c r="C330" s="3" t="str">
        <f>IFERROR(__xludf.DUMMYFUNCTION("""COMPUTED_VALUE"""),"Consumable")</f>
        <v>Consumable</v>
      </c>
      <c r="D330" s="3" t="str">
        <f>IFERROR(__xludf.DUMMYFUNCTION("""COMPUTED_VALUE"""),"NA")</f>
        <v>NA</v>
      </c>
      <c r="E330" s="3" t="str">
        <f>IFERROR(__xludf.DUMMYFUNCTION("""COMPUTED_VALUE"""),"Capping ")</f>
        <v>Capping </v>
      </c>
      <c r="F330" s="3" t="str">
        <f>IFERROR(__xludf.DUMMYFUNCTION("""COMPUTED_VALUE"""),"Oil Seal Head Caps ")</f>
        <v>Oil Seal Head Caps </v>
      </c>
      <c r="G330" s="3" t="str">
        <f>IFERROR(__xludf.DUMMYFUNCTION("""COMPUTED_VALUE"""),"ID 20mm
OD 28mm
Tebal 4mm
Kode 
G 20 28 4
05-4")</f>
        <v>ID 20mm
OD 28mm
Tebal 4mm
Kode 
G 20 28 4
05-4</v>
      </c>
      <c r="H330" s="3" t="str">
        <f>IFERROR(__xludf.DUMMYFUNCTION("""COMPUTED_VALUE"""),"lokal ")</f>
        <v>lokal </v>
      </c>
      <c r="I330" s="3">
        <f>IFERROR(__xludf.DUMMYFUNCTION("""COMPUTED_VALUE"""),40.0)</f>
        <v>40</v>
      </c>
      <c r="J330" s="3" t="str">
        <f>IFERROR(__xludf.DUMMYFUNCTION("""COMPUTED_VALUE"""),"pcs")</f>
        <v>pcs</v>
      </c>
      <c r="K330" s="5" t="str">
        <f>IFERROR(__xludf.DUMMYFUNCTION("""COMPUTED_VALUE"""),"https://drive.google.com/drive/folders/1Xyv1oliWyWvM7tP4_7-zA1iuobzNFzN3?usp=drive_link")</f>
        <v>https://drive.google.com/drive/folders/1Xyv1oliWyWvM7tP4_7-zA1iuobzNFzN3?usp=drive_link</v>
      </c>
      <c r="L330" s="3" t="str">
        <f>IFERROR(__xludf.DUMMYFUNCTION("""COMPUTED_VALUE"""),"Oil Seal Head Caps Capping ")</f>
        <v>Oil Seal Head Caps Capping </v>
      </c>
      <c r="M330" s="3" t="str">
        <f>IFERROR(__xludf.DUMMYFUNCTION("""COMPUTED_VALUE"""),"Approve")</f>
        <v>Approve</v>
      </c>
      <c r="N330" s="3" t="str">
        <f>IFERROR(__xludf.DUMMYFUNCTION("""COMPUTED_VALUE"""),"Normal")</f>
        <v>Normal</v>
      </c>
      <c r="O330" s="3" t="str">
        <f>IFERROR(__xludf.DUMMYFUNCTION("""COMPUTED_VALUE"""),"Non Urgent")</f>
        <v>Non Urgent</v>
      </c>
    </row>
    <row r="331">
      <c r="A331" s="4">
        <f>IFERROR(__xludf.DUMMYFUNCTION("""COMPUTED_VALUE"""),45891.581506388895)</f>
        <v>45891.58151</v>
      </c>
      <c r="B331" s="3" t="str">
        <f>IFERROR(__xludf.DUMMYFUNCTION("""COMPUTED_VALUE"""),"RIABR0096")</f>
        <v>RIABR0096</v>
      </c>
      <c r="C331" s="3" t="str">
        <f>IFERROR(__xludf.DUMMYFUNCTION("""COMPUTED_VALUE"""),"EJO")</f>
        <v>EJO</v>
      </c>
      <c r="D331" s="3" t="str">
        <f>IFERROR(__xludf.DUMMYFUNCTION("""COMPUTED_VALUE"""),"EJO/2025/08/56")</f>
        <v>EJO/2025/08/56</v>
      </c>
      <c r="E331" s="3" t="str">
        <f>IFERROR(__xludf.DUMMYFUNCTION("""COMPUTED_VALUE"""),"WWTP")</f>
        <v>WWTP</v>
      </c>
      <c r="F331" s="3" t="str">
        <f>IFERROR(__xludf.DUMMYFUNCTION("""COMPUTED_VALUE"""),"Busbar Sisir 3Pole")</f>
        <v>Busbar Sisir 3Pole</v>
      </c>
      <c r="G331" s="3" t="str">
        <f>IFERROR(__xludf.DUMMYFUNCTION("""COMPUTED_VALUE"""),"Busbar Sisir 3Pole")</f>
        <v>Busbar Sisir 3Pole</v>
      </c>
      <c r="H331" s="3" t="str">
        <f>IFERROR(__xludf.DUMMYFUNCTION("""COMPUTED_VALUE"""),"Schneider")</f>
        <v>Schneider</v>
      </c>
      <c r="I331" s="3">
        <f>IFERROR(__xludf.DUMMYFUNCTION("""COMPUTED_VALUE"""),2.0)</f>
        <v>2</v>
      </c>
      <c r="J331" s="3" t="str">
        <f>IFERROR(__xludf.DUMMYFUNCTION("""COMPUTED_VALUE"""),"Pcs")</f>
        <v>Pcs</v>
      </c>
      <c r="K331" s="5" t="str">
        <f>IFERROR(__xludf.DUMMYFUNCTION("""COMPUTED_VALUE"""),"https://www.tokopedia.com/tokomegalistrik/schneider-busbar-sisir-3-fasa-63a-10391?extParam=ivf%3Dfalse%26keyword%3Dschneider+comb+busbar%2Fsisir+mcb+3p%26search_id%3D2025071705131137BC2F75BF1BCF2A8NR5%26src%3Dsearch&amp;t_id=1752728510891&amp;t_st=8&amp;t_pp=search_r"&amp;"esult&amp;t_efo=search_pure_goods_card&amp;t_ef=goods_search&amp;t_sm=&amp;t_spt=search_result")</f>
        <v>https://www.tokopedia.com/tokomegalistrik/schneider-busbar-sisir-3-fasa-63a-10391?extParam=ivf%3Dfalse%26keyword%3Dschneider+comb+busbar%2Fsisir+mcb+3p%26search_id%3D2025071705131137BC2F75BF1BCF2A8NR5%26src%3Dsearch&amp;t_id=1752728510891&amp;t_st=8&amp;t_pp=search_result&amp;t_efo=search_pure_goods_card&amp;t_ef=goods_search&amp;t_sm=&amp;t_spt=search_result</v>
      </c>
      <c r="L331" s="3" t="str">
        <f>IFERROR(__xludf.DUMMYFUNCTION("""COMPUTED_VALUE"""),"Untuk peremajaan panel kontrol WWTP")</f>
        <v>Untuk peremajaan panel kontrol WWTP</v>
      </c>
      <c r="M331" s="3" t="str">
        <f>IFERROR(__xludf.DUMMYFUNCTION("""COMPUTED_VALUE"""),"Approve")</f>
        <v>Approve</v>
      </c>
      <c r="N331" s="3" t="str">
        <f>IFERROR(__xludf.DUMMYFUNCTION("""COMPUTED_VALUE"""),"Normal")</f>
        <v>Normal</v>
      </c>
      <c r="O331" s="3" t="str">
        <f>IFERROR(__xludf.DUMMYFUNCTION("""COMPUTED_VALUE"""),"Non Urgent")</f>
        <v>Non Urgent</v>
      </c>
    </row>
    <row r="332">
      <c r="A332" s="4">
        <f>IFERROR(__xludf.DUMMYFUNCTION("""COMPUTED_VALUE"""),45891.58188841435)</f>
        <v>45891.58189</v>
      </c>
      <c r="B332" s="3" t="str">
        <f>IFERROR(__xludf.DUMMYFUNCTION("""COMPUTED_VALUE"""),"RIABR0058")</f>
        <v>RIABR0058</v>
      </c>
      <c r="C332" s="3" t="str">
        <f>IFERROR(__xludf.DUMMYFUNCTION("""COMPUTED_VALUE"""),"EJO")</f>
        <v>EJO</v>
      </c>
      <c r="D332" s="3" t="str">
        <f>IFERROR(__xludf.DUMMYFUNCTION("""COMPUTED_VALUE"""),"EJO/2025/08/56")</f>
        <v>EJO/2025/08/56</v>
      </c>
      <c r="E332" s="3" t="str">
        <f>IFERROR(__xludf.DUMMYFUNCTION("""COMPUTED_VALUE"""),"WWTP")</f>
        <v>WWTP</v>
      </c>
      <c r="F332" s="3" t="str">
        <f>IFERROR(__xludf.DUMMYFUNCTION("""COMPUTED_VALUE"""),"MCB 3P 32A")</f>
        <v>MCB 3P 32A</v>
      </c>
      <c r="G332" s="3" t="str">
        <f>IFERROR(__xludf.DUMMYFUNCTION("""COMPUTED_VALUE"""),"MCB 3P 32A")</f>
        <v>MCB 3P 32A</v>
      </c>
      <c r="H332" s="3" t="str">
        <f>IFERROR(__xludf.DUMMYFUNCTION("""COMPUTED_VALUE"""),"Schneider")</f>
        <v>Schneider</v>
      </c>
      <c r="I332" s="3">
        <f>IFERROR(__xludf.DUMMYFUNCTION("""COMPUTED_VALUE"""),1.0)</f>
        <v>1</v>
      </c>
      <c r="J332" s="3" t="str">
        <f>IFERROR(__xludf.DUMMYFUNCTION("""COMPUTED_VALUE"""),"Pcs")</f>
        <v>Pcs</v>
      </c>
      <c r="K332" s="5" t="str">
        <f>IFERROR(__xludf.DUMMYFUNCTION("""COMPUTED_VALUE"""),"https://www.tokopedia.com/schneiderel/schneider-electric-new-domae-mcb-32a-3p-domf01332-1731425257974499220?extParam=ivf%3Dfalse%26keyword%3Dmcb+3p+32a%26search_id%3D2025071310082137BC2F75BF1BCF37FZG7%26src%3Dsearch&amp;t_id=1752399739361&amp;t_st=25&amp;t_pp=search_"&amp;"result&amp;t_efo=search_pure_goods_card&amp;t_ef=goods_search&amp;t_sm=&amp;t_spt=search_result")</f>
        <v>https://www.tokopedia.com/schneiderel/schneider-electric-new-domae-mcb-32a-3p-domf01332-1731425257974499220?extParam=ivf%3Dfalse%26keyword%3Dmcb+3p+32a%26search_id%3D2025071310082137BC2F75BF1BCF37FZG7%26src%3Dsearch&amp;t_id=1752399739361&amp;t_st=25&amp;t_pp=search_result&amp;t_efo=search_pure_goods_card&amp;t_ef=goods_search&amp;t_sm=&amp;t_spt=search_result</v>
      </c>
      <c r="L332" s="3" t="str">
        <f>IFERROR(__xludf.DUMMYFUNCTION("""COMPUTED_VALUE"""),"Untuk peremajaan panel kontrol WWTP")</f>
        <v>Untuk peremajaan panel kontrol WWTP</v>
      </c>
      <c r="M332" s="3" t="str">
        <f>IFERROR(__xludf.DUMMYFUNCTION("""COMPUTED_VALUE"""),"Approve")</f>
        <v>Approve</v>
      </c>
      <c r="N332" s="3" t="str">
        <f>IFERROR(__xludf.DUMMYFUNCTION("""COMPUTED_VALUE"""),"Normal")</f>
        <v>Normal</v>
      </c>
      <c r="O332" s="3" t="str">
        <f>IFERROR(__xludf.DUMMYFUNCTION("""COMPUTED_VALUE"""),"Non Urgent")</f>
        <v>Non Urgent</v>
      </c>
    </row>
    <row r="333">
      <c r="A333" s="4">
        <f>IFERROR(__xludf.DUMMYFUNCTION("""COMPUTED_VALUE"""),45891.58188841435)</f>
        <v>45891.58189</v>
      </c>
      <c r="B333" s="3" t="str">
        <f>IFERROR(__xludf.DUMMYFUNCTION("""COMPUTED_VALUE"""),"RIABR0059")</f>
        <v>RIABR0059</v>
      </c>
      <c r="C333" s="3" t="str">
        <f>IFERROR(__xludf.DUMMYFUNCTION("""COMPUTED_VALUE"""),"EJO")</f>
        <v>EJO</v>
      </c>
      <c r="D333" s="3" t="str">
        <f>IFERROR(__xludf.DUMMYFUNCTION("""COMPUTED_VALUE"""),"EJO/2025/08/56")</f>
        <v>EJO/2025/08/56</v>
      </c>
      <c r="E333" s="3" t="str">
        <f>IFERROR(__xludf.DUMMYFUNCTION("""COMPUTED_VALUE"""),"WWTP")</f>
        <v>WWTP</v>
      </c>
      <c r="F333" s="3" t="str">
        <f>IFERROR(__xludf.DUMMYFUNCTION("""COMPUTED_VALUE"""),"MCB 3P 6A")</f>
        <v>MCB 3P 6A</v>
      </c>
      <c r="G333" s="3" t="str">
        <f>IFERROR(__xludf.DUMMYFUNCTION("""COMPUTED_VALUE"""),"MCB 3P 6A")</f>
        <v>MCB 3P 6A</v>
      </c>
      <c r="H333" s="3" t="str">
        <f>IFERROR(__xludf.DUMMYFUNCTION("""COMPUTED_VALUE"""),"Schneider")</f>
        <v>Schneider</v>
      </c>
      <c r="I333" s="3">
        <f>IFERROR(__xludf.DUMMYFUNCTION("""COMPUTED_VALUE"""),5.0)</f>
        <v>5</v>
      </c>
      <c r="J333" s="3" t="str">
        <f>IFERROR(__xludf.DUMMYFUNCTION("""COMPUTED_VALUE"""),"Pcs")</f>
        <v>Pcs</v>
      </c>
      <c r="K333" s="5" t="str">
        <f>IFERROR(__xludf.DUMMYFUNCTION("""COMPUTED_VALUE"""),"https://www.tokopedia.com/schneiderel/schneider-electric-domae-mcb-3p-c-6a-6000a-1731730944094603156?extParam=ivf%3Dfalse%26keyword%3Dmcb+3p+6a%26search_id%3D2025071310085734ED066DF378EF33ELVF%26src%3Dsearch&amp;t_id=1752399739361&amp;t_st=26&amp;t_pp=search_result&amp;t"&amp;"_efo=search_pure_goods_card&amp;t_ef=goods_search&amp;t_sm=&amp;t_spt=search_result")</f>
        <v>https://www.tokopedia.com/schneiderel/schneider-electric-domae-mcb-3p-c-6a-6000a-1731730944094603156?extParam=ivf%3Dfalse%26keyword%3Dmcb+3p+6a%26search_id%3D2025071310085734ED066DF378EF33ELVF%26src%3Dsearch&amp;t_id=1752399739361&amp;t_st=26&amp;t_pp=search_result&amp;t_efo=search_pure_goods_card&amp;t_ef=goods_search&amp;t_sm=&amp;t_spt=search_result</v>
      </c>
      <c r="L333" s="3" t="str">
        <f>IFERROR(__xludf.DUMMYFUNCTION("""COMPUTED_VALUE"""),"Untuk peremajaan panel kontrol WWTP")</f>
        <v>Untuk peremajaan panel kontrol WWTP</v>
      </c>
      <c r="M333" s="3" t="str">
        <f>IFERROR(__xludf.DUMMYFUNCTION("""COMPUTED_VALUE"""),"Approve")</f>
        <v>Approve</v>
      </c>
      <c r="N333" s="3" t="str">
        <f>IFERROR(__xludf.DUMMYFUNCTION("""COMPUTED_VALUE"""),"Normal")</f>
        <v>Normal</v>
      </c>
      <c r="O333" s="3" t="str">
        <f>IFERROR(__xludf.DUMMYFUNCTION("""COMPUTED_VALUE"""),"Non Urgent")</f>
        <v>Non Urgent</v>
      </c>
    </row>
    <row r="334">
      <c r="A334" s="4">
        <f>IFERROR(__xludf.DUMMYFUNCTION("""COMPUTED_VALUE"""),45891.58188841435)</f>
        <v>45891.58189</v>
      </c>
      <c r="B334" s="3" t="str">
        <f>IFERROR(__xludf.DUMMYFUNCTION("""COMPUTED_VALUE"""),"RIABR0060")</f>
        <v>RIABR0060</v>
      </c>
      <c r="C334" s="3" t="str">
        <f>IFERROR(__xludf.DUMMYFUNCTION("""COMPUTED_VALUE"""),"EJO")</f>
        <v>EJO</v>
      </c>
      <c r="D334" s="3" t="str">
        <f>IFERROR(__xludf.DUMMYFUNCTION("""COMPUTED_VALUE"""),"EJO/2025/08/56")</f>
        <v>EJO/2025/08/56</v>
      </c>
      <c r="E334" s="3" t="str">
        <f>IFERROR(__xludf.DUMMYFUNCTION("""COMPUTED_VALUE"""),"WWTP")</f>
        <v>WWTP</v>
      </c>
      <c r="F334" s="3" t="str">
        <f>IFERROR(__xludf.DUMMYFUNCTION("""COMPUTED_VALUE"""),"MCB 1P 10A")</f>
        <v>MCB 1P 10A</v>
      </c>
      <c r="G334" s="3" t="str">
        <f>IFERROR(__xludf.DUMMYFUNCTION("""COMPUTED_VALUE"""),"MCB 1P 10A")</f>
        <v>MCB 1P 10A</v>
      </c>
      <c r="H334" s="3" t="str">
        <f>IFERROR(__xludf.DUMMYFUNCTION("""COMPUTED_VALUE"""),"Schneider")</f>
        <v>Schneider</v>
      </c>
      <c r="I334" s="3">
        <f>IFERROR(__xludf.DUMMYFUNCTION("""COMPUTED_VALUE"""),3.0)</f>
        <v>3</v>
      </c>
      <c r="J334" s="3" t="str">
        <f>IFERROR(__xludf.DUMMYFUNCTION("""COMPUTED_VALUE"""),"Pcs")</f>
        <v>Pcs</v>
      </c>
      <c r="K334" s="5" t="str">
        <f>IFERROR(__xludf.DUMMYFUNCTION("""COMPUTED_VALUE"""),"https://www.tokopedia.com/schneiderel/schneider-electric-new-domae-mcb-10a-1p-domf01110-1731415435940104084?extParam=ivf%3Dfalse%26keyword%3Dmcb+1p+10a%26search_id%3D2025071310094837BC2F75BF1BCF0EFIT7%26src%3Dsearch&amp;t_id=1752399739361&amp;t_st=27&amp;t_pp=search_"&amp;"result&amp;t_efo=search_pure_goods_card&amp;t_ef=goods_search&amp;t_sm=&amp;t_spt=search_result")</f>
        <v>https://www.tokopedia.com/schneiderel/schneider-electric-new-domae-mcb-10a-1p-domf01110-1731415435940104084?extParam=ivf%3Dfalse%26keyword%3Dmcb+1p+10a%26search_id%3D2025071310094837BC2F75BF1BCF0EFIT7%26src%3Dsearch&amp;t_id=1752399739361&amp;t_st=27&amp;t_pp=search_result&amp;t_efo=search_pure_goods_card&amp;t_ef=goods_search&amp;t_sm=&amp;t_spt=search_result</v>
      </c>
      <c r="L334" s="3" t="str">
        <f>IFERROR(__xludf.DUMMYFUNCTION("""COMPUTED_VALUE"""),"Untuk peremajaan panel kontrol WWTP")</f>
        <v>Untuk peremajaan panel kontrol WWTP</v>
      </c>
      <c r="M334" s="3" t="str">
        <f>IFERROR(__xludf.DUMMYFUNCTION("""COMPUTED_VALUE"""),"Approve")</f>
        <v>Approve</v>
      </c>
      <c r="N334" s="3" t="str">
        <f>IFERROR(__xludf.DUMMYFUNCTION("""COMPUTED_VALUE"""),"Normal")</f>
        <v>Normal</v>
      </c>
      <c r="O334" s="3" t="str">
        <f>IFERROR(__xludf.DUMMYFUNCTION("""COMPUTED_VALUE"""),"Non Urgent")</f>
        <v>Non Urgent</v>
      </c>
    </row>
    <row r="335">
      <c r="A335" s="4">
        <f>IFERROR(__xludf.DUMMYFUNCTION("""COMPUTED_VALUE"""),45891.58188841435)</f>
        <v>45891.58189</v>
      </c>
      <c r="B335" s="3" t="str">
        <f>IFERROR(__xludf.DUMMYFUNCTION("""COMPUTED_VALUE"""),"RIABR0061")</f>
        <v>RIABR0061</v>
      </c>
      <c r="C335" s="3" t="str">
        <f>IFERROR(__xludf.DUMMYFUNCTION("""COMPUTED_VALUE"""),"EJO")</f>
        <v>EJO</v>
      </c>
      <c r="D335" s="3" t="str">
        <f>IFERROR(__xludf.DUMMYFUNCTION("""COMPUTED_VALUE"""),"EJO/2025/08/56")</f>
        <v>EJO/2025/08/56</v>
      </c>
      <c r="E335" s="3" t="str">
        <f>IFERROR(__xludf.DUMMYFUNCTION("""COMPUTED_VALUE"""),"WWTP")</f>
        <v>WWTP</v>
      </c>
      <c r="F335" s="3" t="str">
        <f>IFERROR(__xludf.DUMMYFUNCTION("""COMPUTED_VALUE"""),"MCB 1P 6A")</f>
        <v>MCB 1P 6A</v>
      </c>
      <c r="G335" s="3" t="str">
        <f>IFERROR(__xludf.DUMMYFUNCTION("""COMPUTED_VALUE"""),"MCB 1P 6A")</f>
        <v>MCB 1P 6A</v>
      </c>
      <c r="H335" s="3" t="str">
        <f>IFERROR(__xludf.DUMMYFUNCTION("""COMPUTED_VALUE"""),"Schneider")</f>
        <v>Schneider</v>
      </c>
      <c r="I335" s="3">
        <f>IFERROR(__xludf.DUMMYFUNCTION("""COMPUTED_VALUE"""),2.0)</f>
        <v>2</v>
      </c>
      <c r="J335" s="3" t="str">
        <f>IFERROR(__xludf.DUMMYFUNCTION("""COMPUTED_VALUE"""),"Pcs")</f>
        <v>Pcs</v>
      </c>
      <c r="K335" s="5" t="str">
        <f>IFERROR(__xludf.DUMMYFUNCTION("""COMPUTED_VALUE"""),"https://www.tokopedia.com/schneiderel/schneider-electric-new-domae-mcb-6a-1p-domf01106-1731414053356537748?extParam=ivf%3Dfalse%26keyword%3Dmcb+1p+6a%26search_id%3D2025071310101637BC2F75BF1BCF25DNC6%26src%3Dsearch&amp;t_id=1752399739361&amp;t_st=28&amp;t_pp=search_re"&amp;"sult&amp;t_efo=search_pure_goods_card&amp;t_ef=goods_search&amp;t_sm=&amp;t_spt=search_result")</f>
        <v>https://www.tokopedia.com/schneiderel/schneider-electric-new-domae-mcb-6a-1p-domf01106-1731414053356537748?extParam=ivf%3Dfalse%26keyword%3Dmcb+1p+6a%26search_id%3D2025071310101637BC2F75BF1BCF25DNC6%26src%3Dsearch&amp;t_id=1752399739361&amp;t_st=28&amp;t_pp=search_result&amp;t_efo=search_pure_goods_card&amp;t_ef=goods_search&amp;t_sm=&amp;t_spt=search_result</v>
      </c>
      <c r="L335" s="3" t="str">
        <f>IFERROR(__xludf.DUMMYFUNCTION("""COMPUTED_VALUE"""),"Untuk peremajaan panel kontrol WWTP")</f>
        <v>Untuk peremajaan panel kontrol WWTP</v>
      </c>
      <c r="M335" s="3" t="str">
        <f>IFERROR(__xludf.DUMMYFUNCTION("""COMPUTED_VALUE"""),"Approve")</f>
        <v>Approve</v>
      </c>
      <c r="N335" s="3" t="str">
        <f>IFERROR(__xludf.DUMMYFUNCTION("""COMPUTED_VALUE"""),"Normal")</f>
        <v>Normal</v>
      </c>
      <c r="O335" s="3" t="str">
        <f>IFERROR(__xludf.DUMMYFUNCTION("""COMPUTED_VALUE"""),"Non Urgent")</f>
        <v>Non Urgent</v>
      </c>
    </row>
    <row r="336">
      <c r="A336" s="4">
        <f>IFERROR(__xludf.DUMMYFUNCTION("""COMPUTED_VALUE"""),45891.58188841435)</f>
        <v>45891.58189</v>
      </c>
      <c r="B336" s="3" t="str">
        <f>IFERROR(__xludf.DUMMYFUNCTION("""COMPUTED_VALUE"""),"RIABR0062")</f>
        <v>RIABR0062</v>
      </c>
      <c r="C336" s="3" t="str">
        <f>IFERROR(__xludf.DUMMYFUNCTION("""COMPUTED_VALUE"""),"EJO")</f>
        <v>EJO</v>
      </c>
      <c r="D336" s="3" t="str">
        <f>IFERROR(__xludf.DUMMYFUNCTION("""COMPUTED_VALUE"""),"EJO/2025/08/56")</f>
        <v>EJO/2025/08/56</v>
      </c>
      <c r="E336" s="3" t="str">
        <f>IFERROR(__xludf.DUMMYFUNCTION("""COMPUTED_VALUE"""),"WWTP")</f>
        <v>WWTP</v>
      </c>
      <c r="F336" s="3" t="str">
        <f>IFERROR(__xludf.DUMMYFUNCTION("""COMPUTED_VALUE"""),"MCB 1P 4A")</f>
        <v>MCB 1P 4A</v>
      </c>
      <c r="G336" s="3" t="str">
        <f>IFERROR(__xludf.DUMMYFUNCTION("""COMPUTED_VALUE"""),"MCB 1P 4A")</f>
        <v>MCB 1P 4A</v>
      </c>
      <c r="H336" s="3" t="str">
        <f>IFERROR(__xludf.DUMMYFUNCTION("""COMPUTED_VALUE"""),"Schneider")</f>
        <v>Schneider</v>
      </c>
      <c r="I336" s="3">
        <f>IFERROR(__xludf.DUMMYFUNCTION("""COMPUTED_VALUE"""),3.0)</f>
        <v>3</v>
      </c>
      <c r="J336" s="3" t="str">
        <f>IFERROR(__xludf.DUMMYFUNCTION("""COMPUTED_VALUE"""),"Pcs")</f>
        <v>Pcs</v>
      </c>
      <c r="K336" s="5" t="str">
        <f>IFERROR(__xludf.DUMMYFUNCTION("""COMPUTED_VALUE"""),"https://www.tokopedia.com/schneiderel/schneider-electric-new-domae-mcb-4a-1p-domf01104-1731413767356909460?extParam=ivf%3Dfalse%26keyword%3Dmcb+1p+4a%26search_id%3D20250713101039AD13A2A07CA4B7088WIS%26src%3Dsearch&amp;t_id=1752399739361&amp;t_st=29&amp;t_pp=search_re"&amp;"sult&amp;t_efo=search_pure_goods_card&amp;t_ef=goods_search&amp;t_sm=&amp;t_spt=search_result")</f>
        <v>https://www.tokopedia.com/schneiderel/schneider-electric-new-domae-mcb-4a-1p-domf01104-1731413767356909460?extParam=ivf%3Dfalse%26keyword%3Dmcb+1p+4a%26search_id%3D20250713101039AD13A2A07CA4B7088WIS%26src%3Dsearch&amp;t_id=1752399739361&amp;t_st=29&amp;t_pp=search_result&amp;t_efo=search_pure_goods_card&amp;t_ef=goods_search&amp;t_sm=&amp;t_spt=search_result</v>
      </c>
      <c r="L336" s="3" t="str">
        <f>IFERROR(__xludf.DUMMYFUNCTION("""COMPUTED_VALUE"""),"Untuk peremajaan panel kontrol WWTP")</f>
        <v>Untuk peremajaan panel kontrol WWTP</v>
      </c>
      <c r="M336" s="3" t="str">
        <f>IFERROR(__xludf.DUMMYFUNCTION("""COMPUTED_VALUE"""),"Approve")</f>
        <v>Approve</v>
      </c>
      <c r="N336" s="3" t="str">
        <f>IFERROR(__xludf.DUMMYFUNCTION("""COMPUTED_VALUE"""),"Normal")</f>
        <v>Normal</v>
      </c>
      <c r="O336" s="3" t="str">
        <f>IFERROR(__xludf.DUMMYFUNCTION("""COMPUTED_VALUE"""),"Non Urgent")</f>
        <v>Non Urgent</v>
      </c>
    </row>
    <row r="337">
      <c r="A337" s="4">
        <f>IFERROR(__xludf.DUMMYFUNCTION("""COMPUTED_VALUE"""),45891.58188841435)</f>
        <v>45891.58189</v>
      </c>
      <c r="B337" s="3" t="str">
        <f>IFERROR(__xludf.DUMMYFUNCTION("""COMPUTED_VALUE"""),"RIABR0063")</f>
        <v>RIABR0063</v>
      </c>
      <c r="C337" s="3" t="str">
        <f>IFERROR(__xludf.DUMMYFUNCTION("""COMPUTED_VALUE"""),"EJO")</f>
        <v>EJO</v>
      </c>
      <c r="D337" s="3" t="str">
        <f>IFERROR(__xludf.DUMMYFUNCTION("""COMPUTED_VALUE"""),"EJO/2025/08/56")</f>
        <v>EJO/2025/08/56</v>
      </c>
      <c r="E337" s="3" t="str">
        <f>IFERROR(__xludf.DUMMYFUNCTION("""COMPUTED_VALUE"""),"WWTP")</f>
        <v>WWTP</v>
      </c>
      <c r="F337" s="3" t="str">
        <f>IFERROR(__xludf.DUMMYFUNCTION("""COMPUTED_VALUE"""),"Kontaktor LC1D12M7 220VAC")</f>
        <v>Kontaktor LC1D12M7 220VAC</v>
      </c>
      <c r="G337" s="3" t="str">
        <f>IFERROR(__xludf.DUMMYFUNCTION("""COMPUTED_VALUE"""),"Kontaktor LC1D12M7 220VAC")</f>
        <v>Kontaktor LC1D12M7 220VAC</v>
      </c>
      <c r="H337" s="3" t="str">
        <f>IFERROR(__xludf.DUMMYFUNCTION("""COMPUTED_VALUE"""),"Schneider")</f>
        <v>Schneider</v>
      </c>
      <c r="I337" s="3">
        <f>IFERROR(__xludf.DUMMYFUNCTION("""COMPUTED_VALUE"""),9.0)</f>
        <v>9</v>
      </c>
      <c r="J337" s="3" t="str">
        <f>IFERROR(__xludf.DUMMYFUNCTION("""COMPUTED_VALUE"""),"Pcs")</f>
        <v>Pcs</v>
      </c>
      <c r="K337" s="5" t="str">
        <f>IFERROR(__xludf.DUMMYFUNCTION("""COMPUTED_VALUE"""),"https://www.tokopedia.com/zonapanel/kontaktor-contactor-schneider-lc1d12m7-lc1d12-d12-220v-new-original?extParam=ivf%3Dfalse%26keyword%3Dlc1d12m7%26search_id%3D2025071310202537BC2F75BF1BCF363NUX%26src%3Dsearch&amp;t_id=1752399739361&amp;t_st=37&amp;t_pp=search_result"&amp;"&amp;t_efo=search_pure_goods_card&amp;t_ef=goods_search&amp;t_sm=&amp;t_spt=search_result")</f>
        <v>https://www.tokopedia.com/zonapanel/kontaktor-contactor-schneider-lc1d12m7-lc1d12-d12-220v-new-original?extParam=ivf%3Dfalse%26keyword%3Dlc1d12m7%26search_id%3D2025071310202537BC2F75BF1BCF363NUX%26src%3Dsearch&amp;t_id=1752399739361&amp;t_st=37&amp;t_pp=search_result&amp;t_efo=search_pure_goods_card&amp;t_ef=goods_search&amp;t_sm=&amp;t_spt=search_result</v>
      </c>
      <c r="L337" s="3" t="str">
        <f>IFERROR(__xludf.DUMMYFUNCTION("""COMPUTED_VALUE"""),"Untuk peremajaan panel kontrol WWTP")</f>
        <v>Untuk peremajaan panel kontrol WWTP</v>
      </c>
      <c r="M337" s="3" t="str">
        <f>IFERROR(__xludf.DUMMYFUNCTION("""COMPUTED_VALUE"""),"Approve")</f>
        <v>Approve</v>
      </c>
      <c r="N337" s="3" t="str">
        <f>IFERROR(__xludf.DUMMYFUNCTION("""COMPUTED_VALUE"""),"Normal")</f>
        <v>Normal</v>
      </c>
      <c r="O337" s="3" t="str">
        <f>IFERROR(__xludf.DUMMYFUNCTION("""COMPUTED_VALUE"""),"Non Urgent")</f>
        <v>Non Urgent</v>
      </c>
    </row>
    <row r="338">
      <c r="A338" s="4">
        <f>IFERROR(__xludf.DUMMYFUNCTION("""COMPUTED_VALUE"""),45891.58188841435)</f>
        <v>45891.58189</v>
      </c>
      <c r="B338" s="3" t="str">
        <f>IFERROR(__xludf.DUMMYFUNCTION("""COMPUTED_VALUE"""),"RIABR0064")</f>
        <v>RIABR0064</v>
      </c>
      <c r="C338" s="3" t="str">
        <f>IFERROR(__xludf.DUMMYFUNCTION("""COMPUTED_VALUE"""),"EJO")</f>
        <v>EJO</v>
      </c>
      <c r="D338" s="3" t="str">
        <f>IFERROR(__xludf.DUMMYFUNCTION("""COMPUTED_VALUE"""),"EJO/2025/08/56")</f>
        <v>EJO/2025/08/56</v>
      </c>
      <c r="E338" s="3" t="str">
        <f>IFERROR(__xludf.DUMMYFUNCTION("""COMPUTED_VALUE"""),"WWTP")</f>
        <v>WWTP</v>
      </c>
      <c r="F338" s="3" t="str">
        <f>IFERROR(__xludf.DUMMYFUNCTION("""COMPUTED_VALUE"""),"TOR LRD09")</f>
        <v>TOR LRD09</v>
      </c>
      <c r="G338" s="3" t="str">
        <f>IFERROR(__xludf.DUMMYFUNCTION("""COMPUTED_VALUE"""),"TOR LRD09")</f>
        <v>TOR LRD09</v>
      </c>
      <c r="H338" s="3" t="str">
        <f>IFERROR(__xludf.DUMMYFUNCTION("""COMPUTED_VALUE"""),"Schneider")</f>
        <v>Schneider</v>
      </c>
      <c r="I338" s="3">
        <f>IFERROR(__xludf.DUMMYFUNCTION("""COMPUTED_VALUE"""),9.0)</f>
        <v>9</v>
      </c>
      <c r="J338" s="3" t="str">
        <f>IFERROR(__xludf.DUMMYFUNCTION("""COMPUTED_VALUE"""),"Pcs")</f>
        <v>Pcs</v>
      </c>
      <c r="K338" s="5" t="str">
        <f>IFERROR(__xludf.DUMMYFUNCTION("""COMPUTED_VALUE"""),"https://www.tokopedia.com/mip77/garansi-ori-lrd06-lrd07-lrd08-lrd10-lrd12-lrd14-lrd16-lrd21-lrd22-lrd32-lrd35-thermal-overload-relay-schneider-lrd-06-lrd-07-lrd-08-lrd-10-lrd-12-lrd-14-lrd-16-lrd-21-lrd-22-lrd-32-lrd-35-tor-original-1731460891183712209?ex"&amp;"tParam=ivf%3Dfalse%26keyword%3Dlrd08%26search_id%3D202507131013505737C6EC2E071600FJN7%26src%3Dsearch&amp;t_id=1752399739361&amp;t_st=36&amp;t_pp=search_result&amp;t_efo=search_pure_goods_card&amp;t_ef=goods_search&amp;t_sm=&amp;t_spt=search_result")</f>
        <v>https://www.tokopedia.com/mip77/garansi-ori-lrd06-lrd07-lrd08-lrd10-lrd12-lrd14-lrd16-lrd21-lrd22-lrd32-lrd35-thermal-overload-relay-schneider-lrd-06-lrd-07-lrd-08-lrd-10-lrd-12-lrd-14-lrd-16-lrd-21-lrd-22-lrd-32-lrd-35-tor-original-1731460891183712209?extParam=ivf%3Dfalse%26keyword%3Dlrd08%26search_id%3D202507131013505737C6EC2E071600FJN7%26src%3Dsearch&amp;t_id=1752399739361&amp;t_st=36&amp;t_pp=search_result&amp;t_efo=search_pure_goods_card&amp;t_ef=goods_search&amp;t_sm=&amp;t_spt=search_result</v>
      </c>
      <c r="L338" s="3" t="str">
        <f>IFERROR(__xludf.DUMMYFUNCTION("""COMPUTED_VALUE"""),"Untuk peremajaan panel kontrol WWTP")</f>
        <v>Untuk peremajaan panel kontrol WWTP</v>
      </c>
      <c r="M338" s="3" t="str">
        <f>IFERROR(__xludf.DUMMYFUNCTION("""COMPUTED_VALUE"""),"Approve")</f>
        <v>Approve</v>
      </c>
      <c r="N338" s="3" t="str">
        <f>IFERROR(__xludf.DUMMYFUNCTION("""COMPUTED_VALUE"""),"Normal")</f>
        <v>Normal</v>
      </c>
      <c r="O338" s="3" t="str">
        <f>IFERROR(__xludf.DUMMYFUNCTION("""COMPUTED_VALUE"""),"Non Urgent")</f>
        <v>Non Urgent</v>
      </c>
    </row>
    <row r="339">
      <c r="A339" s="4">
        <f>IFERROR(__xludf.DUMMYFUNCTION("""COMPUTED_VALUE"""),45891.58188841435)</f>
        <v>45891.58189</v>
      </c>
      <c r="B339" s="3" t="str">
        <f>IFERROR(__xludf.DUMMYFUNCTION("""COMPUTED_VALUE"""),"RIABR0065")</f>
        <v>RIABR0065</v>
      </c>
      <c r="C339" s="3" t="str">
        <f>IFERROR(__xludf.DUMMYFUNCTION("""COMPUTED_VALUE"""),"EJO")</f>
        <v>EJO</v>
      </c>
      <c r="D339" s="3" t="str">
        <f>IFERROR(__xludf.DUMMYFUNCTION("""COMPUTED_VALUE"""),"EJO/2025/08/56")</f>
        <v>EJO/2025/08/56</v>
      </c>
      <c r="E339" s="3" t="str">
        <f>IFERROR(__xludf.DUMMYFUNCTION("""COMPUTED_VALUE"""),"WWTP")</f>
        <v>WWTP</v>
      </c>
      <c r="F339" s="3" t="str">
        <f>IFERROR(__xludf.DUMMYFUNCTION("""COMPUTED_VALUE"""),"Axial Fan")</f>
        <v>Axial Fan</v>
      </c>
      <c r="G339" s="3" t="str">
        <f>IFERROR(__xludf.DUMMYFUNCTION("""COMPUTED_VALUE"""),"Axial Fan")</f>
        <v>Axial Fan</v>
      </c>
      <c r="H339" s="3" t="str">
        <f>IFERROR(__xludf.DUMMYFUNCTION("""COMPUTED_VALUE"""),"Fort")</f>
        <v>Fort</v>
      </c>
      <c r="I339" s="3">
        <f>IFERROR(__xludf.DUMMYFUNCTION("""COMPUTED_VALUE"""),1.0)</f>
        <v>1</v>
      </c>
      <c r="J339" s="3" t="str">
        <f>IFERROR(__xludf.DUMMYFUNCTION("""COMPUTED_VALUE"""),"Pcs")</f>
        <v>Pcs</v>
      </c>
      <c r="K339" s="5" t="str">
        <f>IFERROR(__xludf.DUMMYFUNCTION("""COMPUTED_VALUE"""),"https://www.tokopedia.com/de-elektrik/axial-blower-fan-panel-box-4-inch-segi-kotak-120x120x38-220v-ac-sleeve-bearing-fort-xf1232ash-cooling-kipas?extParam=ivf%3Dfalse%26keyword%3Dfan+panel+220v+fort%26search_id%3D2025071120401326E359E83860DB012WY2%26src%3"&amp;"Dsearch&amp;t_id=1752266415298&amp;t_st=1&amp;t_pp=search_result&amp;t_efo=search_pure_goods_card&amp;t_ef=goods_search&amp;t_sm=&amp;t_spt=search_result")</f>
        <v>https://www.tokopedia.com/de-elektrik/axial-blower-fan-panel-box-4-inch-segi-kotak-120x120x38-220v-ac-sleeve-bearing-fort-xf1232ash-cooling-kipas?extParam=ivf%3Dfalse%26keyword%3Dfan+panel+220v+fort%26search_id%3D2025071120401326E359E83860DB012WY2%26src%3Dsearch&amp;t_id=1752266415298&amp;t_st=1&amp;t_pp=search_result&amp;t_efo=search_pure_goods_card&amp;t_ef=goods_search&amp;t_sm=&amp;t_spt=search_result</v>
      </c>
      <c r="L339" s="3" t="str">
        <f>IFERROR(__xludf.DUMMYFUNCTION("""COMPUTED_VALUE"""),"Untuk peremajaan panel kontrol WWTP (REJECT BY MFH KARENA SUDAH PUNYA ALTERNATIFNYA 4 PC)")</f>
        <v>Untuk peremajaan panel kontrol WWTP (REJECT BY MFH KARENA SUDAH PUNYA ALTERNATIFNYA 4 PC)</v>
      </c>
      <c r="M339" s="3" t="str">
        <f>IFERROR(__xludf.DUMMYFUNCTION("""COMPUTED_VALUE"""),"Reject")</f>
        <v>Reject</v>
      </c>
      <c r="N339" s="3" t="str">
        <f>IFERROR(__xludf.DUMMYFUNCTION("""COMPUTED_VALUE"""),"Normal")</f>
        <v>Normal</v>
      </c>
      <c r="O339" s="3" t="str">
        <f>IFERROR(__xludf.DUMMYFUNCTION("""COMPUTED_VALUE"""),"Non Urgent")</f>
        <v>Non Urgent</v>
      </c>
    </row>
    <row r="340">
      <c r="A340" s="4">
        <f>IFERROR(__xludf.DUMMYFUNCTION("""COMPUTED_VALUE"""),45891.58188841435)</f>
        <v>45891.58189</v>
      </c>
      <c r="B340" s="3" t="str">
        <f>IFERROR(__xludf.DUMMYFUNCTION("""COMPUTED_VALUE"""),"RIABR0066")</f>
        <v>RIABR0066</v>
      </c>
      <c r="C340" s="3" t="str">
        <f>IFERROR(__xludf.DUMMYFUNCTION("""COMPUTED_VALUE"""),"EJO")</f>
        <v>EJO</v>
      </c>
      <c r="D340" s="3" t="str">
        <f>IFERROR(__xludf.DUMMYFUNCTION("""COMPUTED_VALUE"""),"EJO/2025/08/56")</f>
        <v>EJO/2025/08/56</v>
      </c>
      <c r="E340" s="3" t="str">
        <f>IFERROR(__xludf.DUMMYFUNCTION("""COMPUTED_VALUE"""),"WWTP")</f>
        <v>WWTP</v>
      </c>
      <c r="F340" s="3" t="str">
        <f>IFERROR(__xludf.DUMMYFUNCTION("""COMPUTED_VALUE"""),"Cover Axial Fan")</f>
        <v>Cover Axial Fan</v>
      </c>
      <c r="G340" s="3" t="str">
        <f>IFERROR(__xludf.DUMMYFUNCTION("""COMPUTED_VALUE"""),"Cover Axial Fan")</f>
        <v>Cover Axial Fan</v>
      </c>
      <c r="H340" s="3" t="str">
        <f>IFERROR(__xludf.DUMMYFUNCTION("""COMPUTED_VALUE"""),"Lokal")</f>
        <v>Lokal</v>
      </c>
      <c r="I340" s="3">
        <f>IFERROR(__xludf.DUMMYFUNCTION("""COMPUTED_VALUE"""),2.0)</f>
        <v>2</v>
      </c>
      <c r="J340" s="3" t="str">
        <f>IFERROR(__xludf.DUMMYFUNCTION("""COMPUTED_VALUE"""),"Pcs")</f>
        <v>Pcs</v>
      </c>
      <c r="K340" s="5" t="str">
        <f>IFERROR(__xludf.DUMMYFUNCTION("""COMPUTED_VALUE"""),"https://www.tokopedia.com/kngw/pengaman-kipas-4-inch-fan-metal-guard-grill-blower-cover-axial-fan-1731317372489729877?extParam=ivf%3Dfalse%26keyword%3Dcover+axial+fan%26search_id%3D202507131006427F100B7B36092F26BKAK%26src%3Dsearch&amp;t_id=1752399739361&amp;t_st="&amp;"24&amp;t_pp=search_result&amp;t_efo=search_pure_goods_card&amp;t_ef=goods_search&amp;t_sm=&amp;t_spt=search_result")</f>
        <v>https://www.tokopedia.com/kngw/pengaman-kipas-4-inch-fan-metal-guard-grill-blower-cover-axial-fan-1731317372489729877?extParam=ivf%3Dfalse%26keyword%3Dcover+axial+fan%26search_id%3D202507131006427F100B7B36092F26BKAK%26src%3Dsearch&amp;t_id=1752399739361&amp;t_st=24&amp;t_pp=search_result&amp;t_efo=search_pure_goods_card&amp;t_ef=goods_search&amp;t_sm=&amp;t_spt=search_result</v>
      </c>
      <c r="L340" s="3" t="str">
        <f>IFERROR(__xludf.DUMMYFUNCTION("""COMPUTED_VALUE"""),"Untuk peremajaan panel kontrol WWTP (REJECT BY MFH KARENA MASIH ADA STOK 6 PC BQ HOT WATER SEBELUMNYA BELUM TERPAKAI)")</f>
        <v>Untuk peremajaan panel kontrol WWTP (REJECT BY MFH KARENA MASIH ADA STOK 6 PC BQ HOT WATER SEBELUMNYA BELUM TERPAKAI)</v>
      </c>
      <c r="M340" s="3" t="str">
        <f>IFERROR(__xludf.DUMMYFUNCTION("""COMPUTED_VALUE"""),"Reject")</f>
        <v>Reject</v>
      </c>
      <c r="N340" s="3" t="str">
        <f>IFERROR(__xludf.DUMMYFUNCTION("""COMPUTED_VALUE"""),"Normal")</f>
        <v>Normal</v>
      </c>
      <c r="O340" s="3" t="str">
        <f>IFERROR(__xludf.DUMMYFUNCTION("""COMPUTED_VALUE"""),"Non Urgent")</f>
        <v>Non Urgent</v>
      </c>
    </row>
    <row r="341">
      <c r="A341" s="4">
        <f>IFERROR(__xludf.DUMMYFUNCTION("""COMPUTED_VALUE"""),45891.58188841435)</f>
        <v>45891.58189</v>
      </c>
      <c r="B341" s="3" t="str">
        <f>IFERROR(__xludf.DUMMYFUNCTION("""COMPUTED_VALUE"""),"RIABR0067")</f>
        <v>RIABR0067</v>
      </c>
      <c r="C341" s="3" t="str">
        <f>IFERROR(__xludf.DUMMYFUNCTION("""COMPUTED_VALUE"""),"EJO")</f>
        <v>EJO</v>
      </c>
      <c r="D341" s="3" t="str">
        <f>IFERROR(__xludf.DUMMYFUNCTION("""COMPUTED_VALUE"""),"EJO/2025/08/56")</f>
        <v>EJO/2025/08/56</v>
      </c>
      <c r="E341" s="3" t="str">
        <f>IFERROR(__xludf.DUMMYFUNCTION("""COMPUTED_VALUE"""),"WWTP")</f>
        <v>WWTP</v>
      </c>
      <c r="F341" s="3" t="str">
        <f>IFERROR(__xludf.DUMMYFUNCTION("""COMPUTED_VALUE"""),"Filter Panel")</f>
        <v>Filter Panel</v>
      </c>
      <c r="G341" s="3" t="str">
        <f>IFERROR(__xludf.DUMMYFUNCTION("""COMPUTED_VALUE"""),"Filter Panel")</f>
        <v>Filter Panel</v>
      </c>
      <c r="H341" s="3" t="str">
        <f>IFERROR(__xludf.DUMMYFUNCTION("""COMPUTED_VALUE"""),"Fort")</f>
        <v>Fort</v>
      </c>
      <c r="I341" s="3">
        <f>IFERROR(__xludf.DUMMYFUNCTION("""COMPUTED_VALUE"""),1.0)</f>
        <v>1</v>
      </c>
      <c r="J341" s="3" t="str">
        <f>IFERROR(__xludf.DUMMYFUNCTION("""COMPUTED_VALUE"""),"Pcs")</f>
        <v>Pcs</v>
      </c>
      <c r="K341" s="5" t="str">
        <f>IFERROR(__xludf.DUMMYFUNCTION("""COMPUTED_VALUE"""),"https://www.tokopedia.com/lusindojaya/filter-kipas-panel-uk-148-x-148-mm-untuk-kipas-12-x-12-cm?extParam=ivf%3Dfalse%26keyword%3Dfilter+panel+12+x+12+%26search_id%3D2025071120431211B9842E0A271F155LNX%26src%3Dsearch&amp;t_id=1752266597747&amp;t_st=1&amp;t_pp=search_re"&amp;"sult&amp;t_efo=search_pure_goods_card&amp;t_ef=goods_search&amp;t_sm=&amp;t_spt=search_result")</f>
        <v>https://www.tokopedia.com/lusindojaya/filter-kipas-panel-uk-148-x-148-mm-untuk-kipas-12-x-12-cm?extParam=ivf%3Dfalse%26keyword%3Dfilter+panel+12+x+12+%26search_id%3D2025071120431211B9842E0A271F155LNX%26src%3Dsearch&amp;t_id=1752266597747&amp;t_st=1&amp;t_pp=search_result&amp;t_efo=search_pure_goods_card&amp;t_ef=goods_search&amp;t_sm=&amp;t_spt=search_result</v>
      </c>
      <c r="L341" s="3" t="str">
        <f>IFERROR(__xludf.DUMMYFUNCTION("""COMPUTED_VALUE"""),"Untuk peremajaan panel kontrol WWTP (REJECT BY MFH KARENA MASIH ADA STOK 2 PC BQ HOT WATER SEBELUMNYA BELUM TERPAKAI)")</f>
        <v>Untuk peremajaan panel kontrol WWTP (REJECT BY MFH KARENA MASIH ADA STOK 2 PC BQ HOT WATER SEBELUMNYA BELUM TERPAKAI)</v>
      </c>
      <c r="M341" s="3" t="str">
        <f>IFERROR(__xludf.DUMMYFUNCTION("""COMPUTED_VALUE"""),"Reject")</f>
        <v>Reject</v>
      </c>
      <c r="N341" s="3" t="str">
        <f>IFERROR(__xludf.DUMMYFUNCTION("""COMPUTED_VALUE"""),"Normal")</f>
        <v>Normal</v>
      </c>
      <c r="O341" s="3" t="str">
        <f>IFERROR(__xludf.DUMMYFUNCTION("""COMPUTED_VALUE"""),"Non Urgent")</f>
        <v>Non Urgent</v>
      </c>
    </row>
    <row r="342">
      <c r="A342" s="4">
        <f>IFERROR(__xludf.DUMMYFUNCTION("""COMPUTED_VALUE"""),45891.58188841435)</f>
        <v>45891.58189</v>
      </c>
      <c r="B342" s="3" t="str">
        <f>IFERROR(__xludf.DUMMYFUNCTION("""COMPUTED_VALUE"""),"RIABR0068")</f>
        <v>RIABR0068</v>
      </c>
      <c r="C342" s="3" t="str">
        <f>IFERROR(__xludf.DUMMYFUNCTION("""COMPUTED_VALUE"""),"EJO")</f>
        <v>EJO</v>
      </c>
      <c r="D342" s="3" t="str">
        <f>IFERROR(__xludf.DUMMYFUNCTION("""COMPUTED_VALUE"""),"EJO/2025/08/56")</f>
        <v>EJO/2025/08/56</v>
      </c>
      <c r="E342" s="3" t="str">
        <f>IFERROR(__xludf.DUMMYFUNCTION("""COMPUTED_VALUE"""),"WWTP")</f>
        <v>WWTP</v>
      </c>
      <c r="F342" s="3" t="str">
        <f>IFERROR(__xludf.DUMMYFUNCTION("""COMPUTED_VALUE"""),"Control Unit")</f>
        <v>Control Unit</v>
      </c>
      <c r="G342" s="3" t="str">
        <f>IFERROR(__xludf.DUMMYFUNCTION("""COMPUTED_VALUE"""),"Control Unit")</f>
        <v>Control Unit</v>
      </c>
      <c r="H342" s="3" t="str">
        <f>IFERROR(__xludf.DUMMYFUNCTION("""COMPUTED_VALUE"""),"Wingel")</f>
        <v>Wingel</v>
      </c>
      <c r="I342" s="3">
        <f>IFERROR(__xludf.DUMMYFUNCTION("""COMPUTED_VALUE"""),3.0)</f>
        <v>3</v>
      </c>
      <c r="J342" s="3" t="str">
        <f>IFERROR(__xludf.DUMMYFUNCTION("""COMPUTED_VALUE"""),"Pcs")</f>
        <v>Pcs</v>
      </c>
      <c r="K342" s="3"/>
      <c r="L342" s="3" t="str">
        <f>IFERROR(__xludf.DUMMYFUNCTION("""COMPUTED_VALUE"""),"Untuk peremajaan panel kontrol WWTP, REJECT BY MFH KARENA SPEK TIDAK JELAS DAN TIDAK DIBERIKAN REFERENSI")</f>
        <v>Untuk peremajaan panel kontrol WWTP, REJECT BY MFH KARENA SPEK TIDAK JELAS DAN TIDAK DIBERIKAN REFERENSI</v>
      </c>
      <c r="M342" s="3" t="str">
        <f>IFERROR(__xludf.DUMMYFUNCTION("""COMPUTED_VALUE"""),"Reject")</f>
        <v>Reject</v>
      </c>
      <c r="N342" s="3" t="str">
        <f>IFERROR(__xludf.DUMMYFUNCTION("""COMPUTED_VALUE"""),"Normal")</f>
        <v>Normal</v>
      </c>
      <c r="O342" s="3" t="str">
        <f>IFERROR(__xludf.DUMMYFUNCTION("""COMPUTED_VALUE"""),"Non Urgent")</f>
        <v>Non Urgent</v>
      </c>
    </row>
    <row r="343">
      <c r="A343" s="4">
        <f>IFERROR(__xludf.DUMMYFUNCTION("""COMPUTED_VALUE"""),45891.58188841435)</f>
        <v>45891.58189</v>
      </c>
      <c r="B343" s="3" t="str">
        <f>IFERROR(__xludf.DUMMYFUNCTION("""COMPUTED_VALUE"""),"RIABR0069")</f>
        <v>RIABR0069</v>
      </c>
      <c r="C343" s="3" t="str">
        <f>IFERROR(__xludf.DUMMYFUNCTION("""COMPUTED_VALUE"""),"EJO")</f>
        <v>EJO</v>
      </c>
      <c r="D343" s="3" t="str">
        <f>IFERROR(__xludf.DUMMYFUNCTION("""COMPUTED_VALUE"""),"EJO/2025/08/56")</f>
        <v>EJO/2025/08/56</v>
      </c>
      <c r="E343" s="3" t="str">
        <f>IFERROR(__xludf.DUMMYFUNCTION("""COMPUTED_VALUE"""),"WWTP")</f>
        <v>WWTP</v>
      </c>
      <c r="F343" s="3" t="str">
        <f>IFERROR(__xludf.DUMMYFUNCTION("""COMPUTED_VALUE"""),"Terminal Block TBR20")</f>
        <v>Terminal Block TBR20</v>
      </c>
      <c r="G343" s="3" t="str">
        <f>IFERROR(__xludf.DUMMYFUNCTION("""COMPUTED_VALUE"""),"Terminal Block TBR20")</f>
        <v>Terminal Block TBR20</v>
      </c>
      <c r="H343" s="3" t="str">
        <f>IFERROR(__xludf.DUMMYFUNCTION("""COMPUTED_VALUE"""),"Fort")</f>
        <v>Fort</v>
      </c>
      <c r="I343" s="3">
        <f>IFERROR(__xludf.DUMMYFUNCTION("""COMPUTED_VALUE"""),1.0)</f>
        <v>1</v>
      </c>
      <c r="J343" s="3" t="str">
        <f>IFERROR(__xludf.DUMMYFUNCTION("""COMPUTED_VALUE"""),"Pack")</f>
        <v>Pack</v>
      </c>
      <c r="K343" s="5" t="str">
        <f>IFERROR(__xludf.DUMMYFUNCTION("""COMPUTED_VALUE"""),"https://www.tokopedia.com/toko-mik/terminal-blok-block-tbr-tbr-10-tbr-20-tbr-30-tbr-45-tbr-60-din-rail-terminal-tbr-20?extParam=ivf%3Dfalse%26keyword%3Dterminal+tbr20%26search_id%3D2025071120445994F6D7E04A4D4512ENQS%26src%3Dsearch&amp;t_id=1752266597747&amp;t_st="&amp;"2&amp;t_pp=search_result&amp;t_efo=search_pure_goods_card&amp;t_ef=goods_search&amp;t_sm=&amp;t_spt=search_result")</f>
        <v>https://www.tokopedia.com/toko-mik/terminal-blok-block-tbr-tbr-10-tbr-20-tbr-30-tbr-45-tbr-60-din-rail-terminal-tbr-20?extParam=ivf%3Dfalse%26keyword%3Dterminal+tbr20%26search_id%3D2025071120445994F6D7E04A4D4512ENQS%26src%3Dsearch&amp;t_id=1752266597747&amp;t_st=2&amp;t_pp=search_result&amp;t_efo=search_pure_goods_card&amp;t_ef=goods_search&amp;t_sm=&amp;t_spt=search_result</v>
      </c>
      <c r="L343" s="3" t="str">
        <f>IFERROR(__xludf.DUMMYFUNCTION("""COMPUTED_VALUE"""),"Untuk peremajaan panel kontrol WWTP")</f>
        <v>Untuk peremajaan panel kontrol WWTP</v>
      </c>
      <c r="M343" s="3" t="str">
        <f>IFERROR(__xludf.DUMMYFUNCTION("""COMPUTED_VALUE"""),"Approve")</f>
        <v>Approve</v>
      </c>
      <c r="N343" s="3" t="str">
        <f>IFERROR(__xludf.DUMMYFUNCTION("""COMPUTED_VALUE"""),"Normal")</f>
        <v>Normal</v>
      </c>
      <c r="O343" s="3" t="str">
        <f>IFERROR(__xludf.DUMMYFUNCTION("""COMPUTED_VALUE"""),"Non Urgent")</f>
        <v>Non Urgent</v>
      </c>
    </row>
    <row r="344">
      <c r="A344" s="4">
        <f>IFERROR(__xludf.DUMMYFUNCTION("""COMPUTED_VALUE"""),45891.58188841435)</f>
        <v>45891.58189</v>
      </c>
      <c r="B344" s="3" t="str">
        <f>IFERROR(__xludf.DUMMYFUNCTION("""COMPUTED_VALUE"""),"RIABR0070")</f>
        <v>RIABR0070</v>
      </c>
      <c r="C344" s="3" t="str">
        <f>IFERROR(__xludf.DUMMYFUNCTION("""COMPUTED_VALUE"""),"EJO")</f>
        <v>EJO</v>
      </c>
      <c r="D344" s="3" t="str">
        <f>IFERROR(__xludf.DUMMYFUNCTION("""COMPUTED_VALUE"""),"EJO/2025/08/56")</f>
        <v>EJO/2025/08/56</v>
      </c>
      <c r="E344" s="3" t="str">
        <f>IFERROR(__xludf.DUMMYFUNCTION("""COMPUTED_VALUE"""),"WWTP")</f>
        <v>WWTP</v>
      </c>
      <c r="F344" s="3" t="str">
        <f>IFERROR(__xludf.DUMMYFUNCTION("""COMPUTED_VALUE"""),"End Plate TBR20")</f>
        <v>End Plate TBR20</v>
      </c>
      <c r="G344" s="3" t="str">
        <f>IFERROR(__xludf.DUMMYFUNCTION("""COMPUTED_VALUE"""),"End Plate TBR20")</f>
        <v>End Plate TBR20</v>
      </c>
      <c r="H344" s="3" t="str">
        <f>IFERROR(__xludf.DUMMYFUNCTION("""COMPUTED_VALUE"""),"Fort")</f>
        <v>Fort</v>
      </c>
      <c r="I344" s="3">
        <f>IFERROR(__xludf.DUMMYFUNCTION("""COMPUTED_VALUE"""),100.0)</f>
        <v>100</v>
      </c>
      <c r="J344" s="3" t="str">
        <f>IFERROR(__xludf.DUMMYFUNCTION("""COMPUTED_VALUE"""),"Pcs")</f>
        <v>Pcs</v>
      </c>
      <c r="K344" s="5" t="str">
        <f>IFERROR(__xludf.DUMMYFUNCTION("""COMPUTED_VALUE"""),"https://www.tokopedia.com/toko-mik/terminal-blok-block-tbr-tbr-10-tbr-20-tbr-30-tbr-45-tbr-60-din-rail-end-plate-tbr20?extParam=ivf%3Dfalse%26keyword%3Dterminal+tbr20%26search_id%3D2025071120445994F6D7E04A4D4512ENQS%26src%3Dsearch&amp;t_id=1752266597747&amp;t_st="&amp;"2&amp;t_pp=search_result&amp;t_efo=search_pure_goods_card&amp;t_ef=goods_search&amp;t_sm=&amp;t_spt=search_result")</f>
        <v>https://www.tokopedia.com/toko-mik/terminal-blok-block-tbr-tbr-10-tbr-20-tbr-30-tbr-45-tbr-60-din-rail-end-plate-tbr20?extParam=ivf%3Dfalse%26keyword%3Dterminal+tbr20%26search_id%3D2025071120445994F6D7E04A4D4512ENQS%26src%3Dsearch&amp;t_id=1752266597747&amp;t_st=2&amp;t_pp=search_result&amp;t_efo=search_pure_goods_card&amp;t_ef=goods_search&amp;t_sm=&amp;t_spt=search_result</v>
      </c>
      <c r="L344" s="3" t="str">
        <f>IFERROR(__xludf.DUMMYFUNCTION("""COMPUTED_VALUE"""),"Untuk peremajaan panel kontrol WWTP")</f>
        <v>Untuk peremajaan panel kontrol WWTP</v>
      </c>
      <c r="M344" s="3" t="str">
        <f>IFERROR(__xludf.DUMMYFUNCTION("""COMPUTED_VALUE"""),"Approve")</f>
        <v>Approve</v>
      </c>
      <c r="N344" s="3" t="str">
        <f>IFERROR(__xludf.DUMMYFUNCTION("""COMPUTED_VALUE"""),"Normal")</f>
        <v>Normal</v>
      </c>
      <c r="O344" s="3" t="str">
        <f>IFERROR(__xludf.DUMMYFUNCTION("""COMPUTED_VALUE"""),"Non Urgent")</f>
        <v>Non Urgent</v>
      </c>
    </row>
    <row r="345">
      <c r="A345" s="4">
        <f>IFERROR(__xludf.DUMMYFUNCTION("""COMPUTED_VALUE"""),45891.58188841435)</f>
        <v>45891.58189</v>
      </c>
      <c r="B345" s="3" t="str">
        <f>IFERROR(__xludf.DUMMYFUNCTION("""COMPUTED_VALUE"""),"RIABR0071")</f>
        <v>RIABR0071</v>
      </c>
      <c r="C345" s="3" t="str">
        <f>IFERROR(__xludf.DUMMYFUNCTION("""COMPUTED_VALUE"""),"EJO")</f>
        <v>EJO</v>
      </c>
      <c r="D345" s="3" t="str">
        <f>IFERROR(__xludf.DUMMYFUNCTION("""COMPUTED_VALUE"""),"EJO/2025/08/56")</f>
        <v>EJO/2025/08/56</v>
      </c>
      <c r="E345" s="3" t="str">
        <f>IFERROR(__xludf.DUMMYFUNCTION("""COMPUTED_VALUE"""),"WWTP")</f>
        <v>WWTP</v>
      </c>
      <c r="F345" s="3" t="str">
        <f>IFERROR(__xludf.DUMMYFUNCTION("""COMPUTED_VALUE"""),"Stopper Terminal TBR20")</f>
        <v>Stopper Terminal TBR20</v>
      </c>
      <c r="G345" s="3" t="str">
        <f>IFERROR(__xludf.DUMMYFUNCTION("""COMPUTED_VALUE"""),"Stopper Terminal TBR20")</f>
        <v>Stopper Terminal TBR20</v>
      </c>
      <c r="H345" s="3" t="str">
        <f>IFERROR(__xludf.DUMMYFUNCTION("""COMPUTED_VALUE"""),"Fort")</f>
        <v>Fort</v>
      </c>
      <c r="I345" s="3">
        <f>IFERROR(__xludf.DUMMYFUNCTION("""COMPUTED_VALUE"""),25.0)</f>
        <v>25</v>
      </c>
      <c r="J345" s="3" t="str">
        <f>IFERROR(__xludf.DUMMYFUNCTION("""COMPUTED_VALUE"""),"Pcs")</f>
        <v>Pcs</v>
      </c>
      <c r="K345" s="5" t="str">
        <f>IFERROR(__xludf.DUMMYFUNCTION("""COMPUTED_VALUE"""),"https://www.tokopedia.com/toko-mik/terminal-blok-block-tbr-tbr-10-tbr-20-tbr-30-tbr-45-tbr-60-din-rail-end-plate-tbr20?extParam=ivf%3Dfalse%26keyword%3Dterminal+tbr20%26search_id%3D2025071120445994F6D7E04A4D4512ENQS%26src%3Dsearch&amp;t_id=1752266597747&amp;t_st="&amp;"2&amp;t_pp=search_result&amp;t_efo=search_pure_goods_card&amp;t_ef=goods_search&amp;t_sm=&amp;t_spt=search_result")</f>
        <v>https://www.tokopedia.com/toko-mik/terminal-blok-block-tbr-tbr-10-tbr-20-tbr-30-tbr-45-tbr-60-din-rail-end-plate-tbr20?extParam=ivf%3Dfalse%26keyword%3Dterminal+tbr20%26search_id%3D2025071120445994F6D7E04A4D4512ENQS%26src%3Dsearch&amp;t_id=1752266597747&amp;t_st=2&amp;t_pp=search_result&amp;t_efo=search_pure_goods_card&amp;t_ef=goods_search&amp;t_sm=&amp;t_spt=search_result</v>
      </c>
      <c r="L345" s="3" t="str">
        <f>IFERROR(__xludf.DUMMYFUNCTION("""COMPUTED_VALUE"""),"Untuk peremajaan panel kontrol WWTP")</f>
        <v>Untuk peremajaan panel kontrol WWTP</v>
      </c>
      <c r="M345" s="3" t="str">
        <f>IFERROR(__xludf.DUMMYFUNCTION("""COMPUTED_VALUE"""),"Approve")</f>
        <v>Approve</v>
      </c>
      <c r="N345" s="3" t="str">
        <f>IFERROR(__xludf.DUMMYFUNCTION("""COMPUTED_VALUE"""),"Normal")</f>
        <v>Normal</v>
      </c>
      <c r="O345" s="3" t="str">
        <f>IFERROR(__xludf.DUMMYFUNCTION("""COMPUTED_VALUE"""),"Non Urgent")</f>
        <v>Non Urgent</v>
      </c>
    </row>
    <row r="346">
      <c r="A346" s="4">
        <f>IFERROR(__xludf.DUMMYFUNCTION("""COMPUTED_VALUE"""),45891.58188841435)</f>
        <v>45891.58189</v>
      </c>
      <c r="B346" s="3" t="str">
        <f>IFERROR(__xludf.DUMMYFUNCTION("""COMPUTED_VALUE"""),"RIABR0072")</f>
        <v>RIABR0072</v>
      </c>
      <c r="C346" s="3" t="str">
        <f>IFERROR(__xludf.DUMMYFUNCTION("""COMPUTED_VALUE"""),"EJO")</f>
        <v>EJO</v>
      </c>
      <c r="D346" s="3" t="str">
        <f>IFERROR(__xludf.DUMMYFUNCTION("""COMPUTED_VALUE"""),"EJO/2025/08/56")</f>
        <v>EJO/2025/08/56</v>
      </c>
      <c r="E346" s="3" t="str">
        <f>IFERROR(__xludf.DUMMYFUNCTION("""COMPUTED_VALUE"""),"WWTP")</f>
        <v>WWTP</v>
      </c>
      <c r="F346" s="3" t="str">
        <f>IFERROR(__xludf.DUMMYFUNCTION("""COMPUTED_VALUE"""),"Din Rel TBR")</f>
        <v>Din Rel TBR</v>
      </c>
      <c r="G346" s="3" t="str">
        <f>IFERROR(__xludf.DUMMYFUNCTION("""COMPUTED_VALUE"""),"Din Rel TBR")</f>
        <v>Din Rel TBR</v>
      </c>
      <c r="H346" s="3" t="str">
        <f>IFERROR(__xludf.DUMMYFUNCTION("""COMPUTED_VALUE"""),"Fort")</f>
        <v>Fort</v>
      </c>
      <c r="I346" s="3">
        <f>IFERROR(__xludf.DUMMYFUNCTION("""COMPUTED_VALUE"""),10.0)</f>
        <v>10</v>
      </c>
      <c r="J346" s="3" t="str">
        <f>IFERROR(__xludf.DUMMYFUNCTION("""COMPUTED_VALUE"""),"Btg")</f>
        <v>Btg</v>
      </c>
      <c r="K346" s="5" t="str">
        <f>IFERROR(__xludf.DUMMYFUNCTION("""COMPUTED_VALUE"""),"https://www.tokopedia.com/toko-mik/terminal-blok-block-tbr-tbr-10-tbr-20-tbr-30-tbr-45-tbr-60-din-rail-rel-tbr-silver-a871f?extParam=ivf%3Dfalse%26keyword%3Dterminal+tbr20%26search_id%3D2025071120445994F6D7E04A4D4512ENQS%26src%3Dsearch&amp;t_id=1752266597747&amp;"&amp;"t_st=2&amp;t_pp=search_result&amp;t_efo=search_pure_goods_card&amp;t_ef=goods_search&amp;t_sm=&amp;t_spt=search_result")</f>
        <v>https://www.tokopedia.com/toko-mik/terminal-blok-block-tbr-tbr-10-tbr-20-tbr-30-tbr-45-tbr-60-din-rail-rel-tbr-silver-a871f?extParam=ivf%3Dfalse%26keyword%3Dterminal+tbr20%26search_id%3D2025071120445994F6D7E04A4D4512ENQS%26src%3Dsearch&amp;t_id=1752266597747&amp;t_st=2&amp;t_pp=search_result&amp;t_efo=search_pure_goods_card&amp;t_ef=goods_search&amp;t_sm=&amp;t_spt=search_result</v>
      </c>
      <c r="L346" s="3" t="str">
        <f>IFERROR(__xludf.DUMMYFUNCTION("""COMPUTED_VALUE"""),"Untuk peremajaan panel kontrol WWTP")</f>
        <v>Untuk peremajaan panel kontrol WWTP</v>
      </c>
      <c r="M346" s="3" t="str">
        <f>IFERROR(__xludf.DUMMYFUNCTION("""COMPUTED_VALUE"""),"Approve")</f>
        <v>Approve</v>
      </c>
      <c r="N346" s="3" t="str">
        <f>IFERROR(__xludf.DUMMYFUNCTION("""COMPUTED_VALUE"""),"Normal")</f>
        <v>Normal</v>
      </c>
      <c r="O346" s="3" t="str">
        <f>IFERROR(__xludf.DUMMYFUNCTION("""COMPUTED_VALUE"""),"Non Urgent")</f>
        <v>Non Urgent</v>
      </c>
    </row>
    <row r="347">
      <c r="A347" s="4">
        <f>IFERROR(__xludf.DUMMYFUNCTION("""COMPUTED_VALUE"""),45891.58188841435)</f>
        <v>45891.58189</v>
      </c>
      <c r="B347" s="3" t="str">
        <f>IFERROR(__xludf.DUMMYFUNCTION("""COMPUTED_VALUE"""),"RIABR0073")</f>
        <v>RIABR0073</v>
      </c>
      <c r="C347" s="3" t="str">
        <f>IFERROR(__xludf.DUMMYFUNCTION("""COMPUTED_VALUE"""),"EJO")</f>
        <v>EJO</v>
      </c>
      <c r="D347" s="3" t="str">
        <f>IFERROR(__xludf.DUMMYFUNCTION("""COMPUTED_VALUE"""),"EJO/2025/08/56")</f>
        <v>EJO/2025/08/56</v>
      </c>
      <c r="E347" s="3" t="str">
        <f>IFERROR(__xludf.DUMMYFUNCTION("""COMPUTED_VALUE"""),"WWTP")</f>
        <v>WWTP</v>
      </c>
      <c r="F347" s="3" t="str">
        <f>IFERROR(__xludf.DUMMYFUNCTION("""COMPUTED_VALUE"""),"Skun Kabel Y 2.5mm Merah")</f>
        <v>Skun Kabel Y 2.5mm Merah</v>
      </c>
      <c r="G347" s="3" t="str">
        <f>IFERROR(__xludf.DUMMYFUNCTION("""COMPUTED_VALUE"""),"Skun Kabel Y 2.5mm Merah")</f>
        <v>Skun Kabel Y 2.5mm Merah</v>
      </c>
      <c r="H347" s="3" t="str">
        <f>IFERROR(__xludf.DUMMYFUNCTION("""COMPUTED_VALUE"""),"Ewig")</f>
        <v>Ewig</v>
      </c>
      <c r="I347" s="3">
        <f>IFERROR(__xludf.DUMMYFUNCTION("""COMPUTED_VALUE"""),1.0)</f>
        <v>1</v>
      </c>
      <c r="J347" s="3" t="str">
        <f>IFERROR(__xludf.DUMMYFUNCTION("""COMPUTED_VALUE"""),"Pack")</f>
        <v>Pack</v>
      </c>
      <c r="K347" s="5" t="str">
        <f>IFERROR(__xludf.DUMMYFUNCTION("""COMPUTED_VALUE"""),"https://www.tokopedia.com/bintangkencana/skun-kabel-y-svs-2-4-scun-cable-svs2-4-dengan-isolasi-vorge-hitam-1075c?extParam=ivf%3Dfalse%26keyword%3Dskun+y+2.4+mm%26search_id%3D2025071705041194F6D7E04A4D45191CX7%26src%3Dsearch&amp;t_id=1752728510891&amp;t_st=2&amp;t_pp="&amp;"search_result&amp;t_efo=search_pure_goods_card&amp;t_ef=goods_search&amp;t_sm=&amp;t_spt=search_result")</f>
        <v>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v>
      </c>
      <c r="L347" s="3" t="str">
        <f>IFERROR(__xludf.DUMMYFUNCTION("""COMPUTED_VALUE"""),"Untuk peremajaan panel kontrol WWTP")</f>
        <v>Untuk peremajaan panel kontrol WWTP</v>
      </c>
      <c r="M347" s="3" t="str">
        <f>IFERROR(__xludf.DUMMYFUNCTION("""COMPUTED_VALUE"""),"Approve")</f>
        <v>Approve</v>
      </c>
      <c r="N347" s="3" t="str">
        <f>IFERROR(__xludf.DUMMYFUNCTION("""COMPUTED_VALUE"""),"Normal")</f>
        <v>Normal</v>
      </c>
      <c r="O347" s="3" t="str">
        <f>IFERROR(__xludf.DUMMYFUNCTION("""COMPUTED_VALUE"""),"Non Urgent")</f>
        <v>Non Urgent</v>
      </c>
    </row>
    <row r="348">
      <c r="A348" s="4">
        <f>IFERROR(__xludf.DUMMYFUNCTION("""COMPUTED_VALUE"""),45891.58188841435)</f>
        <v>45891.58189</v>
      </c>
      <c r="B348" s="3" t="str">
        <f>IFERROR(__xludf.DUMMYFUNCTION("""COMPUTED_VALUE"""),"RIABR0074")</f>
        <v>RIABR0074</v>
      </c>
      <c r="C348" s="3" t="str">
        <f>IFERROR(__xludf.DUMMYFUNCTION("""COMPUTED_VALUE"""),"EJO")</f>
        <v>EJO</v>
      </c>
      <c r="D348" s="3" t="str">
        <f>IFERROR(__xludf.DUMMYFUNCTION("""COMPUTED_VALUE"""),"EJO/2025/08/56")</f>
        <v>EJO/2025/08/56</v>
      </c>
      <c r="E348" s="3" t="str">
        <f>IFERROR(__xludf.DUMMYFUNCTION("""COMPUTED_VALUE"""),"WWTP")</f>
        <v>WWTP</v>
      </c>
      <c r="F348" s="3" t="str">
        <f>IFERROR(__xludf.DUMMYFUNCTION("""COMPUTED_VALUE"""),"Skun Kabel Y 2.5mm Kuning")</f>
        <v>Skun Kabel Y 2.5mm Kuning</v>
      </c>
      <c r="G348" s="3" t="str">
        <f>IFERROR(__xludf.DUMMYFUNCTION("""COMPUTED_VALUE"""),"Skun Kabel Y 2.5mm Kuning")</f>
        <v>Skun Kabel Y 2.5mm Kuning</v>
      </c>
      <c r="H348" s="3" t="str">
        <f>IFERROR(__xludf.DUMMYFUNCTION("""COMPUTED_VALUE"""),"Ewig")</f>
        <v>Ewig</v>
      </c>
      <c r="I348" s="3">
        <f>IFERROR(__xludf.DUMMYFUNCTION("""COMPUTED_VALUE"""),1.0)</f>
        <v>1</v>
      </c>
      <c r="J348" s="3" t="str">
        <f>IFERROR(__xludf.DUMMYFUNCTION("""COMPUTED_VALUE"""),"Pack")</f>
        <v>Pack</v>
      </c>
      <c r="K348" s="5" t="str">
        <f>IFERROR(__xludf.DUMMYFUNCTION("""COMPUTED_VALUE"""),"https://www.tokopedia.com/bintangkencana/skun-kabel-y-svs-2-4-scun-cable-svs2-4-dengan-isolasi-vorge-hitam-1075c?extParam=ivf%3Dfalse%26keyword%3Dskun+y+2.4+mm%26search_id%3D2025071705041194F6D7E04A4D45191CX7%26src%3Dsearch&amp;t_id=1752728510891&amp;t_st=2&amp;t_pp="&amp;"search_result&amp;t_efo=search_pure_goods_card&amp;t_ef=goods_search&amp;t_sm=&amp;t_spt=search_result")</f>
        <v>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v>
      </c>
      <c r="L348" s="3" t="str">
        <f>IFERROR(__xludf.DUMMYFUNCTION("""COMPUTED_VALUE"""),"Untuk peremajaan panel kontrol WWTP")</f>
        <v>Untuk peremajaan panel kontrol WWTP</v>
      </c>
      <c r="M348" s="3" t="str">
        <f>IFERROR(__xludf.DUMMYFUNCTION("""COMPUTED_VALUE"""),"Approve")</f>
        <v>Approve</v>
      </c>
      <c r="N348" s="3" t="str">
        <f>IFERROR(__xludf.DUMMYFUNCTION("""COMPUTED_VALUE"""),"Normal")</f>
        <v>Normal</v>
      </c>
      <c r="O348" s="3" t="str">
        <f>IFERROR(__xludf.DUMMYFUNCTION("""COMPUTED_VALUE"""),"Non Urgent")</f>
        <v>Non Urgent</v>
      </c>
    </row>
    <row r="349">
      <c r="A349" s="4">
        <f>IFERROR(__xludf.DUMMYFUNCTION("""COMPUTED_VALUE"""),45891.58188841435)</f>
        <v>45891.58189</v>
      </c>
      <c r="B349" s="3" t="str">
        <f>IFERROR(__xludf.DUMMYFUNCTION("""COMPUTED_VALUE"""),"RIABR0075")</f>
        <v>RIABR0075</v>
      </c>
      <c r="C349" s="3" t="str">
        <f>IFERROR(__xludf.DUMMYFUNCTION("""COMPUTED_VALUE"""),"EJO")</f>
        <v>EJO</v>
      </c>
      <c r="D349" s="3" t="str">
        <f>IFERROR(__xludf.DUMMYFUNCTION("""COMPUTED_VALUE"""),"EJO/2025/08/56")</f>
        <v>EJO/2025/08/56</v>
      </c>
      <c r="E349" s="3" t="str">
        <f>IFERROR(__xludf.DUMMYFUNCTION("""COMPUTED_VALUE"""),"WWTP")</f>
        <v>WWTP</v>
      </c>
      <c r="F349" s="3" t="str">
        <f>IFERROR(__xludf.DUMMYFUNCTION("""COMPUTED_VALUE"""),"Skun Kabel Y 2.5mm Hijau")</f>
        <v>Skun Kabel Y 2.5mm Hijau</v>
      </c>
      <c r="G349" s="3" t="str">
        <f>IFERROR(__xludf.DUMMYFUNCTION("""COMPUTED_VALUE"""),"Skun Kabel Y 2.5mm Hijau")</f>
        <v>Skun Kabel Y 2.5mm Hijau</v>
      </c>
      <c r="H349" s="3" t="str">
        <f>IFERROR(__xludf.DUMMYFUNCTION("""COMPUTED_VALUE"""),"Ewig")</f>
        <v>Ewig</v>
      </c>
      <c r="I349" s="3">
        <f>IFERROR(__xludf.DUMMYFUNCTION("""COMPUTED_VALUE"""),1.0)</f>
        <v>1</v>
      </c>
      <c r="J349" s="3" t="str">
        <f>IFERROR(__xludf.DUMMYFUNCTION("""COMPUTED_VALUE"""),"Pack")</f>
        <v>Pack</v>
      </c>
      <c r="K349" s="5" t="str">
        <f>IFERROR(__xludf.DUMMYFUNCTION("""COMPUTED_VALUE"""),"https://www.tokopedia.com/bintangkencana/skun-kabel-y-svs-2-4-scun-cable-svs2-4-dengan-isolasi-vorge-hitam-1075c?extParam=ivf%3Dfalse%26keyword%3Dskun+y+2.4+mm%26search_id%3D2025071705041194F6D7E04A4D45191CX7%26src%3Dsearch&amp;t_id=1752728510891&amp;t_st=2&amp;t_pp="&amp;"search_result&amp;t_efo=search_pure_goods_card&amp;t_ef=goods_search&amp;t_sm=&amp;t_spt=search_result")</f>
        <v>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v>
      </c>
      <c r="L349" s="3" t="str">
        <f>IFERROR(__xludf.DUMMYFUNCTION("""COMPUTED_VALUE"""),"Untuk peremajaan panel kontrol WWTP")</f>
        <v>Untuk peremajaan panel kontrol WWTP</v>
      </c>
      <c r="M349" s="3" t="str">
        <f>IFERROR(__xludf.DUMMYFUNCTION("""COMPUTED_VALUE"""),"Approve")</f>
        <v>Approve</v>
      </c>
      <c r="N349" s="3" t="str">
        <f>IFERROR(__xludf.DUMMYFUNCTION("""COMPUTED_VALUE"""),"Normal")</f>
        <v>Normal</v>
      </c>
      <c r="O349" s="3" t="str">
        <f>IFERROR(__xludf.DUMMYFUNCTION("""COMPUTED_VALUE"""),"Non Urgent")</f>
        <v>Non Urgent</v>
      </c>
    </row>
    <row r="350">
      <c r="A350" s="4">
        <f>IFERROR(__xludf.DUMMYFUNCTION("""COMPUTED_VALUE"""),45891.58188841435)</f>
        <v>45891.58189</v>
      </c>
      <c r="B350" s="3" t="str">
        <f>IFERROR(__xludf.DUMMYFUNCTION("""COMPUTED_VALUE"""),"RIABR0076")</f>
        <v>RIABR0076</v>
      </c>
      <c r="C350" s="3" t="str">
        <f>IFERROR(__xludf.DUMMYFUNCTION("""COMPUTED_VALUE"""),"EJO")</f>
        <v>EJO</v>
      </c>
      <c r="D350" s="3" t="str">
        <f>IFERROR(__xludf.DUMMYFUNCTION("""COMPUTED_VALUE"""),"EJO/2025/08/56")</f>
        <v>EJO/2025/08/56</v>
      </c>
      <c r="E350" s="3" t="str">
        <f>IFERROR(__xludf.DUMMYFUNCTION("""COMPUTED_VALUE"""),"WWTP")</f>
        <v>WWTP</v>
      </c>
      <c r="F350" s="3" t="str">
        <f>IFERROR(__xludf.DUMMYFUNCTION("""COMPUTED_VALUE"""),"Skun Kabel O 2.5mm Merah")</f>
        <v>Skun Kabel O 2.5mm Merah</v>
      </c>
      <c r="G350" s="3" t="str">
        <f>IFERROR(__xludf.DUMMYFUNCTION("""COMPUTED_VALUE"""),"Skun Kabel O 2.5mm Merah")</f>
        <v>Skun Kabel O 2.5mm Merah</v>
      </c>
      <c r="H350" s="3" t="str">
        <f>IFERROR(__xludf.DUMMYFUNCTION("""COMPUTED_VALUE"""),"Ewig")</f>
        <v>Ewig</v>
      </c>
      <c r="I350" s="3">
        <f>IFERROR(__xludf.DUMMYFUNCTION("""COMPUTED_VALUE"""),1.0)</f>
        <v>1</v>
      </c>
      <c r="J350" s="3" t="str">
        <f>IFERROR(__xludf.DUMMYFUNCTION("""COMPUTED_VALUE"""),"Pack")</f>
        <v>Pack</v>
      </c>
      <c r="K350" s="5" t="str">
        <f>IFERROR(__xludf.DUMMYFUNCTION("""COMPUTED_VALUE"""),"https://www.tokopedia.com/jagoanelektrik/skun-kabel-o-ring-2-4-5-skun-kabel-2-5-mm-good-quality?extParam=ivf%3Dfalse%26keyword%3Dskun+o+2.5%26search_id%3D2025071309440726E359E83860DB252N2D%26src%3Dsearch&amp;t_id=1752399739361&amp;t_st=3&amp;t_pp=search_result&amp;t_efo="&amp;"search_pure_goods_card&amp;t_ef=goods_search&amp;t_sm=&amp;t_spt=search_result")</f>
        <v>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v>
      </c>
      <c r="L350" s="3" t="str">
        <f>IFERROR(__xludf.DUMMYFUNCTION("""COMPUTED_VALUE"""),"Untuk peremajaan panel kontrol WWTP")</f>
        <v>Untuk peremajaan panel kontrol WWTP</v>
      </c>
      <c r="M350" s="3" t="str">
        <f>IFERROR(__xludf.DUMMYFUNCTION("""COMPUTED_VALUE"""),"Approve")</f>
        <v>Approve</v>
      </c>
      <c r="N350" s="3" t="str">
        <f>IFERROR(__xludf.DUMMYFUNCTION("""COMPUTED_VALUE"""),"Normal")</f>
        <v>Normal</v>
      </c>
      <c r="O350" s="3" t="str">
        <f>IFERROR(__xludf.DUMMYFUNCTION("""COMPUTED_VALUE"""),"Non Urgent")</f>
        <v>Non Urgent</v>
      </c>
    </row>
    <row r="351">
      <c r="A351" s="4">
        <f>IFERROR(__xludf.DUMMYFUNCTION("""COMPUTED_VALUE"""),45891.58188841435)</f>
        <v>45891.58189</v>
      </c>
      <c r="B351" s="3" t="str">
        <f>IFERROR(__xludf.DUMMYFUNCTION("""COMPUTED_VALUE"""),"RIABR0077")</f>
        <v>RIABR0077</v>
      </c>
      <c r="C351" s="3" t="str">
        <f>IFERROR(__xludf.DUMMYFUNCTION("""COMPUTED_VALUE"""),"EJO")</f>
        <v>EJO</v>
      </c>
      <c r="D351" s="3" t="str">
        <f>IFERROR(__xludf.DUMMYFUNCTION("""COMPUTED_VALUE"""),"EJO/2025/08/56")</f>
        <v>EJO/2025/08/56</v>
      </c>
      <c r="E351" s="3" t="str">
        <f>IFERROR(__xludf.DUMMYFUNCTION("""COMPUTED_VALUE"""),"WWTP")</f>
        <v>WWTP</v>
      </c>
      <c r="F351" s="3" t="str">
        <f>IFERROR(__xludf.DUMMYFUNCTION("""COMPUTED_VALUE"""),"Skun Kabel O 2.5mm Kuning")</f>
        <v>Skun Kabel O 2.5mm Kuning</v>
      </c>
      <c r="G351" s="3" t="str">
        <f>IFERROR(__xludf.DUMMYFUNCTION("""COMPUTED_VALUE"""),"Skun Kabel O 2.5mm Kuning")</f>
        <v>Skun Kabel O 2.5mm Kuning</v>
      </c>
      <c r="H351" s="3" t="str">
        <f>IFERROR(__xludf.DUMMYFUNCTION("""COMPUTED_VALUE"""),"Ewig")</f>
        <v>Ewig</v>
      </c>
      <c r="I351" s="3">
        <f>IFERROR(__xludf.DUMMYFUNCTION("""COMPUTED_VALUE"""),1.0)</f>
        <v>1</v>
      </c>
      <c r="J351" s="3" t="str">
        <f>IFERROR(__xludf.DUMMYFUNCTION("""COMPUTED_VALUE"""),"Pack")</f>
        <v>Pack</v>
      </c>
      <c r="K351" s="5" t="str">
        <f>IFERROR(__xludf.DUMMYFUNCTION("""COMPUTED_VALUE"""),"https://www.tokopedia.com/jagoanelektrik/skun-kabel-o-ring-2-4-5-skun-kabel-2-5-mm-good-quality?extParam=ivf%3Dfalse%26keyword%3Dskun+o+2.5%26search_id%3D2025071309440726E359E83860DB252N2D%26src%3Dsearch&amp;t_id=1752399739361&amp;t_st=3&amp;t_pp=search_result&amp;t_efo="&amp;"search_pure_goods_card&amp;t_ef=goods_search&amp;t_sm=&amp;t_spt=search_result")</f>
        <v>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v>
      </c>
      <c r="L351" s="3" t="str">
        <f>IFERROR(__xludf.DUMMYFUNCTION("""COMPUTED_VALUE"""),"Untuk peremajaan panel kontrol WWTP")</f>
        <v>Untuk peremajaan panel kontrol WWTP</v>
      </c>
      <c r="M351" s="3" t="str">
        <f>IFERROR(__xludf.DUMMYFUNCTION("""COMPUTED_VALUE"""),"Approve")</f>
        <v>Approve</v>
      </c>
      <c r="N351" s="3" t="str">
        <f>IFERROR(__xludf.DUMMYFUNCTION("""COMPUTED_VALUE"""),"Normal")</f>
        <v>Normal</v>
      </c>
      <c r="O351" s="3" t="str">
        <f>IFERROR(__xludf.DUMMYFUNCTION("""COMPUTED_VALUE"""),"Non Urgent")</f>
        <v>Non Urgent</v>
      </c>
    </row>
    <row r="352">
      <c r="A352" s="4">
        <f>IFERROR(__xludf.DUMMYFUNCTION("""COMPUTED_VALUE"""),45891.58188841435)</f>
        <v>45891.58189</v>
      </c>
      <c r="B352" s="3" t="str">
        <f>IFERROR(__xludf.DUMMYFUNCTION("""COMPUTED_VALUE"""),"RIABR0078")</f>
        <v>RIABR0078</v>
      </c>
      <c r="C352" s="3" t="str">
        <f>IFERROR(__xludf.DUMMYFUNCTION("""COMPUTED_VALUE"""),"EJO")</f>
        <v>EJO</v>
      </c>
      <c r="D352" s="3" t="str">
        <f>IFERROR(__xludf.DUMMYFUNCTION("""COMPUTED_VALUE"""),"EJO/2025/08/56")</f>
        <v>EJO/2025/08/56</v>
      </c>
      <c r="E352" s="3" t="str">
        <f>IFERROR(__xludf.DUMMYFUNCTION("""COMPUTED_VALUE"""),"WWTP")</f>
        <v>WWTP</v>
      </c>
      <c r="F352" s="3" t="str">
        <f>IFERROR(__xludf.DUMMYFUNCTION("""COMPUTED_VALUE"""),"Skun Kabel O 2.5mm Hijau")</f>
        <v>Skun Kabel O 2.5mm Hijau</v>
      </c>
      <c r="G352" s="3" t="str">
        <f>IFERROR(__xludf.DUMMYFUNCTION("""COMPUTED_VALUE"""),"Skun Kabel O 2.5mm Hijau")</f>
        <v>Skun Kabel O 2.5mm Hijau</v>
      </c>
      <c r="H352" s="3" t="str">
        <f>IFERROR(__xludf.DUMMYFUNCTION("""COMPUTED_VALUE"""),"Ewig")</f>
        <v>Ewig</v>
      </c>
      <c r="I352" s="3">
        <f>IFERROR(__xludf.DUMMYFUNCTION("""COMPUTED_VALUE"""),1.0)</f>
        <v>1</v>
      </c>
      <c r="J352" s="3" t="str">
        <f>IFERROR(__xludf.DUMMYFUNCTION("""COMPUTED_VALUE"""),"Pack")</f>
        <v>Pack</v>
      </c>
      <c r="K352" s="5" t="str">
        <f>IFERROR(__xludf.DUMMYFUNCTION("""COMPUTED_VALUE"""),"https://www.tokopedia.com/jagoanelektrik/skun-kabel-o-ring-2-4-5-skun-kabel-2-5-mm-good-quality?extParam=ivf%3Dfalse%26keyword%3Dskun+o+2.5%26search_id%3D2025071309440726E359E83860DB252N2D%26src%3Dsearch&amp;t_id=1752399739361&amp;t_st=3&amp;t_pp=search_result&amp;t_efo="&amp;"search_pure_goods_card&amp;t_ef=goods_search&amp;t_sm=&amp;t_spt=search_result")</f>
        <v>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v>
      </c>
      <c r="L352" s="3" t="str">
        <f>IFERROR(__xludf.DUMMYFUNCTION("""COMPUTED_VALUE"""),"Untuk peremajaan panel kontrol WWTP")</f>
        <v>Untuk peremajaan panel kontrol WWTP</v>
      </c>
      <c r="M352" s="3" t="str">
        <f>IFERROR(__xludf.DUMMYFUNCTION("""COMPUTED_VALUE"""),"Approve")</f>
        <v>Approve</v>
      </c>
      <c r="N352" s="3" t="str">
        <f>IFERROR(__xludf.DUMMYFUNCTION("""COMPUTED_VALUE"""),"Normal")</f>
        <v>Normal</v>
      </c>
      <c r="O352" s="3" t="str">
        <f>IFERROR(__xludf.DUMMYFUNCTION("""COMPUTED_VALUE"""),"Non Urgent")</f>
        <v>Non Urgent</v>
      </c>
    </row>
    <row r="353">
      <c r="A353" s="4">
        <f>IFERROR(__xludf.DUMMYFUNCTION("""COMPUTED_VALUE"""),45891.58188841435)</f>
        <v>45891.58189</v>
      </c>
      <c r="B353" s="3" t="str">
        <f>IFERROR(__xludf.DUMMYFUNCTION("""COMPUTED_VALUE"""),"RIABR0079")</f>
        <v>RIABR0079</v>
      </c>
      <c r="C353" s="3" t="str">
        <f>IFERROR(__xludf.DUMMYFUNCTION("""COMPUTED_VALUE"""),"EJO")</f>
        <v>EJO</v>
      </c>
      <c r="D353" s="3" t="str">
        <f>IFERROR(__xludf.DUMMYFUNCTION("""COMPUTED_VALUE"""),"EJO/2025/08/56")</f>
        <v>EJO/2025/08/56</v>
      </c>
      <c r="E353" s="3" t="str">
        <f>IFERROR(__xludf.DUMMYFUNCTION("""COMPUTED_VALUE"""),"WWTP")</f>
        <v>WWTP</v>
      </c>
      <c r="F353" s="3" t="str">
        <f>IFERROR(__xludf.DUMMYFUNCTION("""COMPUTED_VALUE"""),"Tagging Kabel")</f>
        <v>Tagging Kabel</v>
      </c>
      <c r="G353" s="3" t="str">
        <f>IFERROR(__xludf.DUMMYFUNCTION("""COMPUTED_VALUE"""),"Tagging Kabel")</f>
        <v>Tagging Kabel</v>
      </c>
      <c r="H353" s="3" t="str">
        <f>IFERROR(__xludf.DUMMYFUNCTION("""COMPUTED_VALUE"""),"Lokal")</f>
        <v>Lokal</v>
      </c>
      <c r="I353" s="3">
        <f>IFERROR(__xludf.DUMMYFUNCTION("""COMPUTED_VALUE"""),500.0)</f>
        <v>500</v>
      </c>
      <c r="J353" s="3" t="str">
        <f>IFERROR(__xludf.DUMMYFUNCTION("""COMPUTED_VALUE"""),"Pcs")</f>
        <v>Pcs</v>
      </c>
      <c r="K353" s="5" t="str">
        <f>IFERROR(__xludf.DUMMYFUNCTION("""COMPUTED_VALUE"""),"https://www.tokopedia.com/visitek/cable-label-name-tag-identification-id-labeler-penamaan-kabel-wire-tipe-a-3010?extParam=ivf%3Dfalse%26keyword%3Dtagging+kabel%26search_id%3D20250711205253577BCC914F9E55120LKR%26src%3Dsearch&amp;t_id=1752266597747&amp;t_st=6&amp;t_pp="&amp;"search_result&amp;t_efo=search_pure_goods_card&amp;t_ef=goods_search&amp;t_sm=&amp;t_spt=search_result")</f>
        <v>https://www.tokopedia.com/visitek/cable-label-name-tag-identification-id-labeler-penamaan-kabel-wire-tipe-a-3010?extParam=ivf%3Dfalse%26keyword%3Dtagging+kabel%26search_id%3D20250711205253577BCC914F9E55120LKR%26src%3Dsearch&amp;t_id=1752266597747&amp;t_st=6&amp;t_pp=search_result&amp;t_efo=search_pure_goods_card&amp;t_ef=goods_search&amp;t_sm=&amp;t_spt=search_result</v>
      </c>
      <c r="L353" s="3" t="str">
        <f>IFERROR(__xludf.DUMMYFUNCTION("""COMPUTED_VALUE"""),"Untuk peremajaan panel kontrol WWTP")</f>
        <v>Untuk peremajaan panel kontrol WWTP</v>
      </c>
      <c r="M353" s="3" t="str">
        <f>IFERROR(__xludf.DUMMYFUNCTION("""COMPUTED_VALUE"""),"Approve")</f>
        <v>Approve</v>
      </c>
      <c r="N353" s="3" t="str">
        <f>IFERROR(__xludf.DUMMYFUNCTION("""COMPUTED_VALUE"""),"Normal")</f>
        <v>Normal</v>
      </c>
      <c r="O353" s="3" t="str">
        <f>IFERROR(__xludf.DUMMYFUNCTION("""COMPUTED_VALUE"""),"Non Urgent")</f>
        <v>Non Urgent</v>
      </c>
    </row>
    <row r="354">
      <c r="A354" s="4">
        <f>IFERROR(__xludf.DUMMYFUNCTION("""COMPUTED_VALUE"""),45891.58188841435)</f>
        <v>45891.58189</v>
      </c>
      <c r="B354" s="3" t="str">
        <f>IFERROR(__xludf.DUMMYFUNCTION("""COMPUTED_VALUE"""),"RIABR0080")</f>
        <v>RIABR0080</v>
      </c>
      <c r="C354" s="3" t="str">
        <f>IFERROR(__xludf.DUMMYFUNCTION("""COMPUTED_VALUE"""),"EJO")</f>
        <v>EJO</v>
      </c>
      <c r="D354" s="3" t="str">
        <f>IFERROR(__xludf.DUMMYFUNCTION("""COMPUTED_VALUE"""),"EJO/2025/08/56")</f>
        <v>EJO/2025/08/56</v>
      </c>
      <c r="E354" s="3" t="str">
        <f>IFERROR(__xludf.DUMMYFUNCTION("""COMPUTED_VALUE"""),"WWTP")</f>
        <v>WWTP</v>
      </c>
      <c r="F354" s="3" t="str">
        <f>IFERROR(__xludf.DUMMYFUNCTION("""COMPUTED_VALUE"""),"Pilot Lamp AD22-22DS 220VAC Hijau")</f>
        <v>Pilot Lamp AD22-22DS 220VAC Hijau</v>
      </c>
      <c r="G354" s="3" t="str">
        <f>IFERROR(__xludf.DUMMYFUNCTION("""COMPUTED_VALUE"""),"Pilot Lamp AD22-22DS 220VAC Hijau")</f>
        <v>Pilot Lamp AD22-22DS 220VAC Hijau</v>
      </c>
      <c r="H354" s="3" t="str">
        <f>IFERROR(__xludf.DUMMYFUNCTION("""COMPUTED_VALUE"""),"Fort")</f>
        <v>Fort</v>
      </c>
      <c r="I354" s="3">
        <f>IFERROR(__xludf.DUMMYFUNCTION("""COMPUTED_VALUE"""),10.0)</f>
        <v>10</v>
      </c>
      <c r="J354" s="3" t="str">
        <f>IFERROR(__xludf.DUMMYFUNCTION("""COMPUTED_VALUE"""),"Pcs")</f>
        <v>Pcs</v>
      </c>
      <c r="K354" s="5" t="str">
        <f>IFERROR(__xludf.DUMMYFUNCTION("""COMPUTED_VALUE"""),"https://www.tokopedia.com/electrical7/pilot-lamp-led-22m-merah-kuning-hijau-ad22-22ds-220v-fort-merah?extParam=ivf%3Dfalse%26keyword%3Dpilot+lamp+fort+220%26search_id%3D202507130948525737C6EC2E07162C2F2R%26src%3Dsearch&amp;t_id=1752399739361&amp;t_st=5&amp;t_pp=searc"&amp;"h_result&amp;t_efo=search_pure_goods_card&amp;t_ef=goods_search&amp;t_sm=&amp;t_spt=search_result")</f>
        <v>https://www.tokopedia.com/electrical7/pilot-lamp-led-22m-merah-kuning-hijau-ad22-22ds-220v-fort-merah?extParam=ivf%3Dfalse%26keyword%3Dpilot+lamp+fort+220%26search_id%3D202507130948525737C6EC2E07162C2F2R%26src%3Dsearch&amp;t_id=1752399739361&amp;t_st=5&amp;t_pp=search_result&amp;t_efo=search_pure_goods_card&amp;t_ef=goods_search&amp;t_sm=&amp;t_spt=search_result</v>
      </c>
      <c r="L354" s="3" t="str">
        <f>IFERROR(__xludf.DUMMYFUNCTION("""COMPUTED_VALUE"""),"Untuk peremajaan panel kontrol WWTP")</f>
        <v>Untuk peremajaan panel kontrol WWTP</v>
      </c>
      <c r="M354" s="3" t="str">
        <f>IFERROR(__xludf.DUMMYFUNCTION("""COMPUTED_VALUE"""),"Approve")</f>
        <v>Approve</v>
      </c>
      <c r="N354" s="3" t="str">
        <f>IFERROR(__xludf.DUMMYFUNCTION("""COMPUTED_VALUE"""),"Normal")</f>
        <v>Normal</v>
      </c>
      <c r="O354" s="3" t="str">
        <f>IFERROR(__xludf.DUMMYFUNCTION("""COMPUTED_VALUE"""),"Non Urgent")</f>
        <v>Non Urgent</v>
      </c>
    </row>
    <row r="355">
      <c r="A355" s="4">
        <f>IFERROR(__xludf.DUMMYFUNCTION("""COMPUTED_VALUE"""),45891.58188841435)</f>
        <v>45891.58189</v>
      </c>
      <c r="B355" s="3" t="str">
        <f>IFERROR(__xludf.DUMMYFUNCTION("""COMPUTED_VALUE"""),"RIABR0081")</f>
        <v>RIABR0081</v>
      </c>
      <c r="C355" s="3" t="str">
        <f>IFERROR(__xludf.DUMMYFUNCTION("""COMPUTED_VALUE"""),"EJO")</f>
        <v>EJO</v>
      </c>
      <c r="D355" s="3" t="str">
        <f>IFERROR(__xludf.DUMMYFUNCTION("""COMPUTED_VALUE"""),"EJO/2025/08/56")</f>
        <v>EJO/2025/08/56</v>
      </c>
      <c r="E355" s="3" t="str">
        <f>IFERROR(__xludf.DUMMYFUNCTION("""COMPUTED_VALUE"""),"WWTP")</f>
        <v>WWTP</v>
      </c>
      <c r="F355" s="3" t="str">
        <f>IFERROR(__xludf.DUMMYFUNCTION("""COMPUTED_VALUE"""),"Pilot Lamp AD22-22DS 220VAC Kuning")</f>
        <v>Pilot Lamp AD22-22DS 220VAC Kuning</v>
      </c>
      <c r="G355" s="3" t="str">
        <f>IFERROR(__xludf.DUMMYFUNCTION("""COMPUTED_VALUE"""),"Pilot Lamp AD22-22DS 220VAC Kuning")</f>
        <v>Pilot Lamp AD22-22DS 220VAC Kuning</v>
      </c>
      <c r="H355" s="3" t="str">
        <f>IFERROR(__xludf.DUMMYFUNCTION("""COMPUTED_VALUE"""),"Fort")</f>
        <v>Fort</v>
      </c>
      <c r="I355" s="3">
        <f>IFERROR(__xludf.DUMMYFUNCTION("""COMPUTED_VALUE"""),1.0)</f>
        <v>1</v>
      </c>
      <c r="J355" s="3" t="str">
        <f>IFERROR(__xludf.DUMMYFUNCTION("""COMPUTED_VALUE"""),"Pcs")</f>
        <v>Pcs</v>
      </c>
      <c r="K355" s="5" t="str">
        <f>IFERROR(__xludf.DUMMYFUNCTION("""COMPUTED_VALUE"""),"https://www.tokopedia.com/electrical7/pilot-lamp-led-22m-merah-kuning-hijau-ad22-22ds-220v-fort-merah?extParam=ivf%3Dfalse%26keyword%3Dpilot+lamp+fort+220%26search_id%3D202507130948525737C6EC2E07162C2F2R%26src%3Dsearch&amp;t_id=1752399739361&amp;t_st=5&amp;t_pp=searc"&amp;"h_result&amp;t_efo=search_pure_goods_card&amp;t_ef=goods_search&amp;t_sm=&amp;t_spt=search_result")</f>
        <v>https://www.tokopedia.com/electrical7/pilot-lamp-led-22m-merah-kuning-hijau-ad22-22ds-220v-fort-merah?extParam=ivf%3Dfalse%26keyword%3Dpilot+lamp+fort+220%26search_id%3D202507130948525737C6EC2E07162C2F2R%26src%3Dsearch&amp;t_id=1752399739361&amp;t_st=5&amp;t_pp=search_result&amp;t_efo=search_pure_goods_card&amp;t_ef=goods_search&amp;t_sm=&amp;t_spt=search_result</v>
      </c>
      <c r="L355" s="3" t="str">
        <f>IFERROR(__xludf.DUMMYFUNCTION("""COMPUTED_VALUE"""),"Untuk peremajaan panel kontrol WWTP")</f>
        <v>Untuk peremajaan panel kontrol WWTP</v>
      </c>
      <c r="M355" s="3" t="str">
        <f>IFERROR(__xludf.DUMMYFUNCTION("""COMPUTED_VALUE"""),"Approve")</f>
        <v>Approve</v>
      </c>
      <c r="N355" s="3" t="str">
        <f>IFERROR(__xludf.DUMMYFUNCTION("""COMPUTED_VALUE"""),"Normal")</f>
        <v>Normal</v>
      </c>
      <c r="O355" s="3" t="str">
        <f>IFERROR(__xludf.DUMMYFUNCTION("""COMPUTED_VALUE"""),"Non Urgent")</f>
        <v>Non Urgent</v>
      </c>
    </row>
    <row r="356">
      <c r="A356" s="4">
        <f>IFERROR(__xludf.DUMMYFUNCTION("""COMPUTED_VALUE"""),45891.58188841435)</f>
        <v>45891.58189</v>
      </c>
      <c r="B356" s="3" t="str">
        <f>IFERROR(__xludf.DUMMYFUNCTION("""COMPUTED_VALUE"""),"RIABR0082")</f>
        <v>RIABR0082</v>
      </c>
      <c r="C356" s="3" t="str">
        <f>IFERROR(__xludf.DUMMYFUNCTION("""COMPUTED_VALUE"""),"EJO")</f>
        <v>EJO</v>
      </c>
      <c r="D356" s="3" t="str">
        <f>IFERROR(__xludf.DUMMYFUNCTION("""COMPUTED_VALUE"""),"EJO/2025/08/56")</f>
        <v>EJO/2025/08/56</v>
      </c>
      <c r="E356" s="3" t="str">
        <f>IFERROR(__xludf.DUMMYFUNCTION("""COMPUTED_VALUE"""),"WWTP")</f>
        <v>WWTP</v>
      </c>
      <c r="F356" s="3" t="str">
        <f>IFERROR(__xludf.DUMMYFUNCTION("""COMPUTED_VALUE"""),"Pilot Lamp AD22-22DS 220VAC Merah")</f>
        <v>Pilot Lamp AD22-22DS 220VAC Merah</v>
      </c>
      <c r="G356" s="3" t="str">
        <f>IFERROR(__xludf.DUMMYFUNCTION("""COMPUTED_VALUE"""),"Pilot Lamp AD22-22DS 220VAC Merah")</f>
        <v>Pilot Lamp AD22-22DS 220VAC Merah</v>
      </c>
      <c r="H356" s="3" t="str">
        <f>IFERROR(__xludf.DUMMYFUNCTION("""COMPUTED_VALUE"""),"Fort")</f>
        <v>Fort</v>
      </c>
      <c r="I356" s="3">
        <f>IFERROR(__xludf.DUMMYFUNCTION("""COMPUTED_VALUE"""),1.0)</f>
        <v>1</v>
      </c>
      <c r="J356" s="3" t="str">
        <f>IFERROR(__xludf.DUMMYFUNCTION("""COMPUTED_VALUE"""),"Pcs")</f>
        <v>Pcs</v>
      </c>
      <c r="K356" s="5" t="str">
        <f>IFERROR(__xludf.DUMMYFUNCTION("""COMPUTED_VALUE"""),"https://www.tokopedia.com/electrical7/pilot-lamp-led-22m-merah-kuning-hijau-ad22-22ds-220v-fort-merah?extParam=ivf%3Dfalse%26keyword%3Dpilot+lamp+fort+220%26search_id%3D202507130948525737C6EC2E07162C2F2R%26src%3Dsearch&amp;t_id=1752399739361&amp;t_st=5&amp;t_pp=searc"&amp;"h_result&amp;t_efo=search_pure_goods_card&amp;t_ef=goods_search&amp;t_sm=&amp;t_spt=search_result")</f>
        <v>https://www.tokopedia.com/electrical7/pilot-lamp-led-22m-merah-kuning-hijau-ad22-22ds-220v-fort-merah?extParam=ivf%3Dfalse%26keyword%3Dpilot+lamp+fort+220%26search_id%3D202507130948525737C6EC2E07162C2F2R%26src%3Dsearch&amp;t_id=1752399739361&amp;t_st=5&amp;t_pp=search_result&amp;t_efo=search_pure_goods_card&amp;t_ef=goods_search&amp;t_sm=&amp;t_spt=search_result</v>
      </c>
      <c r="L356" s="3" t="str">
        <f>IFERROR(__xludf.DUMMYFUNCTION("""COMPUTED_VALUE"""),"Untuk peremajaan panel kontrol WWTP (REJECT BY MFH KARENA SUDAH BANYAK PR PILOT LAMP MERAH)")</f>
        <v>Untuk peremajaan panel kontrol WWTP (REJECT BY MFH KARENA SUDAH BANYAK PR PILOT LAMP MERAH)</v>
      </c>
      <c r="M356" s="3" t="str">
        <f>IFERROR(__xludf.DUMMYFUNCTION("""COMPUTED_VALUE"""),"Reject")</f>
        <v>Reject</v>
      </c>
      <c r="N356" s="3" t="str">
        <f>IFERROR(__xludf.DUMMYFUNCTION("""COMPUTED_VALUE"""),"Normal")</f>
        <v>Normal</v>
      </c>
      <c r="O356" s="3" t="str">
        <f>IFERROR(__xludf.DUMMYFUNCTION("""COMPUTED_VALUE"""),"Non Urgent")</f>
        <v>Non Urgent</v>
      </c>
    </row>
    <row r="357">
      <c r="A357" s="4">
        <f>IFERROR(__xludf.DUMMYFUNCTION("""COMPUTED_VALUE"""),45891.58188841435)</f>
        <v>45891.58189</v>
      </c>
      <c r="B357" s="3" t="str">
        <f>IFERROR(__xludf.DUMMYFUNCTION("""COMPUTED_VALUE"""),"RIABR0083")</f>
        <v>RIABR0083</v>
      </c>
      <c r="C357" s="3" t="str">
        <f>IFERROR(__xludf.DUMMYFUNCTION("""COMPUTED_VALUE"""),"EJO")</f>
        <v>EJO</v>
      </c>
      <c r="D357" s="3" t="str">
        <f>IFERROR(__xludf.DUMMYFUNCTION("""COMPUTED_VALUE"""),"EJO/2025/08/56")</f>
        <v>EJO/2025/08/56</v>
      </c>
      <c r="E357" s="3" t="str">
        <f>IFERROR(__xludf.DUMMYFUNCTION("""COMPUTED_VALUE"""),"WWTP")</f>
        <v>WWTP</v>
      </c>
      <c r="F357" s="3" t="str">
        <f>IFERROR(__xludf.DUMMYFUNCTION("""COMPUTED_VALUE"""),"Selector Switch 3 Posisi YW1S-3E20")</f>
        <v>Selector Switch 3 Posisi YW1S-3E20</v>
      </c>
      <c r="G357" s="3" t="str">
        <f>IFERROR(__xludf.DUMMYFUNCTION("""COMPUTED_VALUE"""),"Selector Switch 3 Posisi YW1S-3E20")</f>
        <v>Selector Switch 3 Posisi YW1S-3E20</v>
      </c>
      <c r="H357" s="3" t="str">
        <f>IFERROR(__xludf.DUMMYFUNCTION("""COMPUTED_VALUE"""),"Idec")</f>
        <v>Idec</v>
      </c>
      <c r="I357" s="3">
        <f>IFERROR(__xludf.DUMMYFUNCTION("""COMPUTED_VALUE"""),9.0)</f>
        <v>9</v>
      </c>
      <c r="J357" s="3" t="str">
        <f>IFERROR(__xludf.DUMMYFUNCTION("""COMPUTED_VALUE"""),"Pcs")</f>
        <v>Pcs</v>
      </c>
      <c r="K357" s="5" t="str">
        <f>IFERROR(__xludf.DUMMYFUNCTION("""COMPUTED_VALUE"""),"https://www.tokopedia.com/kedaielect/idec-selector-switch-3posisi-22mm-yw1s-3e20?extParam=ivf%3Dfalse%26keyword%3Dselector+switch+3+posisi+22+mm+idec%26search_id%3D2025071309512563923F49E524130BE7D6%26src%3Dsearch&amp;t_id=1752399739361&amp;t_st=7&amp;t_pp=search_res"&amp;"ult&amp;t_efo=search_pure_goods_card&amp;t_ef=goods_search&amp;t_sm=&amp;t_spt=search_result")</f>
        <v>https://www.tokopedia.com/kedaielect/idec-selector-switch-3posisi-22mm-yw1s-3e20?extParam=ivf%3Dfalse%26keyword%3Dselector+switch+3+posisi+22+mm+idec%26search_id%3D2025071309512563923F49E524130BE7D6%26src%3Dsearch&amp;t_id=1752399739361&amp;t_st=7&amp;t_pp=search_result&amp;t_efo=search_pure_goods_card&amp;t_ef=goods_search&amp;t_sm=&amp;t_spt=search_result</v>
      </c>
      <c r="L357" s="3" t="str">
        <f>IFERROR(__xludf.DUMMYFUNCTION("""COMPUTED_VALUE"""),"Untuk peremajaan panel kontrol WWTP")</f>
        <v>Untuk peremajaan panel kontrol WWTP</v>
      </c>
      <c r="M357" s="3" t="str">
        <f>IFERROR(__xludf.DUMMYFUNCTION("""COMPUTED_VALUE"""),"Approve")</f>
        <v>Approve</v>
      </c>
      <c r="N357" s="3" t="str">
        <f>IFERROR(__xludf.DUMMYFUNCTION("""COMPUTED_VALUE"""),"Normal")</f>
        <v>Normal</v>
      </c>
      <c r="O357" s="3" t="str">
        <f>IFERROR(__xludf.DUMMYFUNCTION("""COMPUTED_VALUE"""),"Non Urgent")</f>
        <v>Non Urgent</v>
      </c>
    </row>
    <row r="358">
      <c r="A358" s="4">
        <f>IFERROR(__xludf.DUMMYFUNCTION("""COMPUTED_VALUE"""),45891.58188841435)</f>
        <v>45891.58189</v>
      </c>
      <c r="B358" s="3" t="str">
        <f>IFERROR(__xludf.DUMMYFUNCTION("""COMPUTED_VALUE"""),"RIABR0084")</f>
        <v>RIABR0084</v>
      </c>
      <c r="C358" s="3" t="str">
        <f>IFERROR(__xludf.DUMMYFUNCTION("""COMPUTED_VALUE"""),"EJO")</f>
        <v>EJO</v>
      </c>
      <c r="D358" s="3" t="str">
        <f>IFERROR(__xludf.DUMMYFUNCTION("""COMPUTED_VALUE"""),"EJO/2025/08/56")</f>
        <v>EJO/2025/08/56</v>
      </c>
      <c r="E358" s="3" t="str">
        <f>IFERROR(__xludf.DUMMYFUNCTION("""COMPUTED_VALUE"""),"WWTP")</f>
        <v>WWTP</v>
      </c>
      <c r="F358" s="3" t="str">
        <f>IFERROR(__xludf.DUMMYFUNCTION("""COMPUTED_VALUE"""),"Kabel 4x2.5 NYYHY")</f>
        <v>Kabel 4x2.5 NYYHY</v>
      </c>
      <c r="G358" s="3" t="str">
        <f>IFERROR(__xludf.DUMMYFUNCTION("""COMPUTED_VALUE"""),"Kabel 4x2.5 NYYHY")</f>
        <v>Kabel 4x2.5 NYYHY</v>
      </c>
      <c r="H358" s="3" t="str">
        <f>IFERROR(__xludf.DUMMYFUNCTION("""COMPUTED_VALUE"""),"Jembo")</f>
        <v>Jembo</v>
      </c>
      <c r="I358" s="3">
        <f>IFERROR(__xludf.DUMMYFUNCTION("""COMPUTED_VALUE"""),1.0)</f>
        <v>1</v>
      </c>
      <c r="J358" s="3" t="str">
        <f>IFERROR(__xludf.DUMMYFUNCTION("""COMPUTED_VALUE"""),"Roll")</f>
        <v>Roll</v>
      </c>
      <c r="K358" s="5" t="str">
        <f>IFERROR(__xludf.DUMMYFUNCTION("""COMPUTED_VALUE"""),"https://www.tokopedia.com/siaplaksanakan/kabel-nyyhy-4x2-5-4x2-5mm-jembo-roll-100-meter-serabut?extParam=ivf%3Dfalse%26keyword%3Dkabel+nyyhy+4x2%2C5+jembo+roll+100+meter+listrik+serabut%26search_id%3D20250713095612CAF1A3DFB505FF37AGWG%26src%3Dsearch&amp;t_id="&amp;"1752399739361&amp;t_st=11&amp;t_pp=search_result&amp;t_efo=search_pure_goods_card&amp;t_ef=goods_search&amp;t_sm=&amp;t_spt=search_result")</f>
        <v>https://www.tokopedia.com/siaplaksanakan/kabel-nyyhy-4x2-5-4x2-5mm-jembo-roll-100-meter-serabut?extParam=ivf%3Dfalse%26keyword%3Dkabel+nyyhy+4x2%2C5+jembo+roll+100+meter+listrik+serabut%26search_id%3D20250713095612CAF1A3DFB505FF37AGWG%26src%3Dsearch&amp;t_id=1752399739361&amp;t_st=11&amp;t_pp=search_result&amp;t_efo=search_pure_goods_card&amp;t_ef=goods_search&amp;t_sm=&amp;t_spt=search_result</v>
      </c>
      <c r="L358" s="3" t="str">
        <f>IFERROR(__xludf.DUMMYFUNCTION("""COMPUTED_VALUE"""),"Untuk peremajaan panel kontrol WWTP")</f>
        <v>Untuk peremajaan panel kontrol WWTP</v>
      </c>
      <c r="M358" s="3" t="str">
        <f>IFERROR(__xludf.DUMMYFUNCTION("""COMPUTED_VALUE"""),"Approve")</f>
        <v>Approve</v>
      </c>
      <c r="N358" s="3" t="str">
        <f>IFERROR(__xludf.DUMMYFUNCTION("""COMPUTED_VALUE"""),"Normal")</f>
        <v>Normal</v>
      </c>
      <c r="O358" s="3" t="str">
        <f>IFERROR(__xludf.DUMMYFUNCTION("""COMPUTED_VALUE"""),"Non Urgent")</f>
        <v>Non Urgent</v>
      </c>
    </row>
    <row r="359">
      <c r="A359" s="4">
        <f>IFERROR(__xludf.DUMMYFUNCTION("""COMPUTED_VALUE"""),45891.58188841435)</f>
        <v>45891.58189</v>
      </c>
      <c r="B359" s="3" t="str">
        <f>IFERROR(__xludf.DUMMYFUNCTION("""COMPUTED_VALUE"""),"RIABR0085")</f>
        <v>RIABR0085</v>
      </c>
      <c r="C359" s="3" t="str">
        <f>IFERROR(__xludf.DUMMYFUNCTION("""COMPUTED_VALUE"""),"EJO")</f>
        <v>EJO</v>
      </c>
      <c r="D359" s="3" t="str">
        <f>IFERROR(__xludf.DUMMYFUNCTION("""COMPUTED_VALUE"""),"EJO/2025/08/56")</f>
        <v>EJO/2025/08/56</v>
      </c>
      <c r="E359" s="3" t="str">
        <f>IFERROR(__xludf.DUMMYFUNCTION("""COMPUTED_VALUE"""),"WWTP")</f>
        <v>WWTP</v>
      </c>
      <c r="F359" s="3" t="str">
        <f>IFERROR(__xludf.DUMMYFUNCTION("""COMPUTED_VALUE"""),"Kabel 1x1.5 NYAF Hitam")</f>
        <v>Kabel 1x1.5 NYAF Hitam</v>
      </c>
      <c r="G359" s="3" t="str">
        <f>IFERROR(__xludf.DUMMYFUNCTION("""COMPUTED_VALUE"""),"Kabel 1x1.5 NYAF Hitam")</f>
        <v>Kabel 1x1.5 NYAF Hitam</v>
      </c>
      <c r="H359" s="3" t="str">
        <f>IFERROR(__xludf.DUMMYFUNCTION("""COMPUTED_VALUE"""),"Jembo")</f>
        <v>Jembo</v>
      </c>
      <c r="I359" s="3">
        <f>IFERROR(__xludf.DUMMYFUNCTION("""COMPUTED_VALUE"""),1.0)</f>
        <v>1</v>
      </c>
      <c r="J359" s="3" t="str">
        <f>IFERROR(__xludf.DUMMYFUNCTION("""COMPUTED_VALUE"""),"Roll")</f>
        <v>Roll</v>
      </c>
      <c r="K359" s="5" t="str">
        <f>IFERROR(__xludf.DUMMYFUNCTION("""COMPUTED_VALUE"""),"https://www.tokopedia.com/secius/kabel-nyaf-1-5mm-1-5-mm-jembo-serabut-1x1-5-mm-1-roll-50m-50-meter-1731338884034889424?extParam=ivf%3Dfalse%26keyword%3Dkabel+1+x+1.5+tunggal+nyaf+jembo%26search_id%3D20250717050753D947BF06A885DB075ENN%26src%3Dsearch&amp;t_id="&amp;"1752728510891&amp;t_st=5&amp;t_pp=search_result&amp;t_efo=search_pure_goods_card&amp;t_ef=goods_search&amp;t_sm=&amp;t_spt=search_result")</f>
        <v>https://www.tokopedia.com/secius/kabel-nyaf-1-5mm-1-5-mm-jembo-serabut-1x1-5-mm-1-roll-50m-50-meter-1731338884034889424?extParam=ivf%3Dfalse%26keyword%3Dkabel+1+x+1.5+tunggal+nyaf+jembo%26search_id%3D20250717050753D947BF06A885DB075ENN%26src%3Dsearch&amp;t_id=1752728510891&amp;t_st=5&amp;t_pp=search_result&amp;t_efo=search_pure_goods_card&amp;t_ef=goods_search&amp;t_sm=&amp;t_spt=search_result</v>
      </c>
      <c r="L359" s="3" t="str">
        <f>IFERROR(__xludf.DUMMYFUNCTION("""COMPUTED_VALUE"""),"Untuk peremajaan panel kontrol WWTP")</f>
        <v>Untuk peremajaan panel kontrol WWTP</v>
      </c>
      <c r="M359" s="3" t="str">
        <f>IFERROR(__xludf.DUMMYFUNCTION("""COMPUTED_VALUE"""),"Approve")</f>
        <v>Approve</v>
      </c>
      <c r="N359" s="3" t="str">
        <f>IFERROR(__xludf.DUMMYFUNCTION("""COMPUTED_VALUE"""),"Normal")</f>
        <v>Normal</v>
      </c>
      <c r="O359" s="3" t="str">
        <f>IFERROR(__xludf.DUMMYFUNCTION("""COMPUTED_VALUE"""),"Non Urgent")</f>
        <v>Non Urgent</v>
      </c>
    </row>
    <row r="360">
      <c r="A360" s="4">
        <f>IFERROR(__xludf.DUMMYFUNCTION("""COMPUTED_VALUE"""),45891.58188841435)</f>
        <v>45891.58189</v>
      </c>
      <c r="B360" s="3" t="str">
        <f>IFERROR(__xludf.DUMMYFUNCTION("""COMPUTED_VALUE"""),"RIABR0086")</f>
        <v>RIABR0086</v>
      </c>
      <c r="C360" s="3" t="str">
        <f>IFERROR(__xludf.DUMMYFUNCTION("""COMPUTED_VALUE"""),"EJO")</f>
        <v>EJO</v>
      </c>
      <c r="D360" s="3" t="str">
        <f>IFERROR(__xludf.DUMMYFUNCTION("""COMPUTED_VALUE"""),"EJO/2025/08/56")</f>
        <v>EJO/2025/08/56</v>
      </c>
      <c r="E360" s="3" t="str">
        <f>IFERROR(__xludf.DUMMYFUNCTION("""COMPUTED_VALUE"""),"WWTP")</f>
        <v>WWTP</v>
      </c>
      <c r="F360" s="3" t="str">
        <f>IFERROR(__xludf.DUMMYFUNCTION("""COMPUTED_VALUE"""),"Kabel Duct 32 x 32")</f>
        <v>Kabel Duct 32 x 32</v>
      </c>
      <c r="G360" s="3" t="str">
        <f>IFERROR(__xludf.DUMMYFUNCTION("""COMPUTED_VALUE"""),"Kabel Duct 32 x 32")</f>
        <v>Kabel Duct 32 x 32</v>
      </c>
      <c r="H360" s="3" t="str">
        <f>IFERROR(__xludf.DUMMYFUNCTION("""COMPUTED_VALUE"""),"Lokal")</f>
        <v>Lokal</v>
      </c>
      <c r="I360" s="3">
        <f>IFERROR(__xludf.DUMMYFUNCTION("""COMPUTED_VALUE"""),5.0)</f>
        <v>5</v>
      </c>
      <c r="J360" s="3" t="str">
        <f>IFERROR(__xludf.DUMMYFUNCTION("""COMPUTED_VALUE"""),"Btg")</f>
        <v>Btg</v>
      </c>
      <c r="K360" s="5" t="str">
        <f>IFERROR(__xludf.DUMMYFUNCTION("""COMPUTED_VALUE"""),"https://www.tokopedia.com/jayamaselektrik/kabel-duct-wering-duct-kabel-duck-25x25-32x32-25x45-32x45-lubang-abu-25x25-b2da0?extParam=ivf%3Dfalse%26keyword%3Dkabel+duct+35+mm%26search_id%3D20250713095707496E05E1AEA0A92F4C2W%26src%3Dsearch&amp;t_id=1752399739361"&amp;"&amp;t_st=12&amp;t_pp=search_result&amp;t_efo=search_pure_goods_card&amp;t_ef=goods_search&amp;t_sm=&amp;t_spt=search_result")</f>
        <v>https://www.tokopedia.com/jayamaselektrik/kabel-duct-wering-duct-kabel-duck-25x25-32x32-25x45-32x45-lubang-abu-25x25-b2da0?extParam=ivf%3Dfalse%26keyword%3Dkabel+duct+35+mm%26search_id%3D20250713095707496E05E1AEA0A92F4C2W%26src%3Dsearch&amp;t_id=1752399739361&amp;t_st=12&amp;t_pp=search_result&amp;t_efo=search_pure_goods_card&amp;t_ef=goods_search&amp;t_sm=&amp;t_spt=search_result</v>
      </c>
      <c r="L360" s="3" t="str">
        <f>IFERROR(__xludf.DUMMYFUNCTION("""COMPUTED_VALUE"""),"Untuk peremajaan panel kontrol WWTP")</f>
        <v>Untuk peremajaan panel kontrol WWTP</v>
      </c>
      <c r="M360" s="3" t="str">
        <f>IFERROR(__xludf.DUMMYFUNCTION("""COMPUTED_VALUE"""),"Approve")</f>
        <v>Approve</v>
      </c>
      <c r="N360" s="3" t="str">
        <f>IFERROR(__xludf.DUMMYFUNCTION("""COMPUTED_VALUE"""),"Normal")</f>
        <v>Normal</v>
      </c>
      <c r="O360" s="3" t="str">
        <f>IFERROR(__xludf.DUMMYFUNCTION("""COMPUTED_VALUE"""),"Non Urgent")</f>
        <v>Non Urgent</v>
      </c>
    </row>
    <row r="361">
      <c r="A361" s="4">
        <f>IFERROR(__xludf.DUMMYFUNCTION("""COMPUTED_VALUE"""),45891.58188841435)</f>
        <v>45891.58189</v>
      </c>
      <c r="B361" s="3" t="str">
        <f>IFERROR(__xludf.DUMMYFUNCTION("""COMPUTED_VALUE"""),"RIABR0087")</f>
        <v>RIABR0087</v>
      </c>
      <c r="C361" s="3" t="str">
        <f>IFERROR(__xludf.DUMMYFUNCTION("""COMPUTED_VALUE"""),"EJO")</f>
        <v>EJO</v>
      </c>
      <c r="D361" s="3" t="str">
        <f>IFERROR(__xludf.DUMMYFUNCTION("""COMPUTED_VALUE"""),"EJO/2025/08/56")</f>
        <v>EJO/2025/08/56</v>
      </c>
      <c r="E361" s="3" t="str">
        <f>IFERROR(__xludf.DUMMYFUNCTION("""COMPUTED_VALUE"""),"WWTP")</f>
        <v>WWTP</v>
      </c>
      <c r="F361" s="3" t="str">
        <f>IFERROR(__xludf.DUMMYFUNCTION("""COMPUTED_VALUE"""),"Hole Saw 23 mm Stainless Steel")</f>
        <v>Hole Saw 23 mm Stainless Steel</v>
      </c>
      <c r="G361" s="3" t="str">
        <f>IFERROR(__xludf.DUMMYFUNCTION("""COMPUTED_VALUE"""),"Hole Saw 23 mm Stainless Steel")</f>
        <v>Hole Saw 23 mm Stainless Steel</v>
      </c>
      <c r="H361" s="3" t="str">
        <f>IFERROR(__xludf.DUMMYFUNCTION("""COMPUTED_VALUE"""),"Kugel")</f>
        <v>Kugel</v>
      </c>
      <c r="I361" s="3">
        <f>IFERROR(__xludf.DUMMYFUNCTION("""COMPUTED_VALUE"""),2.0)</f>
        <v>2</v>
      </c>
      <c r="J361" s="3" t="str">
        <f>IFERROR(__xludf.DUMMYFUNCTION("""COMPUTED_VALUE"""),"Pcs")</f>
        <v>Pcs</v>
      </c>
      <c r="K361" s="5" t="str">
        <f>IFERROR(__xludf.DUMMYFUNCTION("""COMPUTED_VALUE"""),"https://www.tokopedia.com/altbutikk/kugel-hole-saw-tct-23mm-mata-bor-stainless-23-mm-original?extParam=ivf%3Dfalse%26keyword%3Dhole+saw+23+mm%26search_id%3D2025071309583234ED066DF378EF251BX3%26src%3Dsearch&amp;t_id=1752399739361&amp;t_st=13&amp;t_pp=search_result&amp;t_e"&amp;"fo=search_pure_goods_card&amp;t_ef=goods_search&amp;t_sm=&amp;t_spt=search_result")</f>
        <v>https://www.tokopedia.com/altbutikk/kugel-hole-saw-tct-23mm-mata-bor-stainless-23-mm-original?extParam=ivf%3Dfalse%26keyword%3Dhole+saw+23+mm%26search_id%3D2025071309583234ED066DF378EF251BX3%26src%3Dsearch&amp;t_id=1752399739361&amp;t_st=13&amp;t_pp=search_result&amp;t_efo=search_pure_goods_card&amp;t_ef=goods_search&amp;t_sm=&amp;t_spt=search_result</v>
      </c>
      <c r="L361" s="3" t="str">
        <f>IFERROR(__xludf.DUMMYFUNCTION("""COMPUTED_VALUE"""),"Untuk peremajaan panel kontrol WWTP")</f>
        <v>Untuk peremajaan panel kontrol WWTP</v>
      </c>
      <c r="M361" s="3" t="str">
        <f>IFERROR(__xludf.DUMMYFUNCTION("""COMPUTED_VALUE"""),"Approve")</f>
        <v>Approve</v>
      </c>
      <c r="N361" s="3" t="str">
        <f>IFERROR(__xludf.DUMMYFUNCTION("""COMPUTED_VALUE"""),"Normal")</f>
        <v>Normal</v>
      </c>
      <c r="O361" s="3" t="str">
        <f>IFERROR(__xludf.DUMMYFUNCTION("""COMPUTED_VALUE"""),"Non Urgent")</f>
        <v>Non Urgent</v>
      </c>
    </row>
    <row r="362">
      <c r="A362" s="4">
        <f>IFERROR(__xludf.DUMMYFUNCTION("""COMPUTED_VALUE"""),45891.58188841435)</f>
        <v>45891.58189</v>
      </c>
      <c r="B362" s="3" t="str">
        <f>IFERROR(__xludf.DUMMYFUNCTION("""COMPUTED_VALUE"""),"RIABR0088")</f>
        <v>RIABR0088</v>
      </c>
      <c r="C362" s="3" t="str">
        <f>IFERROR(__xludf.DUMMYFUNCTION("""COMPUTED_VALUE"""),"EJO")</f>
        <v>EJO</v>
      </c>
      <c r="D362" s="3" t="str">
        <f>IFERROR(__xludf.DUMMYFUNCTION("""COMPUTED_VALUE"""),"EJO/2025/08/56")</f>
        <v>EJO/2025/08/56</v>
      </c>
      <c r="E362" s="3" t="str">
        <f>IFERROR(__xludf.DUMMYFUNCTION("""COMPUTED_VALUE"""),"WWTP")</f>
        <v>WWTP</v>
      </c>
      <c r="F362" s="3" t="str">
        <f>IFERROR(__xludf.DUMMYFUNCTION("""COMPUTED_VALUE"""),"Kabel Gland PG25")</f>
        <v>Kabel Gland PG25</v>
      </c>
      <c r="G362" s="3" t="str">
        <f>IFERROR(__xludf.DUMMYFUNCTION("""COMPUTED_VALUE"""),"Kabel Gland PG25")</f>
        <v>Kabel Gland PG25</v>
      </c>
      <c r="H362" s="3" t="str">
        <f>IFERROR(__xludf.DUMMYFUNCTION("""COMPUTED_VALUE"""),"Iterno")</f>
        <v>Iterno</v>
      </c>
      <c r="I362" s="3">
        <f>IFERROR(__xludf.DUMMYFUNCTION("""COMPUTED_VALUE"""),10.0)</f>
        <v>10</v>
      </c>
      <c r="J362" s="3" t="str">
        <f>IFERROR(__xludf.DUMMYFUNCTION("""COMPUTED_VALUE"""),"Pcs")</f>
        <v>Pcs</v>
      </c>
      <c r="K362" s="5" t="str">
        <f>IFERROR(__xludf.DUMMYFUNCTION("""COMPUTED_VALUE"""),"https://www.tokopedia.com/glodok123/gland-cable-kabel-glan-waterproof-pg-25-29-36-42-48-63-hitam-putih-pg25-hitam?extParam=ivf%3Dfalse%26keyword%3Dkabel+gland+23+mm+pg+25%26search_id%3D202507131000445737C6EC2E0716316H32%26src%3Dsearch&amp;t_id=1752399739361&amp;t"&amp;"_st=17&amp;t_pp=search_result&amp;t_efo=search_pure_goods_card&amp;t_ef=goods_search&amp;t_sm=&amp;t_spt=search_result")</f>
        <v>https://www.tokopedia.com/glodok123/gland-cable-kabel-glan-waterproof-pg-25-29-36-42-48-63-hitam-putih-pg25-hitam?extParam=ivf%3Dfalse%26keyword%3Dkabel+gland+23+mm+pg+25%26search_id%3D202507131000445737C6EC2E0716316H32%26src%3Dsearch&amp;t_id=1752399739361&amp;t_st=17&amp;t_pp=search_result&amp;t_efo=search_pure_goods_card&amp;t_ef=goods_search&amp;t_sm=&amp;t_spt=search_result</v>
      </c>
      <c r="L362" s="3" t="str">
        <f>IFERROR(__xludf.DUMMYFUNCTION("""COMPUTED_VALUE"""),"Untuk peremajaan panel kontrol WWTP")</f>
        <v>Untuk peremajaan panel kontrol WWTP</v>
      </c>
      <c r="M362" s="3" t="str">
        <f>IFERROR(__xludf.DUMMYFUNCTION("""COMPUTED_VALUE"""),"Approve")</f>
        <v>Approve</v>
      </c>
      <c r="N362" s="3" t="str">
        <f>IFERROR(__xludf.DUMMYFUNCTION("""COMPUTED_VALUE"""),"Normal")</f>
        <v>Normal</v>
      </c>
      <c r="O362" s="3" t="str">
        <f>IFERROR(__xludf.DUMMYFUNCTION("""COMPUTED_VALUE"""),"Non Urgent")</f>
        <v>Non Urgent</v>
      </c>
    </row>
    <row r="363">
      <c r="A363" s="4">
        <f>IFERROR(__xludf.DUMMYFUNCTION("""COMPUTED_VALUE"""),45891.58188841435)</f>
        <v>45891.58189</v>
      </c>
      <c r="B363" s="3" t="str">
        <f>IFERROR(__xludf.DUMMYFUNCTION("""COMPUTED_VALUE"""),"RIABR0089")</f>
        <v>RIABR0089</v>
      </c>
      <c r="C363" s="3" t="str">
        <f>IFERROR(__xludf.DUMMYFUNCTION("""COMPUTED_VALUE"""),"EJO")</f>
        <v>EJO</v>
      </c>
      <c r="D363" s="3" t="str">
        <f>IFERROR(__xludf.DUMMYFUNCTION("""COMPUTED_VALUE"""),"EJO/2025/08/56")</f>
        <v>EJO/2025/08/56</v>
      </c>
      <c r="E363" s="3" t="str">
        <f>IFERROR(__xludf.DUMMYFUNCTION("""COMPUTED_VALUE"""),"WWTP")</f>
        <v>WWTP</v>
      </c>
      <c r="F363" s="3" t="str">
        <f>IFERROR(__xludf.DUMMYFUNCTION("""COMPUTED_VALUE"""),"Paku Rivet")</f>
        <v>Paku Rivet</v>
      </c>
      <c r="G363" s="3" t="str">
        <f>IFERROR(__xludf.DUMMYFUNCTION("""COMPUTED_VALUE"""),"Paku Rivet")</f>
        <v>Paku Rivet</v>
      </c>
      <c r="H363" s="3" t="str">
        <f>IFERROR(__xludf.DUMMYFUNCTION("""COMPUTED_VALUE"""),"Lokal")</f>
        <v>Lokal</v>
      </c>
      <c r="I363" s="3">
        <f>IFERROR(__xludf.DUMMYFUNCTION("""COMPUTED_VALUE"""),1.0)</f>
        <v>1</v>
      </c>
      <c r="J363" s="3" t="str">
        <f>IFERROR(__xludf.DUMMYFUNCTION("""COMPUTED_VALUE"""),"Pack")</f>
        <v>Pack</v>
      </c>
      <c r="K363" s="5" t="str">
        <f>IFERROR(__xludf.DUMMYFUNCTION("""COMPUTED_VALUE"""),"https://www.tokopedia.com/tebetstore/paku-rivet-5mm-isi-per-bungkus-50-pcs-1730776062793058170?extParam=ivf%3Dfalse%26keyword%3Dpaku+rivet%26search_id%3D20250713100231AD13A2A07CA4B7356ESG%26src%3Dsearch&amp;t_id=1752399739361&amp;t_st=19&amp;t_pp=search_result&amp;t_efo="&amp;"search_pure_goods_card&amp;t_ef=goods_search&amp;t_sm=&amp;t_spt=search_result")</f>
        <v>https://www.tokopedia.com/tebetstore/paku-rivet-5mm-isi-per-bungkus-50-pcs-1730776062793058170?extParam=ivf%3Dfalse%26keyword%3Dpaku+rivet%26search_id%3D20250713100231AD13A2A07CA4B7356ESG%26src%3Dsearch&amp;t_id=1752399739361&amp;t_st=19&amp;t_pp=search_result&amp;t_efo=search_pure_goods_card&amp;t_ef=goods_search&amp;t_sm=&amp;t_spt=search_result</v>
      </c>
      <c r="L363" s="3" t="str">
        <f>IFERROR(__xludf.DUMMYFUNCTION("""COMPUTED_VALUE"""),"Untuk peremajaan panel kontrol WWTP")</f>
        <v>Untuk peremajaan panel kontrol WWTP</v>
      </c>
      <c r="M363" s="3" t="str">
        <f>IFERROR(__xludf.DUMMYFUNCTION("""COMPUTED_VALUE"""),"Approve")</f>
        <v>Approve</v>
      </c>
      <c r="N363" s="3" t="str">
        <f>IFERROR(__xludf.DUMMYFUNCTION("""COMPUTED_VALUE"""),"Normal")</f>
        <v>Normal</v>
      </c>
      <c r="O363" s="3" t="str">
        <f>IFERROR(__xludf.DUMMYFUNCTION("""COMPUTED_VALUE"""),"Non Urgent")</f>
        <v>Non Urgent</v>
      </c>
    </row>
    <row r="364">
      <c r="A364" s="4">
        <f>IFERROR(__xludf.DUMMYFUNCTION("""COMPUTED_VALUE"""),45891.58188841435)</f>
        <v>45891.58189</v>
      </c>
      <c r="B364" s="3" t="str">
        <f>IFERROR(__xludf.DUMMYFUNCTION("""COMPUTED_VALUE"""),"RIABR0090")</f>
        <v>RIABR0090</v>
      </c>
      <c r="C364" s="3" t="str">
        <f>IFERROR(__xludf.DUMMYFUNCTION("""COMPUTED_VALUE"""),"EJO")</f>
        <v>EJO</v>
      </c>
      <c r="D364" s="3" t="str">
        <f>IFERROR(__xludf.DUMMYFUNCTION("""COMPUTED_VALUE"""),"EJO/2025/08/56")</f>
        <v>EJO/2025/08/56</v>
      </c>
      <c r="E364" s="3" t="str">
        <f>IFERROR(__xludf.DUMMYFUNCTION("""COMPUTED_VALUE"""),"WWTP")</f>
        <v>WWTP</v>
      </c>
      <c r="F364" s="3" t="str">
        <f>IFERROR(__xludf.DUMMYFUNCTION("""COMPUTED_VALUE"""),"Mata Bor")</f>
        <v>Mata Bor</v>
      </c>
      <c r="G364" s="3" t="str">
        <f>IFERROR(__xludf.DUMMYFUNCTION("""COMPUTED_VALUE"""),"Mata Bor")</f>
        <v>Mata Bor</v>
      </c>
      <c r="H364" s="3" t="str">
        <f>IFERROR(__xludf.DUMMYFUNCTION("""COMPUTED_VALUE"""),"Nachi")</f>
        <v>Nachi</v>
      </c>
      <c r="I364" s="3">
        <f>IFERROR(__xludf.DUMMYFUNCTION("""COMPUTED_VALUE"""),1.0)</f>
        <v>1</v>
      </c>
      <c r="J364" s="3" t="str">
        <f>IFERROR(__xludf.DUMMYFUNCTION("""COMPUTED_VALUE"""),"Set")</f>
        <v>Set</v>
      </c>
      <c r="K364" s="5" t="str">
        <f>IFERROR(__xludf.DUMMYFUNCTION("""COMPUTED_VALUE"""),"https://www.tokopedia.com/asteknikglodok/nachi-mata-bor-set-1-13mm-isi-25pcs-1730793831917192934?extParam=ivf%3Dfalse%26keyword%3Dmata+bor++nachi+1+set%26search_id%3D202507131004188DD48D6A2E2CAD2C7C6E%26src%3Dsearch&amp;t_id=1752399739361&amp;t_st=21&amp;t_pp=search_"&amp;"result&amp;t_efo=search_pure_goods_card&amp;t_ef=goods_search&amp;t_sm=&amp;t_spt=search_result")</f>
        <v>https://www.tokopedia.com/asteknikglodok/nachi-mata-bor-set-1-13mm-isi-25pcs-1730793831917192934?extParam=ivf%3Dfalse%26keyword%3Dmata+bor++nachi+1+set%26search_id%3D202507131004188DD48D6A2E2CAD2C7C6E%26src%3Dsearch&amp;t_id=1752399739361&amp;t_st=21&amp;t_pp=search_result&amp;t_efo=search_pure_goods_card&amp;t_ef=goods_search&amp;t_sm=&amp;t_spt=search_result</v>
      </c>
      <c r="L364" s="3" t="str">
        <f>IFERROR(__xludf.DUMMYFUNCTION("""COMPUTED_VALUE"""),"Untuk peremajaan panel kontrol WWTP (REJECT BY MFH KARENA SUDAH ADA BQ DARI SFH)")</f>
        <v>Untuk peremajaan panel kontrol WWTP (REJECT BY MFH KARENA SUDAH ADA BQ DARI SFH)</v>
      </c>
      <c r="M364" s="3" t="str">
        <f>IFERROR(__xludf.DUMMYFUNCTION("""COMPUTED_VALUE"""),"Reject")</f>
        <v>Reject</v>
      </c>
      <c r="N364" s="3" t="str">
        <f>IFERROR(__xludf.DUMMYFUNCTION("""COMPUTED_VALUE"""),"Normal")</f>
        <v>Normal</v>
      </c>
      <c r="O364" s="3" t="str">
        <f>IFERROR(__xludf.DUMMYFUNCTION("""COMPUTED_VALUE"""),"Non Urgent")</f>
        <v>Non Urgent</v>
      </c>
    </row>
    <row r="365">
      <c r="A365" s="4">
        <f>IFERROR(__xludf.DUMMYFUNCTION("""COMPUTED_VALUE"""),45891.58188841435)</f>
        <v>45891.58189</v>
      </c>
      <c r="B365" s="3" t="str">
        <f>IFERROR(__xludf.DUMMYFUNCTION("""COMPUTED_VALUE"""),"RIABR0091")</f>
        <v>RIABR0091</v>
      </c>
      <c r="C365" s="3" t="str">
        <f>IFERROR(__xludf.DUMMYFUNCTION("""COMPUTED_VALUE"""),"EJO")</f>
        <v>EJO</v>
      </c>
      <c r="D365" s="3" t="str">
        <f>IFERROR(__xludf.DUMMYFUNCTION("""COMPUTED_VALUE"""),"EJO/2025/08/56")</f>
        <v>EJO/2025/08/56</v>
      </c>
      <c r="E365" s="3" t="str">
        <f>IFERROR(__xludf.DUMMYFUNCTION("""COMPUTED_VALUE"""),"WWTP")</f>
        <v>WWTP</v>
      </c>
      <c r="F365" s="3" t="str">
        <f>IFERROR(__xludf.DUMMYFUNCTION("""COMPUTED_VALUE"""),"Stop Kontak Panel CEE112")</f>
        <v>Stop Kontak Panel CEE112</v>
      </c>
      <c r="G365" s="3" t="str">
        <f>IFERROR(__xludf.DUMMYFUNCTION("""COMPUTED_VALUE"""),"Stop Kontak Panel CEE112")</f>
        <v>Stop Kontak Panel CEE112</v>
      </c>
      <c r="H365" s="3" t="str">
        <f>IFERROR(__xludf.DUMMYFUNCTION("""COMPUTED_VALUE"""),"Fort")</f>
        <v>Fort</v>
      </c>
      <c r="I365" s="3">
        <f>IFERROR(__xludf.DUMMYFUNCTION("""COMPUTED_VALUE"""),1.0)</f>
        <v>1</v>
      </c>
      <c r="J365" s="3" t="str">
        <f>IFERROR(__xludf.DUMMYFUNCTION("""COMPUTED_VALUE"""),"Pcs")</f>
        <v>Pcs</v>
      </c>
      <c r="K365" s="5" t="str">
        <f>IFERROR(__xludf.DUMMYFUNCTION("""COMPUTED_VALUE"""),"https://www.tokopedia.com/wisma-teknik/socket-stop-kontak-panel-mounting-2p-16a-220v-fort-cee112?extParam=ivf%3Dfalse%26keyword%3Dstop+kontak+panel%26search_id%3D2025071310301534ED066DF378EF30F64W%26src%3Dsearch&amp;t_id=1752399888456&amp;t_st=4&amp;t_pp=search_resul"&amp;"t&amp;t_efo=search_pure_goods_card&amp;t_ef=goods_search&amp;t_sm=&amp;t_spt=search_result")</f>
        <v>https://www.tokopedia.com/wisma-teknik/socket-stop-kontak-panel-mounting-2p-16a-220v-fort-cee112?extParam=ivf%3Dfalse%26keyword%3Dstop+kontak+panel%26search_id%3D2025071310301534ED066DF378EF30F64W%26src%3Dsearch&amp;t_id=1752399888456&amp;t_st=4&amp;t_pp=search_result&amp;t_efo=search_pure_goods_card&amp;t_ef=goods_search&amp;t_sm=&amp;t_spt=search_result</v>
      </c>
      <c r="L365" s="3" t="str">
        <f>IFERROR(__xludf.DUMMYFUNCTION("""COMPUTED_VALUE"""),"Untuk peremajaan panel kontrol WWTP")</f>
        <v>Untuk peremajaan panel kontrol WWTP</v>
      </c>
      <c r="M365" s="3" t="str">
        <f>IFERROR(__xludf.DUMMYFUNCTION("""COMPUTED_VALUE"""),"Approve")</f>
        <v>Approve</v>
      </c>
      <c r="N365" s="3" t="str">
        <f>IFERROR(__xludf.DUMMYFUNCTION("""COMPUTED_VALUE"""),"Normal")</f>
        <v>Normal</v>
      </c>
      <c r="O365" s="3" t="str">
        <f>IFERROR(__xludf.DUMMYFUNCTION("""COMPUTED_VALUE"""),"Non Urgent")</f>
        <v>Non Urgent</v>
      </c>
    </row>
    <row r="366">
      <c r="A366" s="4">
        <f>IFERROR(__xludf.DUMMYFUNCTION("""COMPUTED_VALUE"""),45891.58188841435)</f>
        <v>45891.58189</v>
      </c>
      <c r="B366" s="3" t="str">
        <f>IFERROR(__xludf.DUMMYFUNCTION("""COMPUTED_VALUE"""),"RIABR0092")</f>
        <v>RIABR0092</v>
      </c>
      <c r="C366" s="3" t="str">
        <f>IFERROR(__xludf.DUMMYFUNCTION("""COMPUTED_VALUE"""),"EJO")</f>
        <v>EJO</v>
      </c>
      <c r="D366" s="3" t="str">
        <f>IFERROR(__xludf.DUMMYFUNCTION("""COMPUTED_VALUE"""),"EJO/2025/08/56")</f>
        <v>EJO/2025/08/56</v>
      </c>
      <c r="E366" s="3" t="str">
        <f>IFERROR(__xludf.DUMMYFUNCTION("""COMPUTED_VALUE"""),"WWTP")</f>
        <v>WWTP</v>
      </c>
      <c r="F366" s="3" t="str">
        <f>IFERROR(__xludf.DUMMYFUNCTION("""COMPUTED_VALUE"""),"Box Panel 950 x 600 x 300")</f>
        <v>Box Panel 950 x 600 x 300</v>
      </c>
      <c r="G366" s="3" t="str">
        <f>IFERROR(__xludf.DUMMYFUNCTION("""COMPUTED_VALUE"""),"Box Panel 950 x 600 x 300")</f>
        <v>Box Panel 950 x 600 x 300</v>
      </c>
      <c r="H366" s="3" t="str">
        <f>IFERROR(__xludf.DUMMYFUNCTION("""COMPUTED_VALUE"""),"Lokal")</f>
        <v>Lokal</v>
      </c>
      <c r="I366" s="3">
        <f>IFERROR(__xludf.DUMMYFUNCTION("""COMPUTED_VALUE"""),1.0)</f>
        <v>1</v>
      </c>
      <c r="J366" s="3" t="str">
        <f>IFERROR(__xludf.DUMMYFUNCTION("""COMPUTED_VALUE"""),"Pcs")</f>
        <v>Pcs</v>
      </c>
      <c r="K366" s="3" t="str">
        <f>IFERROR(__xludf.DUMMYFUNCTION("""COMPUTED_VALUE"""),"-")</f>
        <v>-</v>
      </c>
      <c r="L366" s="3" t="str">
        <f>IFERROR(__xludf.DUMMYFUNCTION("""COMPUTED_VALUE"""),"Untuk peremajaan panel kontrol WWTP")</f>
        <v>Untuk peremajaan panel kontrol WWTP</v>
      </c>
      <c r="M366" s="3" t="str">
        <f>IFERROR(__xludf.DUMMYFUNCTION("""COMPUTED_VALUE"""),"Approve")</f>
        <v>Approve</v>
      </c>
      <c r="N366" s="3" t="str">
        <f>IFERROR(__xludf.DUMMYFUNCTION("""COMPUTED_VALUE"""),"Normal")</f>
        <v>Normal</v>
      </c>
      <c r="O366" s="3" t="str">
        <f>IFERROR(__xludf.DUMMYFUNCTION("""COMPUTED_VALUE"""),"Non Urgent")</f>
        <v>Non Urgent</v>
      </c>
    </row>
    <row r="367">
      <c r="A367" s="4">
        <f>IFERROR(__xludf.DUMMYFUNCTION("""COMPUTED_VALUE"""),45891.58188841435)</f>
        <v>45891.58189</v>
      </c>
      <c r="B367" s="3" t="str">
        <f>IFERROR(__xludf.DUMMYFUNCTION("""COMPUTED_VALUE"""),"RIABR0093")</f>
        <v>RIABR0093</v>
      </c>
      <c r="C367" s="3" t="str">
        <f>IFERROR(__xludf.DUMMYFUNCTION("""COMPUTED_VALUE"""),"EJO")</f>
        <v>EJO</v>
      </c>
      <c r="D367" s="3" t="str">
        <f>IFERROR(__xludf.DUMMYFUNCTION("""COMPUTED_VALUE"""),"EJO/2025/08/56")</f>
        <v>EJO/2025/08/56</v>
      </c>
      <c r="E367" s="3" t="str">
        <f>IFERROR(__xludf.DUMMYFUNCTION("""COMPUTED_VALUE"""),"WWTP")</f>
        <v>WWTP</v>
      </c>
      <c r="F367" s="3" t="str">
        <f>IFERROR(__xludf.DUMMYFUNCTION("""COMPUTED_VALUE"""),"Buzzer AD16-22SM 220 VAC")</f>
        <v>Buzzer AD16-22SM 220 VAC</v>
      </c>
      <c r="G367" s="3" t="str">
        <f>IFERROR(__xludf.DUMMYFUNCTION("""COMPUTED_VALUE"""),"Buzzer AD16-22SM 220 VAC")</f>
        <v>Buzzer AD16-22SM 220 VAC</v>
      </c>
      <c r="H367" s="3" t="str">
        <f>IFERROR(__xludf.DUMMYFUNCTION("""COMPUTED_VALUE"""),"Ewig")</f>
        <v>Ewig</v>
      </c>
      <c r="I367" s="3">
        <f>IFERROR(__xludf.DUMMYFUNCTION("""COMPUTED_VALUE"""),3.0)</f>
        <v>3</v>
      </c>
      <c r="J367" s="3" t="str">
        <f>IFERROR(__xludf.DUMMYFUNCTION("""COMPUTED_VALUE"""),"Pcs")</f>
        <v>Pcs</v>
      </c>
      <c r="K367" s="5" t="str">
        <f>IFERROR(__xludf.DUMMYFUNCTION("""COMPUTED_VALUE"""),"https://www.tokopedia.com/centralelectrind/pilot-lamp-buzzer-led-22mm-220vac-ewig-merah-1731444223517492392?extParam=ivf%3Dfalse%26keyword%3Dbuzzer+220+vac+22+mm%26search_id%3D20250713105029577BCC914F9E553D9A1B%26src%3Dsearch&amp;t_id=1752399888456&amp;t_st=5&amp;t_p"&amp;"p=search_result&amp;t_efo=search_pure_goods_card&amp;t_ef=goods_search&amp;t_sm=&amp;t_spt=search_result")</f>
        <v>https://www.tokopedia.com/centralelectrind/pilot-lamp-buzzer-led-22mm-220vac-ewig-merah-1731444223517492392?extParam=ivf%3Dfalse%26keyword%3Dbuzzer+220+vac+22+mm%26search_id%3D20250713105029577BCC914F9E553D9A1B%26src%3Dsearch&amp;t_id=1752399888456&amp;t_st=5&amp;t_pp=search_result&amp;t_efo=search_pure_goods_card&amp;t_ef=goods_search&amp;t_sm=&amp;t_spt=search_result</v>
      </c>
      <c r="L367" s="3" t="str">
        <f>IFERROR(__xludf.DUMMYFUNCTION("""COMPUTED_VALUE"""),"Untuk peremajaan panel kontrol WWTP")</f>
        <v>Untuk peremajaan panel kontrol WWTP</v>
      </c>
      <c r="M367" s="3" t="str">
        <f>IFERROR(__xludf.DUMMYFUNCTION("""COMPUTED_VALUE"""),"Approve")</f>
        <v>Approve</v>
      </c>
      <c r="N367" s="3" t="str">
        <f>IFERROR(__xludf.DUMMYFUNCTION("""COMPUTED_VALUE"""),"Normal")</f>
        <v>Normal</v>
      </c>
      <c r="O367" s="3" t="str">
        <f>IFERROR(__xludf.DUMMYFUNCTION("""COMPUTED_VALUE"""),"Non Urgent")</f>
        <v>Non Urgent</v>
      </c>
    </row>
    <row r="368">
      <c r="A368" s="4">
        <f>IFERROR(__xludf.DUMMYFUNCTION("""COMPUTED_VALUE"""),45891.58188841435)</f>
        <v>45891.58189</v>
      </c>
      <c r="B368" s="3" t="str">
        <f>IFERROR(__xludf.DUMMYFUNCTION("""COMPUTED_VALUE"""),"RIABR0094")</f>
        <v>RIABR0094</v>
      </c>
      <c r="C368" s="3" t="str">
        <f>IFERROR(__xludf.DUMMYFUNCTION("""COMPUTED_VALUE"""),"EJO")</f>
        <v>EJO</v>
      </c>
      <c r="D368" s="3" t="str">
        <f>IFERROR(__xludf.DUMMYFUNCTION("""COMPUTED_VALUE"""),"EJO/2025/08/56")</f>
        <v>EJO/2025/08/56</v>
      </c>
      <c r="E368" s="3" t="str">
        <f>IFERROR(__xludf.DUMMYFUNCTION("""COMPUTED_VALUE"""),"WWTP")</f>
        <v>WWTP</v>
      </c>
      <c r="F368" s="3" t="str">
        <f>IFERROR(__xludf.DUMMYFUNCTION("""COMPUTED_VALUE"""),"Name Plate Panel")</f>
        <v>Name Plate Panel</v>
      </c>
      <c r="G368" s="3" t="str">
        <f>IFERROR(__xludf.DUMMYFUNCTION("""COMPUTED_VALUE"""),"Name Plate Panel")</f>
        <v>Name Plate Panel</v>
      </c>
      <c r="H368" s="3" t="str">
        <f>IFERROR(__xludf.DUMMYFUNCTION("""COMPUTED_VALUE"""),"Lokal")</f>
        <v>Lokal</v>
      </c>
      <c r="I368" s="3">
        <f>IFERROR(__xludf.DUMMYFUNCTION("""COMPUTED_VALUE"""),24.0)</f>
        <v>24</v>
      </c>
      <c r="J368" s="3" t="str">
        <f>IFERROR(__xludf.DUMMYFUNCTION("""COMPUTED_VALUE"""),"Pcs")</f>
        <v>Pcs</v>
      </c>
      <c r="K368" s="5" t="str">
        <f>IFERROR(__xludf.DUMMYFUNCTION("""COMPUTED_VALUE"""),"https://www.tokopedia.com/teora/name-plate-panel-label-acrylic-1731608777917171309?extParam=ivf%3Dfalse%26keyword%3Dname+plate+panel%26search_id%3D20250717050144577BCC914F9E550D03XU%26src%3Dsearch&amp;t_id=1752728510891&amp;t_st=1&amp;t_pp=search_result&amp;t_efo=search_"&amp;"pure_goods_card&amp;t_ef=goods_search&amp;t_sm=&amp;t_spt=search_result")</f>
        <v>https://www.tokopedia.com/teora/name-plate-panel-label-acrylic-1731608777917171309?extParam=ivf%3Dfalse%26keyword%3Dname+plate+panel%26search_id%3D20250717050144577BCC914F9E550D03XU%26src%3Dsearch&amp;t_id=1752728510891&amp;t_st=1&amp;t_pp=search_result&amp;t_efo=search_pure_goods_card&amp;t_ef=goods_search&amp;t_sm=&amp;t_spt=search_result</v>
      </c>
      <c r="L368" s="3" t="str">
        <f>IFERROR(__xludf.DUMMYFUNCTION("""COMPUTED_VALUE"""),"Untuk peremajaan panel kontrol WWTP (REJECT BY MFH KARENA LINK TIDAK BISA DIBUKA)")</f>
        <v>Untuk peremajaan panel kontrol WWTP (REJECT BY MFH KARENA LINK TIDAK BISA DIBUKA)</v>
      </c>
      <c r="M368" s="3" t="str">
        <f>IFERROR(__xludf.DUMMYFUNCTION("""COMPUTED_VALUE"""),"Reject")</f>
        <v>Reject</v>
      </c>
      <c r="N368" s="3" t="str">
        <f>IFERROR(__xludf.DUMMYFUNCTION("""COMPUTED_VALUE"""),"Normal")</f>
        <v>Normal</v>
      </c>
      <c r="O368" s="3" t="str">
        <f>IFERROR(__xludf.DUMMYFUNCTION("""COMPUTED_VALUE"""),"Non Urgent")</f>
        <v>Non Urgent</v>
      </c>
    </row>
    <row r="369">
      <c r="A369" s="4">
        <f>IFERROR(__xludf.DUMMYFUNCTION("""COMPUTED_VALUE"""),45891.58188841435)</f>
        <v>45891.58189</v>
      </c>
      <c r="B369" s="3" t="str">
        <f>IFERROR(__xludf.DUMMYFUNCTION("""COMPUTED_VALUE"""),"RIABR0095")</f>
        <v>RIABR0095</v>
      </c>
      <c r="C369" s="3" t="str">
        <f>IFERROR(__xludf.DUMMYFUNCTION("""COMPUTED_VALUE"""),"EJO")</f>
        <v>EJO</v>
      </c>
      <c r="D369" s="3" t="str">
        <f>IFERROR(__xludf.DUMMYFUNCTION("""COMPUTED_VALUE"""),"EJO/2025/08/56")</f>
        <v>EJO/2025/08/56</v>
      </c>
      <c r="E369" s="3" t="str">
        <f>IFERROR(__xludf.DUMMYFUNCTION("""COMPUTED_VALUE"""),"WWTP")</f>
        <v>WWTP</v>
      </c>
      <c r="F369" s="3" t="str">
        <f>IFERROR(__xludf.DUMMYFUNCTION("""COMPUTED_VALUE"""),"Busbar Sisir 1Pole")</f>
        <v>Busbar Sisir 1Pole</v>
      </c>
      <c r="G369" s="3" t="str">
        <f>IFERROR(__xludf.DUMMYFUNCTION("""COMPUTED_VALUE"""),"Busbar Sisir 1Pole")</f>
        <v>Busbar Sisir 1Pole</v>
      </c>
      <c r="H369" s="3" t="str">
        <f>IFERROR(__xludf.DUMMYFUNCTION("""COMPUTED_VALUE"""),"Schneider")</f>
        <v>Schneider</v>
      </c>
      <c r="I369" s="3">
        <f>IFERROR(__xludf.DUMMYFUNCTION("""COMPUTED_VALUE"""),1.0)</f>
        <v>1</v>
      </c>
      <c r="J369" s="3" t="str">
        <f>IFERROR(__xludf.DUMMYFUNCTION("""COMPUTED_VALUE"""),"Pcs")</f>
        <v>Pcs</v>
      </c>
      <c r="K369" s="5" t="str">
        <f>IFERROR(__xludf.DUMMYFUNCTION("""COMPUTED_VALUE"""),"https://www.tokopedia.com/dpelectric/schneider-comb-busbar-sisir-mcb-1p-12module-63a-ez9xph112?extParam=ivf%3Dfalse%26keyword%3Dsisir+mcb%26search_id%3D20250717051121B2EB734903575434CXGC%26src%3Dsearch&amp;t_id=1752728510891&amp;t_st=7&amp;t_pp=search_result&amp;t_efo=se"&amp;"arch_pure_goods_card&amp;t_ef=goods_search&amp;t_sm=&amp;t_spt=search_result")</f>
        <v>https://www.tokopedia.com/dpelectric/schneider-comb-busbar-sisir-mcb-1p-12module-63a-ez9xph112?extParam=ivf%3Dfalse%26keyword%3Dsisir+mcb%26search_id%3D20250717051121B2EB734903575434CXGC%26src%3Dsearch&amp;t_id=1752728510891&amp;t_st=7&amp;t_pp=search_result&amp;t_efo=search_pure_goods_card&amp;t_ef=goods_search&amp;t_sm=&amp;t_spt=search_result</v>
      </c>
      <c r="L369" s="3" t="str">
        <f>IFERROR(__xludf.DUMMYFUNCTION("""COMPUTED_VALUE"""),"Untuk peremajaan panel kontrol WWTP")</f>
        <v>Untuk peremajaan panel kontrol WWTP</v>
      </c>
      <c r="M369" s="3" t="str">
        <f>IFERROR(__xludf.DUMMYFUNCTION("""COMPUTED_VALUE"""),"Approve")</f>
        <v>Approve</v>
      </c>
      <c r="N369" s="3" t="str">
        <f>IFERROR(__xludf.DUMMYFUNCTION("""COMPUTED_VALUE"""),"Normal")</f>
        <v>Normal</v>
      </c>
      <c r="O369" s="3" t="str">
        <f>IFERROR(__xludf.DUMMYFUNCTION("""COMPUTED_VALUE"""),"Non Urgent")</f>
        <v>Non Urgent</v>
      </c>
    </row>
    <row r="370">
      <c r="A370" s="4">
        <f>IFERROR(__xludf.DUMMYFUNCTION("""COMPUTED_VALUE"""),45891.88789306713)</f>
        <v>45891.88789</v>
      </c>
      <c r="B370" s="3" t="str">
        <f>IFERROR(__xludf.DUMMYFUNCTION("""COMPUTED_VALUE"""),"MOBBR0041")</f>
        <v>MOBBR0041</v>
      </c>
      <c r="C370" s="3" t="str">
        <f>IFERROR(__xludf.DUMMYFUNCTION("""COMPUTED_VALUE"""),"EJO")</f>
        <v>EJO</v>
      </c>
      <c r="D370" s="3" t="str">
        <f>IFERROR(__xludf.DUMMYFUNCTION("""COMPUTED_VALUE"""),"Menyusul")</f>
        <v>Menyusul</v>
      </c>
      <c r="E370" s="3" t="str">
        <f>IFERROR(__xludf.DUMMYFUNCTION("""COMPUTED_VALUE"""),"AHU")</f>
        <v>AHU</v>
      </c>
      <c r="F370" s="3" t="str">
        <f>IFERROR(__xludf.DUMMYFUNCTION("""COMPUTED_VALUE"""),"Diffuser+OBD")</f>
        <v>Diffuser+OBD</v>
      </c>
      <c r="G370" s="3" t="str">
        <f>IFERROR(__xludf.DUMMYFUNCTION("""COMPUTED_VALUE"""),"SUPPLY AIR DIFFUSER+OBD UK 200X200mm")</f>
        <v>SUPPLY AIR DIFFUSER+OBD UK 200X200mm</v>
      </c>
      <c r="H370" s="3" t="str">
        <f>IFERROR(__xludf.DUMMYFUNCTION("""COMPUTED_VALUE"""),"-")</f>
        <v>-</v>
      </c>
      <c r="I370" s="3">
        <f>IFERROR(__xludf.DUMMYFUNCTION("""COMPUTED_VALUE"""),5.0)</f>
        <v>5</v>
      </c>
      <c r="J370" s="3" t="str">
        <f>IFERROR(__xludf.DUMMYFUNCTION("""COMPUTED_VALUE"""),"Pcs")</f>
        <v>Pcs</v>
      </c>
      <c r="K370" s="5" t="str">
        <f>IFERROR(__xludf.DUMMYFUNCTION("""COMPUTED_VALUE"""),"https://www.tokopedia.com/defate/supply-air-diffuser-obd-uk-200x200mm-8-natural-luar-33cm-x-33cm")</f>
        <v>https://www.tokopedia.com/defate/supply-air-diffuser-obd-uk-200x200mm-8-natural-luar-33cm-x-33cm</v>
      </c>
      <c r="L370" s="3" t="str">
        <f>IFERROR(__xludf.DUMMYFUNCTION("""COMPUTED_VALUE"""),"Loker Pria Produksi Diffuser rontok REJECT BY MFH (PENGGANTIAN DI BQ MOBBR0044)")</f>
        <v>Loker Pria Produksi Diffuser rontok REJECT BY MFH (PENGGANTIAN DI BQ MOBBR0044)</v>
      </c>
      <c r="M370" s="3" t="str">
        <f>IFERROR(__xludf.DUMMYFUNCTION("""COMPUTED_VALUE"""),"Reject")</f>
        <v>Reject</v>
      </c>
      <c r="N370" s="3" t="str">
        <f>IFERROR(__xludf.DUMMYFUNCTION("""COMPUTED_VALUE"""),"Normal")</f>
        <v>Normal</v>
      </c>
      <c r="O370" s="3" t="str">
        <f>IFERROR(__xludf.DUMMYFUNCTION("""COMPUTED_VALUE"""),"Non Urgent")</f>
        <v>Non Urgent</v>
      </c>
    </row>
    <row r="371">
      <c r="A371" s="4">
        <f>IFERROR(__xludf.DUMMYFUNCTION("""COMPUTED_VALUE"""),45894.64253824075)</f>
        <v>45894.64254</v>
      </c>
      <c r="B371" s="3" t="str">
        <f>IFERROR(__xludf.DUMMYFUNCTION("""COMPUTED_VALUE"""),"RIABR0097")</f>
        <v>RIABR0097</v>
      </c>
      <c r="C371" s="3" t="str">
        <f>IFERROR(__xludf.DUMMYFUNCTION("""COMPUTED_VALUE"""),"Consumable")</f>
        <v>Consumable</v>
      </c>
      <c r="D371" s="3" t="str">
        <f>IFERROR(__xludf.DUMMYFUNCTION("""COMPUTED_VALUE"""),"-")</f>
        <v>-</v>
      </c>
      <c r="E371" s="3" t="str">
        <f>IFERROR(__xludf.DUMMYFUNCTION("""COMPUTED_VALUE"""),"Alarm System")</f>
        <v>Alarm System</v>
      </c>
      <c r="F371" s="3" t="str">
        <f>IFERROR(__xludf.DUMMYFUNCTION("""COMPUTED_VALUE"""),"Buzzer")</f>
        <v>Buzzer</v>
      </c>
      <c r="G371" s="3" t="str">
        <f>IFERROR(__xludf.DUMMYFUNCTION("""COMPUTED_VALUE"""),"Buzzer panel 12Vdc 22mm scb-22 shemsco")</f>
        <v>Buzzer panel 12Vdc 22mm scb-22 shemsco</v>
      </c>
      <c r="H371" s="3" t="str">
        <f>IFERROR(__xludf.DUMMYFUNCTION("""COMPUTED_VALUE"""),"Lokal")</f>
        <v>Lokal</v>
      </c>
      <c r="I371" s="3">
        <f>IFERROR(__xludf.DUMMYFUNCTION("""COMPUTED_VALUE"""),5.0)</f>
        <v>5</v>
      </c>
      <c r="J371" s="3" t="str">
        <f>IFERROR(__xludf.DUMMYFUNCTION("""COMPUTED_VALUE"""),"Pcs")</f>
        <v>Pcs</v>
      </c>
      <c r="K371" s="5" t="str">
        <f>IFERROR(__xludf.DUMMYFUNCTION("""COMPUTED_VALUE"""),"https://www.tokopedia.com/hk-komponen/buzzer-panel-12vdc-22mm-scb-22-shemsco?extParam=ivf%3Dfalse%26keyword%3Dbuzzer+12+vacdc%26search_id%3D2025082508244663923F49E524131C0C1S%26src%3Dsearch&amp;t_id=1756110296354&amp;t_st=1&amp;t_pp=search_result&amp;t_efo=search_pure_go"&amp;"ods_card&amp;t_ef=goods_search&amp;t_sm=&amp;t_spt=search_result")</f>
        <v>https://www.tokopedia.com/hk-komponen/buzzer-panel-12vdc-22mm-scb-22-shemsco?extParam=ivf%3Dfalse%26keyword%3Dbuzzer+12+vacdc%26search_id%3D2025082508244663923F49E524131C0C1S%26src%3Dsearch&amp;t_id=1756110296354&amp;t_st=1&amp;t_pp=search_result&amp;t_efo=search_pure_goods_card&amp;t_ef=goods_search&amp;t_sm=&amp;t_spt=search_result</v>
      </c>
      <c r="L371" s="3" t="str">
        <f>IFERROR(__xludf.DUMMYFUNCTION("""COMPUTED_VALUE"""),"Buzzer buat filling, ini 12 VAC/ VDC ya bukan 24 VAC/VDC")</f>
        <v>Buzzer buat filling, ini 12 VAC/ VDC ya bukan 24 VAC/VDC</v>
      </c>
      <c r="M371" s="3" t="str">
        <f>IFERROR(__xludf.DUMMYFUNCTION("""COMPUTED_VALUE"""),"Approve")</f>
        <v>Approve</v>
      </c>
      <c r="N371" s="3" t="str">
        <f>IFERROR(__xludf.DUMMYFUNCTION("""COMPUTED_VALUE"""),"Normal")</f>
        <v>Normal</v>
      </c>
      <c r="O371" s="3" t="str">
        <f>IFERROR(__xludf.DUMMYFUNCTION("""COMPUTED_VALUE"""),"Non Urgent")</f>
        <v>Non Urgent</v>
      </c>
    </row>
    <row r="372">
      <c r="A372" s="4">
        <f>IFERROR(__xludf.DUMMYFUNCTION("""COMPUTED_VALUE"""),45894.7170196875)</f>
        <v>45894.71702</v>
      </c>
      <c r="B372" s="3" t="str">
        <f>IFERROR(__xludf.DUMMYFUNCTION("""COMPUTED_VALUE"""),"SFHBR0030")</f>
        <v>SFHBR0030</v>
      </c>
      <c r="C372" s="3" t="str">
        <f>IFERROR(__xludf.DUMMYFUNCTION("""COMPUTED_VALUE"""),"Consumable")</f>
        <v>Consumable</v>
      </c>
      <c r="D372" s="3" t="str">
        <f>IFERROR(__xludf.DUMMYFUNCTION("""COMPUTED_VALUE"""),"-")</f>
        <v>-</v>
      </c>
      <c r="E372" s="3" t="str">
        <f>IFERROR(__xludf.DUMMYFUNCTION("""COMPUTED_VALUE"""),"lantai 1")</f>
        <v>lantai 1</v>
      </c>
      <c r="F372" s="3" t="str">
        <f>IFERROR(__xludf.DUMMYFUNCTION("""COMPUTED_VALUE"""),"kaca emergency buat Filling")</f>
        <v>kaca emergency buat Filling</v>
      </c>
      <c r="G372" s="3" t="str">
        <f>IFERROR(__xludf.DUMMYFUNCTION("""COMPUTED_VALUE"""),"kaca ukuran tingggi 201 cm, lebar 81 cm")</f>
        <v>kaca ukuran tingggi 201 cm, lebar 81 cm</v>
      </c>
      <c r="H372" s="3" t="str">
        <f>IFERROR(__xludf.DUMMYFUNCTION("""COMPUTED_VALUE"""),"kaca")</f>
        <v>kaca</v>
      </c>
      <c r="I372" s="3">
        <f>IFERROR(__xludf.DUMMYFUNCTION("""COMPUTED_VALUE"""),1.0)</f>
        <v>1</v>
      </c>
      <c r="J372" s="3" t="str">
        <f>IFERROR(__xludf.DUMMYFUNCTION("""COMPUTED_VALUE"""),"pcs")</f>
        <v>pcs</v>
      </c>
      <c r="K372" s="5" t="str">
        <f>IFERROR(__xludf.DUMMYFUNCTION("""COMPUTED_VALUE"""),"https://tk.tokopedia.com/ZSAUsc4MS/")</f>
        <v>https://tk.tokopedia.com/ZSAUsc4MS/</v>
      </c>
      <c r="L372" s="3" t="str">
        <f>IFERROR(__xludf.DUMMYFUNCTION("""COMPUTED_VALUE"""),"-")</f>
        <v>-</v>
      </c>
      <c r="M372" s="3" t="str">
        <f>IFERROR(__xludf.DUMMYFUNCTION("""COMPUTED_VALUE"""),"Reject")</f>
        <v>Reject</v>
      </c>
      <c r="N372" s="3" t="str">
        <f>IFERROR(__xludf.DUMMYFUNCTION("""COMPUTED_VALUE"""),"Normal")</f>
        <v>Normal</v>
      </c>
      <c r="O372" s="3" t="str">
        <f>IFERROR(__xludf.DUMMYFUNCTION("""COMPUTED_VALUE"""),"Non Urgent")</f>
        <v>Non Urgent</v>
      </c>
    </row>
    <row r="373">
      <c r="A373" s="4">
        <f>IFERROR(__xludf.DUMMYFUNCTION("""COMPUTED_VALUE"""),45894.73084733796)</f>
        <v>45894.73085</v>
      </c>
      <c r="B373" s="3" t="str">
        <f>IFERROR(__xludf.DUMMYFUNCTION("""COMPUTED_VALUE"""),"SFHBR0031")</f>
        <v>SFHBR0031</v>
      </c>
      <c r="C373" s="3" t="str">
        <f>IFERROR(__xludf.DUMMYFUNCTION("""COMPUTED_VALUE"""),"Consumable")</f>
        <v>Consumable</v>
      </c>
      <c r="D373" s="3" t="str">
        <f>IFERROR(__xludf.DUMMYFUNCTION("""COMPUTED_VALUE"""),"-")</f>
        <v>-</v>
      </c>
      <c r="E373" s="3" t="str">
        <f>IFERROR(__xludf.DUMMYFUNCTION("""COMPUTED_VALUE"""),"lantai 1")</f>
        <v>lantai 1</v>
      </c>
      <c r="F373" s="3" t="str">
        <f>IFERROR(__xludf.DUMMYFUNCTION("""COMPUTED_VALUE"""),"kaca emergency buat corridor C")</f>
        <v>kaca emergency buat corridor C</v>
      </c>
      <c r="G373" s="3" t="str">
        <f>IFERROR(__xludf.DUMMYFUNCTION("""COMPUTED_VALUE"""),"kaca ukuran tingggi 202 cm, lebar 73,5 cm")</f>
        <v>kaca ukuran tingggi 202 cm, lebar 73,5 cm</v>
      </c>
      <c r="H373" s="3" t="str">
        <f>IFERROR(__xludf.DUMMYFUNCTION("""COMPUTED_VALUE"""),"kaca ")</f>
        <v>kaca </v>
      </c>
      <c r="I373" s="3">
        <f>IFERROR(__xludf.DUMMYFUNCTION("""COMPUTED_VALUE"""),1.0)</f>
        <v>1</v>
      </c>
      <c r="J373" s="3" t="str">
        <f>IFERROR(__xludf.DUMMYFUNCTION("""COMPUTED_VALUE"""),"pcs")</f>
        <v>pcs</v>
      </c>
      <c r="K373" s="5" t="str">
        <f>IFERROR(__xludf.DUMMYFUNCTION("""COMPUTED_VALUE"""),"https://tk.tokopedia.com/ZSAUsc4MS/")</f>
        <v>https://tk.tokopedia.com/ZSAUsc4MS/</v>
      </c>
      <c r="L373" s="3" t="str">
        <f>IFERROR(__xludf.DUMMYFUNCTION("""COMPUTED_VALUE"""),"REJECT BY MFH KARENA TIDAK ADA YANG BISA SUPPLY")</f>
        <v>REJECT BY MFH KARENA TIDAK ADA YANG BISA SUPPLY</v>
      </c>
      <c r="M373" s="3" t="str">
        <f>IFERROR(__xludf.DUMMYFUNCTION("""COMPUTED_VALUE"""),"Reject")</f>
        <v>Reject</v>
      </c>
      <c r="N373" s="3" t="str">
        <f>IFERROR(__xludf.DUMMYFUNCTION("""COMPUTED_VALUE"""),"Normal")</f>
        <v>Normal</v>
      </c>
      <c r="O373" s="3" t="str">
        <f>IFERROR(__xludf.DUMMYFUNCTION("""COMPUTED_VALUE"""),"Non Urgent")</f>
        <v>Non Urgent</v>
      </c>
    </row>
    <row r="374">
      <c r="A374" s="4">
        <f>IFERROR(__xludf.DUMMYFUNCTION("""COMPUTED_VALUE"""),45894.91257525463)</f>
        <v>45894.91258</v>
      </c>
      <c r="B374" s="3" t="str">
        <f>IFERROR(__xludf.DUMMYFUNCTION("""COMPUTED_VALUE"""),"MRNBR0051")</f>
        <v>MRNBR0051</v>
      </c>
      <c r="C374" s="3" t="str">
        <f>IFERROR(__xludf.DUMMYFUNCTION("""COMPUTED_VALUE"""),"EJO")</f>
        <v>EJO</v>
      </c>
      <c r="D374" s="3" t="str">
        <f>IFERROR(__xludf.DUMMYFUNCTION("""COMPUTED_VALUE"""),"EJO/2028/08/133")</f>
        <v>EJO/2028/08/133</v>
      </c>
      <c r="E374" s="3" t="str">
        <f>IFERROR(__xludf.DUMMYFUNCTION("""COMPUTED_VALUE"""),"PW gen")</f>
        <v>PW gen</v>
      </c>
      <c r="F374" s="3" t="str">
        <f>IFERROR(__xludf.DUMMYFUNCTION("""COMPUTED_VALUE"""),"PG tanki softener")</f>
        <v>PG tanki softener</v>
      </c>
      <c r="G374" s="3" t="str">
        <f>IFERROR(__xludf.DUMMYFUNCTION("""COMPUTED_VALUE"""),"MREM32107500G")</f>
        <v>MREM32107500G</v>
      </c>
      <c r="H374" s="3" t="str">
        <f>IFERROR(__xludf.DUMMYFUNCTION("""COMPUTED_VALUE"""),"SIKA")</f>
        <v>SIKA</v>
      </c>
      <c r="I374" s="3">
        <f>IFERROR(__xludf.DUMMYFUNCTION("""COMPUTED_VALUE"""),2.0)</f>
        <v>2</v>
      </c>
      <c r="J374" s="3" t="str">
        <f>IFERROR(__xludf.DUMMYFUNCTION("""COMPUTED_VALUE"""),"pcs")</f>
        <v>pcs</v>
      </c>
      <c r="K374" s="5" t="str">
        <f>IFERROR(__xludf.DUMMYFUNCTION("""COMPUTED_VALUE"""),"https://www.sika.net/en/series/bourdon-tube-pressure-gauges-with-casing-filling-marine-version-mrem/")</f>
        <v>https://www.sika.net/en/series/bourdon-tube-pressure-gauges-with-casing-filling-marine-version-mrem/</v>
      </c>
      <c r="L374" s="3" t="str">
        <f>IFERROR(__xludf.DUMMYFUNCTION("""COMPUTED_VALUE"""),"spek 0-10 bar koneksi 1/2 npt diameter 100mm")</f>
        <v>spek 0-10 bar koneksi 1/2 npt diameter 100mm</v>
      </c>
      <c r="M374" s="3" t="str">
        <f>IFERROR(__xludf.DUMMYFUNCTION("""COMPUTED_VALUE"""),"Approve")</f>
        <v>Approve</v>
      </c>
      <c r="N374" s="3" t="str">
        <f>IFERROR(__xludf.DUMMYFUNCTION("""COMPUTED_VALUE"""),"Normal")</f>
        <v>Normal</v>
      </c>
      <c r="O374" s="3" t="str">
        <f>IFERROR(__xludf.DUMMYFUNCTION("""COMPUTED_VALUE"""),"Non Urgent")</f>
        <v>Non Urgent</v>
      </c>
    </row>
    <row r="375">
      <c r="A375" s="4">
        <f>IFERROR(__xludf.DUMMYFUNCTION("""COMPUTED_VALUE"""),45894.93864987268)</f>
        <v>45894.93865</v>
      </c>
      <c r="B375" s="3" t="str">
        <f>IFERROR(__xludf.DUMMYFUNCTION("""COMPUTED_VALUE"""),"MRNBR0052")</f>
        <v>MRNBR0052</v>
      </c>
      <c r="C375" s="3" t="str">
        <f>IFERROR(__xludf.DUMMYFUNCTION("""COMPUTED_VALUE"""),"EJO")</f>
        <v>EJO</v>
      </c>
      <c r="D375" s="3" t="str">
        <f>IFERROR(__xludf.DUMMYFUNCTION("""COMPUTED_VALUE"""),"EJO/2025/08/107")</f>
        <v>EJO/2025/08/107</v>
      </c>
      <c r="E375" s="3" t="str">
        <f>IFERROR(__xludf.DUMMYFUNCTION("""COMPUTED_VALUE"""),"pintu produksi")</f>
        <v>pintu produksi</v>
      </c>
      <c r="F375" s="3" t="str">
        <f>IFERROR(__xludf.DUMMYFUNCTION("""COMPUTED_VALUE"""),"Slot pintu")</f>
        <v>Slot pintu</v>
      </c>
      <c r="G375" s="3" t="str">
        <f>IFERROR(__xludf.DUMMYFUNCTION("""COMPUTED_VALUE"""),"FLUSH BOLT FB SQ 501 370MM")</f>
        <v>FLUSH BOLT FB SQ 501 370MM</v>
      </c>
      <c r="H375" s="3" t="str">
        <f>IFERROR(__xludf.DUMMYFUNCTION("""COMPUTED_VALUE"""),"dekson")</f>
        <v>dekson</v>
      </c>
      <c r="I375" s="3">
        <f>IFERROR(__xludf.DUMMYFUNCTION("""COMPUTED_VALUE"""),2.0)</f>
        <v>2</v>
      </c>
      <c r="J375" s="3" t="str">
        <f>IFERROR(__xludf.DUMMYFUNCTION("""COMPUTED_VALUE"""),"pcs")</f>
        <v>pcs</v>
      </c>
      <c r="K375" s="5" t="str">
        <f>IFERROR(__xludf.DUMMYFUNCTION("""COMPUTED_VALUE"""),"https://www.dekkson.com/product/detail/1277/categorys//slug/flush-bolt-fb-sq-501-370mm")</f>
        <v>https://www.dekkson.com/product/detail/1277/categorys//slug/flush-bolt-fb-sq-501-370mm</v>
      </c>
      <c r="L375" s="3" t="str">
        <f>IFERROR(__xludf.DUMMYFUNCTION("""COMPUTED_VALUE"""),"Buat pintu koridor produksi")</f>
        <v>Buat pintu koridor produksi</v>
      </c>
      <c r="M375" s="3" t="str">
        <f>IFERROR(__xludf.DUMMYFUNCTION("""COMPUTED_VALUE"""),"Approve")</f>
        <v>Approve</v>
      </c>
      <c r="N375" s="3" t="str">
        <f>IFERROR(__xludf.DUMMYFUNCTION("""COMPUTED_VALUE"""),"Normal")</f>
        <v>Normal</v>
      </c>
      <c r="O375" s="3" t="str">
        <f>IFERROR(__xludf.DUMMYFUNCTION("""COMPUTED_VALUE"""),"Non Urgent")</f>
        <v>Non Urgent</v>
      </c>
    </row>
    <row r="376">
      <c r="A376" s="4">
        <f>IFERROR(__xludf.DUMMYFUNCTION("""COMPUTED_VALUE"""),45894.9478455787)</f>
        <v>45894.94785</v>
      </c>
      <c r="B376" s="3" t="str">
        <f>IFERROR(__xludf.DUMMYFUNCTION("""COMPUTED_VALUE"""),"MRNBR0053")</f>
        <v>MRNBR0053</v>
      </c>
      <c r="C376" s="3" t="str">
        <f>IFERROR(__xludf.DUMMYFUNCTION("""COMPUTED_VALUE"""),"EJO")</f>
        <v>EJO</v>
      </c>
      <c r="D376" s="3" t="str">
        <f>IFERROR(__xludf.DUMMYFUNCTION("""COMPUTED_VALUE"""),"EJO/2025/08/80")</f>
        <v>EJO/2025/08/80</v>
      </c>
      <c r="E376" s="3" t="str">
        <f>IFERROR(__xludf.DUMMYFUNCTION("""COMPUTED_VALUE"""),"Sampling QC")</f>
        <v>Sampling QC</v>
      </c>
      <c r="F376" s="3" t="str">
        <f>IFERROR(__xludf.DUMMYFUNCTION("""COMPUTED_VALUE"""),"Kaca film")</f>
        <v>Kaca film</v>
      </c>
      <c r="G376" s="3" t="str">
        <f>IFERROR(__xludf.DUMMYFUNCTION("""COMPUTED_VALUE"""),"Kaca film riben 100% lebar 90cm")</f>
        <v>Kaca film riben 100% lebar 90cm</v>
      </c>
      <c r="H376" s="3" t="str">
        <f>IFERROR(__xludf.DUMMYFUNCTION("""COMPUTED_VALUE"""),"NA")</f>
        <v>NA</v>
      </c>
      <c r="I376" s="3">
        <f>IFERROR(__xludf.DUMMYFUNCTION("""COMPUTED_VALUE"""),5.0)</f>
        <v>5</v>
      </c>
      <c r="J376" s="3" t="str">
        <f>IFERROR(__xludf.DUMMYFUNCTION("""COMPUTED_VALUE"""),"meter")</f>
        <v>meter</v>
      </c>
      <c r="K376" s="5" t="str">
        <f>IFERROR(__xludf.DUMMYFUNCTION("""COMPUTED_VALUE"""),"https://www.tokopedia.com/mechka-store/mechka-film-black-riben-1m-stiker-kaca-tolak-panas-hitam-40-60-80-99-riben-1m-1730896537307219089?extParam=ivf%3Dfalse%26keyword%3Dkaca+film+100%26search_id%3D20250825153659DB8E1AF0CB3ACA3CAMKP%26src%3Dsearch&amp;t_id=17"&amp;"56136229475&amp;t_st=1&amp;t_pp=search_result&amp;t_efo=search_pure_goods_card&amp;t_ef=goods_search&amp;t_sm=&amp;t_spt=search_result")</f>
        <v>https://www.tokopedia.com/mechka-store/mechka-film-black-riben-1m-stiker-kaca-tolak-panas-hitam-40-60-80-99-riben-1m-1730896537307219089?extParam=ivf%3Dfalse%26keyword%3Dkaca+film+100%26search_id%3D20250825153659DB8E1AF0CB3ACA3CAMKP%26src%3Dsearch&amp;t_id=1756136229475&amp;t_st=1&amp;t_pp=search_result&amp;t_efo=search_pure_goods_card&amp;t_ef=goods_search&amp;t_sm=&amp;t_spt=search_result</v>
      </c>
      <c r="L376" s="3" t="str">
        <f>IFERROR(__xludf.DUMMYFUNCTION("""COMPUTED_VALUE"""),"untuk jendela sampling QC warehouse")</f>
        <v>untuk jendela sampling QC warehouse</v>
      </c>
      <c r="M376" s="3" t="str">
        <f>IFERROR(__xludf.DUMMYFUNCTION("""COMPUTED_VALUE"""),"Reject")</f>
        <v>Reject</v>
      </c>
      <c r="N376" s="3" t="str">
        <f>IFERROR(__xludf.DUMMYFUNCTION("""COMPUTED_VALUE"""),"Normal")</f>
        <v>Normal</v>
      </c>
      <c r="O376" s="3" t="str">
        <f>IFERROR(__xludf.DUMMYFUNCTION("""COMPUTED_VALUE"""),"Non Urgent")</f>
        <v>Non Urgent</v>
      </c>
    </row>
    <row r="377">
      <c r="A377" s="4">
        <f>IFERROR(__xludf.DUMMYFUNCTION("""COMPUTED_VALUE"""),45894.99086912037)</f>
        <v>45894.99087</v>
      </c>
      <c r="B377" s="3" t="str">
        <f>IFERROR(__xludf.DUMMYFUNCTION("""COMPUTED_VALUE"""),"MRNBR0054")</f>
        <v>MRNBR0054</v>
      </c>
      <c r="C377" s="3" t="str">
        <f>IFERROR(__xludf.DUMMYFUNCTION("""COMPUTED_VALUE"""),"EJO")</f>
        <v>EJO</v>
      </c>
      <c r="D377" s="3" t="str">
        <f>IFERROR(__xludf.DUMMYFUNCTION("""COMPUTED_VALUE"""),"EJO/2025/09/37")</f>
        <v>EJO/2025/09/37</v>
      </c>
      <c r="E377" s="3" t="str">
        <f>IFERROR(__xludf.DUMMYFUNCTION("""COMPUTED_VALUE"""),"Passbox packaging")</f>
        <v>Passbox packaging</v>
      </c>
      <c r="F377" s="3" t="str">
        <f>IFERROR(__xludf.DUMMYFUNCTION("""COMPUTED_VALUE"""),"Seal")</f>
        <v>Seal</v>
      </c>
      <c r="G377" s="3" t="str">
        <f>IFERROR(__xludf.DUMMYFUNCTION("""COMPUTED_VALUE"""),"Lis Strip Pintu Seal Peredam Suara Door Noise Insulation Sealing Tape 6M - SD6 - Hitam")</f>
        <v>Lis Strip Pintu Seal Peredam Suara Door Noise Insulation Sealing Tape 6M - SD6 - Hitam</v>
      </c>
      <c r="H377" s="3" t="str">
        <f>IFERROR(__xludf.DUMMYFUNCTION("""COMPUTED_VALUE"""),"NA")</f>
        <v>NA</v>
      </c>
      <c r="I377" s="3">
        <f>IFERROR(__xludf.DUMMYFUNCTION("""COMPUTED_VALUE"""),50.0)</f>
        <v>50</v>
      </c>
      <c r="J377" s="3" t="str">
        <f>IFERROR(__xludf.DUMMYFUNCTION("""COMPUTED_VALUE"""),"meter")</f>
        <v>meter</v>
      </c>
      <c r="K377" s="5" t="str">
        <f>IFERROR(__xludf.DUMMYFUNCTION("""COMPUTED_VALUE"""),"https://www.tokopedia.com/budgetgadget/lis-strip-pintu-seal-peredam-suara-door-noise-insulation-sealing-tape-6m-sd6-1731250268850063286?extParam=ivf%3Dfalse%26keyword%3Dseal+pintu%26search_id%3D2025082516442182CEC96096D42815D8DO%26src%3Dsearch&amp;t_id=175614"&amp;"0269020&amp;t_st=2&amp;t_pp=search_result&amp;t_efo=search_pure_goods_card&amp;t_ef=goods_search&amp;t_sm=&amp;t_spt=search_result")</f>
        <v>https://www.tokopedia.com/budgetgadget/lis-strip-pintu-seal-peredam-suara-door-noise-insulation-sealing-tape-6m-sd6-1731250268850063286?extParam=ivf%3Dfalse%26keyword%3Dseal+pintu%26search_id%3D2025082516442182CEC96096D42815D8DO%26src%3Dsearch&amp;t_id=1756140269020&amp;t_st=2&amp;t_pp=search_result&amp;t_efo=search_pure_goods_card&amp;t_ef=goods_search&amp;t_sm=&amp;t_spt=search_result</v>
      </c>
      <c r="L377" s="3" t="str">
        <f>IFERROR(__xludf.DUMMYFUNCTION("""COMPUTED_VALUE"""),"untuk passbock packhall")</f>
        <v>untuk passbock packhall</v>
      </c>
      <c r="M377" s="3" t="str">
        <f>IFERROR(__xludf.DUMMYFUNCTION("""COMPUTED_VALUE"""),"Approve")</f>
        <v>Approve</v>
      </c>
      <c r="N377" s="3" t="str">
        <f>IFERROR(__xludf.DUMMYFUNCTION("""COMPUTED_VALUE"""),"Normal")</f>
        <v>Normal</v>
      </c>
      <c r="O377" s="3" t="str">
        <f>IFERROR(__xludf.DUMMYFUNCTION("""COMPUTED_VALUE"""),"Non Urgent")</f>
        <v>Non Urgent</v>
      </c>
    </row>
    <row r="378">
      <c r="A378" s="4">
        <f>IFERROR(__xludf.DUMMYFUNCTION("""COMPUTED_VALUE"""),45895.50681996528)</f>
        <v>45895.50682</v>
      </c>
      <c r="B378" s="3" t="str">
        <f>IFERROR(__xludf.DUMMYFUNCTION("""COMPUTED_VALUE"""),"MOBBR0042")</f>
        <v>MOBBR0042</v>
      </c>
      <c r="C378" s="3" t="str">
        <f>IFERROR(__xludf.DUMMYFUNCTION("""COMPUTED_VALUE"""),"EJO")</f>
        <v>EJO</v>
      </c>
      <c r="D378" s="3" t="str">
        <f>IFERROR(__xludf.DUMMYFUNCTION("""COMPUTED_VALUE"""),"EJO/2025/09/47")</f>
        <v>EJO/2025/09/47</v>
      </c>
      <c r="E378" s="3" t="str">
        <f>IFERROR(__xludf.DUMMYFUNCTION("""COMPUTED_VALUE"""),"AHU")</f>
        <v>AHU</v>
      </c>
      <c r="F378" s="3" t="str">
        <f>IFERROR(__xludf.DUMMYFUNCTION("""COMPUTED_VALUE"""),"Temperature Sensor")</f>
        <v>Temperature Sensor</v>
      </c>
      <c r="G378" s="3" t="str">
        <f>IFERROR(__xludf.DUMMYFUNCTION("""COMPUTED_VALUE"""),"536-811
Duct Point Temp Sensor, 100k Ohm Thermistor, 4 Inch Rigid Probe, Bracket Mount")</f>
        <v>536-811
Duct Point Temp Sensor, 100k Ohm Thermistor, 4 Inch Rigid Probe, Bracket Mount</v>
      </c>
      <c r="H378" s="3" t="str">
        <f>IFERROR(__xludf.DUMMYFUNCTION("""COMPUTED_VALUE"""),"Siemens")</f>
        <v>Siemens</v>
      </c>
      <c r="I378" s="3">
        <f>IFERROR(__xludf.DUMMYFUNCTION("""COMPUTED_VALUE"""),4.0)</f>
        <v>4</v>
      </c>
      <c r="J378" s="3" t="str">
        <f>IFERROR(__xludf.DUMMYFUNCTION("""COMPUTED_VALUE"""),"Pcs")</f>
        <v>Pcs</v>
      </c>
      <c r="K378" s="5" t="str">
        <f>IFERROR(__xludf.DUMMYFUNCTION("""COMPUTED_VALUE"""),"https://www.ebay.com/itm/303789969208")</f>
        <v>https://www.ebay.com/itm/303789969208</v>
      </c>
      <c r="L378" s="3" t="str">
        <f>IFERROR(__xludf.DUMMYFUNCTION("""COMPUTED_VALUE"""),"Urgent")</f>
        <v>Urgent</v>
      </c>
      <c r="M378" s="3" t="str">
        <f>IFERROR(__xludf.DUMMYFUNCTION("""COMPUTED_VALUE"""),"Approve")</f>
        <v>Approve</v>
      </c>
      <c r="N378" s="3" t="str">
        <f>IFERROR(__xludf.DUMMYFUNCTION("""COMPUTED_VALUE"""),"Normal")</f>
        <v>Normal</v>
      </c>
      <c r="O378" s="3" t="str">
        <f>IFERROR(__xludf.DUMMYFUNCTION("""COMPUTED_VALUE"""),"Non Urgent")</f>
        <v>Non Urgent</v>
      </c>
    </row>
    <row r="379">
      <c r="A379" s="4">
        <f>IFERROR(__xludf.DUMMYFUNCTION("""COMPUTED_VALUE"""),45897.44022846065)</f>
        <v>45897.44023</v>
      </c>
      <c r="B379" s="3" t="str">
        <f>IFERROR(__xludf.DUMMYFUNCTION("""COMPUTED_VALUE"""),"ROSBR0036")</f>
        <v>ROSBR0036</v>
      </c>
      <c r="C379" s="3" t="str">
        <f>IFERROR(__xludf.DUMMYFUNCTION("""COMPUTED_VALUE"""),"Consumable")</f>
        <v>Consumable</v>
      </c>
      <c r="D379" s="3" t="str">
        <f>IFERROR(__xludf.DUMMYFUNCTION("""COMPUTED_VALUE"""),"NA")</f>
        <v>NA</v>
      </c>
      <c r="E379" s="3" t="str">
        <f>IFERROR(__xludf.DUMMYFUNCTION("""COMPUTED_VALUE"""),"Washing ")</f>
        <v>Washing </v>
      </c>
      <c r="F379" s="3" t="str">
        <f>IFERROR(__xludf.DUMMYFUNCTION("""COMPUTED_VALUE"""),"Compact Cylinder")</f>
        <v>Compact Cylinder</v>
      </c>
      <c r="G379" s="3" t="str">
        <f>IFERROR(__xludf.DUMMYFUNCTION("""COMPUTED_VALUE"""),"ADN-20-25-I-P-A 
Part number: 536246")</f>
        <v>ADN-20-25-I-P-A 
Part number: 536246</v>
      </c>
      <c r="H379" s="3" t="str">
        <f>IFERROR(__xludf.DUMMYFUNCTION("""COMPUTED_VALUE"""),"festo")</f>
        <v>festo</v>
      </c>
      <c r="I379" s="3">
        <f>IFERROR(__xludf.DUMMYFUNCTION("""COMPUTED_VALUE"""),1.0)</f>
        <v>1</v>
      </c>
      <c r="J379" s="3" t="str">
        <f>IFERROR(__xludf.DUMMYFUNCTION("""COMPUTED_VALUE"""),"pcs")</f>
        <v>pcs</v>
      </c>
      <c r="K379" s="5" t="str">
        <f>IFERROR(__xludf.DUMMYFUNCTION("""COMPUTED_VALUE"""),"https://drive.google.com/file/d/1Yhsabet0ghaUCiI33hbC0r7VpcqGudv3/view?usp=drive_link")</f>
        <v>https://drive.google.com/file/d/1Yhsabet0ghaUCiI33hbC0r7VpcqGudv3/view?usp=drive_link</v>
      </c>
      <c r="L379" s="3" t="str">
        <f>IFERROR(__xludf.DUMMYFUNCTION("""COMPUTED_VALUE"""),"Minta tolong beliin Compact cylinder untuk infeed washing ")</f>
        <v>Minta tolong beliin Compact cylinder untuk infeed washing </v>
      </c>
      <c r="M379" s="3" t="str">
        <f>IFERROR(__xludf.DUMMYFUNCTION("""COMPUTED_VALUE"""),"Approve")</f>
        <v>Approve</v>
      </c>
      <c r="N379" s="3" t="str">
        <f>IFERROR(__xludf.DUMMYFUNCTION("""COMPUTED_VALUE"""),"Normal")</f>
        <v>Normal</v>
      </c>
      <c r="O379" s="3" t="str">
        <f>IFERROR(__xludf.DUMMYFUNCTION("""COMPUTED_VALUE"""),"Non Urgent")</f>
        <v>Non Urgent</v>
      </c>
    </row>
    <row r="380">
      <c r="A380" s="4">
        <f>IFERROR(__xludf.DUMMYFUNCTION("""COMPUTED_VALUE"""),45897.44489056713)</f>
        <v>45897.44489</v>
      </c>
      <c r="B380" s="3" t="str">
        <f>IFERROR(__xludf.DUMMYFUNCTION("""COMPUTED_VALUE"""),"ROSBR0037")</f>
        <v>ROSBR0037</v>
      </c>
      <c r="C380" s="3" t="str">
        <f>IFERROR(__xludf.DUMMYFUNCTION("""COMPUTED_VALUE"""),"Consumable")</f>
        <v>Consumable</v>
      </c>
      <c r="D380" s="3" t="str">
        <f>IFERROR(__xludf.DUMMYFUNCTION("""COMPUTED_VALUE"""),"NA")</f>
        <v>NA</v>
      </c>
      <c r="E380" s="3" t="str">
        <f>IFERROR(__xludf.DUMMYFUNCTION("""COMPUTED_VALUE"""),"Washing ")</f>
        <v>Washing </v>
      </c>
      <c r="F380" s="3" t="str">
        <f>IFERROR(__xludf.DUMMYFUNCTION("""COMPUTED_VALUE"""),"Speed Control")</f>
        <v>Speed Control</v>
      </c>
      <c r="G380" s="3" t="str">
        <f>IFERROR(__xludf.DUMMYFUNCTION("""COMPUTED_VALUE"""),"One-way flow control valve 
GRLA-M5-QS-4-RS-D 
Part number: 197577
Meter out")</f>
        <v>One-way flow control valve 
GRLA-M5-QS-4-RS-D 
Part number: 197577
Meter out</v>
      </c>
      <c r="H380" s="3" t="str">
        <f>IFERROR(__xludf.DUMMYFUNCTION("""COMPUTED_VALUE"""),"Festo")</f>
        <v>Festo</v>
      </c>
      <c r="I380" s="3">
        <f>IFERROR(__xludf.DUMMYFUNCTION("""COMPUTED_VALUE"""),6.0)</f>
        <v>6</v>
      </c>
      <c r="J380" s="3" t="str">
        <f>IFERROR(__xludf.DUMMYFUNCTION("""COMPUTED_VALUE"""),"pcs")</f>
        <v>pcs</v>
      </c>
      <c r="K380" s="5" t="str">
        <f>IFERROR(__xludf.DUMMYFUNCTION("""COMPUTED_VALUE"""),"https://drive.google.com/file/d/1Yhsabet0ghaUCiI33hbC0r7VpcqGudv3/view?usp=drive_link")</f>
        <v>https://drive.google.com/file/d/1Yhsabet0ghaUCiI33hbC0r7VpcqGudv3/view?usp=drive_link</v>
      </c>
      <c r="L380" s="3" t="str">
        <f>IFERROR(__xludf.DUMMYFUNCTION("""COMPUTED_VALUE"""),"Minta tolong beliin speed control sesuai spesifikasi tersebut sudah meter out")</f>
        <v>Minta tolong beliin speed control sesuai spesifikasi tersebut sudah meter out</v>
      </c>
      <c r="M380" s="3" t="str">
        <f>IFERROR(__xludf.DUMMYFUNCTION("""COMPUTED_VALUE"""),"Approve")</f>
        <v>Approve</v>
      </c>
      <c r="N380" s="3" t="str">
        <f>IFERROR(__xludf.DUMMYFUNCTION("""COMPUTED_VALUE"""),"Normal")</f>
        <v>Normal</v>
      </c>
      <c r="O380" s="3" t="str">
        <f>IFERROR(__xludf.DUMMYFUNCTION("""COMPUTED_VALUE"""),"Non Urgent")</f>
        <v>Non Urgent</v>
      </c>
    </row>
    <row r="381">
      <c r="A381" s="4">
        <f>IFERROR(__xludf.DUMMYFUNCTION("""COMPUTED_VALUE"""),45898.26037145833)</f>
        <v>45898.26037</v>
      </c>
      <c r="B381" s="3" t="str">
        <f>IFERROR(__xludf.DUMMYFUNCTION("""COMPUTED_VALUE"""),"MRNBR0055")</f>
        <v>MRNBR0055</v>
      </c>
      <c r="C381" s="3" t="str">
        <f>IFERROR(__xludf.DUMMYFUNCTION("""COMPUTED_VALUE"""),"EJO")</f>
        <v>EJO</v>
      </c>
      <c r="D381" s="3" t="str">
        <f>IFERROR(__xludf.DUMMYFUNCTION("""COMPUTED_VALUE"""),"EJO/2025/07/105")</f>
        <v>EJO/2025/07/105</v>
      </c>
      <c r="E381" s="3" t="str">
        <f>IFERROR(__xludf.DUMMYFUNCTION("""COMPUTED_VALUE"""),"Chamber WIP dan incubator")</f>
        <v>Chamber WIP dan incubator</v>
      </c>
      <c r="F381" s="3" t="str">
        <f>IFERROR(__xludf.DUMMYFUNCTION("""COMPUTED_VALUE"""),"Pipa tembaga")</f>
        <v>Pipa tembaga</v>
      </c>
      <c r="G381" s="3" t="str">
        <f>IFERROR(__xludf.DUMMYFUNCTION("""COMPUTED_VALUE"""),"1/2 inch")</f>
        <v>1/2 inch</v>
      </c>
      <c r="H381" s="3" t="str">
        <f>IFERROR(__xludf.DUMMYFUNCTION("""COMPUTED_VALUE"""),"NS")</f>
        <v>NS</v>
      </c>
      <c r="I381" s="3">
        <f>IFERROR(__xludf.DUMMYFUNCTION("""COMPUTED_VALUE"""),25.0)</f>
        <v>25</v>
      </c>
      <c r="J381" s="3" t="str">
        <f>IFERROR(__xludf.DUMMYFUNCTION("""COMPUTED_VALUE"""),"meter")</f>
        <v>meter</v>
      </c>
      <c r="K381" s="5" t="str">
        <f>IFERROR(__xludf.DUMMYFUNCTION("""COMPUTED_VALUE"""),"https://www.tokopedia.com/allspareparts/pipa-tembaga-platinum-1-4-roll-0-76mm?extParam=ivf%3Dfalse%26keyword%3Dpipa+tembaga+1+4%26search_id%3D20250828231634577BCC914F9E5529BGDI%26src%3Dsearch")</f>
        <v>https://www.tokopedia.com/allspareparts/pipa-tembaga-platinum-1-4-roll-0-76mm?extParam=ivf%3Dfalse%26keyword%3Dpipa+tembaga+1+4%26search_id%3D20250828231634577BCC914F9E5529BGDI%26src%3Dsearch</v>
      </c>
      <c r="L381" s="3" t="str">
        <f>IFERROR(__xludf.DUMMYFUNCTION("""COMPUTED_VALUE"""),"Untuk lewat mesin FD (REJECT BY MFH KARENA SUDAH TIDAK PERLU)")</f>
        <v>Untuk lewat mesin FD (REJECT BY MFH KARENA SUDAH TIDAK PERLU)</v>
      </c>
      <c r="M381" s="3" t="str">
        <f>IFERROR(__xludf.DUMMYFUNCTION("""COMPUTED_VALUE"""),"Reject")</f>
        <v>Reject</v>
      </c>
      <c r="N381" s="3" t="str">
        <f>IFERROR(__xludf.DUMMYFUNCTION("""COMPUTED_VALUE"""),"Normal")</f>
        <v>Normal</v>
      </c>
      <c r="O381" s="3" t="str">
        <f>IFERROR(__xludf.DUMMYFUNCTION("""COMPUTED_VALUE"""),"Non Urgent")</f>
        <v>Non Urgent</v>
      </c>
    </row>
    <row r="382">
      <c r="A382" s="4">
        <f>IFERROR(__xludf.DUMMYFUNCTION("""COMPUTED_VALUE"""),45898.26265208333)</f>
        <v>45898.26265</v>
      </c>
      <c r="B382" s="3" t="str">
        <f>IFERROR(__xludf.DUMMYFUNCTION("""COMPUTED_VALUE"""),"MRNBR0056")</f>
        <v>MRNBR0056</v>
      </c>
      <c r="C382" s="3" t="str">
        <f>IFERROR(__xludf.DUMMYFUNCTION("""COMPUTED_VALUE"""),"EJO")</f>
        <v>EJO</v>
      </c>
      <c r="D382" s="3" t="str">
        <f>IFERROR(__xludf.DUMMYFUNCTION("""COMPUTED_VALUE"""),"EJO/2025/07/105")</f>
        <v>EJO/2025/07/105</v>
      </c>
      <c r="E382" s="3" t="str">
        <f>IFERROR(__xludf.DUMMYFUNCTION("""COMPUTED_VALUE"""),"Chamber WIP dan incubator")</f>
        <v>Chamber WIP dan incubator</v>
      </c>
      <c r="F382" s="3" t="str">
        <f>IFERROR(__xludf.DUMMYFUNCTION("""COMPUTED_VALUE"""),"Pipa tembaga")</f>
        <v>Pipa tembaga</v>
      </c>
      <c r="G382" s="3" t="str">
        <f>IFERROR(__xludf.DUMMYFUNCTION("""COMPUTED_VALUE"""),"3/8 inch")</f>
        <v>3/8 inch</v>
      </c>
      <c r="H382" s="3" t="str">
        <f>IFERROR(__xludf.DUMMYFUNCTION("""COMPUTED_VALUE"""),"NS")</f>
        <v>NS</v>
      </c>
      <c r="I382" s="3">
        <f>IFERROR(__xludf.DUMMYFUNCTION("""COMPUTED_VALUE"""),25.0)</f>
        <v>25</v>
      </c>
      <c r="J382" s="3" t="str">
        <f>IFERROR(__xludf.DUMMYFUNCTION("""COMPUTED_VALUE"""),"meter")</f>
        <v>meter</v>
      </c>
      <c r="K382" s="5" t="str">
        <f>IFERROR(__xludf.DUMMYFUNCTION("""COMPUTED_VALUE"""),"https://www.tokopedia.com/ademselalu/pipa-tembaga-3-8-x-15-meter-merk-ns-copper-tube-3-8-ns?extParam=ivf%3Dfalse%26keyword%3Dpipa+tembaga+3%2F8%26search_id%3D20250828231918D81F9C1BE2E0892FFF76%26src%3Dsearch&amp;t_id=1756423161801&amp;t_st=1&amp;t_pp=search_result&amp;t_"&amp;"efo=search_pure_goods_card&amp;t_ef=goods_search&amp;t_sm=&amp;t_spt=search_result")</f>
        <v>https://www.tokopedia.com/ademselalu/pipa-tembaga-3-8-x-15-meter-merk-ns-copper-tube-3-8-ns?extParam=ivf%3Dfalse%26keyword%3Dpipa+tembaga+3%2F8%26search_id%3D20250828231918D81F9C1BE2E0892FFF76%26src%3Dsearch&amp;t_id=1756423161801&amp;t_st=1&amp;t_pp=search_result&amp;t_efo=search_pure_goods_card&amp;t_ef=goods_search&amp;t_sm=&amp;t_spt=search_result</v>
      </c>
      <c r="L382" s="3" t="str">
        <f>IFERROR(__xludf.DUMMYFUNCTION("""COMPUTED_VALUE"""),"Untuk lewat mesin FD")</f>
        <v>Untuk lewat mesin FD</v>
      </c>
      <c r="M382" s="3" t="str">
        <f>IFERROR(__xludf.DUMMYFUNCTION("""COMPUTED_VALUE"""),"Approve")</f>
        <v>Approve</v>
      </c>
      <c r="N382" s="3" t="str">
        <f>IFERROR(__xludf.DUMMYFUNCTION("""COMPUTED_VALUE"""),"Normal")</f>
        <v>Normal</v>
      </c>
      <c r="O382" s="3" t="str">
        <f>IFERROR(__xludf.DUMMYFUNCTION("""COMPUTED_VALUE"""),"Non Urgent")</f>
        <v>Non Urgent</v>
      </c>
    </row>
    <row r="383">
      <c r="A383" s="4">
        <f>IFERROR(__xludf.DUMMYFUNCTION("""COMPUTED_VALUE"""),45898.264021840274)</f>
        <v>45898.26402</v>
      </c>
      <c r="B383" s="3" t="str">
        <f>IFERROR(__xludf.DUMMYFUNCTION("""COMPUTED_VALUE"""),"MRNBR0057")</f>
        <v>MRNBR0057</v>
      </c>
      <c r="C383" s="3" t="str">
        <f>IFERROR(__xludf.DUMMYFUNCTION("""COMPUTED_VALUE"""),"EJO")</f>
        <v>EJO</v>
      </c>
      <c r="D383" s="3" t="str">
        <f>IFERROR(__xludf.DUMMYFUNCTION("""COMPUTED_VALUE"""),"EJO/2025/07/105")</f>
        <v>EJO/2025/07/105</v>
      </c>
      <c r="E383" s="3" t="str">
        <f>IFERROR(__xludf.DUMMYFUNCTION("""COMPUTED_VALUE"""),"Chamber WIP dan incubator")</f>
        <v>Chamber WIP dan incubator</v>
      </c>
      <c r="F383" s="3" t="str">
        <f>IFERROR(__xludf.DUMMYFUNCTION("""COMPUTED_VALUE"""),"Elbow tembaga")</f>
        <v>Elbow tembaga</v>
      </c>
      <c r="G383" s="3" t="str">
        <f>IFERROR(__xludf.DUMMYFUNCTION("""COMPUTED_VALUE"""),"3/4 inch")</f>
        <v>3/4 inch</v>
      </c>
      <c r="H383" s="3" t="str">
        <f>IFERROR(__xludf.DUMMYFUNCTION("""COMPUTED_VALUE"""),"NA")</f>
        <v>NA</v>
      </c>
      <c r="I383" s="3">
        <f>IFERROR(__xludf.DUMMYFUNCTION("""COMPUTED_VALUE"""),5.0)</f>
        <v>5</v>
      </c>
      <c r="J383" s="3" t="str">
        <f>IFERROR(__xludf.DUMMYFUNCTION("""COMPUTED_VALUE"""),"pcs")</f>
        <v>pcs</v>
      </c>
      <c r="K383" s="5" t="str">
        <f>IFERROR(__xludf.DUMMYFUNCTION("""COMPUTED_VALUE"""),"https://www.tokopedia.com/suryatamapart/elbow-tembaga-1-4-sampai-2-1-8-sambungan-ac-keni-tembaga-1?aff_unique_id=&amp;channel=others&amp;chain_key=")</f>
        <v>https://www.tokopedia.com/suryatamapart/elbow-tembaga-1-4-sampai-2-1-8-sambungan-ac-keni-tembaga-1?aff_unique_id=&amp;channel=others&amp;chain_key=</v>
      </c>
      <c r="L383" s="3" t="str">
        <f>IFERROR(__xludf.DUMMYFUNCTION("""COMPUTED_VALUE"""),"Untuk lewat mesin FD")</f>
        <v>Untuk lewat mesin FD</v>
      </c>
      <c r="M383" s="3" t="str">
        <f>IFERROR(__xludf.DUMMYFUNCTION("""COMPUTED_VALUE"""),"Approve")</f>
        <v>Approve</v>
      </c>
      <c r="N383" s="3" t="str">
        <f>IFERROR(__xludf.DUMMYFUNCTION("""COMPUTED_VALUE"""),"Normal")</f>
        <v>Normal</v>
      </c>
      <c r="O383" s="3" t="str">
        <f>IFERROR(__xludf.DUMMYFUNCTION("""COMPUTED_VALUE"""),"Non Urgent")</f>
        <v>Non Urgent</v>
      </c>
    </row>
    <row r="384">
      <c r="A384" s="4">
        <f>IFERROR(__xludf.DUMMYFUNCTION("""COMPUTED_VALUE"""),45898.26689313657)</f>
        <v>45898.26689</v>
      </c>
      <c r="B384" s="3" t="str">
        <f>IFERROR(__xludf.DUMMYFUNCTION("""COMPUTED_VALUE"""),"MRNBR0058")</f>
        <v>MRNBR0058</v>
      </c>
      <c r="C384" s="3" t="str">
        <f>IFERROR(__xludf.DUMMYFUNCTION("""COMPUTED_VALUE"""),"EJO")</f>
        <v>EJO</v>
      </c>
      <c r="D384" s="3" t="str">
        <f>IFERROR(__xludf.DUMMYFUNCTION("""COMPUTED_VALUE"""),"EJO/2025/07/105")</f>
        <v>EJO/2025/07/105</v>
      </c>
      <c r="E384" s="3" t="str">
        <f>IFERROR(__xludf.DUMMYFUNCTION("""COMPUTED_VALUE"""),"Chamber WIP dan incubator")</f>
        <v>Chamber WIP dan incubator</v>
      </c>
      <c r="F384" s="3" t="str">
        <f>IFERROR(__xludf.DUMMYFUNCTION("""COMPUTED_VALUE"""),"Elbow tembaga")</f>
        <v>Elbow tembaga</v>
      </c>
      <c r="G384" s="3" t="str">
        <f>IFERROR(__xludf.DUMMYFUNCTION("""COMPUTED_VALUE"""),"3/8 inch")</f>
        <v>3/8 inch</v>
      </c>
      <c r="H384" s="3" t="str">
        <f>IFERROR(__xludf.DUMMYFUNCTION("""COMPUTED_VALUE"""),"NA")</f>
        <v>NA</v>
      </c>
      <c r="I384" s="3">
        <f>IFERROR(__xludf.DUMMYFUNCTION("""COMPUTED_VALUE"""),5.0)</f>
        <v>5</v>
      </c>
      <c r="J384" s="3" t="str">
        <f>IFERROR(__xludf.DUMMYFUNCTION("""COMPUTED_VALUE"""),"pcs")</f>
        <v>pcs</v>
      </c>
      <c r="K384" s="5" t="str">
        <f>IFERROR(__xludf.DUMMYFUNCTION("""COMPUTED_VALUE"""),"https://www.tokopedia.com/suryatamapart/elbow-tembaga-1-4-sampai-2-1-8-sambungan-ac-keni-tembaga-1?aff_unique_id=&amp;channel=others&amp;chain_key=")</f>
        <v>https://www.tokopedia.com/suryatamapart/elbow-tembaga-1-4-sampai-2-1-8-sambungan-ac-keni-tembaga-1?aff_unique_id=&amp;channel=others&amp;chain_key=</v>
      </c>
      <c r="L384" s="3" t="str">
        <f>IFERROR(__xludf.DUMMYFUNCTION("""COMPUTED_VALUE"""),"Untuk lewat mesin FD")</f>
        <v>Untuk lewat mesin FD</v>
      </c>
      <c r="M384" s="3" t="str">
        <f>IFERROR(__xludf.DUMMYFUNCTION("""COMPUTED_VALUE"""),"Approve")</f>
        <v>Approve</v>
      </c>
      <c r="N384" s="3" t="str">
        <f>IFERROR(__xludf.DUMMYFUNCTION("""COMPUTED_VALUE"""),"Normal")</f>
        <v>Normal</v>
      </c>
      <c r="O384" s="3" t="str">
        <f>IFERROR(__xludf.DUMMYFUNCTION("""COMPUTED_VALUE"""),"Non Urgent")</f>
        <v>Non Urgent</v>
      </c>
    </row>
    <row r="385">
      <c r="A385" s="4">
        <f>IFERROR(__xludf.DUMMYFUNCTION("""COMPUTED_VALUE"""),45898.26739858796)</f>
        <v>45898.2674</v>
      </c>
      <c r="B385" s="3" t="str">
        <f>IFERROR(__xludf.DUMMYFUNCTION("""COMPUTED_VALUE"""),"MRNBR0059")</f>
        <v>MRNBR0059</v>
      </c>
      <c r="C385" s="3" t="str">
        <f>IFERROR(__xludf.DUMMYFUNCTION("""COMPUTED_VALUE"""),"EJO")</f>
        <v>EJO</v>
      </c>
      <c r="D385" s="3" t="str">
        <f>IFERROR(__xludf.DUMMYFUNCTION("""COMPUTED_VALUE"""),"EJO/2025/07/105")</f>
        <v>EJO/2025/07/105</v>
      </c>
      <c r="E385" s="3" t="str">
        <f>IFERROR(__xludf.DUMMYFUNCTION("""COMPUTED_VALUE"""),"Chamber WIP dan incubator")</f>
        <v>Chamber WIP dan incubator</v>
      </c>
      <c r="F385" s="3" t="str">
        <f>IFERROR(__xludf.DUMMYFUNCTION("""COMPUTED_VALUE"""),"Shock tembaga")</f>
        <v>Shock tembaga</v>
      </c>
      <c r="G385" s="3" t="str">
        <f>IFERROR(__xludf.DUMMYFUNCTION("""COMPUTED_VALUE"""),"3/4 inch")</f>
        <v>3/4 inch</v>
      </c>
      <c r="H385" s="3" t="str">
        <f>IFERROR(__xludf.DUMMYFUNCTION("""COMPUTED_VALUE"""),"NA")</f>
        <v>NA</v>
      </c>
      <c r="I385" s="3">
        <f>IFERROR(__xludf.DUMMYFUNCTION("""COMPUTED_VALUE"""),5.0)</f>
        <v>5</v>
      </c>
      <c r="J385" s="3" t="str">
        <f>IFERROR(__xludf.DUMMYFUNCTION("""COMPUTED_VALUE"""),"pcs")</f>
        <v>pcs</v>
      </c>
      <c r="K385" s="5" t="str">
        <f>IFERROR(__xludf.DUMMYFUNCTION("""COMPUTED_VALUE"""),"https://www.tokopedia.com/suryatamapart/elbow-tembaga-1-4-sampai-2-1-8-sambungan-ac-keni-tembaga-1?aff_unique_id=&amp;channel=others&amp;chain_key=")</f>
        <v>https://www.tokopedia.com/suryatamapart/elbow-tembaga-1-4-sampai-2-1-8-sambungan-ac-keni-tembaga-1?aff_unique_id=&amp;channel=others&amp;chain_key=</v>
      </c>
      <c r="L385" s="3" t="str">
        <f>IFERROR(__xludf.DUMMYFUNCTION("""COMPUTED_VALUE"""),"Untuk lewat mesin FD")</f>
        <v>Untuk lewat mesin FD</v>
      </c>
      <c r="M385" s="3" t="str">
        <f>IFERROR(__xludf.DUMMYFUNCTION("""COMPUTED_VALUE"""),"Approve")</f>
        <v>Approve</v>
      </c>
      <c r="N385" s="3" t="str">
        <f>IFERROR(__xludf.DUMMYFUNCTION("""COMPUTED_VALUE"""),"Normal")</f>
        <v>Normal</v>
      </c>
      <c r="O385" s="3" t="str">
        <f>IFERROR(__xludf.DUMMYFUNCTION("""COMPUTED_VALUE"""),"Non Urgent")</f>
        <v>Non Urgent</v>
      </c>
    </row>
    <row r="386">
      <c r="A386" s="4">
        <f>IFERROR(__xludf.DUMMYFUNCTION("""COMPUTED_VALUE"""),45898.267572696765)</f>
        <v>45898.26757</v>
      </c>
      <c r="B386" s="3" t="str">
        <f>IFERROR(__xludf.DUMMYFUNCTION("""COMPUTED_VALUE"""),"MRNBR0060")</f>
        <v>MRNBR0060</v>
      </c>
      <c r="C386" s="3" t="str">
        <f>IFERROR(__xludf.DUMMYFUNCTION("""COMPUTED_VALUE"""),"EJO")</f>
        <v>EJO</v>
      </c>
      <c r="D386" s="3" t="str">
        <f>IFERROR(__xludf.DUMMYFUNCTION("""COMPUTED_VALUE"""),"EJO/2025/07/105")</f>
        <v>EJO/2025/07/105</v>
      </c>
      <c r="E386" s="3" t="str">
        <f>IFERROR(__xludf.DUMMYFUNCTION("""COMPUTED_VALUE"""),"Chamber WIP dan incubator")</f>
        <v>Chamber WIP dan incubator</v>
      </c>
      <c r="F386" s="3" t="str">
        <f>IFERROR(__xludf.DUMMYFUNCTION("""COMPUTED_VALUE"""),"Shock tembaga")</f>
        <v>Shock tembaga</v>
      </c>
      <c r="G386" s="3" t="str">
        <f>IFERROR(__xludf.DUMMYFUNCTION("""COMPUTED_VALUE"""),"3/8 inch")</f>
        <v>3/8 inch</v>
      </c>
      <c r="H386" s="3" t="str">
        <f>IFERROR(__xludf.DUMMYFUNCTION("""COMPUTED_VALUE"""),"NA")</f>
        <v>NA</v>
      </c>
      <c r="I386" s="3">
        <f>IFERROR(__xludf.DUMMYFUNCTION("""COMPUTED_VALUE"""),5.0)</f>
        <v>5</v>
      </c>
      <c r="J386" s="3" t="str">
        <f>IFERROR(__xludf.DUMMYFUNCTION("""COMPUTED_VALUE"""),"pcs")</f>
        <v>pcs</v>
      </c>
      <c r="K386" s="5" t="str">
        <f>IFERROR(__xludf.DUMMYFUNCTION("""COMPUTED_VALUE"""),"https://www.tokopedia.com/suryatamapart/elbow-tembaga-1-4-sampai-2-1-8-sambungan-ac-keni-tembaga-1?aff_unique_id=&amp;channel=others&amp;chain_key=")</f>
        <v>https://www.tokopedia.com/suryatamapart/elbow-tembaga-1-4-sampai-2-1-8-sambungan-ac-keni-tembaga-1?aff_unique_id=&amp;channel=others&amp;chain_key=</v>
      </c>
      <c r="L386" s="3" t="str">
        <f>IFERROR(__xludf.DUMMYFUNCTION("""COMPUTED_VALUE"""),"Untuk lewat mesin FD")</f>
        <v>Untuk lewat mesin FD</v>
      </c>
      <c r="M386" s="3" t="str">
        <f>IFERROR(__xludf.DUMMYFUNCTION("""COMPUTED_VALUE"""),"Approve")</f>
        <v>Approve</v>
      </c>
      <c r="N386" s="3" t="str">
        <f>IFERROR(__xludf.DUMMYFUNCTION("""COMPUTED_VALUE"""),"Normal")</f>
        <v>Normal</v>
      </c>
      <c r="O386" s="3" t="str">
        <f>IFERROR(__xludf.DUMMYFUNCTION("""COMPUTED_VALUE"""),"Non Urgent")</f>
        <v>Non Urgent</v>
      </c>
    </row>
    <row r="387">
      <c r="A387" s="4">
        <f>IFERROR(__xludf.DUMMYFUNCTION("""COMPUTED_VALUE"""),45898.27047527778)</f>
        <v>45898.27048</v>
      </c>
      <c r="B387" s="3" t="str">
        <f>IFERROR(__xludf.DUMMYFUNCTION("""COMPUTED_VALUE"""),"MRNBR0061")</f>
        <v>MRNBR0061</v>
      </c>
      <c r="C387" s="3" t="str">
        <f>IFERROR(__xludf.DUMMYFUNCTION("""COMPUTED_VALUE"""),"EJO")</f>
        <v>EJO</v>
      </c>
      <c r="D387" s="3" t="str">
        <f>IFERROR(__xludf.DUMMYFUNCTION("""COMPUTED_VALUE"""),"EJO/2025/07/105")</f>
        <v>EJO/2025/07/105</v>
      </c>
      <c r="E387" s="3" t="str">
        <f>IFERROR(__xludf.DUMMYFUNCTION("""COMPUTED_VALUE"""),"Chamber WIP dan incubator")</f>
        <v>Chamber WIP dan incubator</v>
      </c>
      <c r="F387" s="3" t="str">
        <f>IFERROR(__xludf.DUMMYFUNCTION("""COMPUTED_VALUE"""),"Insulasi pipa tembaga")</f>
        <v>Insulasi pipa tembaga</v>
      </c>
      <c r="G387" s="3" t="str">
        <f>IFERROR(__xludf.DUMMYFUNCTION("""COMPUTED_VALUE"""),"1/2 inch")</f>
        <v>1/2 inch</v>
      </c>
      <c r="H387" s="3" t="str">
        <f>IFERROR(__xludf.DUMMYFUNCTION("""COMPUTED_VALUE"""),"insulflex")</f>
        <v>insulflex</v>
      </c>
      <c r="I387" s="3">
        <f>IFERROR(__xludf.DUMMYFUNCTION("""COMPUTED_VALUE"""),50.0)</f>
        <v>50</v>
      </c>
      <c r="J387" s="3" t="str">
        <f>IFERROR(__xludf.DUMMYFUNCTION("""COMPUTED_VALUE"""),"meter")</f>
        <v>meter</v>
      </c>
      <c r="K387" s="5" t="str">
        <f>IFERROR(__xludf.DUMMYFUNCTION("""COMPUTED_VALUE"""),"https://www.tokopedia.com/sensensaprepart/insulasi-pembungkus-pipa-ac-3-4-inch-insuflex-pembungkus-pipa?extParam=ivf%3Dfalse%26keyword%3Dinsuflex+pipa+tembaga+3%2F4%26search_id%3D20250828232903D81F9C1BE2E0890D0HFS%26src%3Dsearch&amp;t_id=1756423677996&amp;t_st=3&amp;"&amp;"t_pp=search_result&amp;t_efo=search_pure_goods_card&amp;t_ef=goods_search&amp;t_sm=&amp;t_spt=search_result")</f>
        <v>https://www.tokopedia.com/sensensaprepart/insulasi-pembungkus-pipa-ac-3-4-inch-insuflex-pembungkus-pipa?extParam=ivf%3Dfalse%26keyword%3Dinsuflex+pipa+tembaga+3%2F4%26search_id%3D20250828232903D81F9C1BE2E0890D0HFS%26src%3Dsearch&amp;t_id=1756423677996&amp;t_st=3&amp;t_pp=search_result&amp;t_efo=search_pure_goods_card&amp;t_ef=goods_search&amp;t_sm=&amp;t_spt=search_result</v>
      </c>
      <c r="L387" s="3" t="str">
        <f>IFERROR(__xludf.DUMMYFUNCTION("""COMPUTED_VALUE"""),"Untuk lewat mesin FD")</f>
        <v>Untuk lewat mesin FD</v>
      </c>
      <c r="M387" s="3" t="str">
        <f>IFERROR(__xludf.DUMMYFUNCTION("""COMPUTED_VALUE"""),"Approve")</f>
        <v>Approve</v>
      </c>
      <c r="N387" s="3" t="str">
        <f>IFERROR(__xludf.DUMMYFUNCTION("""COMPUTED_VALUE"""),"Normal")</f>
        <v>Normal</v>
      </c>
      <c r="O387" s="3" t="str">
        <f>IFERROR(__xludf.DUMMYFUNCTION("""COMPUTED_VALUE"""),"Non Urgent")</f>
        <v>Non Urgent</v>
      </c>
    </row>
    <row r="388">
      <c r="A388" s="4">
        <f>IFERROR(__xludf.DUMMYFUNCTION("""COMPUTED_VALUE"""),45898.27142380786)</f>
        <v>45898.27142</v>
      </c>
      <c r="B388" s="3" t="str">
        <f>IFERROR(__xludf.DUMMYFUNCTION("""COMPUTED_VALUE"""),"MRNBR0062")</f>
        <v>MRNBR0062</v>
      </c>
      <c r="C388" s="3" t="str">
        <f>IFERROR(__xludf.DUMMYFUNCTION("""COMPUTED_VALUE"""),"EJO")</f>
        <v>EJO</v>
      </c>
      <c r="D388" s="3" t="str">
        <f>IFERROR(__xludf.DUMMYFUNCTION("""COMPUTED_VALUE"""),"EJO/2025/07/105")</f>
        <v>EJO/2025/07/105</v>
      </c>
      <c r="E388" s="3" t="str">
        <f>IFERROR(__xludf.DUMMYFUNCTION("""COMPUTED_VALUE"""),"Chamber WIP dan incubator")</f>
        <v>Chamber WIP dan incubator</v>
      </c>
      <c r="F388" s="3" t="str">
        <f>IFERROR(__xludf.DUMMYFUNCTION("""COMPUTED_VALUE"""),"Insulasi pipa tembaga")</f>
        <v>Insulasi pipa tembaga</v>
      </c>
      <c r="G388" s="3" t="str">
        <f>IFERROR(__xludf.DUMMYFUNCTION("""COMPUTED_VALUE"""),"3/8 inch")</f>
        <v>3/8 inch</v>
      </c>
      <c r="H388" s="3" t="str">
        <f>IFERROR(__xludf.DUMMYFUNCTION("""COMPUTED_VALUE"""),"insulflex")</f>
        <v>insulflex</v>
      </c>
      <c r="I388" s="3">
        <f>IFERROR(__xludf.DUMMYFUNCTION("""COMPUTED_VALUE"""),50.0)</f>
        <v>50</v>
      </c>
      <c r="J388" s="3" t="str">
        <f>IFERROR(__xludf.DUMMYFUNCTION("""COMPUTED_VALUE"""),"meter")</f>
        <v>meter</v>
      </c>
      <c r="K388" s="5" t="str">
        <f>IFERROR(__xludf.DUMMYFUNCTION("""COMPUTED_VALUE"""),"https://www.tokopedia.com/sensensaprepart/insulasi-pembungkus-pipa-ac-3-4-inch-insuflex-pembungkus-pipa?extParam=ivf%3Dfalse%26keyword%3Dinsuflex+pipa+tembaga+3%2F4%26search_id%3D20250828232903D81F9C1BE2E0890D0HFS%26src%3Dsearch&amp;t_id=1756423677996&amp;t_st=3&amp;"&amp;"t_pp=search_result&amp;t_efo=search_pure_goods_card&amp;t_ef=goods_search&amp;t_sm=&amp;t_spt=search_result")</f>
        <v>https://www.tokopedia.com/sensensaprepart/insulasi-pembungkus-pipa-ac-3-4-inch-insuflex-pembungkus-pipa?extParam=ivf%3Dfalse%26keyword%3Dinsuflex+pipa+tembaga+3%2F4%26search_id%3D20250828232903D81F9C1BE2E0890D0HFS%26src%3Dsearch&amp;t_id=1756423677996&amp;t_st=3&amp;t_pp=search_result&amp;t_efo=search_pure_goods_card&amp;t_ef=goods_search&amp;t_sm=&amp;t_spt=search_result</v>
      </c>
      <c r="L388" s="3" t="str">
        <f>IFERROR(__xludf.DUMMYFUNCTION("""COMPUTED_VALUE"""),"Untuk lewat mesin FD")</f>
        <v>Untuk lewat mesin FD</v>
      </c>
      <c r="M388" s="3" t="str">
        <f>IFERROR(__xludf.DUMMYFUNCTION("""COMPUTED_VALUE"""),"Approve")</f>
        <v>Approve</v>
      </c>
      <c r="N388" s="3" t="str">
        <f>IFERROR(__xludf.DUMMYFUNCTION("""COMPUTED_VALUE"""),"Normal")</f>
        <v>Normal</v>
      </c>
      <c r="O388" s="3" t="str">
        <f>IFERROR(__xludf.DUMMYFUNCTION("""COMPUTED_VALUE"""),"Non Urgent")</f>
        <v>Non Urgent</v>
      </c>
    </row>
    <row r="389">
      <c r="A389" s="4">
        <f>IFERROR(__xludf.DUMMYFUNCTION("""COMPUTED_VALUE"""),45898.27144203704)</f>
        <v>45898.27144</v>
      </c>
      <c r="B389" s="3" t="str">
        <f>IFERROR(__xludf.DUMMYFUNCTION("""COMPUTED_VALUE"""),"MRNBR0063")</f>
        <v>MRNBR0063</v>
      </c>
      <c r="C389" s="3" t="str">
        <f>IFERROR(__xludf.DUMMYFUNCTION("""COMPUTED_VALUE"""),"EJO")</f>
        <v>EJO</v>
      </c>
      <c r="D389" s="3" t="str">
        <f>IFERROR(__xludf.DUMMYFUNCTION("""COMPUTED_VALUE"""),"EJO/2025/07/105")</f>
        <v>EJO/2025/07/105</v>
      </c>
      <c r="E389" s="3" t="str">
        <f>IFERROR(__xludf.DUMMYFUNCTION("""COMPUTED_VALUE"""),"Chamber WIP dan incubator")</f>
        <v>Chamber WIP dan incubator</v>
      </c>
      <c r="F389" s="3" t="str">
        <f>IFERROR(__xludf.DUMMYFUNCTION("""COMPUTED_VALUE"""),"Insulasi pipa tembaga")</f>
        <v>Insulasi pipa tembaga</v>
      </c>
      <c r="G389" s="3" t="str">
        <f>IFERROR(__xludf.DUMMYFUNCTION("""COMPUTED_VALUE"""),"3/4 inch")</f>
        <v>3/4 inch</v>
      </c>
      <c r="H389" s="3" t="str">
        <f>IFERROR(__xludf.DUMMYFUNCTION("""COMPUTED_VALUE"""),"insulflex")</f>
        <v>insulflex</v>
      </c>
      <c r="I389" s="3">
        <f>IFERROR(__xludf.DUMMYFUNCTION("""COMPUTED_VALUE"""),10.0)</f>
        <v>10</v>
      </c>
      <c r="J389" s="3" t="str">
        <f>IFERROR(__xludf.DUMMYFUNCTION("""COMPUTED_VALUE"""),"meter")</f>
        <v>meter</v>
      </c>
      <c r="K389" s="5" t="str">
        <f>IFERROR(__xludf.DUMMYFUNCTION("""COMPUTED_VALUE"""),"https://www.tokopedia.com/sensensaprepart/insulasi-pembungkus-pipa-ac-3-4-inch-insuflex-pembungkus-pipa?extParam=ivf%3Dfalse%26keyword%3Dinsuflex+pipa+tembaga+3%2F4%26search_id%3D20250828232903D81F9C1BE2E0890D0HFS%26src%3Dsearch&amp;t_id=1756423677996&amp;t_st=3&amp;"&amp;"t_pp=search_result&amp;t_efo=search_pure_goods_card&amp;t_ef=goods_search&amp;t_sm=&amp;t_spt=search_result")</f>
        <v>https://www.tokopedia.com/sensensaprepart/insulasi-pembungkus-pipa-ac-3-4-inch-insuflex-pembungkus-pipa?extParam=ivf%3Dfalse%26keyword%3Dinsuflex+pipa+tembaga+3%2F4%26search_id%3D20250828232903D81F9C1BE2E0890D0HFS%26src%3Dsearch&amp;t_id=1756423677996&amp;t_st=3&amp;t_pp=search_result&amp;t_efo=search_pure_goods_card&amp;t_ef=goods_search&amp;t_sm=&amp;t_spt=search_result</v>
      </c>
      <c r="L389" s="3" t="str">
        <f>IFERROR(__xludf.DUMMYFUNCTION("""COMPUTED_VALUE"""),"Untuk lewat mesin FD")</f>
        <v>Untuk lewat mesin FD</v>
      </c>
      <c r="M389" s="3" t="str">
        <f>IFERROR(__xludf.DUMMYFUNCTION("""COMPUTED_VALUE"""),"Approve")</f>
        <v>Approve</v>
      </c>
      <c r="N389" s="3" t="str">
        <f>IFERROR(__xludf.DUMMYFUNCTION("""COMPUTED_VALUE"""),"Normal")</f>
        <v>Normal</v>
      </c>
      <c r="O389" s="3" t="str">
        <f>IFERROR(__xludf.DUMMYFUNCTION("""COMPUTED_VALUE"""),"Non Urgent")</f>
        <v>Non Urgent</v>
      </c>
    </row>
    <row r="390">
      <c r="A390" s="4">
        <f>IFERROR(__xludf.DUMMYFUNCTION("""COMPUTED_VALUE"""),45898.271451886576)</f>
        <v>45898.27145</v>
      </c>
      <c r="B390" s="3" t="str">
        <f>IFERROR(__xludf.DUMMYFUNCTION("""COMPUTED_VALUE"""),"MRNBR0064")</f>
        <v>MRNBR0064</v>
      </c>
      <c r="C390" s="3" t="str">
        <f>IFERROR(__xludf.DUMMYFUNCTION("""COMPUTED_VALUE"""),"EJO")</f>
        <v>EJO</v>
      </c>
      <c r="D390" s="3" t="str">
        <f>IFERROR(__xludf.DUMMYFUNCTION("""COMPUTED_VALUE"""),"EJO/2025/07/105")</f>
        <v>EJO/2025/07/105</v>
      </c>
      <c r="E390" s="3" t="str">
        <f>IFERROR(__xludf.DUMMYFUNCTION("""COMPUTED_VALUE"""),"Chamber WIP dan incubator")</f>
        <v>Chamber WIP dan incubator</v>
      </c>
      <c r="F390" s="3" t="str">
        <f>IFERROR(__xludf.DUMMYFUNCTION("""COMPUTED_VALUE"""),"Insulasi pipa tembaga")</f>
        <v>Insulasi pipa tembaga</v>
      </c>
      <c r="G390" s="3" t="str">
        <f>IFERROR(__xludf.DUMMYFUNCTION("""COMPUTED_VALUE"""),"3/8 inch")</f>
        <v>3/8 inch</v>
      </c>
      <c r="H390" s="3" t="str">
        <f>IFERROR(__xludf.DUMMYFUNCTION("""COMPUTED_VALUE"""),"insulflex")</f>
        <v>insulflex</v>
      </c>
      <c r="I390" s="3">
        <f>IFERROR(__xludf.DUMMYFUNCTION("""COMPUTED_VALUE"""),10.0)</f>
        <v>10</v>
      </c>
      <c r="J390" s="3" t="str">
        <f>IFERROR(__xludf.DUMMYFUNCTION("""COMPUTED_VALUE"""),"meter")</f>
        <v>meter</v>
      </c>
      <c r="K390" s="5" t="str">
        <f>IFERROR(__xludf.DUMMYFUNCTION("""COMPUTED_VALUE"""),"https://www.tokopedia.com/sensensaprepart/insulasi-pembungkus-pipa-ac-3-4-inch-insuflex-pembungkus-pipa?extParam=ivf%3Dfalse%26keyword%3Dinsuflex+pipa+tembaga+3%2F4%26search_id%3D20250828232903D81F9C1BE2E0890D0HFS%26src%3Dsearch&amp;t_id=1756423677996&amp;t_st=3&amp;"&amp;"t_pp=search_result&amp;t_efo=search_pure_goods_card&amp;t_ef=goods_search&amp;t_sm=&amp;t_spt=search_result")</f>
        <v>https://www.tokopedia.com/sensensaprepart/insulasi-pembungkus-pipa-ac-3-4-inch-insuflex-pembungkus-pipa?extParam=ivf%3Dfalse%26keyword%3Dinsuflex+pipa+tembaga+3%2F4%26search_id%3D20250828232903D81F9C1BE2E0890D0HFS%26src%3Dsearch&amp;t_id=1756423677996&amp;t_st=3&amp;t_pp=search_result&amp;t_efo=search_pure_goods_card&amp;t_ef=goods_search&amp;t_sm=&amp;t_spt=search_result</v>
      </c>
      <c r="L390" s="3" t="str">
        <f>IFERROR(__xludf.DUMMYFUNCTION("""COMPUTED_VALUE"""),"Untuk lewat mesin FD (REJECT BY MFH KARENA SAMA DENGAN MRNBR0062)")</f>
        <v>Untuk lewat mesin FD (REJECT BY MFH KARENA SAMA DENGAN MRNBR0062)</v>
      </c>
      <c r="M390" s="3" t="str">
        <f>IFERROR(__xludf.DUMMYFUNCTION("""COMPUTED_VALUE"""),"Reject")</f>
        <v>Reject</v>
      </c>
      <c r="N390" s="3" t="str">
        <f>IFERROR(__xludf.DUMMYFUNCTION("""COMPUTED_VALUE"""),"Normal")</f>
        <v>Normal</v>
      </c>
      <c r="O390" s="3" t="str">
        <f>IFERROR(__xludf.DUMMYFUNCTION("""COMPUTED_VALUE"""),"Non Urgent")</f>
        <v>Non Urgent</v>
      </c>
    </row>
    <row r="391">
      <c r="A391" s="4">
        <f>IFERROR(__xludf.DUMMYFUNCTION("""COMPUTED_VALUE"""),45898.27949403935)</f>
        <v>45898.27949</v>
      </c>
      <c r="B391" s="3" t="str">
        <f>IFERROR(__xludf.DUMMYFUNCTION("""COMPUTED_VALUE"""),"MRNBR0065")</f>
        <v>MRNBR0065</v>
      </c>
      <c r="C391" s="3" t="str">
        <f>IFERROR(__xludf.DUMMYFUNCTION("""COMPUTED_VALUE"""),"EJO")</f>
        <v>EJO</v>
      </c>
      <c r="D391" s="3" t="str">
        <f>IFERROR(__xludf.DUMMYFUNCTION("""COMPUTED_VALUE"""),"EJO/2025/07/105")</f>
        <v>EJO/2025/07/105</v>
      </c>
      <c r="E391" s="3" t="str">
        <f>IFERROR(__xludf.DUMMYFUNCTION("""COMPUTED_VALUE"""),"Chamber WIP dan incubator")</f>
        <v>Chamber WIP dan incubator</v>
      </c>
      <c r="F391" s="3" t="str">
        <f>IFERROR(__xludf.DUMMYFUNCTION("""COMPUTED_VALUE"""),"clamp omega")</f>
        <v>clamp omega</v>
      </c>
      <c r="G391" s="3" t="str">
        <f>IFERROR(__xludf.DUMMYFUNCTION("""COMPUTED_VALUE"""),"2 inch")</f>
        <v>2 inch</v>
      </c>
      <c r="H391" s="3" t="str">
        <f>IFERROR(__xludf.DUMMYFUNCTION("""COMPUTED_VALUE"""),"omega")</f>
        <v>omega</v>
      </c>
      <c r="I391" s="3">
        <f>IFERROR(__xludf.DUMMYFUNCTION("""COMPUTED_VALUE"""),25.0)</f>
        <v>25</v>
      </c>
      <c r="J391" s="3" t="str">
        <f>IFERROR(__xludf.DUMMYFUNCTION("""COMPUTED_VALUE"""),"pcs")</f>
        <v>pcs</v>
      </c>
      <c r="K391" s="5" t="str">
        <f>IFERROR(__xludf.DUMMYFUNCTION("""COMPUTED_VALUE"""),"https://www.tokopedia.com/nurishopsurabaya/klem-pipa-omega-1-2-3-4-1-11-4-11-2-2-21-2-3-4-inch-dim-plat-besi-seng-2?extParam=ivf%3Dfalse%26keyword%3Dclamp+omega%26search_id%3D202508282341324734BA6F3DE83D000DVP%26src%3Dsearch&amp;t_id=1756424495268&amp;t_st=1&amp;t_pp"&amp;"=search_result&amp;t_efo=search_pure_goods_card&amp;t_ef=goods_search&amp;t_sm=&amp;t_spt=search_result")</f>
        <v>https://www.tokopedia.com/nurishopsurabaya/klem-pipa-omega-1-2-3-4-1-11-4-11-2-2-21-2-3-4-inch-dim-plat-besi-seng-2?extParam=ivf%3Dfalse%26keyword%3Dclamp+omega%26search_id%3D202508282341324734BA6F3DE83D000DVP%26src%3Dsearch&amp;t_id=1756424495268&amp;t_st=1&amp;t_pp=search_result&amp;t_efo=search_pure_goods_card&amp;t_ef=goods_search&amp;t_sm=&amp;t_spt=search_result</v>
      </c>
      <c r="L391" s="3" t="str">
        <f>IFERROR(__xludf.DUMMYFUNCTION("""COMPUTED_VALUE"""),"Untuk lewat mesin FD (REJECT BY MEH KARENA SUDAH TIDAK PERLU)")</f>
        <v>Untuk lewat mesin FD (REJECT BY MEH KARENA SUDAH TIDAK PERLU)</v>
      </c>
      <c r="M391" s="3" t="str">
        <f>IFERROR(__xludf.DUMMYFUNCTION("""COMPUTED_VALUE"""),"Reject")</f>
        <v>Reject</v>
      </c>
      <c r="N391" s="3" t="str">
        <f>IFERROR(__xludf.DUMMYFUNCTION("""COMPUTED_VALUE"""),"Normal")</f>
        <v>Normal</v>
      </c>
      <c r="O391" s="3" t="str">
        <f>IFERROR(__xludf.DUMMYFUNCTION("""COMPUTED_VALUE"""),"Non Urgent")</f>
        <v>Non Urgent</v>
      </c>
    </row>
    <row r="392">
      <c r="A392" s="4">
        <f>IFERROR(__xludf.DUMMYFUNCTION("""COMPUTED_VALUE"""),45898.545948136576)</f>
        <v>45898.54595</v>
      </c>
      <c r="B392" s="3" t="str">
        <f>IFERROR(__xludf.DUMMYFUNCTION("""COMPUTED_VALUE"""),"RIABR0098")</f>
        <v>RIABR0098</v>
      </c>
      <c r="C392" s="3" t="str">
        <f>IFERROR(__xludf.DUMMYFUNCTION("""COMPUTED_VALUE"""),"Consumable")</f>
        <v>Consumable</v>
      </c>
      <c r="D392" s="3" t="str">
        <f>IFERROR(__xludf.DUMMYFUNCTION("""COMPUTED_VALUE"""),"-")</f>
        <v>-</v>
      </c>
      <c r="E392" s="3" t="str">
        <f>IFERROR(__xludf.DUMMYFUNCTION("""COMPUTED_VALUE"""),"Smoke Detector")</f>
        <v>Smoke Detector</v>
      </c>
      <c r="F392" s="3" t="str">
        <f>IFERROR(__xludf.DUMMYFUNCTION("""COMPUTED_VALUE"""),"Smoke Test")</f>
        <v>Smoke Test</v>
      </c>
      <c r="G392" s="3" t="str">
        <f>IFERROR(__xludf.DUMMYFUNCTION("""COMPUTED_VALUE"""),"SMOKE CHECK/SMOKE DETECTOR TESTER/SMOKE ALARM TESTER
Merk : SABRE")</f>
        <v>SMOKE CHECK/SMOKE DETECTOR TESTER/SMOKE ALARM TESTER
Merk : SABRE</v>
      </c>
      <c r="H392" s="3" t="str">
        <f>IFERROR(__xludf.DUMMYFUNCTION("""COMPUTED_VALUE"""),"Sabre")</f>
        <v>Sabre</v>
      </c>
      <c r="I392" s="3">
        <f>IFERROR(__xludf.DUMMYFUNCTION("""COMPUTED_VALUE"""),5.0)</f>
        <v>5</v>
      </c>
      <c r="J392" s="3" t="str">
        <f>IFERROR(__xludf.DUMMYFUNCTION("""COMPUTED_VALUE"""),"Pcs")</f>
        <v>Pcs</v>
      </c>
      <c r="K392" s="5" t="str">
        <f>IFERROR(__xludf.DUMMYFUNCTION("""COMPUTED_VALUE"""),"https://www.tokopedia.com/royalsafety/sabre-smoke-detector-tester-sabre-smoke-check-detector?extParam=ivf%3Dfalse%26keyword%3Dsmoke+detector+tester%26search_id%3D2025082904142234ED066DF378EF0D0BLN%26src%3Dsearch")</f>
        <v>https://www.tokopedia.com/royalsafety/sabre-smoke-detector-tester-sabre-smoke-check-detector?extParam=ivf%3Dfalse%26keyword%3Dsmoke+detector+tester%26search_id%3D2025082904142234ED066DF378EF0D0BLN%26src%3Dsearch</v>
      </c>
      <c r="L392" s="3" t="str">
        <f>IFERROR(__xludf.DUMMYFUNCTION("""COMPUTED_VALUE"""),"Untuk PM Alarm Smoke Detector")</f>
        <v>Untuk PM Alarm Smoke Detector</v>
      </c>
      <c r="M392" s="3" t="str">
        <f>IFERROR(__xludf.DUMMYFUNCTION("""COMPUTED_VALUE"""),"Approve")</f>
        <v>Approve</v>
      </c>
      <c r="N392" s="3" t="str">
        <f>IFERROR(__xludf.DUMMYFUNCTION("""COMPUTED_VALUE"""),"Normal")</f>
        <v>Normal</v>
      </c>
      <c r="O392" s="3" t="str">
        <f>IFERROR(__xludf.DUMMYFUNCTION("""COMPUTED_VALUE"""),"Non Urgent")</f>
        <v>Non Urgent</v>
      </c>
    </row>
    <row r="393">
      <c r="A393" s="4">
        <f>IFERROR(__xludf.DUMMYFUNCTION("""COMPUTED_VALUE"""),45898.5683937037)</f>
        <v>45898.56839</v>
      </c>
      <c r="B393" s="3" t="str">
        <f>IFERROR(__xludf.DUMMYFUNCTION("""COMPUTED_VALUE"""),"NDSBR0020")</f>
        <v>NDSBR0020</v>
      </c>
      <c r="C393" s="3" t="str">
        <f>IFERROR(__xludf.DUMMYFUNCTION("""COMPUTED_VALUE"""),"EJO")</f>
        <v>EJO</v>
      </c>
      <c r="D393" s="3" t="str">
        <f>IFERROR(__xludf.DUMMYFUNCTION("""COMPUTED_VALUE"""),"EJO/2025/09/35")</f>
        <v>EJO/2025/09/35</v>
      </c>
      <c r="E393" s="3" t="str">
        <f>IFERROR(__xludf.DUMMYFUNCTION("""COMPUTED_VALUE"""),"FBD")</f>
        <v>FBD</v>
      </c>
      <c r="F393" s="3" t="str">
        <f>IFERROR(__xludf.DUMMYFUNCTION("""COMPUTED_VALUE"""),"Oring Sampling FBD")</f>
        <v>Oring Sampling FBD</v>
      </c>
      <c r="G393" s="3" t="str">
        <f>IFERROR(__xludf.DUMMYFUNCTION("""COMPUTED_VALUE"""),"Sesuai pada drawing")</f>
        <v>Sesuai pada drawing</v>
      </c>
      <c r="H393" s="3" t="str">
        <f>IFERROR(__xludf.DUMMYFUNCTION("""COMPUTED_VALUE"""),"-")</f>
        <v>-</v>
      </c>
      <c r="I393" s="3">
        <f>IFERROR(__xludf.DUMMYFUNCTION("""COMPUTED_VALUE"""),5.0)</f>
        <v>5</v>
      </c>
      <c r="J393" s="3" t="str">
        <f>IFERROR(__xludf.DUMMYFUNCTION("""COMPUTED_VALUE"""),"PCS")</f>
        <v>PCS</v>
      </c>
      <c r="K393" s="5" t="str">
        <f>IFERROR(__xludf.DUMMYFUNCTION("""COMPUTED_VALUE"""),"https://drive.google.com/drive/folders/1LQqyQiA2P5E-JdfCZIrJqzj83jRESVoM?usp=drive_link")</f>
        <v>https://drive.google.com/drive/folders/1LQqyQiA2P5E-JdfCZIrJqzj83jRESVoM?usp=drive_link</v>
      </c>
      <c r="L393" s="3" t="str">
        <f>IFERROR(__xludf.DUMMYFUNCTION("""COMPUTED_VALUE"""),"Penawaran nomor 2 port sampling (REJECT BY MFH KARENA SUDAH DI BQ DI ANOBR0035)")</f>
        <v>Penawaran nomor 2 port sampling (REJECT BY MFH KARENA SUDAH DI BQ DI ANOBR0035)</v>
      </c>
      <c r="M393" s="3" t="str">
        <f>IFERROR(__xludf.DUMMYFUNCTION("""COMPUTED_VALUE"""),"Reject")</f>
        <v>Reject</v>
      </c>
      <c r="N393" s="3" t="str">
        <f>IFERROR(__xludf.DUMMYFUNCTION("""COMPUTED_VALUE"""),"Normal")</f>
        <v>Normal</v>
      </c>
      <c r="O393" s="3" t="str">
        <f>IFERROR(__xludf.DUMMYFUNCTION("""COMPUTED_VALUE"""),"Non Urgent")</f>
        <v>Non Urgent</v>
      </c>
    </row>
    <row r="394">
      <c r="A394" s="4">
        <f>IFERROR(__xludf.DUMMYFUNCTION("""COMPUTED_VALUE"""),45901.75995636574)</f>
        <v>45901.75996</v>
      </c>
      <c r="B394" s="3" t="str">
        <f>IFERROR(__xludf.DUMMYFUNCTION("""COMPUTED_VALUE"""),"MOBBR0043")</f>
        <v>MOBBR0043</v>
      </c>
      <c r="C394" s="3" t="str">
        <f>IFERROR(__xludf.DUMMYFUNCTION("""COMPUTED_VALUE"""),"EJO")</f>
        <v>EJO</v>
      </c>
      <c r="D394" s="3" t="str">
        <f>IFERROR(__xludf.DUMMYFUNCTION("""COMPUTED_VALUE"""),"EJO/2025/09/16")</f>
        <v>EJO/2025/09/16</v>
      </c>
      <c r="E394" s="3" t="str">
        <f>IFERROR(__xludf.DUMMYFUNCTION("""COMPUTED_VALUE"""),"PWG")</f>
        <v>PWG</v>
      </c>
      <c r="F394" s="3" t="str">
        <f>IFERROR(__xludf.DUMMYFUNCTION("""COMPUTED_VALUE"""),"Pressure Gauge")</f>
        <v>Pressure Gauge</v>
      </c>
      <c r="G394" s="3" t="str">
        <f>IFERROR(__xludf.DUMMYFUNCTION("""COMPUTED_VALUE"""),"BLD 2.5 10 Bar 3/4""")</f>
        <v>BLD 2.5 10 Bar 3/4"</v>
      </c>
      <c r="H394" s="3" t="str">
        <f>IFERROR(__xludf.DUMMYFUNCTION("""COMPUTED_VALUE"""),"BLD")</f>
        <v>BLD</v>
      </c>
      <c r="I394" s="3">
        <f>IFERROR(__xludf.DUMMYFUNCTION("""COMPUTED_VALUE"""),2.0)</f>
        <v>2</v>
      </c>
      <c r="J394" s="3" t="str">
        <f>IFERROR(__xludf.DUMMYFUNCTION("""COMPUTED_VALUE"""),"Pcs")</f>
        <v>Pcs</v>
      </c>
      <c r="K394" s="5" t="str">
        <f>IFERROR(__xludf.DUMMYFUNCTION("""COMPUTED_VALUE"""),"https://drive.google.com/file/d/1DzzmgNjSdgFek8aDUvMDkp1wEWrSiEUL/view?usp=sharing")</f>
        <v>https://drive.google.com/file/d/1DzzmgNjSdgFek8aDUvMDkp1wEWrSiEUL/view?usp=sharing</v>
      </c>
      <c r="L394" s="3" t="str">
        <f>IFERROR(__xludf.DUMMYFUNCTION("""COMPUTED_VALUE"""),"Penggantian di PWG (Deviasi) (REJECT KARENA TIDAK LENGKAP)")</f>
        <v>Penggantian di PWG (Deviasi) (REJECT KARENA TIDAK LENGKAP)</v>
      </c>
      <c r="M394" s="3" t="str">
        <f>IFERROR(__xludf.DUMMYFUNCTION("""COMPUTED_VALUE"""),"Reject")</f>
        <v>Reject</v>
      </c>
      <c r="N394" s="3" t="str">
        <f>IFERROR(__xludf.DUMMYFUNCTION("""COMPUTED_VALUE"""),"Normal")</f>
        <v>Normal</v>
      </c>
      <c r="O394" s="3" t="str">
        <f>IFERROR(__xludf.DUMMYFUNCTION("""COMPUTED_VALUE"""),"Non Urgent")</f>
        <v>Non Urgent</v>
      </c>
    </row>
    <row r="395">
      <c r="A395" s="4">
        <f>IFERROR(__xludf.DUMMYFUNCTION("""COMPUTED_VALUE"""),45901.75995636574)</f>
        <v>45901.75996</v>
      </c>
      <c r="B395" s="3" t="str">
        <f>IFERROR(__xludf.DUMMYFUNCTION("""COMPUTED_VALUE"""),"MOBBR0044")</f>
        <v>MOBBR0044</v>
      </c>
      <c r="C395" s="3" t="str">
        <f>IFERROR(__xludf.DUMMYFUNCTION("""COMPUTED_VALUE"""),"EJO")</f>
        <v>EJO</v>
      </c>
      <c r="D395" s="3" t="str">
        <f>IFERROR(__xludf.DUMMYFUNCTION("""COMPUTED_VALUE"""),"EJO/2025/09/23")</f>
        <v>EJO/2025/09/23</v>
      </c>
      <c r="E395" s="3" t="str">
        <f>IFERROR(__xludf.DUMMYFUNCTION("""COMPUTED_VALUE"""),"AHU")</f>
        <v>AHU</v>
      </c>
      <c r="F395" s="3" t="str">
        <f>IFERROR(__xludf.DUMMYFUNCTION("""COMPUTED_VALUE"""),"Diffuser+OBD")</f>
        <v>Diffuser+OBD</v>
      </c>
      <c r="G395" s="3" t="str">
        <f>IFERROR(__xludf.DUMMYFUNCTION("""COMPUTED_VALUE"""),"SUPPLY AIR DIFFUSER+OBD UK 200X200mm")</f>
        <v>SUPPLY AIR DIFFUSER+OBD UK 200X200mm</v>
      </c>
      <c r="H395" s="3" t="str">
        <f>IFERROR(__xludf.DUMMYFUNCTION("""COMPUTED_VALUE"""),"-")</f>
        <v>-</v>
      </c>
      <c r="I395" s="3">
        <f>IFERROR(__xludf.DUMMYFUNCTION("""COMPUTED_VALUE"""),5.0)</f>
        <v>5</v>
      </c>
      <c r="J395" s="3" t="str">
        <f>IFERROR(__xludf.DUMMYFUNCTION("""COMPUTED_VALUE"""),"Pcs")</f>
        <v>Pcs</v>
      </c>
      <c r="K395" s="5" t="str">
        <f>IFERROR(__xludf.DUMMYFUNCTION("""COMPUTED_VALUE"""),"https://www.tokopedia.com/defate/supply-air-diffuser-obd-uk-200x200mm-8-natural-luar-33cm-x-33cm")</f>
        <v>https://www.tokopedia.com/defate/supply-air-diffuser-obd-uk-200x200mm-8-natural-luar-33cm-x-33cm</v>
      </c>
      <c r="L395" s="3" t="str">
        <f>IFERROR(__xludf.DUMMYFUNCTION("""COMPUTED_VALUE"""),"Loker Pria Produksi Diffuser rontok")</f>
        <v>Loker Pria Produksi Diffuser rontok</v>
      </c>
      <c r="M395" s="3" t="str">
        <f>IFERROR(__xludf.DUMMYFUNCTION("""COMPUTED_VALUE"""),"Approve")</f>
        <v>Approve</v>
      </c>
      <c r="N395" s="3" t="str">
        <f>IFERROR(__xludf.DUMMYFUNCTION("""COMPUTED_VALUE"""),"Normal")</f>
        <v>Normal</v>
      </c>
      <c r="O395" s="3" t="str">
        <f>IFERROR(__xludf.DUMMYFUNCTION("""COMPUTED_VALUE"""),"Non Urgent")</f>
        <v>Non Urgent</v>
      </c>
    </row>
    <row r="396">
      <c r="A396" s="4">
        <f>IFERROR(__xludf.DUMMYFUNCTION("""COMPUTED_VALUE"""),45902.87549679398)</f>
        <v>45902.8755</v>
      </c>
      <c r="B396" s="3" t="str">
        <f>IFERROR(__xludf.DUMMYFUNCTION("""COMPUTED_VALUE"""),"SFHBR0032")</f>
        <v>SFHBR0032</v>
      </c>
      <c r="C396" s="3" t="str">
        <f>IFERROR(__xludf.DUMMYFUNCTION("""COMPUTED_VALUE"""),"Consumable")</f>
        <v>Consumable</v>
      </c>
      <c r="D396" s="3" t="str">
        <f>IFERROR(__xludf.DUMMYFUNCTION("""COMPUTED_VALUE"""),"-")</f>
        <v>-</v>
      </c>
      <c r="E396" s="3" t="str">
        <f>IFERROR(__xludf.DUMMYFUNCTION("""COMPUTED_VALUE"""),"lantai 3")</f>
        <v>lantai 3</v>
      </c>
      <c r="F396" s="3" t="str">
        <f>IFERROR(__xludf.DUMMYFUNCTION("""COMPUTED_VALUE"""),"kunci slot pintu toilet")</f>
        <v>kunci slot pintu toilet</v>
      </c>
      <c r="G396" s="3" t="str">
        <f>IFERROR(__xludf.DUMMYFUNCTION("""COMPUTED_VALUE"""),"Glass Lock Dekkson Dekson GL 621 CP Kunci Pintu Kaca kamar Mandi WC")</f>
        <v>Glass Lock Dekkson Dekson GL 621 CP Kunci Pintu Kaca kamar Mandi WC</v>
      </c>
      <c r="H396" s="3" t="str">
        <f>IFERROR(__xludf.DUMMYFUNCTION("""COMPUTED_VALUE"""),"Dekson")</f>
        <v>Dekson</v>
      </c>
      <c r="I396" s="3">
        <f>IFERROR(__xludf.DUMMYFUNCTION("""COMPUTED_VALUE"""),4.0)</f>
        <v>4</v>
      </c>
      <c r="J396" s="3" t="str">
        <f>IFERROR(__xludf.DUMMYFUNCTION("""COMPUTED_VALUE"""),"pcs")</f>
        <v>pcs</v>
      </c>
      <c r="K396" s="5" t="str">
        <f>IFERROR(__xludf.DUMMYFUNCTION("""COMPUTED_VALUE"""),"https://tk.tokopedia.com/ZSAsrpR1R/")</f>
        <v>https://tk.tokopedia.com/ZSAsrpR1R/</v>
      </c>
      <c r="L396" s="3" t="str">
        <f>IFERROR(__xludf.DUMMYFUNCTION("""COMPUTED_VALUE"""),"-")</f>
        <v>-</v>
      </c>
      <c r="M396" s="3" t="str">
        <f>IFERROR(__xludf.DUMMYFUNCTION("""COMPUTED_VALUE"""),"Approve")</f>
        <v>Approve</v>
      </c>
      <c r="N396" s="3" t="str">
        <f>IFERROR(__xludf.DUMMYFUNCTION("""COMPUTED_VALUE"""),"Normal")</f>
        <v>Normal</v>
      </c>
      <c r="O396" s="3" t="str">
        <f>IFERROR(__xludf.DUMMYFUNCTION("""COMPUTED_VALUE"""),"Non Urgent")</f>
        <v>Non Urgent</v>
      </c>
    </row>
    <row r="397">
      <c r="A397" s="4">
        <f>IFERROR(__xludf.DUMMYFUNCTION("""COMPUTED_VALUE"""),45902.93121052083)</f>
        <v>45902.93121</v>
      </c>
      <c r="B397" s="3" t="str">
        <f>IFERROR(__xludf.DUMMYFUNCTION("""COMPUTED_VALUE"""),"INNBR0041")</f>
        <v>INNBR0041</v>
      </c>
      <c r="C397" s="3" t="str">
        <f>IFERROR(__xludf.DUMMYFUNCTION("""COMPUTED_VALUE"""),"Consumable")</f>
        <v>Consumable</v>
      </c>
      <c r="D397" s="3" t="str">
        <f>IFERROR(__xludf.DUMMYFUNCTION("""COMPUTED_VALUE"""),"Na")</f>
        <v>Na</v>
      </c>
      <c r="E397" s="3" t="str">
        <f>IFERROR(__xludf.DUMMYFUNCTION("""COMPUTED_VALUE"""),"Caping")</f>
        <v>Caping</v>
      </c>
      <c r="F397" s="3" t="str">
        <f>IFERROR(__xludf.DUMMYFUNCTION("""COMPUTED_VALUE"""),"Bearing 6000 2RS SKF")</f>
        <v>Bearing 6000 2RS SKF</v>
      </c>
      <c r="G397" s="3" t="str">
        <f>IFERROR(__xludf.DUMMYFUNCTION("""COMPUTED_VALUE"""),"Re order karena di re order belum di masukan")</f>
        <v>Re order karena di re order belum di masukan</v>
      </c>
      <c r="H397" s="3" t="str">
        <f>IFERROR(__xludf.DUMMYFUNCTION("""COMPUTED_VALUE"""),"Capping")</f>
        <v>Capping</v>
      </c>
      <c r="I397" s="3">
        <f>IFERROR(__xludf.DUMMYFUNCTION("""COMPUTED_VALUE"""),30.0)</f>
        <v>30</v>
      </c>
      <c r="J397" s="3" t="str">
        <f>IFERROR(__xludf.DUMMYFUNCTION("""COMPUTED_VALUE"""),"Pcs")</f>
        <v>Pcs</v>
      </c>
      <c r="K397" s="3" t="str">
        <f>IFERROR(__xludf.DUMMYFUNCTION("""COMPUTED_VALUE"""),"Na")</f>
        <v>Na</v>
      </c>
      <c r="L397" s="3" t="str">
        <f>IFERROR(__xludf.DUMMYFUNCTION("""COMPUTED_VALUE"""),"Untuk cam follower dan stock (REJECT BY MFH KARENA ADA DI RE ORDER DENGAN DESKRIPSI ""Bearing 6000 2RS H SKF"" DAN SUDAH BQ OLEH RIZAL DI ROSRO0010)")</f>
        <v>Untuk cam follower dan stock (REJECT BY MFH KARENA ADA DI RE ORDER DENGAN DESKRIPSI "Bearing 6000 2RS H SKF" DAN SUDAH BQ OLEH RIZAL DI ROSRO0010)</v>
      </c>
      <c r="M397" s="3" t="str">
        <f>IFERROR(__xludf.DUMMYFUNCTION("""COMPUTED_VALUE"""),"Reject")</f>
        <v>Reject</v>
      </c>
      <c r="N397" s="3" t="str">
        <f>IFERROR(__xludf.DUMMYFUNCTION("""COMPUTED_VALUE"""),"Normal")</f>
        <v>Normal</v>
      </c>
      <c r="O397" s="3" t="str">
        <f>IFERROR(__xludf.DUMMYFUNCTION("""COMPUTED_VALUE"""),"Non Urgent")</f>
        <v>Non Urgent</v>
      </c>
    </row>
    <row r="398">
      <c r="A398" s="4">
        <f>IFERROR(__xludf.DUMMYFUNCTION("""COMPUTED_VALUE"""),45904.46296048612)</f>
        <v>45904.46296</v>
      </c>
      <c r="B398" s="3" t="str">
        <f>IFERROR(__xludf.DUMMYFUNCTION("""COMPUTED_VALUE"""),"ANOBR0028")</f>
        <v>ANOBR0028</v>
      </c>
      <c r="C398" s="3" t="str">
        <f>IFERROR(__xludf.DUMMYFUNCTION("""COMPUTED_VALUE"""),"Consumable")</f>
        <v>Consumable</v>
      </c>
      <c r="D398" s="3" t="str">
        <f>IFERROR(__xludf.DUMMYFUNCTION("""COMPUTED_VALUE"""),"-")</f>
        <v>-</v>
      </c>
      <c r="E398" s="3" t="str">
        <f>IFERROR(__xludf.DUMMYFUNCTION("""COMPUTED_VALUE"""),"Instrumen BSC")</f>
        <v>Instrumen BSC</v>
      </c>
      <c r="F398" s="3" t="str">
        <f>IFERROR(__xludf.DUMMYFUNCTION("""COMPUTED_VALUE"""),"kunci L bintang ")</f>
        <v>kunci L bintang </v>
      </c>
      <c r="G398" s="3" t="str">
        <f>IFERROR(__xludf.DUMMYFUNCTION("""COMPUTED_VALUE"""),"kunci L bintang 1 sett")</f>
        <v>kunci L bintang 1 sett</v>
      </c>
      <c r="H398" s="3" t="str">
        <f>IFERROR(__xludf.DUMMYFUNCTION("""COMPUTED_VALUE"""),"tekiro")</f>
        <v>tekiro</v>
      </c>
      <c r="I398" s="3">
        <f>IFERROR(__xludf.DUMMYFUNCTION("""COMPUTED_VALUE"""),1.0)</f>
        <v>1</v>
      </c>
      <c r="J398" s="3" t="str">
        <f>IFERROR(__xludf.DUMMYFUNCTION("""COMPUTED_VALUE"""),"set")</f>
        <v>set</v>
      </c>
      <c r="K398" s="5" t="str">
        <f>IFERROR(__xludf.DUMMYFUNCTION("""COMPUTED_VALUE"""),"https://www.tokopedia.com/discovery/rekomendasi?recomProdId=12425365593&amp;utm_source=google&amp;utm_medium=cpc&amp;utm_campaign=0000-0000-gg-gpmx-bran-nwb-tcpa-nwb-int-tp-id51mlab01-0000-alon-alon&amp;utm_term=12425365593&amp;ref=googleshopping&amp;c=22562631326&amp;m=185508013&amp;gc"&amp;"lsrc=aw.ds&amp;gad_source=1&amp;gad_campaignid=22566222628&amp;gbraid=0AAAAABhH3nSuDGMOeM57NjUfBu04uq8p3&amp;gclid=Cj0KCQjwzt_FBhCEARIsAJGFWVka_7YTwqAd1BflpqKYTnjkjAv140tE9xAJIZQymF-GXQEGnBk1XZMaAvvtEALw_wcB")</f>
        <v>https://www.tokopedia.com/discovery/rekomendasi?recomProdId=12425365593&amp;utm_source=google&amp;utm_medium=cpc&amp;utm_campaign=0000-0000-gg-gpmx-bran-nwb-tcpa-nwb-int-tp-id51mlab01-0000-alon-alon&amp;utm_term=12425365593&amp;ref=googleshopping&amp;c=22562631326&amp;m=185508013&amp;gclsrc=aw.ds&amp;gad_source=1&amp;gad_campaignid=22566222628&amp;gbraid=0AAAAABhH3nSuDGMOeM57NjUfBu04uq8p3&amp;gclid=Cj0KCQjwzt_FBhCEARIsAJGFWVka_7YTwqAd1BflpqKYTnjkjAv140tE9xAJIZQymF-GXQEGnBk1XZMaAvvtEALw_wcB</v>
      </c>
      <c r="L398" s="3" t="str">
        <f>IFERROR(__xludf.DUMMYFUNCTION("""COMPUTED_VALUE"""),"untuk keperluan troubleshooting di instrumen bsc")</f>
        <v>untuk keperluan troubleshooting di instrumen bsc</v>
      </c>
      <c r="M398" s="3" t="str">
        <f>IFERROR(__xludf.DUMMYFUNCTION("""COMPUTED_VALUE"""),"Approve")</f>
        <v>Approve</v>
      </c>
      <c r="N398" s="3" t="str">
        <f>IFERROR(__xludf.DUMMYFUNCTION("""COMPUTED_VALUE"""),"Normal")</f>
        <v>Normal</v>
      </c>
      <c r="O398" s="3" t="str">
        <f>IFERROR(__xludf.DUMMYFUNCTION("""COMPUTED_VALUE"""),"Non Urgent")</f>
        <v>Non Urgent</v>
      </c>
    </row>
    <row r="399">
      <c r="A399" s="4">
        <f>IFERROR(__xludf.DUMMYFUNCTION("""COMPUTED_VALUE"""),45904.463117037034)</f>
        <v>45904.46312</v>
      </c>
      <c r="B399" s="3" t="str">
        <f>IFERROR(__xludf.DUMMYFUNCTION("""COMPUTED_VALUE"""),"ANOBR0029")</f>
        <v>ANOBR0029</v>
      </c>
      <c r="C399" s="3" t="str">
        <f>IFERROR(__xludf.DUMMYFUNCTION("""COMPUTED_VALUE"""),"Consumable")</f>
        <v>Consumable</v>
      </c>
      <c r="D399" s="3" t="str">
        <f>IFERROR(__xludf.DUMMYFUNCTION("""COMPUTED_VALUE"""),"-")</f>
        <v>-</v>
      </c>
      <c r="E399" s="3" t="str">
        <f>IFERROR(__xludf.DUMMYFUNCTION("""COMPUTED_VALUE"""),"MS30,HPLC")</f>
        <v>MS30,HPLC</v>
      </c>
      <c r="F399" s="3" t="str">
        <f>IFERROR(__xludf.DUMMYFUNCTION("""COMPUTED_VALUE"""),"kunci L MINI SIze ")</f>
        <v>kunci L MINI SIze </v>
      </c>
      <c r="G399" s="3" t="str">
        <f>IFERROR(__xludf.DUMMYFUNCTION("""COMPUTED_VALUE"""),"kunci L MINI SIze 1 sett size 3.0 - 0.71")</f>
        <v>kunci L MINI SIze 1 sett size 3.0 - 0.71</v>
      </c>
      <c r="H399" s="3" t="str">
        <f>IFERROR(__xludf.DUMMYFUNCTION("""COMPUTED_VALUE"""),"tekiro")</f>
        <v>tekiro</v>
      </c>
      <c r="I399" s="3">
        <f>IFERROR(__xludf.DUMMYFUNCTION("""COMPUTED_VALUE"""),1.0)</f>
        <v>1</v>
      </c>
      <c r="J399" s="3" t="str">
        <f>IFERROR(__xludf.DUMMYFUNCTION("""COMPUTED_VALUE"""),"set")</f>
        <v>set</v>
      </c>
      <c r="K399" s="5" t="str">
        <f>IFERROR(__xludf.DUMMYFUNCTION("""COMPUTED_VALUE"""),"https://www.tokopedia.com/tekniktoolsglodok/kunci-l-set-mini-7-pcs-mili-tekiro?extParam=ivf%3Dfalse%26keyword%3Dkonci+l+kecil%26search_id%3D202509040350329FD81843AD7F20054EMU%26src%3Dsearch&amp;t_id=1756957838260&amp;t_st=1&amp;t_pp=search_result&amp;t_efo=search_pure_go"&amp;"ods_card&amp;t_ef=goods_search&amp;t_sm=&amp;t_spt=search_result")</f>
        <v>https://www.tokopedia.com/tekniktoolsglodok/kunci-l-set-mini-7-pcs-mili-tekiro?extParam=ivf%3Dfalse%26keyword%3Dkonci+l+kecil%26search_id%3D202509040350329FD81843AD7F20054EMU%26src%3Dsearch&amp;t_id=1756957838260&amp;t_st=1&amp;t_pp=search_result&amp;t_efo=search_pure_goods_card&amp;t_ef=goods_search&amp;t_sm=&amp;t_spt=search_result</v>
      </c>
      <c r="L399" s="3" t="str">
        <f>IFERROR(__xludf.DUMMYFUNCTION("""COMPUTED_VALUE"""),"untuk keperluan troubleshooting di mesin MS30 dan HPLC")</f>
        <v>untuk keperluan troubleshooting di mesin MS30 dan HPLC</v>
      </c>
      <c r="M399" s="3" t="str">
        <f>IFERROR(__xludf.DUMMYFUNCTION("""COMPUTED_VALUE"""),"Approve")</f>
        <v>Approve</v>
      </c>
      <c r="N399" s="3" t="str">
        <f>IFERROR(__xludf.DUMMYFUNCTION("""COMPUTED_VALUE"""),"Normal")</f>
        <v>Normal</v>
      </c>
      <c r="O399" s="3" t="str">
        <f>IFERROR(__xludf.DUMMYFUNCTION("""COMPUTED_VALUE"""),"Non Urgent")</f>
        <v>Non Urgent</v>
      </c>
    </row>
    <row r="400">
      <c r="A400" s="4">
        <f>IFERROR(__xludf.DUMMYFUNCTION("""COMPUTED_VALUE"""),45905.45207731482)</f>
        <v>45905.45208</v>
      </c>
      <c r="B400" s="3" t="str">
        <f>IFERROR(__xludf.DUMMYFUNCTION("""COMPUTED_VALUE"""),"RIABR0099")</f>
        <v>RIABR0099</v>
      </c>
      <c r="C400" s="3" t="str">
        <f>IFERROR(__xludf.DUMMYFUNCTION("""COMPUTED_VALUE"""),"Consumable")</f>
        <v>Consumable</v>
      </c>
      <c r="D400" s="3" t="str">
        <f>IFERROR(__xludf.DUMMYFUNCTION("""COMPUTED_VALUE"""),"-")</f>
        <v>-</v>
      </c>
      <c r="E400" s="3" t="str">
        <f>IFERROR(__xludf.DUMMYFUNCTION("""COMPUTED_VALUE"""),"WWTP")</f>
        <v>WWTP</v>
      </c>
      <c r="F400" s="3" t="str">
        <f>IFERROR(__xludf.DUMMYFUNCTION("""COMPUTED_VALUE"""),"Benang")</f>
        <v>Benang</v>
      </c>
      <c r="G400" s="3" t="str">
        <f>IFERROR(__xludf.DUMMYFUNCTION("""COMPUTED_VALUE"""),"Benang Tahan Panas, benangnya biasa di pake untuk jait mesin boiler/pemanas ,ukuran benang sperti ukuran 20/2 ,hrga diatas buat 1 mtr ya bukan per pcs / roll. meter 1 roll isinya 1 mter")</f>
        <v>Benang Tahan Panas, benangnya biasa di pake untuk jait mesin boiler/pemanas ,ukuran benang sperti ukuran 20/2 ,hrga diatas buat 1 mtr ya bukan per pcs / roll. meter 1 roll isinya 1 mter</v>
      </c>
      <c r="H400" s="3" t="str">
        <f>IFERROR(__xludf.DUMMYFUNCTION("""COMPUTED_VALUE"""),"Lokal")</f>
        <v>Lokal</v>
      </c>
      <c r="I400" s="3">
        <f>IFERROR(__xludf.DUMMYFUNCTION("""COMPUTED_VALUE"""),10.0)</f>
        <v>10</v>
      </c>
      <c r="J400" s="3" t="str">
        <f>IFERROR(__xludf.DUMMYFUNCTION("""COMPUTED_VALUE"""),"Mtr")</f>
        <v>Mtr</v>
      </c>
      <c r="K400" s="5" t="str">
        <f>IFERROR(__xludf.DUMMYFUNCTION("""COMPUTED_VALUE"""),"https://www.tokopedia.com/dunia-benang-acc/benang-anti-panas-tahan-panas?extParam=ivf%3Dfalse%26keyword%3Dtali+tahan+panas%26search_id%3D2025090503432094F6D7E04A4D45133ZQV%26src%3Dsearch&amp;t_id=1757043813252&amp;t_st=8&amp;t_pp=search_result&amp;t_efo=search_pure_goods"&amp;"_card&amp;t_ef=goods_search&amp;t_sm=&amp;t_spt=search_result")</f>
        <v>https://www.tokopedia.com/dunia-benang-acc/benang-anti-panas-tahan-panas?extParam=ivf%3Dfalse%26keyword%3Dtali+tahan+panas%26search_id%3D2025090503432094F6D7E04A4D45133ZQV%26src%3Dsearch&amp;t_id=1757043813252&amp;t_st=8&amp;t_pp=search_result&amp;t_efo=search_pure_goods_card&amp;t_ef=goods_search&amp;t_sm=&amp;t_spt=search_result</v>
      </c>
      <c r="L400" s="3" t="str">
        <f>IFERROR(__xludf.DUMMYFUNCTION("""COMPUTED_VALUE"""),"Untuk ganti tali di float switch alarm kondensat karena existing putus tidak kuat panas")</f>
        <v>Untuk ganti tali di float switch alarm kondensat karena existing putus tidak kuat panas</v>
      </c>
      <c r="M400" s="3" t="str">
        <f>IFERROR(__xludf.DUMMYFUNCTION("""COMPUTED_VALUE"""),"Approve")</f>
        <v>Approve</v>
      </c>
      <c r="N400" s="3" t="str">
        <f>IFERROR(__xludf.DUMMYFUNCTION("""COMPUTED_VALUE"""),"Normal")</f>
        <v>Normal</v>
      </c>
      <c r="O400" s="3" t="str">
        <f>IFERROR(__xludf.DUMMYFUNCTION("""COMPUTED_VALUE"""),"Non Urgent")</f>
        <v>Non Urgent</v>
      </c>
    </row>
    <row r="401">
      <c r="A401" s="4">
        <f>IFERROR(__xludf.DUMMYFUNCTION("""COMPUTED_VALUE"""),45906.539621261574)</f>
        <v>45906.53962</v>
      </c>
      <c r="B401" s="3" t="str">
        <f>IFERROR(__xludf.DUMMYFUNCTION("""COMPUTED_VALUE"""),"MOBBR0045")</f>
        <v>MOBBR0045</v>
      </c>
      <c r="C401" s="3" t="str">
        <f>IFERROR(__xludf.DUMMYFUNCTION("""COMPUTED_VALUE"""),"Critical Part")</f>
        <v>Critical Part</v>
      </c>
      <c r="D401" s="3" t="str">
        <f>IFERROR(__xludf.DUMMYFUNCTION("""COMPUTED_VALUE"""),"-")</f>
        <v>-</v>
      </c>
      <c r="E401" s="3" t="str">
        <f>IFERROR(__xludf.DUMMYFUNCTION("""COMPUTED_VALUE"""),"PC ASRS")</f>
        <v>PC ASRS</v>
      </c>
      <c r="F401" s="3" t="str">
        <f>IFERROR(__xludf.DUMMYFUNCTION("""COMPUTED_VALUE"""),"Converter RS232 to USB")</f>
        <v>Converter RS232 to USB</v>
      </c>
      <c r="G401" s="3" t="str">
        <f>IFERROR(__xludf.DUMMYFUNCTION("""COMPUTED_VALUE"""),"UC232A")</f>
        <v>UC232A</v>
      </c>
      <c r="H401" s="3" t="str">
        <f>IFERROR(__xludf.DUMMYFUNCTION("""COMPUTED_VALUE"""),"Aten")</f>
        <v>Aten</v>
      </c>
      <c r="I401" s="3">
        <f>IFERROR(__xludf.DUMMYFUNCTION("""COMPUTED_VALUE"""),4.0)</f>
        <v>4</v>
      </c>
      <c r="J401" s="3" t="str">
        <f>IFERROR(__xludf.DUMMYFUNCTION("""COMPUTED_VALUE"""),"Pcs")</f>
        <v>Pcs</v>
      </c>
      <c r="K401" s="5" t="str">
        <f>IFERROR(__xludf.DUMMYFUNCTION("""COMPUTED_VALUE"""),"https://www.aten.com/global/en/products/usb-solutions/converters/uc232a/")</f>
        <v>https://www.aten.com/global/en/products/usb-solutions/converters/uc232a/</v>
      </c>
      <c r="L401" s="3" t="str">
        <f>IFERROR(__xludf.DUMMYFUNCTION("""COMPUTED_VALUE"""),"Converter Comm 1 dan 3 PC ASRS")</f>
        <v>Converter Comm 1 dan 3 PC ASRS</v>
      </c>
      <c r="M401" s="3" t="str">
        <f>IFERROR(__xludf.DUMMYFUNCTION("""COMPUTED_VALUE"""),"Approve")</f>
        <v>Approve</v>
      </c>
      <c r="N401" s="3" t="str">
        <f>IFERROR(__xludf.DUMMYFUNCTION("""COMPUTED_VALUE"""),"Normal")</f>
        <v>Normal</v>
      </c>
      <c r="O401" s="3" t="str">
        <f>IFERROR(__xludf.DUMMYFUNCTION("""COMPUTED_VALUE"""),"Non Urgent")</f>
        <v>Non Urgent</v>
      </c>
    </row>
    <row r="402">
      <c r="A402" s="4">
        <f>IFERROR(__xludf.DUMMYFUNCTION("""COMPUTED_VALUE"""),45906.69848425926)</f>
        <v>45906.69848</v>
      </c>
      <c r="B402" s="3" t="str">
        <f>IFERROR(__xludf.DUMMYFUNCTION("""COMPUTED_VALUE"""),"NDSBR0021")</f>
        <v>NDSBR0021</v>
      </c>
      <c r="C402" s="3" t="str">
        <f>IFERROR(__xludf.DUMMYFUNCTION("""COMPUTED_VALUE"""),"EJO")</f>
        <v>EJO</v>
      </c>
      <c r="D402" s="3" t="str">
        <f>IFERROR(__xludf.DUMMYFUNCTION("""COMPUTED_VALUE"""),"EJO/2025/08/32")</f>
        <v>EJO/2025/08/32</v>
      </c>
      <c r="E402" s="3" t="str">
        <f>IFERROR(__xludf.DUMMYFUNCTION("""COMPUTED_VALUE"""),"Isolator Dispesing OSD")</f>
        <v>Isolator Dispesing OSD</v>
      </c>
      <c r="F402" s="3" t="str">
        <f>IFERROR(__xludf.DUMMYFUNCTION("""COMPUTED_VALUE"""),"O Ring")</f>
        <v>O Ring</v>
      </c>
      <c r="G402" s="3" t="str">
        <f>IFERROR(__xludf.DUMMYFUNCTION("""COMPUTED_VALUE"""),"Sesuai pada drawing")</f>
        <v>Sesuai pada drawing</v>
      </c>
      <c r="H402" s="3" t="str">
        <f>IFERROR(__xludf.DUMMYFUNCTION("""COMPUTED_VALUE"""),"-")</f>
        <v>-</v>
      </c>
      <c r="I402" s="3">
        <f>IFERROR(__xludf.DUMMYFUNCTION("""COMPUTED_VALUE"""),3.0)</f>
        <v>3</v>
      </c>
      <c r="J402" s="3" t="str">
        <f>IFERROR(__xludf.DUMMYFUNCTION("""COMPUTED_VALUE"""),"Pcs")</f>
        <v>Pcs</v>
      </c>
      <c r="K402" s="5" t="str">
        <f>IFERROR(__xludf.DUMMYFUNCTION("""COMPUTED_VALUE"""),"https://drive.google.com/drive/folders/1y-rKMglsFTNznmxxH_yqJMlTV0GIDohn?usp=drive_link")</f>
        <v>https://drive.google.com/drive/folders/1y-rKMglsFTNznmxxH_yqJMlTV0GIDohn?usp=drive_link</v>
      </c>
      <c r="L402" s="3" t="str">
        <f>IFERROR(__xludf.DUMMYFUNCTION("""COMPUTED_VALUE"""),"Penawaran Nomor 1 ")</f>
        <v>Penawaran Nomor 1 </v>
      </c>
      <c r="M402" s="3" t="str">
        <f>IFERROR(__xludf.DUMMYFUNCTION("""COMPUTED_VALUE"""),"Approve")</f>
        <v>Approve</v>
      </c>
      <c r="N402" s="3" t="str">
        <f>IFERROR(__xludf.DUMMYFUNCTION("""COMPUTED_VALUE"""),"Normal")</f>
        <v>Normal</v>
      </c>
      <c r="O402" s="3" t="str">
        <f>IFERROR(__xludf.DUMMYFUNCTION("""COMPUTED_VALUE"""),"Non Urgent")</f>
        <v>Non Urgent</v>
      </c>
    </row>
    <row r="403">
      <c r="A403" s="4">
        <f>IFERROR(__xludf.DUMMYFUNCTION("""COMPUTED_VALUE"""),45909.97674041667)</f>
        <v>45909.97674</v>
      </c>
      <c r="B403" s="3" t="str">
        <f>IFERROR(__xludf.DUMMYFUNCTION("""COMPUTED_VALUE"""),"AAABR0016")</f>
        <v>AAABR0016</v>
      </c>
      <c r="C403" s="3" t="str">
        <f>IFERROR(__xludf.DUMMYFUNCTION("""COMPUTED_VALUE"""),"EJO")</f>
        <v>EJO</v>
      </c>
      <c r="D403" s="3" t="str">
        <f>IFERROR(__xludf.DUMMYFUNCTION("""COMPUTED_VALUE"""),"Menyusul")</f>
        <v>Menyusul</v>
      </c>
      <c r="E403" s="3" t="str">
        <f>IFERROR(__xludf.DUMMYFUNCTION("""COMPUTED_VALUE"""),"lampu cRABS")</f>
        <v>lampu cRABS</v>
      </c>
      <c r="F403" s="3" t="str">
        <f>IFERROR(__xludf.DUMMYFUNCTION("""COMPUTED_VALUE"""),"kabel power")</f>
        <v>kabel power</v>
      </c>
      <c r="G403" s="3" t="str">
        <f>IFERROR(__xludf.DUMMYFUNCTION("""COMPUTED_VALUE"""),"NYAF ; 2x2.5 mm")</f>
        <v>NYAF ; 2x2.5 mm</v>
      </c>
      <c r="H403" s="3" t="str">
        <f>IFERROR(__xludf.DUMMYFUNCTION("""COMPUTED_VALUE"""),"metal")</f>
        <v>metal</v>
      </c>
      <c r="I403" s="3">
        <f>IFERROR(__xludf.DUMMYFUNCTION("""COMPUTED_VALUE"""),100.0)</f>
        <v>100</v>
      </c>
      <c r="J403" s="3" t="str">
        <f>IFERROR(__xludf.DUMMYFUNCTION("""COMPUTED_VALUE"""),"mtr")</f>
        <v>mtr</v>
      </c>
      <c r="K403" s="3" t="str">
        <f>IFERROR(__xludf.DUMMYFUNCTION("""COMPUTED_VALUE"""),"NA")</f>
        <v>NA</v>
      </c>
      <c r="L403" s="3" t="str">
        <f>IFERROR(__xludf.DUMMYFUNCTION("""COMPUTED_VALUE"""),"Needed date : 09 Oct 25")</f>
        <v>Needed date : 09 Oct 25</v>
      </c>
      <c r="M403" s="3" t="str">
        <f>IFERROR(__xludf.DUMMYFUNCTION("""COMPUTED_VALUE"""),"Approve")</f>
        <v>Approve</v>
      </c>
      <c r="N403" s="3" t="str">
        <f>IFERROR(__xludf.DUMMYFUNCTION("""COMPUTED_VALUE"""),"Normal")</f>
        <v>Normal</v>
      </c>
      <c r="O403" s="3" t="str">
        <f>IFERROR(__xludf.DUMMYFUNCTION("""COMPUTED_VALUE"""),"Non Urgent")</f>
        <v>Non Urgent</v>
      </c>
    </row>
    <row r="404">
      <c r="A404" s="4">
        <f>IFERROR(__xludf.DUMMYFUNCTION("""COMPUTED_VALUE"""),45909.97684480324)</f>
        <v>45909.97684</v>
      </c>
      <c r="B404" s="3" t="str">
        <f>IFERROR(__xludf.DUMMYFUNCTION("""COMPUTED_VALUE"""),"AAABR0017")</f>
        <v>AAABR0017</v>
      </c>
      <c r="C404" s="3" t="str">
        <f>IFERROR(__xludf.DUMMYFUNCTION("""COMPUTED_VALUE"""),"EJO")</f>
        <v>EJO</v>
      </c>
      <c r="D404" s="3" t="str">
        <f>IFERROR(__xludf.DUMMYFUNCTION("""COMPUTED_VALUE"""),"Menyusul")</f>
        <v>Menyusul</v>
      </c>
      <c r="E404" s="3" t="str">
        <f>IFERROR(__xludf.DUMMYFUNCTION("""COMPUTED_VALUE"""),"lampu cRABS")</f>
        <v>lampu cRABS</v>
      </c>
      <c r="F404" s="3" t="str">
        <f>IFERROR(__xludf.DUMMYFUNCTION("""COMPUTED_VALUE"""),"junction box plastik")</f>
        <v>junction box plastik</v>
      </c>
      <c r="G404" s="3" t="str">
        <f>IFERROR(__xludf.DUMMYFUNCTION("""COMPUTED_VALUE"""),"220x150x75 mm")</f>
        <v>220x150x75 mm</v>
      </c>
      <c r="H404" s="3" t="str">
        <f>IFERROR(__xludf.DUMMYFUNCTION("""COMPUTED_VALUE"""),"fort atau masko")</f>
        <v>fort atau masko</v>
      </c>
      <c r="I404" s="3">
        <f>IFERROR(__xludf.DUMMYFUNCTION("""COMPUTED_VALUE"""),5.0)</f>
        <v>5</v>
      </c>
      <c r="J404" s="3" t="str">
        <f>IFERROR(__xludf.DUMMYFUNCTION("""COMPUTED_VALUE"""),"pcs")</f>
        <v>pcs</v>
      </c>
      <c r="K404" s="3" t="str">
        <f>IFERROR(__xludf.DUMMYFUNCTION("""COMPUTED_VALUE"""),"NA")</f>
        <v>NA</v>
      </c>
      <c r="L404" s="3" t="str">
        <f>IFERROR(__xludf.DUMMYFUNCTION("""COMPUTED_VALUE"""),"Needed date : 09 Oct 25")</f>
        <v>Needed date : 09 Oct 25</v>
      </c>
      <c r="M404" s="3" t="str">
        <f>IFERROR(__xludf.DUMMYFUNCTION("""COMPUTED_VALUE"""),"Approve")</f>
        <v>Approve</v>
      </c>
      <c r="N404" s="3" t="str">
        <f>IFERROR(__xludf.DUMMYFUNCTION("""COMPUTED_VALUE"""),"Normal")</f>
        <v>Normal</v>
      </c>
      <c r="O404" s="3" t="str">
        <f>IFERROR(__xludf.DUMMYFUNCTION("""COMPUTED_VALUE"""),"Non Urgent")</f>
        <v>Non Urgent</v>
      </c>
    </row>
    <row r="405">
      <c r="A405" s="4">
        <f>IFERROR(__xludf.DUMMYFUNCTION("""COMPUTED_VALUE"""),45909.97854922454)</f>
        <v>45909.97855</v>
      </c>
      <c r="B405" s="3" t="str">
        <f>IFERROR(__xludf.DUMMYFUNCTION("""COMPUTED_VALUE"""),"AAABR0018")</f>
        <v>AAABR0018</v>
      </c>
      <c r="C405" s="3" t="str">
        <f>IFERROR(__xludf.DUMMYFUNCTION("""COMPUTED_VALUE"""),"EJO")</f>
        <v>EJO</v>
      </c>
      <c r="D405" s="3" t="str">
        <f>IFERROR(__xludf.DUMMYFUNCTION("""COMPUTED_VALUE"""),"Menyusul")</f>
        <v>Menyusul</v>
      </c>
      <c r="E405" s="3" t="str">
        <f>IFERROR(__xludf.DUMMYFUNCTION("""COMPUTED_VALUE"""),"lampu cRABS")</f>
        <v>lampu cRABS</v>
      </c>
      <c r="F405" s="3" t="str">
        <f>IFERROR(__xludf.DUMMYFUNCTION("""COMPUTED_VALUE"""),"terminal viking")</f>
        <v>terminal viking</v>
      </c>
      <c r="G405" s="3" t="str">
        <f>IFERROR(__xludf.DUMMYFUNCTION("""COMPUTED_VALUE"""),"4 mm")</f>
        <v>4 mm</v>
      </c>
      <c r="H405" s="3" t="str">
        <f>IFERROR(__xludf.DUMMYFUNCTION("""COMPUTED_VALUE"""),"fort")</f>
        <v>fort</v>
      </c>
      <c r="I405" s="3">
        <f>IFERROR(__xludf.DUMMYFUNCTION("""COMPUTED_VALUE"""),70.0)</f>
        <v>70</v>
      </c>
      <c r="J405" s="3" t="str">
        <f>IFERROR(__xludf.DUMMYFUNCTION("""COMPUTED_VALUE"""),"pcs")</f>
        <v>pcs</v>
      </c>
      <c r="K405" s="3" t="str">
        <f>IFERROR(__xludf.DUMMYFUNCTION("""COMPUTED_VALUE"""),"NA")</f>
        <v>NA</v>
      </c>
      <c r="L405" s="3" t="str">
        <f>IFERROR(__xludf.DUMMYFUNCTION("""COMPUTED_VALUE"""),"Needed date : 09 Oct 25")</f>
        <v>Needed date : 09 Oct 25</v>
      </c>
      <c r="M405" s="3" t="str">
        <f>IFERROR(__xludf.DUMMYFUNCTION("""COMPUTED_VALUE"""),"Approve")</f>
        <v>Approve</v>
      </c>
      <c r="N405" s="3" t="str">
        <f>IFERROR(__xludf.DUMMYFUNCTION("""COMPUTED_VALUE"""),"Normal")</f>
        <v>Normal</v>
      </c>
      <c r="O405" s="3" t="str">
        <f>IFERROR(__xludf.DUMMYFUNCTION("""COMPUTED_VALUE"""),"Non Urgent")</f>
        <v>Non Urgent</v>
      </c>
    </row>
    <row r="406">
      <c r="A406" s="4">
        <f>IFERROR(__xludf.DUMMYFUNCTION("""COMPUTED_VALUE"""),45909.9800743287)</f>
        <v>45909.98007</v>
      </c>
      <c r="B406" s="3" t="str">
        <f>IFERROR(__xludf.DUMMYFUNCTION("""COMPUTED_VALUE"""),"AAABR0019")</f>
        <v>AAABR0019</v>
      </c>
      <c r="C406" s="3" t="str">
        <f>IFERROR(__xludf.DUMMYFUNCTION("""COMPUTED_VALUE"""),"EJO")</f>
        <v>EJO</v>
      </c>
      <c r="D406" s="3" t="str">
        <f>IFERROR(__xludf.DUMMYFUNCTION("""COMPUTED_VALUE"""),"Menyusul")</f>
        <v>Menyusul</v>
      </c>
      <c r="E406" s="3" t="str">
        <f>IFERROR(__xludf.DUMMYFUNCTION("""COMPUTED_VALUE"""),"lampu cRABS")</f>
        <v>lampu cRABS</v>
      </c>
      <c r="F406" s="3" t="str">
        <f>IFERROR(__xludf.DUMMYFUNCTION("""COMPUTED_VALUE"""),"din rail")</f>
        <v>din rail</v>
      </c>
      <c r="G406" s="3" t="str">
        <f>IFERROR(__xludf.DUMMYFUNCTION("""COMPUTED_VALUE"""),"-")</f>
        <v>-</v>
      </c>
      <c r="H406" s="3" t="str">
        <f>IFERROR(__xludf.DUMMYFUNCTION("""COMPUTED_VALUE"""),"-")</f>
        <v>-</v>
      </c>
      <c r="I406" s="3">
        <f>IFERROR(__xludf.DUMMYFUNCTION("""COMPUTED_VALUE"""),2.0)</f>
        <v>2</v>
      </c>
      <c r="J406" s="3" t="str">
        <f>IFERROR(__xludf.DUMMYFUNCTION("""COMPUTED_VALUE"""),"batang")</f>
        <v>batang</v>
      </c>
      <c r="K406" s="3" t="str">
        <f>IFERROR(__xludf.DUMMYFUNCTION("""COMPUTED_VALUE"""),"NA")</f>
        <v>NA</v>
      </c>
      <c r="L406" s="3" t="str">
        <f>IFERROR(__xludf.DUMMYFUNCTION("""COMPUTED_VALUE"""),"Needed date : 09 Oct 25")</f>
        <v>Needed date : 09 Oct 25</v>
      </c>
      <c r="M406" s="3" t="str">
        <f>IFERROR(__xludf.DUMMYFUNCTION("""COMPUTED_VALUE"""),"Approve")</f>
        <v>Approve</v>
      </c>
      <c r="N406" s="3" t="str">
        <f>IFERROR(__xludf.DUMMYFUNCTION("""COMPUTED_VALUE"""),"Normal")</f>
        <v>Normal</v>
      </c>
      <c r="O406" s="3" t="str">
        <f>IFERROR(__xludf.DUMMYFUNCTION("""COMPUTED_VALUE"""),"Non Urgent")</f>
        <v>Non Urgent</v>
      </c>
    </row>
    <row r="407">
      <c r="A407" s="4">
        <f>IFERROR(__xludf.DUMMYFUNCTION("""COMPUTED_VALUE"""),45909.98105969908)</f>
        <v>45909.98106</v>
      </c>
      <c r="B407" s="3" t="str">
        <f>IFERROR(__xludf.DUMMYFUNCTION("""COMPUTED_VALUE"""),"AAABR0020")</f>
        <v>AAABR0020</v>
      </c>
      <c r="C407" s="3" t="str">
        <f>IFERROR(__xludf.DUMMYFUNCTION("""COMPUTED_VALUE"""),"EJO")</f>
        <v>EJO</v>
      </c>
      <c r="D407" s="3" t="str">
        <f>IFERROR(__xludf.DUMMYFUNCTION("""COMPUTED_VALUE"""),"Menyusul")</f>
        <v>Menyusul</v>
      </c>
      <c r="E407" s="3" t="str">
        <f>IFERROR(__xludf.DUMMYFUNCTION("""COMPUTED_VALUE"""),"lampu cRABS")</f>
        <v>lampu cRABS</v>
      </c>
      <c r="F407" s="3" t="str">
        <f>IFERROR(__xludf.DUMMYFUNCTION("""COMPUTED_VALUE"""),"round bar")</f>
        <v>round bar</v>
      </c>
      <c r="G407" s="3" t="str">
        <f>IFERROR(__xludf.DUMMYFUNCTION("""COMPUTED_VALUE"""),"SS ; dia 8 mm")</f>
        <v>SS ; dia 8 mm</v>
      </c>
      <c r="H407" s="3" t="str">
        <f>IFERROR(__xludf.DUMMYFUNCTION("""COMPUTED_VALUE"""),"-")</f>
        <v>-</v>
      </c>
      <c r="I407" s="3">
        <f>IFERROR(__xludf.DUMMYFUNCTION("""COMPUTED_VALUE"""),8.0)</f>
        <v>8</v>
      </c>
      <c r="J407" s="3" t="str">
        <f>IFERROR(__xludf.DUMMYFUNCTION("""COMPUTED_VALUE"""),"batang (@6 meter)")</f>
        <v>batang (@6 meter)</v>
      </c>
      <c r="K407" s="3" t="str">
        <f>IFERROR(__xludf.DUMMYFUNCTION("""COMPUTED_VALUE"""),"NA")</f>
        <v>NA</v>
      </c>
      <c r="L407" s="3" t="str">
        <f>IFERROR(__xludf.DUMMYFUNCTION("""COMPUTED_VALUE"""),"Needed date : 09 Oct 25")</f>
        <v>Needed date : 09 Oct 25</v>
      </c>
      <c r="M407" s="3" t="str">
        <f>IFERROR(__xludf.DUMMYFUNCTION("""COMPUTED_VALUE"""),"Approve")</f>
        <v>Approve</v>
      </c>
      <c r="N407" s="3" t="str">
        <f>IFERROR(__xludf.DUMMYFUNCTION("""COMPUTED_VALUE"""),"Normal")</f>
        <v>Normal</v>
      </c>
      <c r="O407" s="3" t="str">
        <f>IFERROR(__xludf.DUMMYFUNCTION("""COMPUTED_VALUE"""),"Non Urgent")</f>
        <v>Non Urgent</v>
      </c>
    </row>
    <row r="408">
      <c r="A408" s="4">
        <f>IFERROR(__xludf.DUMMYFUNCTION("""COMPUTED_VALUE"""),45909.98210040509)</f>
        <v>45909.9821</v>
      </c>
      <c r="B408" s="3" t="str">
        <f>IFERROR(__xludf.DUMMYFUNCTION("""COMPUTED_VALUE"""),"AAABR0021")</f>
        <v>AAABR0021</v>
      </c>
      <c r="C408" s="3" t="str">
        <f>IFERROR(__xludf.DUMMYFUNCTION("""COMPUTED_VALUE"""),"EJO")</f>
        <v>EJO</v>
      </c>
      <c r="D408" s="3" t="str">
        <f>IFERROR(__xludf.DUMMYFUNCTION("""COMPUTED_VALUE"""),"Menyusul")</f>
        <v>Menyusul</v>
      </c>
      <c r="E408" s="3" t="str">
        <f>IFERROR(__xludf.DUMMYFUNCTION("""COMPUTED_VALUE"""),"lampu cRABS")</f>
        <v>lampu cRABS</v>
      </c>
      <c r="F408" s="3" t="str">
        <f>IFERROR(__xludf.DUMMYFUNCTION("""COMPUTED_VALUE"""),"jumper terminal viking")</f>
        <v>jumper terminal viking</v>
      </c>
      <c r="G408" s="3" t="str">
        <f>IFERROR(__xludf.DUMMYFUNCTION("""COMPUTED_VALUE"""),"untuk terminal viking size 4mm")</f>
        <v>untuk terminal viking size 4mm</v>
      </c>
      <c r="H408" s="3" t="str">
        <f>IFERROR(__xludf.DUMMYFUNCTION("""COMPUTED_VALUE"""),"-")</f>
        <v>-</v>
      </c>
      <c r="I408" s="3">
        <f>IFERROR(__xludf.DUMMYFUNCTION("""COMPUTED_VALUE"""),8.0)</f>
        <v>8</v>
      </c>
      <c r="J408" s="3" t="str">
        <f>IFERROR(__xludf.DUMMYFUNCTION("""COMPUTED_VALUE"""),"strips")</f>
        <v>strips</v>
      </c>
      <c r="K408" s="3" t="str">
        <f>IFERROR(__xludf.DUMMYFUNCTION("""COMPUTED_VALUE"""),"NA")</f>
        <v>NA</v>
      </c>
      <c r="L408" s="3" t="str">
        <f>IFERROR(__xludf.DUMMYFUNCTION("""COMPUTED_VALUE"""),"Needed date : 09 Oct 25")</f>
        <v>Needed date : 09 Oct 25</v>
      </c>
      <c r="M408" s="3" t="str">
        <f>IFERROR(__xludf.DUMMYFUNCTION("""COMPUTED_VALUE"""),"Reject")</f>
        <v>Reject</v>
      </c>
      <c r="N408" s="3" t="str">
        <f>IFERROR(__xludf.DUMMYFUNCTION("""COMPUTED_VALUE"""),"Normal")</f>
        <v>Normal</v>
      </c>
      <c r="O408" s="3" t="str">
        <f>IFERROR(__xludf.DUMMYFUNCTION("""COMPUTED_VALUE"""),"Non Urgent")</f>
        <v>Non Urgent</v>
      </c>
    </row>
    <row r="409">
      <c r="A409" s="4">
        <f>IFERROR(__xludf.DUMMYFUNCTION("""COMPUTED_VALUE"""),45909.982993437494)</f>
        <v>45909.98299</v>
      </c>
      <c r="B409" s="3" t="str">
        <f>IFERROR(__xludf.DUMMYFUNCTION("""COMPUTED_VALUE"""),"AAABR0022")</f>
        <v>AAABR0022</v>
      </c>
      <c r="C409" s="3" t="str">
        <f>IFERROR(__xludf.DUMMYFUNCTION("""COMPUTED_VALUE"""),"EJO")</f>
        <v>EJO</v>
      </c>
      <c r="D409" s="3" t="str">
        <f>IFERROR(__xludf.DUMMYFUNCTION("""COMPUTED_VALUE"""),"Menyusul")</f>
        <v>Menyusul</v>
      </c>
      <c r="E409" s="3" t="str">
        <f>IFERROR(__xludf.DUMMYFUNCTION("""COMPUTED_VALUE"""),"lampu cRABS")</f>
        <v>lampu cRABS</v>
      </c>
      <c r="F409" s="3" t="str">
        <f>IFERROR(__xludf.DUMMYFUNCTION("""COMPUTED_VALUE"""),"terminal viking grounding")</f>
        <v>terminal viking grounding</v>
      </c>
      <c r="G409" s="3" t="str">
        <f>IFERROR(__xludf.DUMMYFUNCTION("""COMPUTED_VALUE"""),"size 4mm")</f>
        <v>size 4mm</v>
      </c>
      <c r="H409" s="3" t="str">
        <f>IFERROR(__xludf.DUMMYFUNCTION("""COMPUTED_VALUE"""),"-")</f>
        <v>-</v>
      </c>
      <c r="I409" s="3">
        <f>IFERROR(__xludf.DUMMYFUNCTION("""COMPUTED_VALUE"""),10.0)</f>
        <v>10</v>
      </c>
      <c r="J409" s="3" t="str">
        <f>IFERROR(__xludf.DUMMYFUNCTION("""COMPUTED_VALUE"""),"pcs")</f>
        <v>pcs</v>
      </c>
      <c r="K409" s="3" t="str">
        <f>IFERROR(__xludf.DUMMYFUNCTION("""COMPUTED_VALUE"""),"NA")</f>
        <v>NA</v>
      </c>
      <c r="L409" s="3" t="str">
        <f>IFERROR(__xludf.DUMMYFUNCTION("""COMPUTED_VALUE"""),"Needed date : 09 Oct 25")</f>
        <v>Needed date : 09 Oct 25</v>
      </c>
      <c r="M409" s="3" t="str">
        <f>IFERROR(__xludf.DUMMYFUNCTION("""COMPUTED_VALUE"""),"Approve")</f>
        <v>Approve</v>
      </c>
      <c r="N409" s="3" t="str">
        <f>IFERROR(__xludf.DUMMYFUNCTION("""COMPUTED_VALUE"""),"Normal")</f>
        <v>Normal</v>
      </c>
      <c r="O409" s="3" t="str">
        <f>IFERROR(__xludf.DUMMYFUNCTION("""COMPUTED_VALUE"""),"Non Urgent")</f>
        <v>Non Urgent</v>
      </c>
    </row>
    <row r="410">
      <c r="A410" s="4">
        <f>IFERROR(__xludf.DUMMYFUNCTION("""COMPUTED_VALUE"""),45909.98363011574)</f>
        <v>45909.98363</v>
      </c>
      <c r="B410" s="3" t="str">
        <f>IFERROR(__xludf.DUMMYFUNCTION("""COMPUTED_VALUE"""),"AAABR0023")</f>
        <v>AAABR0023</v>
      </c>
      <c r="C410" s="3" t="str">
        <f>IFERROR(__xludf.DUMMYFUNCTION("""COMPUTED_VALUE"""),"EJO")</f>
        <v>EJO</v>
      </c>
      <c r="D410" s="3" t="str">
        <f>IFERROR(__xludf.DUMMYFUNCTION("""COMPUTED_VALUE"""),"Menyusul")</f>
        <v>Menyusul</v>
      </c>
      <c r="E410" s="3" t="str">
        <f>IFERROR(__xludf.DUMMYFUNCTION("""COMPUTED_VALUE"""),"lampu cRABS")</f>
        <v>lampu cRABS</v>
      </c>
      <c r="F410" s="3" t="str">
        <f>IFERROR(__xludf.DUMMYFUNCTION("""COMPUTED_VALUE"""),"cable ties")</f>
        <v>cable ties</v>
      </c>
      <c r="G410" s="3" t="str">
        <f>IFERROR(__xludf.DUMMYFUNCTION("""COMPUTED_VALUE"""),"CS-200 T")</f>
        <v>CS-200 T</v>
      </c>
      <c r="H410" s="3" t="str">
        <f>IFERROR(__xludf.DUMMYFUNCTION("""COMPUTED_VALUE"""),"sigma ties")</f>
        <v>sigma ties</v>
      </c>
      <c r="I410" s="3">
        <f>IFERROR(__xludf.DUMMYFUNCTION("""COMPUTED_VALUE"""),2.0)</f>
        <v>2</v>
      </c>
      <c r="J410" s="3" t="str">
        <f>IFERROR(__xludf.DUMMYFUNCTION("""COMPUTED_VALUE"""),"pack")</f>
        <v>pack</v>
      </c>
      <c r="K410" s="3" t="str">
        <f>IFERROR(__xludf.DUMMYFUNCTION("""COMPUTED_VALUE"""),"NA")</f>
        <v>NA</v>
      </c>
      <c r="L410" s="3" t="str">
        <f>IFERROR(__xludf.DUMMYFUNCTION("""COMPUTED_VALUE"""),"Needed date : 09 Oct 25 (REJECT BY MFH KARENA MASIH ADA STOK)")</f>
        <v>Needed date : 09 Oct 25 (REJECT BY MFH KARENA MASIH ADA STOK)</v>
      </c>
      <c r="M410" s="3" t="str">
        <f>IFERROR(__xludf.DUMMYFUNCTION("""COMPUTED_VALUE"""),"Reject")</f>
        <v>Reject</v>
      </c>
      <c r="N410" s="3" t="str">
        <f>IFERROR(__xludf.DUMMYFUNCTION("""COMPUTED_VALUE"""),"Normal")</f>
        <v>Normal</v>
      </c>
      <c r="O410" s="3" t="str">
        <f>IFERROR(__xludf.DUMMYFUNCTION("""COMPUTED_VALUE"""),"Non Urgent")</f>
        <v>Non Urgent</v>
      </c>
    </row>
    <row r="411">
      <c r="A411" s="4">
        <f>IFERROR(__xludf.DUMMYFUNCTION("""COMPUTED_VALUE"""),45909.984558263895)</f>
        <v>45909.98456</v>
      </c>
      <c r="B411" s="3" t="str">
        <f>IFERROR(__xludf.DUMMYFUNCTION("""COMPUTED_VALUE"""),"AAABR0024")</f>
        <v>AAABR0024</v>
      </c>
      <c r="C411" s="3" t="str">
        <f>IFERROR(__xludf.DUMMYFUNCTION("""COMPUTED_VALUE"""),"EJO")</f>
        <v>EJO</v>
      </c>
      <c r="D411" s="3" t="str">
        <f>IFERROR(__xludf.DUMMYFUNCTION("""COMPUTED_VALUE"""),"Menyusul")</f>
        <v>Menyusul</v>
      </c>
      <c r="E411" s="3" t="str">
        <f>IFERROR(__xludf.DUMMYFUNCTION("""COMPUTED_VALUE"""),"lampu cRABS")</f>
        <v>lampu cRABS</v>
      </c>
      <c r="F411" s="3" t="str">
        <f>IFERROR(__xludf.DUMMYFUNCTION("""COMPUTED_VALUE"""),"steker")</f>
        <v>steker</v>
      </c>
      <c r="G411" s="3" t="str">
        <f>IFERROR(__xludf.DUMMYFUNCTION("""COMPUTED_VALUE"""),"-")</f>
        <v>-</v>
      </c>
      <c r="H411" s="3" t="str">
        <f>IFERROR(__xludf.DUMMYFUNCTION("""COMPUTED_VALUE"""),"broco")</f>
        <v>broco</v>
      </c>
      <c r="I411" s="3">
        <f>IFERROR(__xludf.DUMMYFUNCTION("""COMPUTED_VALUE"""),1.0)</f>
        <v>1</v>
      </c>
      <c r="J411" s="3" t="str">
        <f>IFERROR(__xludf.DUMMYFUNCTION("""COMPUTED_VALUE"""),"pc")</f>
        <v>pc</v>
      </c>
      <c r="K411" s="3" t="str">
        <f>IFERROR(__xludf.DUMMYFUNCTION("""COMPUTED_VALUE"""),"NA")</f>
        <v>NA</v>
      </c>
      <c r="L411" s="3" t="str">
        <f>IFERROR(__xludf.DUMMYFUNCTION("""COMPUTED_VALUE"""),"Needed date : 09 Oct 25 (REJECT BY MFH KARENA MASIH ADA STOK)")</f>
        <v>Needed date : 09 Oct 25 (REJECT BY MFH KARENA MASIH ADA STOK)</v>
      </c>
      <c r="M411" s="3" t="str">
        <f>IFERROR(__xludf.DUMMYFUNCTION("""COMPUTED_VALUE"""),"Reject")</f>
        <v>Reject</v>
      </c>
      <c r="N411" s="3" t="str">
        <f>IFERROR(__xludf.DUMMYFUNCTION("""COMPUTED_VALUE"""),"Normal")</f>
        <v>Normal</v>
      </c>
      <c r="O411" s="3" t="str">
        <f>IFERROR(__xludf.DUMMYFUNCTION("""COMPUTED_VALUE"""),"Non Urgent")</f>
        <v>Non Urgent</v>
      </c>
    </row>
    <row r="412">
      <c r="A412" s="4">
        <f>IFERROR(__xludf.DUMMYFUNCTION("""COMPUTED_VALUE"""),45910.59488872685)</f>
        <v>45910.59489</v>
      </c>
      <c r="B412" s="3" t="str">
        <f>IFERROR(__xludf.DUMMYFUNCTION("""COMPUTED_VALUE"""),"NDSBR0022")</f>
        <v>NDSBR0022</v>
      </c>
      <c r="C412" s="3" t="str">
        <f>IFERROR(__xludf.DUMMYFUNCTION("""COMPUTED_VALUE"""),"Consumable")</f>
        <v>Consumable</v>
      </c>
      <c r="D412" s="3" t="str">
        <f>IFERROR(__xludf.DUMMYFUNCTION("""COMPUTED_VALUE"""),"-")</f>
        <v>-</v>
      </c>
      <c r="E412" s="3" t="str">
        <f>IFERROR(__xludf.DUMMYFUNCTION("""COMPUTED_VALUE"""),"Disolution tester")</f>
        <v>Disolution tester</v>
      </c>
      <c r="F412" s="3" t="str">
        <f>IFERROR(__xludf.DUMMYFUNCTION("""COMPUTED_VALUE"""),"Konekstor")</f>
        <v>Konekstor</v>
      </c>
      <c r="G412" s="3" t="str">
        <f>IFERROR(__xludf.DUMMYFUNCTION("""COMPUTED_VALUE"""),"-")</f>
        <v>-</v>
      </c>
      <c r="H412" s="3" t="str">
        <f>IFERROR(__xludf.DUMMYFUNCTION("""COMPUTED_VALUE"""),"-")</f>
        <v>-</v>
      </c>
      <c r="I412" s="3">
        <f>IFERROR(__xludf.DUMMYFUNCTION("""COMPUTED_VALUE"""),10.0)</f>
        <v>10</v>
      </c>
      <c r="J412" s="3" t="str">
        <f>IFERROR(__xludf.DUMMYFUNCTION("""COMPUTED_VALUE""")," Pcs")</f>
        <v> Pcs</v>
      </c>
      <c r="K412" s="5" t="str">
        <f>IFERROR(__xludf.DUMMYFUNCTION("""COMPUTED_VALUE"""),"https://shopee.co.id/product/12793026/7020484511?gads_t_sig=VTJGc2RHVmtYMTlxTFVSVVRrdENkVEg0SDd3VWo1MDQyT052d3EvY1B4YmUyeVFTa2xVQzl0YzhBNThkNlQvV25BZ2F5Y085ZFRmd01OSDg2V2VpZm9JVXVkeS9xVHkrVU93Qzk1N0tHK1ZwbzArZURhcVJkcGpFd1lEMkNGeHo&amp;gad_source=1&amp;gad_campai"&amp;"gnid=16521264469&amp;gbraid=0AAAAADPpU80ioX18J1-827C9cNqVXojvK&amp;gclid=Cj0KCQjww4TGBhCKARIsAFLXndQjAOhaylqAW4Pwe96O1jpL_YZlLIqMYAGN68NMDkpovUq9y3c_CH0aAhvoEALw_wcB")</f>
        <v>https://shopee.co.id/product/12793026/7020484511?gads_t_sig=VTJGc2RHVmtYMTlxTFVSVVRrdENkVEg0SDd3VWo1MDQyT052d3EvY1B4YmUyeVFTa2xVQzl0YzhBNThkNlQvV25BZ2F5Y085ZFRmd01OSDg2V2VpZm9JVXVkeS9xVHkrVU93Qzk1N0tHK1ZwbzArZURhcVJkcGpFd1lEMkNGeHo&amp;gad_source=1&amp;gad_campaignid=16521264469&amp;gbraid=0AAAAADPpU80ioX18J1-827C9cNqVXojvK&amp;gclid=Cj0KCQjww4TGBhCKARIsAFLXndQjAOhaylqAW4Pwe96O1jpL_YZlLIqMYAGN68NMDkpovUq9y3c_CH0aAhvoEALw_wcB</v>
      </c>
      <c r="L412" s="3" t="str">
        <f>IFERROR(__xludf.DUMMYFUNCTION("""COMPUTED_VALUE"""),"-")</f>
        <v>-</v>
      </c>
      <c r="M412" s="3" t="str">
        <f>IFERROR(__xludf.DUMMYFUNCTION("""COMPUTED_VALUE"""),"Approve")</f>
        <v>Approve</v>
      </c>
      <c r="N412" s="3" t="str">
        <f>IFERROR(__xludf.DUMMYFUNCTION("""COMPUTED_VALUE"""),"Normal")</f>
        <v>Normal</v>
      </c>
      <c r="O412" s="3" t="str">
        <f>IFERROR(__xludf.DUMMYFUNCTION("""COMPUTED_VALUE"""),"Non Urgent")</f>
        <v>Non Urgent</v>
      </c>
    </row>
    <row r="413">
      <c r="A413" s="4">
        <f>IFERROR(__xludf.DUMMYFUNCTION("""COMPUTED_VALUE"""),45910.67402706018)</f>
        <v>45910.67403</v>
      </c>
      <c r="B413" s="3" t="str">
        <f>IFERROR(__xludf.DUMMYFUNCTION("""COMPUTED_VALUE"""),"AAABR0025")</f>
        <v>AAABR0025</v>
      </c>
      <c r="C413" s="3" t="str">
        <f>IFERROR(__xludf.DUMMYFUNCTION("""COMPUTED_VALUE"""),"EJO")</f>
        <v>EJO</v>
      </c>
      <c r="D413" s="3" t="str">
        <f>IFERROR(__xludf.DUMMYFUNCTION("""COMPUTED_VALUE"""),"Menyusul")</f>
        <v>Menyusul</v>
      </c>
      <c r="E413" s="3" t="str">
        <f>IFERROR(__xludf.DUMMYFUNCTION("""COMPUTED_VALUE"""),"Camera MS 30")</f>
        <v>Camera MS 30</v>
      </c>
      <c r="F413" s="3" t="str">
        <f>IFERROR(__xludf.DUMMYFUNCTION("""COMPUTED_VALUE"""),"Kunci L")</f>
        <v>Kunci L</v>
      </c>
      <c r="G413" s="3" t="str">
        <f>IFERROR(__xludf.DUMMYFUNCTION("""COMPUTED_VALUE"""),"Hex key short ; HK-EL1198 ; 0.71, 0.89, 1.27, 1.5, 2, 2.5, 3 mm ")</f>
        <v>Hex key short ; HK-EL1198 ; 0.71, 0.89, 1.27, 1.5, 2, 2.5, 3 mm </v>
      </c>
      <c r="H413" s="3" t="str">
        <f>IFERROR(__xludf.DUMMYFUNCTION("""COMPUTED_VALUE"""),"TEKIRO")</f>
        <v>TEKIRO</v>
      </c>
      <c r="I413" s="3">
        <f>IFERROR(__xludf.DUMMYFUNCTION("""COMPUTED_VALUE"""),1.0)</f>
        <v>1</v>
      </c>
      <c r="J413" s="3" t="str">
        <f>IFERROR(__xludf.DUMMYFUNCTION("""COMPUTED_VALUE"""),"set")</f>
        <v>set</v>
      </c>
      <c r="K413" s="3" t="str">
        <f>IFERROR(__xludf.DUMMYFUNCTION("""COMPUTED_VALUE"""),"NA")</f>
        <v>NA</v>
      </c>
      <c r="L413" s="3" t="str">
        <f>IFERROR(__xludf.DUMMYFUNCTION("""COMPUTED_VALUE"""),"Needed date :  31 Oct 25")</f>
        <v>Needed date :  31 Oct 25</v>
      </c>
      <c r="M413" s="3" t="str">
        <f>IFERROR(__xludf.DUMMYFUNCTION("""COMPUTED_VALUE"""),"Approve")</f>
        <v>Approve</v>
      </c>
      <c r="N413" s="3" t="str">
        <f>IFERROR(__xludf.DUMMYFUNCTION("""COMPUTED_VALUE"""),"Normal")</f>
        <v>Normal</v>
      </c>
      <c r="O413" s="3" t="str">
        <f>IFERROR(__xludf.DUMMYFUNCTION("""COMPUTED_VALUE"""),"Non Urgent")</f>
        <v>Non Urgent</v>
      </c>
    </row>
    <row r="414">
      <c r="A414" s="4">
        <f>IFERROR(__xludf.DUMMYFUNCTION("""COMPUTED_VALUE"""),45910.9287546412)</f>
        <v>45910.92875</v>
      </c>
      <c r="B414" s="3" t="str">
        <f>IFERROR(__xludf.DUMMYFUNCTION("""COMPUTED_VALUE"""),"MFHBR0011")</f>
        <v>MFHBR0011</v>
      </c>
      <c r="C414" s="3" t="str">
        <f>IFERROR(__xludf.DUMMYFUNCTION("""COMPUTED_VALUE"""),"Critical Part")</f>
        <v>Critical Part</v>
      </c>
      <c r="D414" s="3" t="str">
        <f>IFERROR(__xludf.DUMMYFUNCTION("""COMPUTED_VALUE"""),"-")</f>
        <v>-</v>
      </c>
      <c r="E414" s="3" t="str">
        <f>IFERROR(__xludf.DUMMYFUNCTION("""COMPUTED_VALUE"""),"Building")</f>
        <v>Building</v>
      </c>
      <c r="F414" s="3" t="str">
        <f>IFERROR(__xludf.DUMMYFUNCTION("""COMPUTED_VALUE"""),"N2")</f>
        <v>N2</v>
      </c>
      <c r="G414" s="3" t="str">
        <f>IFERROR(__xludf.DUMMYFUNCTION("""COMPUTED_VALUE"""),"Instalasi Piping N2")</f>
        <v>Instalasi Piping N2</v>
      </c>
      <c r="H414" s="3" t="str">
        <f>IFERROR(__xludf.DUMMYFUNCTION("""COMPUTED_VALUE"""),"tata")</f>
        <v>tata</v>
      </c>
      <c r="I414" s="3">
        <f>IFERROR(__xludf.DUMMYFUNCTION("""COMPUTED_VALUE"""),1.0)</f>
        <v>1</v>
      </c>
      <c r="J414" s="3" t="str">
        <f>IFERROR(__xludf.DUMMYFUNCTION("""COMPUTED_VALUE"""),"Lot")</f>
        <v>Lot</v>
      </c>
      <c r="K414" s="3" t="str">
        <f>IFERROR(__xludf.DUMMYFUNCTION("""COMPUTED_VALUE"""),"Email Mas Ken")</f>
        <v>Email Mas Ken</v>
      </c>
      <c r="L414" s="3" t="str">
        <f>IFERROR(__xludf.DUMMYFUNCTION("""COMPUTED_VALUE"""),"2488 121702918 R-21013-00")</f>
        <v>2488 121702918 R-21013-00</v>
      </c>
      <c r="M414" s="3" t="str">
        <f>IFERROR(__xludf.DUMMYFUNCTION("""COMPUTED_VALUE"""),"Approve")</f>
        <v>Approve</v>
      </c>
      <c r="N414" s="3" t="str">
        <f>IFERROR(__xludf.DUMMYFUNCTION("""COMPUTED_VALUE"""),"Normal")</f>
        <v>Normal</v>
      </c>
      <c r="O414" s="3" t="str">
        <f>IFERROR(__xludf.DUMMYFUNCTION("""COMPUTED_VALUE"""),"Non Urgent")</f>
        <v>Non Urgent</v>
      </c>
    </row>
    <row r="415">
      <c r="A415" s="4">
        <f>IFERROR(__xludf.DUMMYFUNCTION("""COMPUTED_VALUE"""),45910.93053945602)</f>
        <v>45910.93054</v>
      </c>
      <c r="B415" s="3" t="str">
        <f>IFERROR(__xludf.DUMMYFUNCTION("""COMPUTED_VALUE"""),"MFHBR0012")</f>
        <v>MFHBR0012</v>
      </c>
      <c r="C415" s="3" t="str">
        <f>IFERROR(__xludf.DUMMYFUNCTION("""COMPUTED_VALUE"""),"Critical Part")</f>
        <v>Critical Part</v>
      </c>
      <c r="D415" s="3" t="str">
        <f>IFERROR(__xludf.DUMMYFUNCTION("""COMPUTED_VALUE"""),"-")</f>
        <v>-</v>
      </c>
      <c r="E415" s="3" t="str">
        <f>IFERROR(__xludf.DUMMYFUNCTION("""COMPUTED_VALUE"""),"FD")</f>
        <v>FD</v>
      </c>
      <c r="F415" s="3" t="str">
        <f>IFERROR(__xludf.DUMMYFUNCTION("""COMPUTED_VALUE"""),"PoU")</f>
        <v>PoU</v>
      </c>
      <c r="G415" s="3" t="str">
        <f>IFERROR(__xludf.DUMMYFUNCTION("""COMPUTED_VALUE"""),"Instalasi PoU PW, WFI, Pure Steam'")</f>
        <v>Instalasi PoU PW, WFI, Pure Steam'</v>
      </c>
      <c r="H415" s="3" t="str">
        <f>IFERROR(__xludf.DUMMYFUNCTION("""COMPUTED_VALUE"""),"Tata")</f>
        <v>Tata</v>
      </c>
      <c r="I415" s="3">
        <f>IFERROR(__xludf.DUMMYFUNCTION("""COMPUTED_VALUE"""),1.0)</f>
        <v>1</v>
      </c>
      <c r="J415" s="3" t="str">
        <f>IFERROR(__xludf.DUMMYFUNCTION("""COMPUTED_VALUE"""),"Lot")</f>
        <v>Lot</v>
      </c>
      <c r="K415" s="3" t="str">
        <f>IFERROR(__xludf.DUMMYFUNCTION("""COMPUTED_VALUE"""),"Email Mas Ken")</f>
        <v>Email Mas Ken</v>
      </c>
      <c r="L415" s="3" t="str">
        <f>IFERROR(__xludf.DUMMYFUNCTION("""COMPUTED_VALUE"""),"2548 1217029710 R-21013-00")</f>
        <v>2548 1217029710 R-21013-00</v>
      </c>
      <c r="M415" s="3" t="str">
        <f>IFERROR(__xludf.DUMMYFUNCTION("""COMPUTED_VALUE"""),"Approve")</f>
        <v>Approve</v>
      </c>
      <c r="N415" s="3" t="str">
        <f>IFERROR(__xludf.DUMMYFUNCTION("""COMPUTED_VALUE"""),"Normal")</f>
        <v>Normal</v>
      </c>
      <c r="O415" s="3" t="str">
        <f>IFERROR(__xludf.DUMMYFUNCTION("""COMPUTED_VALUE"""),"Non Urgent")</f>
        <v>Non Urgent</v>
      </c>
    </row>
    <row r="416">
      <c r="A416" s="4">
        <f>IFERROR(__xludf.DUMMYFUNCTION("""COMPUTED_VALUE"""),45910.93174071759)</f>
        <v>45910.93174</v>
      </c>
      <c r="B416" s="3" t="str">
        <f>IFERROR(__xludf.DUMMYFUNCTION("""COMPUTED_VALUE"""),"MFHBR0013")</f>
        <v>MFHBR0013</v>
      </c>
      <c r="C416" s="3" t="str">
        <f>IFERROR(__xludf.DUMMYFUNCTION("""COMPUTED_VALUE"""),"Critical Part")</f>
        <v>Critical Part</v>
      </c>
      <c r="D416" s="3" t="str">
        <f>IFERROR(__xludf.DUMMYFUNCTION("""COMPUTED_VALUE"""),"-")</f>
        <v>-</v>
      </c>
      <c r="E416" s="3" t="str">
        <f>IFERROR(__xludf.DUMMYFUNCTION("""COMPUTED_VALUE"""),"Building")</f>
        <v>Building</v>
      </c>
      <c r="F416" s="3" t="str">
        <f>IFERROR(__xludf.DUMMYFUNCTION("""COMPUTED_VALUE"""),"Perluasan Ruang Filling")</f>
        <v>Perluasan Ruang Filling</v>
      </c>
      <c r="G416" s="3" t="str">
        <f>IFERROR(__xludf.DUMMYFUNCTION("""COMPUTED_VALUE"""),"Perluasan Ruangan Filling (Sandwich) Opsi A")</f>
        <v>Perluasan Ruangan Filling (Sandwich) Opsi A</v>
      </c>
      <c r="H416" s="3" t="str">
        <f>IFERROR(__xludf.DUMMYFUNCTION("""COMPUTED_VALUE"""),"Bondor")</f>
        <v>Bondor</v>
      </c>
      <c r="I416" s="3">
        <f>IFERROR(__xludf.DUMMYFUNCTION("""COMPUTED_VALUE"""),1.0)</f>
        <v>1</v>
      </c>
      <c r="J416" s="3" t="str">
        <f>IFERROR(__xludf.DUMMYFUNCTION("""COMPUTED_VALUE"""),"Lot")</f>
        <v>Lot</v>
      </c>
      <c r="K416" s="3" t="str">
        <f>IFERROR(__xludf.DUMMYFUNCTION("""COMPUTED_VALUE"""),"Email Mas Ken")</f>
        <v>Email Mas Ken</v>
      </c>
      <c r="L416" s="3" t="str">
        <f>IFERROR(__xludf.DUMMYFUNCTION("""COMPUTED_VALUE"""),"2567 121702984 R-71002-00")</f>
        <v>2567 121702984 R-71002-00</v>
      </c>
      <c r="M416" s="3" t="str">
        <f>IFERROR(__xludf.DUMMYFUNCTION("""COMPUTED_VALUE"""),"Reject")</f>
        <v>Reject</v>
      </c>
      <c r="N416" s="3" t="str">
        <f>IFERROR(__xludf.DUMMYFUNCTION("""COMPUTED_VALUE"""),"Normal")</f>
        <v>Normal</v>
      </c>
      <c r="O416" s="3" t="str">
        <f>IFERROR(__xludf.DUMMYFUNCTION("""COMPUTED_VALUE"""),"Non Urgent")</f>
        <v>Non Urgent</v>
      </c>
    </row>
    <row r="417">
      <c r="A417" s="4">
        <f>IFERROR(__xludf.DUMMYFUNCTION("""COMPUTED_VALUE"""),45910.93274539352)</f>
        <v>45910.93275</v>
      </c>
      <c r="B417" s="3" t="str">
        <f>IFERROR(__xludf.DUMMYFUNCTION("""COMPUTED_VALUE"""),"MFHBR0014")</f>
        <v>MFHBR0014</v>
      </c>
      <c r="C417" s="3" t="str">
        <f>IFERROR(__xludf.DUMMYFUNCTION("""COMPUTED_VALUE"""),"Critical Part")</f>
        <v>Critical Part</v>
      </c>
      <c r="D417" s="3" t="str">
        <f>IFERROR(__xludf.DUMMYFUNCTION("""COMPUTED_VALUE"""),"-")</f>
        <v>-</v>
      </c>
      <c r="E417" s="3" t="str">
        <f>IFERROR(__xludf.DUMMYFUNCTION("""COMPUTED_VALUE"""),"Building")</f>
        <v>Building</v>
      </c>
      <c r="F417" s="3" t="str">
        <f>IFERROR(__xludf.DUMMYFUNCTION("""COMPUTED_VALUE"""),"Perluasan Bangunan")</f>
        <v>Perluasan Bangunan</v>
      </c>
      <c r="G417" s="3" t="str">
        <f>IFERROR(__xludf.DUMMYFUNCTION("""COMPUTED_VALUE"""),"Perluasan Lantai 2 dan 3")</f>
        <v>Perluasan Lantai 2 dan 3</v>
      </c>
      <c r="H417" s="3" t="str">
        <f>IFERROR(__xludf.DUMMYFUNCTION("""COMPUTED_VALUE"""),"Legno")</f>
        <v>Legno</v>
      </c>
      <c r="I417" s="3">
        <f>IFERROR(__xludf.DUMMYFUNCTION("""COMPUTED_VALUE"""),1.0)</f>
        <v>1</v>
      </c>
      <c r="J417" s="3" t="str">
        <f>IFERROR(__xludf.DUMMYFUNCTION("""COMPUTED_VALUE"""),"Lot")</f>
        <v>Lot</v>
      </c>
      <c r="K417" s="3" t="str">
        <f>IFERROR(__xludf.DUMMYFUNCTION("""COMPUTED_VALUE"""),"Email Mas Ken")</f>
        <v>Email Mas Ken</v>
      </c>
      <c r="L417" s="3" t="str">
        <f>IFERROR(__xludf.DUMMYFUNCTION("""COMPUTED_VALUE"""),"2581 121702999 R-71002-00")</f>
        <v>2581 121702999 R-71002-00</v>
      </c>
      <c r="M417" s="3" t="str">
        <f>IFERROR(__xludf.DUMMYFUNCTION("""COMPUTED_VALUE"""),"Approve")</f>
        <v>Approve</v>
      </c>
      <c r="N417" s="3" t="str">
        <f>IFERROR(__xludf.DUMMYFUNCTION("""COMPUTED_VALUE"""),"Normal")</f>
        <v>Normal</v>
      </c>
      <c r="O417" s="3" t="str">
        <f>IFERROR(__xludf.DUMMYFUNCTION("""COMPUTED_VALUE"""),"Non Urgent")</f>
        <v>Non Urgent</v>
      </c>
    </row>
    <row r="418">
      <c r="A418" s="4">
        <f>IFERROR(__xludf.DUMMYFUNCTION("""COMPUTED_VALUE"""),45910.93522018518)</f>
        <v>45910.93522</v>
      </c>
      <c r="B418" s="3" t="str">
        <f>IFERROR(__xludf.DUMMYFUNCTION("""COMPUTED_VALUE"""),"MFHBR0015")</f>
        <v>MFHBR0015</v>
      </c>
      <c r="C418" s="3" t="str">
        <f>IFERROR(__xludf.DUMMYFUNCTION("""COMPUTED_VALUE"""),"Critical Part")</f>
        <v>Critical Part</v>
      </c>
      <c r="D418" s="3" t="str">
        <f>IFERROR(__xludf.DUMMYFUNCTION("""COMPUTED_VALUE"""),"-")</f>
        <v>-</v>
      </c>
      <c r="E418" s="3" t="str">
        <f>IFERROR(__xludf.DUMMYFUNCTION("""COMPUTED_VALUE"""),"Cooling Water")</f>
        <v>Cooling Water</v>
      </c>
      <c r="F418" s="3" t="str">
        <f>IFERROR(__xludf.DUMMYFUNCTION("""COMPUTED_VALUE"""),"Inverter")</f>
        <v>Inverter</v>
      </c>
      <c r="G418" s="3" t="str">
        <f>IFERROR(__xludf.DUMMYFUNCTION("""COMPUTED_VALUE"""),"FC-202P5K5T4E20H2XGXXXXSXXXXAXBXCXXXXDX")</f>
        <v>FC-202P5K5T4E20H2XGXXXXSXXXXAXBXCXXXXDX</v>
      </c>
      <c r="H418" s="3" t="str">
        <f>IFERROR(__xludf.DUMMYFUNCTION("""COMPUTED_VALUE"""),"Danfoss")</f>
        <v>Danfoss</v>
      </c>
      <c r="I418" s="3">
        <f>IFERROR(__xludf.DUMMYFUNCTION("""COMPUTED_VALUE"""),1.0)</f>
        <v>1</v>
      </c>
      <c r="J418" s="3" t="str">
        <f>IFERROR(__xludf.DUMMYFUNCTION("""COMPUTED_VALUE"""),"Pcs")</f>
        <v>Pcs</v>
      </c>
      <c r="K418" s="3" t="str">
        <f>IFERROR(__xludf.DUMMYFUNCTION("""COMPUTED_VALUE"""),"Email Mas Ken")</f>
        <v>Email Mas Ken</v>
      </c>
      <c r="L418" s="3" t="str">
        <f>IFERROR(__xludf.DUMMYFUNCTION("""COMPUTED_VALUE"""),"2596 121703054 R-21013-00")</f>
        <v>2596 121703054 R-21013-00</v>
      </c>
      <c r="M418" s="3" t="str">
        <f>IFERROR(__xludf.DUMMYFUNCTION("""COMPUTED_VALUE"""),"Approve")</f>
        <v>Approve</v>
      </c>
      <c r="N418" s="3" t="str">
        <f>IFERROR(__xludf.DUMMYFUNCTION("""COMPUTED_VALUE"""),"Normal")</f>
        <v>Normal</v>
      </c>
      <c r="O418" s="3" t="str">
        <f>IFERROR(__xludf.DUMMYFUNCTION("""COMPUTED_VALUE"""),"Non Urgent")</f>
        <v>Non Urgent</v>
      </c>
    </row>
    <row r="419">
      <c r="A419" s="4">
        <f>IFERROR(__xludf.DUMMYFUNCTION("""COMPUTED_VALUE"""),45912.69420106481)</f>
        <v>45912.6942</v>
      </c>
      <c r="B419" s="3" t="str">
        <f>IFERROR(__xludf.DUMMYFUNCTION("""COMPUTED_VALUE"""),"SFHBR0033")</f>
        <v>SFHBR0033</v>
      </c>
      <c r="C419" s="3" t="str">
        <f>IFERROR(__xludf.DUMMYFUNCTION("""COMPUTED_VALUE"""),"Consumable")</f>
        <v>Consumable</v>
      </c>
      <c r="D419" s="3" t="str">
        <f>IFERROR(__xludf.DUMMYFUNCTION("""COMPUTED_VALUE"""),"-")</f>
        <v>-</v>
      </c>
      <c r="E419" s="3" t="str">
        <f>IFERROR(__xludf.DUMMYFUNCTION("""COMPUTED_VALUE"""),"lantai 2")</f>
        <v>lantai 2</v>
      </c>
      <c r="F419" s="3" t="str">
        <f>IFERROR(__xludf.DUMMYFUNCTION("""COMPUTED_VALUE"""),"Insuflex Lembaran ( insulasi Busa Lembaran ) 3/8 inch / 10mm")</f>
        <v>Insuflex Lembaran ( insulasi Busa Lembaran ) 3/8 inch / 10mm</v>
      </c>
      <c r="G419" s="3" t="str">
        <f>IFERROR(__xludf.DUMMYFUNCTION("""COMPUTED_VALUE"""),"Insuflex Lembaran ( insulasi Busa Lembaran ) 3/8 inch / 10mm")</f>
        <v>Insuflex Lembaran ( insulasi Busa Lembaran ) 3/8 inch / 10mm</v>
      </c>
      <c r="H419" s="3" t="str">
        <f>IFERROR(__xludf.DUMMYFUNCTION("""COMPUTED_VALUE"""),"insuflek")</f>
        <v>insuflek</v>
      </c>
      <c r="I419" s="3">
        <f>IFERROR(__xludf.DUMMYFUNCTION("""COMPUTED_VALUE"""),10.0)</f>
        <v>10</v>
      </c>
      <c r="J419" s="3" t="str">
        <f>IFERROR(__xludf.DUMMYFUNCTION("""COMPUTED_VALUE"""),"lembar")</f>
        <v>lembar</v>
      </c>
      <c r="K419" s="5" t="str">
        <f>IFERROR(__xludf.DUMMYFUNCTION("""COMPUTED_VALUE"""),"https://tk.tokopedia.com/ZSDNTa6bD/")</f>
        <v>https://tk.tokopedia.com/ZSDNTa6bD/</v>
      </c>
      <c r="L419" s="3" t="str">
        <f>IFERROR(__xludf.DUMMYFUNCTION("""COMPUTED_VALUE"""),"REJECT BY MFH KARENA REFERENSI SUDAH TIDAK ADA")</f>
        <v>REJECT BY MFH KARENA REFERENSI SUDAH TIDAK ADA</v>
      </c>
      <c r="M419" s="3" t="str">
        <f>IFERROR(__xludf.DUMMYFUNCTION("""COMPUTED_VALUE"""),"Reject")</f>
        <v>Reject</v>
      </c>
      <c r="N419" s="3" t="str">
        <f>IFERROR(__xludf.DUMMYFUNCTION("""COMPUTED_VALUE"""),"Normal")</f>
        <v>Normal</v>
      </c>
      <c r="O419" s="3" t="str">
        <f>IFERROR(__xludf.DUMMYFUNCTION("""COMPUTED_VALUE"""),"Non Urgent")</f>
        <v>Non Urgent</v>
      </c>
    </row>
    <row r="420">
      <c r="A420" s="4">
        <f>IFERROR(__xludf.DUMMYFUNCTION("""COMPUTED_VALUE"""),45913.39722333333)</f>
        <v>45913.39722</v>
      </c>
      <c r="B420" s="3" t="str">
        <f>IFERROR(__xludf.DUMMYFUNCTION("""COMPUTED_VALUE"""),"NDSBR0023")</f>
        <v>NDSBR0023</v>
      </c>
      <c r="C420" s="3" t="str">
        <f>IFERROR(__xludf.DUMMYFUNCTION("""COMPUTED_VALUE"""),"EJO")</f>
        <v>EJO</v>
      </c>
      <c r="D420" s="3" t="str">
        <f>IFERROR(__xludf.DUMMYFUNCTION("""COMPUTED_VALUE"""),"EJO/2025/08/73")</f>
        <v>EJO/2025/08/73</v>
      </c>
      <c r="E420" s="3" t="str">
        <f>IFERROR(__xludf.DUMMYFUNCTION("""COMPUTED_VALUE"""),"Blister")</f>
        <v>Blister</v>
      </c>
      <c r="F420" s="3" t="str">
        <f>IFERROR(__xludf.DUMMYFUNCTION("""COMPUTED_VALUE"""),"Mur baut Forming 568")</f>
        <v>Mur baut Forming 568</v>
      </c>
      <c r="G420" s="3" t="str">
        <f>IFERROR(__xludf.DUMMYFUNCTION("""COMPUTED_VALUE"""),"Sesuai drawing")</f>
        <v>Sesuai drawing</v>
      </c>
      <c r="H420" s="3" t="str">
        <f>IFERROR(__xludf.DUMMYFUNCTION("""COMPUTED_VALUE"""),"-")</f>
        <v>-</v>
      </c>
      <c r="I420" s="3">
        <f>IFERROR(__xludf.DUMMYFUNCTION("""COMPUTED_VALUE"""),1.0)</f>
        <v>1</v>
      </c>
      <c r="J420" s="3" t="str">
        <f>IFERROR(__xludf.DUMMYFUNCTION("""COMPUTED_VALUE"""),"set")</f>
        <v>set</v>
      </c>
      <c r="K420" s="5" t="str">
        <f>IFERROR(__xludf.DUMMYFUNCTION("""COMPUTED_VALUE"""),"https://drive.google.com/drive/folders/1DixVXnMbDcx0kmTjXN_q25kItgwAtF5S?usp=drive_link")</f>
        <v>https://drive.google.com/drive/folders/1DixVXnMbDcx0kmTjXN_q25kItgwAtF5S?usp=drive_link</v>
      </c>
      <c r="L420" s="3" t="str">
        <f>IFERROR(__xludf.DUMMYFUNCTION("""COMPUTED_VALUE"""),"Buat Part 568")</f>
        <v>Buat Part 568</v>
      </c>
      <c r="M420" s="3" t="str">
        <f>IFERROR(__xludf.DUMMYFUNCTION("""COMPUTED_VALUE"""),"Reject")</f>
        <v>Reject</v>
      </c>
      <c r="N420" s="3" t="str">
        <f>IFERROR(__xludf.DUMMYFUNCTION("""COMPUTED_VALUE"""),"Normal")</f>
        <v>Normal</v>
      </c>
      <c r="O420" s="3" t="str">
        <f>IFERROR(__xludf.DUMMYFUNCTION("""COMPUTED_VALUE"""),"Non Urgent")</f>
        <v>Non Urgent</v>
      </c>
    </row>
    <row r="421">
      <c r="A421" s="4">
        <f>IFERROR(__xludf.DUMMYFUNCTION("""COMPUTED_VALUE"""),45913.400344421294)</f>
        <v>45913.40034</v>
      </c>
      <c r="B421" s="3" t="str">
        <f>IFERROR(__xludf.DUMMYFUNCTION("""COMPUTED_VALUE"""),"NDSBR0024")</f>
        <v>NDSBR0024</v>
      </c>
      <c r="C421" s="3" t="str">
        <f>IFERROR(__xludf.DUMMYFUNCTION("""COMPUTED_VALUE"""),"EJO")</f>
        <v>EJO</v>
      </c>
      <c r="D421" s="3" t="str">
        <f>IFERROR(__xludf.DUMMYFUNCTION("""COMPUTED_VALUE"""),"EJO/2025/08/74")</f>
        <v>EJO/2025/08/74</v>
      </c>
      <c r="E421" s="3" t="str">
        <f>IFERROR(__xludf.DUMMYFUNCTION("""COMPUTED_VALUE"""),"Blister")</f>
        <v>Blister</v>
      </c>
      <c r="F421" s="3" t="str">
        <f>IFERROR(__xludf.DUMMYFUNCTION("""COMPUTED_VALUE"""),"Mur baut Forming 569")</f>
        <v>Mur baut Forming 569</v>
      </c>
      <c r="G421" s="3" t="str">
        <f>IFERROR(__xludf.DUMMYFUNCTION("""COMPUTED_VALUE"""),"Sesuai drawing")</f>
        <v>Sesuai drawing</v>
      </c>
      <c r="H421" s="3" t="str">
        <f>IFERROR(__xludf.DUMMYFUNCTION("""COMPUTED_VALUE"""),"-")</f>
        <v>-</v>
      </c>
      <c r="I421" s="3">
        <f>IFERROR(__xludf.DUMMYFUNCTION("""COMPUTED_VALUE"""),1.0)</f>
        <v>1</v>
      </c>
      <c r="J421" s="3" t="str">
        <f>IFERROR(__xludf.DUMMYFUNCTION("""COMPUTED_VALUE"""),"Set")</f>
        <v>Set</v>
      </c>
      <c r="K421" s="5" t="str">
        <f>IFERROR(__xludf.DUMMYFUNCTION("""COMPUTED_VALUE"""),"https://drive.google.com/drive/folders/1DixVXnMbDcx0kmTjXN_q25kItgwAtF5S?usp=drive_link")</f>
        <v>https://drive.google.com/drive/folders/1DixVXnMbDcx0kmTjXN_q25kItgwAtF5S?usp=drive_link</v>
      </c>
      <c r="L421" s="3" t="str">
        <f>IFERROR(__xludf.DUMMYFUNCTION("""COMPUTED_VALUE"""),"Buat Part 569")</f>
        <v>Buat Part 569</v>
      </c>
      <c r="M421" s="3" t="str">
        <f>IFERROR(__xludf.DUMMYFUNCTION("""COMPUTED_VALUE"""),"Reject")</f>
        <v>Reject</v>
      </c>
      <c r="N421" s="3" t="str">
        <f>IFERROR(__xludf.DUMMYFUNCTION("""COMPUTED_VALUE"""),"Normal")</f>
        <v>Normal</v>
      </c>
      <c r="O421" s="3" t="str">
        <f>IFERROR(__xludf.DUMMYFUNCTION("""COMPUTED_VALUE"""),"Non Urgent")</f>
        <v>Non Urgent</v>
      </c>
    </row>
    <row r="422">
      <c r="A422" s="4">
        <f>IFERROR(__xludf.DUMMYFUNCTION("""COMPUTED_VALUE"""),45915.56884364583)</f>
        <v>45915.56884</v>
      </c>
      <c r="B422" s="3" t="str">
        <f>IFERROR(__xludf.DUMMYFUNCTION("""COMPUTED_VALUE"""),"NDSBR0025")</f>
        <v>NDSBR0025</v>
      </c>
      <c r="C422" s="3" t="str">
        <f>IFERROR(__xludf.DUMMYFUNCTION("""COMPUTED_VALUE"""),"EJO")</f>
        <v>EJO</v>
      </c>
      <c r="D422" s="3" t="str">
        <f>IFERROR(__xludf.DUMMYFUNCTION("""COMPUTED_VALUE"""),"EJO/2025/08/73")</f>
        <v>EJO/2025/08/73</v>
      </c>
      <c r="E422" s="3" t="str">
        <f>IFERROR(__xludf.DUMMYFUNCTION("""COMPUTED_VALUE"""),"Blister")</f>
        <v>Blister</v>
      </c>
      <c r="F422" s="3" t="str">
        <f>IFERROR(__xludf.DUMMYFUNCTION("""COMPUTED_VALUE"""),"Shaft forming")</f>
        <v>Shaft forming</v>
      </c>
      <c r="G422" s="3" t="str">
        <f>IFERROR(__xludf.DUMMYFUNCTION("""COMPUTED_VALUE"""),"sesuai gambar")</f>
        <v>sesuai gambar</v>
      </c>
      <c r="H422" s="3" t="str">
        <f>IFERROR(__xludf.DUMMYFUNCTION("""COMPUTED_VALUE"""),"-")</f>
        <v>-</v>
      </c>
      <c r="I422" s="3">
        <f>IFERROR(__xludf.DUMMYFUNCTION("""COMPUTED_VALUE"""),2.0)</f>
        <v>2</v>
      </c>
      <c r="J422" s="3" t="str">
        <f>IFERROR(__xludf.DUMMYFUNCTION("""COMPUTED_VALUE"""),"pcs")</f>
        <v>pcs</v>
      </c>
      <c r="K422" s="5" t="str">
        <f>IFERROR(__xludf.DUMMYFUNCTION("""COMPUTED_VALUE"""),"https://drive.google.com/drive/folders/1DixVXnMbDcx0kmTjXN_q25kItgwAtF5S?usp=drive_link")</f>
        <v>https://drive.google.com/drive/folders/1DixVXnMbDcx0kmTjXN_q25kItgwAtF5S?usp=drive_link</v>
      </c>
      <c r="L422" s="3" t="str">
        <f>IFERROR(__xludf.DUMMYFUNCTION("""COMPUTED_VALUE"""),"Penawaran no 2")</f>
        <v>Penawaran no 2</v>
      </c>
      <c r="M422" s="3" t="str">
        <f>IFERROR(__xludf.DUMMYFUNCTION("""COMPUTED_VALUE"""),"Approve")</f>
        <v>Approve</v>
      </c>
      <c r="N422" s="3" t="str">
        <f>IFERROR(__xludf.DUMMYFUNCTION("""COMPUTED_VALUE"""),"Normal")</f>
        <v>Normal</v>
      </c>
      <c r="O422" s="3" t="str">
        <f>IFERROR(__xludf.DUMMYFUNCTION("""COMPUTED_VALUE"""),"Non Urgent")</f>
        <v>Non Urgent</v>
      </c>
    </row>
    <row r="423">
      <c r="A423" s="4">
        <f>IFERROR(__xludf.DUMMYFUNCTION("""COMPUTED_VALUE"""),45915.572459814815)</f>
        <v>45915.57246</v>
      </c>
      <c r="B423" s="3" t="str">
        <f>IFERROR(__xludf.DUMMYFUNCTION("""COMPUTED_VALUE"""),"NDSBR0026")</f>
        <v>NDSBR0026</v>
      </c>
      <c r="C423" s="3" t="str">
        <f>IFERROR(__xludf.DUMMYFUNCTION("""COMPUTED_VALUE"""),"EJO")</f>
        <v>EJO</v>
      </c>
      <c r="D423" s="3" t="str">
        <f>IFERROR(__xludf.DUMMYFUNCTION("""COMPUTED_VALUE"""),"EJO/2025/08/73")</f>
        <v>EJO/2025/08/73</v>
      </c>
      <c r="E423" s="3" t="str">
        <f>IFERROR(__xludf.DUMMYFUNCTION("""COMPUTED_VALUE"""),"Blister")</f>
        <v>Blister</v>
      </c>
      <c r="F423" s="3" t="str">
        <f>IFERROR(__xludf.DUMMYFUNCTION("""COMPUTED_VALUE"""),"Mur shaft forming")</f>
        <v>Mur shaft forming</v>
      </c>
      <c r="G423" s="3" t="str">
        <f>IFERROR(__xludf.DUMMYFUNCTION("""COMPUTED_VALUE"""),"sesuai gambar")</f>
        <v>sesuai gambar</v>
      </c>
      <c r="H423" s="3" t="str">
        <f>IFERROR(__xludf.DUMMYFUNCTION("""COMPUTED_VALUE"""),"-")</f>
        <v>-</v>
      </c>
      <c r="I423" s="3">
        <f>IFERROR(__xludf.DUMMYFUNCTION("""COMPUTED_VALUE"""),3.0)</f>
        <v>3</v>
      </c>
      <c r="J423" s="3" t="str">
        <f>IFERROR(__xludf.DUMMYFUNCTION("""COMPUTED_VALUE"""),"pcs")</f>
        <v>pcs</v>
      </c>
      <c r="K423" s="5" t="str">
        <f>IFERROR(__xludf.DUMMYFUNCTION("""COMPUTED_VALUE"""),"https://drive.google.com/drive/folders/1DixVXnMbDcx0kmTjXN_q25kItgwAtF5S?usp=drive_link")</f>
        <v>https://drive.google.com/drive/folders/1DixVXnMbDcx0kmTjXN_q25kItgwAtF5S?usp=drive_link</v>
      </c>
      <c r="L423" s="3" t="str">
        <f>IFERROR(__xludf.DUMMYFUNCTION("""COMPUTED_VALUE"""),"Penawaran no 1")</f>
        <v>Penawaran no 1</v>
      </c>
      <c r="M423" s="3" t="str">
        <f>IFERROR(__xludf.DUMMYFUNCTION("""COMPUTED_VALUE"""),"Approve")</f>
        <v>Approve</v>
      </c>
      <c r="N423" s="3" t="str">
        <f>IFERROR(__xludf.DUMMYFUNCTION("""COMPUTED_VALUE"""),"Normal")</f>
        <v>Normal</v>
      </c>
      <c r="O423" s="3" t="str">
        <f>IFERROR(__xludf.DUMMYFUNCTION("""COMPUTED_VALUE"""),"Non Urgent")</f>
        <v>Non Urgent</v>
      </c>
    </row>
    <row r="424">
      <c r="A424" s="4">
        <f>IFERROR(__xludf.DUMMYFUNCTION("""COMPUTED_VALUE"""),45916.68767291667)</f>
        <v>45916.68767</v>
      </c>
      <c r="B424" s="3" t="str">
        <f>IFERROR(__xludf.DUMMYFUNCTION("""COMPUTED_VALUE"""),"ANOBR0030")</f>
        <v>ANOBR0030</v>
      </c>
      <c r="C424" s="3" t="str">
        <f>IFERROR(__xludf.DUMMYFUNCTION("""COMPUTED_VALUE"""),"EJO")</f>
        <v>EJO</v>
      </c>
      <c r="D424" s="3" t="str">
        <f>IFERROR(__xludf.DUMMYFUNCTION("""COMPUTED_VALUE"""),"EJO/2025/08/94")</f>
        <v>EJO/2025/08/94</v>
      </c>
      <c r="E424" s="3" t="str">
        <f>IFERROR(__xludf.DUMMYFUNCTION("""COMPUTED_VALUE"""),"Aerosol Generator")</f>
        <v>Aerosol Generator</v>
      </c>
      <c r="F424" s="3" t="str">
        <f>IFERROR(__xludf.DUMMYFUNCTION("""COMPUTED_VALUE"""),"Regulator")</f>
        <v>Regulator</v>
      </c>
      <c r="G424" s="3" t="str">
        <f>IFERROR(__xludf.DUMMYFUNCTION("""COMPUTED_VALUE"""),"SMC AW30-03-A sett press 0.05-0.7Mpa")</f>
        <v>SMC AW30-03-A sett press 0.05-0.7Mpa</v>
      </c>
      <c r="H424" s="3" t="str">
        <f>IFERROR(__xludf.DUMMYFUNCTION("""COMPUTED_VALUE"""),"SMC")</f>
        <v>SMC</v>
      </c>
      <c r="I424" s="3">
        <f>IFERROR(__xludf.DUMMYFUNCTION("""COMPUTED_VALUE"""),2.0)</f>
        <v>2</v>
      </c>
      <c r="J424" s="3" t="str">
        <f>IFERROR(__xludf.DUMMYFUNCTION("""COMPUTED_VALUE"""),"PCS")</f>
        <v>PCS</v>
      </c>
      <c r="K424" s="5" t="str">
        <f>IFERROR(__xludf.DUMMYFUNCTION("""COMPUTED_VALUE"""),"https://drive.google.com/drive/folders/1oaTb-qzrU40WIID6eOgCm_vXVev-cLxX?usp=drive_link")</f>
        <v>https://drive.google.com/drive/folders/1oaTb-qzrU40WIID6eOgCm_vXVev-cLxX?usp=drive_link</v>
      </c>
      <c r="L424" s="3" t="str">
        <f>IFERROR(__xludf.DUMMYFUNCTION("""COMPUTED_VALUE"""),"Keperluan mengganti regulator aerosol generator")</f>
        <v>Keperluan mengganti regulator aerosol generator</v>
      </c>
      <c r="M424" s="3" t="str">
        <f>IFERROR(__xludf.DUMMYFUNCTION("""COMPUTED_VALUE"""),"Approve")</f>
        <v>Approve</v>
      </c>
      <c r="N424" s="3" t="str">
        <f>IFERROR(__xludf.DUMMYFUNCTION("""COMPUTED_VALUE"""),"Normal")</f>
        <v>Normal</v>
      </c>
      <c r="O424" s="3" t="str">
        <f>IFERROR(__xludf.DUMMYFUNCTION("""COMPUTED_VALUE"""),"Non Urgent")</f>
        <v>Non Urgent</v>
      </c>
    </row>
    <row r="425">
      <c r="A425" s="4">
        <f>IFERROR(__xludf.DUMMYFUNCTION("""COMPUTED_VALUE"""),45917.94055747685)</f>
        <v>45917.94056</v>
      </c>
      <c r="B425" s="3" t="str">
        <f>IFERROR(__xludf.DUMMYFUNCTION("""COMPUTED_VALUE"""),"ANOBR0031")</f>
        <v>ANOBR0031</v>
      </c>
      <c r="C425" s="3" t="str">
        <f>IFERROR(__xludf.DUMMYFUNCTION("""COMPUTED_VALUE"""),"EJO")</f>
        <v>EJO</v>
      </c>
      <c r="D425" s="3" t="str">
        <f>IFERROR(__xludf.DUMMYFUNCTION("""COMPUTED_VALUE"""),"EJO/2025/09/52")</f>
        <v>EJO/2025/09/52</v>
      </c>
      <c r="E425" s="3" t="str">
        <f>IFERROR(__xludf.DUMMYFUNCTION("""COMPUTED_VALUE"""),"IPC Room")</f>
        <v>IPC Room</v>
      </c>
      <c r="F425" s="3" t="str">
        <f>IFERROR(__xludf.DUMMYFUNCTION("""COMPUTED_VALUE"""),"kabel roll")</f>
        <v>kabel roll</v>
      </c>
      <c r="G425" s="3" t="str">
        <f>IFERROR(__xludf.DUMMYFUNCTION("""COMPUTED_VALUE""")," Roll Kabel 10M  FULL+ Saklar Sambungan Kabel SNI Box 10M")</f>
        <v> Roll Kabel 10M  FULL+ Saklar Sambungan Kabel SNI Box 10M</v>
      </c>
      <c r="H425" s="3" t="str">
        <f>IFERROR(__xludf.DUMMYFUNCTION("""COMPUTED_VALUE"""),"-")</f>
        <v>-</v>
      </c>
      <c r="I425" s="3">
        <f>IFERROR(__xludf.DUMMYFUNCTION("""COMPUTED_VALUE"""),1.0)</f>
        <v>1</v>
      </c>
      <c r="J425" s="3" t="str">
        <f>IFERROR(__xludf.DUMMYFUNCTION("""COMPUTED_VALUE"""),"pcs")</f>
        <v>pcs</v>
      </c>
      <c r="K425" s="5" t="str">
        <f>IFERROR(__xludf.DUMMYFUNCTION("""COMPUTED_VALUE"""),"https://shopee.co.id/product/1299773/25327270336?gads_t_sig=VTJGc2RHVmtYMTlxTFVSVVRrdENkVEg0SDd3VWo1MDQyT052d3EvY1B4YmhDb0dxdkZFblg5Umk2ZUF4TXpKdWtraGVUa0Y1N3hxejgybk5UTWRnMG1wcG9rR3FhaTBxODZqL0lBTEVNUm5YamxkV2V1b1hHcEdjYmlYVFNISnA&amp;gad_source=1&amp;gad_campai"&amp;"gnid=19804035996&amp;gbraid=0AAAAADPpU82rED4xEK3nUYE4bL_2AIcmm&amp;gclid=Cj0KCQjwuKnGBhD5ARIsAD19RsafbWZGh8UzP5u443kSf6pp8XZLe2crZNYv_QsoIL-jZ6_KzA-iUtkaAvj3EALw_wcB")</f>
        <v>https://shopee.co.id/product/1299773/25327270336?gads_t_sig=VTJGc2RHVmtYMTlxTFVSVVRrdENkVEg0SDd3VWo1MDQyT052d3EvY1B4YmhDb0dxdkZFblg5Umk2ZUF4TXpKdWtraGVUa0Y1N3hxejgybk5UTWRnMG1wcG9rR3FhaTBxODZqL0lBTEVNUm5YamxkV2V1b1hHcEdjYmlYVFNISnA&amp;gad_source=1&amp;gad_campaignid=19804035996&amp;gbraid=0AAAAADPpU82rED4xEK3nUYE4bL_2AIcmm&amp;gclid=Cj0KCQjwuKnGBhD5ARIsAD19RsafbWZGh8UzP5u443kSf6pp8XZLe2crZNYv_QsoIL-jZ6_KzA-iUtkaAvj3EALw_wcB</v>
      </c>
      <c r="L425" s="3" t="str">
        <f>IFERROR(__xludf.DUMMYFUNCTION("""COMPUTED_VALUE"""),"untuk keperluan mengganti kabel roll yang di pakai di  disintegration tester")</f>
        <v>untuk keperluan mengganti kabel roll yang di pakai di  disintegration tester</v>
      </c>
      <c r="M425" s="3" t="str">
        <f>IFERROR(__xludf.DUMMYFUNCTION("""COMPUTED_VALUE"""),"Reject")</f>
        <v>Reject</v>
      </c>
      <c r="N425" s="3" t="str">
        <f>IFERROR(__xludf.DUMMYFUNCTION("""COMPUTED_VALUE"""),"Normal")</f>
        <v>Normal</v>
      </c>
      <c r="O425" s="3" t="str">
        <f>IFERROR(__xludf.DUMMYFUNCTION("""COMPUTED_VALUE"""),"Non Urgent")</f>
        <v>Non Urgent</v>
      </c>
    </row>
    <row r="426">
      <c r="A426" s="4">
        <f>IFERROR(__xludf.DUMMYFUNCTION("""COMPUTED_VALUE"""),45917.94847574075)</f>
        <v>45917.94848</v>
      </c>
      <c r="B426" s="3" t="str">
        <f>IFERROR(__xludf.DUMMYFUNCTION("""COMPUTED_VALUE"""),"ANOBR0032")</f>
        <v>ANOBR0032</v>
      </c>
      <c r="C426" s="3" t="str">
        <f>IFERROR(__xludf.DUMMYFUNCTION("""COMPUTED_VALUE"""),"Consumable")</f>
        <v>Consumable</v>
      </c>
      <c r="D426" s="3" t="str">
        <f>IFERROR(__xludf.DUMMYFUNCTION("""COMPUTED_VALUE"""),"-")</f>
        <v>-</v>
      </c>
      <c r="E426" s="3" t="str">
        <f>IFERROR(__xludf.DUMMYFUNCTION("""COMPUTED_VALUE"""),"tunnel")</f>
        <v>tunnel</v>
      </c>
      <c r="F426" s="3" t="str">
        <f>IFERROR(__xludf.DUMMYFUNCTION("""COMPUTED_VALUE"""),"konektor star actuator 3 way valve")</f>
        <v>konektor star actuator 3 way valve</v>
      </c>
      <c r="G426" s="3" t="str">
        <f>IFERROR(__xludf.DUMMYFUNCTION("""COMPUTED_VALUE"""),"1 sett")</f>
        <v>1 sett</v>
      </c>
      <c r="H426" s="3" t="str">
        <f>IFERROR(__xludf.DUMMYFUNCTION("""COMPUTED_VALUE"""),"-")</f>
        <v>-</v>
      </c>
      <c r="I426" s="3">
        <f>IFERROR(__xludf.DUMMYFUNCTION("""COMPUTED_VALUE"""),2.0)</f>
        <v>2</v>
      </c>
      <c r="J426" s="3" t="str">
        <f>IFERROR(__xludf.DUMMYFUNCTION("""COMPUTED_VALUE"""),"set")</f>
        <v>set</v>
      </c>
      <c r="K426" s="5" t="str">
        <f>IFERROR(__xludf.DUMMYFUNCTION("""COMPUTED_VALUE"""),"https://www.tokopedia.com/kitamurapart/star-actuator-soket-actuator-konektor-actuator-sok-14x11-13035")</f>
        <v>https://www.tokopedia.com/kitamurapart/star-actuator-soket-actuator-konektor-actuator-sok-14x11-13035</v>
      </c>
      <c r="L426" s="3" t="str">
        <f>IFERROR(__xludf.DUMMYFUNCTION("""COMPUTED_VALUE"""),"untuk keperluan stok jika terjadi problem")</f>
        <v>untuk keperluan stok jika terjadi problem</v>
      </c>
      <c r="M426" s="3" t="str">
        <f>IFERROR(__xludf.DUMMYFUNCTION("""COMPUTED_VALUE"""),"Approve")</f>
        <v>Approve</v>
      </c>
      <c r="N426" s="3" t="str">
        <f>IFERROR(__xludf.DUMMYFUNCTION("""COMPUTED_VALUE"""),"Normal")</f>
        <v>Normal</v>
      </c>
      <c r="O426" s="3" t="str">
        <f>IFERROR(__xludf.DUMMYFUNCTION("""COMPUTED_VALUE"""),"Non Urgent")</f>
        <v>Non Urgent</v>
      </c>
    </row>
    <row r="427">
      <c r="A427" s="4">
        <f>IFERROR(__xludf.DUMMYFUNCTION("""COMPUTED_VALUE"""),45919.675639444446)</f>
        <v>45919.67564</v>
      </c>
      <c r="B427" s="3" t="str">
        <f>IFERROR(__xludf.DUMMYFUNCTION("""COMPUTED_VALUE"""),"RIABR0100")</f>
        <v>RIABR0100</v>
      </c>
      <c r="C427" s="3" t="str">
        <f>IFERROR(__xludf.DUMMYFUNCTION("""COMPUTED_VALUE"""),"Consumable")</f>
        <v>Consumable</v>
      </c>
      <c r="D427" s="3" t="str">
        <f>IFERROR(__xludf.DUMMYFUNCTION("""COMPUTED_VALUE"""),"-")</f>
        <v>-</v>
      </c>
      <c r="E427" s="3" t="str">
        <f>IFERROR(__xludf.DUMMYFUNCTION("""COMPUTED_VALUE"""),"AHU")</f>
        <v>AHU</v>
      </c>
      <c r="F427" s="3" t="str">
        <f>IFERROR(__xludf.DUMMYFUNCTION("""COMPUTED_VALUE"""),"Danfoss")</f>
        <v>Danfoss</v>
      </c>
      <c r="G427" s="3" t="str">
        <f>IFERROR(__xludf.DUMMYFUNCTION("""COMPUTED_VALUE"""),"VLT® HVAC Drive FC-102, (P11K) 11 KW / 15 HP, Three phase, 380 - 480 VAC, IP21 / Type 1, FC-102P11KT4E21H2XGXXXXSXXXXAXBXCXXXXDX")</f>
        <v>VLT® HVAC Drive FC-102, (P11K) 11 KW / 15 HP, Three phase, 380 - 480 VAC, IP21 / Type 1, FC-102P11KT4E21H2XGXXXXSXXXXAXBXCXXXXDX</v>
      </c>
      <c r="H427" s="3" t="str">
        <f>IFERROR(__xludf.DUMMYFUNCTION("""COMPUTED_VALUE"""),"Danfoss")</f>
        <v>Danfoss</v>
      </c>
      <c r="I427" s="3">
        <f>IFERROR(__xludf.DUMMYFUNCTION("""COMPUTED_VALUE"""),1.0)</f>
        <v>1</v>
      </c>
      <c r="J427" s="3" t="str">
        <f>IFERROR(__xludf.DUMMYFUNCTION("""COMPUTED_VALUE"""),"Pcs")</f>
        <v>Pcs</v>
      </c>
      <c r="K427" s="5" t="str">
        <f>IFERROR(__xludf.DUMMYFUNCTION("""COMPUTED_VALUE"""),"https://store.danfoss.com/sg/en/Drives/Low-Voltage-Drives/VLT%C2%AE-HVAC-Drive-FC-102/FC-102P11KT4E21H2XGXXXXSXXXXAXBXCXXXXDX/p/131B1271")</f>
        <v>https://store.danfoss.com/sg/en/Drives/Low-Voltage-Drives/VLT%C2%AE-HVAC-Drive-FC-102/FC-102P11KT4E21H2XGXXXXSXXXXAXBXCXXXXDX/p/131B1271</v>
      </c>
      <c r="L427" s="3" t="str">
        <f>IFERROR(__xludf.DUMMYFUNCTION("""COMPUTED_VALUE"""),"Untuk spare ini spek AHU paling besar, request mas ken")</f>
        <v>Untuk spare ini spek AHU paling besar, request mas ken</v>
      </c>
      <c r="M427" s="3" t="str">
        <f>IFERROR(__xludf.DUMMYFUNCTION("""COMPUTED_VALUE"""),"Approve")</f>
        <v>Approve</v>
      </c>
      <c r="N427" s="3" t="str">
        <f>IFERROR(__xludf.DUMMYFUNCTION("""COMPUTED_VALUE"""),"Normal")</f>
        <v>Normal</v>
      </c>
      <c r="O427" s="3" t="str">
        <f>IFERROR(__xludf.DUMMYFUNCTION("""COMPUTED_VALUE"""),"Non Urgent")</f>
        <v>Non Urgent</v>
      </c>
    </row>
    <row r="428">
      <c r="A428" s="4">
        <f>IFERROR(__xludf.DUMMYFUNCTION("""COMPUTED_VALUE"""),45919.677289826395)</f>
        <v>45919.67729</v>
      </c>
      <c r="B428" s="3" t="str">
        <f>IFERROR(__xludf.DUMMYFUNCTION("""COMPUTED_VALUE"""),"RIABR0101")</f>
        <v>RIABR0101</v>
      </c>
      <c r="C428" s="3" t="str">
        <f>IFERROR(__xludf.DUMMYFUNCTION("""COMPUTED_VALUE"""),"Consumable")</f>
        <v>Consumable</v>
      </c>
      <c r="D428" s="3" t="str">
        <f>IFERROR(__xludf.DUMMYFUNCTION("""COMPUTED_VALUE"""),"-")</f>
        <v>-</v>
      </c>
      <c r="E428" s="3" t="str">
        <f>IFERROR(__xludf.DUMMYFUNCTION("""COMPUTED_VALUE"""),"Exhaust Fan")</f>
        <v>Exhaust Fan</v>
      </c>
      <c r="F428" s="3" t="str">
        <f>IFERROR(__xludf.DUMMYFUNCTION("""COMPUTED_VALUE"""),"Danfoss")</f>
        <v>Danfoss</v>
      </c>
      <c r="G428" s="3" t="str">
        <f>IFERROR(__xludf.DUMMYFUNCTION("""COMPUTED_VALUE"""),"FC-102P4K0T4E55H2XGXXXXSXXXXAXBXCXXXXDX
VLT® HVAC Drive FC-102
(P4K0) 4.0 KW / 5.0 HP,
Three phase, 380 - 480 VAC, IP55 / Type 12")</f>
        <v>FC-102P4K0T4E55H2XGXXXXSXXXXAXBXCXXXXDX
VLT® HVAC Drive FC-102
(P4K0) 4.0 KW / 5.0 HP,
Three phase, 380 - 480 VAC, IP55 / Type 12</v>
      </c>
      <c r="H428" s="3" t="str">
        <f>IFERROR(__xludf.DUMMYFUNCTION("""COMPUTED_VALUE"""),"Danfoss")</f>
        <v>Danfoss</v>
      </c>
      <c r="I428" s="3">
        <f>IFERROR(__xludf.DUMMYFUNCTION("""COMPUTED_VALUE"""),1.0)</f>
        <v>1</v>
      </c>
      <c r="J428" s="3" t="str">
        <f>IFERROR(__xludf.DUMMYFUNCTION("""COMPUTED_VALUE"""),"Pcs")</f>
        <v>Pcs</v>
      </c>
      <c r="K428" s="5" t="str">
        <f>IFERROR(__xludf.DUMMYFUNCTION("""COMPUTED_VALUE"""),"https://store.danfoss.com/in/en/Drives/Low-Voltage-Drives/VLT%C2%AE-HVAC-Drive-FC-102/FC-102P4K0T4E55H2XGXXXXSXXXXAXBXCXXXXDX/p/131B4229")</f>
        <v>https://store.danfoss.com/in/en/Drives/Low-Voltage-Drives/VLT%C2%AE-HVAC-Drive-FC-102/FC-102P4K0T4E55H2XGXXXXSXXXXAXBXCXXXXDX/p/131B4229</v>
      </c>
      <c r="L428" s="3" t="str">
        <f>IFERROR(__xludf.DUMMYFUNCTION("""COMPUTED_VALUE"""),"Untuk spare ini spek EF paling besar, request mas ken")</f>
        <v>Untuk spare ini spek EF paling besar, request mas ken</v>
      </c>
      <c r="M428" s="3" t="str">
        <f>IFERROR(__xludf.DUMMYFUNCTION("""COMPUTED_VALUE"""),"Approve")</f>
        <v>Approve</v>
      </c>
      <c r="N428" s="3" t="str">
        <f>IFERROR(__xludf.DUMMYFUNCTION("""COMPUTED_VALUE"""),"Normal")</f>
        <v>Normal</v>
      </c>
      <c r="O428" s="3" t="str">
        <f>IFERROR(__xludf.DUMMYFUNCTION("""COMPUTED_VALUE"""),"Non Urgent")</f>
        <v>Non Urgent</v>
      </c>
    </row>
    <row r="429">
      <c r="A429" s="4">
        <f>IFERROR(__xludf.DUMMYFUNCTION("""COMPUTED_VALUE"""),45921.46139768518)</f>
        <v>45921.4614</v>
      </c>
      <c r="B429" s="3" t="str">
        <f>IFERROR(__xludf.DUMMYFUNCTION("""COMPUTED_VALUE"""),"MFHBR0016")</f>
        <v>MFHBR0016</v>
      </c>
      <c r="C429" s="3" t="str">
        <f>IFERROR(__xludf.DUMMYFUNCTION("""COMPUTED_VALUE"""),"Critical Part")</f>
        <v>Critical Part</v>
      </c>
      <c r="D429" s="3" t="str">
        <f>IFERROR(__xludf.DUMMYFUNCTION("""COMPUTED_VALUE"""),"-")</f>
        <v>-</v>
      </c>
      <c r="E429" s="3" t="str">
        <f>IFERROR(__xludf.DUMMYFUNCTION("""COMPUTED_VALUE"""),"Steriline")</f>
        <v>Steriline</v>
      </c>
      <c r="F429" s="3" t="str">
        <f>IFERROR(__xludf.DUMMYFUNCTION("""COMPUTED_VALUE"""),"Additional Cable Length")</f>
        <v>Additional Cable Length</v>
      </c>
      <c r="G429" s="3" t="str">
        <f>IFERROR(__xludf.DUMMYFUNCTION("""COMPUTED_VALUE"""),"-")</f>
        <v>-</v>
      </c>
      <c r="H429" s="3" t="str">
        <f>IFERROR(__xludf.DUMMYFUNCTION("""COMPUTED_VALUE"""),"-")</f>
        <v>-</v>
      </c>
      <c r="I429" s="3">
        <f>IFERROR(__xludf.DUMMYFUNCTION("""COMPUTED_VALUE"""),1.0)</f>
        <v>1</v>
      </c>
      <c r="J429" s="3" t="str">
        <f>IFERROR(__xludf.DUMMYFUNCTION("""COMPUTED_VALUE"""),"Lot")</f>
        <v>Lot</v>
      </c>
      <c r="K429" s="3" t="str">
        <f>IFERROR(__xludf.DUMMYFUNCTION("""COMPUTED_VALUE"""),"Email Pak Kris")</f>
        <v>Email Pak Kris</v>
      </c>
      <c r="L429" s="3" t="str">
        <f>IFERROR(__xludf.DUMMYFUNCTION("""COMPUTED_VALUE"""),"2736 121703163 R-20023-00")</f>
        <v>2736 121703163 R-20023-00</v>
      </c>
      <c r="M429" s="3" t="str">
        <f>IFERROR(__xludf.DUMMYFUNCTION("""COMPUTED_VALUE"""),"Approve")</f>
        <v>Approve</v>
      </c>
      <c r="N429" s="3" t="str">
        <f>IFERROR(__xludf.DUMMYFUNCTION("""COMPUTED_VALUE"""),"Normal")</f>
        <v>Normal</v>
      </c>
      <c r="O429" s="3" t="str">
        <f>IFERROR(__xludf.DUMMYFUNCTION("""COMPUTED_VALUE"""),"Non Urgent")</f>
        <v>Non Urgent</v>
      </c>
    </row>
    <row r="430">
      <c r="A430" s="4">
        <f>IFERROR(__xludf.DUMMYFUNCTION("""COMPUTED_VALUE"""),45921.46139768518)</f>
        <v>45921.4614</v>
      </c>
      <c r="B430" s="3" t="str">
        <f>IFERROR(__xludf.DUMMYFUNCTION("""COMPUTED_VALUE"""),"MFHBR0017")</f>
        <v>MFHBR0017</v>
      </c>
      <c r="C430" s="3" t="str">
        <f>IFERROR(__xludf.DUMMYFUNCTION("""COMPUTED_VALUE"""),"Critical Part")</f>
        <v>Critical Part</v>
      </c>
      <c r="D430" s="3" t="str">
        <f>IFERROR(__xludf.DUMMYFUNCTION("""COMPUTED_VALUE"""),"-")</f>
        <v>-</v>
      </c>
      <c r="E430" s="3" t="str">
        <f>IFERROR(__xludf.DUMMYFUNCTION("""COMPUTED_VALUE"""),"Steriline")</f>
        <v>Steriline</v>
      </c>
      <c r="F430" s="3" t="str">
        <f>IFERROR(__xludf.DUMMYFUNCTION("""COMPUTED_VALUE"""),"Hardware Upgrade")</f>
        <v>Hardware Upgrade</v>
      </c>
      <c r="G430" s="3" t="str">
        <f>IFERROR(__xludf.DUMMYFUNCTION("""COMPUTED_VALUE"""),"-")</f>
        <v>-</v>
      </c>
      <c r="H430" s="3" t="str">
        <f>IFERROR(__xludf.DUMMYFUNCTION("""COMPUTED_VALUE"""),"-")</f>
        <v>-</v>
      </c>
      <c r="I430" s="3">
        <f>IFERROR(__xludf.DUMMYFUNCTION("""COMPUTED_VALUE"""),1.0)</f>
        <v>1</v>
      </c>
      <c r="J430" s="3" t="str">
        <f>IFERROR(__xludf.DUMMYFUNCTION("""COMPUTED_VALUE"""),"Lot")</f>
        <v>Lot</v>
      </c>
      <c r="K430" s="3" t="str">
        <f>IFERROR(__xludf.DUMMYFUNCTION("""COMPUTED_VALUE"""),"Email Pak Kris")</f>
        <v>Email Pak Kris</v>
      </c>
      <c r="L430" s="3" t="str">
        <f>IFERROR(__xludf.DUMMYFUNCTION("""COMPUTED_VALUE"""),"2737 121703163 R-20023-00")</f>
        <v>2737 121703163 R-20023-00</v>
      </c>
      <c r="M430" s="3" t="str">
        <f>IFERROR(__xludf.DUMMYFUNCTION("""COMPUTED_VALUE"""),"Approve")</f>
        <v>Approve</v>
      </c>
      <c r="N430" s="3" t="str">
        <f>IFERROR(__xludf.DUMMYFUNCTION("""COMPUTED_VALUE"""),"Normal")</f>
        <v>Normal</v>
      </c>
      <c r="O430" s="3" t="str">
        <f>IFERROR(__xludf.DUMMYFUNCTION("""COMPUTED_VALUE"""),"Non Urgent")</f>
        <v>Non Urgent</v>
      </c>
    </row>
    <row r="431">
      <c r="A431" s="4">
        <f>IFERROR(__xludf.DUMMYFUNCTION("""COMPUTED_VALUE"""),45921.46140724537)</f>
        <v>45921.46141</v>
      </c>
      <c r="B431" s="3" t="str">
        <f>IFERROR(__xludf.DUMMYFUNCTION("""COMPUTED_VALUE"""),"MFHBR0018")</f>
        <v>MFHBR0018</v>
      </c>
      <c r="C431" s="3" t="str">
        <f>IFERROR(__xludf.DUMMYFUNCTION("""COMPUTED_VALUE"""),"Critical Part")</f>
        <v>Critical Part</v>
      </c>
      <c r="D431" s="3" t="str">
        <f>IFERROR(__xludf.DUMMYFUNCTION("""COMPUTED_VALUE"""),"-")</f>
        <v>-</v>
      </c>
      <c r="E431" s="3" t="str">
        <f>IFERROR(__xludf.DUMMYFUNCTION("""COMPUTED_VALUE"""),"Steriline")</f>
        <v>Steriline</v>
      </c>
      <c r="F431" s="3" t="str">
        <f>IFERROR(__xludf.DUMMYFUNCTION("""COMPUTED_VALUE"""),"Software Upgrade")</f>
        <v>Software Upgrade</v>
      </c>
      <c r="G431" s="3" t="str">
        <f>IFERROR(__xludf.DUMMYFUNCTION("""COMPUTED_VALUE"""),"-")</f>
        <v>-</v>
      </c>
      <c r="H431" s="3" t="str">
        <f>IFERROR(__xludf.DUMMYFUNCTION("""COMPUTED_VALUE"""),"-")</f>
        <v>-</v>
      </c>
      <c r="I431" s="3">
        <f>IFERROR(__xludf.DUMMYFUNCTION("""COMPUTED_VALUE"""),1.0)</f>
        <v>1</v>
      </c>
      <c r="J431" s="3" t="str">
        <f>IFERROR(__xludf.DUMMYFUNCTION("""COMPUTED_VALUE"""),"Lot")</f>
        <v>Lot</v>
      </c>
      <c r="K431" s="3" t="str">
        <f>IFERROR(__xludf.DUMMYFUNCTION("""COMPUTED_VALUE"""),"Email Pak Kris")</f>
        <v>Email Pak Kris</v>
      </c>
      <c r="L431" s="3" t="str">
        <f>IFERROR(__xludf.DUMMYFUNCTION("""COMPUTED_VALUE"""),"2738 121703163 R-20023-00")</f>
        <v>2738 121703163 R-20023-00</v>
      </c>
      <c r="M431" s="3" t="str">
        <f>IFERROR(__xludf.DUMMYFUNCTION("""COMPUTED_VALUE"""),"Approve")</f>
        <v>Approve</v>
      </c>
      <c r="N431" s="3" t="str">
        <f>IFERROR(__xludf.DUMMYFUNCTION("""COMPUTED_VALUE"""),"Normal")</f>
        <v>Normal</v>
      </c>
      <c r="O431" s="3" t="str">
        <f>IFERROR(__xludf.DUMMYFUNCTION("""COMPUTED_VALUE"""),"Non Urgent")</f>
        <v>Non Urgent</v>
      </c>
    </row>
    <row r="432">
      <c r="A432" s="4">
        <f>IFERROR(__xludf.DUMMYFUNCTION("""COMPUTED_VALUE"""),45923.26065189815)</f>
        <v>45923.26065</v>
      </c>
      <c r="B432" s="3" t="str">
        <f>IFERROR(__xludf.DUMMYFUNCTION("""COMPUTED_VALUE"""),"AAABR0026")</f>
        <v>AAABR0026</v>
      </c>
      <c r="C432" s="3" t="str">
        <f>IFERROR(__xludf.DUMMYFUNCTION("""COMPUTED_VALUE"""),"EJO")</f>
        <v>EJO</v>
      </c>
      <c r="D432" s="3" t="str">
        <f>IFERROR(__xludf.DUMMYFUNCTION("""COMPUTED_VALUE"""),"Menyusul")</f>
        <v>Menyusul</v>
      </c>
      <c r="E432" s="3" t="str">
        <f>IFERROR(__xludf.DUMMYFUNCTION("""COMPUTED_VALUE"""),"CR 3")</f>
        <v>CR 3</v>
      </c>
      <c r="F432" s="3" t="str">
        <f>IFERROR(__xludf.DUMMYFUNCTION("""COMPUTED_VALUE"""),"HEPA Filter")</f>
        <v>HEPA Filter</v>
      </c>
      <c r="G432" s="3" t="str">
        <f>IFERROR(__xludf.DUMMYFUNCTION("""COMPUTED_VALUE"""),"Minipleat ; eff 99.999% ; H-14 ; 457x610x69 ")</f>
        <v>Minipleat ; eff 99.999% ; H-14 ; 457x610x69 </v>
      </c>
      <c r="H432" s="3" t="str">
        <f>IFERROR(__xludf.DUMMYFUNCTION("""COMPUTED_VALUE"""),"IAF Filter")</f>
        <v>IAF Filter</v>
      </c>
      <c r="I432" s="3">
        <f>IFERROR(__xludf.DUMMYFUNCTION("""COMPUTED_VALUE"""),5.0)</f>
        <v>5</v>
      </c>
      <c r="J432" s="3" t="str">
        <f>IFERROR(__xludf.DUMMYFUNCTION("""COMPUTED_VALUE"""),"Pcs")</f>
        <v>Pcs</v>
      </c>
      <c r="K432" s="3" t="str">
        <f>IFERROR(__xludf.DUMMYFUNCTION("""COMPUTED_VALUE"""),"NA")</f>
        <v>NA</v>
      </c>
      <c r="L432" s="3" t="str">
        <f>IFERROR(__xludf.DUMMYFUNCTION("""COMPUTED_VALUE"""),"Needed date : 23 Oct 25")</f>
        <v>Needed date : 23 Oct 25</v>
      </c>
      <c r="M432" s="3" t="str">
        <f>IFERROR(__xludf.DUMMYFUNCTION("""COMPUTED_VALUE"""),"Approve")</f>
        <v>Approve</v>
      </c>
      <c r="N432" s="3" t="str">
        <f>IFERROR(__xludf.DUMMYFUNCTION("""COMPUTED_VALUE"""),"Normal")</f>
        <v>Normal</v>
      </c>
      <c r="O432" s="3" t="str">
        <f>IFERROR(__xludf.DUMMYFUNCTION("""COMPUTED_VALUE"""),"Non Urgent")</f>
        <v>Non Urgent</v>
      </c>
    </row>
    <row r="433">
      <c r="A433" s="4">
        <f>IFERROR(__xludf.DUMMYFUNCTION("""COMPUTED_VALUE"""),45923.39518503472)</f>
        <v>45923.39519</v>
      </c>
      <c r="B433" s="3" t="str">
        <f>IFERROR(__xludf.DUMMYFUNCTION("""COMPUTED_VALUE"""),"ROSBR0038")</f>
        <v>ROSBR0038</v>
      </c>
      <c r="C433" s="3" t="str">
        <f>IFERROR(__xludf.DUMMYFUNCTION("""COMPUTED_VALUE"""),"Consumable")</f>
        <v>Consumable</v>
      </c>
      <c r="D433" s="3" t="str">
        <f>IFERROR(__xludf.DUMMYFUNCTION("""COMPUTED_VALUE"""),"NA")</f>
        <v>NA</v>
      </c>
      <c r="E433" s="3" t="str">
        <f>IFERROR(__xludf.DUMMYFUNCTION("""COMPUTED_VALUE"""),"Engineering ")</f>
        <v>Engineering </v>
      </c>
      <c r="F433" s="3" t="str">
        <f>IFERROR(__xludf.DUMMYFUNCTION("""COMPUTED_VALUE"""),"Adapter Converter USB to LAN RJ45")</f>
        <v>Adapter Converter USB to LAN RJ45</v>
      </c>
      <c r="G433" s="3" t="str">
        <f>IFERROR(__xludf.DUMMYFUNCTION("""COMPUTED_VALUE"""),"Merk : Ugreen 
Adapter converter USB to LAN RJ45
Type : 50922")</f>
        <v>Merk : Ugreen 
Adapter converter USB to LAN RJ45
Type : 50922</v>
      </c>
      <c r="H433" s="3" t="str">
        <f>IFERROR(__xludf.DUMMYFUNCTION("""COMPUTED_VALUE"""),"Ugreen ")</f>
        <v>Ugreen </v>
      </c>
      <c r="I433" s="3">
        <f>IFERROR(__xludf.DUMMYFUNCTION("""COMPUTED_VALUE"""),4.0)</f>
        <v>4</v>
      </c>
      <c r="J433" s="3" t="str">
        <f>IFERROR(__xludf.DUMMYFUNCTION("""COMPUTED_VALUE"""),"pcs")</f>
        <v>pcs</v>
      </c>
      <c r="K433" s="5" t="str">
        <f>IFERROR(__xludf.DUMMYFUNCTION("""COMPUTED_VALUE"""),"https://shopee.co.id/UGREEN-Lan-Adapter-Gigabit-USB-A-Type-C-To-RJ45-Fast-Ethernet-Network-1000Mbps-2500Mbps-i.293199663.23533022629")</f>
        <v>https://shopee.co.id/UGREEN-Lan-Adapter-Gigabit-USB-A-Type-C-To-RJ45-Fast-Ethernet-Network-1000Mbps-2500Mbps-i.293199663.23533022629</v>
      </c>
      <c r="L433" s="5" t="str">
        <f>IFERROR(__xludf.DUMMYFUNCTION("""COMPUTED_VALUE"""),"https://drive.google.com/file/d/1C44KJhdkzl9cWfizQL1QdmCFFtU57bEm/view?usp=drive_link")</f>
        <v>https://drive.google.com/file/d/1C44KJhdkzl9cWfizQL1QdmCFFtU57bEm/view?usp=drive_link</v>
      </c>
      <c r="M433" s="3" t="str">
        <f>IFERROR(__xludf.DUMMYFUNCTION("""COMPUTED_VALUE"""),"Approve")</f>
        <v>Approve</v>
      </c>
      <c r="N433" s="3" t="str">
        <f>IFERROR(__xludf.DUMMYFUNCTION("""COMPUTED_VALUE"""),"Normal")</f>
        <v>Normal</v>
      </c>
      <c r="O433" s="3" t="str">
        <f>IFERROR(__xludf.DUMMYFUNCTION("""COMPUTED_VALUE"""),"Non Urgent")</f>
        <v>Non Urgent</v>
      </c>
    </row>
    <row r="434">
      <c r="A434" s="4">
        <f>IFERROR(__xludf.DUMMYFUNCTION("""COMPUTED_VALUE"""),45924.26367417824)</f>
        <v>45924.26367</v>
      </c>
      <c r="B434" s="3" t="str">
        <f>IFERROR(__xludf.DUMMYFUNCTION("""COMPUTED_VALUE"""),"MRNBR0066")</f>
        <v>MRNBR0066</v>
      </c>
      <c r="C434" s="3" t="str">
        <f>IFERROR(__xludf.DUMMYFUNCTION("""COMPUTED_VALUE"""),"EJO")</f>
        <v>EJO</v>
      </c>
      <c r="D434" s="3" t="str">
        <f>IFERROR(__xludf.DUMMYFUNCTION("""COMPUTED_VALUE"""),"EJO/2025/08/129")</f>
        <v>EJO/2025/08/129</v>
      </c>
      <c r="E434" s="3" t="str">
        <f>IFERROR(__xludf.DUMMYFUNCTION("""COMPUTED_VALUE"""),"PHE hot water")</f>
        <v>PHE hot water</v>
      </c>
      <c r="F434" s="3" t="str">
        <f>IFERROR(__xludf.DUMMYFUNCTION("""COMPUTED_VALUE"""),"Steam trap ")</f>
        <v>Steam trap </v>
      </c>
      <c r="G434" s="3" t="str">
        <f>IFERROR(__xludf.DUMMYFUNCTION("""COMPUTED_VALUE"""),"1 inch")</f>
        <v>1 inch</v>
      </c>
      <c r="H434" s="3" t="str">
        <f>IFERROR(__xludf.DUMMYFUNCTION("""COMPUTED_VALUE"""),"Spirax sarco")</f>
        <v>Spirax sarco</v>
      </c>
      <c r="I434" s="3">
        <f>IFERROR(__xludf.DUMMYFUNCTION("""COMPUTED_VALUE"""),2.0)</f>
        <v>2</v>
      </c>
      <c r="J434" s="3" t="str">
        <f>IFERROR(__xludf.DUMMYFUNCTION("""COMPUTED_VALUE"""),"pcs")</f>
        <v>pcs</v>
      </c>
      <c r="K434" s="5" t="str">
        <f>IFERROR(__xludf.DUMMYFUNCTION("""COMPUTED_VALUE"""),"https://drive.google.com/file/d/1wQOQqwJH1Sch1rlfV2Ndpg7Odtqm-ytm/view?usp=drive_link")</f>
        <v>https://drive.google.com/file/d/1wQOQqwJH1Sch1rlfV2Ndpg7Odtqm-ytm/view?usp=drive_link</v>
      </c>
      <c r="L434" s="3" t="str">
        <f>IFERROR(__xludf.DUMMYFUNCTION("""COMPUTED_VALUE"""),"penawaran terlampir")</f>
        <v>penawaran terlampir</v>
      </c>
      <c r="M434" s="3" t="str">
        <f>IFERROR(__xludf.DUMMYFUNCTION("""COMPUTED_VALUE"""),"Approve")</f>
        <v>Approve</v>
      </c>
      <c r="N434" s="3" t="str">
        <f>IFERROR(__xludf.DUMMYFUNCTION("""COMPUTED_VALUE"""),"Normal")</f>
        <v>Normal</v>
      </c>
      <c r="O434" s="3" t="str">
        <f>IFERROR(__xludf.DUMMYFUNCTION("""COMPUTED_VALUE"""),"Non Urgent")</f>
        <v>Non Urgent</v>
      </c>
    </row>
    <row r="435">
      <c r="A435" s="4">
        <f>IFERROR(__xludf.DUMMYFUNCTION("""COMPUTED_VALUE"""),45924.65788548611)</f>
        <v>45924.65789</v>
      </c>
      <c r="B435" s="3" t="str">
        <f>IFERROR(__xludf.DUMMYFUNCTION("""COMPUTED_VALUE"""),"RIABR0102")</f>
        <v>RIABR0102</v>
      </c>
      <c r="C435" s="3" t="str">
        <f>IFERROR(__xludf.DUMMYFUNCTION("""COMPUTED_VALUE"""),"EJO")</f>
        <v>EJO</v>
      </c>
      <c r="D435" s="3" t="str">
        <f>IFERROR(__xludf.DUMMYFUNCTION("""COMPUTED_VALUE"""),"EJO/2025/09/34")</f>
        <v>EJO/2025/09/34</v>
      </c>
      <c r="E435" s="3" t="str">
        <f>IFERROR(__xludf.DUMMYFUNCTION("""COMPUTED_VALUE"""),"Kapsul")</f>
        <v>Kapsul</v>
      </c>
      <c r="F435" s="3" t="str">
        <f>IFERROR(__xludf.DUMMYFUNCTION("""COMPUTED_VALUE"""),"Pusher Kapsul")</f>
        <v>Pusher Kapsul</v>
      </c>
      <c r="G435" s="3" t="str">
        <f>IFERROR(__xludf.DUMMYFUNCTION("""COMPUTED_VALUE"""),"Pusher Kapsul F1 (8716097 - F1 - C6 9299/320)")</f>
        <v>Pusher Kapsul F1 (8716097 - F1 - C6 9299/320)</v>
      </c>
      <c r="H435" s="3" t="str">
        <f>IFERROR(__xludf.DUMMYFUNCTION("""COMPUTED_VALUE"""),"SMA")</f>
        <v>SMA</v>
      </c>
      <c r="I435" s="3">
        <f>IFERROR(__xludf.DUMMYFUNCTION("""COMPUTED_VALUE"""),1.0)</f>
        <v>1</v>
      </c>
      <c r="J435" s="3" t="str">
        <f>IFERROR(__xludf.DUMMYFUNCTION("""COMPUTED_VALUE"""),"Set")</f>
        <v>Set</v>
      </c>
      <c r="K435" s="5" t="str">
        <f>IFERROR(__xludf.DUMMYFUNCTION("""COMPUTED_VALUE"""),"https://drive.google.com/file/d/1IpnATADGzwUDqmRvJUijXIrlFOnX1tS_/view?usp=drive_link")</f>
        <v>https://drive.google.com/file/d/1IpnATADGzwUDqmRvJUijXIrlFOnX1tS_/view?usp=drive_link</v>
      </c>
      <c r="L435" s="3" t="str">
        <f>IFERROR(__xludf.DUMMYFUNCTION("""COMPUTED_VALUE"""),"Dhil minta tolong carikan penawaran untuk pusher kapsul ini ya ke SMA, ini aku kasih contoh fotonya dan ada keterangan item code dari merekanya")</f>
        <v>Dhil minta tolong carikan penawaran untuk pusher kapsul ini ya ke SMA, ini aku kasih contoh fotonya dan ada keterangan item code dari merekanya</v>
      </c>
      <c r="M435" s="3" t="str">
        <f>IFERROR(__xludf.DUMMYFUNCTION("""COMPUTED_VALUE"""),"Approve")</f>
        <v>Approve</v>
      </c>
      <c r="N435" s="3" t="str">
        <f>IFERROR(__xludf.DUMMYFUNCTION("""COMPUTED_VALUE"""),"Normal")</f>
        <v>Normal</v>
      </c>
      <c r="O435" s="3" t="str">
        <f>IFERROR(__xludf.DUMMYFUNCTION("""COMPUTED_VALUE"""),"Non Urgent")</f>
        <v>Non Urgent</v>
      </c>
    </row>
    <row r="436">
      <c r="A436" s="4">
        <f>IFERROR(__xludf.DUMMYFUNCTION("""COMPUTED_VALUE"""),45924.918901412035)</f>
        <v>45924.9189</v>
      </c>
      <c r="B436" s="3" t="str">
        <f>IFERROR(__xludf.DUMMYFUNCTION("""COMPUTED_VALUE"""),"NDSBR0027")</f>
        <v>NDSBR0027</v>
      </c>
      <c r="C436" s="3" t="str">
        <f>IFERROR(__xludf.DUMMYFUNCTION("""COMPUTED_VALUE"""),"EJO")</f>
        <v>EJO</v>
      </c>
      <c r="D436" s="3" t="str">
        <f>IFERROR(__xludf.DUMMYFUNCTION("""COMPUTED_VALUE"""),"EJO/2025/09/118")</f>
        <v>EJO/2025/09/118</v>
      </c>
      <c r="E436" s="3" t="str">
        <f>IFERROR(__xludf.DUMMYFUNCTION("""COMPUTED_VALUE"""),"Blister")</f>
        <v>Blister</v>
      </c>
      <c r="F436" s="3" t="str">
        <f>IFERROR(__xludf.DUMMYFUNCTION("""COMPUTED_VALUE"""),"Teflon Forming 568")</f>
        <v>Teflon Forming 568</v>
      </c>
      <c r="G436" s="3" t="str">
        <f>IFERROR(__xludf.DUMMYFUNCTION("""COMPUTED_VALUE"""),"Sesuai gambar")</f>
        <v>Sesuai gambar</v>
      </c>
      <c r="H436" s="3" t="str">
        <f>IFERROR(__xludf.DUMMYFUNCTION("""COMPUTED_VALUE"""),"-")</f>
        <v>-</v>
      </c>
      <c r="I436" s="3">
        <f>IFERROR(__xludf.DUMMYFUNCTION("""COMPUTED_VALUE"""),30.0)</f>
        <v>30</v>
      </c>
      <c r="J436" s="3" t="str">
        <f>IFERROR(__xludf.DUMMYFUNCTION("""COMPUTED_VALUE"""),"pcs")</f>
        <v>pcs</v>
      </c>
      <c r="K436" s="5" t="str">
        <f>IFERROR(__xludf.DUMMYFUNCTION("""COMPUTED_VALUE"""),"https://drive.google.com/drive/folders/1iyjSTsQwh1FJ4qLP2UdeqF5J6Vdjoqb-?usp=drive_link")</f>
        <v>https://drive.google.com/drive/folders/1iyjSTsQwh1FJ4qLP2UdeqF5J6Vdjoqb-?usp=drive_link</v>
      </c>
      <c r="L436" s="3" t="str">
        <f>IFERROR(__xludf.DUMMYFUNCTION("""COMPUTED_VALUE"""),"Kita hanya butuh no 1, Teflon")</f>
        <v>Kita hanya butuh no 1, Teflon</v>
      </c>
      <c r="M436" s="3" t="str">
        <f>IFERROR(__xludf.DUMMYFUNCTION("""COMPUTED_VALUE"""),"Approve")</f>
        <v>Approve</v>
      </c>
      <c r="N436" s="3" t="str">
        <f>IFERROR(__xludf.DUMMYFUNCTION("""COMPUTED_VALUE"""),"Normal")</f>
        <v>Normal</v>
      </c>
      <c r="O436" s="3" t="str">
        <f>IFERROR(__xludf.DUMMYFUNCTION("""COMPUTED_VALUE"""),"Non Urgent")</f>
        <v>Non Urgent</v>
      </c>
    </row>
    <row r="437">
      <c r="A437" s="4">
        <f>IFERROR(__xludf.DUMMYFUNCTION("""COMPUTED_VALUE"""),45924.920813888886)</f>
        <v>45924.92081</v>
      </c>
      <c r="B437" s="3" t="str">
        <f>IFERROR(__xludf.DUMMYFUNCTION("""COMPUTED_VALUE"""),"NDSBR0028")</f>
        <v>NDSBR0028</v>
      </c>
      <c r="C437" s="3" t="str">
        <f>IFERROR(__xludf.DUMMYFUNCTION("""COMPUTED_VALUE"""),"EJO")</f>
        <v>EJO</v>
      </c>
      <c r="D437" s="3" t="str">
        <f>IFERROR(__xludf.DUMMYFUNCTION("""COMPUTED_VALUE"""),"EJO/2025/09/118")</f>
        <v>EJO/2025/09/118</v>
      </c>
      <c r="E437" s="3" t="str">
        <f>IFERROR(__xludf.DUMMYFUNCTION("""COMPUTED_VALUE"""),"Blister")</f>
        <v>Blister</v>
      </c>
      <c r="F437" s="3" t="str">
        <f>IFERROR(__xludf.DUMMYFUNCTION("""COMPUTED_VALUE"""),"Teflon Forming 569")</f>
        <v>Teflon Forming 569</v>
      </c>
      <c r="G437" s="3" t="str">
        <f>IFERROR(__xludf.DUMMYFUNCTION("""COMPUTED_VALUE"""),"Sesuai gambar")</f>
        <v>Sesuai gambar</v>
      </c>
      <c r="H437" s="3" t="str">
        <f>IFERROR(__xludf.DUMMYFUNCTION("""COMPUTED_VALUE"""),"-")</f>
        <v>-</v>
      </c>
      <c r="I437" s="3">
        <f>IFERROR(__xludf.DUMMYFUNCTION("""COMPUTED_VALUE"""),30.0)</f>
        <v>30</v>
      </c>
      <c r="J437" s="3" t="str">
        <f>IFERROR(__xludf.DUMMYFUNCTION("""COMPUTED_VALUE"""),"Pcs")</f>
        <v>Pcs</v>
      </c>
      <c r="K437" s="5" t="str">
        <f>IFERROR(__xludf.DUMMYFUNCTION("""COMPUTED_VALUE"""),"https://drive.google.com/drive/folders/1HA_l4VE-c2stfmaiop6Kn9wux0GKEOZs?usp=drive_link")</f>
        <v>https://drive.google.com/drive/folders/1HA_l4VE-c2stfmaiop6Kn9wux0GKEOZs?usp=drive_link</v>
      </c>
      <c r="L437" s="3" t="str">
        <f>IFERROR(__xludf.DUMMYFUNCTION("""COMPUTED_VALUE"""),"Kita hanya butuh no 1,Teflon")</f>
        <v>Kita hanya butuh no 1,Teflon</v>
      </c>
      <c r="M437" s="3" t="str">
        <f>IFERROR(__xludf.DUMMYFUNCTION("""COMPUTED_VALUE"""),"Approve")</f>
        <v>Approve</v>
      </c>
      <c r="N437" s="3" t="str">
        <f>IFERROR(__xludf.DUMMYFUNCTION("""COMPUTED_VALUE"""),"Normal")</f>
        <v>Normal</v>
      </c>
      <c r="O437" s="3" t="str">
        <f>IFERROR(__xludf.DUMMYFUNCTION("""COMPUTED_VALUE"""),"Non Urgent")</f>
        <v>Non Urgent</v>
      </c>
    </row>
    <row r="438">
      <c r="A438" s="4">
        <f>IFERROR(__xludf.DUMMYFUNCTION("""COMPUTED_VALUE"""),45924.9440953588)</f>
        <v>45924.9441</v>
      </c>
      <c r="B438" s="3" t="str">
        <f>IFERROR(__xludf.DUMMYFUNCTION("""COMPUTED_VALUE"""),"MRNBR0067")</f>
        <v>MRNBR0067</v>
      </c>
      <c r="C438" s="3" t="str">
        <f>IFERROR(__xludf.DUMMYFUNCTION("""COMPUTED_VALUE"""),"EJO")</f>
        <v>EJO</v>
      </c>
      <c r="D438" s="3" t="str">
        <f>IFERROR(__xludf.DUMMYFUNCTION("""COMPUTED_VALUE"""),"EJO/2025/09/152")</f>
        <v>EJO/2025/09/152</v>
      </c>
      <c r="E438" s="3" t="str">
        <f>IFERROR(__xludf.DUMMYFUNCTION("""COMPUTED_VALUE"""),"TV ruangan bu lany")</f>
        <v>TV ruangan bu lany</v>
      </c>
      <c r="F438" s="3" t="str">
        <f>IFERROR(__xludf.DUMMYFUNCTION("""COMPUTED_VALUE"""),"CNP 100")</f>
        <v>CNP 100</v>
      </c>
      <c r="G438" s="3" t="str">
        <f>IFERROR(__xludf.DUMMYFUNCTION("""COMPUTED_VALUE"""),"100x50x2mm")</f>
        <v>100x50x2mm</v>
      </c>
      <c r="H438" s="3" t="str">
        <f>IFERROR(__xludf.DUMMYFUNCTION("""COMPUTED_VALUE"""),"NA")</f>
        <v>NA</v>
      </c>
      <c r="I438" s="3">
        <f>IFERROR(__xludf.DUMMYFUNCTION("""COMPUTED_VALUE"""),5.0)</f>
        <v>5</v>
      </c>
      <c r="J438" s="3" t="str">
        <f>IFERROR(__xludf.DUMMYFUNCTION("""COMPUTED_VALUE"""),"pcs")</f>
        <v>pcs</v>
      </c>
      <c r="K438" s="5" t="str">
        <f>IFERROR(__xludf.DUMMYFUNCTION("""COMPUTED_VALUE"""),"https://www.tokopedia.com/besibetonjakarta/cnp-100-x-2-0mm-x-6m?extParam=ivf%3Dfalse%26keyword%3Dcnp+100%26search_id%3D2025071607431701386BD6D8E09119A2JT%26src%3Dsearch&amp;t_id=1752650910822&amp;t_st=2&amp;t_pp=search_result&amp;t_efo=search_pure_goods_card&amp;t_ef=goods_s"&amp;"earch&amp;t_sm=&amp;t_spt=search_result")</f>
        <v>https://www.tokopedia.com/besibetonjakarta/cnp-100-x-2-0mm-x-6m?extParam=ivf%3Dfalse%26keyword%3Dcnp+100%26search_id%3D2025071607431701386BD6D8E09119A2JT%26src%3Dsearch&amp;t_id=1752650910822&amp;t_st=2&amp;t_pp=search_result&amp;t_efo=search_pure_goods_card&amp;t_ef=goods_search&amp;t_sm=&amp;t_spt=search_result</v>
      </c>
      <c r="L438" s="3" t="str">
        <f>IFERROR(__xludf.DUMMYFUNCTION("""COMPUTED_VALUE"""),"untuk tv ruangan bu lani dan pak beny (REJECT BY MFH KARENA SUDAH TERPASANG)")</f>
        <v>untuk tv ruangan bu lani dan pak beny (REJECT BY MFH KARENA SUDAH TERPASANG)</v>
      </c>
      <c r="M438" s="3" t="str">
        <f>IFERROR(__xludf.DUMMYFUNCTION("""COMPUTED_VALUE"""),"Reject")</f>
        <v>Reject</v>
      </c>
      <c r="N438" s="3" t="str">
        <f>IFERROR(__xludf.DUMMYFUNCTION("""COMPUTED_VALUE"""),"Normal")</f>
        <v>Normal</v>
      </c>
      <c r="O438" s="3" t="str">
        <f>IFERROR(__xludf.DUMMYFUNCTION("""COMPUTED_VALUE"""),"Non Urgent")</f>
        <v>Non Urgent</v>
      </c>
    </row>
    <row r="439">
      <c r="A439" s="4">
        <f>IFERROR(__xludf.DUMMYFUNCTION("""COMPUTED_VALUE"""),45924.945915081014)</f>
        <v>45924.94592</v>
      </c>
      <c r="B439" s="3" t="str">
        <f>IFERROR(__xludf.DUMMYFUNCTION("""COMPUTED_VALUE"""),"MRNBR0068")</f>
        <v>MRNBR0068</v>
      </c>
      <c r="C439" s="3" t="str">
        <f>IFERROR(__xludf.DUMMYFUNCTION("""COMPUTED_VALUE"""),"EJO")</f>
        <v>EJO</v>
      </c>
      <c r="D439" s="3" t="str">
        <f>IFERROR(__xludf.DUMMYFUNCTION("""COMPUTED_VALUE"""),"EJO/2025/09/152")</f>
        <v>EJO/2025/09/152</v>
      </c>
      <c r="E439" s="3" t="str">
        <f>IFERROR(__xludf.DUMMYFUNCTION("""COMPUTED_VALUE"""),"TV ruangan bu lany")</f>
        <v>TV ruangan bu lany</v>
      </c>
      <c r="F439" s="3" t="str">
        <f>IFERROR(__xludf.DUMMYFUNCTION("""COMPUTED_VALUE"""),"Rumping")</f>
        <v>Rumping</v>
      </c>
      <c r="G439" s="3" t="str">
        <f>IFERROR(__xludf.DUMMYFUNCTION("""COMPUTED_VALUE"""),"2,5 cm")</f>
        <v>2,5 cm</v>
      </c>
      <c r="H439" s="3" t="str">
        <f>IFERROR(__xludf.DUMMYFUNCTION("""COMPUTED_VALUE"""),"NA")</f>
        <v>NA</v>
      </c>
      <c r="I439" s="3">
        <f>IFERROR(__xludf.DUMMYFUNCTION("""COMPUTED_VALUE"""),1.0)</f>
        <v>1</v>
      </c>
      <c r="J439" s="3" t="str">
        <f>IFERROR(__xludf.DUMMYFUNCTION("""COMPUTED_VALUE"""),"box")</f>
        <v>box</v>
      </c>
      <c r="K439" s="5" t="str">
        <f>IFERROR(__xludf.DUMMYFUNCTION("""COMPUTED_VALUE"""),"https://shopee.co.id/product/50927448/6495933893?gads_t_sig=VTJGc2RHVmtYMTlxTFVSVVRrdENkVEg0SDd3VWo1MDQyT052d3EvY1B4YU1HNHRCNEZYci9ULzRiQ0VjaDFxNDZnRDg1UUxDdVNFUnRMTi9SK2wzdWpwTkt2QTdManY4aUhqSFhtdXRvRlpMcW5BMWtHdUE4OTVnbWdiOEU1cjY&amp;gad_source=1&amp;gad_campai"&amp;"gnid=22178753687&amp;gbraid=0AAAAADPpU81DHEJJiFNDyHeTGbCYmzZOL&amp;gclid=Cj0KCQjwrc7GBhCfARIsAHGcW5UONdKWI540cdZi8VMsOJ8TTh3hv4e5Ixb5VsuFRLknKslk3ieZUqoaAt-BEALw_wcB")</f>
        <v>https://shopee.co.id/product/50927448/6495933893?gads_t_sig=VTJGc2RHVmtYMTlxTFVSVVRrdENkVEg0SDd3VWo1MDQyT052d3EvY1B4YU1HNHRCNEZYci9ULzRiQ0VjaDFxNDZnRDg1UUxDdVNFUnRMTi9SK2wzdWpwTkt2QTdManY4aUhqSFhtdXRvRlpMcW5BMWtHdUE4OTVnbWdiOEU1cjY&amp;gad_source=1&amp;gad_campaignid=22178753687&amp;gbraid=0AAAAADPpU81DHEJJiFNDyHeTGbCYmzZOL&amp;gclid=Cj0KCQjwrc7GBhCfARIsAHGcW5UONdKWI540cdZi8VMsOJ8TTh3hv4e5Ixb5VsuFRLknKslk3ieZUqoaAt-BEALw_wcB</v>
      </c>
      <c r="L439" s="3" t="str">
        <f>IFERROR(__xludf.DUMMYFUNCTION("""COMPUTED_VALUE"""),"untuk tv ruangan bu lani dan pak beny (REJECT BY MFH KARENA SUDAH TERPASANG)")</f>
        <v>untuk tv ruangan bu lani dan pak beny (REJECT BY MFH KARENA SUDAH TERPASANG)</v>
      </c>
      <c r="M439" s="3" t="str">
        <f>IFERROR(__xludf.DUMMYFUNCTION("""COMPUTED_VALUE"""),"Reject")</f>
        <v>Reject</v>
      </c>
      <c r="N439" s="3" t="str">
        <f>IFERROR(__xludf.DUMMYFUNCTION("""COMPUTED_VALUE"""),"Normal")</f>
        <v>Normal</v>
      </c>
      <c r="O439" s="3" t="str">
        <f>IFERROR(__xludf.DUMMYFUNCTION("""COMPUTED_VALUE"""),"Non Urgent")</f>
        <v>Non Urgent</v>
      </c>
    </row>
    <row r="440">
      <c r="A440" s="4">
        <f>IFERROR(__xludf.DUMMYFUNCTION("""COMPUTED_VALUE"""),45924.94812050926)</f>
        <v>45924.94812</v>
      </c>
      <c r="B440" s="3" t="str">
        <f>IFERROR(__xludf.DUMMYFUNCTION("""COMPUTED_VALUE"""),"MRNBR0069")</f>
        <v>MRNBR0069</v>
      </c>
      <c r="C440" s="3" t="str">
        <f>IFERROR(__xludf.DUMMYFUNCTION("""COMPUTED_VALUE"""),"EJO")</f>
        <v>EJO</v>
      </c>
      <c r="D440" s="3" t="str">
        <f>IFERROR(__xludf.DUMMYFUNCTION("""COMPUTED_VALUE"""),"EJO/2025/09/152")</f>
        <v>EJO/2025/09/152</v>
      </c>
      <c r="E440" s="3" t="str">
        <f>IFERROR(__xludf.DUMMYFUNCTION("""COMPUTED_VALUE"""),"TV ruangan bu lany")</f>
        <v>TV ruangan bu lany</v>
      </c>
      <c r="F440" s="3" t="str">
        <f>IFERROR(__xludf.DUMMYFUNCTION("""COMPUTED_VALUE"""),"Rumping")</f>
        <v>Rumping</v>
      </c>
      <c r="G440" s="3" t="str">
        <f>IFERROR(__xludf.DUMMYFUNCTION("""COMPUTED_VALUE"""),"7 cm")</f>
        <v>7 cm</v>
      </c>
      <c r="H440" s="3" t="str">
        <f>IFERROR(__xludf.DUMMYFUNCTION("""COMPUTED_VALUE"""),"NA")</f>
        <v>NA</v>
      </c>
      <c r="I440" s="3">
        <f>IFERROR(__xludf.DUMMYFUNCTION("""COMPUTED_VALUE"""),1.0)</f>
        <v>1</v>
      </c>
      <c r="J440" s="3" t="str">
        <f>IFERROR(__xludf.DUMMYFUNCTION("""COMPUTED_VALUE"""),"box")</f>
        <v>box</v>
      </c>
      <c r="K440" s="5" t="str">
        <f>IFERROR(__xludf.DUMMYFUNCTION("""COMPUTED_VALUE"""),"https://shopee.co.id/product/50927448/6495933893?gads_t_sig=VTJGc2RHVmtYMTlxTFVSVVRrdENkVEg0SDd3VWo1MDQyT052d3EvY1B4YU1HNHRCNEZYci9ULzRiQ0VjaDFxNDZnRDg1UUxDdVNFUnRMTi9SK2wzdWpwTkt2QTdManY4aUhqSFhtdXRvRlpMcW5BMWtHdUE4OTVnbWdiOEU1cjY&amp;gad_source=1&amp;gad_campai"&amp;"gnid=22178753687&amp;gbraid=0AAAAADPpU81DHEJJiFNDyHeTGbCYmzZOL&amp;gclid=Cj0KCQjwrc7GBhCfARIsAHGcW5UONdKWI540cdZi8VMsOJ8TTh3hv4e5Ixb5VsuFRLknKslk3ieZUqoaAt-BEALw_wcB")</f>
        <v>https://shopee.co.id/product/50927448/6495933893?gads_t_sig=VTJGc2RHVmtYMTlxTFVSVVRrdENkVEg0SDd3VWo1MDQyT052d3EvY1B4YU1HNHRCNEZYci9ULzRiQ0VjaDFxNDZnRDg1UUxDdVNFUnRMTi9SK2wzdWpwTkt2QTdManY4aUhqSFhtdXRvRlpMcW5BMWtHdUE4OTVnbWdiOEU1cjY&amp;gad_source=1&amp;gad_campaignid=22178753687&amp;gbraid=0AAAAADPpU81DHEJJiFNDyHeTGbCYmzZOL&amp;gclid=Cj0KCQjwrc7GBhCfARIsAHGcW5UONdKWI540cdZi8VMsOJ8TTh3hv4e5Ixb5VsuFRLknKslk3ieZUqoaAt-BEALw_wcB</v>
      </c>
      <c r="L440" s="3" t="str">
        <f>IFERROR(__xludf.DUMMYFUNCTION("""COMPUTED_VALUE"""),"untuk tv ruangan bu lani dan pak beny (REJECT BY MFH KARENA SUDAH TERPASANG)")</f>
        <v>untuk tv ruangan bu lani dan pak beny (REJECT BY MFH KARENA SUDAH TERPASANG)</v>
      </c>
      <c r="M440" s="3" t="str">
        <f>IFERROR(__xludf.DUMMYFUNCTION("""COMPUTED_VALUE"""),"Reject")</f>
        <v>Reject</v>
      </c>
      <c r="N440" s="3" t="str">
        <f>IFERROR(__xludf.DUMMYFUNCTION("""COMPUTED_VALUE"""),"Normal")</f>
        <v>Normal</v>
      </c>
      <c r="O440" s="3" t="str">
        <f>IFERROR(__xludf.DUMMYFUNCTION("""COMPUTED_VALUE"""),"Non Urgent")</f>
        <v>Non Urgent</v>
      </c>
    </row>
    <row r="441">
      <c r="A441" s="4">
        <f>IFERROR(__xludf.DUMMYFUNCTION("""COMPUTED_VALUE"""),45925.579620046294)</f>
        <v>45925.57962</v>
      </c>
      <c r="B441" s="3" t="str">
        <f>IFERROR(__xludf.DUMMYFUNCTION("""COMPUTED_VALUE"""),"SFHBR0034")</f>
        <v>SFHBR0034</v>
      </c>
      <c r="C441" s="3" t="str">
        <f>IFERROR(__xludf.DUMMYFUNCTION("""COMPUTED_VALUE"""),"EJO")</f>
        <v>EJO</v>
      </c>
      <c r="D441" s="3" t="str">
        <f>IFERROR(__xludf.DUMMYFUNCTION("""COMPUTED_VALUE"""),"EJO/2025/09/151")</f>
        <v>EJO/2025/09/151</v>
      </c>
      <c r="E441" s="3" t="str">
        <f>IFERROR(__xludf.DUMMYFUNCTION("""COMPUTED_VALUE"""),"lantai 3")</f>
        <v>lantai 3</v>
      </c>
      <c r="F441" s="3" t="str">
        <f>IFERROR(__xludf.DUMMYFUNCTION("""COMPUTED_VALUE"""),"engsel sendok Ferrari ")</f>
        <v>engsel sendok Ferrari </v>
      </c>
      <c r="G441" s="3" t="str">
        <f>IFERROR(__xludf.DUMMYFUNCTION("""COMPUTED_VALUE"""),"engsel sendok Ferrari ")</f>
        <v>engsel sendok Ferrari </v>
      </c>
      <c r="H441" s="3" t="str">
        <f>IFERROR(__xludf.DUMMYFUNCTION("""COMPUTED_VALUE"""),"Ferrari ")</f>
        <v>Ferrari </v>
      </c>
      <c r="I441" s="3">
        <f>IFERROR(__xludf.DUMMYFUNCTION("""COMPUTED_VALUE"""),5.0)</f>
        <v>5</v>
      </c>
      <c r="J441" s="3" t="str">
        <f>IFERROR(__xludf.DUMMYFUNCTION("""COMPUTED_VALUE"""),"pasang ")</f>
        <v>pasang </v>
      </c>
      <c r="K441" s="5" t="str">
        <f>IFERROR(__xludf.DUMMYFUNCTION("""COMPUTED_VALUE"""),"https://tk.tokopedia.com/ZSDVLcx29/")</f>
        <v>https://tk.tokopedia.com/ZSDVLcx29/</v>
      </c>
      <c r="L441" s="3" t="str">
        <f>IFERROR(__xludf.DUMMYFUNCTION("""COMPUTED_VALUE"""),"-")</f>
        <v>-</v>
      </c>
      <c r="M441" s="3" t="str">
        <f>IFERROR(__xludf.DUMMYFUNCTION("""COMPUTED_VALUE"""),"Approve")</f>
        <v>Approve</v>
      </c>
      <c r="N441" s="3" t="str">
        <f>IFERROR(__xludf.DUMMYFUNCTION("""COMPUTED_VALUE"""),"Normal")</f>
        <v>Normal</v>
      </c>
      <c r="O441" s="3" t="str">
        <f>IFERROR(__xludf.DUMMYFUNCTION("""COMPUTED_VALUE"""),"Non Urgent")</f>
        <v>Non Urgent</v>
      </c>
    </row>
    <row r="442">
      <c r="A442" s="4">
        <f>IFERROR(__xludf.DUMMYFUNCTION("""COMPUTED_VALUE"""),45925.649218969906)</f>
        <v>45925.64922</v>
      </c>
      <c r="B442" s="3" t="str">
        <f>IFERROR(__xludf.DUMMYFUNCTION("""COMPUTED_VALUE"""),"ANOBR0033")</f>
        <v>ANOBR0033</v>
      </c>
      <c r="C442" s="3" t="str">
        <f>IFERROR(__xludf.DUMMYFUNCTION("""COMPUTED_VALUE"""),"EJO")</f>
        <v>EJO</v>
      </c>
      <c r="D442" s="3" t="str">
        <f>IFERROR(__xludf.DUMMYFUNCTION("""COMPUTED_VALUE"""),"EJO/2025/09/132")</f>
        <v>EJO/2025/09/132</v>
      </c>
      <c r="E442" s="3" t="str">
        <f>IFERROR(__xludf.DUMMYFUNCTION("""COMPUTED_VALUE"""),"HPLC ")</f>
        <v>HPLC </v>
      </c>
      <c r="F442" s="3" t="str">
        <f>IFERROR(__xludf.DUMMYFUNCTION("""COMPUTED_VALUE"""),"PLAT SS 304L ")</f>
        <v>PLAT SS 304L </v>
      </c>
      <c r="G442" s="3" t="str">
        <f>IFERROR(__xludf.DUMMYFUNCTION("""COMPUTED_VALUE"""),"Tebal : 1,2 mm
Panjang : 1 meter (2 lembar)")</f>
        <v>Tebal : 1,2 mm
Panjang : 1 meter (2 lembar)</v>
      </c>
      <c r="H442" s="3" t="str">
        <f>IFERROR(__xludf.DUMMYFUNCTION("""COMPUTED_VALUE"""),"-")</f>
        <v>-</v>
      </c>
      <c r="I442" s="3">
        <f>IFERROR(__xludf.DUMMYFUNCTION("""COMPUTED_VALUE"""),2.0)</f>
        <v>2</v>
      </c>
      <c r="J442" s="3" t="str">
        <f>IFERROR(__xludf.DUMMYFUNCTION("""COMPUTED_VALUE"""),"lembar")</f>
        <v>lembar</v>
      </c>
      <c r="K442" s="3" t="str">
        <f>IFERROR(__xludf.DUMMYFUNCTION("""COMPUTED_VALUE"""),"-")</f>
        <v>-</v>
      </c>
      <c r="L442" s="3" t="str">
        <f>IFERROR(__xludf.DUMMYFUNCTION("""COMPUTED_VALUE"""),"untuk keperluan closing ejo pembuatan tatakan drain bottle trap")</f>
        <v>untuk keperluan closing ejo pembuatan tatakan drain bottle trap</v>
      </c>
      <c r="M442" s="3" t="str">
        <f>IFERROR(__xludf.DUMMYFUNCTION("""COMPUTED_VALUE"""),"Reject")</f>
        <v>Reject</v>
      </c>
      <c r="N442" s="3" t="str">
        <f>IFERROR(__xludf.DUMMYFUNCTION("""COMPUTED_VALUE"""),"Normal")</f>
        <v>Normal</v>
      </c>
      <c r="O442" s="3" t="str">
        <f>IFERROR(__xludf.DUMMYFUNCTION("""COMPUTED_VALUE"""),"Non Urgent")</f>
        <v>Non Urgent</v>
      </c>
    </row>
    <row r="443">
      <c r="A443" s="4">
        <f>IFERROR(__xludf.DUMMYFUNCTION("""COMPUTED_VALUE"""),45925.70730620371)</f>
        <v>45925.70731</v>
      </c>
      <c r="B443" s="3" t="str">
        <f>IFERROR(__xludf.DUMMYFUNCTION("""COMPUTED_VALUE"""),"RIABR0103")</f>
        <v>RIABR0103</v>
      </c>
      <c r="C443" s="3" t="str">
        <f>IFERROR(__xludf.DUMMYFUNCTION("""COMPUTED_VALUE"""),"EJO")</f>
        <v>EJO</v>
      </c>
      <c r="D443" s="3" t="str">
        <f>IFERROR(__xludf.DUMMYFUNCTION("""COMPUTED_VALUE"""),"EJO/2025/09/134")</f>
        <v>EJO/2025/09/134</v>
      </c>
      <c r="E443" s="3" t="str">
        <f>IFERROR(__xludf.DUMMYFUNCTION("""COMPUTED_VALUE"""),"Tangga Portable")</f>
        <v>Tangga Portable</v>
      </c>
      <c r="F443" s="3" t="str">
        <f>IFERROR(__xludf.DUMMYFUNCTION("""COMPUTED_VALUE"""),"Kaki Karet Tangga")</f>
        <v>Kaki Karet Tangga</v>
      </c>
      <c r="G443" s="3" t="str">
        <f>IFERROR(__xludf.DUMMYFUNCTION("""COMPUTED_VALUE"""),"Karet kaki kursi / tutup pipa dengan ukuran 25 mm atau 1 inch
ukuran diameter dalam 25 mm / 1 inch
tinggi 37 mm
tebal (diameter dalam dan luar) 5 mm")</f>
        <v>Karet kaki kursi / tutup pipa dengan ukuran 25 mm atau 1 inch
ukuran diameter dalam 25 mm / 1 inch
tinggi 37 mm
tebal (diameter dalam dan luar) 5 mm</v>
      </c>
      <c r="H443" s="3" t="str">
        <f>IFERROR(__xludf.DUMMYFUNCTION("""COMPUTED_VALUE"""),"Lokal")</f>
        <v>Lokal</v>
      </c>
      <c r="I443" s="3">
        <f>IFERROR(__xludf.DUMMYFUNCTION("""COMPUTED_VALUE"""),10.0)</f>
        <v>10</v>
      </c>
      <c r="J443" s="3" t="str">
        <f>IFERROR(__xludf.DUMMYFUNCTION("""COMPUTED_VALUE"""),"Pcs")</f>
        <v>Pcs</v>
      </c>
      <c r="K443" s="5" t="str">
        <f>IFERROR(__xludf.DUMMYFUNCTION("""COMPUTED_VALUE"""),"https://www.tokopedia.com/kaitehnik/karet-kaki-kursi-tutup-pipa-25-mm-1-inch-diameter-dalam")</f>
        <v>https://www.tokopedia.com/kaitehnik/karet-kaki-kursi-tutup-pipa-25-mm-1-inch-diameter-dalam</v>
      </c>
      <c r="L443" s="3" t="str">
        <f>IFERROR(__xludf.DUMMYFUNCTION("""COMPUTED_VALUE"""),"Untuk tangga portable wet lab")</f>
        <v>Untuk tangga portable wet lab</v>
      </c>
      <c r="M443" s="3" t="str">
        <f>IFERROR(__xludf.DUMMYFUNCTION("""COMPUTED_VALUE"""),"Approve")</f>
        <v>Approve</v>
      </c>
      <c r="N443" s="3" t="str">
        <f>IFERROR(__xludf.DUMMYFUNCTION("""COMPUTED_VALUE"""),"Normal")</f>
        <v>Normal</v>
      </c>
      <c r="O443" s="3" t="str">
        <f>IFERROR(__xludf.DUMMYFUNCTION("""COMPUTED_VALUE"""),"Non Urgent")</f>
        <v>Non Urgent</v>
      </c>
    </row>
    <row r="444">
      <c r="A444" s="4">
        <f>IFERROR(__xludf.DUMMYFUNCTION("""COMPUTED_VALUE"""),45925.77808482639)</f>
        <v>45925.77808</v>
      </c>
      <c r="B444" s="3" t="str">
        <f>IFERROR(__xludf.DUMMYFUNCTION("""COMPUTED_VALUE"""),"ANOBR0034")</f>
        <v>ANOBR0034</v>
      </c>
      <c r="C444" s="3" t="str">
        <f>IFERROR(__xludf.DUMMYFUNCTION("""COMPUTED_VALUE"""),"EJO")</f>
        <v>EJO</v>
      </c>
      <c r="D444" s="3" t="str">
        <f>IFERROR(__xludf.DUMMYFUNCTION("""COMPUTED_VALUE"""),"EJO/2025/08/32")</f>
        <v>EJO/2025/08/32</v>
      </c>
      <c r="E444" s="3" t="str">
        <f>IFERROR(__xludf.DUMMYFUNCTION("""COMPUTED_VALUE"""),"isolator dispensing osd")</f>
        <v>isolator dispensing osd</v>
      </c>
      <c r="F444" s="3" t="str">
        <f>IFERROR(__xludf.DUMMYFUNCTION("""COMPUTED_VALUE"""),"oring gasket loading chamber")</f>
        <v>oring gasket loading chamber</v>
      </c>
      <c r="G444" s="3" t="str">
        <f>IFERROR(__xludf.DUMMYFUNCTION("""COMPUTED_VALUE"""),"D:8mmx D:400mmxD416mm")</f>
        <v>D:8mmx D:400mmxD416mm</v>
      </c>
      <c r="H444" s="3" t="str">
        <f>IFERROR(__xludf.DUMMYFUNCTION("""COMPUTED_VALUE"""),"-")</f>
        <v>-</v>
      </c>
      <c r="I444" s="3">
        <f>IFERROR(__xludf.DUMMYFUNCTION("""COMPUTED_VALUE"""),3.0)</f>
        <v>3</v>
      </c>
      <c r="J444" s="3" t="str">
        <f>IFERROR(__xludf.DUMMYFUNCTION("""COMPUTED_VALUE"""),"PCS")</f>
        <v>PCS</v>
      </c>
      <c r="K444" s="5" t="str">
        <f>IFERROR(__xludf.DUMMYFUNCTION("""COMPUTED_VALUE"""),"https://drive.google.com/drive/folders/1e6mddq7TXm6CY_3MGDcm8Aud0IUoyIpB?usp=drive_link")</f>
        <v>https://drive.google.com/drive/folders/1e6mddq7TXm6CY_3MGDcm8Aud0IUoyIpB?usp=drive_link</v>
      </c>
      <c r="L444" s="3" t="str">
        <f>IFERROR(__xludf.DUMMYFUNCTION("""COMPUTED_VALUE"""),"Untuk keperluan pengunci plastik API di bagian drum loading (REJECT BY MFH KARENA SUDAH DI BQ DI NDSBR0021)")</f>
        <v>Untuk keperluan pengunci plastik API di bagian drum loading (REJECT BY MFH KARENA SUDAH DI BQ DI NDSBR0021)</v>
      </c>
      <c r="M444" s="3" t="str">
        <f>IFERROR(__xludf.DUMMYFUNCTION("""COMPUTED_VALUE"""),"Reject")</f>
        <v>Reject</v>
      </c>
      <c r="N444" s="3" t="str">
        <f>IFERROR(__xludf.DUMMYFUNCTION("""COMPUTED_VALUE"""),"Normal")</f>
        <v>Normal</v>
      </c>
      <c r="O444" s="3" t="str">
        <f>IFERROR(__xludf.DUMMYFUNCTION("""COMPUTED_VALUE"""),"Non Urgent")</f>
        <v>Non Urgent</v>
      </c>
    </row>
    <row r="445">
      <c r="A445" s="4">
        <f>IFERROR(__xludf.DUMMYFUNCTION("""COMPUTED_VALUE"""),45925.78222758102)</f>
        <v>45925.78223</v>
      </c>
      <c r="B445" s="3" t="str">
        <f>IFERROR(__xludf.DUMMYFUNCTION("""COMPUTED_VALUE"""),"ANOBR0035")</f>
        <v>ANOBR0035</v>
      </c>
      <c r="C445" s="3" t="str">
        <f>IFERROR(__xludf.DUMMYFUNCTION("""COMPUTED_VALUE"""),"EJO")</f>
        <v>EJO</v>
      </c>
      <c r="D445" s="3" t="str">
        <f>IFERROR(__xludf.DUMMYFUNCTION("""COMPUTED_VALUE"""),"EJO/2025/08/32")</f>
        <v>EJO/2025/08/32</v>
      </c>
      <c r="E445" s="3" t="str">
        <f>IFERROR(__xludf.DUMMYFUNCTION("""COMPUTED_VALUE"""),"isolator dispensing osd")</f>
        <v>isolator dispensing osd</v>
      </c>
      <c r="F445" s="3" t="str">
        <f>IFERROR(__xludf.DUMMYFUNCTION("""COMPUTED_VALUE"""),"oring gasket port sampling")</f>
        <v>oring gasket port sampling</v>
      </c>
      <c r="G445" s="3" t="str">
        <f>IFERROR(__xludf.DUMMYFUNCTION("""COMPUTED_VALUE"""),"D:8mmxD:61mmxD77mm")</f>
        <v>D:8mmxD:61mmxD77mm</v>
      </c>
      <c r="H445" s="3" t="str">
        <f>IFERROR(__xludf.DUMMYFUNCTION("""COMPUTED_VALUE"""),"-")</f>
        <v>-</v>
      </c>
      <c r="I445" s="3">
        <f>IFERROR(__xludf.DUMMYFUNCTION("""COMPUTED_VALUE"""),3.0)</f>
        <v>3</v>
      </c>
      <c r="J445" s="3" t="str">
        <f>IFERROR(__xludf.DUMMYFUNCTION("""COMPUTED_VALUE"""),"PCS")</f>
        <v>PCS</v>
      </c>
      <c r="K445" s="5" t="str">
        <f>IFERROR(__xludf.DUMMYFUNCTION("""COMPUTED_VALUE"""),"https://drive.google.com/drive/folders/1lM1jIlINrMV-ErghdIiWY6QKmqOuUjKb?usp=drive_link")</f>
        <v>https://drive.google.com/drive/folders/1lM1jIlINrMV-ErghdIiWY6QKmqOuUjKb?usp=drive_link</v>
      </c>
      <c r="L445" s="3" t="str">
        <f>IFERROR(__xludf.DUMMYFUNCTION("""COMPUTED_VALUE"""),"Untuk keperluan pengunci plastik API di bagian drum loading")</f>
        <v>Untuk keperluan pengunci plastik API di bagian drum loading</v>
      </c>
      <c r="M445" s="3" t="str">
        <f>IFERROR(__xludf.DUMMYFUNCTION("""COMPUTED_VALUE"""),"Approve")</f>
        <v>Approve</v>
      </c>
      <c r="N445" s="3" t="str">
        <f>IFERROR(__xludf.DUMMYFUNCTION("""COMPUTED_VALUE"""),"Normal")</f>
        <v>Normal</v>
      </c>
      <c r="O445" s="3" t="str">
        <f>IFERROR(__xludf.DUMMYFUNCTION("""COMPUTED_VALUE"""),"Non Urgent")</f>
        <v>Non Urgent</v>
      </c>
    </row>
    <row r="446">
      <c r="A446" s="4">
        <f>IFERROR(__xludf.DUMMYFUNCTION("""COMPUTED_VALUE"""),45926.37897631945)</f>
        <v>45926.37898</v>
      </c>
      <c r="B446" s="3" t="str">
        <f>IFERROR(__xludf.DUMMYFUNCTION("""COMPUTED_VALUE"""),"ROSBR0039")</f>
        <v>ROSBR0039</v>
      </c>
      <c r="C446" s="3" t="str">
        <f>IFERROR(__xludf.DUMMYFUNCTION("""COMPUTED_VALUE"""),"EJO")</f>
        <v>EJO</v>
      </c>
      <c r="D446" s="3" t="str">
        <f>IFERROR(__xludf.DUMMYFUNCTION("""COMPUTED_VALUE"""),"EJO/2025/09/147")</f>
        <v>EJO/2025/09/147</v>
      </c>
      <c r="E446" s="3" t="str">
        <f>IFERROR(__xludf.DUMMYFUNCTION("""COMPUTED_VALUE"""),"Gloove tester  isolator Skan mikro")</f>
        <v>Gloove tester  isolator Skan mikro</v>
      </c>
      <c r="F446" s="3" t="str">
        <f>IFERROR(__xludf.DUMMYFUNCTION("""COMPUTED_VALUE"""),"F/panel valve")</f>
        <v>F/panel valve</v>
      </c>
      <c r="G446" s="3" t="str">
        <f>IFERROR(__xludf.DUMMYFUNCTION("""COMPUTED_VALUE"""),"SV-3-M5
material number : 6817")</f>
        <v>SV-3-M5
material number : 6817</v>
      </c>
      <c r="H446" s="3" t="str">
        <f>IFERROR(__xludf.DUMMYFUNCTION("""COMPUTED_VALUE"""),"Festo")</f>
        <v>Festo</v>
      </c>
      <c r="I446" s="3">
        <f>IFERROR(__xludf.DUMMYFUNCTION("""COMPUTED_VALUE"""),10.0)</f>
        <v>10</v>
      </c>
      <c r="J446" s="3" t="str">
        <f>IFERROR(__xludf.DUMMYFUNCTION("""COMPUTED_VALUE"""),"pcs")</f>
        <v>pcs</v>
      </c>
      <c r="K446" s="5" t="str">
        <f>IFERROR(__xludf.DUMMYFUNCTION("""COMPUTED_VALUE"""),"https://drive.google.com/file/d/1UK6XhCS3T0ni0bA983FEsNp6UNzYsakg/view?usp=drive_link")</f>
        <v>https://drive.google.com/file/d/1UK6XhCS3T0ni0bA983FEsNp6UNzYsakg/view?usp=drive_link</v>
      </c>
      <c r="L446" s="5" t="str">
        <f>IFERROR(__xludf.DUMMYFUNCTION("""COMPUTED_VALUE"""),"https://drive.google.com/file/d/1n0ES9dQQhP7dQRpPbnaiciy9eHvEvTOV/view?usp=drive_link")</f>
        <v>https://drive.google.com/file/d/1n0ES9dQQhP7dQRpPbnaiciy9eHvEvTOV/view?usp=drive_link</v>
      </c>
      <c r="M446" s="3" t="str">
        <f>IFERROR(__xludf.DUMMYFUNCTION("""COMPUTED_VALUE"""),"Reject")</f>
        <v>Reject</v>
      </c>
      <c r="N446" s="3" t="str">
        <f>IFERROR(__xludf.DUMMYFUNCTION("""COMPUTED_VALUE"""),"Normal")</f>
        <v>Normal</v>
      </c>
      <c r="O446" s="3" t="str">
        <f>IFERROR(__xludf.DUMMYFUNCTION("""COMPUTED_VALUE"""),"Non Urgent")</f>
        <v>Non Urgent</v>
      </c>
    </row>
    <row r="447">
      <c r="A447" s="4">
        <f>IFERROR(__xludf.DUMMYFUNCTION("""COMPUTED_VALUE"""),45926.379023078705)</f>
        <v>45926.37902</v>
      </c>
      <c r="B447" s="3" t="str">
        <f>IFERROR(__xludf.DUMMYFUNCTION("""COMPUTED_VALUE"""),"ROSBR0040")</f>
        <v>ROSBR0040</v>
      </c>
      <c r="C447" s="3" t="str">
        <f>IFERROR(__xludf.DUMMYFUNCTION("""COMPUTED_VALUE"""),"EJO")</f>
        <v>EJO</v>
      </c>
      <c r="D447" s="3" t="str">
        <f>IFERROR(__xludf.DUMMYFUNCTION("""COMPUTED_VALUE"""),"EJO/2025/09/147")</f>
        <v>EJO/2025/09/147</v>
      </c>
      <c r="E447" s="3" t="str">
        <f>IFERROR(__xludf.DUMMYFUNCTION("""COMPUTED_VALUE"""),"Gloove tester  isolator Skan mikro")</f>
        <v>Gloove tester  isolator Skan mikro</v>
      </c>
      <c r="F447" s="3" t="str">
        <f>IFERROR(__xludf.DUMMYFUNCTION("""COMPUTED_VALUE"""),"Push-in fitting")</f>
        <v>Push-in fitting</v>
      </c>
      <c r="G447" s="3" t="str">
        <f>IFERROR(__xludf.DUMMYFUNCTION("""COMPUTED_VALUE"""),"QSM-M5-6
material Number : 153306")</f>
        <v>QSM-M5-6
material Number : 153306</v>
      </c>
      <c r="H447" s="3" t="str">
        <f>IFERROR(__xludf.DUMMYFUNCTION("""COMPUTED_VALUE"""),"Festo")</f>
        <v>Festo</v>
      </c>
      <c r="I447" s="3">
        <f>IFERROR(__xludf.DUMMYFUNCTION("""COMPUTED_VALUE"""),10.0)</f>
        <v>10</v>
      </c>
      <c r="J447" s="3" t="str">
        <f>IFERROR(__xludf.DUMMYFUNCTION("""COMPUTED_VALUE"""),"pcs")</f>
        <v>pcs</v>
      </c>
      <c r="K447" s="5" t="str">
        <f>IFERROR(__xludf.DUMMYFUNCTION("""COMPUTED_VALUE"""),"https://drive.google.com/file/d/1UK6XhCS3T0ni0bA983FEsNp6UNzYsakg/view?usp=drive_link")</f>
        <v>https://drive.google.com/file/d/1UK6XhCS3T0ni0bA983FEsNp6UNzYsakg/view?usp=drive_link</v>
      </c>
      <c r="L447" s="5" t="str">
        <f>IFERROR(__xludf.DUMMYFUNCTION("""COMPUTED_VALUE"""),"https://drive.google.com/file/d/1teGRF87qECP0pNjYmnr89ZiPCukgqTgZ/view?usp=drive_link")</f>
        <v>https://drive.google.com/file/d/1teGRF87qECP0pNjYmnr89ZiPCukgqTgZ/view?usp=drive_link</v>
      </c>
      <c r="M447" s="3" t="str">
        <f>IFERROR(__xludf.DUMMYFUNCTION("""COMPUTED_VALUE"""),"Approve")</f>
        <v>Approve</v>
      </c>
      <c r="N447" s="3" t="str">
        <f>IFERROR(__xludf.DUMMYFUNCTION("""COMPUTED_VALUE"""),"Normal")</f>
        <v>Normal</v>
      </c>
      <c r="O447" s="3" t="str">
        <f>IFERROR(__xludf.DUMMYFUNCTION("""COMPUTED_VALUE"""),"Non Urgent")</f>
        <v>Non Urgent</v>
      </c>
    </row>
    <row r="448">
      <c r="A448" s="4">
        <f>IFERROR(__xludf.DUMMYFUNCTION("""COMPUTED_VALUE"""),45926.37904696759)</f>
        <v>45926.37905</v>
      </c>
      <c r="B448" s="3" t="str">
        <f>IFERROR(__xludf.DUMMYFUNCTION("""COMPUTED_VALUE"""),"ROSBR0041")</f>
        <v>ROSBR0041</v>
      </c>
      <c r="C448" s="3" t="str">
        <f>IFERROR(__xludf.DUMMYFUNCTION("""COMPUTED_VALUE"""),"EJO")</f>
        <v>EJO</v>
      </c>
      <c r="D448" s="3" t="str">
        <f>IFERROR(__xludf.DUMMYFUNCTION("""COMPUTED_VALUE"""),"EJO/2025/09/147")</f>
        <v>EJO/2025/09/147</v>
      </c>
      <c r="E448" s="3" t="str">
        <f>IFERROR(__xludf.DUMMYFUNCTION("""COMPUTED_VALUE"""),"Gloove tester  isolator Skan mikro")</f>
        <v>Gloove tester  isolator Skan mikro</v>
      </c>
      <c r="F448" s="3" t="str">
        <f>IFERROR(__xludf.DUMMYFUNCTION("""COMPUTED_VALUE"""),"P/in connector")</f>
        <v>P/in connector</v>
      </c>
      <c r="G448" s="3" t="str">
        <f>IFERROR(__xludf.DUMMYFUNCTION("""COMPUTED_VALUE"""),"QS-6-4
Material Number : 153037")</f>
        <v>QS-6-4
Material Number : 153037</v>
      </c>
      <c r="H448" s="3" t="str">
        <f>IFERROR(__xludf.DUMMYFUNCTION("""COMPUTED_VALUE"""),"Festo")</f>
        <v>Festo</v>
      </c>
      <c r="I448" s="3">
        <f>IFERROR(__xludf.DUMMYFUNCTION("""COMPUTED_VALUE"""),10.0)</f>
        <v>10</v>
      </c>
      <c r="J448" s="3" t="str">
        <f>IFERROR(__xludf.DUMMYFUNCTION("""COMPUTED_VALUE"""),"pcs")</f>
        <v>pcs</v>
      </c>
      <c r="K448" s="5" t="str">
        <f>IFERROR(__xludf.DUMMYFUNCTION("""COMPUTED_VALUE"""),"https://drive.google.com/file/d/1UK6XhCS3T0ni0bA983FEsNp6UNzYsakg/view?usp=drive_link")</f>
        <v>https://drive.google.com/file/d/1UK6XhCS3T0ni0bA983FEsNp6UNzYsakg/view?usp=drive_link</v>
      </c>
      <c r="L448" s="5" t="str">
        <f>IFERROR(__xludf.DUMMYFUNCTION("""COMPUTED_VALUE"""),"https://drive.google.com/file/d/1PUjl7MC8a1Fmfyb44giY1zy9_U5G5oLV/view?usp=drive_link")</f>
        <v>https://drive.google.com/file/d/1PUjl7MC8a1Fmfyb44giY1zy9_U5G5oLV/view?usp=drive_link</v>
      </c>
      <c r="M448" s="3" t="str">
        <f>IFERROR(__xludf.DUMMYFUNCTION("""COMPUTED_VALUE"""),"Approve")</f>
        <v>Approve</v>
      </c>
      <c r="N448" s="3" t="str">
        <f>IFERROR(__xludf.DUMMYFUNCTION("""COMPUTED_VALUE"""),"Normal")</f>
        <v>Normal</v>
      </c>
      <c r="O448" s="3" t="str">
        <f>IFERROR(__xludf.DUMMYFUNCTION("""COMPUTED_VALUE"""),"Non Urgent")</f>
        <v>Non Urgent</v>
      </c>
    </row>
    <row r="449">
      <c r="A449" s="4">
        <f>IFERROR(__xludf.DUMMYFUNCTION("""COMPUTED_VALUE"""),45929.472361527776)</f>
        <v>45929.47236</v>
      </c>
      <c r="B449" s="3" t="str">
        <f>IFERROR(__xludf.DUMMYFUNCTION("""COMPUTED_VALUE"""),"ANOBR0036")</f>
        <v>ANOBR0036</v>
      </c>
      <c r="C449" s="3" t="str">
        <f>IFERROR(__xludf.DUMMYFUNCTION("""COMPUTED_VALUE"""),"Consumable")</f>
        <v>Consumable</v>
      </c>
      <c r="D449" s="3" t="str">
        <f>IFERROR(__xludf.DUMMYFUNCTION("""COMPUTED_VALUE"""),"-")</f>
        <v>-</v>
      </c>
      <c r="E449" s="3" t="str">
        <f>IFERROR(__xludf.DUMMYFUNCTION("""COMPUTED_VALUE"""),"instrumen Tap Density")</f>
        <v>instrumen Tap Density</v>
      </c>
      <c r="F449" s="3" t="str">
        <f>IFERROR(__xludf.DUMMYFUNCTION("""COMPUTED_VALUE"""),"gelas ukur 100ML")</f>
        <v>gelas ukur 100ML</v>
      </c>
      <c r="G449" s="3" t="str">
        <f>IFERROR(__xludf.DUMMYFUNCTION("""COMPUTED_VALUE"""),"Glass silinder 100 ml for tap density 1 sett")</f>
        <v>Glass silinder 100 ml for tap density 1 sett</v>
      </c>
      <c r="H449" s="3" t="str">
        <f>IFERROR(__xludf.DUMMYFUNCTION("""COMPUTED_VALUE"""),"WITEG")</f>
        <v>WITEG</v>
      </c>
      <c r="I449" s="3">
        <f>IFERROR(__xludf.DUMMYFUNCTION("""COMPUTED_VALUE"""),1.0)</f>
        <v>1</v>
      </c>
      <c r="J449" s="3" t="str">
        <f>IFERROR(__xludf.DUMMYFUNCTION("""COMPUTED_VALUE"""),"set")</f>
        <v>set</v>
      </c>
      <c r="K449" s="5" t="str">
        <f>IFERROR(__xludf.DUMMYFUNCTION("""COMPUTED_VALUE"""),"https://drive.google.com/drive/folders/1exOFlBI3URcQBdkbZnyll88NOViU8cQz?usp=drive_link")</f>
        <v>https://drive.google.com/drive/folders/1exOFlBI3URcQBdkbZnyll88NOViU8cQz?usp=drive_link</v>
      </c>
      <c r="L449" s="3" t="str">
        <f>IFERROR(__xludf.DUMMYFUNCTION("""COMPUTED_VALUE"""),"Untuk mengganti gelas ukur tap density yang pecah")</f>
        <v>Untuk mengganti gelas ukur tap density yang pecah</v>
      </c>
      <c r="M449" s="3" t="str">
        <f>IFERROR(__xludf.DUMMYFUNCTION("""COMPUTED_VALUE"""),"Approve")</f>
        <v>Approve</v>
      </c>
      <c r="N449" s="3" t="str">
        <f>IFERROR(__xludf.DUMMYFUNCTION("""COMPUTED_VALUE"""),"Normal")</f>
        <v>Normal</v>
      </c>
      <c r="O449" s="3" t="str">
        <f>IFERROR(__xludf.DUMMYFUNCTION("""COMPUTED_VALUE"""),"Non Urgent")</f>
        <v>Non Urgent</v>
      </c>
    </row>
    <row r="450">
      <c r="A450" s="4">
        <f>IFERROR(__xludf.DUMMYFUNCTION("""COMPUTED_VALUE"""),45929.65036210648)</f>
        <v>45929.65036</v>
      </c>
      <c r="B450" s="3" t="str">
        <f>IFERROR(__xludf.DUMMYFUNCTION("""COMPUTED_VALUE"""),"AAABR0027")</f>
        <v>AAABR0027</v>
      </c>
      <c r="C450" s="3" t="str">
        <f>IFERROR(__xludf.DUMMYFUNCTION("""COMPUTED_VALUE"""),"EJO")</f>
        <v>EJO</v>
      </c>
      <c r="D450" s="3" t="str">
        <f>IFERROR(__xludf.DUMMYFUNCTION("""COMPUTED_VALUE"""),"EJO/2025/09/108")</f>
        <v>EJO/2025/09/108</v>
      </c>
      <c r="E450" s="3" t="str">
        <f>IFERROR(__xludf.DUMMYFUNCTION("""COMPUTED_VALUE"""),"meja inspeksi packhall")</f>
        <v>meja inspeksi packhall</v>
      </c>
      <c r="F450" s="3" t="str">
        <f>IFERROR(__xludf.DUMMYFUNCTION("""COMPUTED_VALUE"""),"oval cable duct")</f>
        <v>oval cable duct</v>
      </c>
      <c r="G450" s="3" t="str">
        <f>IFERROR(__xludf.DUMMYFUNCTION("""COMPUTED_VALUE"""),"50x15 mm ; PVC ; panjang 2.9 meter")</f>
        <v>50x15 mm ; PVC ; panjang 2.9 meter</v>
      </c>
      <c r="H450" s="3" t="str">
        <f>IFERROR(__xludf.DUMMYFUNCTION("""COMPUTED_VALUE"""),"Bebas")</f>
        <v>Bebas</v>
      </c>
      <c r="I450" s="3">
        <f>IFERROR(__xludf.DUMMYFUNCTION("""COMPUTED_VALUE"""),2.0)</f>
        <v>2</v>
      </c>
      <c r="J450" s="3" t="str">
        <f>IFERROR(__xludf.DUMMYFUNCTION("""COMPUTED_VALUE"""),"batang (@2.9 meter)")</f>
        <v>batang (@2.9 meter)</v>
      </c>
      <c r="K450" s="5" t="str">
        <f>IFERROR(__xludf.DUMMYFUNCTION("""COMPUTED_VALUE"""),"https://www.tokopedia.com/plasmajaya/kabel-duct-oval-50x15-floor-duct-50x15-panjang-2-9mtr")</f>
        <v>https://www.tokopedia.com/plasmajaya/kabel-duct-oval-50x15-floor-duct-50x15-panjang-2-9mtr</v>
      </c>
      <c r="L450" s="3" t="str">
        <f>IFERROR(__xludf.DUMMYFUNCTION("""COMPUTED_VALUE"""),"Needed date 29-Oct-25")</f>
        <v>Needed date 29-Oct-25</v>
      </c>
      <c r="M450" s="3" t="str">
        <f>IFERROR(__xludf.DUMMYFUNCTION("""COMPUTED_VALUE"""),"Approve")</f>
        <v>Approve</v>
      </c>
      <c r="N450" s="3" t="str">
        <f>IFERROR(__xludf.DUMMYFUNCTION("""COMPUTED_VALUE"""),"Normal")</f>
        <v>Normal</v>
      </c>
      <c r="O450" s="3" t="str">
        <f>IFERROR(__xludf.DUMMYFUNCTION("""COMPUTED_VALUE"""),"Non Urgent")</f>
        <v>Non Urgent</v>
      </c>
    </row>
    <row r="451">
      <c r="A451" s="4">
        <f>IFERROR(__xludf.DUMMYFUNCTION("""COMPUTED_VALUE"""),45930.29406184027)</f>
        <v>45930.29406</v>
      </c>
      <c r="B451" s="3" t="str">
        <f>IFERROR(__xludf.DUMMYFUNCTION("""COMPUTED_VALUE"""),"RIABR0104")</f>
        <v>RIABR0104</v>
      </c>
      <c r="C451" s="3" t="str">
        <f>IFERROR(__xludf.DUMMYFUNCTION("""COMPUTED_VALUE"""),"EJO")</f>
        <v>EJO</v>
      </c>
      <c r="D451" s="3" t="str">
        <f>IFERROR(__xludf.DUMMYFUNCTION("""COMPUTED_VALUE"""),"EJO/2025/09/127")</f>
        <v>EJO/2025/09/127</v>
      </c>
      <c r="E451" s="3" t="str">
        <f>IFERROR(__xludf.DUMMYFUNCTION("""COMPUTED_VALUE"""),"Main Line Boiler")</f>
        <v>Main Line Boiler</v>
      </c>
      <c r="F451" s="3" t="str">
        <f>IFERROR(__xludf.DUMMYFUNCTION("""COMPUTED_VALUE"""),"Gasket")</f>
        <v>Gasket</v>
      </c>
      <c r="G451" s="3" t="str">
        <f>IFERROR(__xludf.DUMMYFUNCTION("""COMPUTED_VALUE"""),"Gasket Asbestos 8"" inch x Tebal 3mm ( ANSI 150 / Full Face )")</f>
        <v>Gasket Asbestos 8" inch x Tebal 3mm ( ANSI 150 / Full Face )</v>
      </c>
      <c r="H451" s="3" t="str">
        <f>IFERROR(__xludf.DUMMYFUNCTION("""COMPUTED_VALUE"""),"Lokal")</f>
        <v>Lokal</v>
      </c>
      <c r="I451" s="3">
        <f>IFERROR(__xludf.DUMMYFUNCTION("""COMPUTED_VALUE"""),1.0)</f>
        <v>1</v>
      </c>
      <c r="J451" s="3" t="str">
        <f>IFERROR(__xludf.DUMMYFUNCTION("""COMPUTED_VALUE"""),"Pcs")</f>
        <v>Pcs</v>
      </c>
      <c r="K451" s="5" t="str">
        <f>IFERROR(__xludf.DUMMYFUNCTION("""COMPUTED_VALUE"""),"https://www.tokopedia.com/gasket/gasket-asbestos-8-inch-x-tebal-3mm-ansi-150-full-face?extParam=ivf%3Dfalse%26keyword%3Dgasket+8+inch+lubang+8+tahan+panas%26search_id%3D2025093000011694F6D7E04A4D4526CFVQ%26src%3Dsearch&amp;t_id=1759190412244&amp;t_st=4&amp;t_pp=searc"&amp;"h_result&amp;t_efo=search_pure_goods_card&amp;t_ef=goods_search&amp;t_sm=&amp;t_spt=search_result")</f>
        <v>https://www.tokopedia.com/gasket/gasket-asbestos-8-inch-x-tebal-3mm-ansi-150-full-face?extParam=ivf%3Dfalse%26keyword%3Dgasket+8+inch+lubang+8+tahan+panas%26search_id%3D2025093000011694F6D7E04A4D4526CFVQ%26src%3Dsearch&amp;t_id=1759190412244&amp;t_st=4&amp;t_pp=search_result&amp;t_efo=search_pure_goods_card&amp;t_ef=goods_search&amp;t_sm=&amp;t_spt=search_result</v>
      </c>
      <c r="L451" s="3" t="str">
        <f>IFERROR(__xludf.DUMMYFUNCTION("""COMPUTED_VALUE"""),"Untuk ganti gasket mainline boiler (REJECY BY MFH, SPEK SALAH, SILAHKAN BQ ULANG")</f>
        <v>Untuk ganti gasket mainline boiler (REJECY BY MFH, SPEK SALAH, SILAHKAN BQ ULANG</v>
      </c>
      <c r="M451" s="3" t="str">
        <f>IFERROR(__xludf.DUMMYFUNCTION("""COMPUTED_VALUE"""),"Reject")</f>
        <v>Reject</v>
      </c>
      <c r="N451" s="3" t="str">
        <f>IFERROR(__xludf.DUMMYFUNCTION("""COMPUTED_VALUE"""),"Normal")</f>
        <v>Normal</v>
      </c>
      <c r="O451" s="3" t="str">
        <f>IFERROR(__xludf.DUMMYFUNCTION("""COMPUTED_VALUE"""),"Non Urgent")</f>
        <v>Non Urgent</v>
      </c>
    </row>
    <row r="452">
      <c r="A452" s="4">
        <f>IFERROR(__xludf.DUMMYFUNCTION("""COMPUTED_VALUE"""),45930.56132923611)</f>
        <v>45930.56133</v>
      </c>
      <c r="B452" s="3" t="str">
        <f>IFERROR(__xludf.DUMMYFUNCTION("""COMPUTED_VALUE"""),"MRNBR0070")</f>
        <v>MRNBR0070</v>
      </c>
      <c r="C452" s="3" t="str">
        <f>IFERROR(__xludf.DUMMYFUNCTION("""COMPUTED_VALUE"""),"EJO")</f>
        <v>EJO</v>
      </c>
      <c r="D452" s="3" t="str">
        <f>IFERROR(__xludf.DUMMYFUNCTION("""COMPUTED_VALUE"""),"EJO/2025/08/144")</f>
        <v>EJO/2025/08/144</v>
      </c>
      <c r="E452" s="3" t="str">
        <f>IFERROR(__xludf.DUMMYFUNCTION("""COMPUTED_VALUE"""),"AHU Facd dan cooling water")</f>
        <v>AHU Facd dan cooling water</v>
      </c>
      <c r="F452" s="3" t="str">
        <f>IFERROR(__xludf.DUMMYFUNCTION("""COMPUTED_VALUE"""),"body valve ")</f>
        <v>body valve </v>
      </c>
      <c r="G452" s="3" t="str">
        <f>IFERROR(__xludf.DUMMYFUNCTION("""COMPUTED_VALUE"""),"vv42. 100 dan vv42. 80")</f>
        <v>vv42. 100 dan vv42. 80</v>
      </c>
      <c r="H452" s="3" t="str">
        <f>IFERROR(__xludf.DUMMYFUNCTION("""COMPUTED_VALUE"""),"Siemens")</f>
        <v>Siemens</v>
      </c>
      <c r="I452" s="3">
        <f>IFERROR(__xludf.DUMMYFUNCTION("""COMPUTED_VALUE"""),2.0)</f>
        <v>2</v>
      </c>
      <c r="J452" s="3" t="str">
        <f>IFERROR(__xludf.DUMMYFUNCTION("""COMPUTED_VALUE"""),"pcs")</f>
        <v>pcs</v>
      </c>
      <c r="K452" s="3" t="str">
        <f>IFERROR(__xludf.DUMMYFUNCTION("""COMPUTED_VALUE"""),"  ")</f>
        <v>  </v>
      </c>
      <c r="L452" s="3" t="str">
        <f>IFERROR(__xludf.DUMMYFUNCTION("""COMPUTED_VALUE"""),"untuk AHU dan cooling water")</f>
        <v>untuk AHU dan cooling water</v>
      </c>
      <c r="M452" s="3" t="str">
        <f>IFERROR(__xludf.DUMMYFUNCTION("""COMPUTED_VALUE"""),"Reject")</f>
        <v>Reject</v>
      </c>
      <c r="N452" s="3" t="str">
        <f>IFERROR(__xludf.DUMMYFUNCTION("""COMPUTED_VALUE"""),"Normal")</f>
        <v>Normal</v>
      </c>
      <c r="O452" s="3" t="str">
        <f>IFERROR(__xludf.DUMMYFUNCTION("""COMPUTED_VALUE"""),"Non Urgent")</f>
        <v>Non Urgent</v>
      </c>
    </row>
    <row r="453">
      <c r="A453" s="4">
        <f>IFERROR(__xludf.DUMMYFUNCTION("""COMPUTED_VALUE"""),45930.58295809028)</f>
        <v>45930.58296</v>
      </c>
      <c r="B453" s="3" t="str">
        <f>IFERROR(__xludf.DUMMYFUNCTION("""COMPUTED_VALUE"""),"NDSBR0029")</f>
        <v>NDSBR0029</v>
      </c>
      <c r="C453" s="3" t="str">
        <f>IFERROR(__xludf.DUMMYFUNCTION("""COMPUTED_VALUE"""),"EJO")</f>
        <v>EJO</v>
      </c>
      <c r="D453" s="3" t="str">
        <f>IFERROR(__xludf.DUMMYFUNCTION("""COMPUTED_VALUE"""),"EJO/2025/09/54")</f>
        <v>EJO/2025/09/54</v>
      </c>
      <c r="E453" s="3" t="str">
        <f>IFERROR(__xludf.DUMMYFUNCTION("""COMPUTED_VALUE"""),"Cytotoxic Cabinet")</f>
        <v>Cytotoxic Cabinet</v>
      </c>
      <c r="F453" s="3" t="str">
        <f>IFERROR(__xludf.DUMMYFUNCTION("""COMPUTED_VALUE"""),"Lampu TL-D")</f>
        <v>Lampu TL-D</v>
      </c>
      <c r="G453" s="3" t="str">
        <f>IFERROR(__xludf.DUMMYFUNCTION("""COMPUTED_VALUE"""),"TL-D 58 watt, 6500K, Panjang 1.5 meter")</f>
        <v>TL-D 58 watt, 6500K, Panjang 1.5 meter</v>
      </c>
      <c r="H453" s="3" t="str">
        <f>IFERROR(__xludf.DUMMYFUNCTION("""COMPUTED_VALUE"""),"-")</f>
        <v>-</v>
      </c>
      <c r="I453" s="3">
        <f>IFERROR(__xludf.DUMMYFUNCTION("""COMPUTED_VALUE"""),2.0)</f>
        <v>2</v>
      </c>
      <c r="J453" s="3" t="str">
        <f>IFERROR(__xludf.DUMMYFUNCTION("""COMPUTED_VALUE"""),"Pcs")</f>
        <v>Pcs</v>
      </c>
      <c r="K453" s="3" t="str">
        <f>IFERROR(__xludf.DUMMYFUNCTION("""COMPUTED_VALUE"""),"-")</f>
        <v>-</v>
      </c>
      <c r="L453" s="3" t="str">
        <f>IFERROR(__xludf.DUMMYFUNCTION("""COMPUTED_VALUE"""),"Warna Putih, contoh sudah di kirim lewat WA")</f>
        <v>Warna Putih, contoh sudah di kirim lewat WA</v>
      </c>
      <c r="M453" s="3" t="str">
        <f>IFERROR(__xludf.DUMMYFUNCTION("""COMPUTED_VALUE"""),"Approve")</f>
        <v>Approve</v>
      </c>
      <c r="N453" s="3" t="str">
        <f>IFERROR(__xludf.DUMMYFUNCTION("""COMPUTED_VALUE"""),"Normal")</f>
        <v>Normal</v>
      </c>
      <c r="O453" s="3" t="str">
        <f>IFERROR(__xludf.DUMMYFUNCTION("""COMPUTED_VALUE"""),"Non Urgent")</f>
        <v>Non Urgent</v>
      </c>
    </row>
    <row r="454">
      <c r="A454" s="4">
        <f>IFERROR(__xludf.DUMMYFUNCTION("""COMPUTED_VALUE"""),45930.83123210648)</f>
        <v>45930.83123</v>
      </c>
      <c r="B454" s="3" t="str">
        <f>IFERROR(__xludf.DUMMYFUNCTION("""COMPUTED_VALUE"""),"ROSBR0042")</f>
        <v>ROSBR0042</v>
      </c>
      <c r="C454" s="3" t="str">
        <f>IFERROR(__xludf.DUMMYFUNCTION("""COMPUTED_VALUE"""),"EJO")</f>
        <v>EJO</v>
      </c>
      <c r="D454" s="3" t="str">
        <f>IFERROR(__xludf.DUMMYFUNCTION("""COMPUTED_VALUE"""),"EJO/2025/09/147")</f>
        <v>EJO/2025/09/147</v>
      </c>
      <c r="E454" s="3" t="str">
        <f>IFERROR(__xludf.DUMMYFUNCTION("""COMPUTED_VALUE"""),"Gloove tester  isolator Skan mikro")</f>
        <v>Gloove tester  isolator Skan mikro</v>
      </c>
      <c r="F454" s="3" t="str">
        <f>IFERROR(__xludf.DUMMYFUNCTION("""COMPUTED_VALUE"""),"F/panel valve")</f>
        <v>F/panel valve</v>
      </c>
      <c r="G454" s="3" t="str">
        <f>IFERROR(__xludf.DUMMYFUNCTION("""COMPUTED_VALUE"""),"SV-3-M5
material number : 6817")</f>
        <v>SV-3-M5
material number : 6817</v>
      </c>
      <c r="H454" s="3" t="str">
        <f>IFERROR(__xludf.DUMMYFUNCTION("""COMPUTED_VALUE"""),"Festo")</f>
        <v>Festo</v>
      </c>
      <c r="I454" s="3">
        <f>IFERROR(__xludf.DUMMYFUNCTION("""COMPUTED_VALUE"""),1.0)</f>
        <v>1</v>
      </c>
      <c r="J454" s="3" t="str">
        <f>IFERROR(__xludf.DUMMYFUNCTION("""COMPUTED_VALUE"""),"pcs")</f>
        <v>pcs</v>
      </c>
      <c r="K454" s="5" t="str">
        <f>IFERROR(__xludf.DUMMYFUNCTION("""COMPUTED_VALUE"""),"https://drive.google.com/file/d/1UK6XhCS3T0ni0bA983FEsNp6UNzYsakg/view?usp=drive_link")</f>
        <v>https://drive.google.com/file/d/1UK6XhCS3T0ni0bA983FEsNp6UNzYsakg/view?usp=drive_link</v>
      </c>
      <c r="L454" s="5" t="str">
        <f>IFERROR(__xludf.DUMMYFUNCTION("""COMPUTED_VALUE"""),"https://drive.google.com/file/d/1n0ES9dQQhP7dQRpPbnaiciy9eHvEvTOV/view?usp=drive_link")</f>
        <v>https://drive.google.com/file/d/1n0ES9dQQhP7dQRpPbnaiciy9eHvEvTOV/view?usp=drive_link</v>
      </c>
      <c r="M454" s="3" t="str">
        <f>IFERROR(__xludf.DUMMYFUNCTION("""COMPUTED_VALUE"""),"Approve")</f>
        <v>Approve</v>
      </c>
      <c r="N454" s="3" t="str">
        <f>IFERROR(__xludf.DUMMYFUNCTION("""COMPUTED_VALUE"""),"Normal")</f>
        <v>Normal</v>
      </c>
      <c r="O454" s="3" t="str">
        <f>IFERROR(__xludf.DUMMYFUNCTION("""COMPUTED_VALUE"""),"Non Urgent")</f>
        <v>Non Urgent</v>
      </c>
    </row>
    <row r="455">
      <c r="A455" s="4">
        <f>IFERROR(__xludf.DUMMYFUNCTION("""COMPUTED_VALUE"""),45931.63260152778)</f>
        <v>45931.6326</v>
      </c>
      <c r="B455" s="3" t="str">
        <f>IFERROR(__xludf.DUMMYFUNCTION("""COMPUTED_VALUE"""),"MRNBR0071")</f>
        <v>MRNBR0071</v>
      </c>
      <c r="C455" s="3" t="str">
        <f>IFERROR(__xludf.DUMMYFUNCTION("""COMPUTED_VALUE"""),"EJO")</f>
        <v>EJO</v>
      </c>
      <c r="D455" s="3" t="str">
        <f>IFERROR(__xludf.DUMMYFUNCTION("""COMPUTED_VALUE"""),"EJO/2025/09/127")</f>
        <v>EJO/2025/09/127</v>
      </c>
      <c r="E455" s="3" t="str">
        <f>IFERROR(__xludf.DUMMYFUNCTION("""COMPUTED_VALUE"""),"Flange pipa boiler OSD")</f>
        <v>Flange pipa boiler OSD</v>
      </c>
      <c r="F455" s="3" t="str">
        <f>IFERROR(__xludf.DUMMYFUNCTION("""COMPUTED_VALUE"""),"gasket flange")</f>
        <v>gasket flange</v>
      </c>
      <c r="G455" s="3" t="str">
        <f>IFERROR(__xludf.DUMMYFUNCTION("""COMPUTED_VALUE"""),"Teflon PTFE 8 lubang DN 80 3 inch")</f>
        <v>Teflon PTFE 8 lubang DN 80 3 inch</v>
      </c>
      <c r="H455" s="3" t="str">
        <f>IFERROR(__xludf.DUMMYFUNCTION("""COMPUTED_VALUE"""),"NA")</f>
        <v>NA</v>
      </c>
      <c r="I455" s="3">
        <f>IFERROR(__xludf.DUMMYFUNCTION("""COMPUTED_VALUE"""),5.0)</f>
        <v>5</v>
      </c>
      <c r="J455" s="3" t="str">
        <f>IFERROR(__xludf.DUMMYFUNCTION("""COMPUTED_VALUE"""),"pcs")</f>
        <v>pcs</v>
      </c>
      <c r="K455" s="5" t="str">
        <f>IFERROR(__xludf.DUMMYFUNCTION("""COMPUTED_VALUE"""),"https://www.tokopedia.com/andriyanliu/packing-gasket-ptfe-teflon-ansi-300-3-inchi-dn-80-8-lobang?aff_unique_id=&amp;channel=others&amp;chain_key=")</f>
        <v>https://www.tokopedia.com/andriyanliu/packing-gasket-ptfe-teflon-ansi-300-3-inchi-dn-80-8-lobang?aff_unique_id=&amp;channel=others&amp;chain_key=</v>
      </c>
      <c r="L455" s="3" t="str">
        <f>IFERROR(__xludf.DUMMYFUNCTION("""COMPUTED_VALUE"""),"Untuk pipa boiler (REJECT BY MFH, BQ DOUBLE DENGAN RIA NAMUN SAMA SAMA TIDAK ADA YANG BENAR)")</f>
        <v>Untuk pipa boiler (REJECT BY MFH, BQ DOUBLE DENGAN RIA NAMUN SAMA SAMA TIDAK ADA YANG BENAR)</v>
      </c>
      <c r="M455" s="3" t="str">
        <f>IFERROR(__xludf.DUMMYFUNCTION("""COMPUTED_VALUE"""),"Reject")</f>
        <v>Reject</v>
      </c>
      <c r="N455" s="3" t="str">
        <f>IFERROR(__xludf.DUMMYFUNCTION("""COMPUTED_VALUE"""),"Normal")</f>
        <v>Normal</v>
      </c>
      <c r="O455" s="3" t="str">
        <f>IFERROR(__xludf.DUMMYFUNCTION("""COMPUTED_VALUE"""),"Non Urgent")</f>
        <v>Non Urgent</v>
      </c>
    </row>
    <row r="456">
      <c r="A456" s="4">
        <f>IFERROR(__xludf.DUMMYFUNCTION("""COMPUTED_VALUE"""),45931.63574600695)</f>
        <v>45931.63575</v>
      </c>
      <c r="B456" s="3" t="str">
        <f>IFERROR(__xludf.DUMMYFUNCTION("""COMPUTED_VALUE"""),"MRNBR0072")</f>
        <v>MRNBR0072</v>
      </c>
      <c r="C456" s="3" t="str">
        <f>IFERROR(__xludf.DUMMYFUNCTION("""COMPUTED_VALUE"""),"EJO")</f>
        <v>EJO</v>
      </c>
      <c r="D456" s="3" t="str">
        <f>IFERROR(__xludf.DUMMYFUNCTION("""COMPUTED_VALUE"""),"EJO/2025/09/180")</f>
        <v>EJO/2025/09/180</v>
      </c>
      <c r="E456" s="3" t="str">
        <f>IFERROR(__xludf.DUMMYFUNCTION("""COMPUTED_VALUE"""),"Dinding ruangan autoclave")</f>
        <v>Dinding ruangan autoclave</v>
      </c>
      <c r="F456" s="3" t="str">
        <f>IFERROR(__xludf.DUMMYFUNCTION("""COMPUTED_VALUE"""),"Kaca jendela")</f>
        <v>Kaca jendela</v>
      </c>
      <c r="G456" s="3" t="str">
        <f>IFERROR(__xludf.DUMMYFUNCTION("""COMPUTED_VALUE"""),"kaca double ukuran 800 x 1200")</f>
        <v>kaca double ukuran 800 x 1200</v>
      </c>
      <c r="H456" s="3" t="str">
        <f>IFERROR(__xludf.DUMMYFUNCTION("""COMPUTED_VALUE"""),"NA")</f>
        <v>NA</v>
      </c>
      <c r="I456" s="3">
        <f>IFERROR(__xludf.DUMMYFUNCTION("""COMPUTED_VALUE"""),1.0)</f>
        <v>1</v>
      </c>
      <c r="J456" s="3" t="str">
        <f>IFERROR(__xludf.DUMMYFUNCTION("""COMPUTED_VALUE"""),"pcs")</f>
        <v>pcs</v>
      </c>
      <c r="K456" s="5" t="str">
        <f>IFERROR(__xludf.DUMMYFUNCTION("""COMPUTED_VALUE"""),"https://sanwaprefab.co.id/produk/?prod=material/?utm_source=SEM-EPS&amp;utm_medium=SEM-EPS&amp;utm_campaign=JSN&amp;utm_content=EPS&amp;gad_source=1&amp;gad_campaignid=1506480884&amp;gbraid=0AAAAAC9Hp19Ukzy0neExP6xydWUi7gqbe&amp;gclid=Cj0KCQjwovPGBhDxARIsAFhgkwSzJsqUyga0-ziHkm6iZcNC"&amp;"vClFQDnvo-w05Ng9xIlKHWMQgD4sRWMaArPyEALw_wcB")</f>
        <v>https://sanwaprefab.co.id/produk/?prod=material/?utm_source=SEM-EPS&amp;utm_medium=SEM-EPS&amp;utm_campaign=JSN&amp;utm_content=EPS&amp;gad_source=1&amp;gad_campaignid=1506480884&amp;gbraid=0AAAAAC9Hp19Ukzy0neExP6xydWUi7gqbe&amp;gclid=Cj0KCQjwovPGBhDxARIsAFhgkwSzJsqUyga0-ziHkm6iZcNCvClFQDnvo-w05Ng9xIlKHWMQgD4sRWMaArPyEALw_wcB</v>
      </c>
      <c r="L456" s="3" t="str">
        <f>IFERROR(__xludf.DUMMYFUNCTION("""COMPUTED_VALUE"""),"Bisa kontak kesini untuk penawaran")</f>
        <v>Bisa kontak kesini untuk penawaran</v>
      </c>
      <c r="M456" s="3" t="str">
        <f>IFERROR(__xludf.DUMMYFUNCTION("""COMPUTED_VALUE"""),"Waiting")</f>
        <v>Waiting</v>
      </c>
      <c r="N456" s="3" t="str">
        <f>IFERROR(__xludf.DUMMYFUNCTION("""COMPUTED_VALUE"""),"Waiting")</f>
        <v>Waiting</v>
      </c>
      <c r="O456" s="3" t="str">
        <f>IFERROR(__xludf.DUMMYFUNCTION("""COMPUTED_VALUE"""),"Non Urgent")</f>
        <v>Non Urgent</v>
      </c>
    </row>
    <row r="457">
      <c r="A457" s="4">
        <f>IFERROR(__xludf.DUMMYFUNCTION("""COMPUTED_VALUE"""),45931.70556581019)</f>
        <v>45931.70557</v>
      </c>
      <c r="B457" s="3" t="str">
        <f>IFERROR(__xludf.DUMMYFUNCTION("""COMPUTED_VALUE"""),"ANOBR0037")</f>
        <v>ANOBR0037</v>
      </c>
      <c r="C457" s="3" t="str">
        <f>IFERROR(__xludf.DUMMYFUNCTION("""COMPUTED_VALUE"""),"Consumable")</f>
        <v>Consumable</v>
      </c>
      <c r="D457" s="3" t="str">
        <f>IFERROR(__xludf.DUMMYFUNCTION("""COMPUTED_VALUE"""),"-")</f>
        <v>-</v>
      </c>
      <c r="E457" s="3" t="str">
        <f>IFERROR(__xludf.DUMMYFUNCTION("""COMPUTED_VALUE"""),"Instrumen Moisture")</f>
        <v>Instrumen Moisture</v>
      </c>
      <c r="F457" s="3" t="str">
        <f>IFERROR(__xludf.DUMMYFUNCTION("""COMPUTED_VALUE"""),"alat perata sample granul")</f>
        <v>alat perata sample granul</v>
      </c>
      <c r="G457" s="3" t="str">
        <f>IFERROR(__xludf.DUMMYFUNCTION("""COMPUTED_VALUE"""),"Spesifikasi sudah tertera di penawaran")</f>
        <v>Spesifikasi sudah tertera di penawaran</v>
      </c>
      <c r="H457" s="3" t="str">
        <f>IFERROR(__xludf.DUMMYFUNCTION("""COMPUTED_VALUE"""),"-")</f>
        <v>-</v>
      </c>
      <c r="I457" s="3">
        <f>IFERROR(__xludf.DUMMYFUNCTION("""COMPUTED_VALUE"""),1.0)</f>
        <v>1</v>
      </c>
      <c r="J457" s="3" t="str">
        <f>IFERROR(__xludf.DUMMYFUNCTION("""COMPUTED_VALUE"""),"pcs")</f>
        <v>pcs</v>
      </c>
      <c r="K457" s="5" t="str">
        <f>IFERROR(__xludf.DUMMYFUNCTION("""COMPUTED_VALUE"""),"https://drive.google.com/drive/folders/1Yrt7EVI1vpAQTjI8F7WYEsua1ukIsdl-?usp=drive_link")</f>
        <v>https://drive.google.com/drive/folders/1Yrt7EVI1vpAQTjI8F7WYEsua1ukIsdl-?usp=drive_link</v>
      </c>
      <c r="L457" s="3" t="str">
        <f>IFERROR(__xludf.DUMMYFUNCTION("""COMPUTED_VALUE"""),"untuk keperluan meratakan sample granul di moisture test")</f>
        <v>untuk keperluan meratakan sample granul di moisture test</v>
      </c>
      <c r="M457" s="3" t="str">
        <f>IFERROR(__xludf.DUMMYFUNCTION("""COMPUTED_VALUE"""),"Approve")</f>
        <v>Approve</v>
      </c>
      <c r="N457" s="3" t="str">
        <f>IFERROR(__xludf.DUMMYFUNCTION("""COMPUTED_VALUE"""),"Normal")</f>
        <v>Normal</v>
      </c>
      <c r="O457" s="3" t="str">
        <f>IFERROR(__xludf.DUMMYFUNCTION("""COMPUTED_VALUE"""),"Non Urgent")</f>
        <v>Non Urgent</v>
      </c>
    </row>
    <row r="458">
      <c r="A458" s="4">
        <f>IFERROR(__xludf.DUMMYFUNCTION("""COMPUTED_VALUE"""),45931.866243749995)</f>
        <v>45931.86624</v>
      </c>
      <c r="B458" s="3" t="str">
        <f>IFERROR(__xludf.DUMMYFUNCTION("""COMPUTED_VALUE"""),"MRNBR0073")</f>
        <v>MRNBR0073</v>
      </c>
      <c r="C458" s="3" t="str">
        <f>IFERROR(__xludf.DUMMYFUNCTION("""COMPUTED_VALUE"""),"EJO")</f>
        <v>EJO</v>
      </c>
      <c r="D458" s="3" t="str">
        <f>IFERROR(__xludf.DUMMYFUNCTION("""COMPUTED_VALUE"""),"EJO/2025/09/123")</f>
        <v>EJO/2025/09/123</v>
      </c>
      <c r="E458" s="3" t="str">
        <f>IFERROR(__xludf.DUMMYFUNCTION("""COMPUTED_VALUE"""),"WFI skid")</f>
        <v>WFI skid</v>
      </c>
      <c r="F458" s="3" t="str">
        <f>IFERROR(__xludf.DUMMYFUNCTION("""COMPUTED_VALUE"""),"Regulator")</f>
        <v>Regulator</v>
      </c>
      <c r="G458" s="3" t="str">
        <f>IFERROR(__xludf.DUMMYFUNCTION("""COMPUTED_VALUE"""),"AR20 - F02G")</f>
        <v>AR20 - F02G</v>
      </c>
      <c r="H458" s="3" t="str">
        <f>IFERROR(__xludf.DUMMYFUNCTION("""COMPUTED_VALUE"""),"SMC")</f>
        <v>SMC</v>
      </c>
      <c r="I458" s="3">
        <f>IFERROR(__xludf.DUMMYFUNCTION("""COMPUTED_VALUE"""),2.0)</f>
        <v>2</v>
      </c>
      <c r="J458" s="3" t="str">
        <f>IFERROR(__xludf.DUMMYFUNCTION("""COMPUTED_VALUE"""),"pcs")</f>
        <v>pcs</v>
      </c>
      <c r="K458" s="5" t="str">
        <f>IFERROR(__xludf.DUMMYFUNCTION("""COMPUTED_VALUE"""),"https://www.smcpneumatics.com/AR20-F02G-B.html")</f>
        <v>https://www.smcpneumatics.com/AR20-F02G-B.html</v>
      </c>
      <c r="L458" s="3" t="str">
        <f>IFERROR(__xludf.DUMMYFUNCTION("""COMPUTED_VALUE"""),"regulator bocor WFI skid")</f>
        <v>regulator bocor WFI skid</v>
      </c>
      <c r="M458" s="3" t="str">
        <f>IFERROR(__xludf.DUMMYFUNCTION("""COMPUTED_VALUE"""),"Approve")</f>
        <v>Approve</v>
      </c>
      <c r="N458" s="3" t="str">
        <f>IFERROR(__xludf.DUMMYFUNCTION("""COMPUTED_VALUE"""),"Normal")</f>
        <v>Normal</v>
      </c>
      <c r="O458" s="3" t="str">
        <f>IFERROR(__xludf.DUMMYFUNCTION("""COMPUTED_VALUE"""),"Non Urgent")</f>
        <v>Non Urgent</v>
      </c>
    </row>
    <row r="459">
      <c r="A459" s="4">
        <f>IFERROR(__xludf.DUMMYFUNCTION("""COMPUTED_VALUE"""),45937.65862320602)</f>
        <v>45937.65862</v>
      </c>
      <c r="B459" s="3" t="str">
        <f>IFERROR(__xludf.DUMMYFUNCTION("""COMPUTED_VALUE"""),"RIABR0105")</f>
        <v>RIABR0105</v>
      </c>
      <c r="C459" s="3" t="str">
        <f>IFERROR(__xludf.DUMMYFUNCTION("""COMPUTED_VALUE"""),"Consumable")</f>
        <v>Consumable</v>
      </c>
      <c r="D459" s="3" t="str">
        <f>IFERROR(__xludf.DUMMYFUNCTION("""COMPUTED_VALUE"""),"-")</f>
        <v>-</v>
      </c>
      <c r="E459" s="3" t="str">
        <f>IFERROR(__xludf.DUMMYFUNCTION("""COMPUTED_VALUE"""),"Controll")</f>
        <v>Controll</v>
      </c>
      <c r="F459" s="3" t="str">
        <f>IFERROR(__xludf.DUMMYFUNCTION("""COMPUTED_VALUE"""),"Relay")</f>
        <v>Relay</v>
      </c>
      <c r="G459" s="3" t="str">
        <f>IFERROR(__xludf.DUMMYFUNCTION("""COMPUTED_VALUE"""),"relay omron my2/my2n 24vac 8 kaki original/relay my2n 24vac original - pakai socket")</f>
        <v>relay omron my2/my2n 24vac 8 kaki original/relay my2n 24vac original - pakai socket</v>
      </c>
      <c r="H459" s="3" t="str">
        <f>IFERROR(__xludf.DUMMYFUNCTION("""COMPUTED_VALUE"""),"Omron")</f>
        <v>Omron</v>
      </c>
      <c r="I459" s="3">
        <f>IFERROR(__xludf.DUMMYFUNCTION("""COMPUTED_VALUE"""),10.0)</f>
        <v>10</v>
      </c>
      <c r="J459" s="3" t="str">
        <f>IFERROR(__xludf.DUMMYFUNCTION("""COMPUTED_VALUE"""),"Pcs")</f>
        <v>Pcs</v>
      </c>
      <c r="K459" s="5" t="str">
        <f>IFERROR(__xludf.DUMMYFUNCTION("""COMPUTED_VALUE"""),"tokopedia.com/maha-shop-grosir/relay-omron-my2-my2n-24vac-8-kaki-original-relay-my2n-24vac-original-1730153404901983435?extParam=ivf%3Dfalse%26keyword%3Drelay+omron+24+vac%26search_id%3D20251007084519577BCC914F9E55008BKV%26src%3Dsearch&amp;t_id=1759826728912&amp;"&amp;"t_st=1&amp;t_pp=search_result&amp;t_efo=search_pure_goods_card&amp;t_ef=goods_search&amp;t_sm=&amp;t_spt=search_result")</f>
        <v>tokopedia.com/maha-shop-grosir/relay-omron-my2-my2n-24vac-8-kaki-original-relay-my2n-24vac-original-1730153404901983435?extParam=ivf%3Dfalse%26keyword%3Drelay+omron+24+vac%26search_id%3D20251007084519577BCC914F9E55008BKV%26src%3Dsearch&amp;t_id=1759826728912&amp;t_st=1&amp;t_pp=search_result&amp;t_efo=search_pure_goods_card&amp;t_ef=goods_search&amp;t_sm=&amp;t_spt=search_result</v>
      </c>
      <c r="L459" s="3" t="str">
        <f>IFERROR(__xludf.DUMMYFUNCTION("""COMPUTED_VALUE"""),"Untuk penggantian relay buat controll heater di beberapa tempat makai 24 VAC, VAC ya dil bukan VDC")</f>
        <v>Untuk penggantian relay buat controll heater di beberapa tempat makai 24 VAC, VAC ya dil bukan VDC</v>
      </c>
      <c r="M459" s="3" t="str">
        <f>IFERROR(__xludf.DUMMYFUNCTION("""COMPUTED_VALUE"""),"Approve")</f>
        <v>Approve</v>
      </c>
      <c r="N459" s="3" t="str">
        <f>IFERROR(__xludf.DUMMYFUNCTION("""COMPUTED_VALUE"""),"Normal")</f>
        <v>Normal</v>
      </c>
      <c r="O459" s="3" t="str">
        <f>IFERROR(__xludf.DUMMYFUNCTION("""COMPUTED_VALUE"""),"Non Urgent")</f>
        <v>Non Urgent</v>
      </c>
    </row>
    <row r="460">
      <c r="A460" s="4">
        <f>IFERROR(__xludf.DUMMYFUNCTION("""COMPUTED_VALUE"""),45938.38251959491)</f>
        <v>45938.38252</v>
      </c>
      <c r="B460" s="3" t="str">
        <f>IFERROR(__xludf.DUMMYFUNCTION("""COMPUTED_VALUE"""),"INNBR0042")</f>
        <v>INNBR0042</v>
      </c>
      <c r="C460" s="3" t="str">
        <f>IFERROR(__xludf.DUMMYFUNCTION("""COMPUTED_VALUE"""),"Critical Part")</f>
        <v>Critical Part</v>
      </c>
      <c r="D460" s="3" t="str">
        <f>IFERROR(__xludf.DUMMYFUNCTION("""COMPUTED_VALUE"""),"EJO/2025/10/51")</f>
        <v>EJO/2025/10/51</v>
      </c>
      <c r="E460" s="3" t="str">
        <f>IFERROR(__xludf.DUMMYFUNCTION("""COMPUTED_VALUE"""),"Crabs")</f>
        <v>Crabs</v>
      </c>
      <c r="F460" s="3" t="str">
        <f>IFERROR(__xludf.DUMMYFUNCTION("""COMPUTED_VALUE"""),"TEMPERATURE PROBE RTD - Single Element. Built according to directive 94/9/CE ATEX II 2GD Ex d IIC T6 Temperature Range -40°/60° Serial no. ORC294-12 code : ST111.3B, P/N: 25220 Master")</f>
        <v>TEMPERATURE PROBE RTD - Single Element. Built according to directive 94/9/CE ATEX II 2GD Ex d IIC T6 Temperature Range -40°/60° Serial no. ORC294-12 code : ST111.3B, P/N: 25220 Master</v>
      </c>
      <c r="G460" s="3" t="str">
        <f>IFERROR(__xludf.DUMMYFUNCTION("""COMPUTED_VALUE"""),"Minta ke steriline ( Tasena)")</f>
        <v>Minta ke steriline ( Tasena)</v>
      </c>
      <c r="H460" s="3" t="str">
        <f>IFERROR(__xludf.DUMMYFUNCTION("""COMPUTED_VALUE"""),"Crabs")</f>
        <v>Crabs</v>
      </c>
      <c r="I460" s="3">
        <f>IFERROR(__xludf.DUMMYFUNCTION("""COMPUTED_VALUE"""),2.0)</f>
        <v>2</v>
      </c>
      <c r="J460" s="3" t="str">
        <f>IFERROR(__xludf.DUMMYFUNCTION("""COMPUTED_VALUE"""),"Pcs")</f>
        <v>Pcs</v>
      </c>
      <c r="K460" s="3" t="str">
        <f>IFERROR(__xludf.DUMMYFUNCTION("""COMPUTED_VALUE"""),"Na")</f>
        <v>Na</v>
      </c>
      <c r="L460" s="3" t="str">
        <f>IFERROR(__xludf.DUMMYFUNCTION("""COMPUTED_VALUE"""),"TE0111")</f>
        <v>TE0111</v>
      </c>
      <c r="M460" s="3" t="str">
        <f>IFERROR(__xludf.DUMMYFUNCTION("""COMPUTED_VALUE"""),"Reject")</f>
        <v>Reject</v>
      </c>
      <c r="N460" s="3" t="str">
        <f>IFERROR(__xludf.DUMMYFUNCTION("""COMPUTED_VALUE"""),"Normal")</f>
        <v>Normal</v>
      </c>
      <c r="O460" s="3" t="str">
        <f>IFERROR(__xludf.DUMMYFUNCTION("""COMPUTED_VALUE"""),"Non Urgent")</f>
        <v>Non Urgent</v>
      </c>
    </row>
    <row r="461">
      <c r="A461" s="4">
        <f>IFERROR(__xludf.DUMMYFUNCTION("""COMPUTED_VALUE"""),45938.42526802083)</f>
        <v>45938.42527</v>
      </c>
      <c r="B461" s="3" t="str">
        <f>IFERROR(__xludf.DUMMYFUNCTION("""COMPUTED_VALUE"""),"RIABR0106")</f>
        <v>RIABR0106</v>
      </c>
      <c r="C461" s="3" t="str">
        <f>IFERROR(__xludf.DUMMYFUNCTION("""COMPUTED_VALUE"""),"Consumable")</f>
        <v>Consumable</v>
      </c>
      <c r="D461" s="3" t="str">
        <f>IFERROR(__xludf.DUMMYFUNCTION("""COMPUTED_VALUE"""),"-")</f>
        <v>-</v>
      </c>
      <c r="E461" s="3" t="str">
        <f>IFERROR(__xludf.DUMMYFUNCTION("""COMPUTED_VALUE"""),"Granulasi")</f>
        <v>Granulasi</v>
      </c>
      <c r="F461" s="3" t="str">
        <f>IFERROR(__xludf.DUMMYFUNCTION("""COMPUTED_VALUE"""),"Gasket")</f>
        <v>Gasket</v>
      </c>
      <c r="G461" s="3" t="str">
        <f>IFERROR(__xludf.DUMMYFUNCTION("""COMPUTED_VALUE"""),"Gasket / Seal untuk Ferrule Sanitary
Ukuran : 8 "" inchi
Untuk Ferrule Flange 217 mm
Bahan : Teflon 
Rating : Foodgrade")</f>
        <v>Gasket / Seal untuk Ferrule Sanitary
Ukuran : 8 " inchi
Untuk Ferrule Flange 217 mm
Bahan : Teflon 
Rating : Foodgrade</v>
      </c>
      <c r="H461" s="3" t="str">
        <f>IFERROR(__xludf.DUMMYFUNCTION("""COMPUTED_VALUE"""),"Lokal")</f>
        <v>Lokal</v>
      </c>
      <c r="I461" s="3">
        <f>IFERROR(__xludf.DUMMYFUNCTION("""COMPUTED_VALUE"""),5.0)</f>
        <v>5</v>
      </c>
      <c r="J461" s="3" t="str">
        <f>IFERROR(__xludf.DUMMYFUNCTION("""COMPUTED_VALUE"""),"Pcs")</f>
        <v>Pcs</v>
      </c>
      <c r="K461" s="5" t="str">
        <f>IFERROR(__xludf.DUMMYFUNCTION("""COMPUTED_VALUE"""),"https://www.tokopedia.com/nusanjadi/gasket-seal-ferrule-ptfe-teflon-sanitary-8-inchi-flange-217-mm?extParam=ivf%3Dfalse%26keyword%3Dgasket+ferrule+8+inch+%26search_id%3D2025100803103611B9842E0A271F090SXI%26src%3Dsearch&amp;t_id=1759893064107&amp;t_st=1&amp;t_pp=searc"&amp;"h_result&amp;t_efo=search_pure_goods_card&amp;t_ef=goods_search&amp;t_sm=&amp;t_spt=search_result")</f>
        <v>https://www.tokopedia.com/nusanjadi/gasket-seal-ferrule-ptfe-teflon-sanitary-8-inchi-flange-217-mm?extParam=ivf%3Dfalse%26keyword%3Dgasket+ferrule+8+inch+%26search_id%3D2025100803103611B9842E0A271F090SXI%26src%3Dsearch&amp;t_id=1759893064107&amp;t_st=1&amp;t_pp=search_result&amp;t_efo=search_pure_goods_card&amp;t_ef=goods_search&amp;t_sm=&amp;t_spt=search_result</v>
      </c>
      <c r="L461" s="3" t="str">
        <f>IFERROR(__xludf.DUMMYFUNCTION("""COMPUTED_VALUE"""),"Untuk Gasket Granulasi")</f>
        <v>Untuk Gasket Granulasi</v>
      </c>
      <c r="M461" s="3" t="str">
        <f>IFERROR(__xludf.DUMMYFUNCTION("""COMPUTED_VALUE"""),"Approve")</f>
        <v>Approve</v>
      </c>
      <c r="N461" s="3" t="str">
        <f>IFERROR(__xludf.DUMMYFUNCTION("""COMPUTED_VALUE"""),"Normal")</f>
        <v>Normal</v>
      </c>
      <c r="O461" s="3" t="str">
        <f>IFERROR(__xludf.DUMMYFUNCTION("""COMPUTED_VALUE"""),"Non Urgent")</f>
        <v>Non Urgent</v>
      </c>
    </row>
    <row r="462">
      <c r="A462" s="4">
        <f>IFERROR(__xludf.DUMMYFUNCTION("""COMPUTED_VALUE"""),45938.42963164352)</f>
        <v>45938.42963</v>
      </c>
      <c r="B462" s="3" t="str">
        <f>IFERROR(__xludf.DUMMYFUNCTION("""COMPUTED_VALUE"""),"RIABR0107")</f>
        <v>RIABR0107</v>
      </c>
      <c r="C462" s="3" t="str">
        <f>IFERROR(__xludf.DUMMYFUNCTION("""COMPUTED_VALUE"""),"EJO")</f>
        <v>EJO</v>
      </c>
      <c r="D462" s="3" t="str">
        <f>IFERROR(__xludf.DUMMYFUNCTION("""COMPUTED_VALUE"""),"EJO/2025/08/170")</f>
        <v>EJO/2025/08/170</v>
      </c>
      <c r="E462" s="3" t="str">
        <f>IFERROR(__xludf.DUMMYFUNCTION("""COMPUTED_VALUE"""),"Granulasi")</f>
        <v>Granulasi</v>
      </c>
      <c r="F462" s="3" t="str">
        <f>IFERROR(__xludf.DUMMYFUNCTION("""COMPUTED_VALUE"""),"Flexible Hose")</f>
        <v>Flexible Hose</v>
      </c>
      <c r="G462" s="3" t="str">
        <f>IFERROR(__xludf.DUMMYFUNCTION("""COMPUTED_VALUE"""),"Flexible Hose BIN 150L")</f>
        <v>Flexible Hose BIN 150L</v>
      </c>
      <c r="H462" s="3" t="str">
        <f>IFERROR(__xludf.DUMMYFUNCTION("""COMPUTED_VALUE"""),"GEA")</f>
        <v>GEA</v>
      </c>
      <c r="I462" s="3">
        <f>IFERROR(__xludf.DUMMYFUNCTION("""COMPUTED_VALUE"""),1.0)</f>
        <v>1</v>
      </c>
      <c r="J462" s="3" t="str">
        <f>IFERROR(__xludf.DUMMYFUNCTION("""COMPUTED_VALUE"""),"Pcs")</f>
        <v>Pcs</v>
      </c>
      <c r="K462" s="3" t="str">
        <f>IFERROR(__xludf.DUMMYFUNCTION("""COMPUTED_VALUE"""),"BIN 150L")</f>
        <v>BIN 150L</v>
      </c>
      <c r="L462" s="3" t="str">
        <f>IFERROR(__xludf.DUMMYFUNCTION("""COMPUTED_VALUE"""),"Untuk BIN 150L yang rusak flexible hose nya, tolong carikan penawaran ya dhil")</f>
        <v>Untuk BIN 150L yang rusak flexible hose nya, tolong carikan penawaran ya dhil</v>
      </c>
      <c r="M462" s="3" t="str">
        <f>IFERROR(__xludf.DUMMYFUNCTION("""COMPUTED_VALUE"""),"Approve")</f>
        <v>Approve</v>
      </c>
      <c r="N462" s="3" t="str">
        <f>IFERROR(__xludf.DUMMYFUNCTION("""COMPUTED_VALUE"""),"Normal")</f>
        <v>Normal</v>
      </c>
      <c r="O462" s="3" t="str">
        <f>IFERROR(__xludf.DUMMYFUNCTION("""COMPUTED_VALUE"""),"Non Urgent")</f>
        <v>Non Urgent</v>
      </c>
    </row>
    <row r="463">
      <c r="A463" s="4">
        <f>IFERROR(__xludf.DUMMYFUNCTION("""COMPUTED_VALUE"""),45938.64512349537)</f>
        <v>45938.64512</v>
      </c>
      <c r="B463" s="3" t="str">
        <f>IFERROR(__xludf.DUMMYFUNCTION("""COMPUTED_VALUE"""),"MRNBR0074")</f>
        <v>MRNBR0074</v>
      </c>
      <c r="C463" s="3" t="str">
        <f>IFERROR(__xludf.DUMMYFUNCTION("""COMPUTED_VALUE"""),"EJO")</f>
        <v>EJO</v>
      </c>
      <c r="D463" s="3" t="str">
        <f>IFERROR(__xludf.DUMMYFUNCTION("""COMPUTED_VALUE"""),"EJO/2025/08/144")</f>
        <v>EJO/2025/08/144</v>
      </c>
      <c r="E463" s="3" t="str">
        <f>IFERROR(__xludf.DUMMYFUNCTION("""COMPUTED_VALUE"""),"cooling water ")</f>
        <v>cooling water </v>
      </c>
      <c r="F463" s="3" t="str">
        <f>IFERROR(__xludf.DUMMYFUNCTION("""COMPUTED_VALUE"""),"body valve")</f>
        <v>body valve</v>
      </c>
      <c r="G463" s="3" t="str">
        <f>IFERROR(__xludf.DUMMYFUNCTION("""COMPUTED_VALUE"""),"vv42. 100")</f>
        <v>vv42. 100</v>
      </c>
      <c r="H463" s="3" t="str">
        <f>IFERROR(__xludf.DUMMYFUNCTION("""COMPUTED_VALUE"""),"Siemens")</f>
        <v>Siemens</v>
      </c>
      <c r="I463" s="3">
        <f>IFERROR(__xludf.DUMMYFUNCTION("""COMPUTED_VALUE"""),1.0)</f>
        <v>1</v>
      </c>
      <c r="J463" s="3" t="str">
        <f>IFERROR(__xludf.DUMMYFUNCTION("""COMPUTED_VALUE"""),"pcs")</f>
        <v>pcs</v>
      </c>
      <c r="K463" s="5" t="str">
        <f>IFERROR(__xludf.DUMMYFUNCTION("""COMPUTED_VALUE"""),"https://drive.google.com/file/d/19J_4-brYnzn3fjOf5Y_EbUPBYblHK4Hv/view?usp=drivesdk")</f>
        <v>https://drive.google.com/file/d/19J_4-brYnzn3fjOf5Y_EbUPBYblHK4Hv/view?usp=drivesdk</v>
      </c>
      <c r="L463" s="3" t="str">
        <f>IFERROR(__xludf.DUMMYFUNCTION("""COMPUTED_VALUE"""),"macet body valve cooling water ")</f>
        <v>macet body valve cooling water </v>
      </c>
      <c r="M463" s="3" t="str">
        <f>IFERROR(__xludf.DUMMYFUNCTION("""COMPUTED_VALUE"""),"Approve")</f>
        <v>Approve</v>
      </c>
      <c r="N463" s="3" t="str">
        <f>IFERROR(__xludf.DUMMYFUNCTION("""COMPUTED_VALUE"""),"Normal")</f>
        <v>Normal</v>
      </c>
      <c r="O463" s="3" t="str">
        <f>IFERROR(__xludf.DUMMYFUNCTION("""COMPUTED_VALUE"""),"Non Urgent")</f>
        <v>Non Urgent</v>
      </c>
    </row>
    <row r="464">
      <c r="A464" s="4">
        <f>IFERROR(__xludf.DUMMYFUNCTION("""COMPUTED_VALUE"""),45938.64786121527)</f>
        <v>45938.64786</v>
      </c>
      <c r="B464" s="3" t="str">
        <f>IFERROR(__xludf.DUMMYFUNCTION("""COMPUTED_VALUE"""),"MRNBR0075")</f>
        <v>MRNBR0075</v>
      </c>
      <c r="C464" s="3" t="str">
        <f>IFERROR(__xludf.DUMMYFUNCTION("""COMPUTED_VALUE"""),"EJO")</f>
        <v>EJO</v>
      </c>
      <c r="D464" s="3" t="str">
        <f>IFERROR(__xludf.DUMMYFUNCTION("""COMPUTED_VALUE"""),"EJO/2025/08/144")</f>
        <v>EJO/2025/08/144</v>
      </c>
      <c r="E464" s="3" t="str">
        <f>IFERROR(__xludf.DUMMYFUNCTION("""COMPUTED_VALUE"""),"facd")</f>
        <v>facd</v>
      </c>
      <c r="F464" s="3" t="str">
        <f>IFERROR(__xludf.DUMMYFUNCTION("""COMPUTED_VALUE"""),"body valve")</f>
        <v>body valve</v>
      </c>
      <c r="G464" s="3" t="str">
        <f>IFERROR(__xludf.DUMMYFUNCTION("""COMPUTED_VALUE"""),"vv42. 80")</f>
        <v>vv42. 80</v>
      </c>
      <c r="H464" s="3" t="str">
        <f>IFERROR(__xludf.DUMMYFUNCTION("""COMPUTED_VALUE"""),"Siemens")</f>
        <v>Siemens</v>
      </c>
      <c r="I464" s="3">
        <f>IFERROR(__xludf.DUMMYFUNCTION("""COMPUTED_VALUE"""),1.0)</f>
        <v>1</v>
      </c>
      <c r="J464" s="3" t="str">
        <f>IFERROR(__xludf.DUMMYFUNCTION("""COMPUTED_VALUE"""),"pcs")</f>
        <v>pcs</v>
      </c>
      <c r="K464" s="5" t="str">
        <f>IFERROR(__xludf.DUMMYFUNCTION("""COMPUTED_VALUE"""),"https://drive.google.com/file/d/19J_4-brYnzn3fjOf5Y_EbUPBYblHK4Hv/view?usp=drivesdk")</f>
        <v>https://drive.google.com/file/d/19J_4-brYnzn3fjOf5Y_EbUPBYblHK4Hv/view?usp=drivesdk</v>
      </c>
      <c r="L464" s="3" t="str">
        <f>IFERROR(__xludf.DUMMYFUNCTION("""COMPUTED_VALUE"""),"macet body valve facd")</f>
        <v>macet body valve facd</v>
      </c>
      <c r="M464" s="3" t="str">
        <f>IFERROR(__xludf.DUMMYFUNCTION("""COMPUTED_VALUE"""),"Approve")</f>
        <v>Approve</v>
      </c>
      <c r="N464" s="3" t="str">
        <f>IFERROR(__xludf.DUMMYFUNCTION("""COMPUTED_VALUE"""),"Normal")</f>
        <v>Normal</v>
      </c>
      <c r="O464" s="3" t="str">
        <f>IFERROR(__xludf.DUMMYFUNCTION("""COMPUTED_VALUE"""),"Non Urgent")</f>
        <v>Non Urgent</v>
      </c>
    </row>
    <row r="465">
      <c r="A465" s="4">
        <f>IFERROR(__xludf.DUMMYFUNCTION("""COMPUTED_VALUE"""),45938.666689837955)</f>
        <v>45938.66669</v>
      </c>
      <c r="B465" s="3" t="str">
        <f>IFERROR(__xludf.DUMMYFUNCTION("""COMPUTED_VALUE"""),"RIABR0108")</f>
        <v>RIABR0108</v>
      </c>
      <c r="C465" s="3" t="str">
        <f>IFERROR(__xludf.DUMMYFUNCTION("""COMPUTED_VALUE"""),"EJO")</f>
        <v>EJO</v>
      </c>
      <c r="D465" s="3" t="str">
        <f>IFERROR(__xludf.DUMMYFUNCTION("""COMPUTED_VALUE"""),"EJO/2025/10/40")</f>
        <v>EJO/2025/10/40</v>
      </c>
      <c r="E465" s="3" t="str">
        <f>IFERROR(__xludf.DUMMYFUNCTION("""COMPUTED_VALUE"""),"WWTP")</f>
        <v>WWTP</v>
      </c>
      <c r="F465" s="3" t="str">
        <f>IFERROR(__xludf.DUMMYFUNCTION("""COMPUTED_VALUE"""),"Level Switch")</f>
        <v>Level Switch</v>
      </c>
      <c r="G465" s="3" t="str">
        <f>IFERROR(__xludf.DUMMYFUNCTION("""COMPUTED_VALUE"""),"VERTICAL FLOAT LEVEL SWITCH 1 8.500.000,00 8.500.000,00
Brand WINGEL
Model VSP-2FJ-S4-L1000-FPP45-CU4
Material Flange = PVC
Tube = PVC + Stainless Steel
Float = PP
Conn 2""Flange JIS10K
Enclosure PP+30% Glass Fiber IP66
Output 2 x SPST Contact
"&amp;"Rating 1A, 400 VAC/DC
Length 1100mm
C/W CONTROL UNIT
Model CU-4
Output Relay 4 x SPDT")</f>
        <v>VERTICAL FLOAT LEVEL SWITCH 1 8.500.000,00 8.500.000,00
Brand WINGEL
Model VSP-2FJ-S4-L1000-FPP45-CU4
Material Flange = PVC
Tube = PVC + Stainless Steel
Float = PP
Conn 2"Flange JIS10K
Enclosure PP+30% Glass Fiber IP66
Output 2 x SPST Contact
Rating 1A, 400 VAC/DC
Length 1100mm
C/W CONTROL UNIT
Model CU-4
Output Relay 4 x SPDT</v>
      </c>
      <c r="H465" s="3" t="str">
        <f>IFERROR(__xludf.DUMMYFUNCTION("""COMPUTED_VALUE"""),"Wingel")</f>
        <v>Wingel</v>
      </c>
      <c r="I465" s="3">
        <f>IFERROR(__xludf.DUMMYFUNCTION("""COMPUTED_VALUE"""),1.0)</f>
        <v>1</v>
      </c>
      <c r="J465" s="3" t="str">
        <f>IFERROR(__xludf.DUMMYFUNCTION("""COMPUTED_VALUE"""),"Set")</f>
        <v>Set</v>
      </c>
      <c r="K465" s="3" t="str">
        <f>IFERROR(__xludf.DUMMYFUNCTION("""COMPUTED_VALUE"""),"QUOTATION-VSP-4Contact-CU4-FLANGE-1100mm-PT FONKO PHARMA-0810-2025.pdf")</f>
        <v>QUOTATION-VSP-4Contact-CU4-FLANGE-1100mm-PT FONKO PHARMA-0810-2025.pdf</v>
      </c>
      <c r="L465" s="3" t="str">
        <f>IFERROR(__xludf.DUMMYFUNCTION("""COMPUTED_VALUE"""),"Level switch buat reaktor 2 WWTP")</f>
        <v>Level switch buat reaktor 2 WWTP</v>
      </c>
      <c r="M465" s="3" t="str">
        <f>IFERROR(__xludf.DUMMYFUNCTION("""COMPUTED_VALUE"""),"Approve")</f>
        <v>Approve</v>
      </c>
      <c r="N465" s="3" t="str">
        <f>IFERROR(__xludf.DUMMYFUNCTION("""COMPUTED_VALUE"""),"Normal")</f>
        <v>Normal</v>
      </c>
      <c r="O465" s="3" t="str">
        <f>IFERROR(__xludf.DUMMYFUNCTION("""COMPUTED_VALUE"""),"Non Urgent")</f>
        <v>Non Urgent</v>
      </c>
    </row>
    <row r="466">
      <c r="A466" s="4">
        <f>IFERROR(__xludf.DUMMYFUNCTION("""COMPUTED_VALUE"""),45944.76441431713)</f>
        <v>45944.76441</v>
      </c>
      <c r="B466" s="3" t="str">
        <f>IFERROR(__xludf.DUMMYFUNCTION("""COMPUTED_VALUE"""),"MOBBR0046")</f>
        <v>MOBBR0046</v>
      </c>
      <c r="C466" s="3" t="str">
        <f>IFERROR(__xludf.DUMMYFUNCTION("""COMPUTED_VALUE"""),"Consumable")</f>
        <v>Consumable</v>
      </c>
      <c r="D466" s="3" t="str">
        <f>IFERROR(__xludf.DUMMYFUNCTION("""COMPUTED_VALUE"""),"-")</f>
        <v>-</v>
      </c>
      <c r="E466" s="3" t="str">
        <f>IFERROR(__xludf.DUMMYFUNCTION("""COMPUTED_VALUE"""),"Ruangan C Gowning ON")</f>
        <v>Ruangan C Gowning ON</v>
      </c>
      <c r="F466" s="3" t="str">
        <f>IFERROR(__xludf.DUMMYFUNCTION("""COMPUTED_VALUE"""),"Constant Air Volume")</f>
        <v>Constant Air Volume</v>
      </c>
      <c r="G466" s="3" t="str">
        <f>IFERROR(__xludf.DUMMYFUNCTION("""COMPUTED_VALUE"""),"EN 300X100")</f>
        <v>EN 300X100</v>
      </c>
      <c r="H466" s="3" t="str">
        <f>IFERROR(__xludf.DUMMYFUNCTION("""COMPUTED_VALUE"""),"Trox")</f>
        <v>Trox</v>
      </c>
      <c r="I466" s="3">
        <f>IFERROR(__xludf.DUMMYFUNCTION("""COMPUTED_VALUE"""),2.0)</f>
        <v>2</v>
      </c>
      <c r="J466" s="3" t="str">
        <f>IFERROR(__xludf.DUMMYFUNCTION("""COMPUTED_VALUE"""),"Pcs")</f>
        <v>Pcs</v>
      </c>
      <c r="K466" s="5" t="str">
        <f>IFERROR(__xludf.DUMMYFUNCTION("""COMPUTED_VALUE"""),"https://cdn.trox.de/44f27a8a5d5b54ac/f10ec6203623/00275603_0.pdf")</f>
        <v>https://cdn.trox.de/44f27a8a5d5b54ac/f10ec6203623/00275603_0.pdf</v>
      </c>
      <c r="L466" s="3" t="str">
        <f>IFERROR(__xludf.DUMMYFUNCTION("""COMPUTED_VALUE"""),"Penggantian CAV AHU C1-1 ruang 21.202 (REJECT BY MFH, SPEK YANG DIBERIKAN TROX TIDAK SESUAI, SILAHKAN DISKUSIKAN KEMBALI)")</f>
        <v>Penggantian CAV AHU C1-1 ruang 21.202 (REJECT BY MFH, SPEK YANG DIBERIKAN TROX TIDAK SESUAI, SILAHKAN DISKUSIKAN KEMBALI)</v>
      </c>
      <c r="M466" s="3" t="str">
        <f>IFERROR(__xludf.DUMMYFUNCTION("""COMPUTED_VALUE"""),"Reject")</f>
        <v>Reject</v>
      </c>
      <c r="N466" s="3" t="str">
        <f>IFERROR(__xludf.DUMMYFUNCTION("""COMPUTED_VALUE"""),"Normal")</f>
        <v>Normal</v>
      </c>
      <c r="O466" s="3" t="str">
        <f>IFERROR(__xludf.DUMMYFUNCTION("""COMPUTED_VALUE"""),"Non Urgent")</f>
        <v>Non Urgent</v>
      </c>
    </row>
    <row r="467">
      <c r="A467" s="4">
        <f>IFERROR(__xludf.DUMMYFUNCTION("""COMPUTED_VALUE"""),45944.843428541666)</f>
        <v>45944.84343</v>
      </c>
      <c r="B467" s="3" t="str">
        <f>IFERROR(__xludf.DUMMYFUNCTION("""COMPUTED_VALUE"""),"SFHBR0035")</f>
        <v>SFHBR0035</v>
      </c>
      <c r="C467" s="3" t="str">
        <f>IFERROR(__xludf.DUMMYFUNCTION("""COMPUTED_VALUE"""),"Consumable")</f>
        <v>Consumable</v>
      </c>
      <c r="D467" s="3" t="str">
        <f>IFERROR(__xludf.DUMMYFUNCTION("""COMPUTED_VALUE"""),"-")</f>
        <v>-</v>
      </c>
      <c r="E467" s="3" t="str">
        <f>IFERROR(__xludf.DUMMYFUNCTION("""COMPUTED_VALUE"""),"lantai 2")</f>
        <v>lantai 2</v>
      </c>
      <c r="F467" s="3" t="str">
        <f>IFERROR(__xludf.DUMMYFUNCTION("""COMPUTED_VALUE"""),"WD-40 Specialist® Chain Lube 360ml - Pelumas Rantai Syntetic")</f>
        <v>WD-40 Specialist® Chain Lube 360ml - Pelumas Rantai Syntetic</v>
      </c>
      <c r="G467" s="3" t="str">
        <f>IFERROR(__xludf.DUMMYFUNCTION("""COMPUTED_VALUE"""),"WD-40 Specialist® Chain Lube 360ml - Pelumas Rantai Syntetic")</f>
        <v>WD-40 Specialist® Chain Lube 360ml - Pelumas Rantai Syntetic</v>
      </c>
      <c r="H467" s="3" t="str">
        <f>IFERROR(__xludf.DUMMYFUNCTION("""COMPUTED_VALUE"""),"WD-40")</f>
        <v>WD-40</v>
      </c>
      <c r="I467" s="3">
        <f>IFERROR(__xludf.DUMMYFUNCTION("""COMPUTED_VALUE"""),3.0)</f>
        <v>3</v>
      </c>
      <c r="J467" s="3" t="str">
        <f>IFERROR(__xludf.DUMMYFUNCTION("""COMPUTED_VALUE"""),"pcs")</f>
        <v>pcs</v>
      </c>
      <c r="K467" s="5" t="str">
        <f>IFERROR(__xludf.DUMMYFUNCTION("""COMPUTED_VALUE"""),"https://tk.tokopedia.com/ZSU5kPmdm/")</f>
        <v>https://tk.tokopedia.com/ZSU5kPmdm/</v>
      </c>
      <c r="L467" s="3" t="str">
        <f>IFERROR(__xludf.DUMMYFUNCTION("""COMPUTED_VALUE"""),"stock tinggal sedikit lagi buat PM forklift")</f>
        <v>stock tinggal sedikit lagi buat PM forklift</v>
      </c>
      <c r="M467" s="3" t="str">
        <f>IFERROR(__xludf.DUMMYFUNCTION("""COMPUTED_VALUE"""),"Approve")</f>
        <v>Approve</v>
      </c>
      <c r="N467" s="3" t="str">
        <f>IFERROR(__xludf.DUMMYFUNCTION("""COMPUTED_VALUE"""),"Normal")</f>
        <v>Normal</v>
      </c>
      <c r="O467" s="3" t="str">
        <f>IFERROR(__xludf.DUMMYFUNCTION("""COMPUTED_VALUE"""),"Non Urgent")</f>
        <v>Non Urgent</v>
      </c>
    </row>
    <row r="468">
      <c r="A468" s="4">
        <f>IFERROR(__xludf.DUMMYFUNCTION("""COMPUTED_VALUE"""),45944.84759662037)</f>
        <v>45944.8476</v>
      </c>
      <c r="B468" s="3" t="str">
        <f>IFERROR(__xludf.DUMMYFUNCTION("""COMPUTED_VALUE"""),"SFHBR0037")</f>
        <v>SFHBR0037</v>
      </c>
      <c r="C468" s="3" t="str">
        <f>IFERROR(__xludf.DUMMYFUNCTION("""COMPUTED_VALUE"""),"Consumable")</f>
        <v>Consumable</v>
      </c>
      <c r="D468" s="3" t="str">
        <f>IFERROR(__xludf.DUMMYFUNCTION("""COMPUTED_VALUE"""),"-")</f>
        <v>-</v>
      </c>
      <c r="E468" s="3" t="str">
        <f>IFERROR(__xludf.DUMMYFUNCTION("""COMPUTED_VALUE"""),"lantai 2")</f>
        <v>lantai 2</v>
      </c>
      <c r="F468" s="3" t="str">
        <f>IFERROR(__xludf.DUMMYFUNCTION("""COMPUTED_VALUE"""),"PRESTONE BELT DRESSING (250ML) - V belt - Fan Belt")</f>
        <v>PRESTONE BELT DRESSING (250ML) - V belt - Fan Belt</v>
      </c>
      <c r="G468" s="3" t="str">
        <f>IFERROR(__xludf.DUMMYFUNCTION("""COMPUTED_VALUE"""),"PRESTONE BELT DRESSING (250ML) - V belt - Fan Belt")</f>
        <v>PRESTONE BELT DRESSING (250ML) - V belt - Fan Belt</v>
      </c>
      <c r="H468" s="3" t="str">
        <f>IFERROR(__xludf.DUMMYFUNCTION("""COMPUTED_VALUE"""),"prestone")</f>
        <v>prestone</v>
      </c>
      <c r="I468" s="3">
        <f>IFERROR(__xludf.DUMMYFUNCTION("""COMPUTED_VALUE"""),5.0)</f>
        <v>5</v>
      </c>
      <c r="J468" s="3" t="str">
        <f>IFERROR(__xludf.DUMMYFUNCTION("""COMPUTED_VALUE"""),"pcs")</f>
        <v>pcs</v>
      </c>
      <c r="K468" s="5" t="str">
        <f>IFERROR(__xludf.DUMMYFUNCTION("""COMPUTED_VALUE"""),"https://tk.tokopedia.com/ZSU5B1U6L/")</f>
        <v>https://tk.tokopedia.com/ZSU5B1U6L/</v>
      </c>
      <c r="L468" s="3" t="str">
        <f>IFERROR(__xludf.DUMMYFUNCTION("""COMPUTED_VALUE"""),"stock habis ")</f>
        <v>stock habis </v>
      </c>
      <c r="M468" s="3" t="str">
        <f>IFERROR(__xludf.DUMMYFUNCTION("""COMPUTED_VALUE"""),"Approve")</f>
        <v>Approve</v>
      </c>
      <c r="N468" s="3" t="str">
        <f>IFERROR(__xludf.DUMMYFUNCTION("""COMPUTED_VALUE"""),"Normal")</f>
        <v>Normal</v>
      </c>
      <c r="O468" s="3" t="str">
        <f>IFERROR(__xludf.DUMMYFUNCTION("""COMPUTED_VALUE"""),"Non Urgent")</f>
        <v>Non Urgent</v>
      </c>
    </row>
    <row r="469">
      <c r="A469" s="4">
        <f>IFERROR(__xludf.DUMMYFUNCTION("""COMPUTED_VALUE"""),45945.2732487963)</f>
        <v>45945.27325</v>
      </c>
      <c r="B469" s="3" t="str">
        <f>IFERROR(__xludf.DUMMYFUNCTION("""COMPUTED_VALUE"""),"MRNBR0076")</f>
        <v>MRNBR0076</v>
      </c>
      <c r="C469" s="3" t="str">
        <f>IFERROR(__xludf.DUMMYFUNCTION("""COMPUTED_VALUE"""),"EJO")</f>
        <v>EJO</v>
      </c>
      <c r="D469" s="3" t="str">
        <f>IFERROR(__xludf.DUMMYFUNCTION("""COMPUTED_VALUE"""),"EJO/2025/08/191")</f>
        <v>EJO/2025/08/191</v>
      </c>
      <c r="E469" s="3" t="str">
        <f>IFERROR(__xludf.DUMMYFUNCTION("""COMPUTED_VALUE"""),"EF C1-3")</f>
        <v>EF C1-3</v>
      </c>
      <c r="F469" s="3" t="str">
        <f>IFERROR(__xludf.DUMMYFUNCTION("""COMPUTED_VALUE"""),"Motorize valve")</f>
        <v>Motorize valve</v>
      </c>
      <c r="G469" s="3" t="str">
        <f>IFERROR(__xludf.DUMMYFUNCTION("""COMPUTED_VALUE"""),"Belimo NMX120-3")</f>
        <v>Belimo NMX120-3</v>
      </c>
      <c r="H469" s="3" t="str">
        <f>IFERROR(__xludf.DUMMYFUNCTION("""COMPUTED_VALUE"""),"Belimo")</f>
        <v>Belimo</v>
      </c>
      <c r="I469" s="3">
        <f>IFERROR(__xludf.DUMMYFUNCTION("""COMPUTED_VALUE"""),1.0)</f>
        <v>1</v>
      </c>
      <c r="J469" s="3" t="str">
        <f>IFERROR(__xludf.DUMMYFUNCTION("""COMPUTED_VALUE"""),"pcs")</f>
        <v>pcs</v>
      </c>
      <c r="K469" s="5" t="str">
        <f>IFERROR(__xludf.DUMMYFUNCTION("""COMPUTED_VALUE"""),"https://www.belimo.com/us/shop/en_US/config?code=NMX120-3")</f>
        <v>https://www.belimo.com/us/shop/en_US/config?code=NMX120-3</v>
      </c>
      <c r="L469" s="3" t="str">
        <f>IFERROR(__xludf.DUMMYFUNCTION("""COMPUTED_VALUE"""),"Motorize valve rusak ini beda dengan belimo yang di order sebelumnya")</f>
        <v>Motorize valve rusak ini beda dengan belimo yang di order sebelumnya</v>
      </c>
      <c r="M469" s="3" t="str">
        <f>IFERROR(__xludf.DUMMYFUNCTION("""COMPUTED_VALUE"""),"Approve")</f>
        <v>Approve</v>
      </c>
      <c r="N469" s="3" t="str">
        <f>IFERROR(__xludf.DUMMYFUNCTION("""COMPUTED_VALUE"""),"Normal")</f>
        <v>Normal</v>
      </c>
      <c r="O469" s="3" t="str">
        <f>IFERROR(__xludf.DUMMYFUNCTION("""COMPUTED_VALUE"""),"Non Urgent")</f>
        <v>Non Urgent</v>
      </c>
    </row>
    <row r="470">
      <c r="A470" s="4">
        <f>IFERROR(__xludf.DUMMYFUNCTION("""COMPUTED_VALUE"""),45945.34417518518)</f>
        <v>45945.34418</v>
      </c>
      <c r="B470" s="3" t="str">
        <f>IFERROR(__xludf.DUMMYFUNCTION("""COMPUTED_VALUE"""),"RIABR0109")</f>
        <v>RIABR0109</v>
      </c>
      <c r="C470" s="3" t="str">
        <f>IFERROR(__xludf.DUMMYFUNCTION("""COMPUTED_VALUE"""),"EJO")</f>
        <v>EJO</v>
      </c>
      <c r="D470" s="3" t="str">
        <f>IFERROR(__xludf.DUMMYFUNCTION("""COMPUTED_VALUE"""),"EJO/2025/10/40")</f>
        <v>EJO/2025/10/40</v>
      </c>
      <c r="E470" s="3" t="str">
        <f>IFERROR(__xludf.DUMMYFUNCTION("""COMPUTED_VALUE"""),"WWTP")</f>
        <v>WWTP</v>
      </c>
      <c r="F470" s="3" t="str">
        <f>IFERROR(__xludf.DUMMYFUNCTION("""COMPUTED_VALUE"""),"Level Switch")</f>
        <v>Level Switch</v>
      </c>
      <c r="G470" s="3" t="str">
        <f>IFERROR(__xludf.DUMMYFUNCTION("""COMPUTED_VALUE"""),"VERTICAL FLOAT LEVEL SWITCH 1 8.500.000,00 8.500.000,00
Brand WINGEL
Model VSP-2FJ-S4-L1000-FPP45-CU4
Material Flange = PVC
Tube = PVC + Stainless Steel
Float = PP
Conn 2""Flange JIS10K
Enclosure PP+30% Glass Fiber IP66
Output 2 x SPST Contact
"&amp;"Rating 1A, 400 VAC/DC
Length 1100mm
C/W CONTROL UNIT
Model CU-4
Output Relay 4 x SPDT")</f>
        <v>VERTICAL FLOAT LEVEL SWITCH 1 8.500.000,00 8.500.000,00
Brand WINGEL
Model VSP-2FJ-S4-L1000-FPP45-CU4
Material Flange = PVC
Tube = PVC + Stainless Steel
Float = PP
Conn 2"Flange JIS10K
Enclosure PP+30% Glass Fiber IP66
Output 2 x SPST Contact
Rating 1A, 400 VAC/DC
Length 1100mm
C/W CONTROL UNIT
Model CU-4
Output Relay 4 x SPDT</v>
      </c>
      <c r="H470" s="3" t="str">
        <f>IFERROR(__xludf.DUMMYFUNCTION("""COMPUTED_VALUE"""),"Wingel")</f>
        <v>Wingel</v>
      </c>
      <c r="I470" s="3">
        <f>IFERROR(__xludf.DUMMYFUNCTION("""COMPUTED_VALUE"""),1.0)</f>
        <v>1</v>
      </c>
      <c r="J470" s="3" t="str">
        <f>IFERROR(__xludf.DUMMYFUNCTION("""COMPUTED_VALUE"""),"Set")</f>
        <v>Set</v>
      </c>
      <c r="K470" s="3" t="str">
        <f>IFERROR(__xludf.DUMMYFUNCTION("""COMPUTED_VALUE"""),"QUOTATION-VSP-4Contact-CU4-FLANGE-1100mm-PT FONKO PHARMA-0810-2025.pdf")</f>
        <v>QUOTATION-VSP-4Contact-CU4-FLANGE-1100mm-PT FONKO PHARMA-0810-2025.pdf</v>
      </c>
      <c r="L470" s="3" t="str">
        <f>IFERROR(__xludf.DUMMYFUNCTION("""COMPUTED_VALUE"""),"Level switch buat reaktor 2 WWTP")</f>
        <v>Level switch buat reaktor 2 WWTP</v>
      </c>
      <c r="M470" s="3" t="str">
        <f>IFERROR(__xludf.DUMMYFUNCTION("""COMPUTED_VALUE"""),"Approve")</f>
        <v>Approve</v>
      </c>
      <c r="N470" s="3" t="str">
        <f>IFERROR(__xludf.DUMMYFUNCTION("""COMPUTED_VALUE"""),"Normal")</f>
        <v>Normal</v>
      </c>
      <c r="O470" s="3" t="str">
        <f>IFERROR(__xludf.DUMMYFUNCTION("""COMPUTED_VALUE"""),"Non Urgent")</f>
        <v>Non Urgent</v>
      </c>
    </row>
    <row r="471">
      <c r="A471" s="4">
        <f>IFERROR(__xludf.DUMMYFUNCTION("""COMPUTED_VALUE"""),45945.346454374994)</f>
        <v>45945.34645</v>
      </c>
      <c r="B471" s="3" t="str">
        <f>IFERROR(__xludf.DUMMYFUNCTION("""COMPUTED_VALUE"""),"RIABR0110")</f>
        <v>RIABR0110</v>
      </c>
      <c r="C471" s="3" t="str">
        <f>IFERROR(__xludf.DUMMYFUNCTION("""COMPUTED_VALUE"""),"EJO")</f>
        <v>EJO</v>
      </c>
      <c r="D471" s="3" t="str">
        <f>IFERROR(__xludf.DUMMYFUNCTION("""COMPUTED_VALUE"""),"EJO/2025/10/110")</f>
        <v>EJO/2025/10/110</v>
      </c>
      <c r="E471" s="3" t="str">
        <f>IFERROR(__xludf.DUMMYFUNCTION("""COMPUTED_VALUE"""),"Lift")</f>
        <v>Lift</v>
      </c>
      <c r="F471" s="3" t="str">
        <f>IFERROR(__xludf.DUMMYFUNCTION("""COMPUTED_VALUE"""),"Tombol")</f>
        <v>Tombol</v>
      </c>
      <c r="G471" s="3" t="str">
        <f>IFERROR(__xludf.DUMMYFUNCTION("""COMPUTED_VALUE"""),"LOP Button Lift")</f>
        <v>LOP Button Lift</v>
      </c>
      <c r="H471" s="3" t="str">
        <f>IFERROR(__xludf.DUMMYFUNCTION("""COMPUTED_VALUE"""),"Schindler")</f>
        <v>Schindler</v>
      </c>
      <c r="I471" s="3">
        <f>IFERROR(__xludf.DUMMYFUNCTION("""COMPUTED_VALUE"""),1.0)</f>
        <v>1</v>
      </c>
      <c r="J471" s="3" t="str">
        <f>IFERROR(__xludf.DUMMYFUNCTION("""COMPUTED_VALUE"""),"Set")</f>
        <v>Set</v>
      </c>
      <c r="K471" s="3" t="str">
        <f>IFERROR(__xludf.DUMMYFUNCTION("""COMPUTED_VALUE"""),"FONKO PHARMA - QUOT X-027 - 12102025.pdf")</f>
        <v>FONKO PHARMA - QUOT X-027 - 12102025.pdf</v>
      </c>
      <c r="L471" s="3" t="str">
        <f>IFERROR(__xludf.DUMMYFUNCTION("""COMPUTED_VALUE"""),"Untuk perbaikan lift tombol kurang sensitif")</f>
        <v>Untuk perbaikan lift tombol kurang sensitif</v>
      </c>
      <c r="M471" s="3" t="str">
        <f>IFERROR(__xludf.DUMMYFUNCTION("""COMPUTED_VALUE"""),"Approve")</f>
        <v>Approve</v>
      </c>
      <c r="N471" s="3" t="str">
        <f>IFERROR(__xludf.DUMMYFUNCTION("""COMPUTED_VALUE"""),"Normal")</f>
        <v>Normal</v>
      </c>
      <c r="O471" s="3" t="str">
        <f>IFERROR(__xludf.DUMMYFUNCTION("""COMPUTED_VALUE"""),"Non Urgent")</f>
        <v>Non Urgent</v>
      </c>
    </row>
    <row r="472">
      <c r="A472" s="4">
        <f>IFERROR(__xludf.DUMMYFUNCTION("""COMPUTED_VALUE"""),45945.35198913194)</f>
        <v>45945.35199</v>
      </c>
      <c r="B472" s="3" t="str">
        <f>IFERROR(__xludf.DUMMYFUNCTION("""COMPUTED_VALUE"""),"RIABR0111")</f>
        <v>RIABR0111</v>
      </c>
      <c r="C472" s="3" t="str">
        <f>IFERROR(__xludf.DUMMYFUNCTION("""COMPUTED_VALUE"""),"Consumable")</f>
        <v>Consumable</v>
      </c>
      <c r="D472" s="3" t="str">
        <f>IFERROR(__xludf.DUMMYFUNCTION("""COMPUTED_VALUE"""),"-")</f>
        <v>-</v>
      </c>
      <c r="E472" s="3" t="str">
        <f>IFERROR(__xludf.DUMMYFUNCTION("""COMPUTED_VALUE"""),"All")</f>
        <v>All</v>
      </c>
      <c r="F472" s="3" t="str">
        <f>IFERROR(__xludf.DUMMYFUNCTION("""COMPUTED_VALUE"""),"Printer Tubing")</f>
        <v>Printer Tubing</v>
      </c>
      <c r="G472" s="3" t="str">
        <f>IFERROR(__xludf.DUMMYFUNCTION("""COMPUTED_VALUE"""),"Printer Tubing BROTHER PT-E850TKW - [With Keyboard Wireless]
Twin Engine Designed Label &amp; Tube Printer
For Proffesional Industrial &amp; Electrician Labeling Solutions")</f>
        <v>Printer Tubing BROTHER PT-E850TKW - [With Keyboard Wireless]
Twin Engine Designed Label &amp; Tube Printer
For Proffesional Industrial &amp; Electrician Labeling Solutions</v>
      </c>
      <c r="H472" s="3" t="str">
        <f>IFERROR(__xludf.DUMMYFUNCTION("""COMPUTED_VALUE"""),"Brothers")</f>
        <v>Brothers</v>
      </c>
      <c r="I472" s="3">
        <f>IFERROR(__xludf.DUMMYFUNCTION("""COMPUTED_VALUE"""),1.0)</f>
        <v>1</v>
      </c>
      <c r="J472" s="3" t="str">
        <f>IFERROR(__xludf.DUMMYFUNCTION("""COMPUTED_VALUE"""),"Set")</f>
        <v>Set</v>
      </c>
      <c r="K472" s="5" t="str">
        <f>IFERROR(__xludf.DUMMYFUNCTION("""COMPUTED_VALUE"""),"https://www.tokopedia.com/brotherofficialjawatimur/brother-printer-label-pt-e850tkw-e-850tkw-wireless-lan-auto-cut?extParam=ivf%3Dfalse%26keyword%3Dbrother+label+printer+pt-e850tkw%26search_id%3D2025101501224837BC2F75BF1BCF079IR1%26src%3Dsearch&amp;t_id=17604"&amp;"91334324&amp;t_st=5&amp;t_pp=search_result&amp;t_efo=search_pure_goods_card&amp;t_ef=goods_search&amp;t_sm=&amp;t_spt=search_result")</f>
        <v>https://www.tokopedia.com/brotherofficialjawatimur/brother-printer-label-pt-e850tkw-e-850tkw-wireless-lan-auto-cut?extParam=ivf%3Dfalse%26keyword%3Dbrother+label+printer+pt-e850tkw%26search_id%3D2025101501224837BC2F75BF1BCF079IR1%26src%3Dsearch&amp;t_id=1760491334324&amp;t_st=5&amp;t_pp=search_result&amp;t_efo=search_pure_goods_card&amp;t_ef=goods_search&amp;t_sm=&amp;t_spt=search_result</v>
      </c>
      <c r="L472" s="3" t="str">
        <f>IFERROR(__xludf.DUMMYFUNCTION("""COMPUTED_VALUE"""),"Untuk print label tagging kabel (REJECT BY MFH KARENA SEMUA PRINTER PAKAI BUDGET ASET IT, SILAHKAN AJUKAN BUDGET ASET TERLEBIH DAHULU)")</f>
        <v>Untuk print label tagging kabel (REJECT BY MFH KARENA SEMUA PRINTER PAKAI BUDGET ASET IT, SILAHKAN AJUKAN BUDGET ASET TERLEBIH DAHULU)</v>
      </c>
      <c r="M472" s="3" t="str">
        <f>IFERROR(__xludf.DUMMYFUNCTION("""COMPUTED_VALUE"""),"Reject")</f>
        <v>Reject</v>
      </c>
      <c r="N472" s="3" t="str">
        <f>IFERROR(__xludf.DUMMYFUNCTION("""COMPUTED_VALUE"""),"Normal")</f>
        <v>Normal</v>
      </c>
      <c r="O472" s="3" t="str">
        <f>IFERROR(__xludf.DUMMYFUNCTION("""COMPUTED_VALUE"""),"Non Urgent")</f>
        <v>Non Urgent</v>
      </c>
    </row>
    <row r="473">
      <c r="A473" s="4">
        <f>IFERROR(__xludf.DUMMYFUNCTION("""COMPUTED_VALUE"""),45945.35906429398)</f>
        <v>45945.35906</v>
      </c>
      <c r="B473" s="3" t="str">
        <f>IFERROR(__xludf.DUMMYFUNCTION("""COMPUTED_VALUE"""),"RIABR0112")</f>
        <v>RIABR0112</v>
      </c>
      <c r="C473" s="3" t="str">
        <f>IFERROR(__xludf.DUMMYFUNCTION("""COMPUTED_VALUE"""),"EJO")</f>
        <v>EJO</v>
      </c>
      <c r="D473" s="3" t="str">
        <f>IFERROR(__xludf.DUMMYFUNCTION("""COMPUTED_VALUE"""),"EJO/2025/10/59")</f>
        <v>EJO/2025/10/59</v>
      </c>
      <c r="E473" s="3" t="str">
        <f>IFERROR(__xludf.DUMMYFUNCTION("""COMPUTED_VALUE"""),"Emergency Door Kantin")</f>
        <v>Emergency Door Kantin</v>
      </c>
      <c r="F473" s="3" t="str">
        <f>IFERROR(__xludf.DUMMYFUNCTION("""COMPUTED_VALUE"""),"Alarm System")</f>
        <v>Alarm System</v>
      </c>
      <c r="G473" s="3" t="str">
        <f>IFERROR(__xludf.DUMMYFUNCTION("""COMPUTED_VALUE"""),"SPESIFIKASI 
- MODULE ALARM WITH BOX WATERPROFF
- DOOR SENSOR METAL WITH 3METER KABEL
- MINI SIRENE MERAH WITH 2METER KABEL
-ADAPTOR 12V 3A COLOK")</f>
        <v>SPESIFIKASI 
- MODULE ALARM WITH BOX WATERPROFF
- DOOR SENSOR METAL WITH 3METER KABEL
- MINI SIRENE MERAH WITH 2METER KABEL
-ADAPTOR 12V 3A COLOK</v>
      </c>
      <c r="H473" s="3" t="str">
        <f>IFERROR(__xludf.DUMMYFUNCTION("""COMPUTED_VALUE"""),"Lokal")</f>
        <v>Lokal</v>
      </c>
      <c r="I473" s="3">
        <f>IFERROR(__xludf.DUMMYFUNCTION("""COMPUTED_VALUE"""),1.0)</f>
        <v>1</v>
      </c>
      <c r="J473" s="3" t="str">
        <f>IFERROR(__xludf.DUMMYFUNCTION("""COMPUTED_VALUE"""),"Set")</f>
        <v>Set</v>
      </c>
      <c r="K473" s="5" t="str">
        <f>IFERROR(__xludf.DUMMYFUNCTION("""COMPUTED_VALUE"""),"https://www.tokopedia.com/artechshoponline/alarm-emergency-door-sensor-delay-exit-delay-time?extParam=ivf%3Dfalse%26keyword%3Dalarm+pintu+emergency%26search_id%3D2025101501300937BC2F75BF1BCF1627G6%26src%3Dsearch&amp;t_id=1760491827440&amp;t_st=4&amp;t_pp=search_resul"&amp;"t&amp;t_efo=search_pure_goods_card&amp;t_ef=goods_search&amp;t_sm=&amp;t_spt=search_result")</f>
        <v>https://www.tokopedia.com/artechshoponline/alarm-emergency-door-sensor-delay-exit-delay-time?extParam=ivf%3Dfalse%26keyword%3Dalarm+pintu+emergency%26search_id%3D2025101501300937BC2F75BF1BCF1627G6%26src%3Dsearch&amp;t_id=1760491827440&amp;t_st=4&amp;t_pp=search_result&amp;t_efo=search_pure_goods_card&amp;t_ef=goods_search&amp;t_sm=&amp;t_spt=search_result</v>
      </c>
      <c r="L473" s="3" t="str">
        <f>IFERROR(__xludf.DUMMYFUNCTION("""COMPUTED_VALUE"""),"Untuk trigger alarm system pintu emergency")</f>
        <v>Untuk trigger alarm system pintu emergency</v>
      </c>
      <c r="M473" s="3" t="str">
        <f>IFERROR(__xludf.DUMMYFUNCTION("""COMPUTED_VALUE"""),"Reject")</f>
        <v>Reject</v>
      </c>
      <c r="N473" s="3" t="str">
        <f>IFERROR(__xludf.DUMMYFUNCTION("""COMPUTED_VALUE"""),"Normal")</f>
        <v>Normal</v>
      </c>
      <c r="O473" s="3" t="str">
        <f>IFERROR(__xludf.DUMMYFUNCTION("""COMPUTED_VALUE"""),"Non Urgent")</f>
        <v>Non Urgent</v>
      </c>
    </row>
    <row r="474">
      <c r="A474" s="4">
        <f>IFERROR(__xludf.DUMMYFUNCTION("""COMPUTED_VALUE"""),45945.676252407415)</f>
        <v>45945.67625</v>
      </c>
      <c r="B474" s="3" t="str">
        <f>IFERROR(__xludf.DUMMYFUNCTION("""COMPUTED_VALUE"""),"RIABR0113")</f>
        <v>RIABR0113</v>
      </c>
      <c r="C474" s="3" t="str">
        <f>IFERROR(__xludf.DUMMYFUNCTION("""COMPUTED_VALUE"""),"EJO")</f>
        <v>EJO</v>
      </c>
      <c r="D474" s="3" t="str">
        <f>IFERROR(__xludf.DUMMYFUNCTION("""COMPUTED_VALUE"""),"EJO/2025/10/59")</f>
        <v>EJO/2025/10/59</v>
      </c>
      <c r="E474" s="3" t="str">
        <f>IFERROR(__xludf.DUMMYFUNCTION("""COMPUTED_VALUE"""),"Emergency Door Kantin &amp; OSD")</f>
        <v>Emergency Door Kantin &amp; OSD</v>
      </c>
      <c r="F474" s="3" t="str">
        <f>IFERROR(__xludf.DUMMYFUNCTION("""COMPUTED_VALUE"""),"Alarm System")</f>
        <v>Alarm System</v>
      </c>
      <c r="G474" s="3" t="str">
        <f>IFERROR(__xludf.DUMMYFUNCTION("""COMPUTED_VALUE"""),"SPESIFIKASI 
- MODULE ALARM WITH BOX WATERPROFF
- DOOR SENSOR METAL WITH 3METER KABEL
- MINI SIRENE MERAH WITH 2METER KABEL
-ADAPTOR 12V 3A COLOK")</f>
        <v>SPESIFIKASI 
- MODULE ALARM WITH BOX WATERPROFF
- DOOR SENSOR METAL WITH 3METER KABEL
- MINI SIRENE MERAH WITH 2METER KABEL
-ADAPTOR 12V 3A COLOK</v>
      </c>
      <c r="H474" s="3" t="str">
        <f>IFERROR(__xludf.DUMMYFUNCTION("""COMPUTED_VALUE"""),"Lokal")</f>
        <v>Lokal</v>
      </c>
      <c r="I474" s="3">
        <f>IFERROR(__xludf.DUMMYFUNCTION("""COMPUTED_VALUE"""),2.0)</f>
        <v>2</v>
      </c>
      <c r="J474" s="3" t="str">
        <f>IFERROR(__xludf.DUMMYFUNCTION("""COMPUTED_VALUE"""),"Set")</f>
        <v>Set</v>
      </c>
      <c r="K474" s="5" t="str">
        <f>IFERROR(__xludf.DUMMYFUNCTION("""COMPUTED_VALUE"""),"https://www.tokopedia.com/artechshoponline/alarm-emergency-door-sensor-delay-exit-delay-time?extParam=ivf%3Dfalse%26keyword%3Dalarm+pintu+emergency%26search_id%3D2025101501300937BC2F75BF1BCF1627G6%26src%3Dsearch&amp;t_id=1760491827440&amp;t_st=4&amp;t_pp=search_resul"&amp;"t&amp;t_efo=search_pure_goods_card&amp;t_ef=goods_search&amp;t_sm=&amp;t_spt=search_result")</f>
        <v>https://www.tokopedia.com/artechshoponline/alarm-emergency-door-sensor-delay-exit-delay-time?extParam=ivf%3Dfalse%26keyword%3Dalarm+pintu+emergency%26search_id%3D2025101501300937BC2F75BF1BCF1627G6%26src%3Dsearch&amp;t_id=1760491827440&amp;t_st=4&amp;t_pp=search_result&amp;t_efo=search_pure_goods_card&amp;t_ef=goods_search&amp;t_sm=&amp;t_spt=search_result</v>
      </c>
      <c r="L474" s="3" t="str">
        <f>IFERROR(__xludf.DUMMYFUNCTION("""COMPUTED_VALUE"""),"Untuk trigger alarm system pintu emergency osd dan kantin, yg sebelumnya reject aja karena butuhnya 2 set")</f>
        <v>Untuk trigger alarm system pintu emergency osd dan kantin, yg sebelumnya reject aja karena butuhnya 2 set</v>
      </c>
      <c r="M474" s="3" t="str">
        <f>IFERROR(__xludf.DUMMYFUNCTION("""COMPUTED_VALUE"""),"Reject")</f>
        <v>Reject</v>
      </c>
      <c r="N474" s="3" t="str">
        <f>IFERROR(__xludf.DUMMYFUNCTION("""COMPUTED_VALUE"""),"Normal")</f>
        <v>Normal</v>
      </c>
      <c r="O474" s="3" t="str">
        <f>IFERROR(__xludf.DUMMYFUNCTION("""COMPUTED_VALUE"""),"Non Urgent")</f>
        <v>Non Urgent</v>
      </c>
    </row>
    <row r="475">
      <c r="A475" s="4">
        <f>IFERROR(__xludf.DUMMYFUNCTION("""COMPUTED_VALUE"""),45946.302757708334)</f>
        <v>45946.30276</v>
      </c>
      <c r="B475" s="3" t="str">
        <f>IFERROR(__xludf.DUMMYFUNCTION("""COMPUTED_VALUE"""),"MRNBR0077")</f>
        <v>MRNBR0077</v>
      </c>
      <c r="C475" s="3" t="str">
        <f>IFERROR(__xludf.DUMMYFUNCTION("""COMPUTED_VALUE"""),"EJO")</f>
        <v>EJO</v>
      </c>
      <c r="D475" s="3" t="str">
        <f>IFERROR(__xludf.DUMMYFUNCTION("""COMPUTED_VALUE"""),"EJO/2025/10/95")</f>
        <v>EJO/2025/10/95</v>
      </c>
      <c r="E475" s="3" t="str">
        <f>IFERROR(__xludf.DUMMYFUNCTION("""COMPUTED_VALUE"""),"Dehum")</f>
        <v>Dehum</v>
      </c>
      <c r="F475" s="3" t="str">
        <f>IFERROR(__xludf.DUMMYFUNCTION("""COMPUTED_VALUE"""),"Bag filter")</f>
        <v>Bag filter</v>
      </c>
      <c r="G475" s="3" t="str">
        <f>IFERROR(__xludf.DUMMYFUNCTION("""COMPUTED_VALUE"""),"892 x 492 x 360 mm")</f>
        <v>892 x 492 x 360 mm</v>
      </c>
      <c r="H475" s="3" t="str">
        <f>IFERROR(__xludf.DUMMYFUNCTION("""COMPUTED_VALUE"""),"IAF")</f>
        <v>IAF</v>
      </c>
      <c r="I475" s="3">
        <f>IFERROR(__xludf.DUMMYFUNCTION("""COMPUTED_VALUE"""),2.0)</f>
        <v>2</v>
      </c>
      <c r="J475" s="3" t="str">
        <f>IFERROR(__xludf.DUMMYFUNCTION("""COMPUTED_VALUE"""),"pcs")</f>
        <v>pcs</v>
      </c>
      <c r="K475" s="5" t="str">
        <f>IFERROR(__xludf.DUMMYFUNCTION("""COMPUTED_VALUE"""),"https://infiltracoiaf.com/product/")</f>
        <v>https://infiltracoiaf.com/product/</v>
      </c>
      <c r="L475" s="3" t="str">
        <f>IFERROR(__xludf.DUMMYFUNCTION("""COMPUTED_VALUE"""),"Untuk dehum OSD sering alarm")</f>
        <v>Untuk dehum OSD sering alarm</v>
      </c>
      <c r="M475" s="3" t="str">
        <f>IFERROR(__xludf.DUMMYFUNCTION("""COMPUTED_VALUE"""),"Approve")</f>
        <v>Approve</v>
      </c>
      <c r="N475" s="3" t="str">
        <f>IFERROR(__xludf.DUMMYFUNCTION("""COMPUTED_VALUE"""),"Normal")</f>
        <v>Normal</v>
      </c>
      <c r="O475" s="3" t="str">
        <f>IFERROR(__xludf.DUMMYFUNCTION("""COMPUTED_VALUE"""),"Non Urgent")</f>
        <v>Non Urgent</v>
      </c>
    </row>
    <row r="476">
      <c r="A476" s="4">
        <f>IFERROR(__xludf.DUMMYFUNCTION("""COMPUTED_VALUE"""),45946.30447243056)</f>
        <v>45946.30447</v>
      </c>
      <c r="B476" s="3" t="str">
        <f>IFERROR(__xludf.DUMMYFUNCTION("""COMPUTED_VALUE"""),"MRNBR0078")</f>
        <v>MRNBR0078</v>
      </c>
      <c r="C476" s="3" t="str">
        <f>IFERROR(__xludf.DUMMYFUNCTION("""COMPUTED_VALUE"""),"EJO")</f>
        <v>EJO</v>
      </c>
      <c r="D476" s="3" t="str">
        <f>IFERROR(__xludf.DUMMYFUNCTION("""COMPUTED_VALUE"""),"EJO/2025/10/95")</f>
        <v>EJO/2025/10/95</v>
      </c>
      <c r="E476" s="3" t="str">
        <f>IFERROR(__xludf.DUMMYFUNCTION("""COMPUTED_VALUE"""),"Dehum")</f>
        <v>Dehum</v>
      </c>
      <c r="F476" s="3" t="str">
        <f>IFERROR(__xludf.DUMMYFUNCTION("""COMPUTED_VALUE"""),"Bag filter")</f>
        <v>Bag filter</v>
      </c>
      <c r="G476" s="3" t="str">
        <f>IFERROR(__xludf.DUMMYFUNCTION("""COMPUTED_VALUE"""),"592 x 287 x 360mm")</f>
        <v>592 x 287 x 360mm</v>
      </c>
      <c r="H476" s="3" t="str">
        <f>IFERROR(__xludf.DUMMYFUNCTION("""COMPUTED_VALUE"""),"IAF")</f>
        <v>IAF</v>
      </c>
      <c r="I476" s="3">
        <f>IFERROR(__xludf.DUMMYFUNCTION("""COMPUTED_VALUE"""),2.0)</f>
        <v>2</v>
      </c>
      <c r="J476" s="3" t="str">
        <f>IFERROR(__xludf.DUMMYFUNCTION("""COMPUTED_VALUE"""),"pcs")</f>
        <v>pcs</v>
      </c>
      <c r="K476" s="5" t="str">
        <f>IFERROR(__xludf.DUMMYFUNCTION("""COMPUTED_VALUE"""),"https://infiltracoiaf.com/product/")</f>
        <v>https://infiltracoiaf.com/product/</v>
      </c>
      <c r="L476" s="3" t="str">
        <f>IFERROR(__xludf.DUMMYFUNCTION("""COMPUTED_VALUE"""),"Untuk dehum OSD sering alarm")</f>
        <v>Untuk dehum OSD sering alarm</v>
      </c>
      <c r="M476" s="3" t="str">
        <f>IFERROR(__xludf.DUMMYFUNCTION("""COMPUTED_VALUE"""),"Approve")</f>
        <v>Approve</v>
      </c>
      <c r="N476" s="3" t="str">
        <f>IFERROR(__xludf.DUMMYFUNCTION("""COMPUTED_VALUE"""),"Normal")</f>
        <v>Normal</v>
      </c>
      <c r="O476" s="3" t="str">
        <f>IFERROR(__xludf.DUMMYFUNCTION("""COMPUTED_VALUE"""),"Non Urgent")</f>
        <v>Non Urgent</v>
      </c>
    </row>
    <row r="477">
      <c r="A477" s="4">
        <f>IFERROR(__xludf.DUMMYFUNCTION("""COMPUTED_VALUE"""),45946.367363344914)</f>
        <v>45946.36736</v>
      </c>
      <c r="B477" s="3" t="str">
        <f>IFERROR(__xludf.DUMMYFUNCTION("""COMPUTED_VALUE"""),"ANOBR0038")</f>
        <v>ANOBR0038</v>
      </c>
      <c r="C477" s="3" t="str">
        <f>IFERROR(__xludf.DUMMYFUNCTION("""COMPUTED_VALUE"""),"Consumable")</f>
        <v>Consumable</v>
      </c>
      <c r="D477" s="3" t="str">
        <f>IFERROR(__xludf.DUMMYFUNCTION("""COMPUTED_VALUE"""),"-")</f>
        <v>-</v>
      </c>
      <c r="E477" s="3" t="str">
        <f>IFERROR(__xludf.DUMMYFUNCTION("""COMPUTED_VALUE"""),"mixing tank")</f>
        <v>mixing tank</v>
      </c>
      <c r="F477" s="3" t="str">
        <f>IFERROR(__xludf.DUMMYFUNCTION("""COMPUTED_VALUE"""),"vesel light MV60")</f>
        <v>vesel light MV60</v>
      </c>
      <c r="G477" s="3" t="str">
        <f>IFERROR(__xludf.DUMMYFUNCTION("""COMPUTED_VALUE"""),"Fitting Soket Kabel Putih 2Pin Bulat GU5.3 - Lampu LED / Halogen MR16")</f>
        <v>Fitting Soket Kabel Putih 2Pin Bulat GU5.3 - Lampu LED / Halogen MR16</v>
      </c>
      <c r="H477" s="3" t="str">
        <f>IFERROR(__xludf.DUMMYFUNCTION("""COMPUTED_VALUE"""),"-")</f>
        <v>-</v>
      </c>
      <c r="I477" s="3">
        <f>IFERROR(__xludf.DUMMYFUNCTION("""COMPUTED_VALUE"""),5.0)</f>
        <v>5</v>
      </c>
      <c r="J477" s="3" t="str">
        <f>IFERROR(__xludf.DUMMYFUNCTION("""COMPUTED_VALUE"""),"pcs")</f>
        <v>pcs</v>
      </c>
      <c r="K477" s="5" t="str">
        <f>IFERROR(__xludf.DUMMYFUNCTION("""COMPUTED_VALUE"""),"https://tk.tokopedia.com/ZSUu97FgQ/")</f>
        <v>https://tk.tokopedia.com/ZSUu97FgQ/</v>
      </c>
      <c r="L477" s="3" t="str">
        <f>IFERROR(__xludf.DUMMYFUNCTION("""COMPUTED_VALUE"""),"Untuk keperluan mengganti fitting vesel light jika ada kerusakan ;agi")</f>
        <v>Untuk keperluan mengganti fitting vesel light jika ada kerusakan ;agi</v>
      </c>
      <c r="M477" s="3" t="str">
        <f>IFERROR(__xludf.DUMMYFUNCTION("""COMPUTED_VALUE"""),"Approve")</f>
        <v>Approve</v>
      </c>
      <c r="N477" s="3" t="str">
        <f>IFERROR(__xludf.DUMMYFUNCTION("""COMPUTED_VALUE"""),"Normal")</f>
        <v>Normal</v>
      </c>
      <c r="O477" s="3" t="str">
        <f>IFERROR(__xludf.DUMMYFUNCTION("""COMPUTED_VALUE"""),"Non Urgent")</f>
        <v>Non Urgent</v>
      </c>
    </row>
    <row r="478">
      <c r="A478" s="4">
        <f>IFERROR(__xludf.DUMMYFUNCTION("""COMPUTED_VALUE"""),45946.72567028935)</f>
        <v>45946.72567</v>
      </c>
      <c r="B478" s="3" t="str">
        <f>IFERROR(__xludf.DUMMYFUNCTION("""COMPUTED_VALUE"""),"AAABR0028")</f>
        <v>AAABR0028</v>
      </c>
      <c r="C478" s="3" t="str">
        <f>IFERROR(__xludf.DUMMYFUNCTION("""COMPUTED_VALUE"""),"EJO")</f>
        <v>EJO</v>
      </c>
      <c r="D478" s="3" t="str">
        <f>IFERROR(__xludf.DUMMYFUNCTION("""COMPUTED_VALUE"""),"EJO/2025/07/160")</f>
        <v>EJO/2025/07/160</v>
      </c>
      <c r="E478" s="3" t="str">
        <f>IFERROR(__xludf.DUMMYFUNCTION("""COMPUTED_VALUE"""),"scanner electric photometer")</f>
        <v>scanner electric photometer</v>
      </c>
      <c r="F478" s="3" t="str">
        <f>IFERROR(__xludf.DUMMYFUNCTION("""COMPUTED_VALUE"""),"flexible connector for windjet")</f>
        <v>flexible connector for windjet</v>
      </c>
      <c r="G478" s="3" t="str">
        <f>IFERROR(__xludf.DUMMYFUNCTION("""COMPUTED_VALUE"""),"thread size : male 1/8 inch female 1/8 inch .
panjang : 10 - 30 cm.")</f>
        <v>thread size : male 1/8 inch female 1/8 inch .
panjang : 10 - 30 cm.</v>
      </c>
      <c r="H478" s="3" t="str">
        <f>IFERROR(__xludf.DUMMYFUNCTION("""COMPUTED_VALUE"""),"Bebas")</f>
        <v>Bebas</v>
      </c>
      <c r="I478" s="3">
        <f>IFERROR(__xludf.DUMMYFUNCTION("""COMPUTED_VALUE"""),2.0)</f>
        <v>2</v>
      </c>
      <c r="J478" s="3" t="str">
        <f>IFERROR(__xludf.DUMMYFUNCTION("""COMPUTED_VALUE"""),"batang")</f>
        <v>batang</v>
      </c>
      <c r="K478" s="5" t="str">
        <f>IFERROR(__xludf.DUMMYFUNCTION("""COMPUTED_VALUE"""),"https://www.tokopedia.com/propeba-indo/flexible-connector-for-windjet-nozzle-adapter-air-blowing-flat-jet?extParam=ivf%3Dfalse%26keyword%3Dnozzle+flexible+npt+thread%26search_id%3D20251016081452A666587AFDA6E81C1IYE%26src%3Dsearch")</f>
        <v>https://www.tokopedia.com/propeba-indo/flexible-connector-for-windjet-nozzle-adapter-air-blowing-flat-jet?extParam=ivf%3Dfalse%26keyword%3Dnozzle+flexible+npt+thread%26search_id%3D20251016081452A666587AFDA6E81C1IYE%26src%3Dsearch</v>
      </c>
      <c r="L478" s="3" t="str">
        <f>IFERROR(__xludf.DUMMYFUNCTION("""COMPUTED_VALUE"""),"Needed date : 16-Nov-25 (REJECT BY MFH KARENA SUDAH DIBELIKAN PAKAI PETTY CASH)")</f>
        <v>Needed date : 16-Nov-25 (REJECT BY MFH KARENA SUDAH DIBELIKAN PAKAI PETTY CASH)</v>
      </c>
      <c r="M478" s="3" t="str">
        <f>IFERROR(__xludf.DUMMYFUNCTION("""COMPUTED_VALUE"""),"Reject")</f>
        <v>Reject</v>
      </c>
      <c r="N478" s="3" t="str">
        <f>IFERROR(__xludf.DUMMYFUNCTION("""COMPUTED_VALUE"""),"Normal")</f>
        <v>Normal</v>
      </c>
      <c r="O478" s="3" t="str">
        <f>IFERROR(__xludf.DUMMYFUNCTION("""COMPUTED_VALUE"""),"Non Urgent")</f>
        <v>Non Urgent</v>
      </c>
    </row>
    <row r="479">
      <c r="A479" s="4">
        <f>IFERROR(__xludf.DUMMYFUNCTION("""COMPUTED_VALUE"""),45946.95129831019)</f>
        <v>45946.9513</v>
      </c>
      <c r="B479" s="3" t="str">
        <f>IFERROR(__xludf.DUMMYFUNCTION("""COMPUTED_VALUE"""),"INNBR0043")</f>
        <v>INNBR0043</v>
      </c>
      <c r="C479" s="3" t="str">
        <f>IFERROR(__xludf.DUMMYFUNCTION("""COMPUTED_VALUE"""),"EJO")</f>
        <v>EJO</v>
      </c>
      <c r="D479" s="3" t="str">
        <f>IFERROR(__xludf.DUMMYFUNCTION("""COMPUTED_VALUE"""),"EJO/2025/10/69")</f>
        <v>EJO/2025/10/69</v>
      </c>
      <c r="E479" s="3" t="str">
        <f>IFERROR(__xludf.DUMMYFUNCTION("""COMPUTED_VALUE"""),"Filling ")</f>
        <v>Filling </v>
      </c>
      <c r="F479" s="3" t="str">
        <f>IFERROR(__xludf.DUMMYFUNCTION("""COMPUTED_VALUE"""),"Female connector, M8, 4-pin, straight, A-coded DOS-0804-G p/n:  6009974 SICK")</f>
        <v>Female connector, M8, 4-pin, straight, A-coded DOS-0804-G p/n:  6009974 SICK</v>
      </c>
      <c r="G479" s="3" t="str">
        <f>IFERROR(__xludf.DUMMYFUNCTION("""COMPUTED_VALUE"""),"Sesuai Penwaran")</f>
        <v>Sesuai Penwaran</v>
      </c>
      <c r="H479" s="3" t="str">
        <f>IFERROR(__xludf.DUMMYFUNCTION("""COMPUTED_VALUE"""),"SIck")</f>
        <v>SIck</v>
      </c>
      <c r="I479" s="3">
        <f>IFERROR(__xludf.DUMMYFUNCTION("""COMPUTED_VALUE"""),2.0)</f>
        <v>2</v>
      </c>
      <c r="J479" s="3" t="str">
        <f>IFERROR(__xludf.DUMMYFUNCTION("""COMPUTED_VALUE"""),"Pcs")</f>
        <v>Pcs</v>
      </c>
      <c r="K479" s="5" t="str">
        <f>IFERROR(__xludf.DUMMYFUNCTION("""COMPUTED_VALUE"""),"https://drive.google.com/file/d/1zrW0nPFhCh5PAoOfV2vAlockqb6SIJeX/view?usp=drive_link")</f>
        <v>https://drive.google.com/file/d/1zrW0nPFhCh5PAoOfV2vAlockqb6SIJeX/view?usp=drive_link</v>
      </c>
      <c r="L479" s="3" t="str">
        <f>IFERROR(__xludf.DUMMYFUNCTION("""COMPUTED_VALUE"""),"Untuk Ion Shower")</f>
        <v>Untuk Ion Shower</v>
      </c>
      <c r="M479" s="3" t="str">
        <f>IFERROR(__xludf.DUMMYFUNCTION("""COMPUTED_VALUE"""),"Approve")</f>
        <v>Approve</v>
      </c>
      <c r="N479" s="3" t="str">
        <f>IFERROR(__xludf.DUMMYFUNCTION("""COMPUTED_VALUE"""),"Normal")</f>
        <v>Normal</v>
      </c>
      <c r="O479" s="3" t="str">
        <f>IFERROR(__xludf.DUMMYFUNCTION("""COMPUTED_VALUE"""),"Non Urgent")</f>
        <v>Non Urgent</v>
      </c>
    </row>
    <row r="480">
      <c r="A480" s="4">
        <f>IFERROR(__xludf.DUMMYFUNCTION("""COMPUTED_VALUE"""),45947.06084644676)</f>
        <v>45947.06085</v>
      </c>
      <c r="B480" s="3" t="str">
        <f>IFERROR(__xludf.DUMMYFUNCTION("""COMPUTED_VALUE"""),"MRNBR0079")</f>
        <v>MRNBR0079</v>
      </c>
      <c r="C480" s="3" t="str">
        <f>IFERROR(__xludf.DUMMYFUNCTION("""COMPUTED_VALUE"""),"EJO")</f>
        <v>EJO</v>
      </c>
      <c r="D480" s="3" t="str">
        <f>IFERROR(__xludf.DUMMYFUNCTION("""COMPUTED_VALUE"""),"EJO/2025/08/205")</f>
        <v>EJO/2025/08/205</v>
      </c>
      <c r="E480" s="3" t="str">
        <f>IFERROR(__xludf.DUMMYFUNCTION("""COMPUTED_VALUE"""),"Lampu di IPC")</f>
        <v>Lampu di IPC</v>
      </c>
      <c r="F480" s="3" t="str">
        <f>IFERROR(__xludf.DUMMYFUNCTION("""COMPUTED_VALUE"""),"BOX lampu")</f>
        <v>BOX lampu</v>
      </c>
      <c r="G480" s="3" t="str">
        <f>IFERROR(__xludf.DUMMYFUNCTION("""COMPUTED_VALUE"""),"RMO CPOB ASETA BUKA ATAS")</f>
        <v>RMO CPOB ASETA BUKA ATAS</v>
      </c>
      <c r="H480" s="3" t="str">
        <f>IFERROR(__xludf.DUMMYFUNCTION("""COMPUTED_VALUE"""),"Artolite")</f>
        <v>Artolite</v>
      </c>
      <c r="I480" s="3">
        <f>IFERROR(__xludf.DUMMYFUNCTION("""COMPUTED_VALUE"""),2.0)</f>
        <v>2</v>
      </c>
      <c r="J480" s="3" t="str">
        <f>IFERROR(__xludf.DUMMYFUNCTION("""COMPUTED_VALUE"""),"pcs")</f>
        <v>pcs</v>
      </c>
      <c r="K480" s="5" t="str">
        <f>IFERROR(__xludf.DUMMYFUNCTION("""COMPUTED_VALUE"""),"https://artolite.co.id/portfolio/rmo-cpob-aseta-buka-atas/")</f>
        <v>https://artolite.co.id/portfolio/rmo-cpob-aseta-buka-atas/</v>
      </c>
      <c r="L480" s="3" t="str">
        <f>IFERROR(__xludf.DUMMYFUNCTION("""COMPUTED_VALUE"""),"Lampu karat di IPC (REJECT BY MFH, DIGANTI KE BQ MRNBR0086)")</f>
        <v>Lampu karat di IPC (REJECT BY MFH, DIGANTI KE BQ MRNBR0086)</v>
      </c>
      <c r="M480" s="3" t="str">
        <f>IFERROR(__xludf.DUMMYFUNCTION("""COMPUTED_VALUE"""),"Reject")</f>
        <v>Reject</v>
      </c>
      <c r="N480" s="3" t="str">
        <f>IFERROR(__xludf.DUMMYFUNCTION("""COMPUTED_VALUE"""),"Normal")</f>
        <v>Normal</v>
      </c>
      <c r="O480" s="3" t="str">
        <f>IFERROR(__xludf.DUMMYFUNCTION("""COMPUTED_VALUE"""),"Non Urgent")</f>
        <v>Non Urgent</v>
      </c>
    </row>
    <row r="481">
      <c r="A481" s="4">
        <f>IFERROR(__xludf.DUMMYFUNCTION("""COMPUTED_VALUE"""),45947.24364872685)</f>
        <v>45947.24365</v>
      </c>
      <c r="B481" s="3" t="str">
        <f>IFERROR(__xludf.DUMMYFUNCTION("""COMPUTED_VALUE"""),"MRNBR0080")</f>
        <v>MRNBR0080</v>
      </c>
      <c r="C481" s="3" t="str">
        <f>IFERROR(__xludf.DUMMYFUNCTION("""COMPUTED_VALUE"""),"EJO")</f>
        <v>EJO</v>
      </c>
      <c r="D481" s="3" t="str">
        <f>IFERROR(__xludf.DUMMYFUNCTION("""COMPUTED_VALUE"""),"EJO/2025/08/165")</f>
        <v>EJO/2025/08/165</v>
      </c>
      <c r="E481" s="3" t="str">
        <f>IFERROR(__xludf.DUMMYFUNCTION("""COMPUTED_VALUE"""),"AHU")</f>
        <v>AHU</v>
      </c>
      <c r="F481" s="3" t="str">
        <f>IFERROR(__xludf.DUMMYFUNCTION("""COMPUTED_VALUE"""),"Cat semprot")</f>
        <v>Cat semprot</v>
      </c>
      <c r="G481" s="3" t="str">
        <f>IFERROR(__xludf.DUMMYFUNCTION("""COMPUTED_VALUE"""),"metalic black 1139")</f>
        <v>metalic black 1139</v>
      </c>
      <c r="H481" s="3" t="str">
        <f>IFERROR(__xludf.DUMMYFUNCTION("""COMPUTED_VALUE"""),"Samurai")</f>
        <v>Samurai</v>
      </c>
      <c r="I481" s="3">
        <f>IFERROR(__xludf.DUMMYFUNCTION("""COMPUTED_VALUE"""),10.0)</f>
        <v>10</v>
      </c>
      <c r="J481" s="3" t="str">
        <f>IFERROR(__xludf.DUMMYFUNCTION("""COMPUTED_VALUE"""),"pcs")</f>
        <v>pcs</v>
      </c>
      <c r="K481" s="5" t="str">
        <f>IFERROR(__xludf.DUMMYFUNCTION("""COMPUTED_VALUE"""),"https://www.tokopedia.com/samuraipaintofficial/samurai-paint-metallic-black-1139-metallic-hitam?extParam=ivf%3Dfalse%26keyword%3Dsamurai+black+metallic%26search_id%3D2025101622511537BC2F75BF1BCF222GWB%26src%3Dsearch%26whid%3D10682866")</f>
        <v>https://www.tokopedia.com/samuraipaintofficial/samurai-paint-metallic-black-1139-metallic-hitam?extParam=ivf%3Dfalse%26keyword%3Dsamurai+black+metallic%26search_id%3D2025101622511537BC2F75BF1BCF222GWB%26src%3Dsearch%26whid%3D10682866</v>
      </c>
      <c r="L481" s="3" t="str">
        <f>IFERROR(__xludf.DUMMYFUNCTION("""COMPUTED_VALUE"""),"Untuk AHu berkarat")</f>
        <v>Untuk AHu berkarat</v>
      </c>
      <c r="M481" s="3" t="str">
        <f>IFERROR(__xludf.DUMMYFUNCTION("""COMPUTED_VALUE"""),"Approve")</f>
        <v>Approve</v>
      </c>
      <c r="N481" s="3" t="str">
        <f>IFERROR(__xludf.DUMMYFUNCTION("""COMPUTED_VALUE"""),"Normal")</f>
        <v>Normal</v>
      </c>
      <c r="O481" s="3" t="str">
        <f>IFERROR(__xludf.DUMMYFUNCTION("""COMPUTED_VALUE"""),"Non Urgent")</f>
        <v>Non Urgent</v>
      </c>
    </row>
    <row r="482">
      <c r="A482" s="4">
        <f>IFERROR(__xludf.DUMMYFUNCTION("""COMPUTED_VALUE"""),45947.24492538194)</f>
        <v>45947.24493</v>
      </c>
      <c r="B482" s="3" t="str">
        <f>IFERROR(__xludf.DUMMYFUNCTION("""COMPUTED_VALUE"""),"MRNBR0081")</f>
        <v>MRNBR0081</v>
      </c>
      <c r="C482" s="3" t="str">
        <f>IFERROR(__xludf.DUMMYFUNCTION("""COMPUTED_VALUE"""),"EJO")</f>
        <v>EJO</v>
      </c>
      <c r="D482" s="3" t="str">
        <f>IFERROR(__xludf.DUMMYFUNCTION("""COMPUTED_VALUE"""),"EJO/2025/08/165")</f>
        <v>EJO/2025/08/165</v>
      </c>
      <c r="E482" s="3" t="str">
        <f>IFERROR(__xludf.DUMMYFUNCTION("""COMPUTED_VALUE"""),"AHU")</f>
        <v>AHU</v>
      </c>
      <c r="F482" s="3" t="str">
        <f>IFERROR(__xludf.DUMMYFUNCTION("""COMPUTED_VALUE"""),"Cat semprot")</f>
        <v>Cat semprot</v>
      </c>
      <c r="G482" s="3" t="str">
        <f>IFERROR(__xludf.DUMMYFUNCTION("""COMPUTED_VALUE"""),"Premium Green Relax V9488")</f>
        <v>Premium Green Relax V9488</v>
      </c>
      <c r="H482" s="3" t="str">
        <f>IFERROR(__xludf.DUMMYFUNCTION("""COMPUTED_VALUE"""),"Diton")</f>
        <v>Diton</v>
      </c>
      <c r="I482" s="3">
        <f>IFERROR(__xludf.DUMMYFUNCTION("""COMPUTED_VALUE"""),10.0)</f>
        <v>10</v>
      </c>
      <c r="J482" s="3" t="str">
        <f>IFERROR(__xludf.DUMMYFUNCTION("""COMPUTED_VALUE"""),"pcs")</f>
        <v>pcs</v>
      </c>
      <c r="K482" s="5" t="str">
        <f>IFERROR(__xludf.DUMMYFUNCTION("""COMPUTED_VALUE"""),"https://www.tokopedia.com/suryamakmurmotor/pilok-pilox-diton-premium-vespa-green-relax-v9488-hijau-cat-semprot?extParam=ivf%3Dfalse%26keyword%3Dcat+hijau+telur+asin%26search_id%3D20251016230446577BCC914F9E5513E4T1%26src%3Dsearch")</f>
        <v>https://www.tokopedia.com/suryamakmurmotor/pilok-pilox-diton-premium-vespa-green-relax-v9488-hijau-cat-semprot?extParam=ivf%3Dfalse%26keyword%3Dcat+hijau+telur+asin%26search_id%3D20251016230446577BCC914F9E5513E4T1%26src%3Dsearch</v>
      </c>
      <c r="L482" s="3" t="str">
        <f>IFERROR(__xludf.DUMMYFUNCTION("""COMPUTED_VALUE"""),"Untuk AHu berkarat")</f>
        <v>Untuk AHu berkarat</v>
      </c>
      <c r="M482" s="3" t="str">
        <f>IFERROR(__xludf.DUMMYFUNCTION("""COMPUTED_VALUE"""),"Approve")</f>
        <v>Approve</v>
      </c>
      <c r="N482" s="3" t="str">
        <f>IFERROR(__xludf.DUMMYFUNCTION("""COMPUTED_VALUE"""),"Normal")</f>
        <v>Normal</v>
      </c>
      <c r="O482" s="3" t="str">
        <f>IFERROR(__xludf.DUMMYFUNCTION("""COMPUTED_VALUE"""),"Non Urgent")</f>
        <v>Non Urgent</v>
      </c>
    </row>
    <row r="483">
      <c r="A483" s="4">
        <f>IFERROR(__xludf.DUMMYFUNCTION("""COMPUTED_VALUE"""),45947.25592511574)</f>
        <v>45947.25593</v>
      </c>
      <c r="B483" s="3" t="str">
        <f>IFERROR(__xludf.DUMMYFUNCTION("""COMPUTED_VALUE"""),"MRNBR0082")</f>
        <v>MRNBR0082</v>
      </c>
      <c r="C483" s="3" t="str">
        <f>IFERROR(__xludf.DUMMYFUNCTION("""COMPUTED_VALUE"""),"EJO")</f>
        <v>EJO</v>
      </c>
      <c r="D483" s="3" t="str">
        <f>IFERROR(__xludf.DUMMYFUNCTION("""COMPUTED_VALUE"""),"EJO/2025/08/165")</f>
        <v>EJO/2025/08/165</v>
      </c>
      <c r="E483" s="3" t="str">
        <f>IFERROR(__xludf.DUMMYFUNCTION("""COMPUTED_VALUE"""),"AHU")</f>
        <v>AHU</v>
      </c>
      <c r="F483" s="3" t="str">
        <f>IFERROR(__xludf.DUMMYFUNCTION("""COMPUTED_VALUE"""),"sikat kawat")</f>
        <v>sikat kawat</v>
      </c>
      <c r="G483" s="3" t="str">
        <f>IFERROR(__xludf.DUMMYFUNCTION("""COMPUTED_VALUE"""),"Mata Bor Brush Sikat Mangkok")</f>
        <v>Mata Bor Brush Sikat Mangkok</v>
      </c>
      <c r="H483" s="3" t="str">
        <f>IFERROR(__xludf.DUMMYFUNCTION("""COMPUTED_VALUE"""),"JLD")</f>
        <v>JLD</v>
      </c>
      <c r="I483" s="3">
        <f>IFERROR(__xludf.DUMMYFUNCTION("""COMPUTED_VALUE"""),1.0)</f>
        <v>1</v>
      </c>
      <c r="J483" s="3" t="str">
        <f>IFERROR(__xludf.DUMMYFUNCTION("""COMPUTED_VALUE"""),"pack")</f>
        <v>pack</v>
      </c>
      <c r="K483" s="5" t="str">
        <f>IFERROR(__xludf.DUMMYFUNCTION("""COMPUTED_VALUE"""),"https://www.tokopedia.com/jld-tool-shop/jld-wire-brush-set-5pcs-sikat-endbrush-mata-bor-brush-sikat-mangkok-gepeng-3pc-wire-brush-sikat-tangkai-bor-sikat-kawat-baja-bulu-kuningan-end-brush-crimped-wire-shank-bor-pembesih-karat-besi-1729969355487283479?ext"&amp;"Param=ivf%3Dfalse%26keyword%3Dbrush+borr%26search_id%3D2025101623081634ED066DF378EF206JX1%26src%3Dsearch&amp;t_id=1760656099990&amp;t_st=1&amp;t_pp=search_result&amp;t_efo=search_pure_goods_card&amp;t_ef=goods_search&amp;t_sm=&amp;t_spt=search_result")</f>
        <v>https://www.tokopedia.com/jld-tool-shop/jld-wire-brush-set-5pcs-sikat-endbrush-mata-bor-brush-sikat-mangkok-gepeng-3pc-wire-brush-sikat-tangkai-bor-sikat-kawat-baja-bulu-kuningan-end-brush-crimped-wire-shank-bor-pembesih-karat-besi-1729969355487283479?extParam=ivf%3Dfalse%26keyword%3Dbrush+borr%26search_id%3D2025101623081634ED066DF378EF206JX1%26src%3Dsearch&amp;t_id=1760656099990&amp;t_st=1&amp;t_pp=search_result&amp;t_efo=search_pure_goods_card&amp;t_ef=goods_search&amp;t_sm=&amp;t_spt=search_result</v>
      </c>
      <c r="L483" s="3" t="str">
        <f>IFERROR(__xludf.DUMMYFUNCTION("""COMPUTED_VALUE"""),"Untuk AHu berkarat")</f>
        <v>Untuk AHu berkarat</v>
      </c>
      <c r="M483" s="3" t="str">
        <f>IFERROR(__xludf.DUMMYFUNCTION("""COMPUTED_VALUE"""),"Approve")</f>
        <v>Approve</v>
      </c>
      <c r="N483" s="3" t="str">
        <f>IFERROR(__xludf.DUMMYFUNCTION("""COMPUTED_VALUE"""),"Normal")</f>
        <v>Normal</v>
      </c>
      <c r="O483" s="3" t="str">
        <f>IFERROR(__xludf.DUMMYFUNCTION("""COMPUTED_VALUE"""),"Non Urgent")</f>
        <v>Non Urgent</v>
      </c>
    </row>
    <row r="484">
      <c r="A484" s="4">
        <f>IFERROR(__xludf.DUMMYFUNCTION("""COMPUTED_VALUE"""),45947.25845518518)</f>
        <v>45947.25846</v>
      </c>
      <c r="B484" s="3" t="str">
        <f>IFERROR(__xludf.DUMMYFUNCTION("""COMPUTED_VALUE"""),"MRNBR0083")</f>
        <v>MRNBR0083</v>
      </c>
      <c r="C484" s="3" t="str">
        <f>IFERROR(__xludf.DUMMYFUNCTION("""COMPUTED_VALUE"""),"EJO")</f>
        <v>EJO</v>
      </c>
      <c r="D484" s="3" t="str">
        <f>IFERROR(__xludf.DUMMYFUNCTION("""COMPUTED_VALUE"""),"EJO/2025/08/165")</f>
        <v>EJO/2025/08/165</v>
      </c>
      <c r="E484" s="3" t="str">
        <f>IFERROR(__xludf.DUMMYFUNCTION("""COMPUTED_VALUE"""),"AHU")</f>
        <v>AHU</v>
      </c>
      <c r="F484" s="3" t="str">
        <f>IFERROR(__xludf.DUMMYFUNCTION("""COMPUTED_VALUE"""),"Heat gun")</f>
        <v>Heat gun</v>
      </c>
      <c r="G484" s="3" t="str">
        <f>IFERROR(__xludf.DUMMYFUNCTION("""COMPUTED_VALUE"""),"Bosch Cordless Hot Gun Pemanas Baterai 18V 500C GHG 18V-50 Set Baterai Procore 8 AH")</f>
        <v>Bosch Cordless Hot Gun Pemanas Baterai 18V 500C GHG 18V-50 Set Baterai Procore 8 AH</v>
      </c>
      <c r="H484" s="3" t="str">
        <f>IFERROR(__xludf.DUMMYFUNCTION("""COMPUTED_VALUE"""),"Bosch")</f>
        <v>Bosch</v>
      </c>
      <c r="I484" s="3">
        <f>IFERROR(__xludf.DUMMYFUNCTION("""COMPUTED_VALUE"""),1.0)</f>
        <v>1</v>
      </c>
      <c r="J484" s="3" t="str">
        <f>IFERROR(__xludf.DUMMYFUNCTION("""COMPUTED_VALUE"""),"pcs")</f>
        <v>pcs</v>
      </c>
      <c r="K484" s="5" t="str">
        <f>IFERROR(__xludf.DUMMYFUNCTION("""COMPUTED_VALUE"""),"https://www.tokopedia.com/bosch-tools-authorized-bts/bosch-cordless-hot-gun-pemanas-baterai-18v-500c-ghg-18v-50-set-baterai-procore-8-ah-1730846796853249703?extParam=ivf%3Dfalse%26keyword%3Dheat+gun+cordless+bosch%26search_id%3D20251016231134432ACA3A1E345"&amp;"E129MP6%26src%3Dsearch&amp;t_id=1760656099990&amp;t_st=4&amp;t_pp=search_result&amp;t_efo=search_pure_goods_card&amp;t_ef=goods_search&amp;t_sm=&amp;t_spt=search_result")</f>
        <v>https://www.tokopedia.com/bosch-tools-authorized-bts/bosch-cordless-hot-gun-pemanas-baterai-18v-500c-ghg-18v-50-set-baterai-procore-8-ah-1730846796853249703?extParam=ivf%3Dfalse%26keyword%3Dheat+gun+cordless+bosch%26search_id%3D20251016231134432ACA3A1E345E129MP6%26src%3Dsearch&amp;t_id=1760656099990&amp;t_st=4&amp;t_pp=search_result&amp;t_efo=search_pure_goods_card&amp;t_ef=goods_search&amp;t_sm=&amp;t_spt=search_result</v>
      </c>
      <c r="L484" s="3" t="str">
        <f>IFERROR(__xludf.DUMMYFUNCTION("""COMPUTED_VALUE"""),"Untuk AHu berkarat dan solasi bakar")</f>
        <v>Untuk AHu berkarat dan solasi bakar</v>
      </c>
      <c r="M484" s="3" t="str">
        <f>IFERROR(__xludf.DUMMYFUNCTION("""COMPUTED_VALUE"""),"Approve")</f>
        <v>Approve</v>
      </c>
      <c r="N484" s="3" t="str">
        <f>IFERROR(__xludf.DUMMYFUNCTION("""COMPUTED_VALUE"""),"Normal")</f>
        <v>Normal</v>
      </c>
      <c r="O484" s="3" t="str">
        <f>IFERROR(__xludf.DUMMYFUNCTION("""COMPUTED_VALUE"""),"Non Urgent")</f>
        <v>Non Urgent</v>
      </c>
    </row>
    <row r="485">
      <c r="A485" s="4">
        <f>IFERROR(__xludf.DUMMYFUNCTION("""COMPUTED_VALUE"""),45947.992890486115)</f>
        <v>45947.99289</v>
      </c>
      <c r="B485" s="3" t="str">
        <f>IFERROR(__xludf.DUMMYFUNCTION("""COMPUTED_VALUE"""),"INNBR0044")</f>
        <v>INNBR0044</v>
      </c>
      <c r="C485" s="3" t="str">
        <f>IFERROR(__xludf.DUMMYFUNCTION("""COMPUTED_VALUE"""),"Critical Part")</f>
        <v>Critical Part</v>
      </c>
      <c r="D485" s="3" t="str">
        <f>IFERROR(__xludf.DUMMYFUNCTION("""COMPUTED_VALUE"""),"Na")</f>
        <v>Na</v>
      </c>
      <c r="E485" s="3" t="str">
        <f>IFERROR(__xludf.DUMMYFUNCTION("""COMPUTED_VALUE"""),"VideoJet")</f>
        <v>VideoJet</v>
      </c>
      <c r="F485" s="3" t="str">
        <f>IFERROR(__xludf.DUMMYFUNCTION("""COMPUTED_VALUE"""),"Gutter Pump P/N: 399-171")</f>
        <v>Gutter Pump P/N: 399-171</v>
      </c>
      <c r="G485" s="3" t="str">
        <f>IFERROR(__xludf.DUMMYFUNCTION("""COMPUTED_VALUE"""),"Sesuai Penawaran")</f>
        <v>Sesuai Penawaran</v>
      </c>
      <c r="H485" s="3" t="str">
        <f>IFERROR(__xludf.DUMMYFUNCTION("""COMPUTED_VALUE"""),"Markindo")</f>
        <v>Markindo</v>
      </c>
      <c r="I485" s="3">
        <f>IFERROR(__xludf.DUMMYFUNCTION("""COMPUTED_VALUE"""),1.0)</f>
        <v>1</v>
      </c>
      <c r="J485" s="3" t="str">
        <f>IFERROR(__xludf.DUMMYFUNCTION("""COMPUTED_VALUE"""),"Unit")</f>
        <v>Unit</v>
      </c>
      <c r="K485" s="5" t="str">
        <f>IFERROR(__xludf.DUMMYFUNCTION("""COMPUTED_VALUE"""),"https://drive.google.com/file/d/1lXN9j-NaVNMNhl8I8tzQ6cQ8wbui2LhZ/view?usp=drive_link")</f>
        <v>https://drive.google.com/file/d/1lXN9j-NaVNMNhl8I8tzQ6cQ8wbui2LhZ/view?usp=drive_link</v>
      </c>
      <c r="L485" s="3" t="str">
        <f>IFERROR(__xludf.DUMMYFUNCTION("""COMPUTED_VALUE"""),"Untuk VideoJet Packhall")</f>
        <v>Untuk VideoJet Packhall</v>
      </c>
      <c r="M485" s="3" t="str">
        <f>IFERROR(__xludf.DUMMYFUNCTION("""COMPUTED_VALUE"""),"Approve")</f>
        <v>Approve</v>
      </c>
      <c r="N485" s="3" t="str">
        <f>IFERROR(__xludf.DUMMYFUNCTION("""COMPUTED_VALUE"""),"Normal")</f>
        <v>Normal</v>
      </c>
      <c r="O485" s="3" t="str">
        <f>IFERROR(__xludf.DUMMYFUNCTION("""COMPUTED_VALUE"""),"Non Urgent")</f>
        <v>Non Urgent</v>
      </c>
    </row>
    <row r="486">
      <c r="A486" s="4">
        <f>IFERROR(__xludf.DUMMYFUNCTION("""COMPUTED_VALUE"""),45950.68093871528)</f>
        <v>45950.68094</v>
      </c>
      <c r="B486" s="3" t="str">
        <f>IFERROR(__xludf.DUMMYFUNCTION("""COMPUTED_VALUE"""),"ANOBR0039")</f>
        <v>ANOBR0039</v>
      </c>
      <c r="C486" s="3" t="str">
        <f>IFERROR(__xludf.DUMMYFUNCTION("""COMPUTED_VALUE"""),"EJO")</f>
        <v>EJO</v>
      </c>
      <c r="D486" s="3" t="str">
        <f>IFERROR(__xludf.DUMMYFUNCTION("""COMPUTED_VALUE"""),"EJO/2025/10/61")</f>
        <v>EJO/2025/10/61</v>
      </c>
      <c r="E486" s="3" t="str">
        <f>IFERROR(__xludf.DUMMYFUNCTION("""COMPUTED_VALUE"""),"Dispensing isolator OSD")</f>
        <v>Dispensing isolator OSD</v>
      </c>
      <c r="F486" s="3" t="str">
        <f>IFERROR(__xludf.DUMMYFUNCTION("""COMPUTED_VALUE"""),"Cover sensor RH")</f>
        <v>Cover sensor RH</v>
      </c>
      <c r="G486" s="3" t="str">
        <f>IFERROR(__xludf.DUMMYFUNCTION("""COMPUTED_VALUE"""),"Spesifikasi drawing sudah tertera di penawaran")</f>
        <v>Spesifikasi drawing sudah tertera di penawaran</v>
      </c>
      <c r="H486" s="3" t="str">
        <f>IFERROR(__xludf.DUMMYFUNCTION("""COMPUTED_VALUE"""),"-")</f>
        <v>-</v>
      </c>
      <c r="I486" s="3">
        <f>IFERROR(__xludf.DUMMYFUNCTION("""COMPUTED_VALUE"""),1.0)</f>
        <v>1</v>
      </c>
      <c r="J486" s="3" t="str">
        <f>IFERROR(__xludf.DUMMYFUNCTION("""COMPUTED_VALUE"""),"PCS")</f>
        <v>PCS</v>
      </c>
      <c r="K486" s="5" t="str">
        <f>IFERROR(__xludf.DUMMYFUNCTION("""COMPUTED_VALUE"""),"https://drive.google.com/drive/folders/13e3ZZfcph5xMZnHVYig3bFbAg8xg3yWb?usp=drive_link")</f>
        <v>https://drive.google.com/drive/folders/13e3ZZfcph5xMZnHVYig3bFbAg8xg3yWb?usp=drive_link</v>
      </c>
      <c r="L486" s="3" t="str">
        <f>IFERROR(__xludf.DUMMYFUNCTION("""COMPUTED_VALUE"""),"untuk keperluan mengcover sensor RH di isolator dispensing OSD")</f>
        <v>untuk keperluan mengcover sensor RH di isolator dispensing OSD</v>
      </c>
      <c r="M486" s="3" t="str">
        <f>IFERROR(__xludf.DUMMYFUNCTION("""COMPUTED_VALUE"""),"Approve")</f>
        <v>Approve</v>
      </c>
      <c r="N486" s="3" t="str">
        <f>IFERROR(__xludf.DUMMYFUNCTION("""COMPUTED_VALUE"""),"Normal")</f>
        <v>Normal</v>
      </c>
      <c r="O486" s="3" t="str">
        <f>IFERROR(__xludf.DUMMYFUNCTION("""COMPUTED_VALUE"""),"Non Urgent")</f>
        <v>Non Urgent</v>
      </c>
    </row>
    <row r="487">
      <c r="A487" s="4">
        <f>IFERROR(__xludf.DUMMYFUNCTION("""COMPUTED_VALUE"""),45950.68634384259)</f>
        <v>45950.68634</v>
      </c>
      <c r="B487" s="3" t="str">
        <f>IFERROR(__xludf.DUMMYFUNCTION("""COMPUTED_VALUE"""),"MRNBR0084")</f>
        <v>MRNBR0084</v>
      </c>
      <c r="C487" s="3" t="str">
        <f>IFERROR(__xludf.DUMMYFUNCTION("""COMPUTED_VALUE"""),"EJO")</f>
        <v>EJO</v>
      </c>
      <c r="D487" s="3" t="str">
        <f>IFERROR(__xludf.DUMMYFUNCTION("""COMPUTED_VALUE"""),"EJO/2025/10/100")</f>
        <v>EJO/2025/10/100</v>
      </c>
      <c r="E487" s="3" t="str">
        <f>IFERROR(__xludf.DUMMYFUNCTION("""COMPUTED_VALUE"""),"ASRS ROOM")</f>
        <v>ASRS ROOM</v>
      </c>
      <c r="F487" s="3" t="str">
        <f>IFERROR(__xludf.DUMMYFUNCTION("""COMPUTED_VALUE"""),"Visco ultra light")</f>
        <v>Visco ultra light</v>
      </c>
      <c r="G487" s="3" t="str">
        <f>IFERROR(__xludf.DUMMYFUNCTION("""COMPUTED_VALUE"""),"Visco Ultra Light 150 W")</f>
        <v>Visco Ultra Light 150 W</v>
      </c>
      <c r="H487" s="3" t="str">
        <f>IFERROR(__xludf.DUMMYFUNCTION("""COMPUTED_VALUE"""),"Visco")</f>
        <v>Visco</v>
      </c>
      <c r="I487" s="3">
        <f>IFERROR(__xludf.DUMMYFUNCTION("""COMPUTED_VALUE"""),2.0)</f>
        <v>2</v>
      </c>
      <c r="J487" s="3" t="str">
        <f>IFERROR(__xludf.DUMMYFUNCTION("""COMPUTED_VALUE"""),"pcs")</f>
        <v>pcs</v>
      </c>
      <c r="K487" s="5" t="str">
        <f>IFERROR(__xludf.DUMMYFUNCTION("""COMPUTED_VALUE"""),"https://share.google/images/tZ3CJWJOBzJ2ZnEGB")</f>
        <v>https://share.google/images/tZ3CJWJOBzJ2ZnEGB</v>
      </c>
      <c r="L487" s="3" t="str">
        <f>IFERROR(__xludf.DUMMYFUNCTION("""COMPUTED_VALUE"""),"Lampu Ruangan ASRS mati 2 pcs (REJECT BY MFH KESULITAN SUPPLY)")</f>
        <v>Lampu Ruangan ASRS mati 2 pcs (REJECT BY MFH KESULITAN SUPPLY)</v>
      </c>
      <c r="M487" s="3" t="str">
        <f>IFERROR(__xludf.DUMMYFUNCTION("""COMPUTED_VALUE"""),"Reject")</f>
        <v>Reject</v>
      </c>
      <c r="N487" s="3" t="str">
        <f>IFERROR(__xludf.DUMMYFUNCTION("""COMPUTED_VALUE"""),"Normal")</f>
        <v>Normal</v>
      </c>
      <c r="O487" s="3" t="str">
        <f>IFERROR(__xludf.DUMMYFUNCTION("""COMPUTED_VALUE"""),"Non Urgent")</f>
        <v>Non Urgent</v>
      </c>
    </row>
    <row r="488">
      <c r="A488" s="4">
        <f>IFERROR(__xludf.DUMMYFUNCTION("""COMPUTED_VALUE"""),45952.46376449075)</f>
        <v>45952.46376</v>
      </c>
      <c r="B488" s="3" t="str">
        <f>IFERROR(__xludf.DUMMYFUNCTION("""COMPUTED_VALUE"""),"MRNBR0085")</f>
        <v>MRNBR0085</v>
      </c>
      <c r="C488" s="3" t="str">
        <f>IFERROR(__xludf.DUMMYFUNCTION("""COMPUTED_VALUE"""),"EJO")</f>
        <v>EJO</v>
      </c>
      <c r="D488" s="3" t="str">
        <f>IFERROR(__xludf.DUMMYFUNCTION("""COMPUTED_VALUE"""),"EJO/2025/10/159")</f>
        <v>EJO/2025/10/159</v>
      </c>
      <c r="E488" s="3" t="str">
        <f>IFERROR(__xludf.DUMMYFUNCTION("""COMPUTED_VALUE"""),"WWTP")</f>
        <v>WWTP</v>
      </c>
      <c r="F488" s="3" t="str">
        <f>IFERROR(__xludf.DUMMYFUNCTION("""COMPUTED_VALUE"""),"Atap spandek")</f>
        <v>Atap spandek</v>
      </c>
      <c r="G488" s="3" t="str">
        <f>IFERROR(__xludf.DUMMYFUNCTION("""COMPUTED_VALUE"""),"5 meter x 1 meter")</f>
        <v>5 meter x 1 meter</v>
      </c>
      <c r="H488" s="3" t="str">
        <f>IFERROR(__xludf.DUMMYFUNCTION("""COMPUTED_VALUE"""),"NA")</f>
        <v>NA</v>
      </c>
      <c r="I488" s="3">
        <f>IFERROR(__xludf.DUMMYFUNCTION("""COMPUTED_VALUE"""),2.0)</f>
        <v>2</v>
      </c>
      <c r="J488" s="3" t="str">
        <f>IFERROR(__xludf.DUMMYFUNCTION("""COMPUTED_VALUE"""),"pcs")</f>
        <v>pcs</v>
      </c>
      <c r="K488" s="5" t="str">
        <f>IFERROR(__xludf.DUMMYFUNCTION("""COMPUTED_VALUE"""),"https://www.tokopedia.com/nusantara-pratama-konstruksi/atap-spandek-galvalum-zincalume-lengkung-melengkung-bending-lebar-1m-lapis-pasir-1731401257863644747?aff_unique_id=&amp;channel=others&amp;chain_key=")</f>
        <v>https://www.tokopedia.com/nusantara-pratama-konstruksi/atap-spandek-galvalum-zincalume-lengkung-melengkung-bending-lebar-1m-lapis-pasir-1731401257863644747?aff_unique_id=&amp;channel=others&amp;chain_key=</v>
      </c>
      <c r="L488" s="3" t="str">
        <f>IFERROR(__xludf.DUMMYFUNCTION("""COMPUTED_VALUE"""),"Atap bolong wwtp")</f>
        <v>Atap bolong wwtp</v>
      </c>
      <c r="M488" s="3" t="str">
        <f>IFERROR(__xludf.DUMMYFUNCTION("""COMPUTED_VALUE"""),"Reject")</f>
        <v>Reject</v>
      </c>
      <c r="N488" s="3" t="str">
        <f>IFERROR(__xludf.DUMMYFUNCTION("""COMPUTED_VALUE"""),"Normal")</f>
        <v>Normal</v>
      </c>
      <c r="O488" s="3" t="str">
        <f>IFERROR(__xludf.DUMMYFUNCTION("""COMPUTED_VALUE"""),"Non Urgent")</f>
        <v>Non Urgent</v>
      </c>
    </row>
    <row r="489">
      <c r="A489" s="4">
        <f>IFERROR(__xludf.DUMMYFUNCTION("""COMPUTED_VALUE"""),45952.64881773148)</f>
        <v>45952.64882</v>
      </c>
      <c r="B489" s="3" t="str">
        <f>IFERROR(__xludf.DUMMYFUNCTION("""COMPUTED_VALUE"""),"ROSBR0043")</f>
        <v>ROSBR0043</v>
      </c>
      <c r="C489" s="3" t="str">
        <f>IFERROR(__xludf.DUMMYFUNCTION("""COMPUTED_VALUE"""),"EJO")</f>
        <v>EJO</v>
      </c>
      <c r="D489" s="3" t="str">
        <f>IFERROR(__xludf.DUMMYFUNCTION("""COMPUTED_VALUE"""),"EJO/2025/10/37")</f>
        <v>EJO/2025/10/37</v>
      </c>
      <c r="E489" s="3" t="str">
        <f>IFERROR(__xludf.DUMMYFUNCTION("""COMPUTED_VALUE"""),"cover kabel timbangan isolator sampling ")</f>
        <v>cover kabel timbangan isolator sampling </v>
      </c>
      <c r="F489" s="3" t="str">
        <f>IFERROR(__xludf.DUMMYFUNCTION("""COMPUTED_VALUE"""),"Cover kabel timbangan ")</f>
        <v>Cover kabel timbangan </v>
      </c>
      <c r="G489" s="3" t="str">
        <f>IFERROR(__xludf.DUMMYFUNCTION("""COMPUTED_VALUE"""),"Machining Plate Mat'l SUS 304
Proses Laser Cutting
Profil Bending Tray
Assembling Welding
Finishing")</f>
        <v>Machining Plate Mat'l SUS 304
Proses Laser Cutting
Profil Bending Tray
Assembling Welding
Finishing</v>
      </c>
      <c r="H489" s="3" t="str">
        <f>IFERROR(__xludf.DUMMYFUNCTION("""COMPUTED_VALUE"""),"Lokal ")</f>
        <v>Lokal </v>
      </c>
      <c r="I489" s="3">
        <f>IFERROR(__xludf.DUMMYFUNCTION("""COMPUTED_VALUE"""),1.0)</f>
        <v>1</v>
      </c>
      <c r="J489" s="3" t="str">
        <f>IFERROR(__xludf.DUMMYFUNCTION("""COMPUTED_VALUE"""),"set")</f>
        <v>set</v>
      </c>
      <c r="K489" s="5" t="str">
        <f>IFERROR(__xludf.DUMMYFUNCTION("""COMPUTED_VALUE"""),"https://drive.google.com/file/d/1ka3V2CAfW9ccfwA8qZN36iHCbkqQtCB9/view?usp=drive_link")</f>
        <v>https://drive.google.com/file/d/1ka3V2CAfW9ccfwA8qZN36iHCbkqQtCB9/view?usp=drive_link</v>
      </c>
      <c r="L489" s="3" t="str">
        <f>IFERROR(__xludf.DUMMYFUNCTION("""COMPUTED_VALUE"""),"-")</f>
        <v>-</v>
      </c>
      <c r="M489" s="3" t="str">
        <f>IFERROR(__xludf.DUMMYFUNCTION("""COMPUTED_VALUE"""),"Approve")</f>
        <v>Approve</v>
      </c>
      <c r="N489" s="3" t="str">
        <f>IFERROR(__xludf.DUMMYFUNCTION("""COMPUTED_VALUE"""),"Normal")</f>
        <v>Normal</v>
      </c>
      <c r="O489" s="3" t="str">
        <f>IFERROR(__xludf.DUMMYFUNCTION("""COMPUTED_VALUE"""),"Non Urgent")</f>
        <v>Non Urgent</v>
      </c>
    </row>
    <row r="490">
      <c r="A490" s="4">
        <f>IFERROR(__xludf.DUMMYFUNCTION("""COMPUTED_VALUE"""),45953.6555884838)</f>
        <v>45953.65559</v>
      </c>
      <c r="B490" s="3" t="str">
        <f>IFERROR(__xludf.DUMMYFUNCTION("""COMPUTED_VALUE"""),"ANOBR0040")</f>
        <v>ANOBR0040</v>
      </c>
      <c r="C490" s="3" t="str">
        <f>IFERROR(__xludf.DUMMYFUNCTION("""COMPUTED_VALUE"""),"EJO")</f>
        <v>EJO</v>
      </c>
      <c r="D490" s="3" t="str">
        <f>IFERROR(__xludf.DUMMYFUNCTION("""COMPUTED_VALUE"""),"EJO/2025/10/41")</f>
        <v>EJO/2025/10/41</v>
      </c>
      <c r="E490" s="3" t="str">
        <f>IFERROR(__xludf.DUMMYFUNCTION("""COMPUTED_VALUE"""),"Dispensing isolator Steril")</f>
        <v>Dispensing isolator Steril</v>
      </c>
      <c r="F490" s="3" t="str">
        <f>IFERROR(__xludf.DUMMYFUNCTION("""COMPUTED_VALUE"""),"baut pengunci pintu ")</f>
        <v>baut pengunci pintu </v>
      </c>
      <c r="G490" s="3" t="str">
        <f>IFERROR(__xludf.DUMMYFUNCTION("""COMPUTED_VALUE"""),"M6x10mm stailess 304")</f>
        <v>M6x10mm stailess 304</v>
      </c>
      <c r="H490" s="3" t="str">
        <f>IFERROR(__xludf.DUMMYFUNCTION("""COMPUTED_VALUE"""),"-")</f>
        <v>-</v>
      </c>
      <c r="I490" s="3">
        <f>IFERROR(__xludf.DUMMYFUNCTION("""COMPUTED_VALUE"""),1.0)</f>
        <v>1</v>
      </c>
      <c r="J490" s="3" t="str">
        <f>IFERROR(__xludf.DUMMYFUNCTION("""COMPUTED_VALUE"""),"box")</f>
        <v>box</v>
      </c>
      <c r="K490" s="5" t="str">
        <f>IFERROR(__xludf.DUMMYFUNCTION("""COMPUTED_VALUE"""),"https://shopee.co.id/product/291890345/13550838706?gads_t_sig=VTJGc2RHVmtYMTlxTFVSVVRrdENkWVp3RFo3Mkw5czd4Z0hzdEF1WVFibXlIZDIybHBoZTNaeElKbFpUNEp0MmtRUkNMWkhOY2pPS3lGbnhWeTNiSTdML3ZBVGpuTUFXTE4vYVBYdjN0Z29SY0I5cVFTSFpna1lIQTR2YVpRZFBqQU56dEZ0dStnZ1U0R0c4U"&amp;"XdRaEF3PT0&amp;gad_source=1&amp;gad_campaignid=22178753687&amp;gbraid=0AAAAADPpU81syoE8dRjMVcgEdipHEmkxe&amp;gclid=CjwKCAjwpOfHBhAxEiwAm1SwEgfAVvIQg1zmYwAFfNaXv2_TId8ydd7T5CpCqXqEkNOVhQshqUx7CxoCGHUQAvD_BwE")</f>
        <v>https://shopee.co.id/product/291890345/13550838706?gads_t_sig=VTJGc2RHVmtYMTlxTFVSVVRrdENkWVp3RFo3Mkw5czd4Z0hzdEF1WVFibXlIZDIybHBoZTNaeElKbFpUNEp0MmtRUkNMWkhOY2pPS3lGbnhWeTNiSTdML3ZBVGpuTUFXTE4vYVBYdjN0Z29SY0I5cVFTSFpna1lIQTR2YVpRZFBqQU56dEZ0dStnZ1U0R0c4UXdRaEF3PT0&amp;gad_source=1&amp;gad_campaignid=22178753687&amp;gbraid=0AAAAADPpU81syoE8dRjMVcgEdipHEmkxe&amp;gclid=CjwKCAjwpOfHBhAxEiwAm1SwEgfAVvIQg1zmYwAFfNaXv2_TId8ydd7T5CpCqXqEkNOVhQshqUx7CxoCGHUQAvD_BwE</v>
      </c>
      <c r="L490" s="3" t="str">
        <f>IFERROR(__xludf.DUMMYFUNCTION("""COMPUTED_VALUE"""),"keperluan penggantian baut pengunci pintu islolator dispensing sterill")</f>
        <v>keperluan penggantian baut pengunci pintu islolator dispensing sterill</v>
      </c>
      <c r="M490" s="3" t="str">
        <f>IFERROR(__xludf.DUMMYFUNCTION("""COMPUTED_VALUE"""),"Approve")</f>
        <v>Approve</v>
      </c>
      <c r="N490" s="3" t="str">
        <f>IFERROR(__xludf.DUMMYFUNCTION("""COMPUTED_VALUE"""),"Normal")</f>
        <v>Normal</v>
      </c>
      <c r="O490" s="3" t="str">
        <f>IFERROR(__xludf.DUMMYFUNCTION("""COMPUTED_VALUE"""),"Non Urgent")</f>
        <v>Non Urgent</v>
      </c>
    </row>
    <row r="491">
      <c r="A491" s="4">
        <f>IFERROR(__xludf.DUMMYFUNCTION("""COMPUTED_VALUE"""),45955.437586354165)</f>
        <v>45955.43759</v>
      </c>
      <c r="B491" s="3" t="str">
        <f>IFERROR(__xludf.DUMMYFUNCTION("""COMPUTED_VALUE"""),"INNBR0045")</f>
        <v>INNBR0045</v>
      </c>
      <c r="C491" s="3" t="str">
        <f>IFERROR(__xludf.DUMMYFUNCTION("""COMPUTED_VALUE"""),"Critical Part")</f>
        <v>Critical Part</v>
      </c>
      <c r="D491" s="3" t="str">
        <f>IFERROR(__xludf.DUMMYFUNCTION("""COMPUTED_VALUE"""),"NA")</f>
        <v>NA</v>
      </c>
      <c r="E491" s="3" t="str">
        <f>IFERROR(__xludf.DUMMYFUNCTION("""COMPUTED_VALUE"""),"Autoclave Terminal")</f>
        <v>Autoclave Terminal</v>
      </c>
      <c r="F491" s="3" t="str">
        <f>IFERROR(__xludf.DUMMYFUNCTION("""COMPUTED_VALUE"""),"PC 1 set")</f>
        <v>PC 1 set</v>
      </c>
      <c r="G491" s="3" t="str">
        <f>IFERROR(__xludf.DUMMYFUNCTION("""COMPUTED_VALUE"""),"Sesuai Penawaran")</f>
        <v>Sesuai Penawaran</v>
      </c>
      <c r="H491" s="3" t="str">
        <f>IFERROR(__xludf.DUMMYFUNCTION("""COMPUTED_VALUE"""),"Saudagar Komputer")</f>
        <v>Saudagar Komputer</v>
      </c>
      <c r="I491" s="3">
        <f>IFERROR(__xludf.DUMMYFUNCTION("""COMPUTED_VALUE"""),1.0)</f>
        <v>1</v>
      </c>
      <c r="J491" s="3" t="str">
        <f>IFERROR(__xludf.DUMMYFUNCTION("""COMPUTED_VALUE"""),"Unit")</f>
        <v>Unit</v>
      </c>
      <c r="K491" s="5" t="str">
        <f>IFERROR(__xludf.DUMMYFUNCTION("""COMPUTED_VALUE"""),"https://drive.google.com/file/d/12pJ13sy6WnB8XNg3APqvDEBuoI9FpvL-/view?usp=drive_link")</f>
        <v>https://drive.google.com/file/d/12pJ13sy6WnB8XNg3APqvDEBuoI9FpvL-/view?usp=drive_link</v>
      </c>
      <c r="L491" s="3" t="str">
        <f>IFERROR(__xludf.DUMMYFUNCTION("""COMPUTED_VALUE"""),"Untuk tarik report")</f>
        <v>Untuk tarik report</v>
      </c>
      <c r="M491" s="3" t="str">
        <f>IFERROR(__xludf.DUMMYFUNCTION("""COMPUTED_VALUE"""),"Reject")</f>
        <v>Reject</v>
      </c>
      <c r="N491" s="3" t="str">
        <f>IFERROR(__xludf.DUMMYFUNCTION("""COMPUTED_VALUE"""),"Normal")</f>
        <v>Normal</v>
      </c>
      <c r="O491" s="3" t="str">
        <f>IFERROR(__xludf.DUMMYFUNCTION("""COMPUTED_VALUE"""),"Non Urgent")</f>
        <v>Non Urgent</v>
      </c>
    </row>
    <row r="492">
      <c r="A492" s="4">
        <f>IFERROR(__xludf.DUMMYFUNCTION("""COMPUTED_VALUE"""),45957.510968587965)</f>
        <v>45957.51097</v>
      </c>
      <c r="B492" s="3" t="str">
        <f>IFERROR(__xludf.DUMMYFUNCTION("""COMPUTED_VALUE"""),"MOBBR0047")</f>
        <v>MOBBR0047</v>
      </c>
      <c r="C492" s="3" t="str">
        <f>IFERROR(__xludf.DUMMYFUNCTION("""COMPUTED_VALUE"""),"Critical Part")</f>
        <v>Critical Part</v>
      </c>
      <c r="D492" s="3" t="str">
        <f>IFERROR(__xludf.DUMMYFUNCTION("""COMPUTED_VALUE"""),"Spare")</f>
        <v>Spare</v>
      </c>
      <c r="E492" s="3" t="str">
        <f>IFERROR(__xludf.DUMMYFUNCTION("""COMPUTED_VALUE"""),"PW SKID dan WFI SKID")</f>
        <v>PW SKID dan WFI SKID</v>
      </c>
      <c r="F492" s="3" t="str">
        <f>IFERROR(__xludf.DUMMYFUNCTION("""COMPUTED_VALUE"""),"Inverter Circulation Pump")</f>
        <v>Inverter Circulation Pump</v>
      </c>
      <c r="G492" s="3" t="str">
        <f>IFERROR(__xludf.DUMMYFUNCTION("""COMPUTED_VALUE"""),"VLT2980PT4B20STR0DBF00A21C1 (11KW 15HP)")</f>
        <v>VLT2980PT4B20STR0DBF00A21C1 (11KW 15HP)</v>
      </c>
      <c r="H492" s="3" t="str">
        <f>IFERROR(__xludf.DUMMYFUNCTION("""COMPUTED_VALUE"""),"Danfoss")</f>
        <v>Danfoss</v>
      </c>
      <c r="I492" s="3">
        <f>IFERROR(__xludf.DUMMYFUNCTION("""COMPUTED_VALUE"""),1.0)</f>
        <v>1</v>
      </c>
      <c r="J492" s="3" t="str">
        <f>IFERROR(__xludf.DUMMYFUNCTION("""COMPUTED_VALUE"""),"Pcs")</f>
        <v>Pcs</v>
      </c>
      <c r="K492" s="5" t="str">
        <f>IFERROR(__xludf.DUMMYFUNCTION("""COMPUTED_VALUE"""),"https://store.danfoss.com/en/VLT2980PT4B20STR0DBF00A21C1/p/195N2191")</f>
        <v>https://store.danfoss.com/en/VLT2980PT4B20STR0DBF00A21C1/p/195N2191</v>
      </c>
      <c r="L492" s="3" t="str">
        <f>IFERROR(__xludf.DUMMYFUNCTION("""COMPUTED_VALUE"""),"Spare PW SKID dan WFI SKID")</f>
        <v>Spare PW SKID dan WFI SKID</v>
      </c>
      <c r="M492" s="3" t="str">
        <f>IFERROR(__xludf.DUMMYFUNCTION("""COMPUTED_VALUE"""),"Approve")</f>
        <v>Approve</v>
      </c>
      <c r="N492" s="3" t="str">
        <f>IFERROR(__xludf.DUMMYFUNCTION("""COMPUTED_VALUE"""),"Normal")</f>
        <v>Normal</v>
      </c>
      <c r="O492" s="3" t="str">
        <f>IFERROR(__xludf.DUMMYFUNCTION("""COMPUTED_VALUE"""),"Non Urgent")</f>
        <v>Non Urgent</v>
      </c>
    </row>
    <row r="493">
      <c r="A493" s="4">
        <f>IFERROR(__xludf.DUMMYFUNCTION("""COMPUTED_VALUE"""),45957.52117796296)</f>
        <v>45957.52118</v>
      </c>
      <c r="B493" s="3" t="str">
        <f>IFERROR(__xludf.DUMMYFUNCTION("""COMPUTED_VALUE"""),"MOBBR0048")</f>
        <v>MOBBR0048</v>
      </c>
      <c r="C493" s="3" t="str">
        <f>IFERROR(__xludf.DUMMYFUNCTION("""COMPUTED_VALUE"""),"EJO")</f>
        <v>EJO</v>
      </c>
      <c r="D493" s="3" t="str">
        <f>IFERROR(__xludf.DUMMYFUNCTION("""COMPUTED_VALUE"""),"EJO/2025/03/11")</f>
        <v>EJO/2025/03/11</v>
      </c>
      <c r="E493" s="3" t="str">
        <f>IFERROR(__xludf.DUMMYFUNCTION("""COMPUTED_VALUE"""),"RPS ")</f>
        <v>RPS </v>
      </c>
      <c r="F493" s="3" t="str">
        <f>IFERROR(__xludf.DUMMYFUNCTION("""COMPUTED_VALUE"""),"Room Pressure Sensor")</f>
        <v>Room Pressure Sensor</v>
      </c>
      <c r="G493" s="3" t="str">
        <f>IFERROR(__xludf.DUMMYFUNCTION("""COMPUTED_VALUE"""),"547-102A")</f>
        <v>547-102A</v>
      </c>
      <c r="H493" s="3" t="str">
        <f>IFERROR(__xludf.DUMMYFUNCTION("""COMPUTED_VALUE"""),"Siemens")</f>
        <v>Siemens</v>
      </c>
      <c r="I493" s="3">
        <f>IFERROR(__xludf.DUMMYFUNCTION("""COMPUTED_VALUE"""),1.0)</f>
        <v>1</v>
      </c>
      <c r="J493" s="3" t="str">
        <f>IFERROR(__xludf.DUMMYFUNCTION("""COMPUTED_VALUE"""),"Pcs")</f>
        <v>Pcs</v>
      </c>
      <c r="K493" s="5" t="str">
        <f>IFERROR(__xludf.DUMMYFUNCTION("""COMPUTED_VALUE"""),"https://sid.siemens.com/api/khub/documents/xh77L_9J5SlHPdhjmPmVbw/content")</f>
        <v>https://sid.siemens.com/api/khub/documents/xh77L_9J5SlHPdhjmPmVbw/content</v>
      </c>
      <c r="L493" s="3" t="str">
        <f>IFERROR(__xludf.DUMMYFUNCTION("""COMPUTED_VALUE"""),"-")</f>
        <v>-</v>
      </c>
      <c r="M493" s="3" t="str">
        <f>IFERROR(__xludf.DUMMYFUNCTION("""COMPUTED_VALUE"""),"Reject")</f>
        <v>Reject</v>
      </c>
      <c r="N493" s="3" t="str">
        <f>IFERROR(__xludf.DUMMYFUNCTION("""COMPUTED_VALUE"""),"Normal")</f>
        <v>Normal</v>
      </c>
      <c r="O493" s="3" t="str">
        <f>IFERROR(__xludf.DUMMYFUNCTION("""COMPUTED_VALUE"""),"Non Urgent")</f>
        <v>Non Urgent</v>
      </c>
    </row>
    <row r="494">
      <c r="A494" s="4">
        <f>IFERROR(__xludf.DUMMYFUNCTION("""COMPUTED_VALUE"""),45958.661331296295)</f>
        <v>45958.66133</v>
      </c>
      <c r="B494" s="3" t="str">
        <f>IFERROR(__xludf.DUMMYFUNCTION("""COMPUTED_VALUE"""),"ROSBR0044")</f>
        <v>ROSBR0044</v>
      </c>
      <c r="C494" s="3" t="str">
        <f>IFERROR(__xludf.DUMMYFUNCTION("""COMPUTED_VALUE"""),"Consumable")</f>
        <v>Consumable</v>
      </c>
      <c r="D494" s="3" t="str">
        <f>IFERROR(__xludf.DUMMYFUNCTION("""COMPUTED_VALUE"""),"NA ")</f>
        <v>NA </v>
      </c>
      <c r="E494" s="3" t="str">
        <f>IFERROR(__xludf.DUMMYFUNCTION("""COMPUTED_VALUE"""),"Autoclave Service ")</f>
        <v>Autoclave Service </v>
      </c>
      <c r="F494" s="3" t="str">
        <f>IFERROR(__xludf.DUMMYFUNCTION("""COMPUTED_VALUE"""),"Oil Seal valve modulating ")</f>
        <v>Oil Seal valve modulating </v>
      </c>
      <c r="G494" s="3" t="str">
        <f>IFERROR(__xludf.DUMMYFUNCTION("""COMPUTED_VALUE"""),"Oil Seal valve modulating 
type : UPI 
Material : Viton
ID : 20mm
OD : 28mm
tebal : 5.5mm ")</f>
        <v>Oil Seal valve modulating 
type : UPI 
Material : Viton
ID : 20mm
OD : 28mm
tebal : 5.5mm </v>
      </c>
      <c r="H494" s="3" t="str">
        <f>IFERROR(__xludf.DUMMYFUNCTION("""COMPUTED_VALUE"""),"Nordex")</f>
        <v>Nordex</v>
      </c>
      <c r="I494" s="3">
        <f>IFERROR(__xludf.DUMMYFUNCTION("""COMPUTED_VALUE"""),5.0)</f>
        <v>5</v>
      </c>
      <c r="J494" s="3" t="str">
        <f>IFERROR(__xludf.DUMMYFUNCTION("""COMPUTED_VALUE"""),"pcs")</f>
        <v>pcs</v>
      </c>
      <c r="K494" s="5" t="str">
        <f>IFERROR(__xludf.DUMMYFUNCTION("""COMPUTED_VALUE"""),"https://drive.google.com/drive/folders/1XckZUYeeAEETc2mQSR_pARUUolsPGBVs?usp=drive_link")</f>
        <v>https://drive.google.com/drive/folders/1XckZUYeeAEETc2mQSR_pARUUolsPGBVs?usp=drive_link</v>
      </c>
      <c r="L494" s="3" t="str">
        <f>IFERROR(__xludf.DUMMYFUNCTION("""COMPUTED_VALUE"""),"tolong carikan sesuai gambar dan ukuran ya
untuk merk kalau bisa yang UPI sesuai dengan bawaan ")</f>
        <v>tolong carikan sesuai gambar dan ukuran ya
untuk merk kalau bisa yang UPI sesuai dengan bawaan </v>
      </c>
      <c r="M494" s="3" t="str">
        <f>IFERROR(__xludf.DUMMYFUNCTION("""COMPUTED_VALUE"""),"Approve")</f>
        <v>Approve</v>
      </c>
      <c r="N494" s="3" t="str">
        <f>IFERROR(__xludf.DUMMYFUNCTION("""COMPUTED_VALUE"""),"Normal")</f>
        <v>Normal</v>
      </c>
      <c r="O494" s="3" t="str">
        <f>IFERROR(__xludf.DUMMYFUNCTION("""COMPUTED_VALUE"""),"Non Urgent")</f>
        <v>Non Urgent</v>
      </c>
    </row>
    <row r="495">
      <c r="A495" s="4">
        <f>IFERROR(__xludf.DUMMYFUNCTION("""COMPUTED_VALUE"""),45958.6625225)</f>
        <v>45958.66252</v>
      </c>
      <c r="B495" s="3" t="str">
        <f>IFERROR(__xludf.DUMMYFUNCTION("""COMPUTED_VALUE"""),"INNBR0046")</f>
        <v>INNBR0046</v>
      </c>
      <c r="C495" s="3" t="str">
        <f>IFERROR(__xludf.DUMMYFUNCTION("""COMPUTED_VALUE"""),"EJO")</f>
        <v>EJO</v>
      </c>
      <c r="D495" s="3" t="str">
        <f>IFERROR(__xludf.DUMMYFUNCTION("""COMPUTED_VALUE"""),"EJO/2025/10/104")</f>
        <v>EJO/2025/10/104</v>
      </c>
      <c r="E495" s="3" t="str">
        <f>IFERROR(__xludf.DUMMYFUNCTION("""COMPUTED_VALUE"""),"HPLC 4")</f>
        <v>HPLC 4</v>
      </c>
      <c r="F495" s="3" t="str">
        <f>IFERROR(__xludf.DUMMYFUNCTION("""COMPUTED_VALUE"""),"Engine, Heater/Cooler P/N : 700002139")</f>
        <v>Engine, Heater/Cooler P/N : 700002139</v>
      </c>
      <c r="G495" s="3" t="str">
        <f>IFERROR(__xludf.DUMMYFUNCTION("""COMPUTED_VALUE"""),"Minta penawaran ke kromtek")</f>
        <v>Minta penawaran ke kromtek</v>
      </c>
      <c r="H495" s="3" t="str">
        <f>IFERROR(__xludf.DUMMYFUNCTION("""COMPUTED_VALUE"""),"Kromtek")</f>
        <v>Kromtek</v>
      </c>
      <c r="I495" s="3">
        <f>IFERROR(__xludf.DUMMYFUNCTION("""COMPUTED_VALUE"""),2.0)</f>
        <v>2</v>
      </c>
      <c r="J495" s="3" t="str">
        <f>IFERROR(__xludf.DUMMYFUNCTION("""COMPUTED_VALUE"""),"Unit")</f>
        <v>Unit</v>
      </c>
      <c r="K495" s="3" t="str">
        <f>IFERROR(__xludf.DUMMYFUNCTION("""COMPUTED_VALUE"""),"NA")</f>
        <v>NA</v>
      </c>
      <c r="L495" s="3" t="str">
        <f>IFERROR(__xludf.DUMMYFUNCTION("""COMPUTED_VALUE"""),"Untuk Coloum sample HPLC")</f>
        <v>Untuk Coloum sample HPLC</v>
      </c>
      <c r="M495" s="3" t="str">
        <f>IFERROR(__xludf.DUMMYFUNCTION("""COMPUTED_VALUE"""),"Approve")</f>
        <v>Approve</v>
      </c>
      <c r="N495" s="3" t="str">
        <f>IFERROR(__xludf.DUMMYFUNCTION("""COMPUTED_VALUE"""),"Normal")</f>
        <v>Normal</v>
      </c>
      <c r="O495" s="3" t="str">
        <f>IFERROR(__xludf.DUMMYFUNCTION("""COMPUTED_VALUE"""),"Non Urgent")</f>
        <v>Non Urgent</v>
      </c>
    </row>
    <row r="496">
      <c r="A496" s="4">
        <f>IFERROR(__xludf.DUMMYFUNCTION("""COMPUTED_VALUE"""),45962.43386340277)</f>
        <v>45962.43386</v>
      </c>
      <c r="B496" s="3" t="str">
        <f>IFERROR(__xludf.DUMMYFUNCTION("""COMPUTED_VALUE"""),"SFHBR0038")</f>
        <v>SFHBR0038</v>
      </c>
      <c r="C496" s="3" t="str">
        <f>IFERROR(__xludf.DUMMYFUNCTION("""COMPUTED_VALUE"""),"EJO")</f>
        <v>EJO</v>
      </c>
      <c r="D496" s="3" t="str">
        <f>IFERROR(__xludf.DUMMYFUNCTION("""COMPUTED_VALUE"""),"EJO/2025/08/02")</f>
        <v>EJO/2025/08/02</v>
      </c>
      <c r="E496" s="3" t="str">
        <f>IFERROR(__xludf.DUMMYFUNCTION("""COMPUTED_VALUE"""),"lantai 2")</f>
        <v>lantai 2</v>
      </c>
      <c r="F496" s="3" t="str">
        <f>IFERROR(__xludf.DUMMYFUNCTION("""COMPUTED_VALUE"""),"Sika SikaTop Seal 107 - 2 Komponen (20kg Semen + 5kg Cairan) - Kantor")</f>
        <v>Sika SikaTop Seal 107 - 2 Komponen (20kg Semen + 5kg Cairan) - Kantor</v>
      </c>
      <c r="G496" s="3" t="str">
        <f>IFERROR(__xludf.DUMMYFUNCTION("""COMPUTED_VALUE"""),"Sika SikaTop Seal 107 - 2 Komponen (20kg Semen + 5kg Cairan) - Kantor")</f>
        <v>Sika SikaTop Seal 107 - 2 Komponen (20kg Semen + 5kg Cairan) - Kantor</v>
      </c>
      <c r="H496" s="3" t="str">
        <f>IFERROR(__xludf.DUMMYFUNCTION("""COMPUTED_VALUE"""),"SIKA")</f>
        <v>SIKA</v>
      </c>
      <c r="I496" s="3">
        <f>IFERROR(__xludf.DUMMYFUNCTION("""COMPUTED_VALUE"""),20.0)</f>
        <v>20</v>
      </c>
      <c r="J496" s="3" t="str">
        <f>IFERROR(__xludf.DUMMYFUNCTION("""COMPUTED_VALUE"""),"kg")</f>
        <v>kg</v>
      </c>
      <c r="K496" s="5" t="str">
        <f>IFERROR(__xludf.DUMMYFUNCTION("""COMPUTED_VALUE"""),"https://tk.tokopedia.com/ZSy62HdQb/")</f>
        <v>https://tk.tokopedia.com/ZSy62HdQb/</v>
      </c>
      <c r="L496" s="3" t="str">
        <f>IFERROR(__xludf.DUMMYFUNCTION("""COMPUTED_VALUE"""),"-")</f>
        <v>-</v>
      </c>
      <c r="M496" s="3" t="str">
        <f>IFERROR(__xludf.DUMMYFUNCTION("""COMPUTED_VALUE"""),"Approve")</f>
        <v>Approve</v>
      </c>
      <c r="N496" s="3" t="str">
        <f>IFERROR(__xludf.DUMMYFUNCTION("""COMPUTED_VALUE"""),"Normal")</f>
        <v>Normal</v>
      </c>
      <c r="O496" s="3" t="str">
        <f>IFERROR(__xludf.DUMMYFUNCTION("""COMPUTED_VALUE"""),"Non Urgent")</f>
        <v>Non Urgent</v>
      </c>
    </row>
    <row r="497">
      <c r="A497" s="4">
        <f>IFERROR(__xludf.DUMMYFUNCTION("""COMPUTED_VALUE"""),45962.44112657407)</f>
        <v>45962.44113</v>
      </c>
      <c r="B497" s="3" t="str">
        <f>IFERROR(__xludf.DUMMYFUNCTION("""COMPUTED_VALUE"""),"SFHBR0039")</f>
        <v>SFHBR0039</v>
      </c>
      <c r="C497" s="3" t="str">
        <f>IFERROR(__xludf.DUMMYFUNCTION("""COMPUTED_VALUE"""),"EJO")</f>
        <v>EJO</v>
      </c>
      <c r="D497" s="3" t="str">
        <f>IFERROR(__xludf.DUMMYFUNCTION("""COMPUTED_VALUE"""),"EJO/2025/08/02")</f>
        <v>EJO/2025/08/02</v>
      </c>
      <c r="E497" s="3" t="str">
        <f>IFERROR(__xludf.DUMMYFUNCTION("""COMPUTED_VALUE"""),"lantai 2")</f>
        <v>lantai 2</v>
      </c>
      <c r="F497" s="3" t="str">
        <f>IFERROR(__xludf.DUMMYFUNCTION("""COMPUTED_VALUE"""),"Aqualuxe Lem Anti Bocor 1kg Transparan Waterproof Nano Serbaguna untuk Tembok Atap &amp; Lantai Super Kuat Teknologi Nano Particle Invisible Tahan Air")</f>
        <v>Aqualuxe Lem Anti Bocor 1kg Transparan Waterproof Nano Serbaguna untuk Tembok Atap &amp; Lantai Super Kuat Teknologi Nano Particle Invisible Tahan Air</v>
      </c>
      <c r="G497" s="3" t="str">
        <f>IFERROR(__xludf.DUMMYFUNCTION("""COMPUTED_VALUE"""),"Aqualuxe Lem Anti Bocor 1kg Transparan Waterproof Nano Serbaguna untuk Tembok Atap &amp; Lantai Super Kuat Teknologi Nano Particle Invisible Tahan Air")</f>
        <v>Aqualuxe Lem Anti Bocor 1kg Transparan Waterproof Nano Serbaguna untuk Tembok Atap &amp; Lantai Super Kuat Teknologi Nano Particle Invisible Tahan Air</v>
      </c>
      <c r="H497" s="3" t="str">
        <f>IFERROR(__xludf.DUMMYFUNCTION("""COMPUTED_VALUE"""),"aqualuxe")</f>
        <v>aqualuxe</v>
      </c>
      <c r="I497" s="3">
        <f>IFERROR(__xludf.DUMMYFUNCTION("""COMPUTED_VALUE"""),5.0)</f>
        <v>5</v>
      </c>
      <c r="J497" s="3" t="str">
        <f>IFERROR(__xludf.DUMMYFUNCTION("""COMPUTED_VALUE"""),"kg")</f>
        <v>kg</v>
      </c>
      <c r="K497" s="5" t="str">
        <f>IFERROR(__xludf.DUMMYFUNCTION("""COMPUTED_VALUE"""),"https://tk.tokopedia.com/ZSy6jMxHp/")</f>
        <v>https://tk.tokopedia.com/ZSy6jMxHp/</v>
      </c>
      <c r="L497" s="3" t="str">
        <f>IFERROR(__xludf.DUMMYFUNCTION("""COMPUTED_VALUE"""),"-")</f>
        <v>-</v>
      </c>
      <c r="M497" s="3" t="str">
        <f>IFERROR(__xludf.DUMMYFUNCTION("""COMPUTED_VALUE"""),"Approve")</f>
        <v>Approve</v>
      </c>
      <c r="N497" s="3" t="str">
        <f>IFERROR(__xludf.DUMMYFUNCTION("""COMPUTED_VALUE"""),"Normal")</f>
        <v>Normal</v>
      </c>
      <c r="O497" s="3" t="str">
        <f>IFERROR(__xludf.DUMMYFUNCTION("""COMPUTED_VALUE"""),"Non Urgent")</f>
        <v>Non Urgent</v>
      </c>
    </row>
    <row r="498">
      <c r="A498" s="4">
        <f>IFERROR(__xludf.DUMMYFUNCTION("""COMPUTED_VALUE"""),45964.39454311343)</f>
        <v>45964.39454</v>
      </c>
      <c r="B498" s="3" t="str">
        <f>IFERROR(__xludf.DUMMYFUNCTION("""COMPUTED_VALUE"""),"MRNBR0086")</f>
        <v>MRNBR0086</v>
      </c>
      <c r="C498" s="3" t="str">
        <f>IFERROR(__xludf.DUMMYFUNCTION("""COMPUTED_VALUE"""),"EJO")</f>
        <v>EJO</v>
      </c>
      <c r="D498" s="3" t="str">
        <f>IFERROR(__xludf.DUMMYFUNCTION("""COMPUTED_VALUE"""),"EJO/2025/08/205")</f>
        <v>EJO/2025/08/205</v>
      </c>
      <c r="E498" s="3" t="str">
        <f>IFERROR(__xludf.DUMMYFUNCTION("""COMPUTED_VALUE"""),"Lampu di IPC")</f>
        <v>Lampu di IPC</v>
      </c>
      <c r="F498" s="3" t="str">
        <f>IFERROR(__xludf.DUMMYFUNCTION("""COMPUTED_VALUE"""),"BOX lampu")</f>
        <v>BOX lampu</v>
      </c>
      <c r="G498" s="3" t="str">
        <f>IFERROR(__xludf.DUMMYFUNCTION("""COMPUTED_VALUE"""),"RMO CPOB ASETA BUKA ATAS")</f>
        <v>RMO CPOB ASETA BUKA ATAS</v>
      </c>
      <c r="H498" s="3" t="str">
        <f>IFERROR(__xludf.DUMMYFUNCTION("""COMPUTED_VALUE"""),"Artolite")</f>
        <v>Artolite</v>
      </c>
      <c r="I498" s="3">
        <f>IFERROR(__xludf.DUMMYFUNCTION("""COMPUTED_VALUE"""),2.0)</f>
        <v>2</v>
      </c>
      <c r="J498" s="3" t="str">
        <f>IFERROR(__xludf.DUMMYFUNCTION("""COMPUTED_VALUE"""),"pcs")</f>
        <v>pcs</v>
      </c>
      <c r="K498" s="5" t="str">
        <f>IFERROR(__xludf.DUMMYFUNCTION("""COMPUTED_VALUE"""),"https://drive.google.com/file/d/1llHaFRjegWuB6_WX0t4SbBSo3BTCdYup/view?usp=drivesdk")</f>
        <v>https://drive.google.com/file/d/1llHaFRjegWuB6_WX0t4SbBSo3BTCdYup/view?usp=drivesdk</v>
      </c>
      <c r="L498" s="3" t="str">
        <f>IFERROR(__xludf.DUMMYFUNCTION("""COMPUTED_VALUE"""),"Lampu karat di IPC")</f>
        <v>Lampu karat di IPC</v>
      </c>
      <c r="M498" s="3" t="str">
        <f>IFERROR(__xludf.DUMMYFUNCTION("""COMPUTED_VALUE"""),"Reject")</f>
        <v>Reject</v>
      </c>
      <c r="N498" s="3" t="str">
        <f>IFERROR(__xludf.DUMMYFUNCTION("""COMPUTED_VALUE"""),"Normal")</f>
        <v>Normal</v>
      </c>
      <c r="O498" s="3" t="str">
        <f>IFERROR(__xludf.DUMMYFUNCTION("""COMPUTED_VALUE"""),"Non Urgent")</f>
        <v>Non Urgent</v>
      </c>
    </row>
    <row r="499">
      <c r="A499" s="4">
        <f>IFERROR(__xludf.DUMMYFUNCTION("""COMPUTED_VALUE"""),45965.43246111111)</f>
        <v>45965.43246</v>
      </c>
      <c r="B499" s="3" t="str">
        <f>IFERROR(__xludf.DUMMYFUNCTION("""COMPUTED_VALUE"""),"ROSBR0045")</f>
        <v>ROSBR0045</v>
      </c>
      <c r="C499" s="3" t="str">
        <f>IFERROR(__xludf.DUMMYFUNCTION("""COMPUTED_VALUE"""),"Consumable")</f>
        <v>Consumable</v>
      </c>
      <c r="D499" s="3" t="str">
        <f>IFERROR(__xludf.DUMMYFUNCTION("""COMPUTED_VALUE"""),"NA")</f>
        <v>NA</v>
      </c>
      <c r="E499" s="3" t="str">
        <f>IFERROR(__xludf.DUMMYFUNCTION("""COMPUTED_VALUE"""),"plab coating ")</f>
        <v>plab coating </v>
      </c>
      <c r="F499" s="3" t="str">
        <f>IFERROR(__xludf.DUMMYFUNCTION("""COMPUTED_VALUE"""),"Oring cover Shaft Line washing coating ")</f>
        <v>Oring cover Shaft Line washing coating </v>
      </c>
      <c r="G499" s="3" t="str">
        <f>IFERROR(__xludf.DUMMYFUNCTION("""COMPUTED_VALUE"""),"Oring Cover shaft line washing Coating 
Material : EPDM 
ID : 51mm
OD : 56mm
tebal : 2.5 mm ")</f>
        <v>Oring Cover shaft line washing Coating 
Material : EPDM 
ID : 51mm
OD : 56mm
tebal : 2.5 mm </v>
      </c>
      <c r="H499" s="3" t="str">
        <f>IFERROR(__xludf.DUMMYFUNCTION("""COMPUTED_VALUE"""),"EPDM ")</f>
        <v>EPDM </v>
      </c>
      <c r="I499" s="3">
        <f>IFERROR(__xludf.DUMMYFUNCTION("""COMPUTED_VALUE"""),5.0)</f>
        <v>5</v>
      </c>
      <c r="J499" s="3" t="str">
        <f>IFERROR(__xludf.DUMMYFUNCTION("""COMPUTED_VALUE"""),"pcs")</f>
        <v>pcs</v>
      </c>
      <c r="K499" s="3" t="str">
        <f>IFERROR(__xludf.DUMMYFUNCTION("""COMPUTED_VALUE"""),"-")</f>
        <v>-</v>
      </c>
      <c r="L499" s="3" t="str">
        <f>IFERROR(__xludf.DUMMYFUNCTION("""COMPUTED_VALUE"""),"-")</f>
        <v>-</v>
      </c>
      <c r="M499" s="3" t="str">
        <f>IFERROR(__xludf.DUMMYFUNCTION("""COMPUTED_VALUE"""),"Approve")</f>
        <v>Approve</v>
      </c>
      <c r="N499" s="3" t="str">
        <f>IFERROR(__xludf.DUMMYFUNCTION("""COMPUTED_VALUE"""),"Normal")</f>
        <v>Normal</v>
      </c>
      <c r="O499" s="3" t="str">
        <f>IFERROR(__xludf.DUMMYFUNCTION("""COMPUTED_VALUE"""),"Non Urgent")</f>
        <v>Non Urgent</v>
      </c>
    </row>
    <row r="500">
      <c r="A500" s="4">
        <f>IFERROR(__xludf.DUMMYFUNCTION("""COMPUTED_VALUE"""),45969.73866633102)</f>
        <v>45969.73867</v>
      </c>
      <c r="B500" s="3" t="str">
        <f>IFERROR(__xludf.DUMMYFUNCTION("""COMPUTED_VALUE"""),"SFHBR0040")</f>
        <v>SFHBR0040</v>
      </c>
      <c r="C500" s="3" t="str">
        <f>IFERROR(__xludf.DUMMYFUNCTION("""COMPUTED_VALUE"""),"EJO")</f>
        <v>EJO</v>
      </c>
      <c r="D500" s="3" t="str">
        <f>IFERROR(__xludf.DUMMYFUNCTION("""COMPUTED_VALUE"""),"EJO/2025/10/103")</f>
        <v>EJO/2025/10/103</v>
      </c>
      <c r="E500" s="3" t="str">
        <f>IFERROR(__xludf.DUMMYFUNCTION("""COMPUTED_VALUE"""),"lantai 2")</f>
        <v>lantai 2</v>
      </c>
      <c r="F500" s="3" t="str">
        <f>IFERROR(__xludf.DUMMYFUNCTION("""COMPUTED_VALUE"""),"cat dulux water shield")</f>
        <v>cat dulux water shield</v>
      </c>
      <c r="G500" s="3" t="str">
        <f>IFERROR(__xludf.DUMMYFUNCTION("""COMPUTED_VALUE"""),"CAT DULUX WATER SHIELD, DAY BREAK 40544M")</f>
        <v>CAT DULUX WATER SHIELD, DAY BREAK 40544M</v>
      </c>
      <c r="H500" s="3" t="str">
        <f>IFERROR(__xludf.DUMMYFUNCTION("""COMPUTED_VALUE"""),"DULUX")</f>
        <v>DULUX</v>
      </c>
      <c r="I500" s="3">
        <f>IFERROR(__xludf.DUMMYFUNCTION("""COMPUTED_VALUE"""),1.0)</f>
        <v>1</v>
      </c>
      <c r="J500" s="3" t="str">
        <f>IFERROR(__xludf.DUMMYFUNCTION("""COMPUTED_VALUE"""),"PEL")</f>
        <v>PEL</v>
      </c>
      <c r="K500" s="5" t="str">
        <f>IFERROR(__xludf.DUMMYFUNCTION("""COMPUTED_VALUE"""),"https://tk.tokopedia.com/ZSyxwUTXr/")</f>
        <v>https://tk.tokopedia.com/ZSyxwUTXr/</v>
      </c>
      <c r="L500" s="3" t="str">
        <f>IFERROR(__xludf.DUMMYFUNCTION("""COMPUTED_VALUE"""),"- (REJECT BT MFH, KEMUNGKINAN TERSUBMIT 2 KALI DENGAN BQ SFHBR0041)")</f>
        <v>- (REJECT BT MFH, KEMUNGKINAN TERSUBMIT 2 KALI DENGAN BQ SFHBR0041)</v>
      </c>
      <c r="M500" s="3" t="str">
        <f>IFERROR(__xludf.DUMMYFUNCTION("""COMPUTED_VALUE"""),"Reject")</f>
        <v>Reject</v>
      </c>
      <c r="N500" s="3" t="str">
        <f>IFERROR(__xludf.DUMMYFUNCTION("""COMPUTED_VALUE"""),"Normal")</f>
        <v>Normal</v>
      </c>
      <c r="O500" s="3" t="str">
        <f>IFERROR(__xludf.DUMMYFUNCTION("""COMPUTED_VALUE"""),"Non Urgent")</f>
        <v>Non Urgent</v>
      </c>
    </row>
    <row r="501">
      <c r="A501" s="4">
        <f>IFERROR(__xludf.DUMMYFUNCTION("""COMPUTED_VALUE"""),45969.74894228009)</f>
        <v>45969.74894</v>
      </c>
      <c r="B501" s="3" t="str">
        <f>IFERROR(__xludf.DUMMYFUNCTION("""COMPUTED_VALUE"""),"SFHBR0041")</f>
        <v>SFHBR0041</v>
      </c>
      <c r="C501" s="3" t="str">
        <f>IFERROR(__xludf.DUMMYFUNCTION("""COMPUTED_VALUE"""),"EJO")</f>
        <v>EJO</v>
      </c>
      <c r="D501" s="3" t="str">
        <f>IFERROR(__xludf.DUMMYFUNCTION("""COMPUTED_VALUE"""),"EJO/2025/10/103")</f>
        <v>EJO/2025/10/103</v>
      </c>
      <c r="E501" s="3" t="str">
        <f>IFERROR(__xludf.DUMMYFUNCTION("""COMPUTED_VALUE"""),"lantai 2")</f>
        <v>lantai 2</v>
      </c>
      <c r="F501" s="3" t="str">
        <f>IFERROR(__xludf.DUMMYFUNCTION("""COMPUTED_VALUE"""),"cat dulux water shield")</f>
        <v>cat dulux water shield</v>
      </c>
      <c r="G501" s="3" t="str">
        <f>IFERROR(__xludf.DUMMYFUNCTION("""COMPUTED_VALUE"""),"CAT DULUX WTAER SHIELD, MARLIN 4015")</f>
        <v>CAT DULUX WTAER SHIELD, MARLIN 4015</v>
      </c>
      <c r="H501" s="3" t="str">
        <f>IFERROR(__xludf.DUMMYFUNCTION("""COMPUTED_VALUE"""),"Dulux")</f>
        <v>Dulux</v>
      </c>
      <c r="I501" s="3">
        <f>IFERROR(__xludf.DUMMYFUNCTION("""COMPUTED_VALUE"""),1.0)</f>
        <v>1</v>
      </c>
      <c r="J501" s="3" t="str">
        <f>IFERROR(__xludf.DUMMYFUNCTION("""COMPUTED_VALUE"""),"pel")</f>
        <v>pel</v>
      </c>
      <c r="K501" s="5" t="str">
        <f>IFERROR(__xludf.DUMMYFUNCTION("""COMPUTED_VALUE"""),"https://tk.tokopedia.com/ZSyxKVyXb/")</f>
        <v>https://tk.tokopedia.com/ZSyxKVyXb/</v>
      </c>
      <c r="L501" s="3" t="str">
        <f>IFERROR(__xludf.DUMMYFUNCTION("""COMPUTED_VALUE"""),"- (REJECT BY MFH KARENA ATTACHMENTNYA TIDAK SESUAI DENGAN APA YANG DIMINTA)")</f>
        <v>- (REJECT BY MFH KARENA ATTACHMENTNYA TIDAK SESUAI DENGAN APA YANG DIMINTA)</v>
      </c>
      <c r="M501" s="3" t="str">
        <f>IFERROR(__xludf.DUMMYFUNCTION("""COMPUTED_VALUE"""),"Reject")</f>
        <v>Reject</v>
      </c>
      <c r="N501" s="3" t="str">
        <f>IFERROR(__xludf.DUMMYFUNCTION("""COMPUTED_VALUE"""),"Normal")</f>
        <v>Normal</v>
      </c>
      <c r="O501" s="3" t="str">
        <f>IFERROR(__xludf.DUMMYFUNCTION("""COMPUTED_VALUE"""),"Non Urgent")</f>
        <v>Non Urgent</v>
      </c>
    </row>
    <row r="502">
      <c r="A502" s="4">
        <f>IFERROR(__xludf.DUMMYFUNCTION("""COMPUTED_VALUE"""),45972.399562453706)</f>
        <v>45972.39956</v>
      </c>
      <c r="B502" s="3" t="str">
        <f>IFERROR(__xludf.DUMMYFUNCTION("""COMPUTED_VALUE"""),"RIABR0114")</f>
        <v>RIABR0114</v>
      </c>
      <c r="C502" s="3" t="str">
        <f>IFERROR(__xludf.DUMMYFUNCTION("""COMPUTED_VALUE"""),"Consumable")</f>
        <v>Consumable</v>
      </c>
      <c r="D502" s="3" t="str">
        <f>IFERROR(__xludf.DUMMYFUNCTION("""COMPUTED_VALUE"""),"-")</f>
        <v>-</v>
      </c>
      <c r="E502" s="3" t="str">
        <f>IFERROR(__xludf.DUMMYFUNCTION("""COMPUTED_VALUE"""),"All Area")</f>
        <v>All Area</v>
      </c>
      <c r="F502" s="3" t="str">
        <f>IFERROR(__xludf.DUMMYFUNCTION("""COMPUTED_VALUE"""),"Blower")</f>
        <v>Blower</v>
      </c>
      <c r="G502" s="3" t="str">
        <f>IFERROR(__xludf.DUMMYFUNCTION("""COMPUTED_VALUE"""),"Blower portable")</f>
        <v>Blower portable</v>
      </c>
      <c r="H502" s="3" t="str">
        <f>IFERROR(__xludf.DUMMYFUNCTION("""COMPUTED_VALUE"""),"Bosch")</f>
        <v>Bosch</v>
      </c>
      <c r="I502" s="3">
        <f>IFERROR(__xludf.DUMMYFUNCTION("""COMPUTED_VALUE"""),1.0)</f>
        <v>1</v>
      </c>
      <c r="J502" s="3" t="str">
        <f>IFERROR(__xludf.DUMMYFUNCTION("""COMPUTED_VALUE"""),"Set")</f>
        <v>Set</v>
      </c>
      <c r="K502" s="5" t="str">
        <f>IFERROR(__xludf.DUMMYFUNCTION("""COMPUTED_VALUE"""),"https://www.tokopedia.com/bosch-tools-authorized-snt/bosch-mesin-blower-tangan-cordless-gbl-18v-750-hand-blower-18-v-gbl18v-unit-only-1731137586110039528?extParam=ivf%3Dfalse%26keyword%3Dblower+portable+bosch%26search_id%3D202511110233215B8ADD2A5D98B1224A"&amp;"LM%26src%3Dsearch&amp;t_id=1762828426571&amp;t_st=1&amp;t_pp=search_result&amp;t_efo=search_pure_goods_card&amp;t_ef=goods_search&amp;t_sm=&amp;t_spt=search_result")</f>
        <v>https://www.tokopedia.com/bosch-tools-authorized-snt/bosch-mesin-blower-tangan-cordless-gbl-18v-750-hand-blower-18-v-gbl18v-unit-only-1731137586110039528?extParam=ivf%3Dfalse%26keyword%3Dblower+portable+bosch%26search_id%3D202511110233215B8ADD2A5D98B1224ALM%26src%3Dsearch&amp;t_id=1762828426571&amp;t_st=1&amp;t_pp=search_result&amp;t_efo=search_pure_goods_card&amp;t_ef=goods_search&amp;t_sm=&amp;t_spt=search_result</v>
      </c>
      <c r="L502" s="3" t="str">
        <f>IFERROR(__xludf.DUMMYFUNCTION("""COMPUTED_VALUE"""),"Untuk cleaning panel, cleaning AC, dll untuk cleaning yg tidak bisa menggunakan air")</f>
        <v>Untuk cleaning panel, cleaning AC, dll untuk cleaning yg tidak bisa menggunakan air</v>
      </c>
      <c r="M502" s="3" t="str">
        <f>IFERROR(__xludf.DUMMYFUNCTION("""COMPUTED_VALUE"""),"Reject")</f>
        <v>Reject</v>
      </c>
      <c r="N502" s="3" t="str">
        <f>IFERROR(__xludf.DUMMYFUNCTION("""COMPUTED_VALUE"""),"Normal")</f>
        <v>Normal</v>
      </c>
      <c r="O502" s="3" t="str">
        <f>IFERROR(__xludf.DUMMYFUNCTION("""COMPUTED_VALUE"""),"Non Urgent")</f>
        <v>Non Urgent</v>
      </c>
    </row>
    <row r="503">
      <c r="A503" s="4">
        <f>IFERROR(__xludf.DUMMYFUNCTION("""COMPUTED_VALUE"""),45972.40130546296)</f>
        <v>45972.40131</v>
      </c>
      <c r="B503" s="3" t="str">
        <f>IFERROR(__xludf.DUMMYFUNCTION("""COMPUTED_VALUE"""),"RIABR0115")</f>
        <v>RIABR0115</v>
      </c>
      <c r="C503" s="3" t="str">
        <f>IFERROR(__xludf.DUMMYFUNCTION("""COMPUTED_VALUE"""),"Consumable")</f>
        <v>Consumable</v>
      </c>
      <c r="D503" s="3" t="str">
        <f>IFERROR(__xludf.DUMMYFUNCTION("""COMPUTED_VALUE"""),"-")</f>
        <v>-</v>
      </c>
      <c r="E503" s="3" t="str">
        <f>IFERROR(__xludf.DUMMYFUNCTION("""COMPUTED_VALUE"""),"All Area")</f>
        <v>All Area</v>
      </c>
      <c r="F503" s="3" t="str">
        <f>IFERROR(__xludf.DUMMYFUNCTION("""COMPUTED_VALUE"""),"Head Lamp")</f>
        <v>Head Lamp</v>
      </c>
      <c r="G503" s="3" t="str">
        <f>IFERROR(__xludf.DUMMYFUNCTION("""COMPUTED_VALUE"""),"Headlamp Bosch")</f>
        <v>Headlamp Bosch</v>
      </c>
      <c r="H503" s="3" t="str">
        <f>IFERROR(__xludf.DUMMYFUNCTION("""COMPUTED_VALUE"""),"Bosch")</f>
        <v>Bosch</v>
      </c>
      <c r="I503" s="3">
        <f>IFERROR(__xludf.DUMMYFUNCTION("""COMPUTED_VALUE"""),3.0)</f>
        <v>3</v>
      </c>
      <c r="J503" s="3" t="str">
        <f>IFERROR(__xludf.DUMMYFUNCTION("""COMPUTED_VALUE"""),"Pcs")</f>
        <v>Pcs</v>
      </c>
      <c r="K503" s="5" t="str">
        <f>IFERROR(__xludf.DUMMYFUNCTION("""COMPUTED_VALUE"""),"https://www.tokopedia.com/bosch-tools-authorized-bts/bosch-head-lamp-torch-headlight-190lm-ipx-4-lampu-kerja-senter-kepala?extParam=ivf%3Dfalse%26keyword%3Dbosch+senter+kepala%26search_id%3D2025111102370211B9842E0A271F20EVMM%26src%3Dsearch&amp;t_id=1762828426"&amp;"571&amp;t_st=2&amp;t_pp=search_result&amp;t_efo=search_pure_goods_card&amp;t_ef=goods_search&amp;t_sm=&amp;t_spt=search_result")</f>
        <v>https://www.tokopedia.com/bosch-tools-authorized-bts/bosch-head-lamp-torch-headlight-190lm-ipx-4-lampu-kerja-senter-kepala?extParam=ivf%3Dfalse%26keyword%3Dbosch+senter+kepala%26search_id%3D2025111102370211B9842E0A271F20EVMM%26src%3Dsearch&amp;t_id=1762828426571&amp;t_st=2&amp;t_pp=search_result&amp;t_efo=search_pure_goods_card&amp;t_ef=goods_search&amp;t_sm=&amp;t_spt=search_result</v>
      </c>
      <c r="L503" s="3" t="str">
        <f>IFERROR(__xludf.DUMMYFUNCTION("""COMPUTED_VALUE"""),"Untuk mengerjakan di tempat minim cahaya dan lebih enak daripada menggunakan flash HP")</f>
        <v>Untuk mengerjakan di tempat minim cahaya dan lebih enak daripada menggunakan flash HP</v>
      </c>
      <c r="M503" s="3" t="str">
        <f>IFERROR(__xludf.DUMMYFUNCTION("""COMPUTED_VALUE"""),"Approve")</f>
        <v>Approve</v>
      </c>
      <c r="N503" s="3" t="str">
        <f>IFERROR(__xludf.DUMMYFUNCTION("""COMPUTED_VALUE"""),"Normal")</f>
        <v>Normal</v>
      </c>
      <c r="O503" s="3" t="str">
        <f>IFERROR(__xludf.DUMMYFUNCTION("""COMPUTED_VALUE"""),"Non Urgent")</f>
        <v>Non Urgent</v>
      </c>
    </row>
    <row r="504">
      <c r="A504" s="4">
        <f>IFERROR(__xludf.DUMMYFUNCTION("""COMPUTED_VALUE"""),45973.88009362268)</f>
        <v>45973.88009</v>
      </c>
      <c r="B504" s="3" t="str">
        <f>IFERROR(__xludf.DUMMYFUNCTION("""COMPUTED_VALUE"""),"ROSBR0046")</f>
        <v>ROSBR0046</v>
      </c>
      <c r="C504" s="3" t="str">
        <f>IFERROR(__xludf.DUMMYFUNCTION("""COMPUTED_VALUE"""),"Consumable")</f>
        <v>Consumable</v>
      </c>
      <c r="D504" s="3" t="str">
        <f>IFERROR(__xludf.DUMMYFUNCTION("""COMPUTED_VALUE"""),"NA")</f>
        <v>NA</v>
      </c>
      <c r="E504" s="3" t="str">
        <f>IFERROR(__xludf.DUMMYFUNCTION("""COMPUTED_VALUE"""),"Membran Crabs ")</f>
        <v>Membran Crabs </v>
      </c>
      <c r="F504" s="3" t="str">
        <f>IFERROR(__xludf.DUMMYFUNCTION("""COMPUTED_VALUE"""),"tang Riveter nuts guns")</f>
        <v>tang Riveter nuts guns</v>
      </c>
      <c r="G504" s="3" t="str">
        <f>IFERROR(__xludf.DUMMYFUNCTION("""COMPUTED_VALUE"""),"Tang Riveter Nuts Guns 
material : Baja &amp; logam ")</f>
        <v>Tang Riveter Nuts Guns 
material : Baja &amp; logam </v>
      </c>
      <c r="H504" s="3" t="str">
        <f>IFERROR(__xludf.DUMMYFUNCTION("""COMPUTED_VALUE"""),"Universal ")</f>
        <v>Universal </v>
      </c>
      <c r="I504" s="3">
        <f>IFERROR(__xludf.DUMMYFUNCTION("""COMPUTED_VALUE"""),1.0)</f>
        <v>1</v>
      </c>
      <c r="J504" s="3" t="str">
        <f>IFERROR(__xludf.DUMMYFUNCTION("""COMPUTED_VALUE"""),"set")</f>
        <v>set</v>
      </c>
      <c r="K504" s="5" t="str">
        <f>IFERROR(__xludf.DUMMYFUNCTION("""COMPUTED_VALUE"""),"https://shopee.co.id/Tang-Riveter-nuts-guns-with-nuts-110-pcs-i.1350425502.29814821242?extraParams=%7B%22display_model_id%22%3A207900299653%2C%22model_selection_logic%22%3A3%7D&amp;sp_atk=132c58a9-1d7f-452f-9eb1-021003caed19&amp;xptdk=132c58a9-1d7f-452f-9eb1-0210"&amp;"03caed19")</f>
        <v>https://shopee.co.id/Tang-Riveter-nuts-guns-with-nuts-110-pcs-i.1350425502.29814821242?extraParams=%7B%22display_model_id%22%3A207900299653%2C%22model_selection_logic%22%3A3%7D&amp;sp_atk=132c58a9-1d7f-452f-9eb1-021003caed19&amp;xptdk=132c58a9-1d7f-452f-9eb1-021003caed19</v>
      </c>
      <c r="L504" s="3" t="str">
        <f>IFERROR(__xludf.DUMMYFUNCTION("""COMPUTED_VALUE"""),"Tolong belikan rivet Nut gun buat pergantian Nuts membran Crabs ")</f>
        <v>Tolong belikan rivet Nut gun buat pergantian Nuts membran Crabs </v>
      </c>
      <c r="M504" s="3" t="str">
        <f>IFERROR(__xludf.DUMMYFUNCTION("""COMPUTED_VALUE"""),"Approve")</f>
        <v>Approve</v>
      </c>
      <c r="N504" s="3" t="str">
        <f>IFERROR(__xludf.DUMMYFUNCTION("""COMPUTED_VALUE"""),"Normal")</f>
        <v>Normal</v>
      </c>
      <c r="O504" s="3" t="str">
        <f>IFERROR(__xludf.DUMMYFUNCTION("""COMPUTED_VALUE"""),"Non Urgent")</f>
        <v>Non Urgent</v>
      </c>
    </row>
    <row r="505">
      <c r="A505" s="4">
        <f>IFERROR(__xludf.DUMMYFUNCTION("""COMPUTED_VALUE"""),45973.891167546295)</f>
        <v>45973.89117</v>
      </c>
      <c r="B505" s="3" t="str">
        <f>IFERROR(__xludf.DUMMYFUNCTION("""COMPUTED_VALUE"""),"ROSBR0047")</f>
        <v>ROSBR0047</v>
      </c>
      <c r="C505" s="3" t="str">
        <f>IFERROR(__xludf.DUMMYFUNCTION("""COMPUTED_VALUE"""),"Consumable")</f>
        <v>Consumable</v>
      </c>
      <c r="D505" s="3" t="str">
        <f>IFERROR(__xludf.DUMMYFUNCTION("""COMPUTED_VALUE"""),"NA")</f>
        <v>NA</v>
      </c>
      <c r="E505" s="3" t="str">
        <f>IFERROR(__xludf.DUMMYFUNCTION("""COMPUTED_VALUE"""),"Membran Crabs ")</f>
        <v>Membran Crabs </v>
      </c>
      <c r="F505" s="3" t="str">
        <f>IFERROR(__xludf.DUMMYFUNCTION("""COMPUTED_VALUE"""),"Mur nuts rivet ")</f>
        <v>Mur nuts rivet </v>
      </c>
      <c r="G505" s="3" t="str">
        <f>IFERROR(__xludf.DUMMYFUNCTION("""COMPUTED_VALUE"""),"Mur nuts rivet Stainless
material : stainless
ukuran M5")</f>
        <v>Mur nuts rivet Stainless
material : stainless
ukuran M5</v>
      </c>
      <c r="H505" s="3" t="str">
        <f>IFERROR(__xludf.DUMMYFUNCTION("""COMPUTED_VALUE"""),"Universal ")</f>
        <v>Universal </v>
      </c>
      <c r="I505" s="3">
        <f>IFERROR(__xludf.DUMMYFUNCTION("""COMPUTED_VALUE"""),2.0)</f>
        <v>2</v>
      </c>
      <c r="J505" s="3" t="str">
        <f>IFERROR(__xludf.DUMMYFUNCTION("""COMPUTED_VALUE"""),"pak")</f>
        <v>pak</v>
      </c>
      <c r="K505" s="5" t="str">
        <f>IFERROR(__xludf.DUMMYFUNCTION("""COMPUTED_VALUE"""),"https://www.tokopedia.com/avo2001/1pack-100pcs-m5-mur-rivet-stainles-ss-304-mur-furniture-ss-304-rivet-nut-stainless-304-1731042401031521814?extParam=ivf%3Dfalse%26keyword%3Drivet+nuts+mur+m5+stainlees%26search_id%3D2025111214133120F07591C6FCB21550U5%26sr"&amp;"c%3Dsearch&amp;t_id=1762956816005&amp;t_st=2&amp;t_pp=search_result&amp;t_efo=search_pure_goods_card&amp;t_ef=goods_search&amp;t_sm=&amp;t_spt=search_result")</f>
        <v>https://www.tokopedia.com/avo2001/1pack-100pcs-m5-mur-rivet-stainles-ss-304-mur-furniture-ss-304-rivet-nut-stainless-304-1731042401031521814?extParam=ivf%3Dfalse%26keyword%3Drivet+nuts+mur+m5+stainlees%26search_id%3D2025111214133120F07591C6FCB21550U5%26src%3Dsearch&amp;t_id=1762956816005&amp;t_st=2&amp;t_pp=search_result&amp;t_efo=search_pure_goods_card&amp;t_ef=goods_search&amp;t_sm=&amp;t_spt=search_result</v>
      </c>
      <c r="L505" s="3" t="str">
        <f>IFERROR(__xludf.DUMMYFUNCTION("""COMPUTED_VALUE"""),"Tolong belikan mur nuts rivet material stainless ukuran M5, sebanyak 2pak tiap pak isi 100pcs")</f>
        <v>Tolong belikan mur nuts rivet material stainless ukuran M5, sebanyak 2pak tiap pak isi 100pcs</v>
      </c>
      <c r="M505" s="3" t="str">
        <f>IFERROR(__xludf.DUMMYFUNCTION("""COMPUTED_VALUE"""),"Approve")</f>
        <v>Approve</v>
      </c>
      <c r="N505" s="3" t="str">
        <f>IFERROR(__xludf.DUMMYFUNCTION("""COMPUTED_VALUE"""),"Normal")</f>
        <v>Normal</v>
      </c>
      <c r="O505" s="3" t="str">
        <f>IFERROR(__xludf.DUMMYFUNCTION("""COMPUTED_VALUE"""),"Non Urgent")</f>
        <v>Non Urgent</v>
      </c>
    </row>
    <row r="506">
      <c r="A506" s="4">
        <f>IFERROR(__xludf.DUMMYFUNCTION("""COMPUTED_VALUE"""),45973.923991261574)</f>
        <v>45973.92399</v>
      </c>
      <c r="B506" s="3" t="str">
        <f>IFERROR(__xludf.DUMMYFUNCTION("""COMPUTED_VALUE"""),"ROSBR0048")</f>
        <v>ROSBR0048</v>
      </c>
      <c r="C506" s="3" t="str">
        <f>IFERROR(__xludf.DUMMYFUNCTION("""COMPUTED_VALUE"""),"Consumable")</f>
        <v>Consumable</v>
      </c>
      <c r="D506" s="3" t="str">
        <f>IFERROR(__xludf.DUMMYFUNCTION("""COMPUTED_VALUE"""),"NA")</f>
        <v>NA</v>
      </c>
      <c r="E506" s="3" t="str">
        <f>IFERROR(__xludf.DUMMYFUNCTION("""COMPUTED_VALUE"""),"Membran Crabs ")</f>
        <v>Membran Crabs </v>
      </c>
      <c r="F506" s="3" t="str">
        <f>IFERROR(__xludf.DUMMYFUNCTION("""COMPUTED_VALUE"""),"GB5789 Serrated Flanged Hexagon Bolt Stainless Steel SUS304 M5x16")</f>
        <v>GB5789 Serrated Flanged Hexagon Bolt Stainless Steel SUS304 M5x16</v>
      </c>
      <c r="G506" s="3" t="str">
        <f>IFERROR(__xludf.DUMMYFUNCTION("""COMPUTED_VALUE"""),"GB5789 Serrated Flanged Hexagon Bolt Stainless Steel SUS304 M5x16
Standard : GB5789
Material : Stainless Steel (SUS304)
Shape : Flanged and Serrated Bolt
Diameter Ulir : M5
Panjang Ulir : 16mm")</f>
        <v>GB5789 Serrated Flanged Hexagon Bolt Stainless Steel SUS304 M5x16
Standard : GB5789
Material : Stainless Steel (SUS304)
Shape : Flanged and Serrated Bolt
Diameter Ulir : M5
Panjang Ulir : 16mm</v>
      </c>
      <c r="H506" s="3" t="str">
        <f>IFERROR(__xludf.DUMMYFUNCTION("""COMPUTED_VALUE"""),"Misumi")</f>
        <v>Misumi</v>
      </c>
      <c r="I506" s="3">
        <f>IFERROR(__xludf.DUMMYFUNCTION("""COMPUTED_VALUE"""),100.0)</f>
        <v>100</v>
      </c>
      <c r="J506" s="3" t="str">
        <f>IFERROR(__xludf.DUMMYFUNCTION("""COMPUTED_VALUE"""),"pcs")</f>
        <v>pcs</v>
      </c>
      <c r="K506" s="5" t="str">
        <f>IFERROR(__xludf.DUMMYFUNCTION("""COMPUTED_VALUE"""),"https://www.tokopedia.com/indomakers/gb5789-serrated-flanged-hexagon-bolt-stainless-steel-sus304-m5x16-isi-10pcs-1731645178796410672?extParam=ivf%3Dfalse%26keyword%3Dgb5789+%26search_id%3D2026012615170637BC2F75BF1BCF0E5LSC%26src%3Dsearch&amp;t_id=176944067742"&amp;"4&amp;t_st=1&amp;t_pp=search_result&amp;t_efo=search_pure_goods_card&amp;t_ef=goods_search&amp;t_sm=&amp;t_spt=search_result")</f>
        <v>https://www.tokopedia.com/indomakers/gb5789-serrated-flanged-hexagon-bolt-stainless-steel-sus304-m5x16-isi-10pcs-1731645178796410672?extParam=ivf%3Dfalse%26keyword%3Dgb5789+%26search_id%3D2026012615170637BC2F75BF1BCF0E5LSC%26src%3Dsearch&amp;t_id=1769440677424&amp;t_st=1&amp;t_pp=search_result&amp;t_efo=search_pure_goods_card&amp;t_ef=goods_search&amp;t_sm=&amp;t_spt=search_result</v>
      </c>
      <c r="L506" s="3" t="str">
        <f>IFERROR(__xludf.DUMMYFUNCTION("""COMPUTED_VALUE"""),"Tolong belikan baut hexagonal ukuran M5x16 sebanyak 100 pcs
Link pembelian sudah ku kasihyang baru ya")</f>
        <v>Tolong belikan baut hexagonal ukuran M5x16 sebanyak 100 pcs
Link pembelian sudah ku kasihyang baru ya</v>
      </c>
      <c r="M506" s="3" t="str">
        <f>IFERROR(__xludf.DUMMYFUNCTION("""COMPUTED_VALUE"""),"Approve")</f>
        <v>Approve</v>
      </c>
      <c r="N506" s="3" t="str">
        <f>IFERROR(__xludf.DUMMYFUNCTION("""COMPUTED_VALUE"""),"Normal")</f>
        <v>Normal</v>
      </c>
      <c r="O506" s="3" t="str">
        <f>IFERROR(__xludf.DUMMYFUNCTION("""COMPUTED_VALUE"""),"Non Urgent")</f>
        <v>Non Urgent</v>
      </c>
    </row>
    <row r="507">
      <c r="A507" s="4">
        <f>IFERROR(__xludf.DUMMYFUNCTION("""COMPUTED_VALUE"""),45975.68165363426)</f>
        <v>45975.68165</v>
      </c>
      <c r="B507" s="3" t="str">
        <f>IFERROR(__xludf.DUMMYFUNCTION("""COMPUTED_VALUE"""),"MRNBR0087")</f>
        <v>MRNBR0087</v>
      </c>
      <c r="C507" s="3" t="str">
        <f>IFERROR(__xludf.DUMMYFUNCTION("""COMPUTED_VALUE"""),"EJO")</f>
        <v>EJO</v>
      </c>
      <c r="D507" s="3" t="str">
        <f>IFERROR(__xludf.DUMMYFUNCTION("""COMPUTED_VALUE"""),"EJO/2025/08/114")</f>
        <v>EJO/2025/08/114</v>
      </c>
      <c r="E507" s="3" t="str">
        <f>IFERROR(__xludf.DUMMYFUNCTION("""COMPUTED_VALUE"""),"hot water")</f>
        <v>hot water</v>
      </c>
      <c r="F507" s="3" t="str">
        <f>IFERROR(__xludf.DUMMYFUNCTION("""COMPUTED_VALUE"""),"Valve ball")</f>
        <v>Valve ball</v>
      </c>
      <c r="G507" s="3" t="str">
        <f>IFERROR(__xludf.DUMMYFUNCTION("""COMPUTED_VALUE"""),"stainless steel 1/4 inch")</f>
        <v>stainless steel 1/4 inch</v>
      </c>
      <c r="H507" s="3" t="str">
        <f>IFERROR(__xludf.DUMMYFUNCTION("""COMPUTED_VALUE"""),"kitz")</f>
        <v>kitz</v>
      </c>
      <c r="I507" s="3">
        <f>IFERROR(__xludf.DUMMYFUNCTION("""COMPUTED_VALUE"""),2.0)</f>
        <v>2</v>
      </c>
      <c r="J507" s="3" t="str">
        <f>IFERROR(__xludf.DUMMYFUNCTION("""COMPUTED_VALUE"""),"pcs")</f>
        <v>pcs</v>
      </c>
      <c r="K507" s="5" t="str">
        <f>IFERROR(__xludf.DUMMYFUNCTION("""COMPUTED_VALUE"""),"https://www.tokopedia.com/kitzvalve/kitz-stainless-ball-valve-fig-600-utkm-1-4-8a-8mm-drat-screw?extParam=ivf%3Dfalse%26keyword%3Dvalve+kitz+stainless+1%2F4%26search_id%3D2025111409255834ED066DF378EF31620N%26src%3Dsearch&amp;t_id=1763111423290&amp;t_st=2&amp;t_pp=sea"&amp;"rch_result&amp;t_efo=search_pure_goods_card&amp;t_ef=goods_search&amp;t_sm=&amp;t_spt=search_result")</f>
        <v>https://www.tokopedia.com/kitzvalve/kitz-stainless-ball-valve-fig-600-utkm-1-4-8a-8mm-drat-screw?extParam=ivf%3Dfalse%26keyword%3Dvalve+kitz+stainless+1%2F4%26search_id%3D2025111409255834ED066DF378EF31620N%26src%3Dsearch&amp;t_id=1763111423290&amp;t_st=2&amp;t_pp=search_result&amp;t_efo=search_pure_goods_card&amp;t_ef=goods_search&amp;t_sm=&amp;t_spt=search_result</v>
      </c>
      <c r="L507" s="3" t="str">
        <f>IFERROR(__xludf.DUMMYFUNCTION("""COMPUTED_VALUE"""),"Untuk kalibrasi pressure gauge agar tidak perlu matikan pompa hanya tutup valve aja")</f>
        <v>Untuk kalibrasi pressure gauge agar tidak perlu matikan pompa hanya tutup valve aja</v>
      </c>
      <c r="M507" s="3" t="str">
        <f>IFERROR(__xludf.DUMMYFUNCTION("""COMPUTED_VALUE"""),"Approve")</f>
        <v>Approve</v>
      </c>
      <c r="N507" s="3" t="str">
        <f>IFERROR(__xludf.DUMMYFUNCTION("""COMPUTED_VALUE"""),"Normal")</f>
        <v>Normal</v>
      </c>
      <c r="O507" s="3" t="str">
        <f>IFERROR(__xludf.DUMMYFUNCTION("""COMPUTED_VALUE"""),"Non Urgent")</f>
        <v>Non Urgent</v>
      </c>
    </row>
    <row r="508">
      <c r="A508" s="4">
        <f>IFERROR(__xludf.DUMMYFUNCTION("""COMPUTED_VALUE"""),45975.690408194445)</f>
        <v>45975.69041</v>
      </c>
      <c r="B508" s="3" t="str">
        <f>IFERROR(__xludf.DUMMYFUNCTION("""COMPUTED_VALUE"""),"MRNBR0088")</f>
        <v>MRNBR0088</v>
      </c>
      <c r="C508" s="3" t="str">
        <f>IFERROR(__xludf.DUMMYFUNCTION("""COMPUTED_VALUE"""),"EJO")</f>
        <v>EJO</v>
      </c>
      <c r="D508" s="3" t="str">
        <f>IFERROR(__xludf.DUMMYFUNCTION("""COMPUTED_VALUE"""),"EJO/2025/08/114")</f>
        <v>EJO/2025/08/114</v>
      </c>
      <c r="E508" s="3" t="str">
        <f>IFERROR(__xludf.DUMMYFUNCTION("""COMPUTED_VALUE"""),"-")</f>
        <v>-</v>
      </c>
      <c r="F508" s="3" t="str">
        <f>IFERROR(__xludf.DUMMYFUNCTION("""COMPUTED_VALUE"""),"valve ball")</f>
        <v>valve ball</v>
      </c>
      <c r="G508" s="3" t="str">
        <f>IFERROR(__xludf.DUMMYFUNCTION("""COMPUTED_VALUE"""),"Stainless steel 3/8 inch")</f>
        <v>Stainless steel 3/8 inch</v>
      </c>
      <c r="H508" s="3" t="str">
        <f>IFERROR(__xludf.DUMMYFUNCTION("""COMPUTED_VALUE"""),"kitz")</f>
        <v>kitz</v>
      </c>
      <c r="I508" s="3">
        <f>IFERROR(__xludf.DUMMYFUNCTION("""COMPUTED_VALUE"""),2.0)</f>
        <v>2</v>
      </c>
      <c r="J508" s="3" t="str">
        <f>IFERROR(__xludf.DUMMYFUNCTION("""COMPUTED_VALUE"""),"pcs")</f>
        <v>pcs</v>
      </c>
      <c r="K508" s="5" t="str">
        <f>IFERROR(__xludf.DUMMYFUNCTION("""COMPUTED_VALUE"""),"https://www.tokopedia.com/kitzvalve/kitz-stainless-ball-valve-fig-600-utkm-3-8-10mm-drat-screw?extParam=ivf%3Dfalse%26keyword%3Dvalve+kitz+stainless+3%2F8%26search_id%3D2025111409354020F07591C6FCB2067RS6%26src%3Dsearch&amp;t_id=1763111423290&amp;t_st=3&amp;t_pp=searc"&amp;"h_result&amp;t_efo=search_pure_goods_card&amp;t_ef=goods_search&amp;t_sm=&amp;t_spt=search_result")</f>
        <v>https://www.tokopedia.com/kitzvalve/kitz-stainless-ball-valve-fig-600-utkm-3-8-10mm-drat-screw?extParam=ivf%3Dfalse%26keyword%3Dvalve+kitz+stainless+3%2F8%26search_id%3D2025111409354020F07591C6FCB2067RS6%26src%3Dsearch&amp;t_id=1763111423290&amp;t_st=3&amp;t_pp=search_result&amp;t_efo=search_pure_goods_card&amp;t_ef=goods_search&amp;t_sm=&amp;t_spt=search_result</v>
      </c>
      <c r="L508" s="3" t="str">
        <f>IFERROR(__xludf.DUMMYFUNCTION("""COMPUTED_VALUE"""),"untuk kalibrasi pressure gauge agar tidak perlu matikan pompa hanya tutup valve aja")</f>
        <v>untuk kalibrasi pressure gauge agar tidak perlu matikan pompa hanya tutup valve aja</v>
      </c>
      <c r="M508" s="3" t="str">
        <f>IFERROR(__xludf.DUMMYFUNCTION("""COMPUTED_VALUE"""),"Approve")</f>
        <v>Approve</v>
      </c>
      <c r="N508" s="3" t="str">
        <f>IFERROR(__xludf.DUMMYFUNCTION("""COMPUTED_VALUE"""),"Normal")</f>
        <v>Normal</v>
      </c>
      <c r="O508" s="3" t="str">
        <f>IFERROR(__xludf.DUMMYFUNCTION("""COMPUTED_VALUE"""),"Non Urgent")</f>
        <v>Non Urgent</v>
      </c>
    </row>
    <row r="509">
      <c r="A509" s="4">
        <f>IFERROR(__xludf.DUMMYFUNCTION("""COMPUTED_VALUE"""),45975.9534983912)</f>
        <v>45975.9535</v>
      </c>
      <c r="B509" s="3" t="str">
        <f>IFERROR(__xludf.DUMMYFUNCTION("""COMPUTED_VALUE"""),"ROSBR0049")</f>
        <v>ROSBR0049</v>
      </c>
      <c r="C509" s="3" t="str">
        <f>IFERROR(__xludf.DUMMYFUNCTION("""COMPUTED_VALUE"""),"Consumable")</f>
        <v>Consumable</v>
      </c>
      <c r="D509" s="3" t="str">
        <f>IFERROR(__xludf.DUMMYFUNCTION("""COMPUTED_VALUE"""),"NA")</f>
        <v>NA</v>
      </c>
      <c r="E509" s="3" t="str">
        <f>IFERROR(__xludf.DUMMYFUNCTION("""COMPUTED_VALUE"""),"Base Plate Capping")</f>
        <v>Base Plate Capping</v>
      </c>
      <c r="F509" s="3" t="str">
        <f>IFERROR(__xludf.DUMMYFUNCTION("""COMPUTED_VALUE"""),"Baut L 
hexagon Socket head Cap screws")</f>
        <v>Baut L 
hexagon Socket head Cap screws</v>
      </c>
      <c r="G509" s="3" t="str">
        <f>IFERROR(__xludf.DUMMYFUNCTION("""COMPUTED_VALUE"""),"Baut L M5x50mm
Material : Stainless Steel
MxP : 5 x 0.8
MxL : 5 x 50 ")</f>
        <v>Baut L M5x50mm
Material : Stainless Steel
MxP : 5 x 0.8
MxL : 5 x 50 </v>
      </c>
      <c r="H509" s="3" t="str">
        <f>IFERROR(__xludf.DUMMYFUNCTION("""COMPUTED_VALUE"""),"Universal ")</f>
        <v>Universal </v>
      </c>
      <c r="I509" s="3">
        <f>IFERROR(__xludf.DUMMYFUNCTION("""COMPUTED_VALUE"""),50.0)</f>
        <v>50</v>
      </c>
      <c r="J509" s="3" t="str">
        <f>IFERROR(__xludf.DUMMYFUNCTION("""COMPUTED_VALUE"""),"pac/pcs")</f>
        <v>pac/pcs</v>
      </c>
      <c r="K509" s="5" t="str">
        <f>IFERROR(__xludf.DUMMYFUNCTION("""COMPUTED_VALUE"""),"https://www.tokopedia.com/cahayabajabersinar/baut-l-stainless-steel-304-m5-x-40mm-50mm-ht-socket-cap-screw-m5-x-50mm-676dd?extParam=ivf%3Dfalse%26keyword%3Dbaut+l+m5x50%26search_id%3D2025111412384134ED066DF378EF152KKJ%26src%3Dsearch&amp;t_id=1763123932206&amp;t_s"&amp;"t=3&amp;t_pp=search_result&amp;t_efo=search_pure_goods_card&amp;t_ef=goods_search&amp;t_sm=&amp;t_spt=search_result")</f>
        <v>https://www.tokopedia.com/cahayabajabersinar/baut-l-stainless-steel-304-m5-x-40mm-50mm-ht-socket-cap-screw-m5-x-50mm-676dd?extParam=ivf%3Dfalse%26keyword%3Dbaut+l+m5x50%26search_id%3D2025111412384134ED066DF378EF152KKJ%26src%3Dsearch&amp;t_id=1763123932206&amp;t_st=3&amp;t_pp=search_result&amp;t_efo=search_pure_goods_card&amp;t_ef=goods_search&amp;t_sm=&amp;t_spt=search_result</v>
      </c>
      <c r="L509" s="3" t="str">
        <f>IFERROR(__xludf.DUMMYFUNCTION("""COMPUTED_VALUE"""),"-")</f>
        <v>-</v>
      </c>
      <c r="M509" s="3" t="str">
        <f>IFERROR(__xludf.DUMMYFUNCTION("""COMPUTED_VALUE"""),"Approve")</f>
        <v>Approve</v>
      </c>
      <c r="N509" s="3" t="str">
        <f>IFERROR(__xludf.DUMMYFUNCTION("""COMPUTED_VALUE"""),"Normal")</f>
        <v>Normal</v>
      </c>
      <c r="O509" s="3" t="str">
        <f>IFERROR(__xludf.DUMMYFUNCTION("""COMPUTED_VALUE"""),"Non Urgent")</f>
        <v>Non Urgent</v>
      </c>
    </row>
    <row r="510">
      <c r="A510" s="4">
        <f>IFERROR(__xludf.DUMMYFUNCTION("""COMPUTED_VALUE"""),45977.80674619213)</f>
        <v>45977.80675</v>
      </c>
      <c r="B510" s="3" t="str">
        <f>IFERROR(__xludf.DUMMYFUNCTION("""COMPUTED_VALUE"""),"NDSBR0030")</f>
        <v>NDSBR0030</v>
      </c>
      <c r="C510" s="3" t="str">
        <f>IFERROR(__xludf.DUMMYFUNCTION("""COMPUTED_VALUE"""),"Critical Part")</f>
        <v>Critical Part</v>
      </c>
      <c r="D510" s="3" t="str">
        <f>IFERROR(__xludf.DUMMYFUNCTION("""COMPUTED_VALUE"""),"-")</f>
        <v>-</v>
      </c>
      <c r="E510" s="3" t="str">
        <f>IFERROR(__xludf.DUMMYFUNCTION("""COMPUTED_VALUE"""),"New FD")</f>
        <v>New FD</v>
      </c>
      <c r="F510" s="3" t="str">
        <f>IFERROR(__xludf.DUMMYFUNCTION("""COMPUTED_VALUE"""),"Ring D10")</f>
        <v>Ring D10</v>
      </c>
      <c r="G510" s="3" t="str">
        <f>IFERROR(__xludf.DUMMYFUNCTION("""COMPUTED_VALUE"""),"Sesuai Gambar")</f>
        <v>Sesuai Gambar</v>
      </c>
      <c r="H510" s="3" t="str">
        <f>IFERROR(__xludf.DUMMYFUNCTION("""COMPUTED_VALUE"""),"-")</f>
        <v>-</v>
      </c>
      <c r="I510" s="3">
        <f>IFERROR(__xludf.DUMMYFUNCTION("""COMPUTED_VALUE"""),2.0)</f>
        <v>2</v>
      </c>
      <c r="J510" s="3" t="str">
        <f>IFERROR(__xludf.DUMMYFUNCTION("""COMPUTED_VALUE"""),"Box")</f>
        <v>Box</v>
      </c>
      <c r="K510" s="5" t="str">
        <f>IFERROR(__xludf.DUMMYFUNCTION("""COMPUTED_VALUE"""),"https://www.tokopedia.com/juraganperkakas/ring-plat-m-10-ring-plat-baut-m10-isi-100-pcs?utm_campaign=pdp-d7n5gj8xa2vp-324740715-0&amp;utm_medium=share&amp;utm_source=salinlink")</f>
        <v>https://www.tokopedia.com/juraganperkakas/ring-plat-m-10-ring-plat-baut-m10-isi-100-pcs?utm_campaign=pdp-d7n5gj8xa2vp-324740715-0&amp;utm_medium=share&amp;utm_source=salinlink</v>
      </c>
      <c r="L510" s="3" t="str">
        <f>IFERROR(__xludf.DUMMYFUNCTION("""COMPUTED_VALUE"""),"Untuk Kabel tray New FD")</f>
        <v>Untuk Kabel tray New FD</v>
      </c>
      <c r="M510" s="3" t="str">
        <f>IFERROR(__xludf.DUMMYFUNCTION("""COMPUTED_VALUE"""),"Reject")</f>
        <v>Reject</v>
      </c>
      <c r="N510" s="3" t="str">
        <f>IFERROR(__xludf.DUMMYFUNCTION("""COMPUTED_VALUE"""),"Normal")</f>
        <v>Normal</v>
      </c>
      <c r="O510" s="3" t="str">
        <f>IFERROR(__xludf.DUMMYFUNCTION("""COMPUTED_VALUE"""),"Non Urgent")</f>
        <v>Non Urgent</v>
      </c>
    </row>
    <row r="511">
      <c r="A511" s="4">
        <f>IFERROR(__xludf.DUMMYFUNCTION("""COMPUTED_VALUE"""),45977.80783576389)</f>
        <v>45977.80784</v>
      </c>
      <c r="B511" s="3" t="str">
        <f>IFERROR(__xludf.DUMMYFUNCTION("""COMPUTED_VALUE"""),"NDSBR0031")</f>
        <v>NDSBR0031</v>
      </c>
      <c r="C511" s="3" t="str">
        <f>IFERROR(__xludf.DUMMYFUNCTION("""COMPUTED_VALUE"""),"Critical Part")</f>
        <v>Critical Part</v>
      </c>
      <c r="D511" s="3" t="str">
        <f>IFERROR(__xludf.DUMMYFUNCTION("""COMPUTED_VALUE"""),"-")</f>
        <v>-</v>
      </c>
      <c r="E511" s="3" t="str">
        <f>IFERROR(__xludf.DUMMYFUNCTION("""COMPUTED_VALUE"""),"New FD")</f>
        <v>New FD</v>
      </c>
      <c r="F511" s="3" t="str">
        <f>IFERROR(__xludf.DUMMYFUNCTION("""COMPUTED_VALUE"""),"Mur M10")</f>
        <v>Mur M10</v>
      </c>
      <c r="G511" s="3" t="str">
        <f>IFERROR(__xludf.DUMMYFUNCTION("""COMPUTED_VALUE"""),"Sesuai Gambar")</f>
        <v>Sesuai Gambar</v>
      </c>
      <c r="H511" s="3" t="str">
        <f>IFERROR(__xludf.DUMMYFUNCTION("""COMPUTED_VALUE"""),"-")</f>
        <v>-</v>
      </c>
      <c r="I511" s="3">
        <f>IFERROR(__xludf.DUMMYFUNCTION("""COMPUTED_VALUE"""),150.0)</f>
        <v>150</v>
      </c>
      <c r="J511" s="3" t="str">
        <f>IFERROR(__xludf.DUMMYFUNCTION("""COMPUTED_VALUE"""),"Pcs")</f>
        <v>Pcs</v>
      </c>
      <c r="K511" s="5" t="str">
        <f>IFERROR(__xludf.DUMMYFUNCTION("""COMPUTED_VALUE"""),"https://www.tokopedia.com/karyamitragemila/mur-long-drat-stainless-10-mur-baut-stainless-10mm?utm_campaign=pdp-0272ysqmzi2y-6870187366-0&amp;utm_medium=share&amp;utm_source=salinlink")</f>
        <v>https://www.tokopedia.com/karyamitragemila/mur-long-drat-stainless-10-mur-baut-stainless-10mm?utm_campaign=pdp-0272ysqmzi2y-6870187366-0&amp;utm_medium=share&amp;utm_source=salinlink</v>
      </c>
      <c r="L511" s="3" t="str">
        <f>IFERROR(__xludf.DUMMYFUNCTION("""COMPUTED_VALUE"""),"Untuk Kabel tray New FD")</f>
        <v>Untuk Kabel tray New FD</v>
      </c>
      <c r="M511" s="3" t="str">
        <f>IFERROR(__xludf.DUMMYFUNCTION("""COMPUTED_VALUE"""),"Reject")</f>
        <v>Reject</v>
      </c>
      <c r="N511" s="3" t="str">
        <f>IFERROR(__xludf.DUMMYFUNCTION("""COMPUTED_VALUE"""),"Normal")</f>
        <v>Normal</v>
      </c>
      <c r="O511" s="3" t="str">
        <f>IFERROR(__xludf.DUMMYFUNCTION("""COMPUTED_VALUE"""),"Non Urgent")</f>
        <v>Non Urgent</v>
      </c>
    </row>
    <row r="512">
      <c r="A512" s="4">
        <f>IFERROR(__xludf.DUMMYFUNCTION("""COMPUTED_VALUE"""),45977.808607175924)</f>
        <v>45977.80861</v>
      </c>
      <c r="B512" s="3" t="str">
        <f>IFERROR(__xludf.DUMMYFUNCTION("""COMPUTED_VALUE"""),"NDSBR0032")</f>
        <v>NDSBR0032</v>
      </c>
      <c r="C512" s="3" t="str">
        <f>IFERROR(__xludf.DUMMYFUNCTION("""COMPUTED_VALUE"""),"Critical Part")</f>
        <v>Critical Part</v>
      </c>
      <c r="D512" s="3" t="str">
        <f>IFERROR(__xludf.DUMMYFUNCTION("""COMPUTED_VALUE"""),"-")</f>
        <v>-</v>
      </c>
      <c r="E512" s="3" t="str">
        <f>IFERROR(__xludf.DUMMYFUNCTION("""COMPUTED_VALUE"""),"New FD")</f>
        <v>New FD</v>
      </c>
      <c r="F512" s="3" t="str">
        <f>IFERROR(__xludf.DUMMYFUNCTION("""COMPUTED_VALUE"""),"Dinaset M10")</f>
        <v>Dinaset M10</v>
      </c>
      <c r="G512" s="3" t="str">
        <f>IFERROR(__xludf.DUMMYFUNCTION("""COMPUTED_VALUE"""),"Sesuai Gambar")</f>
        <v>Sesuai Gambar</v>
      </c>
      <c r="H512" s="3" t="str">
        <f>IFERROR(__xludf.DUMMYFUNCTION("""COMPUTED_VALUE"""),"-")</f>
        <v>-</v>
      </c>
      <c r="I512" s="3">
        <f>IFERROR(__xludf.DUMMYFUNCTION("""COMPUTED_VALUE"""),50.0)</f>
        <v>50</v>
      </c>
      <c r="J512" s="3" t="str">
        <f>IFERROR(__xludf.DUMMYFUNCTION("""COMPUTED_VALUE"""),"Pcs")</f>
        <v>Pcs</v>
      </c>
      <c r="K512" s="5" t="str">
        <f>IFERROR(__xludf.DUMMYFUNCTION("""COMPUTED_VALUE"""),"https://www.tokopedia.com/jayasentosa164/dinaset-stainless-304-m10?utm_campaign=pdp-djc8du83tvl7-636298601-0&amp;utm_medium=share&amp;utm_source=whatsapp")</f>
        <v>https://www.tokopedia.com/jayasentosa164/dinaset-stainless-304-m10?utm_campaign=pdp-djc8du83tvl7-636298601-0&amp;utm_medium=share&amp;utm_source=whatsapp</v>
      </c>
      <c r="L512" s="3" t="str">
        <f>IFERROR(__xludf.DUMMYFUNCTION("""COMPUTED_VALUE"""),"Untuk Kabel tray New FD")</f>
        <v>Untuk Kabel tray New FD</v>
      </c>
      <c r="M512" s="3" t="str">
        <f>IFERROR(__xludf.DUMMYFUNCTION("""COMPUTED_VALUE"""),"Reject")</f>
        <v>Reject</v>
      </c>
      <c r="N512" s="3" t="str">
        <f>IFERROR(__xludf.DUMMYFUNCTION("""COMPUTED_VALUE"""),"Normal")</f>
        <v>Normal</v>
      </c>
      <c r="O512" s="3" t="str">
        <f>IFERROR(__xludf.DUMMYFUNCTION("""COMPUTED_VALUE"""),"Non Urgent")</f>
        <v>Non Urgent</v>
      </c>
    </row>
    <row r="513">
      <c r="A513" s="4">
        <f>IFERROR(__xludf.DUMMYFUNCTION("""COMPUTED_VALUE"""),45977.81266841435)</f>
        <v>45977.81267</v>
      </c>
      <c r="B513" s="3" t="str">
        <f>IFERROR(__xludf.DUMMYFUNCTION("""COMPUTED_VALUE"""),"NDSBR0033")</f>
        <v>NDSBR0033</v>
      </c>
      <c r="C513" s="3" t="str">
        <f>IFERROR(__xludf.DUMMYFUNCTION("""COMPUTED_VALUE"""),"Critical Part")</f>
        <v>Critical Part</v>
      </c>
      <c r="D513" s="3" t="str">
        <f>IFERROR(__xludf.DUMMYFUNCTION("""COMPUTED_VALUE"""),"-")</f>
        <v>-</v>
      </c>
      <c r="E513" s="3" t="str">
        <f>IFERROR(__xludf.DUMMYFUNCTION("""COMPUTED_VALUE"""),"New FD")</f>
        <v>New FD</v>
      </c>
      <c r="F513" s="3" t="str">
        <f>IFERROR(__xludf.DUMMYFUNCTION("""COMPUTED_VALUE"""),"Long drat M10")</f>
        <v>Long drat M10</v>
      </c>
      <c r="G513" s="3" t="str">
        <f>IFERROR(__xludf.DUMMYFUNCTION("""COMPUTED_VALUE"""),"Sesuai Gambar")</f>
        <v>Sesuai Gambar</v>
      </c>
      <c r="H513" s="3" t="str">
        <f>IFERROR(__xludf.DUMMYFUNCTION("""COMPUTED_VALUE"""),"-")</f>
        <v>-</v>
      </c>
      <c r="I513" s="3">
        <f>IFERROR(__xludf.DUMMYFUNCTION("""COMPUTED_VALUE"""),40.0)</f>
        <v>40</v>
      </c>
      <c r="J513" s="3" t="str">
        <f>IFERROR(__xludf.DUMMYFUNCTION("""COMPUTED_VALUE"""),"Pcs")</f>
        <v>Pcs</v>
      </c>
      <c r="K513" s="5" t="str">
        <f>IFERROR(__xludf.DUMMYFUNCTION("""COMPUTED_VALUE"""),"https://www.tokopedia.com/jayasentosa164/as-drat-m10-x-3-meter-stainless-steel-304-longdrat-m10-x-3-meter-sus-304-1730997682946475438?utm_campaign=PDP-mb7j3okhynld-16424361100-0&amp;utm_source=whatsapp&amp;utm_medium=share")</f>
        <v>https://www.tokopedia.com/jayasentosa164/as-drat-m10-x-3-meter-stainless-steel-304-longdrat-m10-x-3-meter-sus-304-1730997682946475438?utm_campaign=PDP-mb7j3okhynld-16424361100-0&amp;utm_source=whatsapp&amp;utm_medium=share</v>
      </c>
      <c r="L513" s="3" t="str">
        <f>IFERROR(__xludf.DUMMYFUNCTION("""COMPUTED_VALUE"""),"Untuk Kabel tray New FD")</f>
        <v>Untuk Kabel tray New FD</v>
      </c>
      <c r="M513" s="3" t="str">
        <f>IFERROR(__xludf.DUMMYFUNCTION("""COMPUTED_VALUE"""),"Reject")</f>
        <v>Reject</v>
      </c>
      <c r="N513" s="3" t="str">
        <f>IFERROR(__xludf.DUMMYFUNCTION("""COMPUTED_VALUE"""),"Normal")</f>
        <v>Normal</v>
      </c>
      <c r="O513" s="3" t="str">
        <f>IFERROR(__xludf.DUMMYFUNCTION("""COMPUTED_VALUE"""),"Non Urgent")</f>
        <v>Non Urgent</v>
      </c>
    </row>
    <row r="514">
      <c r="A514" s="4">
        <f>IFERROR(__xludf.DUMMYFUNCTION("""COMPUTED_VALUE"""),45977.83608590278)</f>
        <v>45977.83609</v>
      </c>
      <c r="B514" s="3" t="str">
        <f>IFERROR(__xludf.DUMMYFUNCTION("""COMPUTED_VALUE"""),"NDSBR0034")</f>
        <v>NDSBR0034</v>
      </c>
      <c r="C514" s="3" t="str">
        <f>IFERROR(__xludf.DUMMYFUNCTION("""COMPUTED_VALUE"""),"Consumable")</f>
        <v>Consumable</v>
      </c>
      <c r="D514" s="3" t="str">
        <f>IFERROR(__xludf.DUMMYFUNCTION("""COMPUTED_VALUE"""),"-")</f>
        <v>-</v>
      </c>
      <c r="E514" s="3" t="str">
        <f>IFERROR(__xludf.DUMMYFUNCTION("""COMPUTED_VALUE"""),"Chiller Blister")</f>
        <v>Chiller Blister</v>
      </c>
      <c r="F514" s="3" t="str">
        <f>IFERROR(__xludf.DUMMYFUNCTION("""COMPUTED_VALUE"""),"Sensor Suhu Chiller")</f>
        <v>Sensor Suhu Chiller</v>
      </c>
      <c r="G514" s="3" t="str">
        <f>IFERROR(__xludf.DUMMYFUNCTION("""COMPUTED_VALUE"""),"Sesuai Gambar")</f>
        <v>Sesuai Gambar</v>
      </c>
      <c r="H514" s="3" t="str">
        <f>IFERROR(__xludf.DUMMYFUNCTION("""COMPUTED_VALUE"""),"-")</f>
        <v>-</v>
      </c>
      <c r="I514" s="3">
        <f>IFERROR(__xludf.DUMMYFUNCTION("""COMPUTED_VALUE"""),2.0)</f>
        <v>2</v>
      </c>
      <c r="J514" s="3" t="str">
        <f>IFERROR(__xludf.DUMMYFUNCTION("""COMPUTED_VALUE"""),"Pcs")</f>
        <v>Pcs</v>
      </c>
      <c r="K514" s="5" t="str">
        <f>IFERROR(__xludf.DUMMYFUNCTION("""COMPUTED_VALUE"""),"https://shopee.co.id/product/138926279/25359413619?gads_t_sig=VTJGc2RHVmtYMTlxTFVSVVRrdENkWVp3RFo3Mkw5czd4Z0hzdEF1WVFia1ZaQnFDSDhMcEFUR0pZV3I4S1NNc2VvNmh5VUVVbzFVbnQ0NkZ0eFFmREdWTDh4ZnNDZUNiNUlOVDNDeC9LQmRXUW81dkNWZ2FiVm05cmpLb2RTSE5WV2dJa3NoVFpHUUVUNi84Q"&amp;"m5WQnhnb0l2eE4vcjA3ZGI3ZSsyaXkxVXJRPQ&amp;share_channel_code=1&amp;uls_trackid=547171d1013e&amp;utm_campaign=id_CDrijdr49t&amp;utm_content=----&amp;utm_medium=affiliates&amp;utm_source=an_11323310810&amp;utm_term=dyw3zcexhve3")</f>
        <v>https://shopee.co.id/product/138926279/25359413619?gads_t_sig=VTJGc2RHVmtYMTlxTFVSVVRrdENkWVp3RFo3Mkw5czd4Z0hzdEF1WVFia1ZaQnFDSDhMcEFUR0pZV3I4S1NNc2VvNmh5VUVVbzFVbnQ0NkZ0eFFmREdWTDh4ZnNDZUNiNUlOVDNDeC9LQmRXUW81dkNWZ2FiVm05cmpLb2RTSE5WV2dJa3NoVFpHUUVUNi84Qm5WQnhnb0l2eE4vcjA3ZGI3ZSsyaXkxVXJRPQ&amp;share_channel_code=1&amp;uls_trackid=547171d1013e&amp;utm_campaign=id_CDrijdr49t&amp;utm_content=----&amp;utm_medium=affiliates&amp;utm_source=an_11323310810&amp;utm_term=dyw3zcexhve3</v>
      </c>
      <c r="L514" s="3" t="str">
        <f>IFERROR(__xludf.DUMMYFUNCTION("""COMPUTED_VALUE"""),"-")</f>
        <v>-</v>
      </c>
      <c r="M514" s="3" t="str">
        <f>IFERROR(__xludf.DUMMYFUNCTION("""COMPUTED_VALUE"""),"Approve")</f>
        <v>Approve</v>
      </c>
      <c r="N514" s="3" t="str">
        <f>IFERROR(__xludf.DUMMYFUNCTION("""COMPUTED_VALUE"""),"Normal")</f>
        <v>Normal</v>
      </c>
      <c r="O514" s="3" t="str">
        <f>IFERROR(__xludf.DUMMYFUNCTION("""COMPUTED_VALUE"""),"Non Urgent")</f>
        <v>Non Urgent</v>
      </c>
    </row>
    <row r="515">
      <c r="A515" s="4">
        <f>IFERROR(__xludf.DUMMYFUNCTION("""COMPUTED_VALUE"""),45979.66681965278)</f>
        <v>45979.66682</v>
      </c>
      <c r="B515" s="3" t="str">
        <f>IFERROR(__xludf.DUMMYFUNCTION("""COMPUTED_VALUE"""),"NDSBR0035")</f>
        <v>NDSBR0035</v>
      </c>
      <c r="C515" s="3" t="str">
        <f>IFERROR(__xludf.DUMMYFUNCTION("""COMPUTED_VALUE"""),"EJO")</f>
        <v>EJO</v>
      </c>
      <c r="D515" s="3" t="str">
        <f>IFERROR(__xludf.DUMMYFUNCTION("""COMPUTED_VALUE"""),"EJO/2025/11/10")</f>
        <v>EJO/2025/11/10</v>
      </c>
      <c r="E515" s="3" t="str">
        <f>IFERROR(__xludf.DUMMYFUNCTION("""COMPUTED_VALUE"""),"Washing Tunnel")</f>
        <v>Washing Tunnel</v>
      </c>
      <c r="F515" s="3" t="str">
        <f>IFERROR(__xludf.DUMMYFUNCTION("""COMPUTED_VALUE"""),"Kabel Duct")</f>
        <v>Kabel Duct</v>
      </c>
      <c r="G515" s="3" t="str">
        <f>IFERROR(__xludf.DUMMYFUNCTION("""COMPUTED_VALUE"""),"Sesuai Gambar")</f>
        <v>Sesuai Gambar</v>
      </c>
      <c r="H515" s="3" t="str">
        <f>IFERROR(__xludf.DUMMYFUNCTION("""COMPUTED_VALUE"""),"-")</f>
        <v>-</v>
      </c>
      <c r="I515" s="3">
        <f>IFERROR(__xludf.DUMMYFUNCTION("""COMPUTED_VALUE"""),1.0)</f>
        <v>1</v>
      </c>
      <c r="J515" s="3" t="str">
        <f>IFERROR(__xludf.DUMMYFUNCTION("""COMPUTED_VALUE"""),"Pcs")</f>
        <v>Pcs</v>
      </c>
      <c r="K515" s="5" t="str">
        <f>IFERROR(__xludf.DUMMYFUNCTION("""COMPUTED_VALUE"""),"https://drive.google.com/drive/folders/1yuEl7iXhO2CNHBU_QX3E2WIoVpf9adEo?usp=sharing")</f>
        <v>https://drive.google.com/drive/folders/1yuEl7iXhO2CNHBU_QX3E2WIoVpf9adEo?usp=sharing</v>
      </c>
      <c r="L515" s="3" t="str">
        <f>IFERROR(__xludf.DUMMYFUNCTION("""COMPUTED_VALUE"""),"-")</f>
        <v>-</v>
      </c>
      <c r="M515" s="3" t="str">
        <f>IFERROR(__xludf.DUMMYFUNCTION("""COMPUTED_VALUE"""),"Approve")</f>
        <v>Approve</v>
      </c>
      <c r="N515" s="3" t="str">
        <f>IFERROR(__xludf.DUMMYFUNCTION("""COMPUTED_VALUE"""),"Normal")</f>
        <v>Normal</v>
      </c>
      <c r="O515" s="3" t="str">
        <f>IFERROR(__xludf.DUMMYFUNCTION("""COMPUTED_VALUE"""),"Non Urgent")</f>
        <v>Non Urgent</v>
      </c>
    </row>
    <row r="516">
      <c r="A516" s="4">
        <f>IFERROR(__xludf.DUMMYFUNCTION("""COMPUTED_VALUE"""),45979.6689199074)</f>
        <v>45979.66892</v>
      </c>
      <c r="B516" s="3" t="str">
        <f>IFERROR(__xludf.DUMMYFUNCTION("""COMPUTED_VALUE"""),"NDSBR0036")</f>
        <v>NDSBR0036</v>
      </c>
      <c r="C516" s="3" t="str">
        <f>IFERROR(__xludf.DUMMYFUNCTION("""COMPUTED_VALUE"""),"EJO")</f>
        <v>EJO</v>
      </c>
      <c r="D516" s="3" t="str">
        <f>IFERROR(__xludf.DUMMYFUNCTION("""COMPUTED_VALUE"""),"EJO/2025/10/180")</f>
        <v>EJO/2025/10/180</v>
      </c>
      <c r="E516" s="3" t="str">
        <f>IFERROR(__xludf.DUMMYFUNCTION("""COMPUTED_VALUE"""),"Intermediat OSD")</f>
        <v>Intermediat OSD</v>
      </c>
      <c r="F516" s="3" t="str">
        <f>IFERROR(__xludf.DUMMYFUNCTION("""COMPUTED_VALUE"""),"Dudukan HMI Timbangan")</f>
        <v>Dudukan HMI Timbangan</v>
      </c>
      <c r="G516" s="3" t="str">
        <f>IFERROR(__xludf.DUMMYFUNCTION("""COMPUTED_VALUE"""),"Sesuai Gambar")</f>
        <v>Sesuai Gambar</v>
      </c>
      <c r="H516" s="3" t="str">
        <f>IFERROR(__xludf.DUMMYFUNCTION("""COMPUTED_VALUE"""),"-")</f>
        <v>-</v>
      </c>
      <c r="I516" s="3">
        <f>IFERROR(__xludf.DUMMYFUNCTION("""COMPUTED_VALUE"""),1.0)</f>
        <v>1</v>
      </c>
      <c r="J516" s="3" t="str">
        <f>IFERROR(__xludf.DUMMYFUNCTION("""COMPUTED_VALUE"""),"Pcs")</f>
        <v>Pcs</v>
      </c>
      <c r="K516" s="5" t="str">
        <f>IFERROR(__xludf.DUMMYFUNCTION("""COMPUTED_VALUE"""),"https://drive.google.com/drive/folders/1bz4V7E-HXiRvPqVjYMEmoRrPutOoHBTx?usp=sharing")</f>
        <v>https://drive.google.com/drive/folders/1bz4V7E-HXiRvPqVjYMEmoRrPutOoHBTx?usp=sharing</v>
      </c>
      <c r="L516" s="3" t="str">
        <f>IFERROR(__xludf.DUMMYFUNCTION("""COMPUTED_VALUE"""),"-")</f>
        <v>-</v>
      </c>
      <c r="M516" s="3" t="str">
        <f>IFERROR(__xludf.DUMMYFUNCTION("""COMPUTED_VALUE"""),"Reject")</f>
        <v>Reject</v>
      </c>
      <c r="N516" s="3" t="str">
        <f>IFERROR(__xludf.DUMMYFUNCTION("""COMPUTED_VALUE"""),"Normal")</f>
        <v>Normal</v>
      </c>
      <c r="O516" s="3" t="str">
        <f>IFERROR(__xludf.DUMMYFUNCTION("""COMPUTED_VALUE"""),"Non Urgent")</f>
        <v>Non Urgent</v>
      </c>
    </row>
    <row r="517">
      <c r="A517" s="4">
        <f>IFERROR(__xludf.DUMMYFUNCTION("""COMPUTED_VALUE"""),45979.67283787037)</f>
        <v>45979.67284</v>
      </c>
      <c r="B517" s="3" t="str">
        <f>IFERROR(__xludf.DUMMYFUNCTION("""COMPUTED_VALUE"""),"RIABR0116")</f>
        <v>RIABR0116</v>
      </c>
      <c r="C517" s="3" t="str">
        <f>IFERROR(__xludf.DUMMYFUNCTION("""COMPUTED_VALUE"""),"EJO")</f>
        <v>EJO</v>
      </c>
      <c r="D517" s="3" t="str">
        <f>IFERROR(__xludf.DUMMYFUNCTION("""COMPUTED_VALUE"""),"EJO/2025/09/16")</f>
        <v>EJO/2025/09/16</v>
      </c>
      <c r="E517" s="3" t="str">
        <f>IFERROR(__xludf.DUMMYFUNCTION("""COMPUTED_VALUE"""),"PWG")</f>
        <v>PWG</v>
      </c>
      <c r="F517" s="3" t="str">
        <f>IFERROR(__xludf.DUMMYFUNCTION("""COMPUTED_VALUE"""),"Pressure Gauge")</f>
        <v>Pressure Gauge</v>
      </c>
      <c r="G517" s="3" t="str">
        <f>IFERROR(__xludf.DUMMYFUNCTION("""COMPUTED_VALUE"""),"Pressure Gauge GMT 10 Bar 3/4 inch")</f>
        <v>Pressure Gauge GMT 10 Bar 3/4 inch</v>
      </c>
      <c r="H517" s="3" t="str">
        <f>IFERROR(__xludf.DUMMYFUNCTION("""COMPUTED_VALUE"""),"GMT")</f>
        <v>GMT</v>
      </c>
      <c r="I517" s="3">
        <f>IFERROR(__xludf.DUMMYFUNCTION("""COMPUTED_VALUE"""),1.0)</f>
        <v>1</v>
      </c>
      <c r="J517" s="3" t="str">
        <f>IFERROR(__xludf.DUMMYFUNCTION("""COMPUTED_VALUE"""),"Pcs")</f>
        <v>Pcs</v>
      </c>
      <c r="K517" s="3" t="str">
        <f>IFERROR(__xludf.DUMMYFUNCTION("""COMPUTED_VALUE"""),"QT-25-1202-Fonko.pdf")</f>
        <v>QT-25-1202-Fonko.pdf</v>
      </c>
      <c r="L517" s="3" t="str">
        <f>IFERROR(__xludf.DUMMYFUNCTION("""COMPUTED_VALUE"""),"Untuk PG PWG yang dari BQ MOB di reject")</f>
        <v>Untuk PG PWG yang dari BQ MOB di reject</v>
      </c>
      <c r="M517" s="3" t="str">
        <f>IFERROR(__xludf.DUMMYFUNCTION("""COMPUTED_VALUE"""),"Approve")</f>
        <v>Approve</v>
      </c>
      <c r="N517" s="3" t="str">
        <f>IFERROR(__xludf.DUMMYFUNCTION("""COMPUTED_VALUE"""),"Normal")</f>
        <v>Normal</v>
      </c>
      <c r="O517" s="3" t="str">
        <f>IFERROR(__xludf.DUMMYFUNCTION("""COMPUTED_VALUE"""),"Non Urgent")</f>
        <v>Non Urgent</v>
      </c>
    </row>
    <row r="518">
      <c r="A518" s="4">
        <f>IFERROR(__xludf.DUMMYFUNCTION("""COMPUTED_VALUE"""),45979.677170497685)</f>
        <v>45979.67717</v>
      </c>
      <c r="B518" s="3" t="str">
        <f>IFERROR(__xludf.DUMMYFUNCTION("""COMPUTED_VALUE"""),"NDSBR0037")</f>
        <v>NDSBR0037</v>
      </c>
      <c r="C518" s="3" t="str">
        <f>IFERROR(__xludf.DUMMYFUNCTION("""COMPUTED_VALUE"""),"EJO")</f>
        <v>EJO</v>
      </c>
      <c r="D518" s="3" t="str">
        <f>IFERROR(__xludf.DUMMYFUNCTION("""COMPUTED_VALUE"""),"EJO/2025/11/107")</f>
        <v>EJO/2025/11/107</v>
      </c>
      <c r="E518" s="3" t="str">
        <f>IFERROR(__xludf.DUMMYFUNCTION("""COMPUTED_VALUE"""),"PC IGL")</f>
        <v>PC IGL</v>
      </c>
      <c r="F518" s="3" t="str">
        <f>IFERROR(__xludf.DUMMYFUNCTION("""COMPUTED_VALUE""")," USB Lan")</f>
        <v> USB Lan</v>
      </c>
      <c r="G518" s="3" t="str">
        <f>IFERROR(__xludf.DUMMYFUNCTION("""COMPUTED_VALUE"""),"Sesuai Gambar")</f>
        <v>Sesuai Gambar</v>
      </c>
      <c r="H518" s="3" t="str">
        <f>IFERROR(__xludf.DUMMYFUNCTION("""COMPUTED_VALUE"""),"-")</f>
        <v>-</v>
      </c>
      <c r="I518" s="3">
        <f>IFERROR(__xludf.DUMMYFUNCTION("""COMPUTED_VALUE"""),2.0)</f>
        <v>2</v>
      </c>
      <c r="J518" s="3" t="str">
        <f>IFERROR(__xludf.DUMMYFUNCTION("""COMPUTED_VALUE"""),"Pcs")</f>
        <v>Pcs</v>
      </c>
      <c r="K518" s="5" t="str">
        <f>IFERROR(__xludf.DUMMYFUNCTION("""COMPUTED_VALUE"""),"https://www.tokopedia.com/1997desember/usb-rj45-extension-adaptor-up-to-150ft-length-usb-extender-via-lan?utm_campaign=pdp-m84gsv0il46n-6315927799-21858996&amp;utm_medium=share&amp;utm_source=salinlink")</f>
        <v>https://www.tokopedia.com/1997desember/usb-rj45-extension-adaptor-up-to-150ft-length-usb-extender-via-lan?utm_campaign=pdp-m84gsv0il46n-6315927799-21858996&amp;utm_medium=share&amp;utm_source=salinlink</v>
      </c>
      <c r="L518" s="3" t="str">
        <f>IFERROR(__xludf.DUMMYFUNCTION("""COMPUTED_VALUE"""),"- (REJECT BY MFH KARENA SUDAH DI BQ OLEH ROS DI ROSBR0038 TINGGAL TAMBAH QTY SAJA)")</f>
        <v>- (REJECT BY MFH KARENA SUDAH DI BQ OLEH ROS DI ROSBR0038 TINGGAL TAMBAH QTY SAJA)</v>
      </c>
      <c r="M518" s="3" t="str">
        <f>IFERROR(__xludf.DUMMYFUNCTION("""COMPUTED_VALUE"""),"Reject")</f>
        <v>Reject</v>
      </c>
      <c r="N518" s="3" t="str">
        <f>IFERROR(__xludf.DUMMYFUNCTION("""COMPUTED_VALUE"""),"Normal")</f>
        <v>Normal</v>
      </c>
      <c r="O518" s="3" t="str">
        <f>IFERROR(__xludf.DUMMYFUNCTION("""COMPUTED_VALUE"""),"Non Urgent")</f>
        <v>Non Urgent</v>
      </c>
    </row>
    <row r="519">
      <c r="A519" s="4">
        <f>IFERROR(__xludf.DUMMYFUNCTION("""COMPUTED_VALUE"""),45979.71473649306)</f>
        <v>45979.71474</v>
      </c>
      <c r="B519" s="3" t="str">
        <f>IFERROR(__xludf.DUMMYFUNCTION("""COMPUTED_VALUE"""),"RIABR0117")</f>
        <v>RIABR0117</v>
      </c>
      <c r="C519" s="3" t="str">
        <f>IFERROR(__xludf.DUMMYFUNCTION("""COMPUTED_VALUE"""),"Consumable")</f>
        <v>Consumable</v>
      </c>
      <c r="D519" s="3" t="str">
        <f>IFERROR(__xludf.DUMMYFUNCTION("""COMPUTED_VALUE"""),"-")</f>
        <v>-</v>
      </c>
      <c r="E519" s="3" t="str">
        <f>IFERROR(__xludf.DUMMYFUNCTION("""COMPUTED_VALUE"""),"Cooling Water")</f>
        <v>Cooling Water</v>
      </c>
      <c r="F519" s="3" t="str">
        <f>IFERROR(__xludf.DUMMYFUNCTION("""COMPUTED_VALUE"""),"Mechseal")</f>
        <v>Mechseal</v>
      </c>
      <c r="G519" s="3" t="str">
        <f>IFERROR(__xludf.DUMMYFUNCTION("""COMPUTED_VALUE"""),"Shaft seal CR/N 32/45/64/90HQQE")</f>
        <v>Shaft seal CR/N 32/45/64/90HQQE</v>
      </c>
      <c r="H519" s="3" t="str">
        <f>IFERROR(__xludf.DUMMYFUNCTION("""COMPUTED_VALUE"""),"Grundfoss")</f>
        <v>Grundfoss</v>
      </c>
      <c r="I519" s="3">
        <f>IFERROR(__xludf.DUMMYFUNCTION("""COMPUTED_VALUE"""),1.0)</f>
        <v>1</v>
      </c>
      <c r="J519" s="3" t="str">
        <f>IFERROR(__xludf.DUMMYFUNCTION("""COMPUTED_VALUE"""),"Set")</f>
        <v>Set</v>
      </c>
      <c r="K519" s="3" t="str">
        <f>IFERROR(__xludf.DUMMYFUNCTION("""COMPUTED_VALUE"""),"PENAWARAN HARGA SHAFT SEAL GRUNDFOS PT. FONKO INTERNATIONAL PHARMACEUTICALS.pdf")</f>
        <v>PENAWARAN HARGA SHAFT SEAL GRUNDFOS PT. FONKO INTERNATIONAL PHARMACEUTICALS.pdf</v>
      </c>
      <c r="L519" s="3" t="str">
        <f>IFERROR(__xludf.DUMMYFUNCTION("""COMPUTED_VALUE"""),"Untuk ganti mechseal pompa cooling water yang rusak")</f>
        <v>Untuk ganti mechseal pompa cooling water yang rusak</v>
      </c>
      <c r="M519" s="3" t="str">
        <f>IFERROR(__xludf.DUMMYFUNCTION("""COMPUTED_VALUE"""),"Approve")</f>
        <v>Approve</v>
      </c>
      <c r="N519" s="3" t="str">
        <f>IFERROR(__xludf.DUMMYFUNCTION("""COMPUTED_VALUE"""),"Normal")</f>
        <v>Normal</v>
      </c>
      <c r="O519" s="3" t="str">
        <f>IFERROR(__xludf.DUMMYFUNCTION("""COMPUTED_VALUE"""),"Non Urgent")</f>
        <v>Non Urgent</v>
      </c>
    </row>
    <row r="520">
      <c r="A520" s="4">
        <f>IFERROR(__xludf.DUMMYFUNCTION("""COMPUTED_VALUE"""),45979.72622349537)</f>
        <v>45979.72622</v>
      </c>
      <c r="B520" s="3" t="str">
        <f>IFERROR(__xludf.DUMMYFUNCTION("""COMPUTED_VALUE"""),"RIABR0118")</f>
        <v>RIABR0118</v>
      </c>
      <c r="C520" s="3" t="str">
        <f>IFERROR(__xludf.DUMMYFUNCTION("""COMPUTED_VALUE"""),"Consumable")</f>
        <v>Consumable</v>
      </c>
      <c r="D520" s="3" t="str">
        <f>IFERROR(__xludf.DUMMYFUNCTION("""COMPUTED_VALUE"""),"-")</f>
        <v>-</v>
      </c>
      <c r="E520" s="3" t="str">
        <f>IFERROR(__xludf.DUMMYFUNCTION("""COMPUTED_VALUE"""),"Hot Water")</f>
        <v>Hot Water</v>
      </c>
      <c r="F520" s="3" t="str">
        <f>IFERROR(__xludf.DUMMYFUNCTION("""COMPUTED_VALUE"""),"Pressure Gauge + Pressure Transmiter")</f>
        <v>Pressure Gauge + Pressure Transmiter</v>
      </c>
      <c r="G520" s="3" t="str">
        <f>IFERROR(__xludf.DUMMYFUNCTION("""COMPUTED_VALUE"""),"Pressure Gauge with Electric Contact. Alat ini merupakan perpaduan antara pressure gauge dan pressure switch.
Spec :
- Display Size : 4 Inch | 101,6 mm
- Dual Electric Contact ON OFF
- Voltase Input : MAX 380 V
- Voltase Output : 30 VA
- Ranges "&amp;": 0 - 10 Kg/Cm2 | 0 - 150 Psi
- Resolution : 0,5 Kg | 10 Psi
- Mounting : Bottom / Raket
- Drat : 1/2 inch
- Material Drat : Brass (Kuningan)")</f>
        <v>Pressure Gauge with Electric Contact. Alat ini merupakan perpaduan antara pressure gauge dan pressure switch.
Spec :
- Display Size : 4 Inch | 101,6 mm
- Dual Electric Contact ON OFF
- Voltase Input : MAX 380 V
- Voltase Output : 30 VA
- Ranges : 0 - 10 Kg/Cm2 | 0 - 150 Psi
- Resolution : 0,5 Kg | 10 Psi
- Mounting : Bottom / Raket
- Drat : 1/2 inch
- Material Drat : Brass (Kuningan)</v>
      </c>
      <c r="H520" s="3" t="str">
        <f>IFERROR(__xludf.DUMMYFUNCTION("""COMPUTED_VALUE"""),"Lokal")</f>
        <v>Lokal</v>
      </c>
      <c r="I520" s="3">
        <f>IFERROR(__xludf.DUMMYFUNCTION("""COMPUTED_VALUE"""),1.0)</f>
        <v>1</v>
      </c>
      <c r="J520" s="3" t="str">
        <f>IFERROR(__xludf.DUMMYFUNCTION("""COMPUTED_VALUE"""),"Pcs")</f>
        <v>Pcs</v>
      </c>
      <c r="K520" s="5" t="str">
        <f>IFERROR(__xludf.DUMMYFUNCTION("""COMPUTED_VALUE"""),"https://www.tokopedia.com/dhuhateknik/pressure-gauge-with-electric-contact-pressure-gauge-switch-armatherm-10kg-4-inch-drat-1-2-inch-1731482437069014204?extParam=ivf%3Dfalse%26keyword%3Dpressure+switch+pressure+gauge%26search_id%3D2025111810211737BC2F75BF"&amp;"1BCF078ARN%26src%3Dsearch&amp;t_id=1763461286390&amp;t_st=3&amp;t_pp=search_result&amp;t_efo=search_pure_goods_card&amp;t_ef=goods_search&amp;t_sm=&amp;t_spt=search_result")</f>
        <v>https://www.tokopedia.com/dhuhateknik/pressure-gauge-with-electric-contact-pressure-gauge-switch-armatherm-10kg-4-inch-drat-1-2-inch-1731482437069014204?extParam=ivf%3Dfalse%26keyword%3Dpressure+switch+pressure+gauge%26search_id%3D2025111810211737BC2F75BF1BCF078ARN%26src%3Dsearch&amp;t_id=1763461286390&amp;t_st=3&amp;t_pp=search_result&amp;t_efo=search_pure_goods_card&amp;t_ef=goods_search&amp;t_sm=&amp;t_spt=search_result</v>
      </c>
      <c r="L520" s="3" t="str">
        <f>IFERROR(__xludf.DUMMYFUNCTION("""COMPUTED_VALUE"""),"Buat interlock heater dan boiler")</f>
        <v>Buat interlock heater dan boiler</v>
      </c>
      <c r="M520" s="3" t="str">
        <f>IFERROR(__xludf.DUMMYFUNCTION("""COMPUTED_VALUE"""),"Approve")</f>
        <v>Approve</v>
      </c>
      <c r="N520" s="3" t="str">
        <f>IFERROR(__xludf.DUMMYFUNCTION("""COMPUTED_VALUE"""),"Normal")</f>
        <v>Normal</v>
      </c>
      <c r="O520" s="3" t="str">
        <f>IFERROR(__xludf.DUMMYFUNCTION("""COMPUTED_VALUE"""),"Non Urgent")</f>
        <v>Non Urgent</v>
      </c>
    </row>
    <row r="521">
      <c r="A521" s="4">
        <f>IFERROR(__xludf.DUMMYFUNCTION("""COMPUTED_VALUE"""),45979.73022712963)</f>
        <v>45979.73023</v>
      </c>
      <c r="B521" s="3" t="str">
        <f>IFERROR(__xludf.DUMMYFUNCTION("""COMPUTED_VALUE"""),"RIABR0119")</f>
        <v>RIABR0119</v>
      </c>
      <c r="C521" s="3" t="str">
        <f>IFERROR(__xludf.DUMMYFUNCTION("""COMPUTED_VALUE"""),"Consumable")</f>
        <v>Consumable</v>
      </c>
      <c r="D521" s="3" t="str">
        <f>IFERROR(__xludf.DUMMYFUNCTION("""COMPUTED_VALUE"""),"-")</f>
        <v>-</v>
      </c>
      <c r="E521" s="3" t="str">
        <f>IFERROR(__xludf.DUMMYFUNCTION("""COMPUTED_VALUE"""),"AHU OS E1-1")</f>
        <v>AHU OS E1-1</v>
      </c>
      <c r="F521" s="3" t="str">
        <f>IFERROR(__xludf.DUMMYFUNCTION("""COMPUTED_VALUE"""),"Magnehelic")</f>
        <v>Magnehelic</v>
      </c>
      <c r="G521" s="3" t="str">
        <f>IFERROR(__xludf.DUMMYFUNCTION("""COMPUTED_VALUE"""),"Magnehelic Dwyer 0-500 Pascal")</f>
        <v>Magnehelic Dwyer 0-500 Pascal</v>
      </c>
      <c r="H521" s="3" t="str">
        <f>IFERROR(__xludf.DUMMYFUNCTION("""COMPUTED_VALUE"""),"Dwyer")</f>
        <v>Dwyer</v>
      </c>
      <c r="I521" s="3">
        <f>IFERROR(__xludf.DUMMYFUNCTION("""COMPUTED_VALUE"""),3.0)</f>
        <v>3</v>
      </c>
      <c r="J521" s="3" t="str">
        <f>IFERROR(__xludf.DUMMYFUNCTION("""COMPUTED_VALUE"""),"Pcs")</f>
        <v>Pcs</v>
      </c>
      <c r="K521" s="5" t="str">
        <f>IFERROR(__xludf.DUMMYFUNCTION("""COMPUTED_VALUE"""),"https://www.tokopedia.com/tokostockglodok/dwyer-magnehelic-0-500-pascal-original-baru-garansi-1-bulan-made-in-usa-presisi-tinggi-1731595365878367325?extParam=ivf%3Dfalse%26keyword%3Dmagnehelic+0+-+500+dwyer%26search_id%3D20251118103033357A6FDF7642BF1E7XZL"&amp;"%26src%3Dsearch&amp;t_id=1763461286390&amp;t_st=5&amp;t_pp=search_result&amp;t_efo=search_pure_goods_card&amp;t_ef=goods_search&amp;t_sm=&amp;t_spt=search_result")</f>
        <v>https://www.tokopedia.com/tokostockglodok/dwyer-magnehelic-0-500-pascal-original-baru-garansi-1-bulan-made-in-usa-presisi-tinggi-1731595365878367325?extParam=ivf%3Dfalse%26keyword%3Dmagnehelic+0+-+500+dwyer%26search_id%3D20251118103033357A6FDF7642BF1E7XZL%26src%3Dsearch&amp;t_id=1763461286390&amp;t_st=5&amp;t_pp=search_result&amp;t_efo=search_pure_goods_card&amp;t_ef=goods_search&amp;t_sm=&amp;t_spt=search_result</v>
      </c>
      <c r="L521" s="3" t="str">
        <f>IFERROR(__xludf.DUMMYFUNCTION("""COMPUTED_VALUE"""),"Buat ganti yang oos di kalibrasi (REJECT BY MFH KARENA SUDAH BQ DI RIABR0123)")</f>
        <v>Buat ganti yang oos di kalibrasi (REJECT BY MFH KARENA SUDAH BQ DI RIABR0123)</v>
      </c>
      <c r="M521" s="3" t="str">
        <f>IFERROR(__xludf.DUMMYFUNCTION("""COMPUTED_VALUE"""),"Reject")</f>
        <v>Reject</v>
      </c>
      <c r="N521" s="3" t="str">
        <f>IFERROR(__xludf.DUMMYFUNCTION("""COMPUTED_VALUE"""),"Normal")</f>
        <v>Normal</v>
      </c>
      <c r="O521" s="3" t="str">
        <f>IFERROR(__xludf.DUMMYFUNCTION("""COMPUTED_VALUE"""),"Non Urgent")</f>
        <v>Non Urgent</v>
      </c>
    </row>
    <row r="522">
      <c r="A522" s="4">
        <f>IFERROR(__xludf.DUMMYFUNCTION("""COMPUTED_VALUE"""),45979.73112989584)</f>
        <v>45979.73113</v>
      </c>
      <c r="B522" s="3" t="str">
        <f>IFERROR(__xludf.DUMMYFUNCTION("""COMPUTED_VALUE"""),"RIABR0120")</f>
        <v>RIABR0120</v>
      </c>
      <c r="C522" s="3" t="str">
        <f>IFERROR(__xludf.DUMMYFUNCTION("""COMPUTED_VALUE"""),"Consumable")</f>
        <v>Consumable</v>
      </c>
      <c r="D522" s="3" t="str">
        <f>IFERROR(__xludf.DUMMYFUNCTION("""COMPUTED_VALUE"""),"-")</f>
        <v>-</v>
      </c>
      <c r="E522" s="3" t="str">
        <f>IFERROR(__xludf.DUMMYFUNCTION("""COMPUTED_VALUE"""),"AHU OS E1-1")</f>
        <v>AHU OS E1-1</v>
      </c>
      <c r="F522" s="3" t="str">
        <f>IFERROR(__xludf.DUMMYFUNCTION("""COMPUTED_VALUE"""),"Magnehelic")</f>
        <v>Magnehelic</v>
      </c>
      <c r="G522" s="3" t="str">
        <f>IFERROR(__xludf.DUMMYFUNCTION("""COMPUTED_VALUE"""),"Magnehelic Dwyer 0-250 Pascal")</f>
        <v>Magnehelic Dwyer 0-250 Pascal</v>
      </c>
      <c r="H522" s="3" t="str">
        <f>IFERROR(__xludf.DUMMYFUNCTION("""COMPUTED_VALUE"""),"Dwyer")</f>
        <v>Dwyer</v>
      </c>
      <c r="I522" s="3">
        <f>IFERROR(__xludf.DUMMYFUNCTION("""COMPUTED_VALUE"""),3.0)</f>
        <v>3</v>
      </c>
      <c r="J522" s="3" t="str">
        <f>IFERROR(__xludf.DUMMYFUNCTION("""COMPUTED_VALUE"""),"Pcs")</f>
        <v>Pcs</v>
      </c>
      <c r="K522" s="5" t="str">
        <f>IFERROR(__xludf.DUMMYFUNCTION("""COMPUTED_VALUE"""),"https://www.tokopedia.com/tokostockglodok/magnehelic-dwyer-0-250-pascal?extParam=ivf%3Dfalse%26keyword%3Dmagnehelic+0+-+250+dwyer%26search_id%3D20251118103229D81F9C1BE2E0892A1KFP%26src%3Dsearch&amp;t_id=1763461286390&amp;t_st=6&amp;t_pp=search_result&amp;t_efo=search_pur"&amp;"e_goods_card&amp;t_ef=goods_search&amp;t_sm=&amp;t_spt=search_result")</f>
        <v>https://www.tokopedia.com/tokostockglodok/magnehelic-dwyer-0-250-pascal?extParam=ivf%3Dfalse%26keyword%3Dmagnehelic+0+-+250+dwyer%26search_id%3D20251118103229D81F9C1BE2E0892A1KFP%26src%3Dsearch&amp;t_id=1763461286390&amp;t_st=6&amp;t_pp=search_result&amp;t_efo=search_pure_goods_card&amp;t_ef=goods_search&amp;t_sm=&amp;t_spt=search_result</v>
      </c>
      <c r="L522" s="3" t="str">
        <f>IFERROR(__xludf.DUMMYFUNCTION("""COMPUTED_VALUE"""),"Buat ganti yang oos di kalibrasi (REJECT BY MFH KARENA SUDAH DI BQ DI RIABR0123)")</f>
        <v>Buat ganti yang oos di kalibrasi (REJECT BY MFH KARENA SUDAH DI BQ DI RIABR0123)</v>
      </c>
      <c r="M522" s="3" t="str">
        <f>IFERROR(__xludf.DUMMYFUNCTION("""COMPUTED_VALUE"""),"Reject")</f>
        <v>Reject</v>
      </c>
      <c r="N522" s="3" t="str">
        <f>IFERROR(__xludf.DUMMYFUNCTION("""COMPUTED_VALUE"""),"Normal")</f>
        <v>Normal</v>
      </c>
      <c r="O522" s="3" t="str">
        <f>IFERROR(__xludf.DUMMYFUNCTION("""COMPUTED_VALUE"""),"Non Urgent")</f>
        <v>Non Urgent</v>
      </c>
    </row>
    <row r="523">
      <c r="A523" s="4">
        <f>IFERROR(__xludf.DUMMYFUNCTION("""COMPUTED_VALUE"""),45979.732386365744)</f>
        <v>45979.73239</v>
      </c>
      <c r="B523" s="3" t="str">
        <f>IFERROR(__xludf.DUMMYFUNCTION("""COMPUTED_VALUE"""),"RIABR0121")</f>
        <v>RIABR0121</v>
      </c>
      <c r="C523" s="3" t="str">
        <f>IFERROR(__xludf.DUMMYFUNCTION("""COMPUTED_VALUE"""),"Consumable")</f>
        <v>Consumable</v>
      </c>
      <c r="D523" s="3" t="str">
        <f>IFERROR(__xludf.DUMMYFUNCTION("""COMPUTED_VALUE"""),"-")</f>
        <v>-</v>
      </c>
      <c r="E523" s="3" t="str">
        <f>IFERROR(__xludf.DUMMYFUNCTION("""COMPUTED_VALUE"""),"AHU OS E1-1")</f>
        <v>AHU OS E1-1</v>
      </c>
      <c r="F523" s="3" t="str">
        <f>IFERROR(__xludf.DUMMYFUNCTION("""COMPUTED_VALUE"""),"Magnehelic")</f>
        <v>Magnehelic</v>
      </c>
      <c r="G523" s="3" t="str">
        <f>IFERROR(__xludf.DUMMYFUNCTION("""COMPUTED_VALUE"""),"Magnehelic Dwyer 0-1000 Pascal")</f>
        <v>Magnehelic Dwyer 0-1000 Pascal</v>
      </c>
      <c r="H523" s="3" t="str">
        <f>IFERROR(__xludf.DUMMYFUNCTION("""COMPUTED_VALUE"""),"Dwyer")</f>
        <v>Dwyer</v>
      </c>
      <c r="I523" s="3">
        <f>IFERROR(__xludf.DUMMYFUNCTION("""COMPUTED_VALUE"""),3.0)</f>
        <v>3</v>
      </c>
      <c r="J523" s="3" t="str">
        <f>IFERROR(__xludf.DUMMYFUNCTION("""COMPUTED_VALUE"""),"Pcs")</f>
        <v>Pcs</v>
      </c>
      <c r="K523" s="5" t="str">
        <f>IFERROR(__xludf.DUMMYFUNCTION("""COMPUTED_VALUE"""),"https://www.tokopedia.com/dwyerofficial/dwyer-magnehelic-0-1000-pascal-differential-pressure-gauge?extParam=ivf%3Dfalse%26keyword%3Dmagnehelic+0+-+1000+dwyer%26search_id%3D20251118103347EF0D3930A7B6C93D01WY%26src%3Dsearch&amp;t_id=1763461286390&amp;t_st=8&amp;t_pp=se"&amp;"arch_result&amp;t_efo=search_pure_goods_card&amp;t_ef=goods_search&amp;t_sm=&amp;t_spt=search_result")</f>
        <v>https://www.tokopedia.com/dwyerofficial/dwyer-magnehelic-0-1000-pascal-differential-pressure-gauge?extParam=ivf%3Dfalse%26keyword%3Dmagnehelic+0+-+1000+dwyer%26search_id%3D20251118103347EF0D3930A7B6C93D01WY%26src%3Dsearch&amp;t_id=1763461286390&amp;t_st=8&amp;t_pp=search_result&amp;t_efo=search_pure_goods_card&amp;t_ef=goods_search&amp;t_sm=&amp;t_spt=search_result</v>
      </c>
      <c r="L523" s="3" t="str">
        <f>IFERROR(__xludf.DUMMYFUNCTION("""COMPUTED_VALUE"""),"Buat ganti yang oos di kalibrasi")</f>
        <v>Buat ganti yang oos di kalibrasi</v>
      </c>
      <c r="M523" s="3" t="str">
        <f>IFERROR(__xludf.DUMMYFUNCTION("""COMPUTED_VALUE"""),"Approve")</f>
        <v>Approve</v>
      </c>
      <c r="N523" s="3" t="str">
        <f>IFERROR(__xludf.DUMMYFUNCTION("""COMPUTED_VALUE"""),"Normal")</f>
        <v>Normal</v>
      </c>
      <c r="O523" s="3" t="str">
        <f>IFERROR(__xludf.DUMMYFUNCTION("""COMPUTED_VALUE"""),"Non Urgent")</f>
        <v>Non Urgent</v>
      </c>
    </row>
    <row r="524">
      <c r="A524" s="4">
        <f>IFERROR(__xludf.DUMMYFUNCTION("""COMPUTED_VALUE"""),45979.73319178241)</f>
        <v>45979.73319</v>
      </c>
      <c r="B524" s="3" t="str">
        <f>IFERROR(__xludf.DUMMYFUNCTION("""COMPUTED_VALUE"""),"RIABR0122")</f>
        <v>RIABR0122</v>
      </c>
      <c r="C524" s="3" t="str">
        <f>IFERROR(__xludf.DUMMYFUNCTION("""COMPUTED_VALUE"""),"Consumable")</f>
        <v>Consumable</v>
      </c>
      <c r="D524" s="3" t="str">
        <f>IFERROR(__xludf.DUMMYFUNCTION("""COMPUTED_VALUE"""),"-")</f>
        <v>-</v>
      </c>
      <c r="E524" s="3" t="str">
        <f>IFERROR(__xludf.DUMMYFUNCTION("""COMPUTED_VALUE"""),"Tool")</f>
        <v>Tool</v>
      </c>
      <c r="F524" s="3" t="str">
        <f>IFERROR(__xludf.DUMMYFUNCTION("""COMPUTED_VALUE"""),"Tang Buaya")</f>
        <v>Tang Buaya</v>
      </c>
      <c r="G524" s="3" t="str">
        <f>IFERROR(__xludf.DUMMYFUNCTION("""COMPUTED_VALUE"""),"Tang Buaya Tekiro")</f>
        <v>Tang Buaya Tekiro</v>
      </c>
      <c r="H524" s="3" t="str">
        <f>IFERROR(__xludf.DUMMYFUNCTION("""COMPUTED_VALUE"""),"Tekiro")</f>
        <v>Tekiro</v>
      </c>
      <c r="I524" s="3">
        <f>IFERROR(__xludf.DUMMYFUNCTION("""COMPUTED_VALUE"""),4.0)</f>
        <v>4</v>
      </c>
      <c r="J524" s="3" t="str">
        <f>IFERROR(__xludf.DUMMYFUNCTION("""COMPUTED_VALUE"""),"Pcs")</f>
        <v>Pcs</v>
      </c>
      <c r="K524" s="5" t="str">
        <f>IFERROR(__xludf.DUMMYFUNCTION("""COMPUTED_VALUE"""),"https://www.tokopedia.com/tekiro-rexco/tekiro-tang-buaya-bengkok-10-inch-tang-buaya-tang-jepit?extParam=ivf%3Dfalse%26keyword%3Dtang+buaya+tekiro%26search_id%3D20251118103515D81F9C1BE2E0890FCAG5%26src%3Dsearch&amp;t_id=1763461286390&amp;t_st=9&amp;t_pp=search_result&amp;"&amp;"t_efo=search_pure_goods_card&amp;t_ef=goods_search&amp;t_sm=&amp;t_spt=search_result")</f>
        <v>https://www.tokopedia.com/tekiro-rexco/tekiro-tang-buaya-bengkok-10-inch-tang-buaya-tang-jepit?extParam=ivf%3Dfalse%26keyword%3Dtang+buaya+tekiro%26search_id%3D20251118103515D81F9C1BE2E0890FCAG5%26src%3Dsearch&amp;t_id=1763461286390&amp;t_st=9&amp;t_pp=search_result&amp;t_efo=search_pure_goods_card&amp;t_ef=goods_search&amp;t_sm=&amp;t_spt=search_result</v>
      </c>
      <c r="L524" s="3" t="str">
        <f>IFERROR(__xludf.DUMMYFUNCTION("""COMPUTED_VALUE"""),"Buat tool karena tang buaya sudah jelek")</f>
        <v>Buat tool karena tang buaya sudah jelek</v>
      </c>
      <c r="M524" s="3" t="str">
        <f>IFERROR(__xludf.DUMMYFUNCTION("""COMPUTED_VALUE"""),"Approve")</f>
        <v>Approve</v>
      </c>
      <c r="N524" s="3" t="str">
        <f>IFERROR(__xludf.DUMMYFUNCTION("""COMPUTED_VALUE"""),"Normal")</f>
        <v>Normal</v>
      </c>
      <c r="O524" s="3" t="str">
        <f>IFERROR(__xludf.DUMMYFUNCTION("""COMPUTED_VALUE"""),"Non Urgent")</f>
        <v>Non Urgent</v>
      </c>
    </row>
    <row r="525">
      <c r="A525" s="4">
        <f>IFERROR(__xludf.DUMMYFUNCTION("""COMPUTED_VALUE"""),45980.92822083333)</f>
        <v>45980.92822</v>
      </c>
      <c r="B525" s="3" t="str">
        <f>IFERROR(__xludf.DUMMYFUNCTION("""COMPUTED_VALUE"""),"NDSBR0038")</f>
        <v>NDSBR0038</v>
      </c>
      <c r="C525" s="3" t="str">
        <f>IFERROR(__xludf.DUMMYFUNCTION("""COMPUTED_VALUE"""),"EJO")</f>
        <v>EJO</v>
      </c>
      <c r="D525" s="3" t="str">
        <f>IFERROR(__xludf.DUMMYFUNCTION("""COMPUTED_VALUE"""),"EJO/2025/11/109")</f>
        <v>EJO/2025/11/109</v>
      </c>
      <c r="E525" s="3" t="str">
        <f>IFERROR(__xludf.DUMMYFUNCTION("""COMPUTED_VALUE"""),"Cartoning")</f>
        <v>Cartoning</v>
      </c>
      <c r="F525" s="3" t="str">
        <f>IFERROR(__xludf.DUMMYFUNCTION("""COMPUTED_VALUE"""),"Metal Finger")</f>
        <v>Metal Finger</v>
      </c>
      <c r="G525" s="3" t="str">
        <f>IFERROR(__xludf.DUMMYFUNCTION("""COMPUTED_VALUE"""),"Sesuai Penawaran")</f>
        <v>Sesuai Penawaran</v>
      </c>
      <c r="H525" s="3" t="str">
        <f>IFERROR(__xludf.DUMMYFUNCTION("""COMPUTED_VALUE"""),"-")</f>
        <v>-</v>
      </c>
      <c r="I525" s="3">
        <f>IFERROR(__xludf.DUMMYFUNCTION("""COMPUTED_VALUE"""),5.0)</f>
        <v>5</v>
      </c>
      <c r="J525" s="3" t="str">
        <f>IFERROR(__xludf.DUMMYFUNCTION("""COMPUTED_VALUE"""),"Pcs")</f>
        <v>Pcs</v>
      </c>
      <c r="K525" s="5" t="str">
        <f>IFERROR(__xludf.DUMMYFUNCTION("""COMPUTED_VALUE"""),"https://drive.google.com/file/d/14v-JLYNTKcxGSHDY3i1U6DDR6e2IC6uZ/view?usp=drive_link")</f>
        <v>https://drive.google.com/file/d/14v-JLYNTKcxGSHDY3i1U6DDR6e2IC6uZ/view?usp=drive_link</v>
      </c>
      <c r="L525" s="3" t="str">
        <f>IFERROR(__xludf.DUMMYFUNCTION("""COMPUTED_VALUE"""),"3M0YI000001")</f>
        <v>3M0YI000001</v>
      </c>
      <c r="M525" s="3" t="str">
        <f>IFERROR(__xludf.DUMMYFUNCTION("""COMPUTED_VALUE"""),"Approve")</f>
        <v>Approve</v>
      </c>
      <c r="N525" s="3" t="str">
        <f>IFERROR(__xludf.DUMMYFUNCTION("""COMPUTED_VALUE"""),"Normal")</f>
        <v>Normal</v>
      </c>
      <c r="O525" s="3" t="str">
        <f>IFERROR(__xludf.DUMMYFUNCTION("""COMPUTED_VALUE"""),"Non Urgent")</f>
        <v>Non Urgent</v>
      </c>
    </row>
    <row r="526">
      <c r="A526" s="4">
        <f>IFERROR(__xludf.DUMMYFUNCTION("""COMPUTED_VALUE"""),45980.92952231481)</f>
        <v>45980.92952</v>
      </c>
      <c r="B526" s="3" t="str">
        <f>IFERROR(__xludf.DUMMYFUNCTION("""COMPUTED_VALUE"""),"NDSBR0039")</f>
        <v>NDSBR0039</v>
      </c>
      <c r="C526" s="3" t="str">
        <f>IFERROR(__xludf.DUMMYFUNCTION("""COMPUTED_VALUE"""),"EJO")</f>
        <v>EJO</v>
      </c>
      <c r="D526" s="3" t="str">
        <f>IFERROR(__xludf.DUMMYFUNCTION("""COMPUTED_VALUE"""),"EJO/2025/11/109")</f>
        <v>EJO/2025/11/109</v>
      </c>
      <c r="E526" s="3" t="str">
        <f>IFERROR(__xludf.DUMMYFUNCTION("""COMPUTED_VALUE"""),"Cartoning")</f>
        <v>Cartoning</v>
      </c>
      <c r="F526" s="3" t="str">
        <f>IFERROR(__xludf.DUMMYFUNCTION("""COMPUTED_VALUE"""),"Metal Finger")</f>
        <v>Metal Finger</v>
      </c>
      <c r="G526" s="3" t="str">
        <f>IFERROR(__xludf.DUMMYFUNCTION("""COMPUTED_VALUE"""),"Sesuai Penawaran")</f>
        <v>Sesuai Penawaran</v>
      </c>
      <c r="H526" s="3" t="str">
        <f>IFERROR(__xludf.DUMMYFUNCTION("""COMPUTED_VALUE"""),"-")</f>
        <v>-</v>
      </c>
      <c r="I526" s="3">
        <f>IFERROR(__xludf.DUMMYFUNCTION("""COMPUTED_VALUE"""),2.0)</f>
        <v>2</v>
      </c>
      <c r="J526" s="3" t="str">
        <f>IFERROR(__xludf.DUMMYFUNCTION("""COMPUTED_VALUE"""),"Pcs")</f>
        <v>Pcs</v>
      </c>
      <c r="K526" s="5" t="str">
        <f>IFERROR(__xludf.DUMMYFUNCTION("""COMPUTED_VALUE"""),"https://drive.google.com/file/d/14v-JLYNTKcxGSHDY3i1U6DDR6e2IC6uZ/view?usp=drive_link")</f>
        <v>https://drive.google.com/file/d/14v-JLYNTKcxGSHDY3i1U6DDR6e2IC6uZ/view?usp=drive_link</v>
      </c>
      <c r="L526" s="3" t="str">
        <f>IFERROR(__xludf.DUMMYFUNCTION("""COMPUTED_VALUE"""),"3M0YI000002")</f>
        <v>3M0YI000002</v>
      </c>
      <c r="M526" s="3" t="str">
        <f>IFERROR(__xludf.DUMMYFUNCTION("""COMPUTED_VALUE"""),"Approve")</f>
        <v>Approve</v>
      </c>
      <c r="N526" s="3" t="str">
        <f>IFERROR(__xludf.DUMMYFUNCTION("""COMPUTED_VALUE"""),"Normal")</f>
        <v>Normal</v>
      </c>
      <c r="O526" s="3" t="str">
        <f>IFERROR(__xludf.DUMMYFUNCTION("""COMPUTED_VALUE"""),"Non Urgent")</f>
        <v>Non Urgent</v>
      </c>
    </row>
    <row r="527">
      <c r="A527" s="4">
        <f>IFERROR(__xludf.DUMMYFUNCTION("""COMPUTED_VALUE"""),45981.6397477662)</f>
        <v>45981.63975</v>
      </c>
      <c r="B527" s="3" t="str">
        <f>IFERROR(__xludf.DUMMYFUNCTION("""COMPUTED_VALUE"""),"NDSBR0040")</f>
        <v>NDSBR0040</v>
      </c>
      <c r="C527" s="3" t="str">
        <f>IFERROR(__xludf.DUMMYFUNCTION("""COMPUTED_VALUE"""),"EJO")</f>
        <v>EJO</v>
      </c>
      <c r="D527" s="3" t="str">
        <f>IFERROR(__xludf.DUMMYFUNCTION("""COMPUTED_VALUE"""),"EJO/2025/11/10")</f>
        <v>EJO/2025/11/10</v>
      </c>
      <c r="E527" s="3" t="str">
        <f>IFERROR(__xludf.DUMMYFUNCTION("""COMPUTED_VALUE"""),"Washing Tunnel")</f>
        <v>Washing Tunnel</v>
      </c>
      <c r="F527" s="3" t="str">
        <f>IFERROR(__xludf.DUMMYFUNCTION("""COMPUTED_VALUE"""),"Manual Valve Washing")</f>
        <v>Manual Valve Washing</v>
      </c>
      <c r="G527" s="3" t="str">
        <f>IFERROR(__xludf.DUMMYFUNCTION("""COMPUTED_VALUE"""),"3/4 inch")</f>
        <v>3/4 inch</v>
      </c>
      <c r="H527" s="3" t="str">
        <f>IFERROR(__xludf.DUMMYFUNCTION("""COMPUTED_VALUE"""),"-")</f>
        <v>-</v>
      </c>
      <c r="I527" s="3">
        <f>IFERROR(__xludf.DUMMYFUNCTION("""COMPUTED_VALUE"""),1.0)</f>
        <v>1</v>
      </c>
      <c r="J527" s="3" t="str">
        <f>IFERROR(__xludf.DUMMYFUNCTION("""COMPUTED_VALUE"""),"Pcs")</f>
        <v>Pcs</v>
      </c>
      <c r="K527" s="5" t="str">
        <f>IFERROR(__xludf.DUMMYFUNCTION("""COMPUTED_VALUE"""),"https://www.google.com/search?sca_esv=d0ca274367ee7348&amp;rlz=1C1GCEA_enID1076ID1076&amp;sxsrf=AE3TifOf34lCmv28ARxFtg2sGvWfjzdvVg:1763567935840&amp;udm=2&amp;fbs=AIIjpHz7wsNGIr2JtZ-cHhz0krGlm2QhyjMco2nIu0lirb5Sihx-b0oAhyDYmGb5K9FIrXnzOgwGXLvOhrKVu2C30f2dzKv7C4XgSQa1hl_U"&amp;"JAwH8FSU7s3FbDlJqp4LylrMOnYM2i_-JwM11ZJ21P2QhQMkb49PeI80SCQfL7ZganQG_WCfAHvDGGECtj5XnaFS65y6uz3gAd9UiMSjjPJJQv1Jsrm45A&amp;q=manual+valve+3/4+inch+ferrule&amp;sa=X&amp;ved=2ahUKEwiZlenCyv6QAxXTRmwGHShuMvkQtKgLegQIFRAB&amp;biw=1366&amp;bih=653&amp;dpr=1#vhid=rKAph7mQY51eKM&amp;vssid="&amp;"mosaic")</f>
        <v>https://www.google.com/search?sca_esv=d0ca274367ee7348&amp;rlz=1C1GCEA_enID1076ID1076&amp;sxsrf=AE3TifOf34lCmv28ARxFtg2sGvWfjzdvVg:1763567935840&amp;udm=2&amp;fbs=AIIjpHz7wsNGIr2JtZ-cHhz0krGlm2QhyjMco2nIu0lirb5Sihx-b0oAhyDYmGb5K9FIrXnzOgwGXLvOhrKVu2C30f2dzKv7C4XgSQa1hl_UJAwH8FSU7s3FbDlJqp4LylrMOnYM2i_-JwM11ZJ21P2QhQMkb49PeI80SCQfL7ZganQG_WCfAHvDGGECtj5XnaFS65y6uz3gAd9UiMSjjPJJQv1Jsrm45A&amp;q=manual+valve+3/4+inch+ferrule&amp;sa=X&amp;ved=2ahUKEwiZlenCyv6QAxXTRmwGHShuMvkQtKgLegQIFRAB&amp;biw=1366&amp;bih=653&amp;dpr=1#vhid=rKAph7mQY51eKM&amp;vssid=mosaic</v>
      </c>
      <c r="L527" s="3" t="str">
        <f>IFERROR(__xludf.DUMMYFUNCTION("""COMPUTED_VALUE"""),"- (REJECT BY MFH KARENA ATTACHMENT HANYA LINK GOOGLE SEARCH, TIDAK JELAS YANG MANA)")</f>
        <v>- (REJECT BY MFH KARENA ATTACHMENT HANYA LINK GOOGLE SEARCH, TIDAK JELAS YANG MANA)</v>
      </c>
      <c r="M527" s="3" t="str">
        <f>IFERROR(__xludf.DUMMYFUNCTION("""COMPUTED_VALUE"""),"Approve")</f>
        <v>Approve</v>
      </c>
      <c r="N527" s="3" t="str">
        <f>IFERROR(__xludf.DUMMYFUNCTION("""COMPUTED_VALUE"""),"Normal")</f>
        <v>Normal</v>
      </c>
      <c r="O527" s="3" t="str">
        <f>IFERROR(__xludf.DUMMYFUNCTION("""COMPUTED_VALUE"""),"Non Urgent")</f>
        <v>Non Urgent</v>
      </c>
    </row>
    <row r="528">
      <c r="A528" s="4">
        <f>IFERROR(__xludf.DUMMYFUNCTION("""COMPUTED_VALUE"""),45981.64048634259)</f>
        <v>45981.64049</v>
      </c>
      <c r="B528" s="3" t="str">
        <f>IFERROR(__xludf.DUMMYFUNCTION("""COMPUTED_VALUE"""),"NDSBR0041")</f>
        <v>NDSBR0041</v>
      </c>
      <c r="C528" s="3" t="str">
        <f>IFERROR(__xludf.DUMMYFUNCTION("""COMPUTED_VALUE"""),"EJO")</f>
        <v>EJO</v>
      </c>
      <c r="D528" s="3" t="str">
        <f>IFERROR(__xludf.DUMMYFUNCTION("""COMPUTED_VALUE"""),"EJO/2025/11/10")</f>
        <v>EJO/2025/11/10</v>
      </c>
      <c r="E528" s="3" t="str">
        <f>IFERROR(__xludf.DUMMYFUNCTION("""COMPUTED_VALUE"""),"Washing Tunnel")</f>
        <v>Washing Tunnel</v>
      </c>
      <c r="F528" s="3" t="str">
        <f>IFERROR(__xludf.DUMMYFUNCTION("""COMPUTED_VALUE"""),"Manual Valve Washing")</f>
        <v>Manual Valve Washing</v>
      </c>
      <c r="G528" s="3" t="str">
        <f>IFERROR(__xludf.DUMMYFUNCTION("""COMPUTED_VALUE"""),"1 Inch")</f>
        <v>1 Inch</v>
      </c>
      <c r="H528" s="3" t="str">
        <f>IFERROR(__xludf.DUMMYFUNCTION("""COMPUTED_VALUE"""),"-")</f>
        <v>-</v>
      </c>
      <c r="I528" s="3">
        <f>IFERROR(__xludf.DUMMYFUNCTION("""COMPUTED_VALUE"""),1.0)</f>
        <v>1</v>
      </c>
      <c r="J528" s="3" t="str">
        <f>IFERROR(__xludf.DUMMYFUNCTION("""COMPUTED_VALUE"""),"Pcs")</f>
        <v>Pcs</v>
      </c>
      <c r="K528" s="5" t="str">
        <f>IFERROR(__xludf.DUMMYFUNCTION("""COMPUTED_VALUE"""),"https://www.google.com/search?sca_esv=d0ca274367ee7348&amp;rlz=1C1GCEA_enID1076ID1076&amp;sxsrf=AE3TifMqYmMtTlX4o6O-5GrYaCa2X7HpAg:1763567922732&amp;udm=2&amp;fbs=AIIjpHyT_SxYVhARa94nMDCzZuVE0arryPEhLekpbC7r6xABFKLMG1ndy20DTaZoCITXw-7Umq0xEnhBV2mOt0ZDIF3BngdbAxmde7z5iFP4"&amp;"cTWIomlRxRk8T0CaDKOMnnJbN9-xI4O-tGFAu-VgUMsFQYIGeqkHj2-j1_CbOz26lBWYuXTKANLLaZd0u3M75FUAjXncuTp2Nloxmkd7QETLxlC4kWGHCA&amp;q=manual+valve+ferrule+1+inch&amp;sa=X&amp;ved=2ahUKEwiTlMm8yv6QAxXra2wGHTtNMngQtKgLegQIFRAB&amp;biw=1366&amp;bih=611&amp;dpr=1")</f>
        <v>https://www.google.com/search?sca_esv=d0ca274367ee7348&amp;rlz=1C1GCEA_enID1076ID1076&amp;sxsrf=AE3TifMqYmMtTlX4o6O-5GrYaCa2X7HpAg:1763567922732&amp;udm=2&amp;fbs=AIIjpHyT_SxYVhARa94nMDCzZuVE0arryPEhLekpbC7r6xABFKLMG1ndy20DTaZoCITXw-7Umq0xEnhBV2mOt0ZDIF3BngdbAxmde7z5iFP4cTWIomlRxRk8T0CaDKOMnnJbN9-xI4O-tGFAu-VgUMsFQYIGeqkHj2-j1_CbOz26lBWYuXTKANLLaZd0u3M75FUAjXncuTp2Nloxmkd7QETLxlC4kWGHCA&amp;q=manual+valve+ferrule+1+inch&amp;sa=X&amp;ved=2ahUKEwiTlMm8yv6QAxXra2wGHTtNMngQtKgLegQIFRAB&amp;biw=1366&amp;bih=611&amp;dpr=1</v>
      </c>
      <c r="L528" s="3" t="str">
        <f>IFERROR(__xludf.DUMMYFUNCTION("""COMPUTED_VALUE"""),"- (REJECT BY MFH KARENA ATTACHMENT HANYA LINK GOOGLE SEARCH, TIDAK JELAS YANG MANA)")</f>
        <v>- (REJECT BY MFH KARENA ATTACHMENT HANYA LINK GOOGLE SEARCH, TIDAK JELAS YANG MANA)</v>
      </c>
      <c r="M528" s="3" t="str">
        <f>IFERROR(__xludf.DUMMYFUNCTION("""COMPUTED_VALUE"""),"Approve")</f>
        <v>Approve</v>
      </c>
      <c r="N528" s="3" t="str">
        <f>IFERROR(__xludf.DUMMYFUNCTION("""COMPUTED_VALUE"""),"Normal")</f>
        <v>Normal</v>
      </c>
      <c r="O528" s="3" t="str">
        <f>IFERROR(__xludf.DUMMYFUNCTION("""COMPUTED_VALUE"""),"Non Urgent")</f>
        <v>Non Urgent</v>
      </c>
    </row>
    <row r="529">
      <c r="A529" s="4">
        <f>IFERROR(__xludf.DUMMYFUNCTION("""COMPUTED_VALUE"""),45982.58342354167)</f>
        <v>45982.58342</v>
      </c>
      <c r="B529" s="3" t="str">
        <f>IFERROR(__xludf.DUMMYFUNCTION("""COMPUTED_VALUE"""),"RIABR0123")</f>
        <v>RIABR0123</v>
      </c>
      <c r="C529" s="3" t="str">
        <f>IFERROR(__xludf.DUMMYFUNCTION("""COMPUTED_VALUE"""),"EJO")</f>
        <v>EJO</v>
      </c>
      <c r="D529" s="3" t="str">
        <f>IFERROR(__xludf.DUMMYFUNCTION("""COMPUTED_VALUE"""),"EJO/2025/11/121")</f>
        <v>EJO/2025/11/121</v>
      </c>
      <c r="E529" s="3" t="str">
        <f>IFERROR(__xludf.DUMMYFUNCTION("""COMPUTED_VALUE"""),"BIBO C1-3")</f>
        <v>BIBO C1-3</v>
      </c>
      <c r="F529" s="3" t="str">
        <f>IFERROR(__xludf.DUMMYFUNCTION("""COMPUTED_VALUE"""),"Magnehelic")</f>
        <v>Magnehelic</v>
      </c>
      <c r="G529" s="3" t="str">
        <f>IFERROR(__xludf.DUMMYFUNCTION("""COMPUTED_VALUE"""),"Magnehelic Diff. Pressure Indicating Transmitter 3 Pc 11,150,000 33,450,000
Model : 605-3 (INDENT)
Range : 0 to 3.0 in w.c.
Mfg : Dwyer
2 Magnehelic Diff. Pressure Gages 3 Pc 1,800,000 5,400,000
Model : 2000-250PA (STOCK)
Range : 0-250 Pascal
Mfg :"&amp;" Dwyer
3 Magnehelic Diff. Pressure Gages 3 Pc 1,800,000 5,400,000
Model : 2000-500PA (STOCK)
Range : 0-500 Pascal
Mfg : Dwyer")</f>
        <v>Magnehelic Diff. Pressure Indicating Transmitter 3 Pc 11,150,000 33,450,000
Model : 605-3 (INDENT)
Range : 0 to 3.0 in w.c.
Mfg : Dwyer
2 Magnehelic Diff. Pressure Gages 3 Pc 1,800,000 5,400,000
Model : 2000-250PA (STOCK)
Range : 0-250 Pascal
Mfg : Dwyer
3 Magnehelic Diff. Pressure Gages 3 Pc 1,800,000 5,400,000
Model : 2000-500PA (STOCK)
Range : 0-500 Pascal
Mfg : Dwyer</v>
      </c>
      <c r="H529" s="3" t="str">
        <f>IFERROR(__xludf.DUMMYFUNCTION("""COMPUTED_VALUE"""),"Dwyer")</f>
        <v>Dwyer</v>
      </c>
      <c r="I529" s="3">
        <f>IFERROR(__xludf.DUMMYFUNCTION("""COMPUTED_VALUE"""),3.0)</f>
        <v>3</v>
      </c>
      <c r="J529" s="3" t="str">
        <f>IFERROR(__xludf.DUMMYFUNCTION("""COMPUTED_VALUE"""),"Set")</f>
        <v>Set</v>
      </c>
      <c r="K529" s="3" t="str">
        <f>IFERROR(__xludf.DUMMYFUNCTION("""COMPUTED_VALUE"""),"QENS-SHGI-251004.pdf")</f>
        <v>QENS-SHGI-251004.pdf</v>
      </c>
      <c r="L529" s="3" t="str">
        <f>IFERROR(__xludf.DUMMYFUNCTION("""COMPUTED_VALUE"""),"BQ RIABR0119 - RIABR0120 include di penawaran ini dijadikan 1 sekalian (REJECT BY MFH KARENA 1 BQ BERISI 3 ITEM YANG BERBEDA, SILAHKAN BQ ULANG)")</f>
        <v>BQ RIABR0119 - RIABR0120 include di penawaran ini dijadikan 1 sekalian (REJECT BY MFH KARENA 1 BQ BERISI 3 ITEM YANG BERBEDA, SILAHKAN BQ ULANG)</v>
      </c>
      <c r="M529" s="3" t="str">
        <f>IFERROR(__xludf.DUMMYFUNCTION("""COMPUTED_VALUE"""),"Reject")</f>
        <v>Reject</v>
      </c>
      <c r="N529" s="3" t="str">
        <f>IFERROR(__xludf.DUMMYFUNCTION("""COMPUTED_VALUE"""),"Normal")</f>
        <v>Normal</v>
      </c>
      <c r="O529" s="3" t="str">
        <f>IFERROR(__xludf.DUMMYFUNCTION("""COMPUTED_VALUE"""),"Non Urgent")</f>
        <v>Non Urgent</v>
      </c>
    </row>
    <row r="530">
      <c r="A530" s="4">
        <f>IFERROR(__xludf.DUMMYFUNCTION("""COMPUTED_VALUE"""),45987.33987482639)</f>
        <v>45987.33987</v>
      </c>
      <c r="B530" s="3" t="str">
        <f>IFERROR(__xludf.DUMMYFUNCTION("""COMPUTED_VALUE"""),"NDSBR0042")</f>
        <v>NDSBR0042</v>
      </c>
      <c r="C530" s="3" t="str">
        <f>IFERROR(__xludf.DUMMYFUNCTION("""COMPUTED_VALUE"""),"Critical Part")</f>
        <v>Critical Part</v>
      </c>
      <c r="D530" s="3" t="str">
        <f>IFERROR(__xludf.DUMMYFUNCTION("""COMPUTED_VALUE"""),"-")</f>
        <v>-</v>
      </c>
      <c r="E530" s="3" t="str">
        <f>IFERROR(__xludf.DUMMYFUNCTION("""COMPUTED_VALUE"""),"New FD")</f>
        <v>New FD</v>
      </c>
      <c r="F530" s="3" t="str">
        <f>IFERROR(__xludf.DUMMYFUNCTION("""COMPUTED_VALUE"""),"Long Drat M10")</f>
        <v>Long Drat M10</v>
      </c>
      <c r="G530" s="3" t="str">
        <f>IFERROR(__xludf.DUMMYFUNCTION("""COMPUTED_VALUE"""),"Sesuai Gambar")</f>
        <v>Sesuai Gambar</v>
      </c>
      <c r="H530" s="3" t="str">
        <f>IFERROR(__xludf.DUMMYFUNCTION("""COMPUTED_VALUE"""),"-")</f>
        <v>-</v>
      </c>
      <c r="I530" s="3">
        <f>IFERROR(__xludf.DUMMYFUNCTION("""COMPUTED_VALUE"""),40.0)</f>
        <v>40</v>
      </c>
      <c r="J530" s="3" t="str">
        <f>IFERROR(__xludf.DUMMYFUNCTION("""COMPUTED_VALUE"""),"Pcs")</f>
        <v>Pcs</v>
      </c>
      <c r="K530" s="5" t="str">
        <f>IFERROR(__xludf.DUMMYFUNCTION("""COMPUTED_VALUE"""),"https://www.tokopedia.com/jayasentosa164/as-drat-m10-x-3-meter-stainless-steel-304-longdrat-m10-x-3-meter-sus-304-1730997682946475438?utm_campaign=PDP-mb7j3okhynld-16424361100-0&amp;utm_source=whatsapp&amp;utm_medium=share")</f>
        <v>https://www.tokopedia.com/jayasentosa164/as-drat-m10-x-3-meter-stainless-steel-304-longdrat-m10-x-3-meter-sus-304-1730997682946475438?utm_campaign=PDP-mb7j3okhynld-16424361100-0&amp;utm_source=whatsapp&amp;utm_medium=share</v>
      </c>
      <c r="L530" s="3" t="str">
        <f>IFERROR(__xludf.DUMMYFUNCTION("""COMPUTED_VALUE"""),"Untuk Kabel tray New FD")</f>
        <v>Untuk Kabel tray New FD</v>
      </c>
      <c r="M530" s="3" t="str">
        <f>IFERROR(__xludf.DUMMYFUNCTION("""COMPUTED_VALUE"""),"Reject")</f>
        <v>Reject</v>
      </c>
      <c r="N530" s="3" t="str">
        <f>IFERROR(__xludf.DUMMYFUNCTION("""COMPUTED_VALUE"""),"Normal")</f>
        <v>Normal</v>
      </c>
      <c r="O530" s="3" t="str">
        <f>IFERROR(__xludf.DUMMYFUNCTION("""COMPUTED_VALUE"""),"Non Urgent")</f>
        <v>Non Urgent</v>
      </c>
    </row>
    <row r="531">
      <c r="A531" s="4">
        <f>IFERROR(__xludf.DUMMYFUNCTION("""COMPUTED_VALUE"""),45987.34098545139)</f>
        <v>45987.34099</v>
      </c>
      <c r="B531" s="3" t="str">
        <f>IFERROR(__xludf.DUMMYFUNCTION("""COMPUTED_VALUE"""),"NDSBR0043")</f>
        <v>NDSBR0043</v>
      </c>
      <c r="C531" s="3" t="str">
        <f>IFERROR(__xludf.DUMMYFUNCTION("""COMPUTED_VALUE"""),"Critical Part")</f>
        <v>Critical Part</v>
      </c>
      <c r="D531" s="3" t="str">
        <f>IFERROR(__xludf.DUMMYFUNCTION("""COMPUTED_VALUE"""),"-")</f>
        <v>-</v>
      </c>
      <c r="E531" s="3" t="str">
        <f>IFERROR(__xludf.DUMMYFUNCTION("""COMPUTED_VALUE"""),"New FD")</f>
        <v>New FD</v>
      </c>
      <c r="F531" s="3" t="str">
        <f>IFERROR(__xludf.DUMMYFUNCTION("""COMPUTED_VALUE"""),"Dinaset M10")</f>
        <v>Dinaset M10</v>
      </c>
      <c r="G531" s="3" t="str">
        <f>IFERROR(__xludf.DUMMYFUNCTION("""COMPUTED_VALUE"""),"Sesuai Gambar")</f>
        <v>Sesuai Gambar</v>
      </c>
      <c r="H531" s="3" t="str">
        <f>IFERROR(__xludf.DUMMYFUNCTION("""COMPUTED_VALUE"""),"-")</f>
        <v>-</v>
      </c>
      <c r="I531" s="3">
        <f>IFERROR(__xludf.DUMMYFUNCTION("""COMPUTED_VALUE"""),50.0)</f>
        <v>50</v>
      </c>
      <c r="J531" s="3" t="str">
        <f>IFERROR(__xludf.DUMMYFUNCTION("""COMPUTED_VALUE"""),"Pcs")</f>
        <v>Pcs</v>
      </c>
      <c r="K531" s="5" t="str">
        <f>IFERROR(__xludf.DUMMYFUNCTION("""COMPUTED_VALUE"""),"https://www.tokopedia.com/jayasentosa164/dinaset-stainless-304-m10?utm_campaign=pdp-djc8du83tvl7-636298601-0&amp;utm_medium=share&amp;utm_source=whatsapp")</f>
        <v>https://www.tokopedia.com/jayasentosa164/dinaset-stainless-304-m10?utm_campaign=pdp-djc8du83tvl7-636298601-0&amp;utm_medium=share&amp;utm_source=whatsapp</v>
      </c>
      <c r="L531" s="3" t="str">
        <f>IFERROR(__xludf.DUMMYFUNCTION("""COMPUTED_VALUE"""),"Untuk Kabel tray New FD")</f>
        <v>Untuk Kabel tray New FD</v>
      </c>
      <c r="M531" s="3" t="str">
        <f>IFERROR(__xludf.DUMMYFUNCTION("""COMPUTED_VALUE"""),"Reject")</f>
        <v>Reject</v>
      </c>
      <c r="N531" s="3" t="str">
        <f>IFERROR(__xludf.DUMMYFUNCTION("""COMPUTED_VALUE"""),"Normal")</f>
        <v>Normal</v>
      </c>
      <c r="O531" s="3" t="str">
        <f>IFERROR(__xludf.DUMMYFUNCTION("""COMPUTED_VALUE"""),"Non Urgent")</f>
        <v>Non Urgent</v>
      </c>
    </row>
    <row r="532">
      <c r="A532" s="4">
        <f>IFERROR(__xludf.DUMMYFUNCTION("""COMPUTED_VALUE"""),45987.34267495371)</f>
        <v>45987.34267</v>
      </c>
      <c r="B532" s="3" t="str">
        <f>IFERROR(__xludf.DUMMYFUNCTION("""COMPUTED_VALUE"""),"NDSBR0044")</f>
        <v>NDSBR0044</v>
      </c>
      <c r="C532" s="3" t="str">
        <f>IFERROR(__xludf.DUMMYFUNCTION("""COMPUTED_VALUE"""),"Critical Part")</f>
        <v>Critical Part</v>
      </c>
      <c r="D532" s="3" t="str">
        <f>IFERROR(__xludf.DUMMYFUNCTION("""COMPUTED_VALUE"""),"-")</f>
        <v>-</v>
      </c>
      <c r="E532" s="3" t="str">
        <f>IFERROR(__xludf.DUMMYFUNCTION("""COMPUTED_VALUE"""),"New FD")</f>
        <v>New FD</v>
      </c>
      <c r="F532" s="3" t="str">
        <f>IFERROR(__xludf.DUMMYFUNCTION("""COMPUTED_VALUE"""),"Mur M10")</f>
        <v>Mur M10</v>
      </c>
      <c r="G532" s="3" t="str">
        <f>IFERROR(__xludf.DUMMYFUNCTION("""COMPUTED_VALUE"""),"Sesuai Gambar")</f>
        <v>Sesuai Gambar</v>
      </c>
      <c r="H532" s="3" t="str">
        <f>IFERROR(__xludf.DUMMYFUNCTION("""COMPUTED_VALUE"""),"-")</f>
        <v>-</v>
      </c>
      <c r="I532" s="3">
        <f>IFERROR(__xludf.DUMMYFUNCTION("""COMPUTED_VALUE"""),150.0)</f>
        <v>150</v>
      </c>
      <c r="J532" s="3" t="str">
        <f>IFERROR(__xludf.DUMMYFUNCTION("""COMPUTED_VALUE"""),"Pcs")</f>
        <v>Pcs</v>
      </c>
      <c r="K532" s="5" t="str">
        <f>IFERROR(__xludf.DUMMYFUNCTION("""COMPUTED_VALUE"""),"https://www.tokopedia.com/karyamitragemila/mur-long-drat-stainless-10-mur-baut-stainless-10mm?utm_campaign=pdp-0272ysqmzi2y-6870187366-0&amp;utm_medium=share&amp;utm_source=salinlink")</f>
        <v>https://www.tokopedia.com/karyamitragemila/mur-long-drat-stainless-10-mur-baut-stainless-10mm?utm_campaign=pdp-0272ysqmzi2y-6870187366-0&amp;utm_medium=share&amp;utm_source=salinlink</v>
      </c>
      <c r="L532" s="3" t="str">
        <f>IFERROR(__xludf.DUMMYFUNCTION("""COMPUTED_VALUE"""),"Untuk Kabel tray New FD")</f>
        <v>Untuk Kabel tray New FD</v>
      </c>
      <c r="M532" s="3" t="str">
        <f>IFERROR(__xludf.DUMMYFUNCTION("""COMPUTED_VALUE"""),"Reject")</f>
        <v>Reject</v>
      </c>
      <c r="N532" s="3" t="str">
        <f>IFERROR(__xludf.DUMMYFUNCTION("""COMPUTED_VALUE"""),"Normal")</f>
        <v>Normal</v>
      </c>
      <c r="O532" s="3" t="str">
        <f>IFERROR(__xludf.DUMMYFUNCTION("""COMPUTED_VALUE"""),"Non Urgent")</f>
        <v>Non Urgent</v>
      </c>
    </row>
    <row r="533">
      <c r="A533" s="4">
        <f>IFERROR(__xludf.DUMMYFUNCTION("""COMPUTED_VALUE"""),45987.343039050924)</f>
        <v>45987.34304</v>
      </c>
      <c r="B533" s="3" t="str">
        <f>IFERROR(__xludf.DUMMYFUNCTION("""COMPUTED_VALUE"""),"NDSBR0045")</f>
        <v>NDSBR0045</v>
      </c>
      <c r="C533" s="3" t="str">
        <f>IFERROR(__xludf.DUMMYFUNCTION("""COMPUTED_VALUE"""),"Critical Part")</f>
        <v>Critical Part</v>
      </c>
      <c r="D533" s="3" t="str">
        <f>IFERROR(__xludf.DUMMYFUNCTION("""COMPUTED_VALUE"""),"-")</f>
        <v>-</v>
      </c>
      <c r="E533" s="3" t="str">
        <f>IFERROR(__xludf.DUMMYFUNCTION("""COMPUTED_VALUE"""),"New FD")</f>
        <v>New FD</v>
      </c>
      <c r="F533" s="3" t="str">
        <f>IFERROR(__xludf.DUMMYFUNCTION("""COMPUTED_VALUE"""),"Ring D10")</f>
        <v>Ring D10</v>
      </c>
      <c r="G533" s="3" t="str">
        <f>IFERROR(__xludf.DUMMYFUNCTION("""COMPUTED_VALUE"""),"Sesuai Gambar")</f>
        <v>Sesuai Gambar</v>
      </c>
      <c r="H533" s="3" t="str">
        <f>IFERROR(__xludf.DUMMYFUNCTION("""COMPUTED_VALUE"""),"-")</f>
        <v>-</v>
      </c>
      <c r="I533" s="3">
        <f>IFERROR(__xludf.DUMMYFUNCTION("""COMPUTED_VALUE"""),2.0)</f>
        <v>2</v>
      </c>
      <c r="J533" s="3" t="str">
        <f>IFERROR(__xludf.DUMMYFUNCTION("""COMPUTED_VALUE"""),"Box")</f>
        <v>Box</v>
      </c>
      <c r="K533" s="5" t="str">
        <f>IFERROR(__xludf.DUMMYFUNCTION("""COMPUTED_VALUE"""),"https://www.tokopedia.com/juraganperkakas/ring-plat-m-10-ring-plat-baut-m10-isi-100-pcs?utm_campaign=pdp-d7n5gj8xa2vp-324740715-0&amp;utm_medium=share&amp;utm_source=salinlink")</f>
        <v>https://www.tokopedia.com/juraganperkakas/ring-plat-m-10-ring-plat-baut-m10-isi-100-pcs?utm_campaign=pdp-d7n5gj8xa2vp-324740715-0&amp;utm_medium=share&amp;utm_source=salinlink</v>
      </c>
      <c r="L533" s="3" t="str">
        <f>IFERROR(__xludf.DUMMYFUNCTION("""COMPUTED_VALUE"""),"Untuk Kabel tray New FD")</f>
        <v>Untuk Kabel tray New FD</v>
      </c>
      <c r="M533" s="3" t="str">
        <f>IFERROR(__xludf.DUMMYFUNCTION("""COMPUTED_VALUE"""),"Reject")</f>
        <v>Reject</v>
      </c>
      <c r="N533" s="3" t="str">
        <f>IFERROR(__xludf.DUMMYFUNCTION("""COMPUTED_VALUE"""),"Normal")</f>
        <v>Normal</v>
      </c>
      <c r="O533" s="3" t="str">
        <f>IFERROR(__xludf.DUMMYFUNCTION("""COMPUTED_VALUE"""),"Non Urgent")</f>
        <v>Non Urgent</v>
      </c>
    </row>
    <row r="534">
      <c r="A534" s="4">
        <f>IFERROR(__xludf.DUMMYFUNCTION("""COMPUTED_VALUE"""),45991.93372652777)</f>
        <v>45991.93373</v>
      </c>
      <c r="B534" s="3" t="str">
        <f>IFERROR(__xludf.DUMMYFUNCTION("""COMPUTED_VALUE"""),"ROSBR0050")</f>
        <v>ROSBR0050</v>
      </c>
      <c r="C534" s="3" t="str">
        <f>IFERROR(__xludf.DUMMYFUNCTION("""COMPUTED_VALUE"""),"Consumable")</f>
        <v>Consumable</v>
      </c>
      <c r="D534" s="3" t="str">
        <f>IFERROR(__xludf.DUMMYFUNCTION("""COMPUTED_VALUE"""),"NA ")</f>
        <v>NA </v>
      </c>
      <c r="E534" s="3" t="str">
        <f>IFERROR(__xludf.DUMMYFUNCTION("""COMPUTED_VALUE"""),"Bor baterai ")</f>
        <v>Bor baterai </v>
      </c>
      <c r="F534" s="3" t="str">
        <f>IFERROR(__xludf.DUMMYFUNCTION("""COMPUTED_VALUE"""),"Mata Bor Socket Hex Nut / Baut Roofing Adaptor")</f>
        <v>Mata Bor Socket Hex Nut / Baut Roofing Adaptor</v>
      </c>
      <c r="G534" s="3" t="str">
        <f>IFERROR(__xludf.DUMMYFUNCTION("""COMPUTED_VALUE"""),"Bahan: CRV chrome vanadium
Warna: perak
Ukuran: 
9pcs set")</f>
        <v>Bahan: CRV chrome vanadium
Warna: perak
Ukuran: 
9pcs set</v>
      </c>
      <c r="H534" s="3" t="str">
        <f>IFERROR(__xludf.DUMMYFUNCTION("""COMPUTED_VALUE"""),"Universal ")</f>
        <v>Universal </v>
      </c>
      <c r="I534" s="3">
        <f>IFERROR(__xludf.DUMMYFUNCTION("""COMPUTED_VALUE"""),1.0)</f>
        <v>1</v>
      </c>
      <c r="J534" s="3" t="str">
        <f>IFERROR(__xludf.DUMMYFUNCTION("""COMPUTED_VALUE"""),"Set")</f>
        <v>Set</v>
      </c>
      <c r="K534" s="5" t="str">
        <f>IFERROR(__xludf.DUMMYFUNCTION("""COMPUTED_VALUE"""),"https://shopee.co.id/Set-9Pcs-14Pcs-Mata-Bor-Socket-Hex-Nut-Baut-Roofing-Adaptor-i.1514659270.40365584142?xptdk=069a1f88-4933-4931-baeb-af00f66848e1")</f>
        <v>https://shopee.co.id/Set-9Pcs-14Pcs-Mata-Bor-Socket-Hex-Nut-Baut-Roofing-Adaptor-i.1514659270.40365584142?xptdk=069a1f88-4933-4931-baeb-af00f66848e1</v>
      </c>
      <c r="L534" s="3" t="str">
        <f>IFERROR(__xludf.DUMMYFUNCTION("""COMPUTED_VALUE"""),"- ")</f>
        <v>- </v>
      </c>
      <c r="M534" s="3" t="str">
        <f>IFERROR(__xludf.DUMMYFUNCTION("""COMPUTED_VALUE"""),"Approve")</f>
        <v>Approve</v>
      </c>
      <c r="N534" s="3" t="str">
        <f>IFERROR(__xludf.DUMMYFUNCTION("""COMPUTED_VALUE"""),"Normal")</f>
        <v>Normal</v>
      </c>
      <c r="O534" s="3" t="str">
        <f>IFERROR(__xludf.DUMMYFUNCTION("""COMPUTED_VALUE"""),"Non Urgent")</f>
        <v>Non Urgent</v>
      </c>
    </row>
    <row r="535">
      <c r="A535" s="4">
        <f>IFERROR(__xludf.DUMMYFUNCTION("""COMPUTED_VALUE"""),45991.93452144676)</f>
        <v>45991.93452</v>
      </c>
      <c r="B535" s="3" t="str">
        <f>IFERROR(__xludf.DUMMYFUNCTION("""COMPUTED_VALUE"""),"ROSBR0051")</f>
        <v>ROSBR0051</v>
      </c>
      <c r="C535" s="3" t="str">
        <f>IFERROR(__xludf.DUMMYFUNCTION("""COMPUTED_VALUE"""),"Consumable")</f>
        <v>Consumable</v>
      </c>
      <c r="D535" s="3" t="str">
        <f>IFERROR(__xludf.DUMMYFUNCTION("""COMPUTED_VALUE"""),"NA ")</f>
        <v>NA </v>
      </c>
      <c r="E535" s="3" t="str">
        <f>IFERROR(__xludf.DUMMYFUNCTION("""COMPUTED_VALUE"""),"Bor Impact ")</f>
        <v>Bor Impact </v>
      </c>
      <c r="F535" s="3" t="str">
        <f>IFERROR(__xludf.DUMMYFUNCTION("""COMPUTED_VALUE"""),"Sok Set Mata Kunci Impact")</f>
        <v>Sok Set Mata Kunci Impact</v>
      </c>
      <c r="G535" s="3" t="str">
        <f>IFERROR(__xludf.DUMMYFUNCTION("""COMPUTED_VALUE"""),"ukuran Sok 8 sampai 32 ")</f>
        <v>ukuran Sok 8 sampai 32 </v>
      </c>
      <c r="H535" s="3" t="str">
        <f>IFERROR(__xludf.DUMMYFUNCTION("""COMPUTED_VALUE"""),"Super Alat ")</f>
        <v>Super Alat </v>
      </c>
      <c r="I535" s="3">
        <f>IFERROR(__xludf.DUMMYFUNCTION("""COMPUTED_VALUE"""),1.0)</f>
        <v>1</v>
      </c>
      <c r="J535" s="3" t="str">
        <f>IFERROR(__xludf.DUMMYFUNCTION("""COMPUTED_VALUE"""),"Set")</f>
        <v>Set</v>
      </c>
      <c r="K535" s="5" t="str">
        <f>IFERROR(__xludf.DUMMYFUNCTION("""COMPUTED_VALUE"""),"https://shopee.co.id/Super-Alat-Kunci-Sok-Set-Mata-Kunci-Impact-8-24MM-Impact-Socket-Set-Mpact-Tekiro-Batrei-10Pcs-1-2-Inch-i.1291922221.28672325118?xptdk=55995af5-d191-4e2b-8e0c-bff366593e68")</f>
        <v>https://shopee.co.id/Super-Alat-Kunci-Sok-Set-Mata-Kunci-Impact-8-24MM-Impact-Socket-Set-Mpact-Tekiro-Batrei-10Pcs-1-2-Inch-i.1291922221.28672325118?xptdk=55995af5-d191-4e2b-8e0c-bff366593e68</v>
      </c>
      <c r="L535" s="3" t="str">
        <f>IFERROR(__xludf.DUMMYFUNCTION("""COMPUTED_VALUE"""),"tolong belikan ini,karena mata shock ukuran 8 sudah slek, ini saya BQ buat belikan 1 set untuk mesin impact (REJECT KARENA BARANGNYA SUDAH DISCONTINUE)")</f>
        <v>tolong belikan ini,karena mata shock ukuran 8 sudah slek, ini saya BQ buat belikan 1 set untuk mesin impact (REJECT KARENA BARANGNYA SUDAH DISCONTINUE)</v>
      </c>
      <c r="M535" s="3" t="str">
        <f>IFERROR(__xludf.DUMMYFUNCTION("""COMPUTED_VALUE"""),"Reject")</f>
        <v>Reject</v>
      </c>
      <c r="N535" s="3" t="str">
        <f>IFERROR(__xludf.DUMMYFUNCTION("""COMPUTED_VALUE"""),"Normal")</f>
        <v>Normal</v>
      </c>
      <c r="O535" s="3" t="str">
        <f>IFERROR(__xludf.DUMMYFUNCTION("""COMPUTED_VALUE"""),"Non Urgent")</f>
        <v>Non Urgent</v>
      </c>
    </row>
    <row r="536">
      <c r="A536" s="4">
        <f>IFERROR(__xludf.DUMMYFUNCTION("""COMPUTED_VALUE"""),45993.49638828704)</f>
        <v>45993.49639</v>
      </c>
      <c r="B536" s="3" t="str">
        <f>IFERROR(__xludf.DUMMYFUNCTION("""COMPUTED_VALUE"""),"MOBBR0049")</f>
        <v>MOBBR0049</v>
      </c>
      <c r="C536" s="3" t="str">
        <f>IFERROR(__xludf.DUMMYFUNCTION("""COMPUTED_VALUE"""),"Consumable")</f>
        <v>Consumable</v>
      </c>
      <c r="D536" s="3" t="str">
        <f>IFERROR(__xludf.DUMMYFUNCTION("""COMPUTED_VALUE"""),"-")</f>
        <v>-</v>
      </c>
      <c r="E536" s="3" t="str">
        <f>IFERROR(__xludf.DUMMYFUNCTION("""COMPUTED_VALUE"""),"Pneumatic Fitting")</f>
        <v>Pneumatic Fitting</v>
      </c>
      <c r="F536" s="3" t="str">
        <f>IFERROR(__xludf.DUMMYFUNCTION("""COMPUTED_VALUE"""),"QS")</f>
        <v>QS</v>
      </c>
      <c r="G536" s="3" t="str">
        <f>IFERROR(__xludf.DUMMYFUNCTION("""COMPUTED_VALUE"""),"1/2-8")</f>
        <v>1/2-8</v>
      </c>
      <c r="H536" s="3" t="str">
        <f>IFERROR(__xludf.DUMMYFUNCTION("""COMPUTED_VALUE"""),"Festo")</f>
        <v>Festo</v>
      </c>
      <c r="I536" s="3">
        <f>IFERROR(__xludf.DUMMYFUNCTION("""COMPUTED_VALUE"""),10.0)</f>
        <v>10</v>
      </c>
      <c r="J536" s="3" t="str">
        <f>IFERROR(__xludf.DUMMYFUNCTION("""COMPUTED_VALUE"""),"Pcs")</f>
        <v>Pcs</v>
      </c>
      <c r="K536" s="5" t="str">
        <f>IFERROR(__xludf.DUMMYFUNCTION("""COMPUTED_VALUE"""),"https://www.tokopedia.com/tokofitting/pneumatic-push-in-8mm-x-1-2-festo-qs-1-2-8?utm_source=google&amp;utm_medium=organic&amp;utm_campaign=pdp")</f>
        <v>https://www.tokopedia.com/tokofitting/pneumatic-push-in-8mm-x-1-2-festo-qs-1-2-8?utm_source=google&amp;utm_medium=organic&amp;utm_campaign=pdp</v>
      </c>
      <c r="L536" s="3" t="str">
        <f>IFERROR(__xludf.DUMMYFUNCTION("""COMPUTED_VALUE"""),"Consumable ")</f>
        <v>Consumable </v>
      </c>
      <c r="M536" s="3" t="str">
        <f>IFERROR(__xludf.DUMMYFUNCTION("""COMPUTED_VALUE"""),"Approve")</f>
        <v>Approve</v>
      </c>
      <c r="N536" s="3" t="str">
        <f>IFERROR(__xludf.DUMMYFUNCTION("""COMPUTED_VALUE"""),"Normal")</f>
        <v>Normal</v>
      </c>
      <c r="O536" s="3" t="str">
        <f>IFERROR(__xludf.DUMMYFUNCTION("""COMPUTED_VALUE"""),"Non Urgent")</f>
        <v>Non Urgent</v>
      </c>
    </row>
    <row r="537">
      <c r="A537" s="4">
        <f>IFERROR(__xludf.DUMMYFUNCTION("""COMPUTED_VALUE"""),45993.49803289352)</f>
        <v>45993.49803</v>
      </c>
      <c r="B537" s="3" t="str">
        <f>IFERROR(__xludf.DUMMYFUNCTION("""COMPUTED_VALUE"""),"MOBBR0050")</f>
        <v>MOBBR0050</v>
      </c>
      <c r="C537" s="3" t="str">
        <f>IFERROR(__xludf.DUMMYFUNCTION("""COMPUTED_VALUE"""),"Consumable")</f>
        <v>Consumable</v>
      </c>
      <c r="D537" s="3" t="str">
        <f>IFERROR(__xludf.DUMMYFUNCTION("""COMPUTED_VALUE"""),"-")</f>
        <v>-</v>
      </c>
      <c r="E537" s="3" t="str">
        <f>IFERROR(__xludf.DUMMYFUNCTION("""COMPUTED_VALUE"""),"Pneumatic Fitting")</f>
        <v>Pneumatic Fitting</v>
      </c>
      <c r="F537" s="3" t="str">
        <f>IFERROR(__xludf.DUMMYFUNCTION("""COMPUTED_VALUE"""),"QS")</f>
        <v>QS</v>
      </c>
      <c r="G537" s="3" t="str">
        <f>IFERROR(__xludf.DUMMYFUNCTION("""COMPUTED_VALUE"""),"1/2-6")</f>
        <v>1/2-6</v>
      </c>
      <c r="H537" s="3" t="str">
        <f>IFERROR(__xludf.DUMMYFUNCTION("""COMPUTED_VALUE"""),"Festo")</f>
        <v>Festo</v>
      </c>
      <c r="I537" s="3">
        <f>IFERROR(__xludf.DUMMYFUNCTION("""COMPUTED_VALUE"""),10.0)</f>
        <v>10</v>
      </c>
      <c r="J537" s="3" t="str">
        <f>IFERROR(__xludf.DUMMYFUNCTION("""COMPUTED_VALUE"""),"Pcs")</f>
        <v>Pcs</v>
      </c>
      <c r="K537" s="5" t="str">
        <f>IFERROR(__xludf.DUMMYFUNCTION("""COMPUTED_VALUE"""),"https://www.tokopedia.com/pusatpneumatic/qs-1-2-6-one-touch-fitting-lurus-male-slip-lock-socket-push-in-connector-nipple-nepel-selang-6mm-drat-1-2-inch-festo")</f>
        <v>https://www.tokopedia.com/pusatpneumatic/qs-1-2-6-one-touch-fitting-lurus-male-slip-lock-socket-push-in-connector-nipple-nepel-selang-6mm-drat-1-2-inch-festo</v>
      </c>
      <c r="L537" s="3" t="str">
        <f>IFERROR(__xludf.DUMMYFUNCTION("""COMPUTED_VALUE"""),"Consumable (REJECT BY MFH KARENA FESTO TIDAK PUNYA UKURAN INI, SILAHKAN CARI SUBSTITUSINYA)")</f>
        <v>Consumable (REJECT BY MFH KARENA FESTO TIDAK PUNYA UKURAN INI, SILAHKAN CARI SUBSTITUSINYA)</v>
      </c>
      <c r="M537" s="3" t="str">
        <f>IFERROR(__xludf.DUMMYFUNCTION("""COMPUTED_VALUE"""),"Reject")</f>
        <v>Reject</v>
      </c>
      <c r="N537" s="3" t="str">
        <f>IFERROR(__xludf.DUMMYFUNCTION("""COMPUTED_VALUE"""),"Normal")</f>
        <v>Normal</v>
      </c>
      <c r="O537" s="3" t="str">
        <f>IFERROR(__xludf.DUMMYFUNCTION("""COMPUTED_VALUE"""),"Non Urgent")</f>
        <v>Non Urgent</v>
      </c>
    </row>
    <row r="538">
      <c r="A538" s="4">
        <f>IFERROR(__xludf.DUMMYFUNCTION("""COMPUTED_VALUE"""),45993.499915659726)</f>
        <v>45993.49992</v>
      </c>
      <c r="B538" s="3" t="str">
        <f>IFERROR(__xludf.DUMMYFUNCTION("""COMPUTED_VALUE"""),"MOBBR0051")</f>
        <v>MOBBR0051</v>
      </c>
      <c r="C538" s="3" t="str">
        <f>IFERROR(__xludf.DUMMYFUNCTION("""COMPUTED_VALUE"""),"Consumable")</f>
        <v>Consumable</v>
      </c>
      <c r="D538" s="3" t="str">
        <f>IFERROR(__xludf.DUMMYFUNCTION("""COMPUTED_VALUE"""),"-")</f>
        <v>-</v>
      </c>
      <c r="E538" s="3" t="str">
        <f>IFERROR(__xludf.DUMMYFUNCTION("""COMPUTED_VALUE"""),"Pneumatic Fitting")</f>
        <v>Pneumatic Fitting</v>
      </c>
      <c r="F538" s="3" t="str">
        <f>IFERROR(__xludf.DUMMYFUNCTION("""COMPUTED_VALUE"""),"QS")</f>
        <v>QS</v>
      </c>
      <c r="G538" s="3" t="str">
        <f>IFERROR(__xludf.DUMMYFUNCTION("""COMPUTED_VALUE"""),"1/4-8")</f>
        <v>1/4-8</v>
      </c>
      <c r="H538" s="3" t="str">
        <f>IFERROR(__xludf.DUMMYFUNCTION("""COMPUTED_VALUE"""),"Festo")</f>
        <v>Festo</v>
      </c>
      <c r="I538" s="3">
        <f>IFERROR(__xludf.DUMMYFUNCTION("""COMPUTED_VALUE"""),10.0)</f>
        <v>10</v>
      </c>
      <c r="J538" s="3" t="str">
        <f>IFERROR(__xludf.DUMMYFUNCTION("""COMPUTED_VALUE"""),"Pcs")</f>
        <v>Pcs</v>
      </c>
      <c r="K538" s="5" t="str">
        <f>IFERROR(__xludf.DUMMYFUNCTION("""COMPUTED_VALUE"""),"https://shopee.co.id/FESTO-PUSH-IN-FITTING-QS-1-4-8-(-153005-)-i.269561947.5036462597")</f>
        <v>https://shopee.co.id/FESTO-PUSH-IN-FITTING-QS-1-4-8-(-153005-)-i.269561947.5036462597</v>
      </c>
      <c r="L538" s="3" t="str">
        <f>IFERROR(__xludf.DUMMYFUNCTION("""COMPUTED_VALUE"""),"Consumable ")</f>
        <v>Consumable </v>
      </c>
      <c r="M538" s="3" t="str">
        <f>IFERROR(__xludf.DUMMYFUNCTION("""COMPUTED_VALUE"""),"Approve")</f>
        <v>Approve</v>
      </c>
      <c r="N538" s="3" t="str">
        <f>IFERROR(__xludf.DUMMYFUNCTION("""COMPUTED_VALUE"""),"Normal")</f>
        <v>Normal</v>
      </c>
      <c r="O538" s="3" t="str">
        <f>IFERROR(__xludf.DUMMYFUNCTION("""COMPUTED_VALUE"""),"Non Urgent")</f>
        <v>Non Urgent</v>
      </c>
    </row>
    <row r="539">
      <c r="A539" s="4">
        <f>IFERROR(__xludf.DUMMYFUNCTION("""COMPUTED_VALUE"""),45995.88686731482)</f>
        <v>45995.88687</v>
      </c>
      <c r="B539" s="3" t="str">
        <f>IFERROR(__xludf.DUMMYFUNCTION("""COMPUTED_VALUE"""),"MRNBR0090")</f>
        <v>MRNBR0090</v>
      </c>
      <c r="C539" s="3" t="str">
        <f>IFERROR(__xludf.DUMMYFUNCTION("""COMPUTED_VALUE"""),"EJO")</f>
        <v>EJO</v>
      </c>
      <c r="D539" s="3" t="str">
        <f>IFERROR(__xludf.DUMMYFUNCTION("""COMPUTED_VALUE"""),"EJO/2025/11/120")</f>
        <v>EJO/2025/11/120</v>
      </c>
      <c r="E539" s="3" t="str">
        <f>IFERROR(__xludf.DUMMYFUNCTION("""COMPUTED_VALUE"""),"AHU F2-4")</f>
        <v>AHU F2-4</v>
      </c>
      <c r="F539" s="3" t="str">
        <f>IFERROR(__xludf.DUMMYFUNCTION("""COMPUTED_VALUE"""),"Trafo Step Down")</f>
        <v>Trafo Step Down</v>
      </c>
      <c r="G539" s="3" t="str">
        <f>IFERROR(__xludf.DUMMYFUNCTION("""COMPUTED_VALUE"""),"220VAC to 24VAC 5A")</f>
        <v>220VAC to 24VAC 5A</v>
      </c>
      <c r="H539" s="3" t="str">
        <f>IFERROR(__xludf.DUMMYFUNCTION("""COMPUTED_VALUE"""),"NA")</f>
        <v>NA</v>
      </c>
      <c r="I539" s="3">
        <f>IFERROR(__xludf.DUMMYFUNCTION("""COMPUTED_VALUE"""),1.0)</f>
        <v>1</v>
      </c>
      <c r="J539" s="3" t="str">
        <f>IFERROR(__xludf.DUMMYFUNCTION("""COMPUTED_VALUE"""),"pcs")</f>
        <v>pcs</v>
      </c>
      <c r="K539" s="5" t="str">
        <f>IFERROR(__xludf.DUMMYFUNCTION("""COMPUTED_VALUE"""),"https://www.tokopedia.com/tojilasman/5a-nol-b-travo-trafo-inverter-step-up-down-carger-cash-charger-aki-accu-5a-murni-besar-original-kurae-100-tembaga-cu-1729847549261284609?extParam=ivf%3Dfalse%26keyword%3Dtravo+step+down%26search_id%3D20251204141134B396"&amp;"7A0E938DC21506AH%26src%3Dsearch")</f>
        <v>https://www.tokopedia.com/tojilasman/5a-nol-b-travo-trafo-inverter-step-up-down-carger-cash-charger-aki-accu-5a-murni-besar-original-kurae-100-tembaga-cu-1729847549261284609?extParam=ivf%3Dfalse%26keyword%3Dtravo+step+down%26search_id%3D20251204141134B3967A0E938DC21506AH%26src%3Dsearch</v>
      </c>
      <c r="L539" s="3" t="str">
        <f>IFERROR(__xludf.DUMMYFUNCTION("""COMPUTED_VALUE"""),"Untuk perbaikan pada AHU F2-4")</f>
        <v>Untuk perbaikan pada AHU F2-4</v>
      </c>
      <c r="M539" s="3" t="str">
        <f>IFERROR(__xludf.DUMMYFUNCTION("""COMPUTED_VALUE"""),"Approve")</f>
        <v>Approve</v>
      </c>
      <c r="N539" s="3" t="str">
        <f>IFERROR(__xludf.DUMMYFUNCTION("""COMPUTED_VALUE"""),"Normal")</f>
        <v>Normal</v>
      </c>
      <c r="O539" s="3" t="str">
        <f>IFERROR(__xludf.DUMMYFUNCTION("""COMPUTED_VALUE"""),"Non Urgent")</f>
        <v>Non Urgent</v>
      </c>
    </row>
    <row r="540">
      <c r="A540" s="4">
        <f>IFERROR(__xludf.DUMMYFUNCTION("""COMPUTED_VALUE"""),46003.3452017824)</f>
        <v>46003.3452</v>
      </c>
      <c r="B540" s="3" t="str">
        <f>IFERROR(__xludf.DUMMYFUNCTION("""COMPUTED_VALUE"""),"RIABR0124")</f>
        <v>RIABR0124</v>
      </c>
      <c r="C540" s="3" t="str">
        <f>IFERROR(__xludf.DUMMYFUNCTION("""COMPUTED_VALUE"""),"EJO")</f>
        <v>EJO</v>
      </c>
      <c r="D540" s="3" t="str">
        <f>IFERROR(__xludf.DUMMYFUNCTION("""COMPUTED_VALUE"""),"EJO/2025/08/133")</f>
        <v>EJO/2025/08/133</v>
      </c>
      <c r="E540" s="3" t="str">
        <f>IFERROR(__xludf.DUMMYFUNCTION("""COMPUTED_VALUE"""),"PWG")</f>
        <v>PWG</v>
      </c>
      <c r="F540" s="3" t="str">
        <f>IFERROR(__xludf.DUMMYFUNCTION("""COMPUTED_VALUE"""),"Pressure Gauge")</f>
        <v>Pressure Gauge</v>
      </c>
      <c r="G540" s="3" t="str">
        <f>IFERROR(__xludf.DUMMYFUNCTION("""COMPUTED_VALUE"""),"Pressure Gauge GMT 10 Bar 3/4 inch")</f>
        <v>Pressure Gauge GMT 10 Bar 3/4 inch</v>
      </c>
      <c r="H540" s="3" t="str">
        <f>IFERROR(__xludf.DUMMYFUNCTION("""COMPUTED_VALUE"""),"GMT")</f>
        <v>GMT</v>
      </c>
      <c r="I540" s="3">
        <f>IFERROR(__xludf.DUMMYFUNCTION("""COMPUTED_VALUE"""),1.0)</f>
        <v>1</v>
      </c>
      <c r="J540" s="3" t="str">
        <f>IFERROR(__xludf.DUMMYFUNCTION("""COMPUTED_VALUE"""),"Pcs")</f>
        <v>Pcs</v>
      </c>
      <c r="K540" s="3" t="str">
        <f>IFERROR(__xludf.DUMMYFUNCTION("""COMPUTED_VALUE"""),"QT-25-1202-Fonko (1).pdf")</f>
        <v>QT-25-1202-Fonko (1).pdf</v>
      </c>
      <c r="L540" s="3" t="str">
        <f>IFERROR(__xludf.DUMMYFUNCTION("""COMPUTED_VALUE"""),"Buat PG TMS kalibrasi")</f>
        <v>Buat PG TMS kalibrasi</v>
      </c>
      <c r="M540" s="3" t="str">
        <f>IFERROR(__xludf.DUMMYFUNCTION("""COMPUTED_VALUE"""),"Approve")</f>
        <v>Approve</v>
      </c>
      <c r="N540" s="3" t="str">
        <f>IFERROR(__xludf.DUMMYFUNCTION("""COMPUTED_VALUE"""),"Normal")</f>
        <v>Normal</v>
      </c>
      <c r="O540" s="3" t="str">
        <f>IFERROR(__xludf.DUMMYFUNCTION("""COMPUTED_VALUE"""),"Non Urgent")</f>
        <v>Non Urgent</v>
      </c>
    </row>
    <row r="541">
      <c r="A541" s="4">
        <f>IFERROR(__xludf.DUMMYFUNCTION("""COMPUTED_VALUE"""),46005.657085555555)</f>
        <v>46005.65709</v>
      </c>
      <c r="B541" s="3" t="str">
        <f>IFERROR(__xludf.DUMMYFUNCTION("""COMPUTED_VALUE"""),"MRNBR0091")</f>
        <v>MRNBR0091</v>
      </c>
      <c r="C541" s="3" t="str">
        <f>IFERROR(__xludf.DUMMYFUNCTION("""COMPUTED_VALUE"""),"EJO")</f>
        <v>EJO</v>
      </c>
      <c r="D541" s="3" t="str">
        <f>IFERROR(__xludf.DUMMYFUNCTION("""COMPUTED_VALUE"""),"EJO/2025/10/02")</f>
        <v>EJO/2025/10/02</v>
      </c>
      <c r="E541" s="3" t="str">
        <f>IFERROR(__xludf.DUMMYFUNCTION("""COMPUTED_VALUE"""),"Deep frezzer API")</f>
        <v>Deep frezzer API</v>
      </c>
      <c r="F541" s="3" t="str">
        <f>IFERROR(__xludf.DUMMYFUNCTION("""COMPUTED_VALUE"""),"Dinamo fan")</f>
        <v>Dinamo fan</v>
      </c>
      <c r="G541" s="3" t="str">
        <f>IFERROR(__xludf.DUMMYFUNCTION("""COMPUTED_VALUE"""),"fan f61-10 asp")</f>
        <v>fan f61-10 asp</v>
      </c>
      <c r="H541" s="3" t="str">
        <f>IFERROR(__xludf.DUMMYFUNCTION("""COMPUTED_VALUE"""),"NA")</f>
        <v>NA</v>
      </c>
      <c r="I541" s="3">
        <f>IFERROR(__xludf.DUMMYFUNCTION("""COMPUTED_VALUE"""),5.0)</f>
        <v>5</v>
      </c>
      <c r="J541" s="3" t="str">
        <f>IFERROR(__xludf.DUMMYFUNCTION("""COMPUTED_VALUE"""),"pcs")</f>
        <v>pcs</v>
      </c>
      <c r="K541" s="5" t="str">
        <f>IFERROR(__xludf.DUMMYFUNCTION("""COMPUTED_VALUE"""),"https://www.tokopedia.com/grosirlegend/fan-motor-kulkas-polytron-f61-10?aff_unique_id=&amp;channel=others&amp;chain_key=")</f>
        <v>https://www.tokopedia.com/grosirlegend/fan-motor-kulkas-polytron-f61-10?aff_unique_id=&amp;channel=others&amp;chain_key=</v>
      </c>
      <c r="L541" s="3" t="str">
        <f>IFERROR(__xludf.DUMMYFUNCTION("""COMPUTED_VALUE"""),"untuk cold fan deep freezer API")</f>
        <v>untuk cold fan deep freezer API</v>
      </c>
      <c r="M541" s="3" t="str">
        <f>IFERROR(__xludf.DUMMYFUNCTION("""COMPUTED_VALUE"""),"Approve")</f>
        <v>Approve</v>
      </c>
      <c r="N541" s="3" t="str">
        <f>IFERROR(__xludf.DUMMYFUNCTION("""COMPUTED_VALUE"""),"Normal")</f>
        <v>Normal</v>
      </c>
      <c r="O541" s="3" t="str">
        <f>IFERROR(__xludf.DUMMYFUNCTION("""COMPUTED_VALUE"""),"Non Urgent")</f>
        <v>Non Urgent</v>
      </c>
    </row>
    <row r="542">
      <c r="A542" s="4">
        <f>IFERROR(__xludf.DUMMYFUNCTION("""COMPUTED_VALUE"""),46008.26701225694)</f>
        <v>46008.26701</v>
      </c>
      <c r="B542" s="3" t="str">
        <f>IFERROR(__xludf.DUMMYFUNCTION("""COMPUTED_VALUE"""),"RIABR0125")</f>
        <v>RIABR0125</v>
      </c>
      <c r="C542" s="3" t="str">
        <f>IFERROR(__xludf.DUMMYFUNCTION("""COMPUTED_VALUE"""),"EJO")</f>
        <v>EJO</v>
      </c>
      <c r="D542" s="3" t="str">
        <f>IFERROR(__xludf.DUMMYFUNCTION("""COMPUTED_VALUE"""),"EJO/2025/11/121")</f>
        <v>EJO/2025/11/121</v>
      </c>
      <c r="E542" s="3" t="str">
        <f>IFERROR(__xludf.DUMMYFUNCTION("""COMPUTED_VALUE"""),"BIBO C1-3")</f>
        <v>BIBO C1-3</v>
      </c>
      <c r="F542" s="3" t="str">
        <f>IFERROR(__xludf.DUMMYFUNCTION("""COMPUTED_VALUE"""),"Magnehelic")</f>
        <v>Magnehelic</v>
      </c>
      <c r="G542" s="3" t="str">
        <f>IFERROR(__xludf.DUMMYFUNCTION("""COMPUTED_VALUE"""),"Magnehelic Diff. Pressure Indicating Transmitter
Model : 605-3
Range : 0 to 3.0 in w.c.
Mfg : Dwyer")</f>
        <v>Magnehelic Diff. Pressure Indicating Transmitter
Model : 605-3
Range : 0 to 3.0 in w.c.
Mfg : Dwyer</v>
      </c>
      <c r="H542" s="3" t="str">
        <f>IFERROR(__xludf.DUMMYFUNCTION("""COMPUTED_VALUE"""),"Dwyer")</f>
        <v>Dwyer</v>
      </c>
      <c r="I542" s="3">
        <f>IFERROR(__xludf.DUMMYFUNCTION("""COMPUTED_VALUE"""),3.0)</f>
        <v>3</v>
      </c>
      <c r="J542" s="3" t="str">
        <f>IFERROR(__xludf.DUMMYFUNCTION("""COMPUTED_VALUE"""),"Pcs")</f>
        <v>Pcs</v>
      </c>
      <c r="K542" s="3" t="str">
        <f>IFERROR(__xludf.DUMMYFUNCTION("""COMPUTED_VALUE"""),"QENS-SHGI-251004.pdf")</f>
        <v>QENS-SHGI-251004.pdf</v>
      </c>
      <c r="L542" s="3" t="str">
        <f>IFERROR(__xludf.DUMMYFUNCTION("""COMPUTED_VALUE"""),"Buat magnehelic transmitter")</f>
        <v>Buat magnehelic transmitter</v>
      </c>
      <c r="M542" s="3" t="str">
        <f>IFERROR(__xludf.DUMMYFUNCTION("""COMPUTED_VALUE"""),"Approve")</f>
        <v>Approve</v>
      </c>
      <c r="N542" s="3" t="str">
        <f>IFERROR(__xludf.DUMMYFUNCTION("""COMPUTED_VALUE"""),"Normal")</f>
        <v>Normal</v>
      </c>
      <c r="O542" s="3" t="str">
        <f>IFERROR(__xludf.DUMMYFUNCTION("""COMPUTED_VALUE"""),"Non Urgent")</f>
        <v>Non Urgent</v>
      </c>
    </row>
    <row r="543">
      <c r="A543" s="4">
        <f>IFERROR(__xludf.DUMMYFUNCTION("""COMPUTED_VALUE"""),46008.26784240741)</f>
        <v>46008.26784</v>
      </c>
      <c r="B543" s="3" t="str">
        <f>IFERROR(__xludf.DUMMYFUNCTION("""COMPUTED_VALUE"""),"RIABR0126")</f>
        <v>RIABR0126</v>
      </c>
      <c r="C543" s="3" t="str">
        <f>IFERROR(__xludf.DUMMYFUNCTION("""COMPUTED_VALUE"""),"Consumable")</f>
        <v>Consumable</v>
      </c>
      <c r="D543" s="3" t="str">
        <f>IFERROR(__xludf.DUMMYFUNCTION("""COMPUTED_VALUE"""),"-")</f>
        <v>-</v>
      </c>
      <c r="E543" s="3" t="str">
        <f>IFERROR(__xludf.DUMMYFUNCTION("""COMPUTED_VALUE"""),"AHU OS E1-1")</f>
        <v>AHU OS E1-1</v>
      </c>
      <c r="F543" s="3" t="str">
        <f>IFERROR(__xludf.DUMMYFUNCTION("""COMPUTED_VALUE"""),"Magnehelic")</f>
        <v>Magnehelic</v>
      </c>
      <c r="G543" s="3" t="str">
        <f>IFERROR(__xludf.DUMMYFUNCTION("""COMPUTED_VALUE"""),"Magnehelic Diff. Pressure Gages
Model : 2000-250PA
Range : 0-250 Pascal
Mfg : Dwyer")</f>
        <v>Magnehelic Diff. Pressure Gages
Model : 2000-250PA
Range : 0-250 Pascal
Mfg : Dwyer</v>
      </c>
      <c r="H543" s="3" t="str">
        <f>IFERROR(__xludf.DUMMYFUNCTION("""COMPUTED_VALUE"""),"Dwyer")</f>
        <v>Dwyer</v>
      </c>
      <c r="I543" s="3">
        <f>IFERROR(__xludf.DUMMYFUNCTION("""COMPUTED_VALUE"""),3.0)</f>
        <v>3</v>
      </c>
      <c r="J543" s="3" t="str">
        <f>IFERROR(__xludf.DUMMYFUNCTION("""COMPUTED_VALUE"""),"Pcs")</f>
        <v>Pcs</v>
      </c>
      <c r="K543" s="3" t="str">
        <f>IFERROR(__xludf.DUMMYFUNCTION("""COMPUTED_VALUE"""),"QENS-SHGI-251004.pdf")</f>
        <v>QENS-SHGI-251004.pdf</v>
      </c>
      <c r="L543" s="3" t="str">
        <f>IFERROR(__xludf.DUMMYFUNCTION("""COMPUTED_VALUE"""),"Buat magnehelic osd")</f>
        <v>Buat magnehelic osd</v>
      </c>
      <c r="M543" s="3" t="str">
        <f>IFERROR(__xludf.DUMMYFUNCTION("""COMPUTED_VALUE"""),"Approve")</f>
        <v>Approve</v>
      </c>
      <c r="N543" s="3" t="str">
        <f>IFERROR(__xludf.DUMMYFUNCTION("""COMPUTED_VALUE"""),"Normal")</f>
        <v>Normal</v>
      </c>
      <c r="O543" s="3" t="str">
        <f>IFERROR(__xludf.DUMMYFUNCTION("""COMPUTED_VALUE"""),"Non Urgent")</f>
        <v>Non Urgent</v>
      </c>
    </row>
    <row r="544">
      <c r="A544" s="4">
        <f>IFERROR(__xludf.DUMMYFUNCTION("""COMPUTED_VALUE"""),46008.26853159723)</f>
        <v>46008.26853</v>
      </c>
      <c r="B544" s="3" t="str">
        <f>IFERROR(__xludf.DUMMYFUNCTION("""COMPUTED_VALUE"""),"RIABR0127")</f>
        <v>RIABR0127</v>
      </c>
      <c r="C544" s="3" t="str">
        <f>IFERROR(__xludf.DUMMYFUNCTION("""COMPUTED_VALUE"""),"Consumable")</f>
        <v>Consumable</v>
      </c>
      <c r="D544" s="3" t="str">
        <f>IFERROR(__xludf.DUMMYFUNCTION("""COMPUTED_VALUE"""),"-")</f>
        <v>-</v>
      </c>
      <c r="E544" s="3" t="str">
        <f>IFERROR(__xludf.DUMMYFUNCTION("""COMPUTED_VALUE"""),"AHU OS E1-1")</f>
        <v>AHU OS E1-1</v>
      </c>
      <c r="F544" s="3" t="str">
        <f>IFERROR(__xludf.DUMMYFUNCTION("""COMPUTED_VALUE"""),"Magnehelic")</f>
        <v>Magnehelic</v>
      </c>
      <c r="G544" s="3" t="str">
        <f>IFERROR(__xludf.DUMMYFUNCTION("""COMPUTED_VALUE"""),"Magnehelic Diff. Pressure Gages
Model : 2000-500PA
Range : 0-500 Pascal
Mfg : Dwyer")</f>
        <v>Magnehelic Diff. Pressure Gages
Model : 2000-500PA
Range : 0-500 Pascal
Mfg : Dwyer</v>
      </c>
      <c r="H544" s="3" t="str">
        <f>IFERROR(__xludf.DUMMYFUNCTION("""COMPUTED_VALUE"""),"Dwyer")</f>
        <v>Dwyer</v>
      </c>
      <c r="I544" s="3">
        <f>IFERROR(__xludf.DUMMYFUNCTION("""COMPUTED_VALUE"""),3.0)</f>
        <v>3</v>
      </c>
      <c r="J544" s="3" t="str">
        <f>IFERROR(__xludf.DUMMYFUNCTION("""COMPUTED_VALUE"""),"Pcs")</f>
        <v>Pcs</v>
      </c>
      <c r="K544" s="3" t="str">
        <f>IFERROR(__xludf.DUMMYFUNCTION("""COMPUTED_VALUE"""),"QENS-SHGI-251004.pdf")</f>
        <v>QENS-SHGI-251004.pdf</v>
      </c>
      <c r="L544" s="3" t="str">
        <f>IFERROR(__xludf.DUMMYFUNCTION("""COMPUTED_VALUE"""),"Buat magnehelic osd")</f>
        <v>Buat magnehelic osd</v>
      </c>
      <c r="M544" s="3" t="str">
        <f>IFERROR(__xludf.DUMMYFUNCTION("""COMPUTED_VALUE"""),"Approve")</f>
        <v>Approve</v>
      </c>
      <c r="N544" s="3" t="str">
        <f>IFERROR(__xludf.DUMMYFUNCTION("""COMPUTED_VALUE"""),"Normal")</f>
        <v>Normal</v>
      </c>
      <c r="O544" s="3" t="str">
        <f>IFERROR(__xludf.DUMMYFUNCTION("""COMPUTED_VALUE"""),"Non Urgent")</f>
        <v>Non Urgent</v>
      </c>
    </row>
    <row r="545">
      <c r="A545" s="4">
        <f>IFERROR(__xludf.DUMMYFUNCTION("""COMPUTED_VALUE"""),46009.38019087963)</f>
        <v>46009.38019</v>
      </c>
      <c r="B545" s="3" t="str">
        <f>IFERROR(__xludf.DUMMYFUNCTION("""COMPUTED_VALUE"""),"ANOBR0041")</f>
        <v>ANOBR0041</v>
      </c>
      <c r="C545" s="3" t="str">
        <f>IFERROR(__xludf.DUMMYFUNCTION("""COMPUTED_VALUE"""),"Critical Part")</f>
        <v>Critical Part</v>
      </c>
      <c r="D545" s="3" t="str">
        <f>IFERROR(__xludf.DUMMYFUNCTION("""COMPUTED_VALUE"""),"-")</f>
        <v>-</v>
      </c>
      <c r="E545" s="3" t="str">
        <f>IFERROR(__xludf.DUMMYFUNCTION("""COMPUTED_VALUE"""),"Chiler Blistering")</f>
        <v>Chiler Blistering</v>
      </c>
      <c r="F545" s="3" t="str">
        <f>IFERROR(__xludf.DUMMYFUNCTION("""COMPUTED_VALUE"""),"Elbow Ornamen SS 201 dia. 4""")</f>
        <v>Elbow Ornamen SS 201 dia. 4"</v>
      </c>
      <c r="G545" s="3" t="str">
        <f>IFERROR(__xludf.DUMMYFUNCTION("""COMPUTED_VALUE"""),"Elbow Ornamen SS 201 dia. 4""")</f>
        <v>Elbow Ornamen SS 201 dia. 4"</v>
      </c>
      <c r="H545" s="3" t="str">
        <f>IFERROR(__xludf.DUMMYFUNCTION("""COMPUTED_VALUE"""),"-")</f>
        <v>-</v>
      </c>
      <c r="I545" s="3">
        <f>IFERROR(__xludf.DUMMYFUNCTION("""COMPUTED_VALUE"""),2.0)</f>
        <v>2</v>
      </c>
      <c r="J545" s="3" t="str">
        <f>IFERROR(__xludf.DUMMYFUNCTION("""COMPUTED_VALUE"""),"PCS")</f>
        <v>PCS</v>
      </c>
      <c r="K545" s="5" t="str">
        <f>IFERROR(__xludf.DUMMYFUNCTION("""COMPUTED_VALUE"""),"https://drive.google.com/drive/folders/1A8-gVEjIpkZjnnwnsdSh3Nem54SXtuLb?usp=drive_link")</f>
        <v>https://drive.google.com/drive/folders/1A8-gVEjIpkZjnnwnsdSh3Nem54SXtuLb?usp=drive_link</v>
      </c>
      <c r="L545" s="3" t="str">
        <f>IFERROR(__xludf.DUMMYFUNCTION("""COMPUTED_VALUE"""),"untuk keperluan membuat jalur exhaust di chiler blistering")</f>
        <v>untuk keperluan membuat jalur exhaust di chiler blistering</v>
      </c>
      <c r="M545" s="3" t="str">
        <f>IFERROR(__xludf.DUMMYFUNCTION("""COMPUTED_VALUE"""),"Approve")</f>
        <v>Approve</v>
      </c>
      <c r="N545" s="3" t="str">
        <f>IFERROR(__xludf.DUMMYFUNCTION("""COMPUTED_VALUE"""),"Normal")</f>
        <v>Normal</v>
      </c>
      <c r="O545" s="3" t="str">
        <f>IFERROR(__xludf.DUMMYFUNCTION("""COMPUTED_VALUE"""),"Non Urgent")</f>
        <v>Non Urgent</v>
      </c>
    </row>
    <row r="546">
      <c r="A546" s="4">
        <f>IFERROR(__xludf.DUMMYFUNCTION("""COMPUTED_VALUE"""),46009.391036678244)</f>
        <v>46009.39104</v>
      </c>
      <c r="B546" s="3" t="str">
        <f>IFERROR(__xludf.DUMMYFUNCTION("""COMPUTED_VALUE"""),"ANOBR0042")</f>
        <v>ANOBR0042</v>
      </c>
      <c r="C546" s="3" t="str">
        <f>IFERROR(__xludf.DUMMYFUNCTION("""COMPUTED_VALUE"""),"Critical Part")</f>
        <v>Critical Part</v>
      </c>
      <c r="D546" s="3" t="str">
        <f>IFERROR(__xludf.DUMMYFUNCTION("""COMPUTED_VALUE"""),"-")</f>
        <v>-</v>
      </c>
      <c r="E546" s="3" t="str">
        <f>IFERROR(__xludf.DUMMYFUNCTION("""COMPUTED_VALUE"""),"Chiler Blistering")</f>
        <v>Chiler Blistering</v>
      </c>
      <c r="F546" s="3" t="str">
        <f>IFERROR(__xludf.DUMMYFUNCTION("""COMPUTED_VALUE"""),"03-Round Pipe Hanger with Blue Rubber Seat and Base SS 304 dia. 4""")</f>
        <v>03-Round Pipe Hanger with Blue Rubber Seat and Base SS 304 dia. 4"</v>
      </c>
      <c r="G546" s="3" t="str">
        <f>IFERROR(__xludf.DUMMYFUNCTION("""COMPUTED_VALUE"""),"03-Round Pipe Hanger with Blue Rubber Seat and Base SS 304 dia. 4""")</f>
        <v>03-Round Pipe Hanger with Blue Rubber Seat and Base SS 304 dia. 4"</v>
      </c>
      <c r="H546" s="3" t="str">
        <f>IFERROR(__xludf.DUMMYFUNCTION("""COMPUTED_VALUE"""),"-")</f>
        <v>-</v>
      </c>
      <c r="I546" s="3">
        <f>IFERROR(__xludf.DUMMYFUNCTION("""COMPUTED_VALUE"""),3.0)</f>
        <v>3</v>
      </c>
      <c r="J546" s="3" t="str">
        <f>IFERROR(__xludf.DUMMYFUNCTION("""COMPUTED_VALUE"""),"PCS")</f>
        <v>PCS</v>
      </c>
      <c r="K546" s="5" t="str">
        <f>IFERROR(__xludf.DUMMYFUNCTION("""COMPUTED_VALUE"""),"https://drive.google.com/drive/folders/1A8-gVEjIpkZjnnwnsdSh3Nem54SXtuLb?usp=drive_link")</f>
        <v>https://drive.google.com/drive/folders/1A8-gVEjIpkZjnnwnsdSh3Nem54SXtuLb?usp=drive_link</v>
      </c>
      <c r="L546" s="3" t="str">
        <f>IFERROR(__xludf.DUMMYFUNCTION("""COMPUTED_VALUE"""),"untuk keperluan membuat jalur exhaust di chiler blistering")</f>
        <v>untuk keperluan membuat jalur exhaust di chiler blistering</v>
      </c>
      <c r="M546" s="3" t="str">
        <f>IFERROR(__xludf.DUMMYFUNCTION("""COMPUTED_VALUE"""),"Approve")</f>
        <v>Approve</v>
      </c>
      <c r="N546" s="3" t="str">
        <f>IFERROR(__xludf.DUMMYFUNCTION("""COMPUTED_VALUE"""),"Normal")</f>
        <v>Normal</v>
      </c>
      <c r="O546" s="3" t="str">
        <f>IFERROR(__xludf.DUMMYFUNCTION("""COMPUTED_VALUE"""),"Non Urgent")</f>
        <v>Non Urgent</v>
      </c>
    </row>
    <row r="547">
      <c r="A547" s="4">
        <f>IFERROR(__xludf.DUMMYFUNCTION("""COMPUTED_VALUE"""),46009.3948921875)</f>
        <v>46009.39489</v>
      </c>
      <c r="B547" s="3" t="str">
        <f>IFERROR(__xludf.DUMMYFUNCTION("""COMPUTED_VALUE"""),"INNBR0047")</f>
        <v>INNBR0047</v>
      </c>
      <c r="C547" s="3" t="str">
        <f>IFERROR(__xludf.DUMMYFUNCTION("""COMPUTED_VALUE"""),"EJO")</f>
        <v>EJO</v>
      </c>
      <c r="D547" s="3" t="str">
        <f>IFERROR(__xludf.DUMMYFUNCTION("""COMPUTED_VALUE"""),"EJO/2025/09/91")</f>
        <v>EJO/2025/09/91</v>
      </c>
      <c r="E547" s="3" t="str">
        <f>IFERROR(__xludf.DUMMYFUNCTION("""COMPUTED_VALUE"""),"HPLC 3")</f>
        <v>HPLC 3</v>
      </c>
      <c r="F547" s="3" t="str">
        <f>IFERROR(__xludf.DUMMYFUNCTION("""COMPUTED_VALUE"""),"WAT073109 SYRINGE, 250 uL W/ SHRINK WRAP PLUNGER")</f>
        <v>WAT073109 SYRINGE, 250 uL W/ SHRINK WRAP PLUNGER</v>
      </c>
      <c r="G547" s="3" t="str">
        <f>IFERROR(__xludf.DUMMYFUNCTION("""COMPUTED_VALUE"""),"Minta penawaran ke kromtek")</f>
        <v>Minta penawaran ke kromtek</v>
      </c>
      <c r="H547" s="3" t="str">
        <f>IFERROR(__xludf.DUMMYFUNCTION("""COMPUTED_VALUE"""),"Kromtek")</f>
        <v>Kromtek</v>
      </c>
      <c r="I547" s="3">
        <f>IFERROR(__xludf.DUMMYFUNCTION("""COMPUTED_VALUE"""),1.0)</f>
        <v>1</v>
      </c>
      <c r="J547" s="3" t="str">
        <f>IFERROR(__xludf.DUMMYFUNCTION("""COMPUTED_VALUE"""),"Pcs")</f>
        <v>Pcs</v>
      </c>
      <c r="K547" s="3" t="str">
        <f>IFERROR(__xludf.DUMMYFUNCTION("""COMPUTED_VALUE"""),"NA")</f>
        <v>NA</v>
      </c>
      <c r="L547" s="3" t="str">
        <f>IFERROR(__xludf.DUMMYFUNCTION("""COMPUTED_VALUE"""),"Untuk syringe rembes")</f>
        <v>Untuk syringe rembes</v>
      </c>
      <c r="M547" s="3" t="str">
        <f>IFERROR(__xludf.DUMMYFUNCTION("""COMPUTED_VALUE"""),"Approve")</f>
        <v>Approve</v>
      </c>
      <c r="N547" s="3" t="str">
        <f>IFERROR(__xludf.DUMMYFUNCTION("""COMPUTED_VALUE"""),"Normal")</f>
        <v>Normal</v>
      </c>
      <c r="O547" s="3" t="str">
        <f>IFERROR(__xludf.DUMMYFUNCTION("""COMPUTED_VALUE"""),"Non Urgent")</f>
        <v>Non Urgent</v>
      </c>
    </row>
    <row r="548">
      <c r="A548" s="4">
        <f>IFERROR(__xludf.DUMMYFUNCTION("""COMPUTED_VALUE"""),46009.69624534722)</f>
        <v>46009.69625</v>
      </c>
      <c r="B548" s="3" t="str">
        <f>IFERROR(__xludf.DUMMYFUNCTION("""COMPUTED_VALUE"""),"ANOBR0043")</f>
        <v>ANOBR0043</v>
      </c>
      <c r="C548" s="3" t="str">
        <f>IFERROR(__xludf.DUMMYFUNCTION("""COMPUTED_VALUE"""),"Consumable")</f>
        <v>Consumable</v>
      </c>
      <c r="D548" s="3" t="str">
        <f>IFERROR(__xludf.DUMMYFUNCTION("""COMPUTED_VALUE"""),"EJO/2025/08/94")</f>
        <v>EJO/2025/08/94</v>
      </c>
      <c r="E548" s="3" t="str">
        <f>IFERROR(__xludf.DUMMYFUNCTION("""COMPUTED_VALUE"""),"Aerosol Generator")</f>
        <v>Aerosol Generator</v>
      </c>
      <c r="F548" s="3" t="str">
        <f>IFERROR(__xludf.DUMMYFUNCTION("""COMPUTED_VALUE"""),"gasket packing tombo")</f>
        <v>gasket packing tombo</v>
      </c>
      <c r="G548" s="3" t="str">
        <f>IFERROR(__xludf.DUMMYFUNCTION("""COMPUTED_VALUE"""),"tebal 3 mm, ")</f>
        <v>tebal 3 mm, </v>
      </c>
      <c r="H548" s="3" t="str">
        <f>IFERROR(__xludf.DUMMYFUNCTION("""COMPUTED_VALUE"""),"tombo")</f>
        <v>tombo</v>
      </c>
      <c r="I548" s="3">
        <f>IFERROR(__xludf.DUMMYFUNCTION("""COMPUTED_VALUE"""),1.0)</f>
        <v>1</v>
      </c>
      <c r="J548" s="3" t="str">
        <f>IFERROR(__xludf.DUMMYFUNCTION("""COMPUTED_VALUE"""),"lembar")</f>
        <v>lembar</v>
      </c>
      <c r="K548" s="3" t="str">
        <f>IFERROR(__xludf.DUMMYFUNCTION("""COMPUTED_VALUE"""),"-")</f>
        <v>-</v>
      </c>
      <c r="L548" s="3" t="str">
        <f>IFERROR(__xludf.DUMMYFUNCTION("""COMPUTED_VALUE"""),"untuk kebutuhan penggantian gasket cover tutup aerosol generator (REJECT BY MFH KARENA SPEK KURANG LENGKAP DAN REFERENSI TIDAK ADA)")</f>
        <v>untuk kebutuhan penggantian gasket cover tutup aerosol generator (REJECT BY MFH KARENA SPEK KURANG LENGKAP DAN REFERENSI TIDAK ADA)</v>
      </c>
      <c r="M548" s="3" t="str">
        <f>IFERROR(__xludf.DUMMYFUNCTION("""COMPUTED_VALUE"""),"Reject")</f>
        <v>Reject</v>
      </c>
      <c r="N548" s="3" t="str">
        <f>IFERROR(__xludf.DUMMYFUNCTION("""COMPUTED_VALUE"""),"Normal")</f>
        <v>Normal</v>
      </c>
      <c r="O548" s="3" t="str">
        <f>IFERROR(__xludf.DUMMYFUNCTION("""COMPUTED_VALUE"""),"Non Urgent")</f>
        <v>Non Urgent</v>
      </c>
    </row>
    <row r="549">
      <c r="A549" s="4">
        <f>IFERROR(__xludf.DUMMYFUNCTION("""COMPUTED_VALUE"""),46010.25584149305)</f>
        <v>46010.25584</v>
      </c>
      <c r="B549" s="3" t="str">
        <f>IFERROR(__xludf.DUMMYFUNCTION("""COMPUTED_VALUE"""),"RIABR0128")</f>
        <v>RIABR0128</v>
      </c>
      <c r="C549" s="3" t="str">
        <f>IFERROR(__xludf.DUMMYFUNCTION("""COMPUTED_VALUE"""),"Consumable")</f>
        <v>Consumable</v>
      </c>
      <c r="D549" s="3" t="str">
        <f>IFERROR(__xludf.DUMMYFUNCTION("""COMPUTED_VALUE"""),"-")</f>
        <v>-</v>
      </c>
      <c r="E549" s="3" t="str">
        <f>IFERROR(__xludf.DUMMYFUNCTION("""COMPUTED_VALUE"""),"All Area")</f>
        <v>All Area</v>
      </c>
      <c r="F549" s="3" t="str">
        <f>IFERROR(__xludf.DUMMYFUNCTION("""COMPUTED_VALUE"""),"Ventilator Portable")</f>
        <v>Ventilator Portable</v>
      </c>
      <c r="G549" s="3" t="str">
        <f>IFERROR(__xludf.DUMMYFUNCTION("""COMPUTED_VALUE"""),"PORTABLE VENTILATOR AXIAL FAN
WEKA Germany
Spesifikasi :
- Type : CTF-45
- Power : 1500 Watt
- Frequency : 50 Hz
- Total Pressure : 170 pa
- Insulation Grade : F
- Diameter : 450 Mm
- Voltage : 220 V
- Flowrate : 167 m³/h
- Speed : 2900 r"&amp;"/min")</f>
        <v>PORTABLE VENTILATOR AXIAL FAN
WEKA Germany
Spesifikasi :
- Type : CTF-45
- Power : 1500 Watt
- Frequency : 50 Hz
- Total Pressure : 170 pa
- Insulation Grade : F
- Diameter : 450 Mm
- Voltage : 220 V
- Flowrate : 167 m³/h
- Speed : 2900 r/min</v>
      </c>
      <c r="H549" s="3" t="str">
        <f>IFERROR(__xludf.DUMMYFUNCTION("""COMPUTED_VALUE"""),"Weka")</f>
        <v>Weka</v>
      </c>
      <c r="I549" s="3">
        <f>IFERROR(__xludf.DUMMYFUNCTION("""COMPUTED_VALUE"""),2.0)</f>
        <v>2</v>
      </c>
      <c r="J549" s="3" t="str">
        <f>IFERROR(__xludf.DUMMYFUNCTION("""COMPUTED_VALUE"""),"Set")</f>
        <v>Set</v>
      </c>
      <c r="K549" s="5" t="str">
        <f>IFERROR(__xludf.DUMMYFUNCTION("""COMPUTED_VALUE"""),"https://www.tokopedia.com/centraltechnicofficial/kipas-portable-ventilator-blower-18-inch-plus-flexible-duct-10-meter?extParam=ivf%3Dfalse%26keyword%3Dventilator+portable%26search_id%3D202512182307048D3BBA7425E7C93C16GQ%26src%3Dsearch&amp;t_id=1766099190886&amp;t"&amp;"_st=2&amp;t_pp=search_result&amp;t_efo=search_pure_goods_card&amp;t_ef=goods_search&amp;t_sm=&amp;t_spt=search_result")</f>
        <v>https://www.tokopedia.com/centraltechnicofficial/kipas-portable-ventilator-blower-18-inch-plus-flexible-duct-10-meter?extParam=ivf%3Dfalse%26keyword%3Dventilator+portable%26search_id%3D202512182307048D3BBA7425E7C93C16GQ%26src%3Dsearch&amp;t_id=1766099190886&amp;t_st=2&amp;t_pp=search_result&amp;t_efo=search_pure_goods_card&amp;t_ef=goods_search&amp;t_sm=&amp;t_spt=search_result</v>
      </c>
      <c r="L549" s="3" t="str">
        <f>IFERROR(__xludf.DUMMYFUNCTION("""COMPUTED_VALUE"""),"Untuk kebutuhan jika ada cat atau pm kondensat yang perlu blower")</f>
        <v>Untuk kebutuhan jika ada cat atau pm kondensat yang perlu blower</v>
      </c>
      <c r="M549" s="3" t="str">
        <f>IFERROR(__xludf.DUMMYFUNCTION("""COMPUTED_VALUE"""),"Approve")</f>
        <v>Approve</v>
      </c>
      <c r="N549" s="3" t="str">
        <f>IFERROR(__xludf.DUMMYFUNCTION("""COMPUTED_VALUE"""),"Normal")</f>
        <v>Normal</v>
      </c>
      <c r="O549" s="3" t="str">
        <f>IFERROR(__xludf.DUMMYFUNCTION("""COMPUTED_VALUE"""),"Non Urgent")</f>
        <v>Non Urgent</v>
      </c>
    </row>
    <row r="550">
      <c r="A550" s="4">
        <f>IFERROR(__xludf.DUMMYFUNCTION("""COMPUTED_VALUE"""),46010.25765248843)</f>
        <v>46010.25765</v>
      </c>
      <c r="B550" s="3" t="str">
        <f>IFERROR(__xludf.DUMMYFUNCTION("""COMPUTED_VALUE"""),"RIABR0129")</f>
        <v>RIABR0129</v>
      </c>
      <c r="C550" s="3" t="str">
        <f>IFERROR(__xludf.DUMMYFUNCTION("""COMPUTED_VALUE"""),"Consumable")</f>
        <v>Consumable</v>
      </c>
      <c r="D550" s="3" t="str">
        <f>IFERROR(__xludf.DUMMYFUNCTION("""COMPUTED_VALUE"""),"-")</f>
        <v>-</v>
      </c>
      <c r="E550" s="3" t="str">
        <f>IFERROR(__xludf.DUMMYFUNCTION("""COMPUTED_VALUE"""),"All Area")</f>
        <v>All Area</v>
      </c>
      <c r="F550" s="3" t="str">
        <f>IFERROR(__xludf.DUMMYFUNCTION("""COMPUTED_VALUE"""),"Drain Cleaner")</f>
        <v>Drain Cleaner</v>
      </c>
      <c r="G550" s="3" t="str">
        <f>IFERROR(__xludf.DUMMYFUNCTION("""COMPUTED_VALUE"""),"Berfungsi untuk menguras dan membersihkan pipa ledeng
Aksesori untuk berbagai jenis kotoran
Dapat digunakan untuk berbagai jenis pipa dengan diameter 20-100 mm
Rated power : 220/50 v/hz
Rpm : 400
Working Dimension : 530 mm
Daya : 390 watt
Jangkau"&amp;" pembersihan : 30 mtr
Lebar : 24 cm
Material : steel
Panjang : 26 cm
Tinggi : 30 cm
Garansi Part: 3 bulan
Garansi Servis: 6 bulan
SKU : KW1800095")</f>
        <v>Berfungsi untuk menguras dan membersihkan pipa ledeng
Aksesori untuk berbagai jenis kotoran
Dapat digunakan untuk berbagai jenis pipa dengan diameter 20-100 mm
Rated power : 220/50 v/hz
Rpm : 400
Working Dimension : 530 mm
Daya : 390 watt
Jangkau pembersihan : 30 mtr
Lebar : 24 cm
Material : steel
Panjang : 26 cm
Tinggi : 30 cm
Garansi Part: 3 bulan
Garansi Servis: 6 bulan
SKU : KW1800095</v>
      </c>
      <c r="H550" s="3" t="str">
        <f>IFERROR(__xludf.DUMMYFUNCTION("""COMPUTED_VALUE"""),"Krisbow")</f>
        <v>Krisbow</v>
      </c>
      <c r="I550" s="3">
        <f>IFERROR(__xludf.DUMMYFUNCTION("""COMPUTED_VALUE"""),1.0)</f>
        <v>1</v>
      </c>
      <c r="J550" s="3" t="str">
        <f>IFERROR(__xludf.DUMMYFUNCTION("""COMPUTED_VALUE"""),"Set")</f>
        <v>Set</v>
      </c>
      <c r="K550" s="5" t="str">
        <f>IFERROR(__xludf.DUMMYFUNCTION("""COMPUTED_VALUE"""),"https://www.tokopedia.com/krisbowid/krisbow-drain-cleaner-motor-alat-pembersih-pipa-10-cm?extParam=ivf%3Dfalse%26keyword%3Ddrain+cleaner%26search_id%3D20251218230943DB8E1AF0CB3ACA193JZJ%26src%3Dsearch&amp;t_id=1766099190886&amp;t_st=4&amp;t_pp=search_result&amp;t_efo=sea"&amp;"rch_pure_goods_card&amp;t_ef=goods_search&amp;t_sm=&amp;t_spt=search_result")</f>
        <v>https://www.tokopedia.com/krisbowid/krisbow-drain-cleaner-motor-alat-pembersih-pipa-10-cm?extParam=ivf%3Dfalse%26keyword%3Ddrain+cleaner%26search_id%3D20251218230943DB8E1AF0CB3ACA193JZJ%26src%3Dsearch&amp;t_id=1766099190886&amp;t_st=4&amp;t_pp=search_result&amp;t_efo=search_pure_goods_card&amp;t_ef=goods_search&amp;t_sm=&amp;t_spt=search_result</v>
      </c>
      <c r="L550" s="3" t="str">
        <f>IFERROR(__xludf.DUMMYFUNCTION("""COMPUTED_VALUE"""),"Untuk cleaning drain (REJECT BY MFH KARENA SUDAH DI BQ DI MRNBR0097 YANG LEBIH TERJANGKAU)")</f>
        <v>Untuk cleaning drain (REJECT BY MFH KARENA SUDAH DI BQ DI MRNBR0097 YANG LEBIH TERJANGKAU)</v>
      </c>
      <c r="M550" s="3" t="str">
        <f>IFERROR(__xludf.DUMMYFUNCTION("""COMPUTED_VALUE"""),"Reject")</f>
        <v>Reject</v>
      </c>
      <c r="N550" s="3" t="str">
        <f>IFERROR(__xludf.DUMMYFUNCTION("""COMPUTED_VALUE"""),"Normal")</f>
        <v>Normal</v>
      </c>
      <c r="O550" s="3" t="str">
        <f>IFERROR(__xludf.DUMMYFUNCTION("""COMPUTED_VALUE"""),"Non Urgent")</f>
        <v>Non Urgent</v>
      </c>
    </row>
    <row r="551">
      <c r="A551" s="4">
        <f>IFERROR(__xludf.DUMMYFUNCTION("""COMPUTED_VALUE"""),46010.259161851856)</f>
        <v>46010.25916</v>
      </c>
      <c r="B551" s="3" t="str">
        <f>IFERROR(__xludf.DUMMYFUNCTION("""COMPUTED_VALUE"""),"RIABR0130")</f>
        <v>RIABR0130</v>
      </c>
      <c r="C551" s="3" t="str">
        <f>IFERROR(__xludf.DUMMYFUNCTION("""COMPUTED_VALUE"""),"Consumable")</f>
        <v>Consumable</v>
      </c>
      <c r="D551" s="3" t="str">
        <f>IFERROR(__xludf.DUMMYFUNCTION("""COMPUTED_VALUE"""),"-")</f>
        <v>-</v>
      </c>
      <c r="E551" s="3" t="str">
        <f>IFERROR(__xludf.DUMMYFUNCTION("""COMPUTED_VALUE"""),"All Area")</f>
        <v>All Area</v>
      </c>
      <c r="F551" s="3" t="str">
        <f>IFERROR(__xludf.DUMMYFUNCTION("""COMPUTED_VALUE"""),"Kawat Spiral")</f>
        <v>Kawat Spiral</v>
      </c>
      <c r="G551" s="3" t="str">
        <f>IFERROR(__xludf.DUMMYFUNCTION("""COMPUTED_VALUE"""),"Paket Lengkap berisi : 
-4 Batang spiral diameter 22  @ 5 meter
-5 Pcs Mata Bor 22 mm
-     1 unlock key
-1 bor connector
-1 housing / storage spiral 
")</f>
        <v>Paket Lengkap berisi : 
-4 Batang spiral diameter 22  @ 5 meter
-5 Pcs Mata Bor 22 mm
-     1 unlock key
-1 bor connector
-1 housing / storage spiral 
</v>
      </c>
      <c r="H551" s="3" t="str">
        <f>IFERROR(__xludf.DUMMYFUNCTION("""COMPUTED_VALUE"""),"Lokal")</f>
        <v>Lokal</v>
      </c>
      <c r="I551" s="3">
        <f>IFERROR(__xludf.DUMMYFUNCTION("""COMPUTED_VALUE"""),30.0)</f>
        <v>30</v>
      </c>
      <c r="J551" s="3" t="str">
        <f>IFERROR(__xludf.DUMMYFUNCTION("""COMPUTED_VALUE"""),"Mtr")</f>
        <v>Mtr</v>
      </c>
      <c r="K551" s="5" t="str">
        <f>IFERROR(__xludf.DUMMYFUNCTION("""COMPUTED_VALUE"""),"https://www.tokopedia.com/happyadventure101/paket-20-mtr-kawat-spiral-premium-diameter-22-mm-panjang-solusi-saluran-pipa-pembuangan-air-mampet-1731607367160333622?extParam=ivf%3Dfalse%26keyword%3Ddrain+cleaner+kawat+baja%26search_id%3D20251218231227B3967A"&amp;"0E938DC2041Q0C%26src%3Dsearch&amp;t_id=1766099190886&amp;t_st=6&amp;t_pp=search_result&amp;t_efo=search_pure_goods_card&amp;t_ef=goods_search&amp;t_sm=&amp;t_spt=search_result")</f>
        <v>https://www.tokopedia.com/happyadventure101/paket-20-mtr-kawat-spiral-premium-diameter-22-mm-panjang-solusi-saluran-pipa-pembuangan-air-mampet-1731607367160333622?extParam=ivf%3Dfalse%26keyword%3Ddrain+cleaner+kawat+baja%26search_id%3D20251218231227B3967A0E938DC2041Q0C%26src%3Dsearch&amp;t_id=1766099190886&amp;t_st=6&amp;t_pp=search_result&amp;t_efo=search_pure_goods_card&amp;t_ef=goods_search&amp;t_sm=&amp;t_spt=search_result</v>
      </c>
      <c r="L551" s="3" t="str">
        <f>IFERROR(__xludf.DUMMYFUNCTION("""COMPUTED_VALUE"""),"Untuk pelengkap drain cleaner bq sebelumnya")</f>
        <v>Untuk pelengkap drain cleaner bq sebelumnya</v>
      </c>
      <c r="M551" s="3" t="str">
        <f>IFERROR(__xludf.DUMMYFUNCTION("""COMPUTED_VALUE"""),"Reject")</f>
        <v>Reject</v>
      </c>
      <c r="N551" s="3" t="str">
        <f>IFERROR(__xludf.DUMMYFUNCTION("""COMPUTED_VALUE"""),"Normal")</f>
        <v>Normal</v>
      </c>
      <c r="O551" s="3" t="str">
        <f>IFERROR(__xludf.DUMMYFUNCTION("""COMPUTED_VALUE"""),"Non Urgent")</f>
        <v>Non Urgent</v>
      </c>
    </row>
    <row r="552">
      <c r="A552" s="4">
        <f>IFERROR(__xludf.DUMMYFUNCTION("""COMPUTED_VALUE"""),46010.26237335648)</f>
        <v>46010.26237</v>
      </c>
      <c r="B552" s="3" t="str">
        <f>IFERROR(__xludf.DUMMYFUNCTION("""COMPUTED_VALUE"""),"RIABR0131")</f>
        <v>RIABR0131</v>
      </c>
      <c r="C552" s="3" t="str">
        <f>IFERROR(__xludf.DUMMYFUNCTION("""COMPUTED_VALUE"""),"Consumable")</f>
        <v>Consumable</v>
      </c>
      <c r="D552" s="3" t="str">
        <f>IFERROR(__xludf.DUMMYFUNCTION("""COMPUTED_VALUE"""),"-")</f>
        <v>-</v>
      </c>
      <c r="E552" s="3" t="str">
        <f>IFERROR(__xludf.DUMMYFUNCTION("""COMPUTED_VALUE"""),"All Area")</f>
        <v>All Area</v>
      </c>
      <c r="F552" s="3" t="str">
        <f>IFERROR(__xludf.DUMMYFUNCTION("""COMPUTED_VALUE"""),"MCB Finder")</f>
        <v>MCB Finder</v>
      </c>
      <c r="G552" s="3" t="str">
        <f>IFERROR(__xludf.DUMMYFUNCTION("""COMPUTED_VALUE"""),"Brand Name : NOYAFA
Model Number : NF-827S
Origin : Mainland China
Certification : CE
is_customized : Yes
Is Smart Device : No
Hign-concerned Chemical : None
Power: : 9V Battery(Not Include)")</f>
        <v>Brand Name : NOYAFA
Model Number : NF-827S
Origin : Mainland China
Certification : CE
is_customized : Yes
Is Smart Device : No
Hign-concerned Chemical : None
Power: : 9V Battery(Not Include)</v>
      </c>
      <c r="H552" s="3" t="str">
        <f>IFERROR(__xludf.DUMMYFUNCTION("""COMPUTED_VALUE"""),"Noyafa")</f>
        <v>Noyafa</v>
      </c>
      <c r="I552" s="3">
        <f>IFERROR(__xludf.DUMMYFUNCTION("""COMPUTED_VALUE"""),1.0)</f>
        <v>1</v>
      </c>
      <c r="J552" s="3" t="str">
        <f>IFERROR(__xludf.DUMMYFUNCTION("""COMPUTED_VALUE"""),"Set")</f>
        <v>Set</v>
      </c>
      <c r="K552" s="5" t="str">
        <f>IFERROR(__xludf.DUMMYFUNCTION("""COMPUTED_VALUE"""),"https://www.tokopedia.com/pyendiro/noyafa-automatic-circuit-breaker-finder-nf-827s-fuse-socket-tester-us-120v-circuit-switch-finder-electrician-diagnostic-tool-1731417965998868184?extParam=ivf%3Dfalse%26keyword%3Dmcb+finder%26search_id%3D20251218231516432"&amp;"ACA3A1E345E05EY36%26src%3Dsearch&amp;t_id=1766099190886&amp;t_st=10&amp;t_pp=search_result&amp;t_efo=search_pure_goods_card&amp;t_ef=goods_search&amp;t_sm=&amp;t_spt=search_result")</f>
        <v>https://www.tokopedia.com/pyendiro/noyafa-automatic-circuit-breaker-finder-nf-827s-fuse-socket-tester-us-120v-circuit-switch-finder-electrician-diagnostic-tool-1731417965998868184?extParam=ivf%3Dfalse%26keyword%3Dmcb+finder%26search_id%3D20251218231516432ACA3A1E345E05EY36%26src%3Dsearch&amp;t_id=1766099190886&amp;t_st=10&amp;t_pp=search_result&amp;t_efo=search_pure_goods_card&amp;t_ef=goods_search&amp;t_sm=&amp;t_spt=search_result</v>
      </c>
      <c r="L552" s="3" t="str">
        <f>IFERROR(__xludf.DUMMYFUNCTION("""COMPUTED_VALUE"""),"Untuk cari MCB dari colokan biar lebih cepat saat troubleshooting")</f>
        <v>Untuk cari MCB dari colokan biar lebih cepat saat troubleshooting</v>
      </c>
      <c r="M552" s="3" t="str">
        <f>IFERROR(__xludf.DUMMYFUNCTION("""COMPUTED_VALUE"""),"Approve")</f>
        <v>Approve</v>
      </c>
      <c r="N552" s="3" t="str">
        <f>IFERROR(__xludf.DUMMYFUNCTION("""COMPUTED_VALUE"""),"Normal")</f>
        <v>Normal</v>
      </c>
      <c r="O552" s="3" t="str">
        <f>IFERROR(__xludf.DUMMYFUNCTION("""COMPUTED_VALUE"""),"Non Urgent")</f>
        <v>Non Urgent</v>
      </c>
    </row>
    <row r="553">
      <c r="A553" s="4">
        <f>IFERROR(__xludf.DUMMYFUNCTION("""COMPUTED_VALUE"""),46010.26792935185)</f>
        <v>46010.26793</v>
      </c>
      <c r="B553" s="3" t="str">
        <f>IFERROR(__xludf.DUMMYFUNCTION("""COMPUTED_VALUE"""),"RIABR0132")</f>
        <v>RIABR0132</v>
      </c>
      <c r="C553" s="3" t="str">
        <f>IFERROR(__xludf.DUMMYFUNCTION("""COMPUTED_VALUE"""),"Consumable")</f>
        <v>Consumable</v>
      </c>
      <c r="D553" s="3" t="str">
        <f>IFERROR(__xludf.DUMMYFUNCTION("""COMPUTED_VALUE"""),"-")</f>
        <v>-</v>
      </c>
      <c r="E553" s="3" t="str">
        <f>IFERROR(__xludf.DUMMYFUNCTION("""COMPUTED_VALUE"""),"All Area")</f>
        <v>All Area</v>
      </c>
      <c r="F553" s="3" t="str">
        <f>IFERROR(__xludf.DUMMYFUNCTION("""COMPUTED_VALUE"""),"Stop Kontak Tester")</f>
        <v>Stop Kontak Tester</v>
      </c>
      <c r="G553" s="3" t="str">
        <f>IFERROR(__xludf.DUMMYFUNCTION("""COMPUTED_VALUE"""),"Spesifikasi:
Nama produk: Penguji Soket
Nama Merek: HABOTEST
Warna hitam
Model:HM56D
Bahan: ABS Tahan Api
Rentang Tegangan: AC 48~250V
Pengukuran Tegangan: 48~250V
Pengukuran frekuensi: (45~65Hz)
Tegangan Kebocoran: 0~99V
Akurasi: ± (2,0%+2)
La"&amp;"yar LCD: YA
Uji RCD: &gt;30mA
Tegangan Kerja RCD: 220V±20V
Tegangan Kerja GFCI: 110V±20V
Lingkungan Kerja: 0℃ ～ 40℃, 20% ～75%RH
Lingkungan Penyimpanan: -10℃ ～ 50℃, 20% ～80%RH
Ukuran Barang: 68*65*60mm / 2.7*2.6*2,4 inci
Berat Barang: 74g/2.6oz")</f>
        <v>Spesifikasi:
Nama produk: Penguji Soket
Nama Merek: HABOTEST
Warna hitam
Model:HM56D
Bahan: ABS Tahan Api
Rentang Tegangan: AC 48~250V
Pengukuran Tegangan: 48~250V
Pengukuran frekuensi: (45~65Hz)
Tegangan Kebocoran: 0~99V
Akurasi: ± (2,0%+2)
Layar LCD: YA
Uji RCD: &gt;30mA
Tegangan Kerja RCD: 220V±20V
Tegangan Kerja GFCI: 110V±20V
Lingkungan Kerja: 0℃ ～ 40℃, 20% ～75%RH
Lingkungan Penyimpanan: -10℃ ～ 50℃, 20% ～80%RH
Ukuran Barang: 68*65*60mm / 2.7*2.6*2,4 inci
Berat Barang: 74g/2.6oz</v>
      </c>
      <c r="H553" s="3" t="str">
        <f>IFERROR(__xludf.DUMMYFUNCTION("""COMPUTED_VALUE"""),"Habotest")</f>
        <v>Habotest</v>
      </c>
      <c r="I553" s="3">
        <f>IFERROR(__xludf.DUMMYFUNCTION("""COMPUTED_VALUE"""),2.0)</f>
        <v>2</v>
      </c>
      <c r="J553" s="3" t="str">
        <f>IFERROR(__xludf.DUMMYFUNCTION("""COMPUTED_VALUE"""),"Pcs")</f>
        <v>Pcs</v>
      </c>
      <c r="K553" s="5" t="str">
        <f>IFERROR(__xludf.DUMMYFUNCTION("""COMPUTED_VALUE"""),"https://www.tokopedia.com/habotest-store-id/diskon-50-habotest-ht106d-socket-tester-pro-voltage-test-digital-outlet-socket-detect-eu-plug-ground-zero-line-plug-polarity-phase-check-1729731898346013952?utm_source=whatsapp&amp;utm_medium=share&amp;utm_campaign=pdp-"&amp;"8ewhhik467s5-100094952832--10000")</f>
        <v>https://www.tokopedia.com/habotest-store-id/diskon-50-habotest-ht106d-socket-tester-pro-voltage-test-digital-outlet-socket-detect-eu-plug-ground-zero-line-plug-polarity-phase-check-1729731898346013952?utm_source=whatsapp&amp;utm_medium=share&amp;utm_campaign=pdp-8ewhhik467s5-100094952832--10000</v>
      </c>
      <c r="L553" s="3" t="str">
        <f>IFERROR(__xludf.DUMMYFUNCTION("""COMPUTED_VALUE"""),"Untuk test stop kontak dan pm stop kontak biar lebih detail")</f>
        <v>Untuk test stop kontak dan pm stop kontak biar lebih detail</v>
      </c>
      <c r="M553" s="3" t="str">
        <f>IFERROR(__xludf.DUMMYFUNCTION("""COMPUTED_VALUE"""),"Approve")</f>
        <v>Approve</v>
      </c>
      <c r="N553" s="3" t="str">
        <f>IFERROR(__xludf.DUMMYFUNCTION("""COMPUTED_VALUE"""),"Normal")</f>
        <v>Normal</v>
      </c>
      <c r="O553" s="3" t="str">
        <f>IFERROR(__xludf.DUMMYFUNCTION("""COMPUTED_VALUE"""),"Non Urgent")</f>
        <v>Non Urgent</v>
      </c>
    </row>
    <row r="554">
      <c r="A554" s="4">
        <f>IFERROR(__xludf.DUMMYFUNCTION("""COMPUTED_VALUE"""),46010.27164604166)</f>
        <v>46010.27165</v>
      </c>
      <c r="B554" s="3" t="str">
        <f>IFERROR(__xludf.DUMMYFUNCTION("""COMPUTED_VALUE"""),"RIABR0133")</f>
        <v>RIABR0133</v>
      </c>
      <c r="C554" s="3" t="str">
        <f>IFERROR(__xludf.DUMMYFUNCTION("""COMPUTED_VALUE"""),"Consumable")</f>
        <v>Consumable</v>
      </c>
      <c r="D554" s="3" t="str">
        <f>IFERROR(__xludf.DUMMYFUNCTION("""COMPUTED_VALUE"""),"-")</f>
        <v>-</v>
      </c>
      <c r="E554" s="3" t="str">
        <f>IFERROR(__xludf.DUMMYFUNCTION("""COMPUTED_VALUE"""),"All Area")</f>
        <v>All Area</v>
      </c>
      <c r="F554" s="3" t="str">
        <f>IFERROR(__xludf.DUMMYFUNCTION("""COMPUTED_VALUE"""),"Thermal Mobile Cam")</f>
        <v>Thermal Mobile Cam</v>
      </c>
      <c r="G554" s="3" t="str">
        <f>IFERROR(__xludf.DUMMYFUNCTION("""COMPUTED_VALUE"""),"FITUR
- 256 x 192 piksel, kualitas gambar yang detail, dan frame rate 25 Hz untuk perekaman video yang mulus
- Mendeteksi panas hingga 550 °C (1022 °F), cocok untuk digunakan dalam banyak aplikasi
- Sensitivitas termal 50 mK (0,05 °C) untuk perbedaan y"&amp;"ang halus dan akurasi ± 2% atau ± 2 °C untuk memastikan hasil yang andal
- Menyesuaikan tampilan gambar dengan lebih dari 10 palet warna standar atau khusus
- Desain ringkas, bodi ringan 22 g
SPESIFIKASI
- Tipe: Kamera Thermal
- Brand: FLUKE
- N"&amp;"ama: TC01B
- Resolusi IR: 256 x 192
- Ukuran Pixel: 12 μm
- Rentang Temperatur: -20 °C to 550 °C/-4 °F to 1022 °F
- Frame Rate: 25 Hz
- Waktu Pemanasan: 1 menit
- Panjang Lensa Focal: Fixed focal length 3.2 mm
- Shutter Mode: Internal
- Sensitivit"&amp;"as Thermal: 50 mK
- Tipe USB: Lightning
- Konsumsi Daya: 200 mW
- Lolos uji drop test 1 m
- Tingkat Perlindungan: IP56")</f>
        <v>FITUR
- 256 x 192 piksel, kualitas gambar yang detail, dan frame rate 25 Hz untuk perekaman video yang mulus
- Mendeteksi panas hingga 550 °C (1022 °F), cocok untuk digunakan dalam banyak aplikasi
- Sensitivitas termal 50 mK (0,05 °C) untuk perbedaan yang halus dan akurasi ± 2% atau ± 2 °C untuk memastikan hasil yang andal
- Menyesuaikan tampilan gambar dengan lebih dari 10 palet warna standar atau khusus
- Desain ringkas, bodi ringan 22 g
SPESIFIKASI
- Tipe: Kamera Thermal
- Brand: FLUKE
- Nama: TC01B
- Resolusi IR: 256 x 192
- Ukuran Pixel: 12 μm
- Rentang Temperatur: -20 °C to 550 °C/-4 °F to 1022 °F
- Frame Rate: 25 Hz
- Waktu Pemanasan: 1 menit
- Panjang Lensa Focal: Fixed focal length 3.2 mm
- Shutter Mode: Internal
- Sensitivitas Thermal: 50 mK
- Tipe USB: Lightning
- Konsumsi Daya: 200 mW
- Lolos uji drop test 1 m
- Tingkat Perlindungan: IP56</v>
      </c>
      <c r="H554" s="3" t="str">
        <f>IFERROR(__xludf.DUMMYFUNCTION("""COMPUTED_VALUE"""),"Fluke")</f>
        <v>Fluke</v>
      </c>
      <c r="I554" s="3">
        <f>IFERROR(__xludf.DUMMYFUNCTION("""COMPUTED_VALUE"""),1.0)</f>
        <v>1</v>
      </c>
      <c r="J554" s="3" t="str">
        <f>IFERROR(__xludf.DUMMYFUNCTION("""COMPUTED_VALUE"""),"Pcs")</f>
        <v>Pcs</v>
      </c>
      <c r="K554" s="5" t="str">
        <f>IFERROR(__xludf.DUMMYFUNCTION("""COMPUTED_VALUE"""),"https://www.tokopedia.com/fluke/fluke-tc01b-isee-mobile-thermal-camera-kamera-termal-mobile-cctv-wifi-1731259834351715946?extParam=ivf%3Dfalse%26keyword%3Dkamera+thermograph+fluke%26search_id%3D202512182328235B8ADD2A5D98B13D11WC%26src%3Dsearch&amp;t_id=176609"&amp;"9190886&amp;t_st=14&amp;t_pp=search_result&amp;t_efo=search_pure_goods_card&amp;t_ef=goods_search&amp;t_sm=&amp;t_spt=search_result")</f>
        <v>https://www.tokopedia.com/fluke/fluke-tc01b-isee-mobile-thermal-camera-kamera-termal-mobile-cctv-wifi-1731259834351715946?extParam=ivf%3Dfalse%26keyword%3Dkamera+thermograph+fluke%26search_id%3D202512182328235B8ADD2A5D98B13D11WC%26src%3Dsearch&amp;t_id=1766099190886&amp;t_st=14&amp;t_pp=search_result&amp;t_efo=search_pure_goods_card&amp;t_ef=goods_search&amp;t_sm=&amp;t_spt=search_result</v>
      </c>
      <c r="L554" s="3" t="str">
        <f>IFERROR(__xludf.DUMMYFUNCTION("""COMPUTED_VALUE"""),"Buat Thermal imager biar pm panel dan cek komponen jadi semakin mudah, buat report juga gampang dan bisa konek hp yang simple ")</f>
        <v>Buat Thermal imager biar pm panel dan cek komponen jadi semakin mudah, buat report juga gampang dan bisa konek hp yang simple </v>
      </c>
      <c r="M554" s="3" t="str">
        <f>IFERROR(__xludf.DUMMYFUNCTION("""COMPUTED_VALUE"""),"Approve")</f>
        <v>Approve</v>
      </c>
      <c r="N554" s="3" t="str">
        <f>IFERROR(__xludf.DUMMYFUNCTION("""COMPUTED_VALUE"""),"Normal")</f>
        <v>Normal</v>
      </c>
      <c r="O554" s="3" t="str">
        <f>IFERROR(__xludf.DUMMYFUNCTION("""COMPUTED_VALUE"""),"Non Urgent")</f>
        <v>Non Urgent</v>
      </c>
    </row>
    <row r="555">
      <c r="A555" s="4">
        <f>IFERROR(__xludf.DUMMYFUNCTION("""COMPUTED_VALUE"""),46010.59134186342)</f>
        <v>46010.59134</v>
      </c>
      <c r="B555" s="3" t="str">
        <f>IFERROR(__xludf.DUMMYFUNCTION("""COMPUTED_VALUE"""),"NDSBR0046")</f>
        <v>NDSBR0046</v>
      </c>
      <c r="C555" s="3" t="str">
        <f>IFERROR(__xludf.DUMMYFUNCTION("""COMPUTED_VALUE"""),"EJO")</f>
        <v>EJO</v>
      </c>
      <c r="D555" s="3" t="str">
        <f>IFERROR(__xludf.DUMMYFUNCTION("""COMPUTED_VALUE"""),"EJO/2025/10/180")</f>
        <v>EJO/2025/10/180</v>
      </c>
      <c r="E555" s="3" t="str">
        <f>IFERROR(__xludf.DUMMYFUNCTION("""COMPUTED_VALUE"""),"Intermediat OSD")</f>
        <v>Intermediat OSD</v>
      </c>
      <c r="F555" s="3" t="str">
        <f>IFERROR(__xludf.DUMMYFUNCTION("""COMPUTED_VALUE"""),"Bracket Timbangan VGA")</f>
        <v>Bracket Timbangan VGA</v>
      </c>
      <c r="G555" s="3" t="str">
        <f>IFERROR(__xludf.DUMMYFUNCTION("""COMPUTED_VALUE"""),"Sesuai Gambar ")</f>
        <v>Sesuai Gambar </v>
      </c>
      <c r="H555" s="3" t="str">
        <f>IFERROR(__xludf.DUMMYFUNCTION("""COMPUTED_VALUE"""),"-")</f>
        <v>-</v>
      </c>
      <c r="I555" s="3">
        <f>IFERROR(__xludf.DUMMYFUNCTION("""COMPUTED_VALUE"""),1.0)</f>
        <v>1</v>
      </c>
      <c r="J555" s="3" t="str">
        <f>IFERROR(__xludf.DUMMYFUNCTION("""COMPUTED_VALUE"""),"PCS")</f>
        <v>PCS</v>
      </c>
      <c r="K555" s="5" t="str">
        <f>IFERROR(__xludf.DUMMYFUNCTION("""COMPUTED_VALUE"""),"https://drive.google.com/drive/folders/1R5D6E0xCYQ3hTRBeNH6nkAXT0hPd-1u4?usp=sharing")</f>
        <v>https://drive.google.com/drive/folders/1R5D6E0xCYQ3hTRBeNH6nkAXT0hPd-1u4?usp=sharing</v>
      </c>
      <c r="L555" s="3" t="str">
        <f>IFERROR(__xludf.DUMMYFUNCTION("""COMPUTED_VALUE"""),"-")</f>
        <v>-</v>
      </c>
      <c r="M555" s="3" t="str">
        <f>IFERROR(__xludf.DUMMYFUNCTION("""COMPUTED_VALUE"""),"Approve")</f>
        <v>Approve</v>
      </c>
      <c r="N555" s="3" t="str">
        <f>IFERROR(__xludf.DUMMYFUNCTION("""COMPUTED_VALUE"""),"Normal")</f>
        <v>Normal</v>
      </c>
      <c r="O555" s="3" t="str">
        <f>IFERROR(__xludf.DUMMYFUNCTION("""COMPUTED_VALUE"""),"Non Urgent")</f>
        <v>Non Urgent</v>
      </c>
    </row>
    <row r="556">
      <c r="A556" s="4">
        <f>IFERROR(__xludf.DUMMYFUNCTION("""COMPUTED_VALUE"""),46015.440672453704)</f>
        <v>46015.44067</v>
      </c>
      <c r="B556" s="3" t="str">
        <f>IFERROR(__xludf.DUMMYFUNCTION("""COMPUTED_VALUE"""),"SFHBR0042")</f>
        <v>SFHBR0042</v>
      </c>
      <c r="C556" s="3" t="str">
        <f>IFERROR(__xludf.DUMMYFUNCTION("""COMPUTED_VALUE"""),"EJO")</f>
        <v>EJO</v>
      </c>
      <c r="D556" s="3" t="str">
        <f>IFERROR(__xludf.DUMMYFUNCTION("""COMPUTED_VALUE"""),"EJO/2025/12/80")</f>
        <v>EJO/2025/12/80</v>
      </c>
      <c r="E556" s="3" t="str">
        <f>IFERROR(__xludf.DUMMYFUNCTION("""COMPUTED_VALUE"""),"lantai 2")</f>
        <v>lantai 2</v>
      </c>
      <c r="F556" s="3" t="str">
        <f>IFERROR(__xludf.DUMMYFUNCTION("""COMPUTED_VALUE"""),"alat jepit kawat pembersih saluran mampet")</f>
        <v>alat jepit kawat pembersih saluran mampet</v>
      </c>
      <c r="G556" s="3" t="str">
        <f>IFERROR(__xludf.DUMMYFUNCTION("""COMPUTED_VALUE"""),"pembersih kotoran dengan adaptor BOR 15 meter")</f>
        <v>pembersih kotoran dengan adaptor BOR 15 meter</v>
      </c>
      <c r="H556" s="3" t="str">
        <f>IFERROR(__xludf.DUMMYFUNCTION("""COMPUTED_VALUE"""),"with adapter ")</f>
        <v>with adapter </v>
      </c>
      <c r="I556" s="3">
        <f>IFERROR(__xludf.DUMMYFUNCTION("""COMPUTED_VALUE"""),1.0)</f>
        <v>1</v>
      </c>
      <c r="J556" s="3" t="str">
        <f>IFERROR(__xludf.DUMMYFUNCTION("""COMPUTED_VALUE"""),"pcs")</f>
        <v>pcs</v>
      </c>
      <c r="K556" s="5" t="str">
        <f>IFERROR(__xludf.DUMMYFUNCTION("""COMPUTED_VALUE"""),"https://tk.tokopedia.com/ZSPv7wHNK/")</f>
        <v>https://tk.tokopedia.com/ZSPv7wHNK/</v>
      </c>
      <c r="L556" s="3" t="str">
        <f>IFERROR(__xludf.DUMMYFUNCTION("""COMPUTED_VALUE"""),"REJECT BY MFH KARENA SUDAH DI BQ MRN")</f>
        <v>REJECT BY MFH KARENA SUDAH DI BQ MRN</v>
      </c>
      <c r="M556" s="3" t="str">
        <f>IFERROR(__xludf.DUMMYFUNCTION("""COMPUTED_VALUE"""),"Reject")</f>
        <v>Reject</v>
      </c>
      <c r="N556" s="3" t="str">
        <f>IFERROR(__xludf.DUMMYFUNCTION("""COMPUTED_VALUE"""),"Normal")</f>
        <v>Normal</v>
      </c>
      <c r="O556" s="3" t="str">
        <f>IFERROR(__xludf.DUMMYFUNCTION("""COMPUTED_VALUE"""),"Non Urgent")</f>
        <v>Non Urgent</v>
      </c>
    </row>
    <row r="557">
      <c r="A557" s="4">
        <f>IFERROR(__xludf.DUMMYFUNCTION("""COMPUTED_VALUE"""),46017.358376909724)</f>
        <v>46017.35838</v>
      </c>
      <c r="B557" s="3" t="str">
        <f>IFERROR(__xludf.DUMMYFUNCTION("""COMPUTED_VALUE"""),"ROSBR0052")</f>
        <v>ROSBR0052</v>
      </c>
      <c r="C557" s="3" t="str">
        <f>IFERROR(__xludf.DUMMYFUNCTION("""COMPUTED_VALUE"""),"Consumable")</f>
        <v>Consumable</v>
      </c>
      <c r="D557" s="3" t="str">
        <f>IFERROR(__xludf.DUMMYFUNCTION("""COMPUTED_VALUE"""),"NA")</f>
        <v>NA</v>
      </c>
      <c r="E557" s="3" t="str">
        <f>IFERROR(__xludf.DUMMYFUNCTION("""COMPUTED_VALUE"""),"Cylinder Outfeed Washing ")</f>
        <v>Cylinder Outfeed Washing </v>
      </c>
      <c r="F557" s="3" t="str">
        <f>IFERROR(__xludf.DUMMYFUNCTION("""COMPUTED_VALUE"""),"Push-in fitting")</f>
        <v>Push-in fitting</v>
      </c>
      <c r="G557" s="3" t="str">
        <f>IFERROR(__xludf.DUMMYFUNCTION("""COMPUTED_VALUE"""),"QSM-M5-4
material Number 153304")</f>
        <v>QSM-M5-4
material Number 153304</v>
      </c>
      <c r="H557" s="3" t="str">
        <f>IFERROR(__xludf.DUMMYFUNCTION("""COMPUTED_VALUE"""),"festo")</f>
        <v>festo</v>
      </c>
      <c r="I557" s="3">
        <f>IFERROR(__xludf.DUMMYFUNCTION("""COMPUTED_VALUE"""),10.0)</f>
        <v>10</v>
      </c>
      <c r="J557" s="3" t="str">
        <f>IFERROR(__xludf.DUMMYFUNCTION("""COMPUTED_VALUE"""),"pcs")</f>
        <v>pcs</v>
      </c>
      <c r="K557" s="5" t="str">
        <f>IFERROR(__xludf.DUMMYFUNCTION("""COMPUTED_VALUE"""),"https://drive.google.com/file/d/1qSip2j0jetKJrTvoeclb-Wu_0lMvjKsK/view?usp=drive_link")</f>
        <v>https://drive.google.com/file/d/1qSip2j0jetKJrTvoeclb-Wu_0lMvjKsK/view?usp=drive_link</v>
      </c>
      <c r="L557" s="3" t="str">
        <f>IFERROR(__xludf.DUMMYFUNCTION("""COMPUTED_VALUE"""),"-")</f>
        <v>-</v>
      </c>
      <c r="M557" s="3" t="str">
        <f>IFERROR(__xludf.DUMMYFUNCTION("""COMPUTED_VALUE"""),"Approve")</f>
        <v>Approve</v>
      </c>
      <c r="N557" s="3" t="str">
        <f>IFERROR(__xludf.DUMMYFUNCTION("""COMPUTED_VALUE"""),"Normal")</f>
        <v>Normal</v>
      </c>
      <c r="O557" s="3" t="str">
        <f>IFERROR(__xludf.DUMMYFUNCTION("""COMPUTED_VALUE"""),"Non Urgent")</f>
        <v>Non Urgent</v>
      </c>
    </row>
    <row r="558">
      <c r="A558" s="4">
        <f>IFERROR(__xludf.DUMMYFUNCTION("""COMPUTED_VALUE"""),46017.3594032176)</f>
        <v>46017.3594</v>
      </c>
      <c r="B558" s="3" t="str">
        <f>IFERROR(__xludf.DUMMYFUNCTION("""COMPUTED_VALUE"""),"ROSBR0053")</f>
        <v>ROSBR0053</v>
      </c>
      <c r="C558" s="3" t="str">
        <f>IFERROR(__xludf.DUMMYFUNCTION("""COMPUTED_VALUE"""),"Consumable")</f>
        <v>Consumable</v>
      </c>
      <c r="D558" s="3" t="str">
        <f>IFERROR(__xludf.DUMMYFUNCTION("""COMPUTED_VALUE"""),"NA")</f>
        <v>NA</v>
      </c>
      <c r="E558" s="3" t="str">
        <f>IFERROR(__xludf.DUMMYFUNCTION("""COMPUTED_VALUE"""),"Cylinder Outfeed Washing ")</f>
        <v>Cylinder Outfeed Washing </v>
      </c>
      <c r="F558" s="3" t="str">
        <f>IFERROR(__xludf.DUMMYFUNCTION("""COMPUTED_VALUE"""),"Push-in fitting")</f>
        <v>Push-in fitting</v>
      </c>
      <c r="G558" s="3" t="str">
        <f>IFERROR(__xludf.DUMMYFUNCTION("""COMPUTED_VALUE"""),"QSM-M5-6
material Number : 153306")</f>
        <v>QSM-M5-6
material Number : 153306</v>
      </c>
      <c r="H558" s="3" t="str">
        <f>IFERROR(__xludf.DUMMYFUNCTION("""COMPUTED_VALUE"""),"festo")</f>
        <v>festo</v>
      </c>
      <c r="I558" s="3">
        <f>IFERROR(__xludf.DUMMYFUNCTION("""COMPUTED_VALUE"""),10.0)</f>
        <v>10</v>
      </c>
      <c r="J558" s="3" t="str">
        <f>IFERROR(__xludf.DUMMYFUNCTION("""COMPUTED_VALUE"""),"pcs")</f>
        <v>pcs</v>
      </c>
      <c r="K558" s="5" t="str">
        <f>IFERROR(__xludf.DUMMYFUNCTION("""COMPUTED_VALUE"""),"https://drive.google.com/file/d/1qSip2j0jetKJrTvoeclb-Wu_0lMvjKsK/view?usp=drive_link")</f>
        <v>https://drive.google.com/file/d/1qSip2j0jetKJrTvoeclb-Wu_0lMvjKsK/view?usp=drive_link</v>
      </c>
      <c r="L558" s="3" t="str">
        <f>IFERROR(__xludf.DUMMYFUNCTION("""COMPUTED_VALUE"""),"-")</f>
        <v>-</v>
      </c>
      <c r="M558" s="3" t="str">
        <f>IFERROR(__xludf.DUMMYFUNCTION("""COMPUTED_VALUE"""),"Approve")</f>
        <v>Approve</v>
      </c>
      <c r="N558" s="3" t="str">
        <f>IFERROR(__xludf.DUMMYFUNCTION("""COMPUTED_VALUE"""),"Normal")</f>
        <v>Normal</v>
      </c>
      <c r="O558" s="3" t="str">
        <f>IFERROR(__xludf.DUMMYFUNCTION("""COMPUTED_VALUE"""),"Non Urgent")</f>
        <v>Non Urgent</v>
      </c>
    </row>
    <row r="559">
      <c r="A559" s="4">
        <f>IFERROR(__xludf.DUMMYFUNCTION("""COMPUTED_VALUE"""),46017.36777642361)</f>
        <v>46017.36778</v>
      </c>
      <c r="B559" s="3" t="str">
        <f>IFERROR(__xludf.DUMMYFUNCTION("""COMPUTED_VALUE"""),"ROSBR0054")</f>
        <v>ROSBR0054</v>
      </c>
      <c r="C559" s="3" t="str">
        <f>IFERROR(__xludf.DUMMYFUNCTION("""COMPUTED_VALUE"""),"Consumable")</f>
        <v>Consumable</v>
      </c>
      <c r="D559" s="3" t="str">
        <f>IFERROR(__xludf.DUMMYFUNCTION("""COMPUTED_VALUE"""),"NA ")</f>
        <v>NA </v>
      </c>
      <c r="E559" s="3" t="str">
        <f>IFERROR(__xludf.DUMMYFUNCTION("""COMPUTED_VALUE"""),"Blistering ")</f>
        <v>Blistering </v>
      </c>
      <c r="F559" s="3" t="str">
        <f>IFERROR(__xludf.DUMMYFUNCTION("""COMPUTED_VALUE"""),"karet kaki hollow")</f>
        <v>karet kaki hollow</v>
      </c>
      <c r="G559" s="3" t="str">
        <f>IFERROR(__xludf.DUMMYFUNCTION("""COMPUTED_VALUE"""),"material karet 
ukuran 4x4 ")</f>
        <v>material karet 
ukuran 4x4 </v>
      </c>
      <c r="H559" s="3" t="str">
        <f>IFERROR(__xludf.DUMMYFUNCTION("""COMPUTED_VALUE"""),"universal ")</f>
        <v>universal </v>
      </c>
      <c r="I559" s="3">
        <f>IFERROR(__xludf.DUMMYFUNCTION("""COMPUTED_VALUE"""),12.0)</f>
        <v>12</v>
      </c>
      <c r="J559" s="3" t="str">
        <f>IFERROR(__xludf.DUMMYFUNCTION("""COMPUTED_VALUE"""),"pcs")</f>
        <v>pcs</v>
      </c>
      <c r="K559" s="5" t="str">
        <f>IFERROR(__xludf.DUMMYFUNCTION("""COMPUTED_VALUE"""),"https://shopee.co.id/KARET-KAKI-HOLLOW-4x4-PADAT-KARET-TAPAK-KAKI-KARET-ALAS-KAKI-KURSI-MEJA-BANGKU-i.178358589.23707429535?extraParams=%7B%22display_model_id%22%3A230347055392%7D")</f>
        <v>https://shopee.co.id/KARET-KAKI-HOLLOW-4x4-PADAT-KARET-TAPAK-KAKI-KARET-ALAS-KAKI-KURSI-MEJA-BANGKU-i.178358589.23707429535?extraParams=%7B%22display_model_id%22%3A230347055392%7D</v>
      </c>
      <c r="L559" s="3" t="str">
        <f>IFERROR(__xludf.DUMMYFUNCTION("""COMPUTED_VALUE"""),"BY KFF (REJECT BY MFH KARENA LINK TIDAK TERSEDIA LAGI)")</f>
        <v>BY KFF (REJECT BY MFH KARENA LINK TIDAK TERSEDIA LAGI)</v>
      </c>
      <c r="M559" s="3" t="str">
        <f>IFERROR(__xludf.DUMMYFUNCTION("""COMPUTED_VALUE"""),"Reject")</f>
        <v>Reject</v>
      </c>
      <c r="N559" s="3" t="str">
        <f>IFERROR(__xludf.DUMMYFUNCTION("""COMPUTED_VALUE"""),"Normal")</f>
        <v>Normal</v>
      </c>
      <c r="O559" s="3" t="str">
        <f>IFERROR(__xludf.DUMMYFUNCTION("""COMPUTED_VALUE"""),"Non Urgent")</f>
        <v>Non Urgent</v>
      </c>
    </row>
    <row r="560">
      <c r="A560" s="4">
        <f>IFERROR(__xludf.DUMMYFUNCTION("""COMPUTED_VALUE"""),46020.59480322916)</f>
        <v>46020.5948</v>
      </c>
      <c r="B560" s="3" t="str">
        <f>IFERROR(__xludf.DUMMYFUNCTION("""COMPUTED_VALUE"""),"ANOBR0044")</f>
        <v>ANOBR0044</v>
      </c>
      <c r="C560" s="3" t="str">
        <f>IFERROR(__xludf.DUMMYFUNCTION("""COMPUTED_VALUE"""),"EJO")</f>
        <v>EJO</v>
      </c>
      <c r="D560" s="3" t="str">
        <f>IFERROR(__xludf.DUMMYFUNCTION("""COMPUTED_VALUE"""),"EJO/2026/01/02")</f>
        <v>EJO/2026/01/02</v>
      </c>
      <c r="E560" s="3" t="str">
        <f>IFERROR(__xludf.DUMMYFUNCTION("""COMPUTED_VALUE"""),"Dispensing OSD")</f>
        <v>Dispensing OSD</v>
      </c>
      <c r="F560" s="3" t="str">
        <f>IFERROR(__xludf.DUMMYFUNCTION("""COMPUTED_VALUE"""),"Cover sensor RH")</f>
        <v>Cover sensor RH</v>
      </c>
      <c r="G560" s="3" t="str">
        <f>IFERROR(__xludf.DUMMYFUNCTION("""COMPUTED_VALUE"""),"sudah tercantum di drawing")</f>
        <v>sudah tercantum di drawing</v>
      </c>
      <c r="H560" s="3" t="str">
        <f>IFERROR(__xludf.DUMMYFUNCTION("""COMPUTED_VALUE"""),"AGRU")</f>
        <v>AGRU</v>
      </c>
      <c r="I560" s="3">
        <f>IFERROR(__xludf.DUMMYFUNCTION("""COMPUTED_VALUE"""),1.0)</f>
        <v>1</v>
      </c>
      <c r="J560" s="3" t="str">
        <f>IFERROR(__xludf.DUMMYFUNCTION("""COMPUTED_VALUE"""),"Pcs")</f>
        <v>Pcs</v>
      </c>
      <c r="K560" s="5" t="str">
        <f>IFERROR(__xludf.DUMMYFUNCTION("""COMPUTED_VALUE"""),"https://drive.google.com/drive/folders/1WrYrH1tpJ-bwTM3_Hhi1LFBhEZz3n48U?usp=drive_link")</f>
        <v>https://drive.google.com/drive/folders/1WrYrH1tpJ-bwTM3_Hhi1LFBhEZz3n48U?usp=drive_link</v>
      </c>
      <c r="L560" s="3" t="str">
        <f>IFERROR(__xludf.DUMMYFUNCTION("""COMPUTED_VALUE"""),"untuk keperluan mencover sensor RH di isolator dispensing OSD (REJECT BY MFH KARENA SAMA PERSIS DENGAN ANOBR0039)")</f>
        <v>untuk keperluan mencover sensor RH di isolator dispensing OSD (REJECT BY MFH KARENA SAMA PERSIS DENGAN ANOBR0039)</v>
      </c>
      <c r="M560" s="3" t="str">
        <f>IFERROR(__xludf.DUMMYFUNCTION("""COMPUTED_VALUE"""),"Reject")</f>
        <v>Reject</v>
      </c>
      <c r="N560" s="3" t="str">
        <f>IFERROR(__xludf.DUMMYFUNCTION("""COMPUTED_VALUE"""),"Normal")</f>
        <v>Normal</v>
      </c>
      <c r="O560" s="3" t="str">
        <f>IFERROR(__xludf.DUMMYFUNCTION("""COMPUTED_VALUE"""),"Non Urgent")</f>
        <v>Non Urgent</v>
      </c>
    </row>
    <row r="561">
      <c r="A561" s="4">
        <f>IFERROR(__xludf.DUMMYFUNCTION("""COMPUTED_VALUE"""),46020.781331597216)</f>
        <v>46020.78133</v>
      </c>
      <c r="B561" s="3" t="str">
        <f>IFERROR(__xludf.DUMMYFUNCTION("""COMPUTED_VALUE"""),"BDUBR0001")</f>
        <v>BDUBR0001</v>
      </c>
      <c r="C561" s="3" t="str">
        <f>IFERROR(__xludf.DUMMYFUNCTION("""COMPUTED_VALUE"""),"EJO")</f>
        <v>EJO</v>
      </c>
      <c r="D561" s="3" t="str">
        <f>IFERROR(__xludf.DUMMYFUNCTION("""COMPUTED_VALUE"""),"EJO/2026/01/03")</f>
        <v>EJO/2026/01/03</v>
      </c>
      <c r="E561" s="3" t="str">
        <f>IFERROR(__xludf.DUMMYFUNCTION("""COMPUTED_VALUE"""),"Panel Pwer and Distribution OSd")</f>
        <v>Panel Pwer and Distribution OSd</v>
      </c>
      <c r="F561" s="3" t="str">
        <f>IFERROR(__xludf.DUMMYFUNCTION("""COMPUTED_VALUE"""),"Kabel RS 485 AWG")</f>
        <v>Kabel RS 485 AWG</v>
      </c>
      <c r="G561" s="3" t="str">
        <f>IFERROR(__xludf.DUMMYFUNCTION("""COMPUTED_VALUE"""),"Kabel RS485 1 pair AWG 24 Shielded")</f>
        <v>Kabel RS485 1 pair AWG 24 Shielded</v>
      </c>
      <c r="H561" s="3" t="str">
        <f>IFERROR(__xludf.DUMMYFUNCTION("""COMPUTED_VALUE"""),"Belden")</f>
        <v>Belden</v>
      </c>
      <c r="I561" s="3">
        <f>IFERROR(__xludf.DUMMYFUNCTION("""COMPUTED_VALUE"""),1000.0)</f>
        <v>1000</v>
      </c>
      <c r="J561" s="3" t="str">
        <f>IFERROR(__xludf.DUMMYFUNCTION("""COMPUTED_VALUE"""),"feet")</f>
        <v>feet</v>
      </c>
      <c r="K561" s="5" t="str">
        <f>IFERROR(__xludf.DUMMYFUNCTION("""COMPUTED_VALUE"""),"https://www.tokopedia.com/sanjayacomtronix/belden-9841-chrome-cable-rs-485-multi-conductor-24-awg-stranded-1-pair?extParam=ivf%3Dfalse%26keyword%3Dkabel+awg+rs+485+1+pair+24+shielded%26search_id%3D2025122519311158238E9AE2DD30125Q5I%26src%3Dsearch&amp;t_id=176"&amp;"6690248785&amp;t_st=4&amp;t_pp=search_result&amp;t_efo=search_pure_goods_card&amp;t_ef=goods_search&amp;t_sm=&amp;t_spt=search_result")</f>
        <v>https://www.tokopedia.com/sanjayacomtronix/belden-9841-chrome-cable-rs-485-multi-conductor-24-awg-stranded-1-pair?extParam=ivf%3Dfalse%26keyword%3Dkabel+awg+rs+485+1+pair+24+shielded%26search_id%3D2025122519311158238E9AE2DD30125Q5I%26src%3Dsearch&amp;t_id=1766690248785&amp;t_st=4&amp;t_pp=search_result&amp;t_efo=search_pure_goods_card&amp;t_ef=goods_search&amp;t_sm=&amp;t_spt=search_result</v>
      </c>
      <c r="L561" s="3" t="str">
        <f>IFERROR(__xludf.DUMMYFUNCTION("""COMPUTED_VALUE"""),"untuk penarikan data meteran panel OSD ke equipmon (REJECT BY MFH KARENA PAKAI STOK AWG YANG ADA)")</f>
        <v>untuk penarikan data meteran panel OSD ke equipmon (REJECT BY MFH KARENA PAKAI STOK AWG YANG ADA)</v>
      </c>
      <c r="M561" s="3" t="str">
        <f>IFERROR(__xludf.DUMMYFUNCTION("""COMPUTED_VALUE"""),"Reject")</f>
        <v>Reject</v>
      </c>
      <c r="N561" s="3" t="str">
        <f>IFERROR(__xludf.DUMMYFUNCTION("""COMPUTED_VALUE"""),"Normal")</f>
        <v>Normal</v>
      </c>
      <c r="O561" s="3" t="str">
        <f>IFERROR(__xludf.DUMMYFUNCTION("""COMPUTED_VALUE"""),"Non Urgent")</f>
        <v>Non Urgent</v>
      </c>
    </row>
    <row r="562">
      <c r="A562" s="4">
        <f>IFERROR(__xludf.DUMMYFUNCTION("""COMPUTED_VALUE"""),46024.655250138894)</f>
        <v>46024.65525</v>
      </c>
      <c r="B562" s="3" t="str">
        <f>IFERROR(__xludf.DUMMYFUNCTION("""COMPUTED_VALUE"""),"ROSBR0055")</f>
        <v>ROSBR0055</v>
      </c>
      <c r="C562" s="3" t="str">
        <f>IFERROR(__xludf.DUMMYFUNCTION("""COMPUTED_VALUE"""),"Consumable")</f>
        <v>Consumable</v>
      </c>
      <c r="D562" s="3" t="str">
        <f>IFERROR(__xludf.DUMMYFUNCTION("""COMPUTED_VALUE"""),"NA")</f>
        <v>NA</v>
      </c>
      <c r="E562" s="3" t="str">
        <f>IFERROR(__xludf.DUMMYFUNCTION("""COMPUTED_VALUE"""),"Stoper rubber filling ")</f>
        <v>Stoper rubber filling </v>
      </c>
      <c r="F562" s="3" t="str">
        <f>IFERROR(__xludf.DUMMYFUNCTION("""COMPUTED_VALUE"""),"Oring Head stoper rubber")</f>
        <v>Oring Head stoper rubber</v>
      </c>
      <c r="G562" s="3" t="str">
        <f>IFERROR(__xludf.DUMMYFUNCTION("""COMPUTED_VALUE"""),"Oring Head Stoper Rubber 
ID 6,96mm
Ketebelan : 1,69mm
OD : 10,34mm
material silicone merah ")</f>
        <v>Oring Head Stoper Rubber 
ID 6,96mm
Ketebelan : 1,69mm
OD : 10,34mm
material silicone merah </v>
      </c>
      <c r="H562" s="3" t="str">
        <f>IFERROR(__xludf.DUMMYFUNCTION("""COMPUTED_VALUE"""),"Silicone merah ")</f>
        <v>Silicone merah </v>
      </c>
      <c r="I562" s="3">
        <f>IFERROR(__xludf.DUMMYFUNCTION("""COMPUTED_VALUE"""),20.0)</f>
        <v>20</v>
      </c>
      <c r="J562" s="3" t="str">
        <f>IFERROR(__xludf.DUMMYFUNCTION("""COMPUTED_VALUE"""),"pcs")</f>
        <v>pcs</v>
      </c>
      <c r="K562" s="3" t="str">
        <f>IFERROR(__xludf.DUMMYFUNCTION("""COMPUTED_VALUE"""),"-")</f>
        <v>-</v>
      </c>
      <c r="L562" s="3" t="str">
        <f>IFERROR(__xludf.DUMMYFUNCTION("""COMPUTED_VALUE"""),"minta tolong beliin Oring head stoper material silicone merah ")</f>
        <v>minta tolong beliin Oring head stoper material silicone merah </v>
      </c>
      <c r="M562" s="3" t="str">
        <f>IFERROR(__xludf.DUMMYFUNCTION("""COMPUTED_VALUE"""),"Approve")</f>
        <v>Approve</v>
      </c>
      <c r="N562" s="3" t="str">
        <f>IFERROR(__xludf.DUMMYFUNCTION("""COMPUTED_VALUE"""),"Normal")</f>
        <v>Normal</v>
      </c>
      <c r="O562" s="3" t="str">
        <f>IFERROR(__xludf.DUMMYFUNCTION("""COMPUTED_VALUE"""),"Non Urgent")</f>
        <v>Non Urgent</v>
      </c>
    </row>
    <row r="563">
      <c r="A563" s="4">
        <f>IFERROR(__xludf.DUMMYFUNCTION("""COMPUTED_VALUE"""),46024.97027935185)</f>
        <v>46024.97028</v>
      </c>
      <c r="B563" s="3" t="str">
        <f>IFERROR(__xludf.DUMMYFUNCTION("""COMPUTED_VALUE"""),"ROSBR0056")</f>
        <v>ROSBR0056</v>
      </c>
      <c r="C563" s="3" t="str">
        <f>IFERROR(__xludf.DUMMYFUNCTION("""COMPUTED_VALUE"""),"Consumable")</f>
        <v>Consumable</v>
      </c>
      <c r="D563" s="3" t="str">
        <f>IFERROR(__xludf.DUMMYFUNCTION("""COMPUTED_VALUE"""),"NA")</f>
        <v>NA</v>
      </c>
      <c r="E563" s="3" t="str">
        <f>IFERROR(__xludf.DUMMYFUNCTION("""COMPUTED_VALUE"""),"BOD 3")</f>
        <v>BOD 3</v>
      </c>
      <c r="F563" s="3" t="str">
        <f>IFERROR(__xludf.DUMMYFUNCTION("""COMPUTED_VALUE"""),"Swinghandle BOD 3")</f>
        <v>Swinghandle BOD 3</v>
      </c>
      <c r="G563" s="3" t="str">
        <f>IFERROR(__xludf.DUMMYFUNCTION("""COMPUTED_VALUE"""),"Swing handle Soutcho 
Type : H3-60-421-050
size large 
Panjang : 177mm
lebar  ; 39.6mm
")</f>
        <v>Swing handle Soutcho 
Type : H3-60-421-050
size large 
Panjang : 177mm
lebar  ; 39.6mm
</v>
      </c>
      <c r="H563" s="3" t="str">
        <f>IFERROR(__xludf.DUMMYFUNCTION("""COMPUTED_VALUE"""),"Soutcho")</f>
        <v>Soutcho</v>
      </c>
      <c r="I563" s="3">
        <f>IFERROR(__xludf.DUMMYFUNCTION("""COMPUTED_VALUE"""),2.0)</f>
        <v>2</v>
      </c>
      <c r="J563" s="3" t="str">
        <f>IFERROR(__xludf.DUMMYFUNCTION("""COMPUTED_VALUE"""),"set")</f>
        <v>set</v>
      </c>
      <c r="K563" s="5" t="str">
        <f>IFERROR(__xludf.DUMMYFUNCTION("""COMPUTED_VALUE"""),"https://drive.google.com/drive/folders/13YkPIvi0AFW5vg6bJ7XU1h2I-czKTUGE?usp=drive_link")</f>
        <v>https://drive.google.com/drive/folders/13YkPIvi0AFW5vg6bJ7XU1h2I-czKTUGE?usp=drive_link</v>
      </c>
      <c r="L563" s="5" t="str">
        <f>IFERROR(__xludf.DUMMYFUNCTION("""COMPUTED_VALUE"""),"https://southco.com/en_any_int/h3-60-421-050")</f>
        <v>https://southco.com/en_any_int/h3-60-421-050</v>
      </c>
      <c r="M563" s="3" t="str">
        <f>IFERROR(__xludf.DUMMYFUNCTION("""COMPUTED_VALUE"""),"Approve")</f>
        <v>Approve</v>
      </c>
      <c r="N563" s="3" t="str">
        <f>IFERROR(__xludf.DUMMYFUNCTION("""COMPUTED_VALUE"""),"Normal")</f>
        <v>Normal</v>
      </c>
      <c r="O563" s="3" t="str">
        <f>IFERROR(__xludf.DUMMYFUNCTION("""COMPUTED_VALUE"""),"Non Urgent")</f>
        <v>Non Urgent</v>
      </c>
    </row>
    <row r="564">
      <c r="A564" s="4">
        <f>IFERROR(__xludf.DUMMYFUNCTION("""COMPUTED_VALUE"""),46027.6861356713)</f>
        <v>46027.68614</v>
      </c>
      <c r="B564" s="3" t="str">
        <f>IFERROR(__xludf.DUMMYFUNCTION("""COMPUTED_VALUE"""),"AAABR0029")</f>
        <v>AAABR0029</v>
      </c>
      <c r="C564" s="3" t="str">
        <f>IFERROR(__xludf.DUMMYFUNCTION("""COMPUTED_VALUE"""),"EJO")</f>
        <v>EJO</v>
      </c>
      <c r="D564" s="3" t="str">
        <f>IFERROR(__xludf.DUMMYFUNCTION("""COMPUTED_VALUE"""),"Menyusul")</f>
        <v>Menyusul</v>
      </c>
      <c r="E564" s="3" t="str">
        <f>IFERROR(__xludf.DUMMYFUNCTION("""COMPUTED_VALUE"""),"dissolution tester")</f>
        <v>dissolution tester</v>
      </c>
      <c r="F564" s="3" t="str">
        <f>IFERROR(__xludf.DUMMYFUNCTION("""COMPUTED_VALUE"""),"refill board DSR auto sampler ")</f>
        <v>refill board DSR auto sampler </v>
      </c>
      <c r="G564" s="3" t="str">
        <f>IFERROR(__xludf.DUMMYFUNCTION("""COMPUTED_VALUE"""),"Part number : 317-0133 ")</f>
        <v>Part number : 317-0133 </v>
      </c>
      <c r="H564" s="3" t="str">
        <f>IFERROR(__xludf.DUMMYFUNCTION("""COMPUTED_VALUE"""),"brand Pharma test")</f>
        <v>brand Pharma test</v>
      </c>
      <c r="I564" s="3">
        <f>IFERROR(__xludf.DUMMYFUNCTION("""COMPUTED_VALUE"""),1.0)</f>
        <v>1</v>
      </c>
      <c r="J564" s="3" t="str">
        <f>IFERROR(__xludf.DUMMYFUNCTION("""COMPUTED_VALUE"""),"unit")</f>
        <v>unit</v>
      </c>
      <c r="K564" s="3" t="str">
        <f>IFERROR(__xludf.DUMMYFUNCTION("""COMPUTED_VALUE"""),"folder penawaran AAA")</f>
        <v>folder penawaran AAA</v>
      </c>
      <c r="L564" s="3" t="str">
        <f>IFERROR(__xludf.DUMMYFUNCTION("""COMPUTED_VALUE"""),"Needed date : 05-Feb-26")</f>
        <v>Needed date : 05-Feb-26</v>
      </c>
      <c r="M564" s="3" t="str">
        <f>IFERROR(__xludf.DUMMYFUNCTION("""COMPUTED_VALUE"""),"Approve")</f>
        <v>Approve</v>
      </c>
      <c r="N564" s="3" t="str">
        <f>IFERROR(__xludf.DUMMYFUNCTION("""COMPUTED_VALUE"""),"Normal")</f>
        <v>Normal</v>
      </c>
      <c r="O564" s="3" t="str">
        <f>IFERROR(__xludf.DUMMYFUNCTION("""COMPUTED_VALUE"""),"Non Urgent")</f>
        <v>Non Urgent</v>
      </c>
    </row>
    <row r="565">
      <c r="A565" s="4">
        <f>IFERROR(__xludf.DUMMYFUNCTION("""COMPUTED_VALUE"""),46029.51480841436)</f>
        <v>46029.51481</v>
      </c>
      <c r="B565" s="3" t="str">
        <f>IFERROR(__xludf.DUMMYFUNCTION("""COMPUTED_VALUE"""),"ROSBR0057")</f>
        <v>ROSBR0057</v>
      </c>
      <c r="C565" s="3" t="str">
        <f>IFERROR(__xludf.DUMMYFUNCTION("""COMPUTED_VALUE"""),"Consumable")</f>
        <v>Consumable</v>
      </c>
      <c r="D565" s="3" t="str">
        <f>IFERROR(__xludf.DUMMYFUNCTION("""COMPUTED_VALUE"""),"NA")</f>
        <v>NA</v>
      </c>
      <c r="E565" s="3" t="str">
        <f>IFERROR(__xludf.DUMMYFUNCTION("""COMPUTED_VALUE"""),"Paku rivet ")</f>
        <v>Paku rivet </v>
      </c>
      <c r="F565" s="3" t="str">
        <f>IFERROR(__xludf.DUMMYFUNCTION("""COMPUTED_VALUE"""),"Paku rivet ")</f>
        <v>Paku rivet </v>
      </c>
      <c r="G565" s="3" t="str">
        <f>IFERROR(__xludf.DUMMYFUNCTION("""COMPUTED_VALUE"""),"paku rivet 
ukuran size : 4mmx8mm
code 529")</f>
        <v>paku rivet 
ukuran size : 4mmx8mm
code 529</v>
      </c>
      <c r="H565" s="3" t="str">
        <f>IFERROR(__xludf.DUMMYFUNCTION("""COMPUTED_VALUE"""),"SIP BRAND")</f>
        <v>SIP BRAND</v>
      </c>
      <c r="I565" s="3">
        <f>IFERROR(__xludf.DUMMYFUNCTION("""COMPUTED_VALUE"""),1.0)</f>
        <v>1</v>
      </c>
      <c r="J565" s="3" t="str">
        <f>IFERROR(__xludf.DUMMYFUNCTION("""COMPUTED_VALUE"""),"pac")</f>
        <v>pac</v>
      </c>
      <c r="K565" s="5" t="str">
        <f>IFERROR(__xludf.DUMMYFUNCTION("""COMPUTED_VALUE"""),"https://shopee.co.id/Paku-Rivet-SIP-Brand-No-435-440-450-540-550-isi-1000-pcs-No-635-650-665-675-isi-500-pcs-i.258990646.25891744617?xptdk=ac2b6cea-64fe-4dc4-a699-7b5d32d682c9")</f>
        <v>https://shopee.co.id/Paku-Rivet-SIP-Brand-No-435-440-450-540-550-isi-1000-pcs-No-635-650-665-675-isi-500-pcs-i.258990646.25891744617?xptdk=ac2b6cea-64fe-4dc4-a699-7b5d32d682c9</v>
      </c>
      <c r="L565" s="3" t="str">
        <f>IFERROR(__xludf.DUMMYFUNCTION("""COMPUTED_VALUE"""),"tolong beliin paku rivet buat stok ya fadil")</f>
        <v>tolong beliin paku rivet buat stok ya fadil</v>
      </c>
      <c r="M565" s="3" t="str">
        <f>IFERROR(__xludf.DUMMYFUNCTION("""COMPUTED_VALUE"""),"Approve")</f>
        <v>Approve</v>
      </c>
      <c r="N565" s="3" t="str">
        <f>IFERROR(__xludf.DUMMYFUNCTION("""COMPUTED_VALUE"""),"Normal")</f>
        <v>Normal</v>
      </c>
      <c r="O565" s="3" t="str">
        <f>IFERROR(__xludf.DUMMYFUNCTION("""COMPUTED_VALUE"""),"Non Urgent")</f>
        <v>Non Urgent</v>
      </c>
    </row>
    <row r="566">
      <c r="A566" s="4">
        <f>IFERROR(__xludf.DUMMYFUNCTION("""COMPUTED_VALUE"""),46029.51480841436)</f>
        <v>46029.51481</v>
      </c>
      <c r="B566" s="3" t="str">
        <f>IFERROR(__xludf.DUMMYFUNCTION("""COMPUTED_VALUE"""),"ROSBR0058")</f>
        <v>ROSBR0058</v>
      </c>
      <c r="C566" s="3" t="str">
        <f>IFERROR(__xludf.DUMMYFUNCTION("""COMPUTED_VALUE"""),"Consumable")</f>
        <v>Consumable</v>
      </c>
      <c r="D566" s="3" t="str">
        <f>IFERROR(__xludf.DUMMYFUNCTION("""COMPUTED_VALUE"""),"NA")</f>
        <v>NA</v>
      </c>
      <c r="E566" s="3" t="str">
        <f>IFERROR(__xludf.DUMMYFUNCTION("""COMPUTED_VALUE"""),"Paku rivet ")</f>
        <v>Paku rivet </v>
      </c>
      <c r="F566" s="3" t="str">
        <f>IFERROR(__xludf.DUMMYFUNCTION("""COMPUTED_VALUE"""),"Paku rivet ")</f>
        <v>Paku rivet </v>
      </c>
      <c r="G566" s="3" t="str">
        <f>IFERROR(__xludf.DUMMYFUNCTION("""COMPUTED_VALUE"""),"paku rivet 
ukuran size : 3,2mm x 9,5mm
code 435")</f>
        <v>paku rivet 
ukuran size : 3,2mm x 9,5mm
code 435</v>
      </c>
      <c r="H566" s="3" t="str">
        <f>IFERROR(__xludf.DUMMYFUNCTION("""COMPUTED_VALUE"""),"SIP BRAND")</f>
        <v>SIP BRAND</v>
      </c>
      <c r="I566" s="3">
        <f>IFERROR(__xludf.DUMMYFUNCTION("""COMPUTED_VALUE"""),1.0)</f>
        <v>1</v>
      </c>
      <c r="J566" s="3" t="str">
        <f>IFERROR(__xludf.DUMMYFUNCTION("""COMPUTED_VALUE"""),"pac")</f>
        <v>pac</v>
      </c>
      <c r="K566" s="5" t="str">
        <f>IFERROR(__xludf.DUMMYFUNCTION("""COMPUTED_VALUE"""),"https://shopee.co.id/Paku-Rivet-SIP-Brand-No-435-440-450-540-550-isi-1000-pcs-No-635-650-665-675-isi-500-pcs-i.258990646.25891744617?xptdk=ac2b6cea-64fe-4dc4-a699-7b5d32d682c9")</f>
        <v>https://shopee.co.id/Paku-Rivet-SIP-Brand-No-435-440-450-540-550-isi-1000-pcs-No-635-650-665-675-isi-500-pcs-i.258990646.25891744617?xptdk=ac2b6cea-64fe-4dc4-a699-7b5d32d682c9</v>
      </c>
      <c r="L566" s="3" t="str">
        <f>IFERROR(__xludf.DUMMYFUNCTION("""COMPUTED_VALUE"""),"tolong beliin paku rivet buat stok ya fadil")</f>
        <v>tolong beliin paku rivet buat stok ya fadil</v>
      </c>
      <c r="M566" s="3" t="str">
        <f>IFERROR(__xludf.DUMMYFUNCTION("""COMPUTED_VALUE"""),"Approve")</f>
        <v>Approve</v>
      </c>
      <c r="N566" s="3" t="str">
        <f>IFERROR(__xludf.DUMMYFUNCTION("""COMPUTED_VALUE"""),"Normal")</f>
        <v>Normal</v>
      </c>
      <c r="O566" s="3" t="str">
        <f>IFERROR(__xludf.DUMMYFUNCTION("""COMPUTED_VALUE"""),"Non Urgent")</f>
        <v>Non Urgent</v>
      </c>
    </row>
    <row r="567">
      <c r="A567" s="4">
        <f>IFERROR(__xludf.DUMMYFUNCTION("""COMPUTED_VALUE"""),46029.518647372686)</f>
        <v>46029.51865</v>
      </c>
      <c r="B567" s="3" t="str">
        <f>IFERROR(__xludf.DUMMYFUNCTION("""COMPUTED_VALUE"""),"ROSBR0059")</f>
        <v>ROSBR0059</v>
      </c>
      <c r="C567" s="3" t="str">
        <f>IFERROR(__xludf.DUMMYFUNCTION("""COMPUTED_VALUE"""),"Consumable")</f>
        <v>Consumable</v>
      </c>
      <c r="D567" s="3" t="str">
        <f>IFERROR(__xludf.DUMMYFUNCTION("""COMPUTED_VALUE"""),"NA")</f>
        <v>NA</v>
      </c>
      <c r="E567" s="3" t="str">
        <f>IFERROR(__xludf.DUMMYFUNCTION("""COMPUTED_VALUE"""),"Tang Rivet ")</f>
        <v>Tang Rivet </v>
      </c>
      <c r="F567" s="3" t="str">
        <f>IFERROR(__xludf.DUMMYFUNCTION("""COMPUTED_VALUE"""),"Tang Rivet ")</f>
        <v>Tang Rivet </v>
      </c>
      <c r="G567" s="3" t="str">
        <f>IFERROR(__xludf.DUMMYFUNCTION("""COMPUTED_VALUE"""),"TKR HAND RIVETER
Kode : GT-HR1231
Nama : Hand Riveter
Merk : TEKIRO
Tipe :  2 - 10 mm")</f>
        <v>TKR HAND RIVETER
Kode : GT-HR1231
Nama : Hand Riveter
Merk : TEKIRO
Tipe :  2 - 10 mm</v>
      </c>
      <c r="H567" s="3" t="str">
        <f>IFERROR(__xludf.DUMMYFUNCTION("""COMPUTED_VALUE"""),"Tekiro")</f>
        <v>Tekiro</v>
      </c>
      <c r="I567" s="3">
        <f>IFERROR(__xludf.DUMMYFUNCTION("""COMPUTED_VALUE"""),1.0)</f>
        <v>1</v>
      </c>
      <c r="J567" s="3" t="str">
        <f>IFERROR(__xludf.DUMMYFUNCTION("""COMPUTED_VALUE"""),"set")</f>
        <v>set</v>
      </c>
      <c r="K567" s="5" t="str">
        <f>IFERROR(__xludf.DUMMYFUNCTION("""COMPUTED_VALUE"""),"https://shopee.co.id/TEKIRO-HAND-RIVETER-TANG-RIVET-TOOLS-ALAT-PERKAKAS-KUNCI-ALAT-PERTUKANGAN-i.73061699.1237546604?xptdk=0a356c4c-8938-46ee-a2b7-9923792fe5b9")</f>
        <v>https://shopee.co.id/TEKIRO-HAND-RIVETER-TANG-RIVET-TOOLS-ALAT-PERKAKAS-KUNCI-ALAT-PERTUKANGAN-i.73061699.1237546604?xptdk=0a356c4c-8938-46ee-a2b7-9923792fe5b9</v>
      </c>
      <c r="L567" s="3" t="str">
        <f>IFERROR(__xludf.DUMMYFUNCTION("""COMPUTED_VALUE"""),"- (REJECT BY MFH KARENA SUDAH BELI PAKAI PETTY CASH)")</f>
        <v>- (REJECT BY MFH KARENA SUDAH BELI PAKAI PETTY CASH)</v>
      </c>
      <c r="M567" s="3" t="str">
        <f>IFERROR(__xludf.DUMMYFUNCTION("""COMPUTED_VALUE"""),"Reject")</f>
        <v>Reject</v>
      </c>
      <c r="N567" s="3" t="str">
        <f>IFERROR(__xludf.DUMMYFUNCTION("""COMPUTED_VALUE"""),"Normal")</f>
        <v>Normal</v>
      </c>
      <c r="O567" s="3" t="str">
        <f>IFERROR(__xludf.DUMMYFUNCTION("""COMPUTED_VALUE"""),"Non Urgent")</f>
        <v>Non Urgent</v>
      </c>
    </row>
    <row r="568">
      <c r="A568" s="4">
        <f>IFERROR(__xludf.DUMMYFUNCTION("""COMPUTED_VALUE"""),46029.52208690972)</f>
        <v>46029.52209</v>
      </c>
      <c r="B568" s="3" t="str">
        <f>IFERROR(__xludf.DUMMYFUNCTION("""COMPUTED_VALUE"""),"ROSBR0060")</f>
        <v>ROSBR0060</v>
      </c>
      <c r="C568" s="3" t="str">
        <f>IFERROR(__xludf.DUMMYFUNCTION("""COMPUTED_VALUE"""),"Consumable")</f>
        <v>Consumable</v>
      </c>
      <c r="D568" s="3" t="str">
        <f>IFERROR(__xludf.DUMMYFUNCTION("""COMPUTED_VALUE"""),"NA")</f>
        <v>NA</v>
      </c>
      <c r="E568" s="3" t="str">
        <f>IFERROR(__xludf.DUMMYFUNCTION("""COMPUTED_VALUE"""),"Kunci L bintang ")</f>
        <v>Kunci L bintang </v>
      </c>
      <c r="F568" s="3" t="str">
        <f>IFERROR(__xludf.DUMMYFUNCTION("""COMPUTED_VALUE"""),"KUNCI L BINTANG SET LUBANG")</f>
        <v>KUNCI L BINTANG SET LUBANG</v>
      </c>
      <c r="G568" s="3" t="str">
        <f>IFERROR(__xludf.DUMMYFUNCTION("""COMPUTED_VALUE"""),"Kunci L bintang 
code HK-TA1206")</f>
        <v>Kunci L bintang 
code HK-TA1206</v>
      </c>
      <c r="H568" s="3" t="str">
        <f>IFERROR(__xludf.DUMMYFUNCTION("""COMPUTED_VALUE"""),"Tekiro")</f>
        <v>Tekiro</v>
      </c>
      <c r="I568" s="3">
        <f>IFERROR(__xludf.DUMMYFUNCTION("""COMPUTED_VALUE"""),1.0)</f>
        <v>1</v>
      </c>
      <c r="J568" s="3" t="str">
        <f>IFERROR(__xludf.DUMMYFUNCTION("""COMPUTED_VALUE"""),"set")</f>
        <v>set</v>
      </c>
      <c r="K568" s="5" t="str">
        <f>IFERROR(__xludf.DUMMYFUNCTION("""COMPUTED_VALUE"""),"https://shopee.co.id/TEKIRO-SET-KUNCI-L-TORX-DENGAN-LUBANG-9-PCS-KUNCI-L-BINTANG-SET-LUBANG-TOOLS-ALAT-PERKAKAS-i.73061699.9726689915?extraParams=%7B%22display_model_id%22%3A74192270566%2C%22model_selection_logic%22%3A3%7D&amp;sp_atk=9cc6eb24-0b20-41d6-a48d-8"&amp;"8e2722da858&amp;xptdk=9cc6eb24-0b20-41d6-a48d-88e2722da858")</f>
        <v>https://shopee.co.id/TEKIRO-SET-KUNCI-L-TORX-DENGAN-LUBANG-9-PCS-KUNCI-L-BINTANG-SET-LUBANG-TOOLS-ALAT-PERKAKAS-i.73061699.9726689915?extraParams=%7B%22display_model_id%22%3A74192270566%2C%22model_selection_logic%22%3A3%7D&amp;sp_atk=9cc6eb24-0b20-41d6-a48d-88e2722da858&amp;xptdk=9cc6eb24-0b20-41d6-a48d-88e2722da858</v>
      </c>
      <c r="L568" s="3" t="str">
        <f>IFERROR(__xludf.DUMMYFUNCTION("""COMPUTED_VALUE"""),"-")</f>
        <v>-</v>
      </c>
      <c r="M568" s="3" t="str">
        <f>IFERROR(__xludf.DUMMYFUNCTION("""COMPUTED_VALUE"""),"Approve")</f>
        <v>Approve</v>
      </c>
      <c r="N568" s="3" t="str">
        <f>IFERROR(__xludf.DUMMYFUNCTION("""COMPUTED_VALUE"""),"Normal")</f>
        <v>Normal</v>
      </c>
      <c r="O568" s="3" t="str">
        <f>IFERROR(__xludf.DUMMYFUNCTION("""COMPUTED_VALUE"""),"Non Urgent")</f>
        <v>Non Urgent</v>
      </c>
    </row>
    <row r="569">
      <c r="A569" s="4">
        <f>IFERROR(__xludf.DUMMYFUNCTION("""COMPUTED_VALUE"""),46029.583617199074)</f>
        <v>46029.58362</v>
      </c>
      <c r="B569" s="3" t="str">
        <f>IFERROR(__xludf.DUMMYFUNCTION("""COMPUTED_VALUE"""),"ROSBR0061")</f>
        <v>ROSBR0061</v>
      </c>
      <c r="C569" s="3" t="str">
        <f>IFERROR(__xludf.DUMMYFUNCTION("""COMPUTED_VALUE"""),"Consumable")</f>
        <v>Consumable</v>
      </c>
      <c r="D569" s="3" t="str">
        <f>IFERROR(__xludf.DUMMYFUNCTION("""COMPUTED_VALUE"""),"NA")</f>
        <v>NA</v>
      </c>
      <c r="E569" s="3" t="str">
        <f>IFERROR(__xludf.DUMMYFUNCTION("""COMPUTED_VALUE"""),"Obeng minus dan plus")</f>
        <v>Obeng minus dan plus</v>
      </c>
      <c r="F569" s="3" t="str">
        <f>IFERROR(__xludf.DUMMYFUNCTION("""COMPUTED_VALUE"""),"Krisbow Screwdriver Obeng Plus &amp; Minus 8 Pcs - Kuning Lrsst8")</f>
        <v>Krisbow Screwdriver Obeng Plus &amp; Minus 8 Pcs - Kuning Lrsst8</v>
      </c>
      <c r="G569" s="3" t="str">
        <f>IFERROR(__xludf.DUMMYFUNCTION("""COMPUTED_VALUE"""),"Jenis : set obeng 
Material tip : CR-Vanadium steel 
Material gagang : TPR 
Jenis tip : mix 
Tip magnetic : ya 
Panjang : 38.5 cm
Lebar : 37 cm
Tinggi : 4.5 cm
SKU : KW0102648")</f>
        <v>Jenis : set obeng 
Material tip : CR-Vanadium steel 
Material gagang : TPR 
Jenis tip : mix 
Tip magnetic : ya 
Panjang : 38.5 cm
Lebar : 37 cm
Tinggi : 4.5 cm
SKU : KW0102648</v>
      </c>
      <c r="H569" s="3" t="str">
        <f>IFERROR(__xludf.DUMMYFUNCTION("""COMPUTED_VALUE"""),"Krisbow ")</f>
        <v>Krisbow </v>
      </c>
      <c r="I569" s="3">
        <f>IFERROR(__xludf.DUMMYFUNCTION("""COMPUTED_VALUE"""),2.0)</f>
        <v>2</v>
      </c>
      <c r="J569" s="3" t="str">
        <f>IFERROR(__xludf.DUMMYFUNCTION("""COMPUTED_VALUE"""),"set")</f>
        <v>set</v>
      </c>
      <c r="K569" s="5" t="str">
        <f>IFERROR(__xludf.DUMMYFUNCTION("""COMPUTED_VALUE"""),"https://shopee.co.id/Krisbow-Screwdriver-Obeng-Plus-Minus-8-Pcs-Kuning-Lrsst8-i.182588931.3878356755?extraParams=%7B%22display_model_id%22%3A63572325641%7D")</f>
        <v>https://shopee.co.id/Krisbow-Screwdriver-Obeng-Plus-Minus-8-Pcs-Kuning-Lrsst8-i.182588931.3878356755?extraParams=%7B%22display_model_id%22%3A63572325641%7D</v>
      </c>
      <c r="L569" s="3" t="str">
        <f>IFERROR(__xludf.DUMMYFUNCTION("""COMPUTED_VALUE"""),"minta tolong beliiin ini buat pengganti obeng toolbox yang di produksi dan non produksi sudah rusak karena lifetime ")</f>
        <v>minta tolong beliiin ini buat pengganti obeng toolbox yang di produksi dan non produksi sudah rusak karena lifetime </v>
      </c>
      <c r="M569" s="3" t="str">
        <f>IFERROR(__xludf.DUMMYFUNCTION("""COMPUTED_VALUE"""),"Approve")</f>
        <v>Approve</v>
      </c>
      <c r="N569" s="3" t="str">
        <f>IFERROR(__xludf.DUMMYFUNCTION("""COMPUTED_VALUE"""),"Normal")</f>
        <v>Normal</v>
      </c>
      <c r="O569" s="3" t="str">
        <f>IFERROR(__xludf.DUMMYFUNCTION("""COMPUTED_VALUE"""),"Non Urgent")</f>
        <v>Non Urgent</v>
      </c>
    </row>
    <row r="570">
      <c r="A570" s="4">
        <f>IFERROR(__xludf.DUMMYFUNCTION("""COMPUTED_VALUE"""),46029.58978219907)</f>
        <v>46029.58978</v>
      </c>
      <c r="B570" s="3" t="str">
        <f>IFERROR(__xludf.DUMMYFUNCTION("""COMPUTED_VALUE"""),"ROSBR0062")</f>
        <v>ROSBR0062</v>
      </c>
      <c r="C570" s="3" t="str">
        <f>IFERROR(__xludf.DUMMYFUNCTION("""COMPUTED_VALUE"""),"Consumable")</f>
        <v>Consumable</v>
      </c>
      <c r="D570" s="3" t="str">
        <f>IFERROR(__xludf.DUMMYFUNCTION("""COMPUTED_VALUE"""),"NA ")</f>
        <v>NA </v>
      </c>
      <c r="E570" s="3" t="str">
        <f>IFERROR(__xludf.DUMMYFUNCTION("""COMPUTED_VALUE"""),"Tang tekiro bengkok")</f>
        <v>Tang tekiro bengkok</v>
      </c>
      <c r="F570" s="3" t="str">
        <f>IFERROR(__xludf.DUMMYFUNCTION("""COMPUTED_VALUE"""),"TEKIRO TANG BUAYA BENGKOK 10 INCH /")</f>
        <v>TEKIRO TANG BUAYA BENGKOK 10 INCH /</v>
      </c>
      <c r="G570" s="3" t="str">
        <f>IFERROR(__xludf.DUMMYFUNCTION("""COMPUTED_VALUE"""),"Kode : PL-LG0770
Nama : Tang Buaya Bengkok
Merk : TEKIRO
Tipe : 10 inch")</f>
        <v>Kode : PL-LG0770
Nama : Tang Buaya Bengkok
Merk : TEKIRO
Tipe : 10 inch</v>
      </c>
      <c r="H570" s="3" t="str">
        <f>IFERROR(__xludf.DUMMYFUNCTION("""COMPUTED_VALUE"""),"Tekiro")</f>
        <v>Tekiro</v>
      </c>
      <c r="I570" s="3">
        <f>IFERROR(__xludf.DUMMYFUNCTION("""COMPUTED_VALUE"""),2.0)</f>
        <v>2</v>
      </c>
      <c r="J570" s="3" t="str">
        <f>IFERROR(__xludf.DUMMYFUNCTION("""COMPUTED_VALUE"""),"pcs")</f>
        <v>pcs</v>
      </c>
      <c r="K570" s="5" t="str">
        <f>IFERROR(__xludf.DUMMYFUNCTION("""COMPUTED_VALUE"""),"https://shopee.co.id/TEKIRO-TANG-BUAYA-BENGKOK-10-INCH-TANG-BUAYA-TANG-JEPIT-TOOLS-ALAT-PERKAKAS-i.73061699.1237546636?xptdk=f32b04bf-7656-4a2b-a0d5-d3b3095fcde4")</f>
        <v>https://shopee.co.id/TEKIRO-TANG-BUAYA-BENGKOK-10-INCH-TANG-BUAYA-TANG-JEPIT-TOOLS-ALAT-PERKAKAS-i.73061699.1237546636?xptdk=f32b04bf-7656-4a2b-a0d5-d3b3095fcde4</v>
      </c>
      <c r="L570" s="3" t="str">
        <f>IFERROR(__xludf.DUMMYFUNCTION("""COMPUTED_VALUE"""),"minta tolong beliin ini buat pengganti punya team Engineering gigi tangnya sudah rontok dan sudah slek ")</f>
        <v>minta tolong beliin ini buat pengganti punya team Engineering gigi tangnya sudah rontok dan sudah slek </v>
      </c>
      <c r="M570" s="3" t="str">
        <f>IFERROR(__xludf.DUMMYFUNCTION("""COMPUTED_VALUE"""),"Approve")</f>
        <v>Approve</v>
      </c>
      <c r="N570" s="3" t="str">
        <f>IFERROR(__xludf.DUMMYFUNCTION("""COMPUTED_VALUE"""),"Normal")</f>
        <v>Normal</v>
      </c>
      <c r="O570" s="3" t="str">
        <f>IFERROR(__xludf.DUMMYFUNCTION("""COMPUTED_VALUE"""),"Non Urgent")</f>
        <v>Non Urgent</v>
      </c>
    </row>
    <row r="571">
      <c r="A571" s="4">
        <f>IFERROR(__xludf.DUMMYFUNCTION("""COMPUTED_VALUE"""),46029.59206244213)</f>
        <v>46029.59206</v>
      </c>
      <c r="B571" s="3" t="str">
        <f>IFERROR(__xludf.DUMMYFUNCTION("""COMPUTED_VALUE"""),"ROSBR0063")</f>
        <v>ROSBR0063</v>
      </c>
      <c r="C571" s="3" t="str">
        <f>IFERROR(__xludf.DUMMYFUNCTION("""COMPUTED_VALUE"""),"Consumable")</f>
        <v>Consumable</v>
      </c>
      <c r="D571" s="3" t="str">
        <f>IFERROR(__xludf.DUMMYFUNCTION("""COMPUTED_VALUE"""),"NA")</f>
        <v>NA</v>
      </c>
      <c r="E571" s="3" t="str">
        <f>IFERROR(__xludf.DUMMYFUNCTION("""COMPUTED_VALUE"""),"Obeng Ketok")</f>
        <v>Obeng Ketok</v>
      </c>
      <c r="F571" s="3" t="str">
        <f>IFERROR(__xludf.DUMMYFUNCTION("""COMPUTED_VALUE"""),"OBENG KETOK SET")</f>
        <v>OBENG KETOK SET</v>
      </c>
      <c r="G571" s="3" t="str">
        <f>IFERROR(__xludf.DUMMYFUNCTION("""COMPUTED_VALUE"""),"obeng ketok set
Material chrome vanadium
Item code : SD-IM1698")</f>
        <v>obeng ketok set
Material chrome vanadium
Item code : SD-IM1698</v>
      </c>
      <c r="H571" s="3" t="str">
        <f>IFERROR(__xludf.DUMMYFUNCTION("""COMPUTED_VALUE"""),"Tekiro")</f>
        <v>Tekiro</v>
      </c>
      <c r="I571" s="3">
        <f>IFERROR(__xludf.DUMMYFUNCTION("""COMPUTED_VALUE"""),1.0)</f>
        <v>1</v>
      </c>
      <c r="J571" s="3" t="str">
        <f>IFERROR(__xludf.DUMMYFUNCTION("""COMPUTED_VALUE"""),"set")</f>
        <v>set</v>
      </c>
      <c r="K571" s="5" t="str">
        <f>IFERROR(__xludf.DUMMYFUNCTION("""COMPUTED_VALUE"""),"https://shopee.co.id/TEKIRO-OBENG-KETOK-5-PCS-BOX-PE-OBENG-KETOK-SET-TOOLS-ALAT-PERKAKAS-i.73061699.19172092914?xptdk=fd0e8837-5462-4058-94b9-41634713311e")</f>
        <v>https://shopee.co.id/TEKIRO-OBENG-KETOK-5-PCS-BOX-PE-OBENG-KETOK-SET-TOOLS-ALAT-PERKAKAS-i.73061699.19172092914?xptdk=fd0e8837-5462-4058-94b9-41634713311e</v>
      </c>
      <c r="L571" s="3" t="str">
        <f>IFERROR(__xludf.DUMMYFUNCTION("""COMPUTED_VALUE"""),"-")</f>
        <v>-</v>
      </c>
      <c r="M571" s="3" t="str">
        <f>IFERROR(__xludf.DUMMYFUNCTION("""COMPUTED_VALUE"""),"Reject")</f>
        <v>Reject</v>
      </c>
      <c r="N571" s="3" t="str">
        <f>IFERROR(__xludf.DUMMYFUNCTION("""COMPUTED_VALUE"""),"Normal")</f>
        <v>Normal</v>
      </c>
      <c r="O571" s="3" t="str">
        <f>IFERROR(__xludf.DUMMYFUNCTION("""COMPUTED_VALUE"""),"Non Urgent")</f>
        <v>Non Urgent</v>
      </c>
    </row>
    <row r="572">
      <c r="A572" s="4">
        <f>IFERROR(__xludf.DUMMYFUNCTION("""COMPUTED_VALUE"""),46030.24649295139)</f>
        <v>46030.24649</v>
      </c>
      <c r="B572" s="3" t="str">
        <f>IFERROR(__xludf.DUMMYFUNCTION("""COMPUTED_VALUE"""),"NDSBR0047")</f>
        <v>NDSBR0047</v>
      </c>
      <c r="C572" s="3" t="str">
        <f>IFERROR(__xludf.DUMMYFUNCTION("""COMPUTED_VALUE"""),"EJO")</f>
        <v>EJO</v>
      </c>
      <c r="D572" s="3" t="str">
        <f>IFERROR(__xludf.DUMMYFUNCTION("""COMPUTED_VALUE"""),"EJO/2026/01/52")</f>
        <v>EJO/2026/01/52</v>
      </c>
      <c r="E572" s="3" t="str">
        <f>IFERROR(__xludf.DUMMYFUNCTION("""COMPUTED_VALUE"""),"Isolator Skan ")</f>
        <v>Isolator Skan </v>
      </c>
      <c r="F572" s="3" t="str">
        <f>IFERROR(__xludf.DUMMYFUNCTION("""COMPUTED_VALUE"""),"Fitting lampu E27 Wall mount")</f>
        <v>Fitting lampu E27 Wall mount</v>
      </c>
      <c r="G572" s="3" t="str">
        <f>IFERROR(__xludf.DUMMYFUNCTION("""COMPUTED_VALUE"""),"Sesuai Gambar ")</f>
        <v>Sesuai Gambar </v>
      </c>
      <c r="H572" s="3" t="str">
        <f>IFERROR(__xludf.DUMMYFUNCTION("""COMPUTED_VALUE"""),"-")</f>
        <v>-</v>
      </c>
      <c r="I572" s="3">
        <f>IFERROR(__xludf.DUMMYFUNCTION("""COMPUTED_VALUE"""),3.0)</f>
        <v>3</v>
      </c>
      <c r="J572" s="3" t="str">
        <f>IFERROR(__xludf.DUMMYFUNCTION("""COMPUTED_VALUE"""),"Pcs")</f>
        <v>Pcs</v>
      </c>
      <c r="K572" s="5" t="str">
        <f>IFERROR(__xludf.DUMMYFUNCTION("""COMPUTED_VALUE"""),"https://www.tokopedia.com/utamajayalistrik/fitting-lampu-plafon-bulat-hitam-e27-broco?extParam=ivf%3Dfalse%26keyword%3Dfitting+lampu+wall+mount+bulat+brocco+tipe+e27%26search_id%3D2026010722505913F9896DF61279104MC3%26src%3Dsearch&amp;t_id=1767826404271&amp;t_st=1"&amp;"&amp;t_pp=search_result&amp;t_efo=search_pure_goods_card&amp;t_ef=goods_search&amp;t_sm=&amp;t_spt=search_result")</f>
        <v>https://www.tokopedia.com/utamajayalistrik/fitting-lampu-plafon-bulat-hitam-e27-broco?extParam=ivf%3Dfalse%26keyword%3Dfitting+lampu+wall+mount+bulat+brocco+tipe+e27%26search_id%3D2026010722505913F9896DF61279104MC3%26src%3Dsearch&amp;t_id=1767826404271&amp;t_st=1&amp;t_pp=search_result&amp;t_efo=search_pure_goods_card&amp;t_ef=goods_search&amp;t_sm=&amp;t_spt=search_result</v>
      </c>
      <c r="L572" s="3" t="str">
        <f>IFERROR(__xludf.DUMMYFUNCTION("""COMPUTED_VALUE"""),"- (REJECT BY MFH KARENA MASIH ADA STOK SOCKET FITTING E27 YANG SEMPAT DI BQ REQUESTOR SEBELUMNYA, BELUM ADA SATUPUN YANG DIPAKAI)")</f>
        <v>- (REJECT BY MFH KARENA MASIH ADA STOK SOCKET FITTING E27 YANG SEMPAT DI BQ REQUESTOR SEBELUMNYA, BELUM ADA SATUPUN YANG DIPAKAI)</v>
      </c>
      <c r="M572" s="3" t="str">
        <f>IFERROR(__xludf.DUMMYFUNCTION("""COMPUTED_VALUE"""),"Reject")</f>
        <v>Reject</v>
      </c>
      <c r="N572" s="3" t="str">
        <f>IFERROR(__xludf.DUMMYFUNCTION("""COMPUTED_VALUE"""),"Normal")</f>
        <v>Normal</v>
      </c>
      <c r="O572" s="3" t="str">
        <f>IFERROR(__xludf.DUMMYFUNCTION("""COMPUTED_VALUE"""),"Non Urgent")</f>
        <v>Non Urgent</v>
      </c>
    </row>
    <row r="573">
      <c r="A573" s="4">
        <f>IFERROR(__xludf.DUMMYFUNCTION("""COMPUTED_VALUE"""),46030.24690171296)</f>
        <v>46030.2469</v>
      </c>
      <c r="B573" s="3" t="str">
        <f>IFERROR(__xludf.DUMMYFUNCTION("""COMPUTED_VALUE"""),"NDSBR0048")</f>
        <v>NDSBR0048</v>
      </c>
      <c r="C573" s="3" t="str">
        <f>IFERROR(__xludf.DUMMYFUNCTION("""COMPUTED_VALUE"""),"EJO")</f>
        <v>EJO</v>
      </c>
      <c r="D573" s="3" t="str">
        <f>IFERROR(__xludf.DUMMYFUNCTION("""COMPUTED_VALUE"""),"EJO/2026/01/52")</f>
        <v>EJO/2026/01/52</v>
      </c>
      <c r="E573" s="3" t="str">
        <f>IFERROR(__xludf.DUMMYFUNCTION("""COMPUTED_VALUE"""),"Isolator Skan ")</f>
        <v>Isolator Skan </v>
      </c>
      <c r="F573" s="3" t="str">
        <f>IFERROR(__xludf.DUMMYFUNCTION("""COMPUTED_VALUE"""),"Lampu 45 watt")</f>
        <v>Lampu 45 watt</v>
      </c>
      <c r="G573" s="3" t="str">
        <f>IFERROR(__xludf.DUMMYFUNCTION("""COMPUTED_VALUE"""),"Sesuai Gambar ")</f>
        <v>Sesuai Gambar </v>
      </c>
      <c r="H573" s="3" t="str">
        <f>IFERROR(__xludf.DUMMYFUNCTION("""COMPUTED_VALUE"""),"-")</f>
        <v>-</v>
      </c>
      <c r="I573" s="3">
        <f>IFERROR(__xludf.DUMMYFUNCTION("""COMPUTED_VALUE"""),3.0)</f>
        <v>3</v>
      </c>
      <c r="J573" s="3" t="str">
        <f>IFERROR(__xludf.DUMMYFUNCTION("""COMPUTED_VALUE"""),"Pcs")</f>
        <v>Pcs</v>
      </c>
      <c r="K573" s="5" t="str">
        <f>IFERROR(__xludf.DUMMYFUNCTION("""COMPUTED_VALUE"""),"https://www.tokopedia.com/bilyskonc/terbaru-lampu-philips-ecotone-high-lumen-twister-45w-840-e27-220-240v?extParam=ivf%3Dfalse%26src%3Dsearch")</f>
        <v>https://www.tokopedia.com/bilyskonc/terbaru-lampu-philips-ecotone-high-lumen-twister-45w-840-e27-220-240v?extParam=ivf%3Dfalse%26src%3Dsearch</v>
      </c>
      <c r="L573" s="3" t="str">
        <f>IFERROR(__xludf.DUMMYFUNCTION("""COMPUTED_VALUE"""),"-")</f>
        <v>-</v>
      </c>
      <c r="M573" s="3" t="str">
        <f>IFERROR(__xludf.DUMMYFUNCTION("""COMPUTED_VALUE"""),"Reject")</f>
        <v>Reject</v>
      </c>
      <c r="N573" s="3" t="str">
        <f>IFERROR(__xludf.DUMMYFUNCTION("""COMPUTED_VALUE"""),"Normal")</f>
        <v>Normal</v>
      </c>
      <c r="O573" s="3" t="str">
        <f>IFERROR(__xludf.DUMMYFUNCTION("""COMPUTED_VALUE"""),"Non Urgent")</f>
        <v>Non Urgent</v>
      </c>
    </row>
    <row r="574">
      <c r="A574" s="4">
        <f>IFERROR(__xludf.DUMMYFUNCTION("""COMPUTED_VALUE"""),46030.47601230324)</f>
        <v>46030.47601</v>
      </c>
      <c r="B574" s="3" t="str">
        <f>IFERROR(__xludf.DUMMYFUNCTION("""COMPUTED_VALUE"""),"ROSBR0064")</f>
        <v>ROSBR0064</v>
      </c>
      <c r="C574" s="3" t="str">
        <f>IFERROR(__xludf.DUMMYFUNCTION("""COMPUTED_VALUE"""),"Consumable")</f>
        <v>Consumable</v>
      </c>
      <c r="D574" s="3" t="str">
        <f>IFERROR(__xludf.DUMMYFUNCTION("""COMPUTED_VALUE"""),"NA")</f>
        <v>NA</v>
      </c>
      <c r="E574" s="3" t="str">
        <f>IFERROR(__xludf.DUMMYFUNCTION("""COMPUTED_VALUE"""),"Gloove Port Orabs ")</f>
        <v>Gloove Port Orabs </v>
      </c>
      <c r="F574" s="3" t="str">
        <f>IFERROR(__xludf.DUMMYFUNCTION("""COMPUTED_VALUE"""),"O-Ring Sleeve Orabs  Gloove port ")</f>
        <v>O-Ring Sleeve Orabs  Gloove port </v>
      </c>
      <c r="G574" s="3" t="str">
        <f>IFERROR(__xludf.DUMMYFUNCTION("""COMPUTED_VALUE"""),"Oring Sleeve Orabs gloove port 
Material EPDM
ID 200 mm
Tebal 6,5 mm")</f>
        <v>Oring Sleeve Orabs gloove port 
Material EPDM
ID 200 mm
Tebal 6,5 mm</v>
      </c>
      <c r="H574" s="3" t="str">
        <f>IFERROR(__xludf.DUMMYFUNCTION("""COMPUTED_VALUE"""),"universal ")</f>
        <v>universal </v>
      </c>
      <c r="I574" s="3">
        <f>IFERROR(__xludf.DUMMYFUNCTION("""COMPUTED_VALUE"""),5.0)</f>
        <v>5</v>
      </c>
      <c r="J574" s="3" t="str">
        <f>IFERROR(__xludf.DUMMYFUNCTION("""COMPUTED_VALUE"""),"pcs")</f>
        <v>pcs</v>
      </c>
      <c r="K574" s="3" t="str">
        <f>IFERROR(__xludf.DUMMYFUNCTION("""COMPUTED_VALUE"""),"-")</f>
        <v>-</v>
      </c>
      <c r="L574" s="3" t="str">
        <f>IFERROR(__xludf.DUMMYFUNCTION("""COMPUTED_VALUE"""),"-")</f>
        <v>-</v>
      </c>
      <c r="M574" s="3" t="str">
        <f>IFERROR(__xludf.DUMMYFUNCTION("""COMPUTED_VALUE"""),"Approve")</f>
        <v>Approve</v>
      </c>
      <c r="N574" s="3" t="str">
        <f>IFERROR(__xludf.DUMMYFUNCTION("""COMPUTED_VALUE"""),"Normal")</f>
        <v>Normal</v>
      </c>
      <c r="O574" s="3" t="str">
        <f>IFERROR(__xludf.DUMMYFUNCTION("""COMPUTED_VALUE"""),"Non Urgent")</f>
        <v>Non Urgent</v>
      </c>
    </row>
    <row r="575">
      <c r="A575" s="4">
        <f>IFERROR(__xludf.DUMMYFUNCTION("""COMPUTED_VALUE"""),46030.476465057865)</f>
        <v>46030.47647</v>
      </c>
      <c r="B575" s="3" t="str">
        <f>IFERROR(__xludf.DUMMYFUNCTION("""COMPUTED_VALUE"""),"ROSBR0065")</f>
        <v>ROSBR0065</v>
      </c>
      <c r="C575" s="3" t="str">
        <f>IFERROR(__xludf.DUMMYFUNCTION("""COMPUTED_VALUE"""),"Consumable")</f>
        <v>Consumable</v>
      </c>
      <c r="D575" s="3" t="str">
        <f>IFERROR(__xludf.DUMMYFUNCTION("""COMPUTED_VALUE"""),"NA ")</f>
        <v>NA </v>
      </c>
      <c r="E575" s="3" t="str">
        <f>IFERROR(__xludf.DUMMYFUNCTION("""COMPUTED_VALUE"""),"Gloove Port Orabs ")</f>
        <v>Gloove Port Orabs </v>
      </c>
      <c r="F575" s="3" t="str">
        <f>IFERROR(__xludf.DUMMYFUNCTION("""COMPUTED_VALUE"""),"O-ring Gloove port Orabs ")</f>
        <v>O-ring Gloove port Orabs </v>
      </c>
      <c r="G575" s="3" t="str">
        <f>IFERROR(__xludf.DUMMYFUNCTION("""COMPUTED_VALUE"""),"Oring Gloove port Orabs 
Material EPDM
ID 260 mm
Tebal 4.65 mm")</f>
        <v>Oring Gloove port Orabs 
Material EPDM
ID 260 mm
Tebal 4.65 mm</v>
      </c>
      <c r="H575" s="3" t="str">
        <f>IFERROR(__xludf.DUMMYFUNCTION("""COMPUTED_VALUE"""),"universal ")</f>
        <v>universal </v>
      </c>
      <c r="I575" s="3">
        <f>IFERROR(__xludf.DUMMYFUNCTION("""COMPUTED_VALUE"""),10.0)</f>
        <v>10</v>
      </c>
      <c r="J575" s="3" t="str">
        <f>IFERROR(__xludf.DUMMYFUNCTION("""COMPUTED_VALUE"""),"pcs")</f>
        <v>pcs</v>
      </c>
      <c r="K575" s="3" t="str">
        <f>IFERROR(__xludf.DUMMYFUNCTION("""COMPUTED_VALUE"""),"-")</f>
        <v>-</v>
      </c>
      <c r="L575" s="3" t="str">
        <f>IFERROR(__xludf.DUMMYFUNCTION("""COMPUTED_VALUE"""),"-")</f>
        <v>-</v>
      </c>
      <c r="M575" s="3" t="str">
        <f>IFERROR(__xludf.DUMMYFUNCTION("""COMPUTED_VALUE"""),"Approve")</f>
        <v>Approve</v>
      </c>
      <c r="N575" s="3" t="str">
        <f>IFERROR(__xludf.DUMMYFUNCTION("""COMPUTED_VALUE"""),"Normal")</f>
        <v>Normal</v>
      </c>
      <c r="O575" s="3" t="str">
        <f>IFERROR(__xludf.DUMMYFUNCTION("""COMPUTED_VALUE"""),"Non Urgent")</f>
        <v>Non Urgent</v>
      </c>
    </row>
    <row r="576">
      <c r="A576" s="4">
        <f>IFERROR(__xludf.DUMMYFUNCTION("""COMPUTED_VALUE"""),46030.49320335648)</f>
        <v>46030.4932</v>
      </c>
      <c r="B576" s="3" t="str">
        <f>IFERROR(__xludf.DUMMYFUNCTION("""COMPUTED_VALUE"""),"ROSBR0066")</f>
        <v>ROSBR0066</v>
      </c>
      <c r="C576" s="3" t="str">
        <f>IFERROR(__xludf.DUMMYFUNCTION("""COMPUTED_VALUE"""),"Consumable")</f>
        <v>Consumable</v>
      </c>
      <c r="D576" s="3" t="str">
        <f>IFERROR(__xludf.DUMMYFUNCTION("""COMPUTED_VALUE"""),"NA")</f>
        <v>NA</v>
      </c>
      <c r="E576" s="3" t="str">
        <f>IFERROR(__xludf.DUMMYFUNCTION("""COMPUTED_VALUE"""),"Toolbox Maintenance ")</f>
        <v>Toolbox Maintenance </v>
      </c>
      <c r="F576" s="3" t="str">
        <f>IFERROR(__xludf.DUMMYFUNCTION("""COMPUTED_VALUE"""),"TEKIRO TANG POTONG 6 INCH (N - R)")</f>
        <v>TEKIRO TANG POTONG 6 INCH (N - R)</v>
      </c>
      <c r="G576" s="3" t="str">
        <f>IFERROR(__xludf.DUMMYFUNCTION("""COMPUTED_VALUE"""),"Tang Potong 
Material : Chrome vanadium
Dimensi Produk200mm 23mm 130mm
Tang Potong / Pemotong / Diagonal Pliers / Cutting
Quantity: 1 Piece / 1 Buah
Ukuran: 6”
Dimensi:
Panjang Gagang 110MM
Tebal Gagang 15MM
Lebar Tang Tutup 20MM
Tebal Tang 10MM
Merek: TE"&amp;"KIRO
type ")</f>
        <v>Tang Potong 
Material : Chrome vanadium
Dimensi Produk200mm 23mm 130mm
Tang Potong / Pemotong / Diagonal Pliers / Cutting
Quantity: 1 Piece / 1 Buah
Ukuran: 6”
Dimensi:
Panjang Gagang 110MM
Tebal Gagang 15MM
Lebar Tang Tutup 20MM
Tebal Tang 10MM
Merek: TEKIRO
type </v>
      </c>
      <c r="H576" s="3" t="str">
        <f>IFERROR(__xludf.DUMMYFUNCTION("""COMPUTED_VALUE"""),"Tekiro")</f>
        <v>Tekiro</v>
      </c>
      <c r="I576" s="3">
        <f>IFERROR(__xludf.DUMMYFUNCTION("""COMPUTED_VALUE"""),1.0)</f>
        <v>1</v>
      </c>
      <c r="J576" s="3" t="str">
        <f>IFERROR(__xludf.DUMMYFUNCTION("""COMPUTED_VALUE"""),"pcs")</f>
        <v>pcs</v>
      </c>
      <c r="K576" s="5" t="str">
        <f>IFERROR(__xludf.DUMMYFUNCTION("""COMPUTED_VALUE"""),"https://shopee.co.id/TEKIRO-TANG-POTONG-6-INCH-(N-R)-TANG-POTONG-TOOLS-ALAT-PERKAKAS-i.73061699.6153970432?xptdk=73778dc6-c3b6-482f-8065-94da195c1548")</f>
        <v>https://shopee.co.id/TEKIRO-TANG-POTONG-6-INCH-(N-R)-TANG-POTONG-TOOLS-ALAT-PERKAKAS-i.73061699.6153970432?xptdk=73778dc6-c3b6-482f-8065-94da195c1548</v>
      </c>
      <c r="L576" s="3" t="str">
        <f>IFERROR(__xludf.DUMMYFUNCTION("""COMPUTED_VALUE"""),"-")</f>
        <v>-</v>
      </c>
      <c r="M576" s="3" t="str">
        <f>IFERROR(__xludf.DUMMYFUNCTION("""COMPUTED_VALUE"""),"Approve")</f>
        <v>Approve</v>
      </c>
      <c r="N576" s="3" t="str">
        <f>IFERROR(__xludf.DUMMYFUNCTION("""COMPUTED_VALUE"""),"Normal")</f>
        <v>Normal</v>
      </c>
      <c r="O576" s="3" t="str">
        <f>IFERROR(__xludf.DUMMYFUNCTION("""COMPUTED_VALUE"""),"Non Urgent")</f>
        <v>Non Urgent</v>
      </c>
    </row>
    <row r="577">
      <c r="A577" s="4">
        <f>IFERROR(__xludf.DUMMYFUNCTION("""COMPUTED_VALUE"""),46030.493779143515)</f>
        <v>46030.49378</v>
      </c>
      <c r="B577" s="3" t="str">
        <f>IFERROR(__xludf.DUMMYFUNCTION("""COMPUTED_VALUE"""),"ROSBR0067")</f>
        <v>ROSBR0067</v>
      </c>
      <c r="C577" s="3" t="str">
        <f>IFERROR(__xludf.DUMMYFUNCTION("""COMPUTED_VALUE"""),"Consumable")</f>
        <v>Consumable</v>
      </c>
      <c r="D577" s="3" t="str">
        <f>IFERROR(__xludf.DUMMYFUNCTION("""COMPUTED_VALUE"""),"NA")</f>
        <v>NA</v>
      </c>
      <c r="E577" s="3" t="str">
        <f>IFERROR(__xludf.DUMMYFUNCTION("""COMPUTED_VALUE"""),"Toolbox Maintenance ")</f>
        <v>Toolbox Maintenance </v>
      </c>
      <c r="F577" s="3" t="str">
        <f>IFERROR(__xludf.DUMMYFUNCTION("""COMPUTED_VALUE"""),"TEKIRO TANG KOMBINASI 7 INCH (N - R")</f>
        <v>TEKIRO TANG KOMBINASI 7 INCH (N - R</v>
      </c>
      <c r="G577" s="3" t="str">
        <f>IFERROR(__xludf.DUMMYFUNCTION("""COMPUTED_VALUE"""),"Tang Kombinasi 
type : PL-LM0758")</f>
        <v>Tang Kombinasi 
type : PL-LM0758</v>
      </c>
      <c r="H577" s="3" t="str">
        <f>IFERROR(__xludf.DUMMYFUNCTION("""COMPUTED_VALUE"""),"Tekiro")</f>
        <v>Tekiro</v>
      </c>
      <c r="I577" s="3">
        <f>IFERROR(__xludf.DUMMYFUNCTION("""COMPUTED_VALUE"""),2.0)</f>
        <v>2</v>
      </c>
      <c r="J577" s="3" t="str">
        <f>IFERROR(__xludf.DUMMYFUNCTION("""COMPUTED_VALUE"""),"pcs")</f>
        <v>pcs</v>
      </c>
      <c r="K577" s="5" t="str">
        <f>IFERROR(__xludf.DUMMYFUNCTION("""COMPUTED_VALUE"""),"https://shopee.co.id/TEKIRO-TANG-KOMBINASI-7-INCH-(N-R)-TANG-KOMBINASI-TOOLS-ALAT-PERKAKAS-i.73061699.1237545170?xptdk=ea01e3bf-f478-4cfe-8ff7-2c5f9955ba2c")</f>
        <v>https://shopee.co.id/TEKIRO-TANG-KOMBINASI-7-INCH-(N-R)-TANG-KOMBINASI-TOOLS-ALAT-PERKAKAS-i.73061699.1237545170?xptdk=ea01e3bf-f478-4cfe-8ff7-2c5f9955ba2c</v>
      </c>
      <c r="L577" s="3" t="str">
        <f>IFERROR(__xludf.DUMMYFUNCTION("""COMPUTED_VALUE"""),"-")</f>
        <v>-</v>
      </c>
      <c r="M577" s="3" t="str">
        <f>IFERROR(__xludf.DUMMYFUNCTION("""COMPUTED_VALUE"""),"Approve")</f>
        <v>Approve</v>
      </c>
      <c r="N577" s="3" t="str">
        <f>IFERROR(__xludf.DUMMYFUNCTION("""COMPUTED_VALUE"""),"Normal")</f>
        <v>Normal</v>
      </c>
      <c r="O577" s="3" t="str">
        <f>IFERROR(__xludf.DUMMYFUNCTION("""COMPUTED_VALUE"""),"Non Urgent")</f>
        <v>Non Urgent</v>
      </c>
    </row>
    <row r="578">
      <c r="A578" s="4">
        <f>IFERROR(__xludf.DUMMYFUNCTION("""COMPUTED_VALUE"""),46030.495596469904)</f>
        <v>46030.4956</v>
      </c>
      <c r="B578" s="3" t="str">
        <f>IFERROR(__xludf.DUMMYFUNCTION("""COMPUTED_VALUE"""),"ROSBR0068")</f>
        <v>ROSBR0068</v>
      </c>
      <c r="C578" s="3" t="str">
        <f>IFERROR(__xludf.DUMMYFUNCTION("""COMPUTED_VALUE"""),"Consumable")</f>
        <v>Consumable</v>
      </c>
      <c r="D578" s="3" t="str">
        <f>IFERROR(__xludf.DUMMYFUNCTION("""COMPUTED_VALUE"""),"NA")</f>
        <v>NA</v>
      </c>
      <c r="E578" s="3" t="str">
        <f>IFERROR(__xludf.DUMMYFUNCTION("""COMPUTED_VALUE"""),"Toolbox Maintenance ")</f>
        <v>Toolbox Maintenance </v>
      </c>
      <c r="F578" s="3" t="str">
        <f>IFERROR(__xludf.DUMMYFUNCTION("""COMPUTED_VALUE"""),"TEKIRO TANG LANCIP 6 INCH (N - R)")</f>
        <v>TEKIRO TANG LANCIP 6 INCH (N - R)</v>
      </c>
      <c r="G578" s="3" t="str">
        <f>IFERROR(__xludf.DUMMYFUNCTION("""COMPUTED_VALUE"""),"Tang Lancip
Material : heat treated alloy stell
Dimensi : 150mm 18mm 90mm
type : PL-LN0760")</f>
        <v>Tang Lancip
Material : heat treated alloy stell
Dimensi : 150mm 18mm 90mm
type : PL-LN0760</v>
      </c>
      <c r="H578" s="3" t="str">
        <f>IFERROR(__xludf.DUMMYFUNCTION("""COMPUTED_VALUE"""),"Tekiro")</f>
        <v>Tekiro</v>
      </c>
      <c r="I578" s="3">
        <f>IFERROR(__xludf.DUMMYFUNCTION("""COMPUTED_VALUE"""),1.0)</f>
        <v>1</v>
      </c>
      <c r="J578" s="3" t="str">
        <f>IFERROR(__xludf.DUMMYFUNCTION("""COMPUTED_VALUE"""),"Pcs")</f>
        <v>Pcs</v>
      </c>
      <c r="K578" s="5" t="str">
        <f>IFERROR(__xludf.DUMMYFUNCTION("""COMPUTED_VALUE"""),"https://shopee.co.id/TEKIRO-TANG-LANCIP-6-INCH-(N-R)-TANG-LANCIP-TOOLS-ALAT-PERKAKAS-KUNCI-ALAT-PERTUKANGAN-i.73061699.1237545117?xptdk=b0c511a1-1522-4987-b417-4f3bfbf6df49")</f>
        <v>https://shopee.co.id/TEKIRO-TANG-LANCIP-6-INCH-(N-R)-TANG-LANCIP-TOOLS-ALAT-PERKAKAS-KUNCI-ALAT-PERTUKANGAN-i.73061699.1237545117?xptdk=b0c511a1-1522-4987-b417-4f3bfbf6df49</v>
      </c>
      <c r="L578" s="3" t="str">
        <f>IFERROR(__xludf.DUMMYFUNCTION("""COMPUTED_VALUE"""),"-")</f>
        <v>-</v>
      </c>
      <c r="M578" s="3" t="str">
        <f>IFERROR(__xludf.DUMMYFUNCTION("""COMPUTED_VALUE"""),"Approve")</f>
        <v>Approve</v>
      </c>
      <c r="N578" s="3" t="str">
        <f>IFERROR(__xludf.DUMMYFUNCTION("""COMPUTED_VALUE"""),"Normal")</f>
        <v>Normal</v>
      </c>
      <c r="O578" s="3" t="str">
        <f>IFERROR(__xludf.DUMMYFUNCTION("""COMPUTED_VALUE"""),"Non Urgent")</f>
        <v>Non Urgent</v>
      </c>
    </row>
    <row r="579">
      <c r="A579" s="4">
        <f>IFERROR(__xludf.DUMMYFUNCTION("""COMPUTED_VALUE"""),46030.84627806713)</f>
        <v>46030.84628</v>
      </c>
      <c r="B579" s="3" t="str">
        <f>IFERROR(__xludf.DUMMYFUNCTION("""COMPUTED_VALUE"""),"ROSBR0069")</f>
        <v>ROSBR0069</v>
      </c>
      <c r="C579" s="3" t="str">
        <f>IFERROR(__xludf.DUMMYFUNCTION("""COMPUTED_VALUE"""),"Consumable")</f>
        <v>Consumable</v>
      </c>
      <c r="D579" s="3" t="str">
        <f>IFERROR(__xludf.DUMMYFUNCTION("""COMPUTED_VALUE"""),"NA")</f>
        <v>NA</v>
      </c>
      <c r="E579" s="3" t="str">
        <f>IFERROR(__xludf.DUMMYFUNCTION("""COMPUTED_VALUE"""),"Toolbox Maintenance ")</f>
        <v>Toolbox Maintenance </v>
      </c>
      <c r="F579" s="3" t="str">
        <f>IFERROR(__xludf.DUMMYFUNCTION("""COMPUTED_VALUE"""),"OBENG KETOK SET TEKIRO IMPACT DRIVE 11 PCS")</f>
        <v>OBENG KETOK SET TEKIRO IMPACT DRIVE 11 PCS</v>
      </c>
      <c r="G579" s="3" t="str">
        <f>IFERROR(__xludf.DUMMYFUNCTION("""COMPUTED_VALUE"""),"Obeng ketok (impact driver)
Type : SD-IM0921")</f>
        <v>Obeng ketok (impact driver)
Type : SD-IM0921</v>
      </c>
      <c r="H579" s="3" t="str">
        <f>IFERROR(__xludf.DUMMYFUNCTION("""COMPUTED_VALUE"""),"Tekiroi")</f>
        <v>Tekiroi</v>
      </c>
      <c r="I579" s="3">
        <f>IFERROR(__xludf.DUMMYFUNCTION("""COMPUTED_VALUE"""),1.0)</f>
        <v>1</v>
      </c>
      <c r="J579" s="3" t="str">
        <f>IFERROR(__xludf.DUMMYFUNCTION("""COMPUTED_VALUE"""),"Set")</f>
        <v>Set</v>
      </c>
      <c r="K579" s="5" t="str">
        <f>IFERROR(__xludf.DUMMYFUNCTION("""COMPUTED_VALUE"""),"https://shopee.co.id/TEKIRO-IMPACT-DRIVE-11-PCS-OBENG-KETOK-TOOLS-ALAT-PERKAKAS-i.73061699.1237545205?extraParams=%7B%22display_model_id%22%3A31563425734%2C%22model_selection_logic%22%3A3%7D&amp;sp_atk=faa8f2e3-089b-400d-b5c4-e05e946f0449&amp;xptdk=faa8f2e3-089b-"&amp;"400d-b5c4-e05e946f0449")</f>
        <v>https://shopee.co.id/TEKIRO-IMPACT-DRIVE-11-PCS-OBENG-KETOK-TOOLS-ALAT-PERKAKAS-i.73061699.1237545205?extraParams=%7B%22display_model_id%22%3A31563425734%2C%22model_selection_logic%22%3A3%7D&amp;sp_atk=faa8f2e3-089b-400d-b5c4-e05e946f0449&amp;xptdk=faa8f2e3-089b-400d-b5c4-e05e946f0449</v>
      </c>
      <c r="L579" s="3" t="str">
        <f>IFERROR(__xludf.DUMMYFUNCTION("""COMPUTED_VALUE"""),"-")</f>
        <v>-</v>
      </c>
      <c r="M579" s="3" t="str">
        <f>IFERROR(__xludf.DUMMYFUNCTION("""COMPUTED_VALUE"""),"Approve")</f>
        <v>Approve</v>
      </c>
      <c r="N579" s="3" t="str">
        <f>IFERROR(__xludf.DUMMYFUNCTION("""COMPUTED_VALUE"""),"Normal")</f>
        <v>Normal</v>
      </c>
      <c r="O579" s="3" t="str">
        <f>IFERROR(__xludf.DUMMYFUNCTION("""COMPUTED_VALUE"""),"Non Urgent")</f>
        <v>Non Urgent</v>
      </c>
    </row>
    <row r="580">
      <c r="A580" s="4">
        <f>IFERROR(__xludf.DUMMYFUNCTION("""COMPUTED_VALUE"""),46031.64408528935)</f>
        <v>46031.64409</v>
      </c>
      <c r="B580" s="3" t="str">
        <f>IFERROR(__xludf.DUMMYFUNCTION("""COMPUTED_VALUE"""),"ANOBR0045")</f>
        <v>ANOBR0045</v>
      </c>
      <c r="C580" s="3" t="str">
        <f>IFERROR(__xludf.DUMMYFUNCTION("""COMPUTED_VALUE"""),"EJO")</f>
        <v>EJO</v>
      </c>
      <c r="D580" s="3" t="str">
        <f>IFERROR(__xludf.DUMMYFUNCTION("""COMPUTED_VALUE"""),"EJO/2026/01/16")</f>
        <v>EJO/2026/01/16</v>
      </c>
      <c r="E580" s="3" t="str">
        <f>IFERROR(__xludf.DUMMYFUNCTION("""COMPUTED_VALUE"""),"passbox capping")</f>
        <v>passbox capping</v>
      </c>
      <c r="F580" s="3" t="str">
        <f>IFERROR(__xludf.DUMMYFUNCTION("""COMPUTED_VALUE"""),"lampu passbox capping")</f>
        <v>lampu passbox capping</v>
      </c>
      <c r="G580" s="3" t="str">
        <f>IFERROR(__xludf.DUMMYFUNCTION("""COMPUTED_VALUE"""),"philips TCH086/114 EV")</f>
        <v>philips TCH086/114 EV</v>
      </c>
      <c r="H580" s="3" t="str">
        <f>IFERROR(__xludf.DUMMYFUNCTION("""COMPUTED_VALUE"""),"-")</f>
        <v>-</v>
      </c>
      <c r="I580" s="3">
        <f>IFERROR(__xludf.DUMMYFUNCTION("""COMPUTED_VALUE"""),3.0)</f>
        <v>3</v>
      </c>
      <c r="J580" s="3" t="str">
        <f>IFERROR(__xludf.DUMMYFUNCTION("""COMPUTED_VALUE"""),"PCS")</f>
        <v>PCS</v>
      </c>
      <c r="K580" s="5" t="str">
        <f>IFERROR(__xludf.DUMMYFUNCTION("""COMPUTED_VALUE"""),"https://shopee.co.id/product/7131578/16169387000?gads_t_sig=VTJGc2RHVmtYMTlxTFVSVVRrdENkVEg0SDd3VWo1MDQyT052d3EvY1B4YkQ4V2NxNE1VVGRjZnNreUFCTjkyR1M1RThxVWkwYWRIVjFsR1F6VHoxbkJaWUpFMmpvencwS0cvQkYrYyt5OG1IdVE3b0V3UUdXWVhEd1V0d2lWRlo")</f>
        <v>https://shopee.co.id/product/7131578/16169387000?gads_t_sig=VTJGc2RHVmtYMTlxTFVSVVRrdENkVEg0SDd3VWo1MDQyT052d3EvY1B4YkQ4V2NxNE1VVGRjZnNreUFCTjkyR1M1RThxVWkwYWRIVjFsR1F6VHoxbkJaWUpFMmpvencwS0cvQkYrYyt5OG1IdVE3b0V3UUdXWVhEd1V0d2lWRlo</v>
      </c>
      <c r="L580" s="3" t="str">
        <f>IFERROR(__xludf.DUMMYFUNCTION("""COMPUTED_VALUE"""),"untuk keperluan mengganti lampu passbox capping yang mati")</f>
        <v>untuk keperluan mengganti lampu passbox capping yang mati</v>
      </c>
      <c r="M580" s="3" t="str">
        <f>IFERROR(__xludf.DUMMYFUNCTION("""COMPUTED_VALUE"""),"Approve")</f>
        <v>Approve</v>
      </c>
      <c r="N580" s="3" t="str">
        <f>IFERROR(__xludf.DUMMYFUNCTION("""COMPUTED_VALUE"""),"Normal")</f>
        <v>Normal</v>
      </c>
      <c r="O580" s="3" t="str">
        <f>IFERROR(__xludf.DUMMYFUNCTION("""COMPUTED_VALUE"""),"Non Urgent")</f>
        <v>Non Urgent</v>
      </c>
    </row>
    <row r="581">
      <c r="A581" s="4">
        <f>IFERROR(__xludf.DUMMYFUNCTION("""COMPUTED_VALUE"""),46032.826918113424)</f>
        <v>46032.82692</v>
      </c>
      <c r="B581" s="3" t="str">
        <f>IFERROR(__xludf.DUMMYFUNCTION("""COMPUTED_VALUE"""),"MRNBR0092")</f>
        <v>MRNBR0092</v>
      </c>
      <c r="C581" s="3" t="str">
        <f>IFERROR(__xludf.DUMMYFUNCTION("""COMPUTED_VALUE"""),"EJO")</f>
        <v>EJO</v>
      </c>
      <c r="D581" s="3" t="str">
        <f>IFERROR(__xludf.DUMMYFUNCTION("""COMPUTED_VALUE"""),"EJO/2025/07/105")</f>
        <v>EJO/2025/07/105</v>
      </c>
      <c r="E581" s="3" t="str">
        <f>IFERROR(__xludf.DUMMYFUNCTION("""COMPUTED_VALUE"""),"pipa hot water")</f>
        <v>pipa hot water</v>
      </c>
      <c r="F581" s="3" t="str">
        <f>IFERROR(__xludf.DUMMYFUNCTION("""COMPUTED_VALUE"""),"Tee SS lass")</f>
        <v>Tee SS lass</v>
      </c>
      <c r="G581" s="3" t="str">
        <f>IFERROR(__xludf.DUMMYFUNCTION("""COMPUTED_VALUE"""),"1 inch")</f>
        <v>1 inch</v>
      </c>
      <c r="H581" s="3" t="str">
        <f>IFERROR(__xludf.DUMMYFUNCTION("""COMPUTED_VALUE"""),"NA")</f>
        <v>NA</v>
      </c>
      <c r="I581" s="3">
        <f>IFERROR(__xludf.DUMMYFUNCTION("""COMPUTED_VALUE"""),4.0)</f>
        <v>4</v>
      </c>
      <c r="J581" s="3" t="str">
        <f>IFERROR(__xludf.DUMMYFUNCTION("""COMPUTED_VALUE"""),"pcs")</f>
        <v>pcs</v>
      </c>
      <c r="K581" s="5" t="str">
        <f>IFERROR(__xludf.DUMMYFUNCTION("""COMPUTED_VALUE"""),"https://www.tokopedia.com/andriyanliu/tee-las-stainless-ss-304-sch-10-1-inchi?extParam=ivf%3Dfalse%26keyword%3Dtee+las+stainless+sch10+ss304+1+inch%26search_id%3D2026011012525337BC2F75BF1BCF341MBY%26src%3Dsearch&amp;t_id=1768049558738&amp;t_st=2&amp;t_pp=search_resul"&amp;"t&amp;t_efo=search_pure_goods_card&amp;t_ef=goods_search&amp;t_sm=&amp;t_spt=search_result")</f>
        <v>https://www.tokopedia.com/andriyanliu/tee-las-stainless-ss-304-sch-10-1-inchi?extParam=ivf%3Dfalse%26keyword%3Dtee+las+stainless+sch10+ss304+1+inch%26search_id%3D2026011012525337BC2F75BF1BCF341MBY%26src%3Dsearch&amp;t_id=1768049558738&amp;t_st=2&amp;t_pp=search_result&amp;t_efo=search_pure_goods_card&amp;t_ef=goods_search&amp;t_sm=&amp;t_spt=search_result</v>
      </c>
      <c r="L581" s="3" t="str">
        <f>IFERROR(__xludf.DUMMYFUNCTION("""COMPUTED_VALUE"""),"untuk penyambungan pipa")</f>
        <v>untuk penyambungan pipa</v>
      </c>
      <c r="M581" s="3" t="str">
        <f>IFERROR(__xludf.DUMMYFUNCTION("""COMPUTED_VALUE"""),"Approve")</f>
        <v>Approve</v>
      </c>
      <c r="N581" s="3" t="str">
        <f>IFERROR(__xludf.DUMMYFUNCTION("""COMPUTED_VALUE"""),"Normal")</f>
        <v>Normal</v>
      </c>
      <c r="O581" s="3" t="str">
        <f>IFERROR(__xludf.DUMMYFUNCTION("""COMPUTED_VALUE"""),"Non Urgent")</f>
        <v>Non Urgent</v>
      </c>
    </row>
    <row r="582">
      <c r="A582" s="4">
        <f>IFERROR(__xludf.DUMMYFUNCTION("""COMPUTED_VALUE"""),46032.83043792824)</f>
        <v>46032.83044</v>
      </c>
      <c r="B582" s="3" t="str">
        <f>IFERROR(__xludf.DUMMYFUNCTION("""COMPUTED_VALUE"""),"MRNBR0093")</f>
        <v>MRNBR0093</v>
      </c>
      <c r="C582" s="3" t="str">
        <f>IFERROR(__xludf.DUMMYFUNCTION("""COMPUTED_VALUE"""),"EJO")</f>
        <v>EJO</v>
      </c>
      <c r="D582" s="3" t="str">
        <f>IFERROR(__xludf.DUMMYFUNCTION("""COMPUTED_VALUE"""),"EJO/2025/07/105")</f>
        <v>EJO/2025/07/105</v>
      </c>
      <c r="E582" s="3" t="str">
        <f>IFERROR(__xludf.DUMMYFUNCTION("""COMPUTED_VALUE"""),"pipa hot water")</f>
        <v>pipa hot water</v>
      </c>
      <c r="F582" s="3" t="str">
        <f>IFERROR(__xludf.DUMMYFUNCTION("""COMPUTED_VALUE"""),"Pipa hot water")</f>
        <v>Pipa hot water</v>
      </c>
      <c r="G582" s="3" t="str">
        <f>IFERROR(__xludf.DUMMYFUNCTION("""COMPUTED_VALUE"""),"Penetrant SKD-S2 Developer")</f>
        <v>Penetrant SKD-S2 Developer</v>
      </c>
      <c r="H582" s="3" t="str">
        <f>IFERROR(__xludf.DUMMYFUNCTION("""COMPUTED_VALUE"""),"Magnaflux Spotcheck")</f>
        <v>Magnaflux Spotcheck</v>
      </c>
      <c r="I582" s="3">
        <f>IFERROR(__xludf.DUMMYFUNCTION("""COMPUTED_VALUE"""),5.0)</f>
        <v>5</v>
      </c>
      <c r="J582" s="3" t="str">
        <f>IFERROR(__xludf.DUMMYFUNCTION("""COMPUTED_VALUE"""),"pcs")</f>
        <v>pcs</v>
      </c>
      <c r="K582" s="5" t="str">
        <f>IFERROR(__xludf.DUMMYFUNCTION("""COMPUTED_VALUE"""),"https://www.tokopedia.com/jfd-shop/magnaflux-spotcheck-skd-s2-developer-400ml-1731535556437902791?extParam=ivf%3Dfalse%26keyword%3Dmagnaflux+skd+s2%26search_id%3D202601101302440BB4AEC17105211487JJ%26src%3Dsearch&amp;t_id=1768049558738&amp;t_st=5&amp;t_pp=search_resul"&amp;"t&amp;t_efo=search_pure_goods_card&amp;t_ef=goods_search&amp;t_sm=&amp;t_spt=search_result")</f>
        <v>https://www.tokopedia.com/jfd-shop/magnaflux-spotcheck-skd-s2-developer-400ml-1731535556437902791?extParam=ivf%3Dfalse%26keyword%3Dmagnaflux+skd+s2%26search_id%3D202601101302440BB4AEC17105211487JJ%26src%3Dsearch&amp;t_id=1768049558738&amp;t_st=5&amp;t_pp=search_result&amp;t_efo=search_pure_goods_card&amp;t_ef=goods_search&amp;t_sm=&amp;t_spt=search_result</v>
      </c>
      <c r="L582" s="3" t="str">
        <f>IFERROR(__xludf.DUMMYFUNCTION("""COMPUTED_VALUE"""),"untuk penyambungan pipa")</f>
        <v>untuk penyambungan pipa</v>
      </c>
      <c r="M582" s="3" t="str">
        <f>IFERROR(__xludf.DUMMYFUNCTION("""COMPUTED_VALUE"""),"Approve")</f>
        <v>Approve</v>
      </c>
      <c r="N582" s="3" t="str">
        <f>IFERROR(__xludf.DUMMYFUNCTION("""COMPUTED_VALUE"""),"Normal")</f>
        <v>Normal</v>
      </c>
      <c r="O582" s="3" t="str">
        <f>IFERROR(__xludf.DUMMYFUNCTION("""COMPUTED_VALUE"""),"Non Urgent")</f>
        <v>Non Urgent</v>
      </c>
    </row>
    <row r="583">
      <c r="A583" s="4">
        <f>IFERROR(__xludf.DUMMYFUNCTION("""COMPUTED_VALUE"""),46032.83837027778)</f>
        <v>46032.83837</v>
      </c>
      <c r="B583" s="3" t="str">
        <f>IFERROR(__xludf.DUMMYFUNCTION("""COMPUTED_VALUE"""),"MRNBR0094")</f>
        <v>MRNBR0094</v>
      </c>
      <c r="C583" s="3" t="str">
        <f>IFERROR(__xludf.DUMMYFUNCTION("""COMPUTED_VALUE"""),"EJO")</f>
        <v>EJO</v>
      </c>
      <c r="D583" s="3" t="str">
        <f>IFERROR(__xludf.DUMMYFUNCTION("""COMPUTED_VALUE"""),"EJO/2025/07/105")</f>
        <v>EJO/2025/07/105</v>
      </c>
      <c r="E583" s="3" t="str">
        <f>IFERROR(__xludf.DUMMYFUNCTION("""COMPUTED_VALUE"""),"pipa hot water")</f>
        <v>pipa hot water</v>
      </c>
      <c r="F583" s="3" t="str">
        <f>IFERROR(__xludf.DUMMYFUNCTION("""COMPUTED_VALUE"""),"Pipa hot water")</f>
        <v>Pipa hot water</v>
      </c>
      <c r="G583" s="3" t="str">
        <f>IFERROR(__xludf.DUMMYFUNCTION("""COMPUTED_VALUE"""),"cleaner SKC-S")</f>
        <v>cleaner SKC-S</v>
      </c>
      <c r="H583" s="3" t="str">
        <f>IFERROR(__xludf.DUMMYFUNCTION("""COMPUTED_VALUE"""),"Magnaflux Spotcheck")</f>
        <v>Magnaflux Spotcheck</v>
      </c>
      <c r="I583" s="3">
        <f>IFERROR(__xludf.DUMMYFUNCTION("""COMPUTED_VALUE"""),5.0)</f>
        <v>5</v>
      </c>
      <c r="J583" s="3" t="str">
        <f>IFERROR(__xludf.DUMMYFUNCTION("""COMPUTED_VALUE"""),"pcs")</f>
        <v>pcs</v>
      </c>
      <c r="K583" s="5" t="str">
        <f>IFERROR(__xludf.DUMMYFUNCTION("""COMPUTED_VALUE"""),"https://www.tokopedia.com/kimiadanteknik/magnaflux-spotcheck-cleaner-skc-s-400ml?extParam=ivf%3Dfalse%26keyword%3D+spotcheck+skcs%26search_id%3D202601101301208DD48D6A2E2CAD361ICM%26src%3Dsearch&amp;t_id=1768050008571&amp;t_st=3&amp;t_pp=search_result&amp;t_efo=search_pur"&amp;"e_goods_card&amp;t_ef=goods_search&amp;t_sm=&amp;t_spt=search_result")</f>
        <v>https://www.tokopedia.com/kimiadanteknik/magnaflux-spotcheck-cleaner-skc-s-400ml?extParam=ivf%3Dfalse%26keyword%3D+spotcheck+skcs%26search_id%3D202601101301208DD48D6A2E2CAD361ICM%26src%3Dsearch&amp;t_id=1768050008571&amp;t_st=3&amp;t_pp=search_result&amp;t_efo=search_pure_goods_card&amp;t_ef=goods_search&amp;t_sm=&amp;t_spt=search_result</v>
      </c>
      <c r="L583" s="3" t="str">
        <f>IFERROR(__xludf.DUMMYFUNCTION("""COMPUTED_VALUE"""),"untuk penyambungan pipa")</f>
        <v>untuk penyambungan pipa</v>
      </c>
      <c r="M583" s="3" t="str">
        <f>IFERROR(__xludf.DUMMYFUNCTION("""COMPUTED_VALUE"""),"Approve")</f>
        <v>Approve</v>
      </c>
      <c r="N583" s="3" t="str">
        <f>IFERROR(__xludf.DUMMYFUNCTION("""COMPUTED_VALUE"""),"Normal")</f>
        <v>Normal</v>
      </c>
      <c r="O583" s="3" t="str">
        <f>IFERROR(__xludf.DUMMYFUNCTION("""COMPUTED_VALUE"""),"Non Urgent")</f>
        <v>Non Urgent</v>
      </c>
    </row>
    <row r="584">
      <c r="A584" s="4">
        <f>IFERROR(__xludf.DUMMYFUNCTION("""COMPUTED_VALUE"""),46032.83897131944)</f>
        <v>46032.83897</v>
      </c>
      <c r="B584" s="3" t="str">
        <f>IFERROR(__xludf.DUMMYFUNCTION("""COMPUTED_VALUE"""),"MRNBR0095")</f>
        <v>MRNBR0095</v>
      </c>
      <c r="C584" s="3" t="str">
        <f>IFERROR(__xludf.DUMMYFUNCTION("""COMPUTED_VALUE"""),"EJO")</f>
        <v>EJO</v>
      </c>
      <c r="D584" s="3" t="str">
        <f>IFERROR(__xludf.DUMMYFUNCTION("""COMPUTED_VALUE"""),"EJO/2025/07/105")</f>
        <v>EJO/2025/07/105</v>
      </c>
      <c r="E584" s="3" t="str">
        <f>IFERROR(__xludf.DUMMYFUNCTION("""COMPUTED_VALUE"""),"pipa hot water")</f>
        <v>pipa hot water</v>
      </c>
      <c r="F584" s="3" t="str">
        <f>IFERROR(__xludf.DUMMYFUNCTION("""COMPUTED_VALUE"""),"Pipa hot water")</f>
        <v>Pipa hot water</v>
      </c>
      <c r="G584" s="3" t="str">
        <f>IFERROR(__xludf.DUMMYFUNCTION("""COMPUTED_VALUE"""),"spotcheck red penetrant SKL-SP")</f>
        <v>spotcheck red penetrant SKL-SP</v>
      </c>
      <c r="H584" s="3" t="str">
        <f>IFERROR(__xludf.DUMMYFUNCTION("""COMPUTED_VALUE"""),"Magnaflux Spotcheck")</f>
        <v>Magnaflux Spotcheck</v>
      </c>
      <c r="I584" s="3">
        <f>IFERROR(__xludf.DUMMYFUNCTION("""COMPUTED_VALUE"""),5.0)</f>
        <v>5</v>
      </c>
      <c r="J584" s="3" t="str">
        <f>IFERROR(__xludf.DUMMYFUNCTION("""COMPUTED_VALUE"""),"pcs")</f>
        <v>pcs</v>
      </c>
      <c r="K584" s="5" t="str">
        <f>IFERROR(__xludf.DUMMYFUNCTION("""COMPUTED_VALUE"""),"https://www.tokopedia.com/kimiadanteknik/magnaflux-spotcheck-red-penetrant-skl-sp2-400ml?extParam=ivf%3Dfalse%26keyword%3Dspotcheck+skl-sp2%26search_id%3D202601101301579687864F542F113B6V4M%26src%3Dsearch&amp;t_id=1768050121681&amp;t_st=1&amp;t_pp=search_result&amp;t_efo="&amp;"search_pure_goods_card&amp;t_ef=goods_search&amp;t_sm=&amp;t_spt=search_result")</f>
        <v>https://www.tokopedia.com/kimiadanteknik/magnaflux-spotcheck-red-penetrant-skl-sp2-400ml?extParam=ivf%3Dfalse%26keyword%3Dspotcheck+skl-sp2%26search_id%3D202601101301579687864F542F113B6V4M%26src%3Dsearch&amp;t_id=1768050121681&amp;t_st=1&amp;t_pp=search_result&amp;t_efo=search_pure_goods_card&amp;t_ef=goods_search&amp;t_sm=&amp;t_spt=search_result</v>
      </c>
      <c r="L584" s="3" t="str">
        <f>IFERROR(__xludf.DUMMYFUNCTION("""COMPUTED_VALUE"""),"untuk penyambungan pipa")</f>
        <v>untuk penyambungan pipa</v>
      </c>
      <c r="M584" s="3" t="str">
        <f>IFERROR(__xludf.DUMMYFUNCTION("""COMPUTED_VALUE"""),"Approve")</f>
        <v>Approve</v>
      </c>
      <c r="N584" s="3" t="str">
        <f>IFERROR(__xludf.DUMMYFUNCTION("""COMPUTED_VALUE"""),"Normal")</f>
        <v>Normal</v>
      </c>
      <c r="O584" s="3" t="str">
        <f>IFERROR(__xludf.DUMMYFUNCTION("""COMPUTED_VALUE"""),"Non Urgent")</f>
        <v>Non Urgent</v>
      </c>
    </row>
    <row r="585">
      <c r="A585" s="4">
        <f>IFERROR(__xludf.DUMMYFUNCTION("""COMPUTED_VALUE"""),46033.90791282408)</f>
        <v>46033.90791</v>
      </c>
      <c r="B585" s="3" t="str">
        <f>IFERROR(__xludf.DUMMYFUNCTION("""COMPUTED_VALUE"""),"MRNBR0089")</f>
        <v>MRNBR0089</v>
      </c>
      <c r="C585" s="3" t="str">
        <f>IFERROR(__xludf.DUMMYFUNCTION("""COMPUTED_VALUE"""),"EJO")</f>
        <v>EJO</v>
      </c>
      <c r="D585" s="3" t="str">
        <f>IFERROR(__xludf.DUMMYFUNCTION("""COMPUTED_VALUE"""),"-")</f>
        <v>-</v>
      </c>
      <c r="E585" s="3" t="str">
        <f>IFERROR(__xludf.DUMMYFUNCTION("""COMPUTED_VALUE"""),"POU IPC")</f>
        <v>POU IPC</v>
      </c>
      <c r="F585" s="3" t="str">
        <f>IFERROR(__xludf.DUMMYFUNCTION("""COMPUTED_VALUE"""),"Diaphragm valve")</f>
        <v>Diaphragm valve</v>
      </c>
      <c r="G585" s="3" t="str">
        <f>IFERROR(__xludf.DUMMYFUNCTION("""COMPUTED_VALUE"""),"9612 10M 01TS")</f>
        <v>9612 10M 01TS</v>
      </c>
      <c r="H585" s="3" t="str">
        <f>IFERROR(__xludf.DUMMYFUNCTION("""COMPUTED_VALUE"""),"GEMU")</f>
        <v>GEMU</v>
      </c>
      <c r="I585" s="3">
        <f>IFERROR(__xludf.DUMMYFUNCTION("""COMPUTED_VALUE"""),2.0)</f>
        <v>2</v>
      </c>
      <c r="J585" s="3" t="str">
        <f>IFERROR(__xludf.DUMMYFUNCTION("""COMPUTED_VALUE"""),"pcs")</f>
        <v>pcs</v>
      </c>
      <c r="K585" s="5" t="str">
        <f>IFERROR(__xludf.DUMMYFUNCTION("""COMPUTED_VALUE"""),"https://www.gemu-group.com/en_SE/shop/replacement-actuators-for-diaphragm-valves/gemu-9612-/9612-10m01ts/pid-88079321")</f>
        <v>https://www.gemu-group.com/en_SE/shop/replacement-actuators-for-diaphragm-valves/gemu-9612-/9612-10m01ts/pid-88079321</v>
      </c>
      <c r="L585" s="3" t="str">
        <f>IFERROR(__xludf.DUMMYFUNCTION("""COMPUTED_VALUE"""),"Untuk mengganti stock filling dan spare utility")</f>
        <v>Untuk mengganti stock filling dan spare utility</v>
      </c>
      <c r="M585" s="3" t="str">
        <f>IFERROR(__xludf.DUMMYFUNCTION("""COMPUTED_VALUE"""),"Reject")</f>
        <v>Reject</v>
      </c>
      <c r="N585" s="3" t="str">
        <f>IFERROR(__xludf.DUMMYFUNCTION("""COMPUTED_VALUE"""),"Normal")</f>
        <v>Normal</v>
      </c>
      <c r="O585" s="3" t="str">
        <f>IFERROR(__xludf.DUMMYFUNCTION("""COMPUTED_VALUE"""),"Non Urgent")</f>
        <v>Non Urgent</v>
      </c>
    </row>
    <row r="586">
      <c r="A586" s="4">
        <f>IFERROR(__xludf.DUMMYFUNCTION("""COMPUTED_VALUE"""),46034.490454375)</f>
        <v>46034.49045</v>
      </c>
      <c r="B586" s="3" t="str">
        <f>IFERROR(__xludf.DUMMYFUNCTION("""COMPUTED_VALUE"""),"ANOBR0046")</f>
        <v>ANOBR0046</v>
      </c>
      <c r="C586" s="3" t="str">
        <f>IFERROR(__xludf.DUMMYFUNCTION("""COMPUTED_VALUE"""),"Critical Part")</f>
        <v>Critical Part</v>
      </c>
      <c r="D586" s="3" t="str">
        <f>IFERROR(__xludf.DUMMYFUNCTION("""COMPUTED_VALUE"""),"-")</f>
        <v>-</v>
      </c>
      <c r="E586" s="3" t="str">
        <f>IFERROR(__xludf.DUMMYFUNCTION("""COMPUTED_VALUE"""),"Chiler Blistering")</f>
        <v>Chiler Blistering</v>
      </c>
      <c r="F586" s="3" t="str">
        <f>IFERROR(__xludf.DUMMYFUNCTION("""COMPUTED_VALUE"""),"ferrule 1 set ss304 dia 4""")</f>
        <v>ferrule 1 set ss304 dia 4"</v>
      </c>
      <c r="G586" s="3" t="str">
        <f>IFERROR(__xludf.DUMMYFUNCTION("""COMPUTED_VALUE"""),"ferrule 1 set ss304 dia 4""")</f>
        <v>ferrule 1 set ss304 dia 4"</v>
      </c>
      <c r="H586" s="3" t="str">
        <f>IFERROR(__xludf.DUMMYFUNCTION("""COMPUTED_VALUE"""),"-")</f>
        <v>-</v>
      </c>
      <c r="I586" s="3">
        <f>IFERROR(__xludf.DUMMYFUNCTION("""COMPUTED_VALUE"""),1.0)</f>
        <v>1</v>
      </c>
      <c r="J586" s="3" t="str">
        <f>IFERROR(__xludf.DUMMYFUNCTION("""COMPUTED_VALUE"""),"set")</f>
        <v>set</v>
      </c>
      <c r="K586" s="5" t="str">
        <f>IFERROR(__xludf.DUMMYFUNCTION("""COMPUTED_VALUE"""),"https://drive.google.com/drive/folders/1ouyRHXj-L2SeBSCEdOe913jtrUFx0HrO?usp=drive_link")</f>
        <v>https://drive.google.com/drive/folders/1ouyRHXj-L2SeBSCEdOe913jtrUFx0HrO?usp=drive_link</v>
      </c>
      <c r="L586" s="3" t="str">
        <f>IFERROR(__xludf.DUMMYFUNCTION("""COMPUTED_VALUE"""),"untuk keperluan membuat jalur exhaust di chiler blistering")</f>
        <v>untuk keperluan membuat jalur exhaust di chiler blistering</v>
      </c>
      <c r="M586" s="3" t="str">
        <f>IFERROR(__xludf.DUMMYFUNCTION("""COMPUTED_VALUE"""),"Approve")</f>
        <v>Approve</v>
      </c>
      <c r="N586" s="3" t="str">
        <f>IFERROR(__xludf.DUMMYFUNCTION("""COMPUTED_VALUE"""),"Normal")</f>
        <v>Normal</v>
      </c>
      <c r="O586" s="3" t="str">
        <f>IFERROR(__xludf.DUMMYFUNCTION("""COMPUTED_VALUE"""),"Non Urgent")</f>
        <v>Non Urgent</v>
      </c>
    </row>
    <row r="587">
      <c r="A587" s="4">
        <f>IFERROR(__xludf.DUMMYFUNCTION("""COMPUTED_VALUE"""),46034.81387712963)</f>
        <v>46034.81388</v>
      </c>
      <c r="B587" s="3" t="str">
        <f>IFERROR(__xludf.DUMMYFUNCTION("""COMPUTED_VALUE"""),"ANOBR0047")</f>
        <v>ANOBR0047</v>
      </c>
      <c r="C587" s="3" t="str">
        <f>IFERROR(__xludf.DUMMYFUNCTION("""COMPUTED_VALUE"""),"Critical Part")</f>
        <v>Critical Part</v>
      </c>
      <c r="D587" s="3" t="str">
        <f>IFERROR(__xludf.DUMMYFUNCTION("""COMPUTED_VALUE"""),"-")</f>
        <v>-</v>
      </c>
      <c r="E587" s="3" t="str">
        <f>IFERROR(__xludf.DUMMYFUNCTION("""COMPUTED_VALUE"""),"Chiler Blistering")</f>
        <v>Chiler Blistering</v>
      </c>
      <c r="F587" s="3" t="str">
        <f>IFERROR(__xludf.DUMMYFUNCTION("""COMPUTED_VALUE"""),"rifet nut M10")</f>
        <v>rifet nut M10</v>
      </c>
      <c r="G587" s="3" t="str">
        <f>IFERROR(__xludf.DUMMYFUNCTION("""COMPUTED_VALUE"""),"RIFFET NUT M10")</f>
        <v>RIFFET NUT M10</v>
      </c>
      <c r="H587" s="3" t="str">
        <f>IFERROR(__xludf.DUMMYFUNCTION("""COMPUTED_VALUE"""),"-")</f>
        <v>-</v>
      </c>
      <c r="I587" s="3">
        <f>IFERROR(__xludf.DUMMYFUNCTION("""COMPUTED_VALUE"""),1.0)</f>
        <v>1</v>
      </c>
      <c r="J587" s="3" t="str">
        <f>IFERROR(__xludf.DUMMYFUNCTION("""COMPUTED_VALUE"""),"PACK")</f>
        <v>PACK</v>
      </c>
      <c r="K587" s="5" t="str">
        <f>IFERROR(__xludf.DUMMYFUNCTION("""COMPUTED_VALUE"""),"https://shopee.co.id/product/9018742/42056488537?gads_t_sig=VTJGc2RHVmtYMTlxTFVSVVRrdENkVEg0SDd3VWo1MDQyT052d3EvY1B4YU9kM25CcFplT1VYR2I1bnM1NHlOcnhRbGpETGNXaWZVMUxMdXJ4UFZpbmZETzBtNlZFN2VDMUpnVjFYb0dlWHdDNFc4aDlLUlNFTm95aFJqM3VaUmM&amp;gad_source=1&amp;gad_campai"&amp;"gnid=23295573554&amp;gbraid=0AAAAADPpU83y3aTaX-AnLs2Q9PVezaSFB&amp;gclid=Cj0KCQiA1JLLBhCDARIsAAVfy7jf3rL7fVRSiu_qxNUqsZWMso1XWxuzV7uGXQoVCjavABDLO365wt8aAujDEALw_wcB")</f>
        <v>https://shopee.co.id/product/9018742/42056488537?gads_t_sig=VTJGc2RHVmtYMTlxTFVSVVRrdENkVEg0SDd3VWo1MDQyT052d3EvY1B4YU9kM25CcFplT1VYR2I1bnM1NHlOcnhRbGpETGNXaWZVMUxMdXJ4UFZpbmZETzBtNlZFN2VDMUpnVjFYb0dlWHdDNFc4aDlLUlNFTm95aFJqM3VaUmM&amp;gad_source=1&amp;gad_campaignid=23295573554&amp;gbraid=0AAAAADPpU83y3aTaX-AnLs2Q9PVezaSFB&amp;gclid=Cj0KCQiA1JLLBhCDARIsAAVfy7jf3rL7fVRSiu_qxNUqsZWMso1XWxuzV7uGXQoVCjavABDLO365wt8aAujDEALw_wcB</v>
      </c>
      <c r="L587" s="3" t="str">
        <f>IFERROR(__xludf.DUMMYFUNCTION("""COMPUTED_VALUE"""),"untuk keperluan membuat jalur exhaust di chiler blistering")</f>
        <v>untuk keperluan membuat jalur exhaust di chiler blistering</v>
      </c>
      <c r="M587" s="3" t="str">
        <f>IFERROR(__xludf.DUMMYFUNCTION("""COMPUTED_VALUE"""),"Approve")</f>
        <v>Approve</v>
      </c>
      <c r="N587" s="3" t="str">
        <f>IFERROR(__xludf.DUMMYFUNCTION("""COMPUTED_VALUE"""),"Normal")</f>
        <v>Normal</v>
      </c>
      <c r="O587" s="3" t="str">
        <f>IFERROR(__xludf.DUMMYFUNCTION("""COMPUTED_VALUE"""),"Non Urgent")</f>
        <v>Non Urgent</v>
      </c>
    </row>
    <row r="588">
      <c r="A588" s="4">
        <f>IFERROR(__xludf.DUMMYFUNCTION("""COMPUTED_VALUE"""),46034.8150003588)</f>
        <v>46034.815</v>
      </c>
      <c r="B588" s="3" t="str">
        <f>IFERROR(__xludf.DUMMYFUNCTION("""COMPUTED_VALUE"""),"ANOBR0048")</f>
        <v>ANOBR0048</v>
      </c>
      <c r="C588" s="3" t="str">
        <f>IFERROR(__xludf.DUMMYFUNCTION("""COMPUTED_VALUE"""),"Critical Part")</f>
        <v>Critical Part</v>
      </c>
      <c r="D588" s="3" t="str">
        <f>IFERROR(__xludf.DUMMYFUNCTION("""COMPUTED_VALUE"""),"-")</f>
        <v>-</v>
      </c>
      <c r="E588" s="3" t="str">
        <f>IFERROR(__xludf.DUMMYFUNCTION("""COMPUTED_VALUE"""),"Chiler Blistering")</f>
        <v>Chiler Blistering</v>
      </c>
      <c r="F588" s="3" t="str">
        <f>IFERROR(__xludf.DUMMYFUNCTION("""COMPUTED_VALUE"""),"rifet nut M10")</f>
        <v>rifet nut M10</v>
      </c>
      <c r="G588" s="3" t="str">
        <f>IFERROR(__xludf.DUMMYFUNCTION("""COMPUTED_VALUE"""),"hole saw 115 MM. pipa 4""")</f>
        <v>hole saw 115 MM. pipa 4"</v>
      </c>
      <c r="H588" s="3" t="str">
        <f>IFERROR(__xludf.DUMMYFUNCTION("""COMPUTED_VALUE"""),"-")</f>
        <v>-</v>
      </c>
      <c r="I588" s="3">
        <f>IFERROR(__xludf.DUMMYFUNCTION("""COMPUTED_VALUE"""),1.0)</f>
        <v>1</v>
      </c>
      <c r="J588" s="3" t="str">
        <f>IFERROR(__xludf.DUMMYFUNCTION("""COMPUTED_VALUE"""),"PCS")</f>
        <v>PCS</v>
      </c>
      <c r="K588" s="5" t="str">
        <f>IFERROR(__xludf.DUMMYFUNCTION("""COMPUTED_VALUE"""),"https://shopee.co.id/product/1030439901/24466009946?gads_t_sig=VTJGc2RHVmtYMTlxTFVSVVRrdENkVHQ3ZkZSUTMrR3pBWmZZNzdrcnRBM1YyaTFFK1FnUjRyeXdrZkF3ZmJuOGFmMFFOaEdxbm10MHhONCtjMGZuUVZUeU5wazE4WFI3OVVZbG5xU2FmbS9wYlE1Q0oxL2lDd0cxTmYzZTc2NWdSZ0VINFg3TzE1S0FKZFds"&amp;"WGhEQmRBPT0&amp;gad_source=1&amp;gad_campaignid=23290582497&amp;gbraid=0AAAAADPpU83ax10uNyQZEUxaOrg2eLoHc&amp;gclid=Cj0KCQiA1JLLBhCDARIsAAVfy7j-0ZBxbYZKYdtZDBsr1YIx6WKCUjLqLS1cXqKhDbmUUWwIdVf3F9YaAjJAEALw_wcB")</f>
        <v>https://shopee.co.id/product/1030439901/24466009946?gads_t_sig=VTJGc2RHVmtYMTlxTFVSVVRrdENkVHQ3ZkZSUTMrR3pBWmZZNzdrcnRBM1YyaTFFK1FnUjRyeXdrZkF3ZmJuOGFmMFFOaEdxbm10MHhONCtjMGZuUVZUeU5wazE4WFI3OVVZbG5xU2FmbS9wYlE1Q0oxL2lDd0cxTmYzZTc2NWdSZ0VINFg3TzE1S0FKZFdsWGhEQmRBPT0&amp;gad_source=1&amp;gad_campaignid=23290582497&amp;gbraid=0AAAAADPpU83ax10uNyQZEUxaOrg2eLoHc&amp;gclid=Cj0KCQiA1JLLBhCDARIsAAVfy7j-0ZBxbYZKYdtZDBsr1YIx6WKCUjLqLS1cXqKhDbmUUWwIdVf3F9YaAjJAEALw_wcB</v>
      </c>
      <c r="L588" s="3" t="str">
        <f>IFERROR(__xludf.DUMMYFUNCTION("""COMPUTED_VALUE"""),"untuk keperluan membuat jalur exhaust di chiler blistering")</f>
        <v>untuk keperluan membuat jalur exhaust di chiler blistering</v>
      </c>
      <c r="M588" s="3" t="str">
        <f>IFERROR(__xludf.DUMMYFUNCTION("""COMPUTED_VALUE"""),"Approve")</f>
        <v>Approve</v>
      </c>
      <c r="N588" s="3" t="str">
        <f>IFERROR(__xludf.DUMMYFUNCTION("""COMPUTED_VALUE"""),"Normal")</f>
        <v>Normal</v>
      </c>
      <c r="O588" s="3" t="str">
        <f>IFERROR(__xludf.DUMMYFUNCTION("""COMPUTED_VALUE"""),"Non Urgent")</f>
        <v>Non Urgent</v>
      </c>
    </row>
    <row r="589">
      <c r="A589" s="4">
        <f>IFERROR(__xludf.DUMMYFUNCTION("""COMPUTED_VALUE"""),46035.65791913194)</f>
        <v>46035.65792</v>
      </c>
      <c r="B589" s="3" t="str">
        <f>IFERROR(__xludf.DUMMYFUNCTION("""COMPUTED_VALUE"""),"ROSBR0070")</f>
        <v>ROSBR0070</v>
      </c>
      <c r="C589" s="3" t="str">
        <f>IFERROR(__xludf.DUMMYFUNCTION("""COMPUTED_VALUE"""),"Critical Part")</f>
        <v>Critical Part</v>
      </c>
      <c r="D589" s="3" t="str">
        <f>IFERROR(__xludf.DUMMYFUNCTION("""COMPUTED_VALUE"""),"NA")</f>
        <v>NA</v>
      </c>
      <c r="E589" s="3" t="str">
        <f>IFERROR(__xludf.DUMMYFUNCTION("""COMPUTED_VALUE"""),"Washing ")</f>
        <v>Washing </v>
      </c>
      <c r="F589" s="3" t="str">
        <f>IFERROR(__xludf.DUMMYFUNCTION("""COMPUTED_VALUE"""),"Tubing ")</f>
        <v>Tubing </v>
      </c>
      <c r="G589" s="3" t="str">
        <f>IFERROR(__xludf.DUMMYFUNCTION("""COMPUTED_VALUE"""),"tubing ukuran 4
PUN-H-4X0,75-NT
Sold in packages of 50 M")</f>
        <v>tubing ukuran 4
PUN-H-4X0,75-NT
Sold in packages of 50 M</v>
      </c>
      <c r="H589" s="3" t="str">
        <f>IFERROR(__xludf.DUMMYFUNCTION("""COMPUTED_VALUE"""),"Festo ")</f>
        <v>Festo </v>
      </c>
      <c r="I589" s="3">
        <f>IFERROR(__xludf.DUMMYFUNCTION("""COMPUTED_VALUE"""),100.0)</f>
        <v>100</v>
      </c>
      <c r="J589" s="3" t="str">
        <f>IFERROR(__xludf.DUMMYFUNCTION("""COMPUTED_VALUE"""),"meter")</f>
        <v>meter</v>
      </c>
      <c r="K589" s="5" t="str">
        <f>IFERROR(__xludf.DUMMYFUNCTION("""COMPUTED_VALUE"""),"https://drive.google.com/drive/folders/1WFva2OWKG2hBAFPmJ7tgDIRpESf_EYtL?usp=drive_link")</f>
        <v>https://drive.google.com/drive/folders/1WFva2OWKG2hBAFPmJ7tgDIRpESf_EYtL?usp=drive_link</v>
      </c>
      <c r="L589" s="3" t="str">
        <f>IFERROR(__xludf.DUMMYFUNCTION("""COMPUTED_VALUE"""),"Tolong belikan tubing buat peremajaan mesin washing ")</f>
        <v>Tolong belikan tubing buat peremajaan mesin washing </v>
      </c>
      <c r="M589" s="3" t="str">
        <f>IFERROR(__xludf.DUMMYFUNCTION("""COMPUTED_VALUE"""),"Approve")</f>
        <v>Approve</v>
      </c>
      <c r="N589" s="3" t="str">
        <f>IFERROR(__xludf.DUMMYFUNCTION("""COMPUTED_VALUE"""),"Normal")</f>
        <v>Normal</v>
      </c>
      <c r="O589" s="3" t="str">
        <f>IFERROR(__xludf.DUMMYFUNCTION("""COMPUTED_VALUE"""),"Non Urgent")</f>
        <v>Non Urgent</v>
      </c>
    </row>
    <row r="590">
      <c r="A590" s="4">
        <f>IFERROR(__xludf.DUMMYFUNCTION("""COMPUTED_VALUE"""),46035.65811038194)</f>
        <v>46035.65811</v>
      </c>
      <c r="B590" s="3" t="str">
        <f>IFERROR(__xludf.DUMMYFUNCTION("""COMPUTED_VALUE"""),"ROSBR0071")</f>
        <v>ROSBR0071</v>
      </c>
      <c r="C590" s="3" t="str">
        <f>IFERROR(__xludf.DUMMYFUNCTION("""COMPUTED_VALUE"""),"Critical Part")</f>
        <v>Critical Part</v>
      </c>
      <c r="D590" s="3" t="str">
        <f>IFERROR(__xludf.DUMMYFUNCTION("""COMPUTED_VALUE"""),"NA")</f>
        <v>NA</v>
      </c>
      <c r="E590" s="3" t="str">
        <f>IFERROR(__xludf.DUMMYFUNCTION("""COMPUTED_VALUE"""),"Washing ")</f>
        <v>Washing </v>
      </c>
      <c r="F590" s="3" t="str">
        <f>IFERROR(__xludf.DUMMYFUNCTION("""COMPUTED_VALUE"""),"Tubing ")</f>
        <v>Tubing </v>
      </c>
      <c r="G590" s="3" t="str">
        <f>IFERROR(__xludf.DUMMYFUNCTION("""COMPUTED_VALUE"""),"Tubing ukura 6
PUN-H-6X1-NTn 6 
Sold in packages of 50 M")</f>
        <v>Tubing ukura 6
PUN-H-6X1-NTn 6 
Sold in packages of 50 M</v>
      </c>
      <c r="H590" s="3" t="str">
        <f>IFERROR(__xludf.DUMMYFUNCTION("""COMPUTED_VALUE"""),"festo")</f>
        <v>festo</v>
      </c>
      <c r="I590" s="3">
        <f>IFERROR(__xludf.DUMMYFUNCTION("""COMPUTED_VALUE"""),100.0)</f>
        <v>100</v>
      </c>
      <c r="J590" s="3" t="str">
        <f>IFERROR(__xludf.DUMMYFUNCTION("""COMPUTED_VALUE"""),"meter")</f>
        <v>meter</v>
      </c>
      <c r="K590" s="5" t="str">
        <f>IFERROR(__xludf.DUMMYFUNCTION("""COMPUTED_VALUE"""),"https://drive.google.com/drive/folders/1WFva2OWKG2hBAFPmJ7tgDIRpESf_EYtL?usp=drive_link")</f>
        <v>https://drive.google.com/drive/folders/1WFva2OWKG2hBAFPmJ7tgDIRpESf_EYtL?usp=drive_link</v>
      </c>
      <c r="L590" s="3" t="str">
        <f>IFERROR(__xludf.DUMMYFUNCTION("""COMPUTED_VALUE"""),"Tolong belikan tubing buat peremajaan mesin washing ")</f>
        <v>Tolong belikan tubing buat peremajaan mesin washing </v>
      </c>
      <c r="M590" s="3" t="str">
        <f>IFERROR(__xludf.DUMMYFUNCTION("""COMPUTED_VALUE"""),"Approve")</f>
        <v>Approve</v>
      </c>
      <c r="N590" s="3" t="str">
        <f>IFERROR(__xludf.DUMMYFUNCTION("""COMPUTED_VALUE"""),"Normal")</f>
        <v>Normal</v>
      </c>
      <c r="O590" s="3" t="str">
        <f>IFERROR(__xludf.DUMMYFUNCTION("""COMPUTED_VALUE"""),"Non Urgent")</f>
        <v>Non Urgent</v>
      </c>
    </row>
    <row r="591">
      <c r="A591" s="4">
        <f>IFERROR(__xludf.DUMMYFUNCTION("""COMPUTED_VALUE"""),46035.65954763888)</f>
        <v>46035.65955</v>
      </c>
      <c r="B591" s="3" t="str">
        <f>IFERROR(__xludf.DUMMYFUNCTION("""COMPUTED_VALUE"""),"ROSBR0072")</f>
        <v>ROSBR0072</v>
      </c>
      <c r="C591" s="3" t="str">
        <f>IFERROR(__xludf.DUMMYFUNCTION("""COMPUTED_VALUE"""),"Critical Part")</f>
        <v>Critical Part</v>
      </c>
      <c r="D591" s="3" t="str">
        <f>IFERROR(__xludf.DUMMYFUNCTION("""COMPUTED_VALUE"""),"NA")</f>
        <v>NA</v>
      </c>
      <c r="E591" s="3" t="str">
        <f>IFERROR(__xludf.DUMMYFUNCTION("""COMPUTED_VALUE"""),"Washing ")</f>
        <v>Washing </v>
      </c>
      <c r="F591" s="3" t="str">
        <f>IFERROR(__xludf.DUMMYFUNCTION("""COMPUTED_VALUE"""),"Tubing ")</f>
        <v>Tubing </v>
      </c>
      <c r="G591" s="3" t="str">
        <f>IFERROR(__xludf.DUMMYFUNCTION("""COMPUTED_VALUE"""),"tubing ukuran 8 
PUN-H-8X1,25-NT
Sold in packages of 50 M")</f>
        <v>tubing ukuran 8 
PUN-H-8X1,25-NT
Sold in packages of 50 M</v>
      </c>
      <c r="H591" s="3" t="str">
        <f>IFERROR(__xludf.DUMMYFUNCTION("""COMPUTED_VALUE"""),"festo")</f>
        <v>festo</v>
      </c>
      <c r="I591" s="3">
        <f>IFERROR(__xludf.DUMMYFUNCTION("""COMPUTED_VALUE"""),100.0)</f>
        <v>100</v>
      </c>
      <c r="J591" s="3" t="str">
        <f>IFERROR(__xludf.DUMMYFUNCTION("""COMPUTED_VALUE"""),"meter")</f>
        <v>meter</v>
      </c>
      <c r="K591" s="5" t="str">
        <f>IFERROR(__xludf.DUMMYFUNCTION("""COMPUTED_VALUE"""),"https://drive.google.com/drive/folders/1WFva2OWKG2hBAFPmJ7tgDIRpESf_EYtL?usp=drive_link")</f>
        <v>https://drive.google.com/drive/folders/1WFva2OWKG2hBAFPmJ7tgDIRpESf_EYtL?usp=drive_link</v>
      </c>
      <c r="L591" s="3" t="str">
        <f>IFERROR(__xludf.DUMMYFUNCTION("""COMPUTED_VALUE"""),"Tolong belikan tubing buat peremajaan mesin washing ")</f>
        <v>Tolong belikan tubing buat peremajaan mesin washing </v>
      </c>
      <c r="M591" s="3" t="str">
        <f>IFERROR(__xludf.DUMMYFUNCTION("""COMPUTED_VALUE"""),"Approve")</f>
        <v>Approve</v>
      </c>
      <c r="N591" s="3" t="str">
        <f>IFERROR(__xludf.DUMMYFUNCTION("""COMPUTED_VALUE"""),"Normal")</f>
        <v>Normal</v>
      </c>
      <c r="O591" s="3" t="str">
        <f>IFERROR(__xludf.DUMMYFUNCTION("""COMPUTED_VALUE"""),"Non Urgent")</f>
        <v>Non Urgent</v>
      </c>
    </row>
    <row r="592">
      <c r="A592" s="4">
        <f>IFERROR(__xludf.DUMMYFUNCTION("""COMPUTED_VALUE"""),46035.70744361111)</f>
        <v>46035.70744</v>
      </c>
      <c r="B592" s="3" t="str">
        <f>IFERROR(__xludf.DUMMYFUNCTION("""COMPUTED_VALUE"""),"MOBBR0052")</f>
        <v>MOBBR0052</v>
      </c>
      <c r="C592" s="3" t="str">
        <f>IFERROR(__xludf.DUMMYFUNCTION("""COMPUTED_VALUE"""),"EJO")</f>
        <v>EJO</v>
      </c>
      <c r="D592" s="3" t="str">
        <f>IFERROR(__xludf.DUMMYFUNCTION("""COMPUTED_VALUE"""),"Menyusul")</f>
        <v>Menyusul</v>
      </c>
      <c r="E592" s="3" t="str">
        <f>IFERROR(__xludf.DUMMYFUNCTION("""COMPUTED_VALUE"""),"Hot water")</f>
        <v>Hot water</v>
      </c>
      <c r="F592" s="3" t="str">
        <f>IFERROR(__xludf.DUMMYFUNCTION("""COMPUTED_VALUE"""),"PRV")</f>
        <v>PRV</v>
      </c>
      <c r="G592" s="3" t="str">
        <f>IFERROR(__xludf.DUMMYFUNCTION("""COMPUTED_VALUE"""),"25P PN16 DN50")</f>
        <v>25P PN16 DN50</v>
      </c>
      <c r="H592" s="3" t="str">
        <f>IFERROR(__xludf.DUMMYFUNCTION("""COMPUTED_VALUE"""),"Spirax Sarco")</f>
        <v>Spirax Sarco</v>
      </c>
      <c r="I592" s="3">
        <f>IFERROR(__xludf.DUMMYFUNCTION("""COMPUTED_VALUE"""),1.0)</f>
        <v>1</v>
      </c>
      <c r="J592" s="3" t="str">
        <f>IFERROR(__xludf.DUMMYFUNCTION("""COMPUTED_VALUE"""),"Pcs")</f>
        <v>Pcs</v>
      </c>
      <c r="K592" s="5" t="str">
        <f>IFERROR(__xludf.DUMMYFUNCTION("""COMPUTED_VALUE"""),"https://www.tokopedia.com/cemerlangintijaya/pressure-reducing-valve-spirax-sarco-25p-pn16-dn50-prv-spirax-sarco-25p-2-inch?utm_source=google&amp;utm_medium=organic&amp;utm_campaign=pdp")</f>
        <v>https://www.tokopedia.com/cemerlangintijaya/pressure-reducing-valve-spirax-sarco-25p-pn16-dn50-prv-spirax-sarco-25p-2-inch?utm_source=google&amp;utm_medium=organic&amp;utm_campaign=pdp</v>
      </c>
      <c r="L592" s="3" t="str">
        <f>IFERROR(__xludf.DUMMYFUNCTION("""COMPUTED_VALUE"""),"Penggantian PRV PHE Hot water")</f>
        <v>Penggantian PRV PHE Hot water</v>
      </c>
      <c r="M592" s="3" t="str">
        <f>IFERROR(__xludf.DUMMYFUNCTION("""COMPUTED_VALUE"""),"Approve")</f>
        <v>Approve</v>
      </c>
      <c r="N592" s="3" t="str">
        <f>IFERROR(__xludf.DUMMYFUNCTION("""COMPUTED_VALUE"""),"Normal")</f>
        <v>Normal</v>
      </c>
      <c r="O592" s="3" t="str">
        <f>IFERROR(__xludf.DUMMYFUNCTION("""COMPUTED_VALUE"""),"Non Urgent")</f>
        <v>Non Urgent</v>
      </c>
    </row>
    <row r="593">
      <c r="A593" s="4">
        <f>IFERROR(__xludf.DUMMYFUNCTION("""COMPUTED_VALUE"""),46035.70894765046)</f>
        <v>46035.70895</v>
      </c>
      <c r="B593" s="3" t="str">
        <f>IFERROR(__xludf.DUMMYFUNCTION("""COMPUTED_VALUE"""),"MOBBR0053")</f>
        <v>MOBBR0053</v>
      </c>
      <c r="C593" s="3" t="str">
        <f>IFERROR(__xludf.DUMMYFUNCTION("""COMPUTED_VALUE"""),"EJO")</f>
        <v>EJO</v>
      </c>
      <c r="D593" s="3" t="str">
        <f>IFERROR(__xludf.DUMMYFUNCTION("""COMPUTED_VALUE"""),"Menyusul")</f>
        <v>Menyusul</v>
      </c>
      <c r="E593" s="3" t="str">
        <f>IFERROR(__xludf.DUMMYFUNCTION("""COMPUTED_VALUE"""),"Gas QC")</f>
        <v>Gas QC</v>
      </c>
      <c r="F593" s="3" t="str">
        <f>IFERROR(__xludf.DUMMYFUNCTION("""COMPUTED_VALUE"""),"Valve")</f>
        <v>Valve</v>
      </c>
      <c r="G593" s="3" t="str">
        <f>IFERROR(__xludf.DUMMYFUNCTION("""COMPUTED_VALUE"""),"NEW SWAGELOK SS-18RS12 NEEDLE VALVE SS18RS12")</f>
        <v>NEW SWAGELOK SS-18RS12 NEEDLE VALVE SS18RS12</v>
      </c>
      <c r="H593" s="3" t="str">
        <f>IFERROR(__xludf.DUMMYFUNCTION("""COMPUTED_VALUE"""),"SWAGELOK")</f>
        <v>SWAGELOK</v>
      </c>
      <c r="I593" s="3">
        <f>IFERROR(__xludf.DUMMYFUNCTION("""COMPUTED_VALUE"""),1.0)</f>
        <v>1</v>
      </c>
      <c r="J593" s="3" t="str">
        <f>IFERROR(__xludf.DUMMYFUNCTION("""COMPUTED_VALUE"""),"Pcs")</f>
        <v>Pcs</v>
      </c>
      <c r="K593" s="5" t="str">
        <f>IFERROR(__xludf.DUMMYFUNCTION("""COMPUTED_VALUE"""),"https://sbindustrialsupply.com/shop/new-swagelok-ss-18rs12-needle-valve-ss18rs12/?srsltid=AfmBOopSSiFirw9ebXl0Mk-8TsctcCYILCsDQKlydstY0am-VOxTbObl")</f>
        <v>https://sbindustrialsupply.com/shop/new-swagelok-ss-18rs12-needle-valve-ss18rs12/?srsltid=AfmBOopSSiFirw9ebXl0Mk-8TsctcCYILCsDQKlydstY0am-VOxTbObl</v>
      </c>
      <c r="L593" s="3" t="str">
        <f>IFERROR(__xludf.DUMMYFUNCTION("""COMPUTED_VALUE"""),"Penggantian Jalur Gas He yang Bocor")</f>
        <v>Penggantian Jalur Gas He yang Bocor</v>
      </c>
      <c r="M593" s="3" t="str">
        <f>IFERROR(__xludf.DUMMYFUNCTION("""COMPUTED_VALUE"""),"Approve")</f>
        <v>Approve</v>
      </c>
      <c r="N593" s="3" t="str">
        <f>IFERROR(__xludf.DUMMYFUNCTION("""COMPUTED_VALUE"""),"Normal")</f>
        <v>Normal</v>
      </c>
      <c r="O593" s="3" t="str">
        <f>IFERROR(__xludf.DUMMYFUNCTION("""COMPUTED_VALUE"""),"Non Urgent")</f>
        <v>Non Urgent</v>
      </c>
    </row>
    <row r="594">
      <c r="A594" s="4">
        <f>IFERROR(__xludf.DUMMYFUNCTION("""COMPUTED_VALUE"""),46036.4085400463)</f>
        <v>46036.40854</v>
      </c>
      <c r="B594" s="3" t="str">
        <f>IFERROR(__xludf.DUMMYFUNCTION("""COMPUTED_VALUE"""),"RIABR0134")</f>
        <v>RIABR0134</v>
      </c>
      <c r="C594" s="3" t="str">
        <f>IFERROR(__xludf.DUMMYFUNCTION("""COMPUTED_VALUE"""),"EJO")</f>
        <v>EJO</v>
      </c>
      <c r="D594" s="3" t="str">
        <f>IFERROR(__xludf.DUMMYFUNCTION("""COMPUTED_VALUE"""),"EJO/2026/01/78")</f>
        <v>EJO/2026/01/78</v>
      </c>
      <c r="E594" s="3" t="str">
        <f>IFERROR(__xludf.DUMMYFUNCTION("""COMPUTED_VALUE"""),"N2 Generator")</f>
        <v>N2 Generator</v>
      </c>
      <c r="F594" s="3" t="str">
        <f>IFERROR(__xludf.DUMMYFUNCTION("""COMPUTED_VALUE"""),"Sensor Flow")</f>
        <v>Sensor Flow</v>
      </c>
      <c r="G594" s="3" t="str">
        <f>IFERROR(__xludf.DUMMYFUNCTION("""COMPUTED_VALUE"""),"Socket Sensor Flow 5 Lubang")</f>
        <v>Socket Sensor Flow 5 Lubang</v>
      </c>
      <c r="H594" s="3" t="str">
        <f>IFERROR(__xludf.DUMMYFUNCTION("""COMPUTED_VALUE"""),"Na")</f>
        <v>Na</v>
      </c>
      <c r="I594" s="3">
        <f>IFERROR(__xludf.DUMMYFUNCTION("""COMPUTED_VALUE"""),2.0)</f>
        <v>2</v>
      </c>
      <c r="J594" s="3" t="str">
        <f>IFERROR(__xludf.DUMMYFUNCTION("""COMPUTED_VALUE"""),"Pcs")</f>
        <v>Pcs</v>
      </c>
      <c r="K594" s="3" t="str">
        <f>IFERROR(__xludf.DUMMYFUNCTION("""COMPUTED_VALUE"""),"Socket Sensor Flow N2")</f>
        <v>Socket Sensor Flow N2</v>
      </c>
      <c r="L594" s="3" t="str">
        <f>IFERROR(__xludf.DUMMYFUNCTION("""COMPUTED_VALUE"""),"Tolong carikan ya dhil ini aku cari tokped shopee tidak ada yang sama persis, di dalam folder itu sudah lengkap dengan ukurannya, bila ada yang perlu ditanyakan info aja ya")</f>
        <v>Tolong carikan ya dhil ini aku cari tokped shopee tidak ada yang sama persis, di dalam folder itu sudah lengkap dengan ukurannya, bila ada yang perlu ditanyakan info aja ya</v>
      </c>
      <c r="M594" s="3" t="str">
        <f>IFERROR(__xludf.DUMMYFUNCTION("""COMPUTED_VALUE"""),"Approve")</f>
        <v>Approve</v>
      </c>
      <c r="N594" s="3" t="str">
        <f>IFERROR(__xludf.DUMMYFUNCTION("""COMPUTED_VALUE"""),"Normal")</f>
        <v>Normal</v>
      </c>
      <c r="O594" s="3" t="str">
        <f>IFERROR(__xludf.DUMMYFUNCTION("""COMPUTED_VALUE"""),"Non Urgent")</f>
        <v>Non Urgent</v>
      </c>
    </row>
    <row r="595">
      <c r="A595" s="4">
        <f>IFERROR(__xludf.DUMMYFUNCTION("""COMPUTED_VALUE"""),46036.413528125)</f>
        <v>46036.41353</v>
      </c>
      <c r="B595" s="3" t="str">
        <f>IFERROR(__xludf.DUMMYFUNCTION("""COMPUTED_VALUE"""),"RIABR0135")</f>
        <v>RIABR0135</v>
      </c>
      <c r="C595" s="3" t="str">
        <f>IFERROR(__xludf.DUMMYFUNCTION("""COMPUTED_VALUE"""),"Consumable")</f>
        <v>Consumable</v>
      </c>
      <c r="D595" s="3" t="str">
        <f>IFERROR(__xludf.DUMMYFUNCTION("""COMPUTED_VALUE"""),"-")</f>
        <v>-</v>
      </c>
      <c r="E595" s="3" t="str">
        <f>IFERROR(__xludf.DUMMYFUNCTION("""COMPUTED_VALUE"""),"All Area")</f>
        <v>All Area</v>
      </c>
      <c r="F595" s="3" t="str">
        <f>IFERROR(__xludf.DUMMYFUNCTION("""COMPUTED_VALUE"""),"Blower")</f>
        <v>Blower</v>
      </c>
      <c r="G595" s="3" t="str">
        <f>IFERROR(__xludf.DUMMYFUNCTION("""COMPUTED_VALUE"""),"Blower portable")</f>
        <v>Blower portable</v>
      </c>
      <c r="H595" s="3" t="str">
        <f>IFERROR(__xludf.DUMMYFUNCTION("""COMPUTED_VALUE"""),"Bosch")</f>
        <v>Bosch</v>
      </c>
      <c r="I595" s="3">
        <f>IFERROR(__xludf.DUMMYFUNCTION("""COMPUTED_VALUE"""),1.0)</f>
        <v>1</v>
      </c>
      <c r="J595" s="3" t="str">
        <f>IFERROR(__xludf.DUMMYFUNCTION("""COMPUTED_VALUE"""),"Set")</f>
        <v>Set</v>
      </c>
      <c r="K595" s="5" t="str">
        <f>IFERROR(__xludf.DUMMYFUNCTION("""COMPUTED_VALUE"""),"https://www.tokopedia.com/bosch-tools-authorized-snt/bosch-mesin-blower-tangan-cordless-gbl-18v-750-hand-blower-18-v-gbl18v-unit-only-1731137586110039528?extParam=ivf%3Dfalse%26keyword%3Dblower+portable+bosch%26search_id%3D202511110233215B8ADD2A5D98B1224A"&amp;"LM%26src%3Dsearch&amp;t_id=1762828426571&amp;t_st=1&amp;t_pp=search_result&amp;t_efo=search_pure_goods_card&amp;t_ef=goods_search&amp;t_sm=&amp;t_spt=search_result")</f>
        <v>https://www.tokopedia.com/bosch-tools-authorized-snt/bosch-mesin-blower-tangan-cordless-gbl-18v-750-hand-blower-18-v-gbl18v-unit-only-1731137586110039528?extParam=ivf%3Dfalse%26keyword%3Dblower+portable+bosch%26search_id%3D202511110233215B8ADD2A5D98B1224ALM%26src%3Dsearch&amp;t_id=1762828426571&amp;t_st=1&amp;t_pp=search_result&amp;t_efo=search_pure_goods_card&amp;t_ef=goods_search&amp;t_sm=&amp;t_spt=search_result</v>
      </c>
      <c r="L595" s="3" t="str">
        <f>IFERROR(__xludf.DUMMYFUNCTION("""COMPUTED_VALUE"""),"Untuk cleaning panel, cleaning AC, dll untuk cleaning yg tidak bisa menggunakan air")</f>
        <v>Untuk cleaning panel, cleaning AC, dll untuk cleaning yg tidak bisa menggunakan air</v>
      </c>
      <c r="M595" s="3" t="str">
        <f>IFERROR(__xludf.DUMMYFUNCTION("""COMPUTED_VALUE"""),"Approve")</f>
        <v>Approve</v>
      </c>
      <c r="N595" s="3" t="str">
        <f>IFERROR(__xludf.DUMMYFUNCTION("""COMPUTED_VALUE"""),"Normal")</f>
        <v>Normal</v>
      </c>
      <c r="O595" s="3" t="str">
        <f>IFERROR(__xludf.DUMMYFUNCTION("""COMPUTED_VALUE"""),"Non Urgent")</f>
        <v>Non Urgent</v>
      </c>
    </row>
    <row r="596">
      <c r="A596" s="4">
        <f>IFERROR(__xludf.DUMMYFUNCTION("""COMPUTED_VALUE"""),46040.00858920139)</f>
        <v>46040.00859</v>
      </c>
      <c r="B596" s="3" t="str">
        <f>IFERROR(__xludf.DUMMYFUNCTION("""COMPUTED_VALUE"""),"ROSBR0073")</f>
        <v>ROSBR0073</v>
      </c>
      <c r="C596" s="3" t="str">
        <f>IFERROR(__xludf.DUMMYFUNCTION("""COMPUTED_VALUE"""),"EJO")</f>
        <v>EJO</v>
      </c>
      <c r="D596" s="3" t="str">
        <f>IFERROR(__xludf.DUMMYFUNCTION("""COMPUTED_VALUE"""),"EJO/2026/01/71")</f>
        <v>EJO/2026/01/71</v>
      </c>
      <c r="E596" s="3" t="str">
        <f>IFERROR(__xludf.DUMMYFUNCTION("""COMPUTED_VALUE"""),"Filling")</f>
        <v>Filling</v>
      </c>
      <c r="F596" s="3" t="str">
        <f>IFERROR(__xludf.DUMMYFUNCTION("""COMPUTED_VALUE"""),"Gasket ferrule ")</f>
        <v>Gasket ferrule </v>
      </c>
      <c r="G596" s="3" t="str">
        <f>IFERROR(__xludf.DUMMYFUNCTION("""COMPUTED_VALUE"""),"gasket feruule 
3/4 inch
material silicone
warna putih ")</f>
        <v>gasket feruule 
3/4 inch
material silicone
warna putih </v>
      </c>
      <c r="H596" s="3" t="str">
        <f>IFERROR(__xludf.DUMMYFUNCTION("""COMPUTED_VALUE"""),"universal ")</f>
        <v>universal </v>
      </c>
      <c r="I596" s="3">
        <f>IFERROR(__xludf.DUMMYFUNCTION("""COMPUTED_VALUE"""),25.0)</f>
        <v>25</v>
      </c>
      <c r="J596" s="3" t="str">
        <f>IFERROR(__xludf.DUMMYFUNCTION("""COMPUTED_VALUE"""),"pcs")</f>
        <v>pcs</v>
      </c>
      <c r="K596" s="3" t="str">
        <f>IFERROR(__xludf.DUMMYFUNCTION("""COMPUTED_VALUE"""),"-")</f>
        <v>-</v>
      </c>
      <c r="L596" s="3" t="str">
        <f>IFERROR(__xludf.DUMMYFUNCTION("""COMPUTED_VALUE"""),"tolong belikan gasket ferrule buat filling yang material silikone yang berwarna putih ")</f>
        <v>tolong belikan gasket ferrule buat filling yang material silikone yang berwarna putih </v>
      </c>
      <c r="M596" s="3" t="str">
        <f>IFERROR(__xludf.DUMMYFUNCTION("""COMPUTED_VALUE"""),"Approve")</f>
        <v>Approve</v>
      </c>
      <c r="N596" s="3" t="str">
        <f>IFERROR(__xludf.DUMMYFUNCTION("""COMPUTED_VALUE"""),"Normal")</f>
        <v>Normal</v>
      </c>
      <c r="O596" s="3" t="str">
        <f>IFERROR(__xludf.DUMMYFUNCTION("""COMPUTED_VALUE"""),"Non Urgent")</f>
        <v>Non Urgent</v>
      </c>
    </row>
    <row r="597">
      <c r="A597" s="4">
        <f>IFERROR(__xludf.DUMMYFUNCTION("""COMPUTED_VALUE"""),46040.02310868056)</f>
        <v>46040.02311</v>
      </c>
      <c r="B597" s="3" t="str">
        <f>IFERROR(__xludf.DUMMYFUNCTION("""COMPUTED_VALUE"""),"ROSBR0074")</f>
        <v>ROSBR0074</v>
      </c>
      <c r="C597" s="3" t="str">
        <f>IFERROR(__xludf.DUMMYFUNCTION("""COMPUTED_VALUE"""),"Critical Part")</f>
        <v>Critical Part</v>
      </c>
      <c r="D597" s="3" t="str">
        <f>IFERROR(__xludf.DUMMYFUNCTION("""COMPUTED_VALUE"""),"NA")</f>
        <v>NA</v>
      </c>
      <c r="E597" s="3" t="str">
        <f>IFERROR(__xludf.DUMMYFUNCTION("""COMPUTED_VALUE"""),"capping")</f>
        <v>capping</v>
      </c>
      <c r="F597" s="3" t="str">
        <f>IFERROR(__xludf.DUMMYFUNCTION("""COMPUTED_VALUE"""),"Oring capping zometa")</f>
        <v>Oring capping zometa</v>
      </c>
      <c r="G597" s="3" t="str">
        <f>IFERROR(__xludf.DUMMYFUNCTION("""COMPUTED_VALUE"""),"oring capping Zometa 
ID: 31.71mm
tebal: 2.5mm
material: silicone merah")</f>
        <v>oring capping Zometa 
ID: 31.71mm
tebal: 2.5mm
material: silicone merah</v>
      </c>
      <c r="H597" s="3" t="str">
        <f>IFERROR(__xludf.DUMMYFUNCTION("""COMPUTED_VALUE"""),"universal ")</f>
        <v>universal </v>
      </c>
      <c r="I597" s="3">
        <f>IFERROR(__xludf.DUMMYFUNCTION("""COMPUTED_VALUE"""),25.0)</f>
        <v>25</v>
      </c>
      <c r="J597" s="3" t="str">
        <f>IFERROR(__xludf.DUMMYFUNCTION("""COMPUTED_VALUE"""),"pcs")</f>
        <v>pcs</v>
      </c>
      <c r="K597" s="3" t="str">
        <f>IFERROR(__xludf.DUMMYFUNCTION("""COMPUTED_VALUE"""),"-")</f>
        <v>-</v>
      </c>
      <c r="L597" s="3" t="str">
        <f>IFERROR(__xludf.DUMMYFUNCTION("""COMPUTED_VALUE"""),"-")</f>
        <v>-</v>
      </c>
      <c r="M597" s="3" t="str">
        <f>IFERROR(__xludf.DUMMYFUNCTION("""COMPUTED_VALUE"""),"Approve")</f>
        <v>Approve</v>
      </c>
      <c r="N597" s="3" t="str">
        <f>IFERROR(__xludf.DUMMYFUNCTION("""COMPUTED_VALUE"""),"Normal")</f>
        <v>Normal</v>
      </c>
      <c r="O597" s="3" t="str">
        <f>IFERROR(__xludf.DUMMYFUNCTION("""COMPUTED_VALUE"""),"Non Urgent")</f>
        <v>Non Urgent</v>
      </c>
    </row>
    <row r="598">
      <c r="A598" s="4">
        <f>IFERROR(__xludf.DUMMYFUNCTION("""COMPUTED_VALUE"""),46041.40846489583)</f>
        <v>46041.40846</v>
      </c>
      <c r="B598" s="3" t="str">
        <f>IFERROR(__xludf.DUMMYFUNCTION("""COMPUTED_VALUE"""),"MRNBR0096")</f>
        <v>MRNBR0096</v>
      </c>
      <c r="C598" s="3" t="str">
        <f>IFERROR(__xludf.DUMMYFUNCTION("""COMPUTED_VALUE"""),"EJO")</f>
        <v>EJO</v>
      </c>
      <c r="D598" s="3" t="str">
        <f>IFERROR(__xludf.DUMMYFUNCTION("""COMPUTED_VALUE"""),"EJO/2025/09/129")</f>
        <v>EJO/2025/09/129</v>
      </c>
      <c r="E598" s="3" t="str">
        <f>IFERROR(__xludf.DUMMYFUNCTION("""COMPUTED_VALUE"""),"POU IPC")</f>
        <v>POU IPC</v>
      </c>
      <c r="F598" s="3" t="str">
        <f>IFERROR(__xludf.DUMMYFUNCTION("""COMPUTED_VALUE"""),"Diaphragm valve")</f>
        <v>Diaphragm valve</v>
      </c>
      <c r="G598" s="3" t="str">
        <f>IFERROR(__xludf.DUMMYFUNCTION("""COMPUTED_VALUE"""),"9612 10M 01TS")</f>
        <v>9612 10M 01TS</v>
      </c>
      <c r="H598" s="3" t="str">
        <f>IFERROR(__xludf.DUMMYFUNCTION("""COMPUTED_VALUE"""),"GEMU")</f>
        <v>GEMU</v>
      </c>
      <c r="I598" s="3">
        <f>IFERROR(__xludf.DUMMYFUNCTION("""COMPUTED_VALUE"""),2.0)</f>
        <v>2</v>
      </c>
      <c r="J598" s="3" t="str">
        <f>IFERROR(__xludf.DUMMYFUNCTION("""COMPUTED_VALUE"""),"pcs")</f>
        <v>pcs</v>
      </c>
      <c r="K598" s="5" t="str">
        <f>IFERROR(__xludf.DUMMYFUNCTION("""COMPUTED_VALUE"""),"https://www.gemu-group.com/en_SE/shop/replacement-actuators-for-diaphragm-valves/gemu-9612-/9612-10m01ts/pid-88079321")</f>
        <v>https://www.gemu-group.com/en_SE/shop/replacement-actuators-for-diaphragm-valves/gemu-9612-/9612-10m01ts/pid-88079321</v>
      </c>
      <c r="L598" s="3" t="str">
        <f>IFERROR(__xludf.DUMMYFUNCTION("""COMPUTED_VALUE"""),"Untuk mengganti stock filling dan spare utility")</f>
        <v>Untuk mengganti stock filling dan spare utility</v>
      </c>
      <c r="M598" s="3" t="str">
        <f>IFERROR(__xludf.DUMMYFUNCTION("""COMPUTED_VALUE"""),"Approve")</f>
        <v>Approve</v>
      </c>
      <c r="N598" s="3" t="str">
        <f>IFERROR(__xludf.DUMMYFUNCTION("""COMPUTED_VALUE"""),"Normal")</f>
        <v>Normal</v>
      </c>
      <c r="O598" s="3" t="str">
        <f>IFERROR(__xludf.DUMMYFUNCTION("""COMPUTED_VALUE"""),"Non Urgent")</f>
        <v>Non Urgent</v>
      </c>
    </row>
    <row r="599">
      <c r="A599" s="4">
        <f>IFERROR(__xludf.DUMMYFUNCTION("""COMPUTED_VALUE"""),46041.41471111111)</f>
        <v>46041.41471</v>
      </c>
      <c r="B599" s="3" t="str">
        <f>IFERROR(__xludf.DUMMYFUNCTION("""COMPUTED_VALUE"""),"MRNBR0097")</f>
        <v>MRNBR0097</v>
      </c>
      <c r="C599" s="3" t="str">
        <f>IFERROR(__xludf.DUMMYFUNCTION("""COMPUTED_VALUE"""),"EJO")</f>
        <v>EJO</v>
      </c>
      <c r="D599" s="3" t="str">
        <f>IFERROR(__xludf.DUMMYFUNCTION("""COMPUTED_VALUE"""),"EJO/2025/11/139")</f>
        <v>EJO/2025/11/139</v>
      </c>
      <c r="E599" s="3" t="str">
        <f>IFERROR(__xludf.DUMMYFUNCTION("""COMPUTED_VALUE"""),"Toilet")</f>
        <v>Toilet</v>
      </c>
      <c r="F599" s="3" t="str">
        <f>IFERROR(__xludf.DUMMYFUNCTION("""COMPUTED_VALUE"""),"Drain cleaner")</f>
        <v>Drain cleaner</v>
      </c>
      <c r="G599" s="3" t="str">
        <f>IFERROR(__xludf.DUMMYFUNCTION("""COMPUTED_VALUE"""),"Mesin saluran pipa air mampet electric drain cleaner GQ 75 - Paket 30 Meter")</f>
        <v>Mesin saluran pipa air mampet electric drain cleaner GQ 75 - Paket 30 Meter</v>
      </c>
      <c r="H599" s="3" t="str">
        <f>IFERROR(__xludf.DUMMYFUNCTION("""COMPUTED_VALUE"""),"krisbow")</f>
        <v>krisbow</v>
      </c>
      <c r="I599" s="3">
        <f>IFERROR(__xludf.DUMMYFUNCTION("""COMPUTED_VALUE"""),1.0)</f>
        <v>1</v>
      </c>
      <c r="J599" s="3" t="str">
        <f>IFERROR(__xludf.DUMMYFUNCTION("""COMPUTED_VALUE"""),"unit")</f>
        <v>unit</v>
      </c>
      <c r="K599" s="5" t="str">
        <f>IFERROR(__xludf.DUMMYFUNCTION("""COMPUTED_VALUE"""),"https://www.tokopedia.com/sumberpompateknik/mesin-saluran-pipa-air-mampet-electric-drain-cleaner-gq-75-1731874439253165951?extParam=ivf%3Dfalse%26keyword%3Ddrain+cleaner%26search_id%3D20260119024343EF0D3930A7B6C905837W%26src%3Dsearch&amp;t_id=1768790653941&amp;t_"&amp;"st=5&amp;t_pp=search_result&amp;t_efo=search_pure_goods_card&amp;t_ef=goods_search&amp;t_sm=&amp;t_spt=search_result")</f>
        <v>https://www.tokopedia.com/sumberpompateknik/mesin-saluran-pipa-air-mampet-electric-drain-cleaner-gq-75-1731874439253165951?extParam=ivf%3Dfalse%26keyword%3Ddrain+cleaner%26search_id%3D20260119024343EF0D3930A7B6C905837W%26src%3Dsearch&amp;t_id=1768790653941&amp;t_st=5&amp;t_pp=search_result&amp;t_efo=search_pure_goods_card&amp;t_ef=goods_search&amp;t_sm=&amp;t_spt=search_result</v>
      </c>
      <c r="L599" s="3" t="str">
        <f>IFERROR(__xludf.DUMMYFUNCTION("""COMPUTED_VALUE"""),"Untuk toilet mampet di produksi")</f>
        <v>Untuk toilet mampet di produksi</v>
      </c>
      <c r="M599" s="3" t="str">
        <f>IFERROR(__xludf.DUMMYFUNCTION("""COMPUTED_VALUE"""),"Approve")</f>
        <v>Approve</v>
      </c>
      <c r="N599" s="3" t="str">
        <f>IFERROR(__xludf.DUMMYFUNCTION("""COMPUTED_VALUE"""),"Normal")</f>
        <v>Normal</v>
      </c>
      <c r="O599" s="3" t="str">
        <f>IFERROR(__xludf.DUMMYFUNCTION("""COMPUTED_VALUE"""),"Non Urgent")</f>
        <v>Non Urgent</v>
      </c>
    </row>
    <row r="600">
      <c r="A600" s="4">
        <f>IFERROR(__xludf.DUMMYFUNCTION("""COMPUTED_VALUE"""),46042.90490753472)</f>
        <v>46042.90491</v>
      </c>
      <c r="B600" s="3" t="str">
        <f>IFERROR(__xludf.DUMMYFUNCTION("""COMPUTED_VALUE"""),"MOBBR0054")</f>
        <v>MOBBR0054</v>
      </c>
      <c r="C600" s="3" t="str">
        <f>IFERROR(__xludf.DUMMYFUNCTION("""COMPUTED_VALUE"""),"EJO")</f>
        <v>EJO</v>
      </c>
      <c r="D600" s="3" t="str">
        <f>IFERROR(__xludf.DUMMYFUNCTION("""COMPUTED_VALUE"""),"EJO/2025/10/50")</f>
        <v>EJO/2025/10/50</v>
      </c>
      <c r="E600" s="3" t="str">
        <f>IFERROR(__xludf.DUMMYFUNCTION("""COMPUTED_VALUE"""),"APAR")</f>
        <v>APAR</v>
      </c>
      <c r="F600" s="3" t="str">
        <f>IFERROR(__xludf.DUMMYFUNCTION("""COMPUTED_VALUE"""),"APAR")</f>
        <v>APAR</v>
      </c>
      <c r="G600" s="3" t="str">
        <f>IFERROR(__xludf.DUMMYFUNCTION("""COMPUTED_VALUE"""),"Chubb Fire Extinguisher 2.5KG ABC Dry Chemucal Powder 13A/40B")</f>
        <v>Chubb Fire Extinguisher 2.5KG ABC Dry Chemucal Powder 13A/40B</v>
      </c>
      <c r="H600" s="3" t="str">
        <f>IFERROR(__xludf.DUMMYFUNCTION("""COMPUTED_VALUE"""),"Chubb")</f>
        <v>Chubb</v>
      </c>
      <c r="I600" s="3">
        <f>IFERROR(__xludf.DUMMYFUNCTION("""COMPUTED_VALUE"""),3.0)</f>
        <v>3</v>
      </c>
      <c r="J600" s="3" t="str">
        <f>IFERROR(__xludf.DUMMYFUNCTION("""COMPUTED_VALUE"""),"Pcs")</f>
        <v>Pcs</v>
      </c>
      <c r="K600" s="5" t="str">
        <f>IFERROR(__xludf.DUMMYFUNCTION("""COMPUTED_VALUE"""),"https://shopee.co.id/apar-powder-3kg-merk-chubb-i.137961004.24183552933")</f>
        <v>https://shopee.co.id/apar-powder-3kg-merk-chubb-i.137961004.24183552933</v>
      </c>
      <c r="L600" s="3" t="str">
        <f>IFERROR(__xludf.DUMMYFUNCTION("""COMPUTED_VALUE"""),"Penggantian APAR WH (REJECT BY MFH, BUKANNYA SEHARUSNYA HSE YANG BELI?)")</f>
        <v>Penggantian APAR WH (REJECT BY MFH, BUKANNYA SEHARUSNYA HSE YANG BELI?)</v>
      </c>
      <c r="M600" s="3" t="str">
        <f>IFERROR(__xludf.DUMMYFUNCTION("""COMPUTED_VALUE"""),"Reject")</f>
        <v>Reject</v>
      </c>
      <c r="N600" s="3" t="str">
        <f>IFERROR(__xludf.DUMMYFUNCTION("""COMPUTED_VALUE"""),"Normal")</f>
        <v>Normal</v>
      </c>
      <c r="O600" s="3" t="str">
        <f>IFERROR(__xludf.DUMMYFUNCTION("""COMPUTED_VALUE"""),"Non Urgent")</f>
        <v>Non Urgent</v>
      </c>
    </row>
    <row r="601">
      <c r="A601" s="4">
        <f>IFERROR(__xludf.DUMMYFUNCTION("""COMPUTED_VALUE"""),46042.90756339121)</f>
        <v>46042.90756</v>
      </c>
      <c r="B601" s="3" t="str">
        <f>IFERROR(__xludf.DUMMYFUNCTION("""COMPUTED_VALUE"""),"MOBBR0055")</f>
        <v>MOBBR0055</v>
      </c>
      <c r="C601" s="3" t="str">
        <f>IFERROR(__xludf.DUMMYFUNCTION("""COMPUTED_VALUE"""),"EJO")</f>
        <v>EJO</v>
      </c>
      <c r="D601" s="3" t="str">
        <f>IFERROR(__xludf.DUMMYFUNCTION("""COMPUTED_VALUE"""),"EJO/2025/09/130")</f>
        <v>EJO/2025/09/130</v>
      </c>
      <c r="E601" s="3" t="str">
        <f>IFERROR(__xludf.DUMMYFUNCTION("""COMPUTED_VALUE"""),"Mushola Lt 3")</f>
        <v>Mushola Lt 3</v>
      </c>
      <c r="F601" s="3" t="str">
        <f>IFERROR(__xludf.DUMMYFUNCTION("""COMPUTED_VALUE"""),"Smoke Detector")</f>
        <v>Smoke Detector</v>
      </c>
      <c r="G601" s="3" t="str">
        <f>IFERROR(__xludf.DUMMYFUNCTION("""COMPUTED_VALUE"""),"Smoke Detector FDK38U Nohmi komplit Base B16")</f>
        <v>Smoke Detector FDK38U Nohmi komplit Base B16</v>
      </c>
      <c r="H601" s="3" t="str">
        <f>IFERROR(__xludf.DUMMYFUNCTION("""COMPUTED_VALUE"""),"Nohmi Bosai LTD.")</f>
        <v>Nohmi Bosai LTD.</v>
      </c>
      <c r="I601" s="3">
        <f>IFERROR(__xludf.DUMMYFUNCTION("""COMPUTED_VALUE"""),2.0)</f>
        <v>2</v>
      </c>
      <c r="J601" s="3" t="str">
        <f>IFERROR(__xludf.DUMMYFUNCTION("""COMPUTED_VALUE"""),"Pcs")</f>
        <v>Pcs</v>
      </c>
      <c r="K601" s="5" t="str">
        <f>IFERROR(__xludf.DUMMYFUNCTION("""COMPUTED_VALUE"""),"https://www.lazada.co.id/products/smoke-detector-fdk38u-nohmi-komplit-base-b16-berkualitas-i7997020684.html")</f>
        <v>https://www.lazada.co.id/products/smoke-detector-fdk38u-nohmi-komplit-base-b16-berkualitas-i7997020684.html</v>
      </c>
      <c r="L601" s="3" t="str">
        <f>IFERROR(__xludf.DUMMYFUNCTION("""COMPUTED_VALUE"""),"Mushola Lt3 (REJECT BY MFH KARENA SUDAH PR DULUAN REQUEST GA)")</f>
        <v>Mushola Lt3 (REJECT BY MFH KARENA SUDAH PR DULUAN REQUEST GA)</v>
      </c>
      <c r="M601" s="3" t="str">
        <f>IFERROR(__xludf.DUMMYFUNCTION("""COMPUTED_VALUE"""),"Reject")</f>
        <v>Reject</v>
      </c>
      <c r="N601" s="3" t="str">
        <f>IFERROR(__xludf.DUMMYFUNCTION("""COMPUTED_VALUE"""),"Normal")</f>
        <v>Normal</v>
      </c>
      <c r="O601" s="3" t="str">
        <f>IFERROR(__xludf.DUMMYFUNCTION("""COMPUTED_VALUE"""),"Non Urgent")</f>
        <v>Non Urgent</v>
      </c>
    </row>
    <row r="602">
      <c r="A602" s="4">
        <f>IFERROR(__xludf.DUMMYFUNCTION("""COMPUTED_VALUE"""),46043.298426030095)</f>
        <v>46043.29843</v>
      </c>
      <c r="B602" s="3" t="str">
        <f>IFERROR(__xludf.DUMMYFUNCTION("""COMPUTED_VALUE"""),"NDSBR0049")</f>
        <v>NDSBR0049</v>
      </c>
      <c r="C602" s="3" t="str">
        <f>IFERROR(__xludf.DUMMYFUNCTION("""COMPUTED_VALUE"""),"EJO")</f>
        <v>EJO</v>
      </c>
      <c r="D602" s="3" t="str">
        <f>IFERROR(__xludf.DUMMYFUNCTION("""COMPUTED_VALUE"""),"EJO/2026/01/52")</f>
        <v>EJO/2026/01/52</v>
      </c>
      <c r="E602" s="3" t="str">
        <f>IFERROR(__xludf.DUMMYFUNCTION("""COMPUTED_VALUE"""),"Fumehood")</f>
        <v>Fumehood</v>
      </c>
      <c r="F602" s="3" t="str">
        <f>IFERROR(__xludf.DUMMYFUNCTION("""COMPUTED_VALUE"""),"Lampu LED 25 Watt")</f>
        <v>Lampu LED 25 Watt</v>
      </c>
      <c r="G602" s="3" t="str">
        <f>IFERROR(__xludf.DUMMYFUNCTION("""COMPUTED_VALUE"""),"Sesuai Gambar ")</f>
        <v>Sesuai Gambar </v>
      </c>
      <c r="H602" s="3" t="str">
        <f>IFERROR(__xludf.DUMMYFUNCTION("""COMPUTED_VALUE"""),"-")</f>
        <v>-</v>
      </c>
      <c r="I602" s="3">
        <f>IFERROR(__xludf.DUMMYFUNCTION("""COMPUTED_VALUE"""),3.0)</f>
        <v>3</v>
      </c>
      <c r="J602" s="3" t="str">
        <f>IFERROR(__xludf.DUMMYFUNCTION("""COMPUTED_VALUE"""),"Pcs")</f>
        <v>Pcs</v>
      </c>
      <c r="K602" s="5" t="str">
        <f>IFERROR(__xludf.DUMMYFUNCTION("""COMPUTED_VALUE"""),"https://www.tokopedia.com/led-lighting-store/philips-tforce-true-force-essential-led-25-w-25-w-25-watt-e27-6500-k?extParam=ivf%3Dfalse%26keyword%3Dlampu+led+philip+25+watt%26search_id%3D20260108065631320722549D17512858C2%26src%3Dsearch")</f>
        <v>https://www.tokopedia.com/led-lighting-store/philips-tforce-true-force-essential-led-25-w-25-w-25-watt-e27-6500-k?extParam=ivf%3Dfalse%26keyword%3Dlampu+led+philip+25+watt%26search_id%3D20260108065631320722549D17512858C2%26src%3Dsearch</v>
      </c>
      <c r="L602" s="3" t="str">
        <f>IFERROR(__xludf.DUMMYFUNCTION("""COMPUTED_VALUE"""),"25 watt")</f>
        <v>25 watt</v>
      </c>
      <c r="M602" s="3" t="str">
        <f>IFERROR(__xludf.DUMMYFUNCTION("""COMPUTED_VALUE"""),"Approve")</f>
        <v>Approve</v>
      </c>
      <c r="N602" s="3" t="str">
        <f>IFERROR(__xludf.DUMMYFUNCTION("""COMPUTED_VALUE"""),"Normal")</f>
        <v>Normal</v>
      </c>
      <c r="O602" s="3" t="str">
        <f>IFERROR(__xludf.DUMMYFUNCTION("""COMPUTED_VALUE"""),"Non Urgent")</f>
        <v>Non Urgent</v>
      </c>
    </row>
    <row r="603">
      <c r="A603" s="4">
        <f>IFERROR(__xludf.DUMMYFUNCTION("""COMPUTED_VALUE"""),46043.96991226852)</f>
        <v>46043.96991</v>
      </c>
      <c r="B603" s="3" t="str">
        <f>IFERROR(__xludf.DUMMYFUNCTION("""COMPUTED_VALUE"""),"ANOBR0049")</f>
        <v>ANOBR0049</v>
      </c>
      <c r="C603" s="3" t="str">
        <f>IFERROR(__xludf.DUMMYFUNCTION("""COMPUTED_VALUE"""),"EJO")</f>
        <v>EJO</v>
      </c>
      <c r="D603" s="3" t="str">
        <f>IFERROR(__xludf.DUMMYFUNCTION("""COMPUTED_VALUE"""),"EJO/2025/12/105")</f>
        <v>EJO/2025/12/105</v>
      </c>
      <c r="E603" s="3" t="str">
        <f>IFERROR(__xludf.DUMMYFUNCTION("""COMPUTED_VALUE"""),"Isolator sampling")</f>
        <v>Isolator sampling</v>
      </c>
      <c r="F603" s="3" t="str">
        <f>IFERROR(__xludf.DUMMYFUNCTION("""COMPUTED_VALUE"""),"manual valve 1.5 inch")</f>
        <v>manual valve 1.5 inch</v>
      </c>
      <c r="G603" s="3" t="str">
        <f>IFERROR(__xludf.DUMMYFUNCTION("""COMPUTED_VALUE"""),"manual valve CMB 1.5"" SS 316L ")</f>
        <v>manual valve CMB 1.5" SS 316L </v>
      </c>
      <c r="H603" s="3" t="str">
        <f>IFERROR(__xludf.DUMMYFUNCTION("""COMPUTED_VALUE"""),"-")</f>
        <v>-</v>
      </c>
      <c r="I603" s="3">
        <f>IFERROR(__xludf.DUMMYFUNCTION("""COMPUTED_VALUE"""),2.0)</f>
        <v>2</v>
      </c>
      <c r="J603" s="3" t="str">
        <f>IFERROR(__xludf.DUMMYFUNCTION("""COMPUTED_VALUE"""),"PCS")</f>
        <v>PCS</v>
      </c>
      <c r="K603" s="5" t="str">
        <f>IFERROR(__xludf.DUMMYFUNCTION("""COMPUTED_VALUE"""),"https://www.ebay.com/itm/224340714321")</f>
        <v>https://www.ebay.com/itm/224340714321</v>
      </c>
      <c r="L603" s="3" t="str">
        <f>IFERROR(__xludf.DUMMYFUNCTION("""COMPUTED_VALUE"""),"Keperluan untuk ganti manual valve di jalur PW  untuk bilas cacth port")</f>
        <v>Keperluan untuk ganti manual valve di jalur PW  untuk bilas cacth port</v>
      </c>
      <c r="M603" s="3" t="str">
        <f>IFERROR(__xludf.DUMMYFUNCTION("""COMPUTED_VALUE"""),"Approve")</f>
        <v>Approve</v>
      </c>
      <c r="N603" s="3" t="str">
        <f>IFERROR(__xludf.DUMMYFUNCTION("""COMPUTED_VALUE"""),"Normal")</f>
        <v>Normal</v>
      </c>
      <c r="O603" s="3" t="str">
        <f>IFERROR(__xludf.DUMMYFUNCTION("""COMPUTED_VALUE"""),"Non Urgent")</f>
        <v>Non Urgent</v>
      </c>
    </row>
    <row r="604">
      <c r="A604" s="4">
        <f>IFERROR(__xludf.DUMMYFUNCTION("""COMPUTED_VALUE"""),46044.487892129626)</f>
        <v>46044.48789</v>
      </c>
      <c r="B604" s="3" t="str">
        <f>IFERROR(__xludf.DUMMYFUNCTION("""COMPUTED_VALUE"""),"RIABR0136")</f>
        <v>RIABR0136</v>
      </c>
      <c r="C604" s="3" t="str">
        <f>IFERROR(__xludf.DUMMYFUNCTION("""COMPUTED_VALUE"""),"EJO")</f>
        <v>EJO</v>
      </c>
      <c r="D604" s="3" t="str">
        <f>IFERROR(__xludf.DUMMYFUNCTION("""COMPUTED_VALUE"""),"EJO/2026/01/140")</f>
        <v>EJO/2026/01/140</v>
      </c>
      <c r="E604" s="3" t="str">
        <f>IFERROR(__xludf.DUMMYFUNCTION("""COMPUTED_VALUE"""),"Power Stacker Warehouse")</f>
        <v>Power Stacker Warehouse</v>
      </c>
      <c r="F604" s="3" t="str">
        <f>IFERROR(__xludf.DUMMYFUNCTION("""COMPUTED_VALUE"""),"Baterai")</f>
        <v>Baterai</v>
      </c>
      <c r="G604" s="3" t="str">
        <f>IFERROR(__xludf.DUMMYFUNCTION("""COMPUTED_VALUE"""),"Spesifikasi Aki Mobil GS Gold Shine N100 (95E41R) Maintenance Free: Jis
Type: N100 (95E41R)
Tegangan: 12 V (Volt)
Kapasitas: 100 Ah (Ampere Hour)
Dimensi Panjang x Lebar x Tinggi : 415 x 173 x 206 mm
Total Height: 237 mm
Remaks: handle Acid
Volume("&amp;"Liter): 7.20")</f>
        <v>Spesifikasi Aki Mobil GS Gold Shine N100 (95E41R) Maintenance Free: Jis
Type: N100 (95E41R)
Tegangan: 12 V (Volt)
Kapasitas: 100 Ah (Ampere Hour)
Dimensi Panjang x Lebar x Tinggi : 415 x 173 x 206 mm
Total Height: 237 mm
Remaks: handle Acid
Volume(Liter): 7.20</v>
      </c>
      <c r="H604" s="3" t="str">
        <f>IFERROR(__xludf.DUMMYFUNCTION("""COMPUTED_VALUE"""),"Gold Shine")</f>
        <v>Gold Shine</v>
      </c>
      <c r="I604" s="3">
        <f>IFERROR(__xludf.DUMMYFUNCTION("""COMPUTED_VALUE"""),2.0)</f>
        <v>2</v>
      </c>
      <c r="J604" s="3" t="str">
        <f>IFERROR(__xludf.DUMMYFUNCTION("""COMPUTED_VALUE"""),"Pcs")</f>
        <v>Pcs</v>
      </c>
      <c r="K604" s="5" t="str">
        <f>IFERROR(__xludf.DUMMYFUNCTION("""COMPUTED_VALUE"""),"https://www.tokopedia.com/udmajubersamaaki/aki-mobil-n-100-95e41r-gs-gold-shine-aki-kering-n100-genset-excavator?extParam=ivf%3Dfalse%26keyword%3D95e41r%26search_id%3D202601220440527A614FD06C32542A25AY%26src%3Dsearch&amp;t_id=1769056452383&amp;t_st=5&amp;t_pp=search_"&amp;"result&amp;t_efo=search_pure_goods_card&amp;t_ef=goods_search&amp;t_sm=&amp;t_spt=search_result")</f>
        <v>https://www.tokopedia.com/udmajubersamaaki/aki-mobil-n-100-95e41r-gs-gold-shine-aki-kering-n100-genset-excavator?extParam=ivf%3Dfalse%26keyword%3D95e41r%26search_id%3D202601220440527A614FD06C32542A25AY%26src%3Dsearch&amp;t_id=1769056452383&amp;t_st=5&amp;t_pp=search_result&amp;t_efo=search_pure_goods_card&amp;t_ef=goods_search&amp;t_sm=&amp;t_spt=search_result</v>
      </c>
      <c r="L604" s="3" t="str">
        <f>IFERROR(__xludf.DUMMYFUNCTION("""COMPUTED_VALUE"""),"Untuk ganti baterai power stacker yang besar")</f>
        <v>Untuk ganti baterai power stacker yang besar</v>
      </c>
      <c r="M604" s="3" t="str">
        <f>IFERROR(__xludf.DUMMYFUNCTION("""COMPUTED_VALUE"""),"Approve")</f>
        <v>Approve</v>
      </c>
      <c r="N604" s="3" t="str">
        <f>IFERROR(__xludf.DUMMYFUNCTION("""COMPUTED_VALUE"""),"Normal")</f>
        <v>Normal</v>
      </c>
      <c r="O604" s="3" t="str">
        <f>IFERROR(__xludf.DUMMYFUNCTION("""COMPUTED_VALUE"""),"Non Urgent")</f>
        <v>Non Urgent</v>
      </c>
    </row>
    <row r="605">
      <c r="A605" s="4">
        <f>IFERROR(__xludf.DUMMYFUNCTION("""COMPUTED_VALUE"""),46045.70816630787)</f>
        <v>46045.70817</v>
      </c>
      <c r="B605" s="3" t="str">
        <f>IFERROR(__xludf.DUMMYFUNCTION("""COMPUTED_VALUE"""),"ROSBR0075")</f>
        <v>ROSBR0075</v>
      </c>
      <c r="C605" s="3" t="str">
        <f>IFERROR(__xludf.DUMMYFUNCTION("""COMPUTED_VALUE"""),"Critical Part")</f>
        <v>Critical Part</v>
      </c>
      <c r="D605" s="3" t="str">
        <f>IFERROR(__xludf.DUMMYFUNCTION("""COMPUTED_VALUE"""),"NA")</f>
        <v>NA</v>
      </c>
      <c r="E605" s="3" t="str">
        <f>IFERROR(__xludf.DUMMYFUNCTION("""COMPUTED_VALUE"""),"Washing ")</f>
        <v>Washing </v>
      </c>
      <c r="F605" s="3" t="str">
        <f>IFERROR(__xludf.DUMMYFUNCTION("""COMPUTED_VALUE"""),"Shaft Puhser Washing")</f>
        <v>Shaft Puhser Washing</v>
      </c>
      <c r="G605" s="3" t="str">
        <f>IFERROR(__xludf.DUMMYFUNCTION("""COMPUTED_VALUE"""),"Shaft Puhser Washing Uk 10 x 14X 52 mm
Machining Plate Mat'l SUS 304
")</f>
        <v>Shaft Puhser Washing Uk 10 x 14X 52 mm
Machining Plate Mat'l SUS 304
</v>
      </c>
      <c r="H605" s="3" t="str">
        <f>IFERROR(__xludf.DUMMYFUNCTION("""COMPUTED_VALUE"""),"Agru")</f>
        <v>Agru</v>
      </c>
      <c r="I605" s="3">
        <f>IFERROR(__xludf.DUMMYFUNCTION("""COMPUTED_VALUE"""),1.0)</f>
        <v>1</v>
      </c>
      <c r="J605" s="3" t="str">
        <f>IFERROR(__xludf.DUMMYFUNCTION("""COMPUTED_VALUE"""),"set")</f>
        <v>set</v>
      </c>
      <c r="K605" s="5" t="str">
        <f>IFERROR(__xludf.DUMMYFUNCTION("""COMPUTED_VALUE"""),"https://drive.google.com/drive/folders/1m7cuEfuIYcCM-b0C9rT7fPMFnzzvke3B?usp=drive_link")</f>
        <v>https://drive.google.com/drive/folders/1m7cuEfuIYcCM-b0C9rT7fPMFnzzvke3B?usp=drive_link</v>
      </c>
      <c r="L605" s="3" t="str">
        <f>IFERROR(__xludf.DUMMYFUNCTION("""COMPUTED_VALUE"""),"-")</f>
        <v>-</v>
      </c>
      <c r="M605" s="3" t="str">
        <f>IFERROR(__xludf.DUMMYFUNCTION("""COMPUTED_VALUE"""),"Approve")</f>
        <v>Approve</v>
      </c>
      <c r="N605" s="3" t="str">
        <f>IFERROR(__xludf.DUMMYFUNCTION("""COMPUTED_VALUE"""),"Normal")</f>
        <v>Normal</v>
      </c>
      <c r="O605" s="3" t="str">
        <f>IFERROR(__xludf.DUMMYFUNCTION("""COMPUTED_VALUE"""),"Non Urgent")</f>
        <v>Non Urgent</v>
      </c>
    </row>
    <row r="606">
      <c r="A606" s="4">
        <f>IFERROR(__xludf.DUMMYFUNCTION("""COMPUTED_VALUE"""),46045.720527638885)</f>
        <v>46045.72053</v>
      </c>
      <c r="B606" s="3" t="str">
        <f>IFERROR(__xludf.DUMMYFUNCTION("""COMPUTED_VALUE"""),"NDSBR0050")</f>
        <v>NDSBR0050</v>
      </c>
      <c r="C606" s="3" t="str">
        <f>IFERROR(__xludf.DUMMYFUNCTION("""COMPUTED_VALUE"""),"EJO")</f>
        <v>EJO</v>
      </c>
      <c r="D606" s="3" t="str">
        <f>IFERROR(__xludf.DUMMYFUNCTION("""COMPUTED_VALUE"""),"EJO/2025/10/130")</f>
        <v>EJO/2025/10/130</v>
      </c>
      <c r="E606" s="3" t="str">
        <f>IFERROR(__xludf.DUMMYFUNCTION("""COMPUTED_VALUE"""),"Blister")</f>
        <v>Blister</v>
      </c>
      <c r="F606" s="3" t="str">
        <f>IFERROR(__xludf.DUMMYFUNCTION("""COMPUTED_VALUE"""),"Cover Seluncuran Pass through")</f>
        <v>Cover Seluncuran Pass through</v>
      </c>
      <c r="G606" s="3" t="str">
        <f>IFERROR(__xludf.DUMMYFUNCTION("""COMPUTED_VALUE"""),"Sesuai Gambar")</f>
        <v>Sesuai Gambar</v>
      </c>
      <c r="H606" s="3" t="str">
        <f>IFERROR(__xludf.DUMMYFUNCTION("""COMPUTED_VALUE"""),"-")</f>
        <v>-</v>
      </c>
      <c r="I606" s="3">
        <f>IFERROR(__xludf.DUMMYFUNCTION("""COMPUTED_VALUE"""),1.0)</f>
        <v>1</v>
      </c>
      <c r="J606" s="3" t="str">
        <f>IFERROR(__xludf.DUMMYFUNCTION("""COMPUTED_VALUE"""),"Pcs")</f>
        <v>Pcs</v>
      </c>
      <c r="K606" s="5" t="str">
        <f>IFERROR(__xludf.DUMMYFUNCTION("""COMPUTED_VALUE"""),"https://drive.google.com/drive/folders/1hjUKIVwNO-DLtFx2BFYHuQqIDNZnbISy?usp=drive_link")</f>
        <v>https://drive.google.com/drive/folders/1hjUKIVwNO-DLtFx2BFYHuQqIDNZnbISy?usp=drive_link</v>
      </c>
      <c r="L606" s="3" t="str">
        <f>IFERROR(__xludf.DUMMYFUNCTION("""COMPUTED_VALUE"""),"-")</f>
        <v>-</v>
      </c>
      <c r="M606" s="3" t="str">
        <f>IFERROR(__xludf.DUMMYFUNCTION("""COMPUTED_VALUE"""),"Approve")</f>
        <v>Approve</v>
      </c>
      <c r="N606" s="3" t="str">
        <f>IFERROR(__xludf.DUMMYFUNCTION("""COMPUTED_VALUE"""),"Normal")</f>
        <v>Normal</v>
      </c>
      <c r="O606" s="3" t="str">
        <f>IFERROR(__xludf.DUMMYFUNCTION("""COMPUTED_VALUE"""),"Non Urgent")</f>
        <v>Non Urgent</v>
      </c>
    </row>
    <row r="607">
      <c r="A607" s="4">
        <f>IFERROR(__xludf.DUMMYFUNCTION("""COMPUTED_VALUE"""),46045.74914045139)</f>
        <v>46045.74914</v>
      </c>
      <c r="B607" s="3" t="str">
        <f>IFERROR(__xludf.DUMMYFUNCTION("""COMPUTED_VALUE"""),"AAABR0030")</f>
        <v>AAABR0030</v>
      </c>
      <c r="C607" s="3" t="str">
        <f>IFERROR(__xludf.DUMMYFUNCTION("""COMPUTED_VALUE"""),"EJO")</f>
        <v>EJO</v>
      </c>
      <c r="D607" s="3" t="str">
        <f>IFERROR(__xludf.DUMMYFUNCTION("""COMPUTED_VALUE"""),"Menyusul")</f>
        <v>Menyusul</v>
      </c>
      <c r="E607" s="3" t="str">
        <f>IFERROR(__xludf.DUMMYFUNCTION("""COMPUTED_VALUE"""),"Huber")</f>
        <v>Huber</v>
      </c>
      <c r="F607" s="3" t="str">
        <f>IFERROR(__xludf.DUMMYFUNCTION("""COMPUTED_VALUE"""),"Skun ferrules")</f>
        <v>Skun ferrules</v>
      </c>
      <c r="G607" s="3" t="str">
        <f>IFERROR(__xludf.DUMMYFUNCTION("""COMPUTED_VALUE"""),"size 0.75 mm")</f>
        <v>size 0.75 mm</v>
      </c>
      <c r="H607" s="3" t="str">
        <f>IFERROR(__xludf.DUMMYFUNCTION("""COMPUTED_VALUE"""),"FORT")</f>
        <v>FORT</v>
      </c>
      <c r="I607" s="3">
        <f>IFERROR(__xludf.DUMMYFUNCTION("""COMPUTED_VALUE"""),2.0)</f>
        <v>2</v>
      </c>
      <c r="J607" s="3" t="str">
        <f>IFERROR(__xludf.DUMMYFUNCTION("""COMPUTED_VALUE"""),"pack")</f>
        <v>pack</v>
      </c>
      <c r="K607" s="3" t="str">
        <f>IFERROR(__xludf.DUMMYFUNCTION("""COMPUTED_VALUE"""),"NA")</f>
        <v>NA</v>
      </c>
      <c r="L607" s="3" t="str">
        <f>IFERROR(__xludf.DUMMYFUNCTION("""COMPUTED_VALUE"""),"Needed date 01 feb 26")</f>
        <v>Needed date 01 feb 26</v>
      </c>
      <c r="M607" s="3" t="str">
        <f>IFERROR(__xludf.DUMMYFUNCTION("""COMPUTED_VALUE"""),"Approve")</f>
        <v>Approve</v>
      </c>
      <c r="N607" s="3" t="str">
        <f>IFERROR(__xludf.DUMMYFUNCTION("""COMPUTED_VALUE"""),"Urgent")</f>
        <v>Urgent</v>
      </c>
      <c r="O607" s="3" t="str">
        <f>IFERROR(__xludf.DUMMYFUNCTION("""COMPUTED_VALUE"""),"Approve")</f>
        <v>Approve</v>
      </c>
    </row>
    <row r="608">
      <c r="A608" s="4">
        <f>IFERROR(__xludf.DUMMYFUNCTION("""COMPUTED_VALUE"""),46045.74992844908)</f>
        <v>46045.74993</v>
      </c>
      <c r="B608" s="3" t="str">
        <f>IFERROR(__xludf.DUMMYFUNCTION("""COMPUTED_VALUE"""),"AAABR0031")</f>
        <v>AAABR0031</v>
      </c>
      <c r="C608" s="3" t="str">
        <f>IFERROR(__xludf.DUMMYFUNCTION("""COMPUTED_VALUE"""),"EJO")</f>
        <v>EJO</v>
      </c>
      <c r="D608" s="3" t="str">
        <f>IFERROR(__xludf.DUMMYFUNCTION("""COMPUTED_VALUE"""),"Menyusul")</f>
        <v>Menyusul</v>
      </c>
      <c r="E608" s="3" t="str">
        <f>IFERROR(__xludf.DUMMYFUNCTION("""COMPUTED_VALUE"""),"Huber")</f>
        <v>Huber</v>
      </c>
      <c r="F608" s="3" t="str">
        <f>IFERROR(__xludf.DUMMYFUNCTION("""COMPUTED_VALUE"""),"skun Y")</f>
        <v>skun Y</v>
      </c>
      <c r="G608" s="3" t="str">
        <f>IFERROR(__xludf.DUMMYFUNCTION("""COMPUTED_VALUE"""),"size 0.75 mm")</f>
        <v>size 0.75 mm</v>
      </c>
      <c r="H608" s="3" t="str">
        <f>IFERROR(__xludf.DUMMYFUNCTION("""COMPUTED_VALUE"""),"FORT")</f>
        <v>FORT</v>
      </c>
      <c r="I608" s="3">
        <f>IFERROR(__xludf.DUMMYFUNCTION("""COMPUTED_VALUE"""),2.0)</f>
        <v>2</v>
      </c>
      <c r="J608" s="3" t="str">
        <f>IFERROR(__xludf.DUMMYFUNCTION("""COMPUTED_VALUE"""),"Pack")</f>
        <v>Pack</v>
      </c>
      <c r="K608" s="3" t="str">
        <f>IFERROR(__xludf.DUMMYFUNCTION("""COMPUTED_VALUE"""),"NA")</f>
        <v>NA</v>
      </c>
      <c r="L608" s="3" t="str">
        <f>IFERROR(__xludf.DUMMYFUNCTION("""COMPUTED_VALUE"""),"Needed date 01 feb 26")</f>
        <v>Needed date 01 feb 26</v>
      </c>
      <c r="M608" s="3" t="str">
        <f>IFERROR(__xludf.DUMMYFUNCTION("""COMPUTED_VALUE"""),"Approve")</f>
        <v>Approve</v>
      </c>
      <c r="N608" s="3" t="str">
        <f>IFERROR(__xludf.DUMMYFUNCTION("""COMPUTED_VALUE"""),"Urgent")</f>
        <v>Urgent</v>
      </c>
      <c r="O608" s="3" t="str">
        <f>IFERROR(__xludf.DUMMYFUNCTION("""COMPUTED_VALUE"""),"Approve")</f>
        <v>Approve</v>
      </c>
    </row>
    <row r="609">
      <c r="A609" s="4">
        <f>IFERROR(__xludf.DUMMYFUNCTION("""COMPUTED_VALUE"""),46046.32567832176)</f>
        <v>46046.32568</v>
      </c>
      <c r="B609" s="3" t="str">
        <f>IFERROR(__xludf.DUMMYFUNCTION("""COMPUTED_VALUE"""),"ROSBR0076")</f>
        <v>ROSBR0076</v>
      </c>
      <c r="C609" s="3" t="str">
        <f>IFERROR(__xludf.DUMMYFUNCTION("""COMPUTED_VALUE"""),"Consumable")</f>
        <v>Consumable</v>
      </c>
      <c r="D609" s="3" t="str">
        <f>IFERROR(__xludf.DUMMYFUNCTION("""COMPUTED_VALUE"""),"NA ")</f>
        <v>NA </v>
      </c>
      <c r="E609" s="3" t="str">
        <f>IFERROR(__xludf.DUMMYFUNCTION("""COMPUTED_VALUE"""),"Autoclave Service ")</f>
        <v>Autoclave Service </v>
      </c>
      <c r="F609" s="3" t="str">
        <f>IFERROR(__xludf.DUMMYFUNCTION("""COMPUTED_VALUE"""),"Oil Seal valve modulating ")</f>
        <v>Oil Seal valve modulating </v>
      </c>
      <c r="G609" s="3" t="str">
        <f>IFERROR(__xludf.DUMMYFUNCTION("""COMPUTED_VALUE"""),"Oil Seal valve modulating 
Material : Viton
ID : 20mm
OD : 28mm
tinggi : 5mm ")</f>
        <v>Oil Seal valve modulating 
Material : Viton
ID : 20mm
OD : 28mm
tinggi : 5mm </v>
      </c>
      <c r="H609" s="3" t="str">
        <f>IFERROR(__xludf.DUMMYFUNCTION("""COMPUTED_VALUE"""),"viton")</f>
        <v>viton</v>
      </c>
      <c r="I609" s="3">
        <f>IFERROR(__xludf.DUMMYFUNCTION("""COMPUTED_VALUE"""),20.0)</f>
        <v>20</v>
      </c>
      <c r="J609" s="3" t="str">
        <f>IFERROR(__xludf.DUMMYFUNCTION("""COMPUTED_VALUE"""),"pcs")</f>
        <v>pcs</v>
      </c>
      <c r="K609" s="5" t="str">
        <f>IFERROR(__xludf.DUMMYFUNCTION("""COMPUTED_VALUE"""),"https://shopee.co.id/Oil-seal-TC-VITON-ID-20-OD-28-T-5-i.496394644.45000098139?xptdk=0b4bb3b5-300e-4757-b398-c8eaa2f9da98")</f>
        <v>https://shopee.co.id/Oil-seal-TC-VITON-ID-20-OD-28-T-5-i.496394644.45000098139?xptdk=0b4bb3b5-300e-4757-b398-c8eaa2f9da98</v>
      </c>
      <c r="L609" s="3" t="str">
        <f>IFERROR(__xludf.DUMMYFUNCTION("""COMPUTED_VALUE"""),"tolong belikan Oilseal vitonsesuai spesifikasi, buat peremajaan oil seal mesin autoclave service dan terminal 
belikan Oil seal saja, sebelumnya sudah pernah beli pakai patycash dengan link ini ")</f>
        <v>tolong belikan Oilseal vitonsesuai spesifikasi, buat peremajaan oil seal mesin autoclave service dan terminal 
belikan Oil seal saja, sebelumnya sudah pernah beli pakai patycash dengan link ini </v>
      </c>
      <c r="M609" s="3" t="str">
        <f>IFERROR(__xludf.DUMMYFUNCTION("""COMPUTED_VALUE"""),"Approve")</f>
        <v>Approve</v>
      </c>
      <c r="N609" s="3" t="str">
        <f>IFERROR(__xludf.DUMMYFUNCTION("""COMPUTED_VALUE"""),"Normal")</f>
        <v>Normal</v>
      </c>
      <c r="O609" s="3" t="str">
        <f>IFERROR(__xludf.DUMMYFUNCTION("""COMPUTED_VALUE"""),"Non Urgent")</f>
        <v>Non Urgent</v>
      </c>
    </row>
    <row r="610">
      <c r="A610" s="4">
        <f>IFERROR(__xludf.DUMMYFUNCTION("""COMPUTED_VALUE"""),46047.86876768519)</f>
        <v>46047.86877</v>
      </c>
      <c r="B610" s="3" t="str">
        <f>IFERROR(__xludf.DUMMYFUNCTION("""COMPUTED_VALUE"""),"MRNBR0098")</f>
        <v>MRNBR0098</v>
      </c>
      <c r="C610" s="3" t="str">
        <f>IFERROR(__xludf.DUMMYFUNCTION("""COMPUTED_VALUE"""),"EJO")</f>
        <v>EJO</v>
      </c>
      <c r="D610" s="3" t="str">
        <f>IFERROR(__xludf.DUMMYFUNCTION("""COMPUTED_VALUE"""),"EJO/2025/12/99")</f>
        <v>EJO/2025/12/99</v>
      </c>
      <c r="E610" s="3" t="str">
        <f>IFERROR(__xludf.DUMMYFUNCTION("""COMPUTED_VALUE"""),"Roll opack")</f>
        <v>Roll opack</v>
      </c>
      <c r="F610" s="3" t="str">
        <f>IFERROR(__xludf.DUMMYFUNCTION("""COMPUTED_VALUE"""),"Rantai")</f>
        <v>Rantai</v>
      </c>
      <c r="G610" s="3" t="str">
        <f>IFERROR(__xludf.DUMMYFUNCTION("""COMPUTED_VALUE"""),"Rantai RS 35")</f>
        <v>Rantai RS 35</v>
      </c>
      <c r="H610" s="3" t="str">
        <f>IFERROR(__xludf.DUMMYFUNCTION("""COMPUTED_VALUE"""),"NA")</f>
        <v>NA</v>
      </c>
      <c r="I610" s="3">
        <f>IFERROR(__xludf.DUMMYFUNCTION("""COMPUTED_VALUE"""),1.0)</f>
        <v>1</v>
      </c>
      <c r="J610" s="3" t="str">
        <f>IFERROR(__xludf.DUMMYFUNCTION("""COMPUTED_VALUE"""),"set")</f>
        <v>set</v>
      </c>
      <c r="K610" s="5" t="str">
        <f>IFERROR(__xludf.DUMMYFUNCTION("""COMPUTED_VALUE"""),"https://www.tokopedia.com/primajayasentosa/rantai-rs-35-1-roller-chain-rs-35-single-1729809497911362949?extParam=ivf%3Dfalse%26keyword%3Drantai+rs+35%26search_id%3D2026012513524263923F49E524131501ZD%26src%3Dsearch&amp;t_id=1769348218558&amp;t_st=3&amp;t_pp=search_res"&amp;"ult&amp;t_efo=search_pure_goods_card&amp;t_ef=goods_search&amp;t_sm=&amp;t_spt=search_result")</f>
        <v>https://www.tokopedia.com/primajayasentosa/rantai-rs-35-1-roller-chain-rs-35-single-1729809497911362949?extParam=ivf%3Dfalse%26keyword%3Drantai+rs+35%26search_id%3D2026012513524263923F49E524131501ZD%26src%3Dsearch&amp;t_id=1769348218558&amp;t_st=3&amp;t_pp=search_result&amp;t_efo=search_pure_goods_card&amp;t_ef=goods_search&amp;t_sm=&amp;t_spt=search_result</v>
      </c>
      <c r="L610" s="3" t="str">
        <f>IFERROR(__xludf.DUMMYFUNCTION("""COMPUTED_VALUE"""),"Untuk lemari roll opack")</f>
        <v>Untuk lemari roll opack</v>
      </c>
      <c r="M610" s="3" t="str">
        <f>IFERROR(__xludf.DUMMYFUNCTION("""COMPUTED_VALUE"""),"Approve")</f>
        <v>Approve</v>
      </c>
      <c r="N610" s="3" t="str">
        <f>IFERROR(__xludf.DUMMYFUNCTION("""COMPUTED_VALUE"""),"Normal")</f>
        <v>Normal</v>
      </c>
      <c r="O610" s="3" t="str">
        <f>IFERROR(__xludf.DUMMYFUNCTION("""COMPUTED_VALUE"""),"Non Urgent")</f>
        <v>Non Urgent</v>
      </c>
    </row>
    <row r="611">
      <c r="A611" s="4">
        <f>IFERROR(__xludf.DUMMYFUNCTION("""COMPUTED_VALUE"""),46049.06241472222)</f>
        <v>46049.06241</v>
      </c>
      <c r="B611" s="3" t="str">
        <f>IFERROR(__xludf.DUMMYFUNCTION("""COMPUTED_VALUE"""),"MRNBR0099")</f>
        <v>MRNBR0099</v>
      </c>
      <c r="C611" s="3" t="str">
        <f>IFERROR(__xludf.DUMMYFUNCTION("""COMPUTED_VALUE"""),"EJO")</f>
        <v>EJO</v>
      </c>
      <c r="D611" s="3" t="str">
        <f>IFERROR(__xludf.DUMMYFUNCTION("""COMPUTED_VALUE"""),"EJO/2025/08/107")</f>
        <v>EJO/2025/08/107</v>
      </c>
      <c r="E611" s="3" t="str">
        <f>IFERROR(__xludf.DUMMYFUNCTION("""COMPUTED_VALUE"""),"pintu koridorr")</f>
        <v>pintu koridorr</v>
      </c>
      <c r="F611" s="3" t="str">
        <f>IFERROR(__xludf.DUMMYFUNCTION("""COMPUTED_VALUE"""),"slot pintu double")</f>
        <v>slot pintu double</v>
      </c>
      <c r="G611" s="3" t="str">
        <f>IFERROR(__xludf.DUMMYFUNCTION("""COMPUTED_VALUE"""),"Slot pintu besi ")</f>
        <v>Slot pintu besi </v>
      </c>
      <c r="H611" s="3" t="str">
        <f>IFERROR(__xludf.DUMMYFUNCTION("""COMPUTED_VALUE"""),"bostinco")</f>
        <v>bostinco</v>
      </c>
      <c r="I611" s="3">
        <f>IFERROR(__xludf.DUMMYFUNCTION("""COMPUTED_VALUE"""),5.0)</f>
        <v>5</v>
      </c>
      <c r="J611" s="3" t="str">
        <f>IFERROR(__xludf.DUMMYFUNCTION("""COMPUTED_VALUE"""),"set")</f>
        <v>set</v>
      </c>
      <c r="K611" s="5" t="str">
        <f>IFERROR(__xludf.DUMMYFUNCTION("""COMPUTED_VALUE"""),"https://drive.google.com/file/d/1w4MAVcD4GbdwNr0HZOOAgiXf_now4Qmu/view?usp=drive_link")</f>
        <v>https://drive.google.com/file/d/1w4MAVcD4GbdwNr0HZOOAgiXf_now4Qmu/view?usp=drive_link</v>
      </c>
      <c r="L611" s="3" t="str">
        <f>IFERROR(__xludf.DUMMYFUNCTION("""COMPUTED_VALUE"""),"untuk pintu koridor produksi (REJECT BY MFH KARENA TIDAK LENGKAP DAN PENAWARAN TIDAK JELAS)")</f>
        <v>untuk pintu koridor produksi (REJECT BY MFH KARENA TIDAK LENGKAP DAN PENAWARAN TIDAK JELAS)</v>
      </c>
      <c r="M611" s="3" t="str">
        <f>IFERROR(__xludf.DUMMYFUNCTION("""COMPUTED_VALUE"""),"Reject")</f>
        <v>Reject</v>
      </c>
      <c r="N611" s="3" t="str">
        <f>IFERROR(__xludf.DUMMYFUNCTION("""COMPUTED_VALUE"""),"Normal")</f>
        <v>Normal</v>
      </c>
      <c r="O611" s="3" t="str">
        <f>IFERROR(__xludf.DUMMYFUNCTION("""COMPUTED_VALUE"""),"Non Urgent")</f>
        <v>Non Urgent</v>
      </c>
    </row>
    <row r="612">
      <c r="A612" s="4">
        <f>IFERROR(__xludf.DUMMYFUNCTION("""COMPUTED_VALUE"""),46049.288696006945)</f>
        <v>46049.2887</v>
      </c>
      <c r="B612" s="3" t="str">
        <f>IFERROR(__xludf.DUMMYFUNCTION("""COMPUTED_VALUE"""),"MRNBR0100")</f>
        <v>MRNBR0100</v>
      </c>
      <c r="C612" s="3" t="str">
        <f>IFERROR(__xludf.DUMMYFUNCTION("""COMPUTED_VALUE"""),"EJO")</f>
        <v>EJO</v>
      </c>
      <c r="D612" s="3" t="str">
        <f>IFERROR(__xludf.DUMMYFUNCTION("""COMPUTED_VALUE"""),"EJO/2026/02/12")</f>
        <v>EJO/2026/02/12</v>
      </c>
      <c r="E612" s="3" t="str">
        <f>IFERROR(__xludf.DUMMYFUNCTION("""COMPUTED_VALUE"""),"Stop kontak")</f>
        <v>Stop kontak</v>
      </c>
      <c r="F612" s="3" t="str">
        <f>IFERROR(__xludf.DUMMYFUNCTION("""COMPUTED_VALUE"""),"Find circuit braker")</f>
        <v>Find circuit braker</v>
      </c>
      <c r="G612" s="3" t="str">
        <f>IFERROR(__xludf.DUMMYFUNCTION("""COMPUTED_VALUE"""),"UNI-T UT25A Circuit Breaker Finder 90-120V LED")</f>
        <v>UNI-T UT25A Circuit Breaker Finder 90-120V LED</v>
      </c>
      <c r="H612" s="3" t="str">
        <f>IFERROR(__xludf.DUMMYFUNCTION("""COMPUTED_VALUE"""),"UNI-T")</f>
        <v>UNI-T</v>
      </c>
      <c r="I612" s="3">
        <f>IFERROR(__xludf.DUMMYFUNCTION("""COMPUTED_VALUE"""),1.0)</f>
        <v>1</v>
      </c>
      <c r="J612" s="3" t="str">
        <f>IFERROR(__xludf.DUMMYFUNCTION("""COMPUTED_VALUE"""),"set")</f>
        <v>set</v>
      </c>
      <c r="K612" s="5" t="str">
        <f>IFERROR(__xludf.DUMMYFUNCTION("""COMPUTED_VALUE"""),"https://www.tokopedia.com/uni-t/uni-t-ut25a-circuit-breaker-finder-90-120v-led-indikator-soket-tester-dengan-sensitivitas-uni-t-automatic-circuit-breaker-finder-fuse-socket-ut25a?extParam=ivf%3Dfalse%26keyword%3Dfind+circuit+bracker%26search_id%3D20260126"&amp;"235511EF0D3930A7B6C925ASMG%26src%3Dsearch&amp;t_id=1769471720314&amp;t_st=1&amp;t_pp=search_result&amp;t_efo=search_pure_goods_card&amp;t_ef=goods_search&amp;t_sm=&amp;t_spt=search_result")</f>
        <v>https://www.tokopedia.com/uni-t/uni-t-ut25a-circuit-breaker-finder-90-120v-led-indikator-soket-tester-dengan-sensitivitas-uni-t-automatic-circuit-breaker-finder-fuse-socket-ut25a?extParam=ivf%3Dfalse%26keyword%3Dfind+circuit+bracker%26search_id%3D20260126235511EF0D3930A7B6C925ASMG%26src%3Dsearch&amp;t_id=1769471720314&amp;t_st=1&amp;t_pp=search_result&amp;t_efo=search_pure_goods_card&amp;t_ef=goods_search&amp;t_sm=&amp;t_spt=search_result</v>
      </c>
      <c r="L612" s="3" t="str">
        <f>IFERROR(__xludf.DUMMYFUNCTION("""COMPUTED_VALUE"""),"Untuk melabelkan stop kontak dan saklar lampu sesuai mcb panel.agar tidak salah mcb")</f>
        <v>Untuk melabelkan stop kontak dan saklar lampu sesuai mcb panel.agar tidak salah mcb</v>
      </c>
      <c r="M612" s="3" t="str">
        <f>IFERROR(__xludf.DUMMYFUNCTION("""COMPUTED_VALUE"""),"Reject")</f>
        <v>Reject</v>
      </c>
      <c r="N612" s="3" t="str">
        <f>IFERROR(__xludf.DUMMYFUNCTION("""COMPUTED_VALUE"""),"Normal")</f>
        <v>Normal</v>
      </c>
      <c r="O612" s="3" t="str">
        <f>IFERROR(__xludf.DUMMYFUNCTION("""COMPUTED_VALUE"""),"Non Urgent")</f>
        <v>Non Urgent</v>
      </c>
    </row>
    <row r="613">
      <c r="A613" s="4">
        <f>IFERROR(__xludf.DUMMYFUNCTION("""COMPUTED_VALUE"""),46049.929765520836)</f>
        <v>46049.92977</v>
      </c>
      <c r="B613" s="3" t="str">
        <f>IFERROR(__xludf.DUMMYFUNCTION("""COMPUTED_VALUE"""),"SFHBR0043")</f>
        <v>SFHBR0043</v>
      </c>
      <c r="C613" s="3" t="str">
        <f>IFERROR(__xludf.DUMMYFUNCTION("""COMPUTED_VALUE"""),"EJO")</f>
        <v>EJO</v>
      </c>
      <c r="D613" s="3" t="str">
        <f>IFERROR(__xludf.DUMMYFUNCTION("""COMPUTED_VALUE"""),"EJO/2025/05/64")</f>
        <v>EJO/2025/05/64</v>
      </c>
      <c r="E613" s="3" t="str">
        <f>IFERROR(__xludf.DUMMYFUNCTION("""COMPUTED_VALUE"""),"lantai 2")</f>
        <v>lantai 2</v>
      </c>
      <c r="F613" s="3" t="str">
        <f>IFERROR(__xludf.DUMMYFUNCTION("""COMPUTED_VALUE"""),"Cat Epoxy lantai PROPAN POLYFLOOR PRIMER PFP-241 2K SB(20KG - SET)")</f>
        <v>Cat Epoxy lantai PROPAN POLYFLOOR PRIMER PFP-241 2K SB(20KG - SET)</v>
      </c>
      <c r="G613" s="3" t="str">
        <f>IFERROR(__xludf.DUMMYFUNCTION("""COMPUTED_VALUE"""),"Cat Epoxy lantai PROPAN POLYFLOOR PRIMER PFP-241 2K SB(20KG - SET)")</f>
        <v>Cat Epoxy lantai PROPAN POLYFLOOR PRIMER PFP-241 2K SB(20KG - SET)</v>
      </c>
      <c r="H613" s="3" t="str">
        <f>IFERROR(__xludf.DUMMYFUNCTION("""COMPUTED_VALUE"""),"propan")</f>
        <v>propan</v>
      </c>
      <c r="I613" s="3">
        <f>IFERROR(__xludf.DUMMYFUNCTION("""COMPUTED_VALUE"""),2.0)</f>
        <v>2</v>
      </c>
      <c r="J613" s="3" t="str">
        <f>IFERROR(__xludf.DUMMYFUNCTION("""COMPUTED_VALUE"""),"pel")</f>
        <v>pel</v>
      </c>
      <c r="K613" s="5" t="str">
        <f>IFERROR(__xludf.DUMMYFUNCTION("""COMPUTED_VALUE"""),"https://tk.tokopedia.com/ZSamF1pXP/")</f>
        <v>https://tk.tokopedia.com/ZSamF1pXP/</v>
      </c>
      <c r="L613" s="3" t="str">
        <f>IFERROR(__xludf.DUMMYFUNCTION("""COMPUTED_VALUE"""),"-")</f>
        <v>-</v>
      </c>
      <c r="M613" s="3" t="str">
        <f>IFERROR(__xludf.DUMMYFUNCTION("""COMPUTED_VALUE"""),"Approve")</f>
        <v>Approve</v>
      </c>
      <c r="N613" s="3" t="str">
        <f>IFERROR(__xludf.DUMMYFUNCTION("""COMPUTED_VALUE"""),"Normal")</f>
        <v>Normal</v>
      </c>
      <c r="O613" s="3" t="str">
        <f>IFERROR(__xludf.DUMMYFUNCTION("""COMPUTED_VALUE"""),"Non Urgent")</f>
        <v>Non Urgent</v>
      </c>
    </row>
    <row r="614">
      <c r="A614" s="4">
        <f>IFERROR(__xludf.DUMMYFUNCTION("""COMPUTED_VALUE"""),46049.96787770833)</f>
        <v>46049.96788</v>
      </c>
      <c r="B614" s="3" t="str">
        <f>IFERROR(__xludf.DUMMYFUNCTION("""COMPUTED_VALUE"""),"ROSBR0077")</f>
        <v>ROSBR0077</v>
      </c>
      <c r="C614" s="3" t="str">
        <f>IFERROR(__xludf.DUMMYFUNCTION("""COMPUTED_VALUE"""),"Critical Part")</f>
        <v>Critical Part</v>
      </c>
      <c r="D614" s="3" t="str">
        <f>IFERROR(__xludf.DUMMYFUNCTION("""COMPUTED_VALUE"""),"NA")</f>
        <v>NA</v>
      </c>
      <c r="E614" s="3" t="str">
        <f>IFERROR(__xludf.DUMMYFUNCTION("""COMPUTED_VALUE"""),"Mixing")</f>
        <v>Mixing</v>
      </c>
      <c r="F614" s="3" t="str">
        <f>IFERROR(__xludf.DUMMYFUNCTION("""COMPUTED_VALUE"""),"Oring port dop Mixing")</f>
        <v>Oring port dop Mixing</v>
      </c>
      <c r="G614" s="3" t="str">
        <f>IFERROR(__xludf.DUMMYFUNCTION("""COMPUTED_VALUE"""),"Oring port dop Mixing 
material EPDM
tebal 3mm
OD 25.4mm")</f>
        <v>Oring port dop Mixing 
material EPDM
tebal 3mm
OD 25.4mm</v>
      </c>
      <c r="H614" s="3" t="str">
        <f>IFERROR(__xludf.DUMMYFUNCTION("""COMPUTED_VALUE"""),"universal ")</f>
        <v>universal </v>
      </c>
      <c r="I614" s="3">
        <f>IFERROR(__xludf.DUMMYFUNCTION("""COMPUTED_VALUE"""),10.0)</f>
        <v>10</v>
      </c>
      <c r="J614" s="3" t="str">
        <f>IFERROR(__xludf.DUMMYFUNCTION("""COMPUTED_VALUE"""),"Pcs")</f>
        <v>Pcs</v>
      </c>
      <c r="K614" s="3" t="str">
        <f>IFERROR(__xludf.DUMMYFUNCTION("""COMPUTED_VALUE"""),"-")</f>
        <v>-</v>
      </c>
      <c r="L614" s="3" t="str">
        <f>IFERROR(__xludf.DUMMYFUNCTION("""COMPUTED_VALUE"""),"tolong orderin buat oring dop port mixing ")</f>
        <v>tolong orderin buat oring dop port mixing </v>
      </c>
      <c r="M614" s="3" t="str">
        <f>IFERROR(__xludf.DUMMYFUNCTION("""COMPUTED_VALUE"""),"Approve")</f>
        <v>Approve</v>
      </c>
      <c r="N614" s="3" t="str">
        <f>IFERROR(__xludf.DUMMYFUNCTION("""COMPUTED_VALUE"""),"Normal")</f>
        <v>Normal</v>
      </c>
      <c r="O614" s="3" t="str">
        <f>IFERROR(__xludf.DUMMYFUNCTION("""COMPUTED_VALUE"""),"Non Urgent")</f>
        <v>Non Urgent</v>
      </c>
    </row>
    <row r="615">
      <c r="A615" s="4">
        <f>IFERROR(__xludf.DUMMYFUNCTION("""COMPUTED_VALUE"""),46050.12570547454)</f>
        <v>46050.12571</v>
      </c>
      <c r="B615" s="3" t="str">
        <f>IFERROR(__xludf.DUMMYFUNCTION("""COMPUTED_VALUE"""),"ROSBR0078")</f>
        <v>ROSBR0078</v>
      </c>
      <c r="C615" s="3" t="str">
        <f>IFERROR(__xludf.DUMMYFUNCTION("""COMPUTED_VALUE"""),"Critical Part")</f>
        <v>Critical Part</v>
      </c>
      <c r="D615" s="3" t="str">
        <f>IFERROR(__xludf.DUMMYFUNCTION("""COMPUTED_VALUE"""),"EJO/2025/09/35")</f>
        <v>EJO/2025/09/35</v>
      </c>
      <c r="E615" s="3" t="str">
        <f>IFERROR(__xludf.DUMMYFUNCTION("""COMPUTED_VALUE"""),"FBD ")</f>
        <v>FBD </v>
      </c>
      <c r="F615" s="3" t="str">
        <f>IFERROR(__xludf.DUMMYFUNCTION("""COMPUTED_VALUE"""),"Oring port sampling FBD ")</f>
        <v>Oring port sampling FBD </v>
      </c>
      <c r="G615" s="3" t="str">
        <f>IFERROR(__xludf.DUMMYFUNCTION("""COMPUTED_VALUE"""),"Oring port Sampling FBD
ID 61mm
tebal 8mm
Silicone Merah 
ID 61 OD 77 Tebal 8 mm Silicone Merah")</f>
        <v>Oring port Sampling FBD
ID 61mm
tebal 8mm
Silicone Merah 
ID 61 OD 77 Tebal 8 mm Silicone Merah</v>
      </c>
      <c r="H615" s="3" t="str">
        <f>IFERROR(__xludf.DUMMYFUNCTION("""COMPUTED_VALUE"""),"universal ")</f>
        <v>universal </v>
      </c>
      <c r="I615" s="3">
        <f>IFERROR(__xludf.DUMMYFUNCTION("""COMPUTED_VALUE"""),8.0)</f>
        <v>8</v>
      </c>
      <c r="J615" s="3" t="str">
        <f>IFERROR(__xludf.DUMMYFUNCTION("""COMPUTED_VALUE"""),"pcs")</f>
        <v>pcs</v>
      </c>
      <c r="K615" s="5" t="str">
        <f>IFERROR(__xludf.DUMMYFUNCTION("""COMPUTED_VALUE"""),"https://drive.google.com/drive/folders/1iFGncHzOtVQneQmVZayhu1c4GejmE_aP?usp=drive_link")</f>
        <v>https://drive.google.com/drive/folders/1iFGncHzOtVQneQmVZayhu1c4GejmE_aP?usp=drive_link</v>
      </c>
      <c r="L615" s="3" t="str">
        <f>IFERROR(__xludf.DUMMYFUNCTION("""COMPUTED_VALUE"""),"minta tolong belikan ini lewat vendor trenade, sebelumnya NDS sudah BQ pakai vendor AGRU, pak MUN minta ke vendor Trande sesuai design tersebut  (REJECT BY MFH KARENA TRENADE TIDAK BISA SUPPLY DENGAN UKURAN SEGITU)")</f>
        <v>minta tolong belikan ini lewat vendor trenade, sebelumnya NDS sudah BQ pakai vendor AGRU, pak MUN minta ke vendor Trande sesuai design tersebut  (REJECT BY MFH KARENA TRENADE TIDAK BISA SUPPLY DENGAN UKURAN SEGITU)</v>
      </c>
      <c r="M615" s="3" t="str">
        <f>IFERROR(__xludf.DUMMYFUNCTION("""COMPUTED_VALUE"""),"Reject")</f>
        <v>Reject</v>
      </c>
      <c r="N615" s="3" t="str">
        <f>IFERROR(__xludf.DUMMYFUNCTION("""COMPUTED_VALUE"""),"Normal")</f>
        <v>Normal</v>
      </c>
      <c r="O615" s="3" t="str">
        <f>IFERROR(__xludf.DUMMYFUNCTION("""COMPUTED_VALUE"""),"Non Urgent")</f>
        <v>Non Urgent</v>
      </c>
    </row>
    <row r="616">
      <c r="A616" s="4">
        <f>IFERROR(__xludf.DUMMYFUNCTION("""COMPUTED_VALUE"""),46050.58623450232)</f>
        <v>46050.58623</v>
      </c>
      <c r="B616" s="3" t="str">
        <f>IFERROR(__xludf.DUMMYFUNCTION("""COMPUTED_VALUE"""),"NDSBR0051")</f>
        <v>NDSBR0051</v>
      </c>
      <c r="C616" s="3" t="str">
        <f>IFERROR(__xludf.DUMMYFUNCTION("""COMPUTED_VALUE"""),"EJO")</f>
        <v>EJO</v>
      </c>
      <c r="D616" s="3" t="str">
        <f>IFERROR(__xludf.DUMMYFUNCTION("""COMPUTED_VALUE"""),"EJO/2026/02/18")</f>
        <v>EJO/2026/02/18</v>
      </c>
      <c r="E616" s="3" t="str">
        <f>IFERROR(__xludf.DUMMYFUNCTION("""COMPUTED_VALUE"""),"Blister")</f>
        <v>Blister</v>
      </c>
      <c r="F616" s="3" t="str">
        <f>IFERROR(__xludf.DUMMYFUNCTION("""COMPUTED_VALUE"""),"Filter Regulator")</f>
        <v>Filter Regulator</v>
      </c>
      <c r="G616" s="3" t="str">
        <f>IFERROR(__xludf.DUMMYFUNCTION("""COMPUTED_VALUE"""),"AW30-03G-D")</f>
        <v>AW30-03G-D</v>
      </c>
      <c r="H616" s="3" t="str">
        <f>IFERROR(__xludf.DUMMYFUNCTION("""COMPUTED_VALUE"""),"SMC")</f>
        <v>SMC</v>
      </c>
      <c r="I616" s="3">
        <f>IFERROR(__xludf.DUMMYFUNCTION("""COMPUTED_VALUE"""),1.0)</f>
        <v>1</v>
      </c>
      <c r="J616" s="3" t="str">
        <f>IFERROR(__xludf.DUMMYFUNCTION("""COMPUTED_VALUE"""),"Pcs")</f>
        <v>Pcs</v>
      </c>
      <c r="K616" s="5" t="str">
        <f>IFERROR(__xludf.DUMMYFUNCTION("""COMPUTED_VALUE"""),"https://drive.google.com/drive/folders/1ZRj5fiO6TVaEqrDRawB57QX6Lkod426T?usp=drive_link")</f>
        <v>https://drive.google.com/drive/folders/1ZRj5fiO6TVaEqrDRawB57QX6Lkod426T?usp=drive_link</v>
      </c>
      <c r="L616" s="3" t="str">
        <f>IFERROR(__xludf.DUMMYFUNCTION("""COMPUTED_VALUE"""),"- (EDITED BY MFH KARENA PEMINTAAN 2 ITEM TAPI BQ HANYA 1 LINE, MOHON UNTUK FITTING DIBUATKAN LAGI BQNYA TERPISAH)")</f>
        <v>- (EDITED BY MFH KARENA PEMINTAAN 2 ITEM TAPI BQ HANYA 1 LINE, MOHON UNTUK FITTING DIBUATKAN LAGI BQNYA TERPISAH)</v>
      </c>
      <c r="M616" s="3" t="str">
        <f>IFERROR(__xludf.DUMMYFUNCTION("""COMPUTED_VALUE"""),"Approve")</f>
        <v>Approve</v>
      </c>
      <c r="N616" s="3" t="str">
        <f>IFERROR(__xludf.DUMMYFUNCTION("""COMPUTED_VALUE"""),"Normal")</f>
        <v>Normal</v>
      </c>
      <c r="O616" s="3" t="str">
        <f>IFERROR(__xludf.DUMMYFUNCTION("""COMPUTED_VALUE"""),"Non Urgent")</f>
        <v>Non Urgent</v>
      </c>
    </row>
    <row r="617">
      <c r="A617" s="4">
        <f>IFERROR(__xludf.DUMMYFUNCTION("""COMPUTED_VALUE"""),46050.9636718287)</f>
        <v>46050.96367</v>
      </c>
      <c r="B617" s="3" t="str">
        <f>IFERROR(__xludf.DUMMYFUNCTION("""COMPUTED_VALUE"""),"KFFBR0002")</f>
        <v>KFFBR0002</v>
      </c>
      <c r="C617" s="3" t="str">
        <f>IFERROR(__xludf.DUMMYFUNCTION("""COMPUTED_VALUE"""),"EJO")</f>
        <v>EJO</v>
      </c>
      <c r="D617" s="3" t="str">
        <f>IFERROR(__xludf.DUMMYFUNCTION("""COMPUTED_VALUE"""),"EJO/2026/02/33")</f>
        <v>EJO/2026/02/33</v>
      </c>
      <c r="E617" s="3" t="str">
        <f>IFERROR(__xludf.DUMMYFUNCTION("""COMPUTED_VALUE"""),"Capping")</f>
        <v>Capping</v>
      </c>
      <c r="F617" s="3" t="str">
        <f>IFERROR(__xludf.DUMMYFUNCTION("""COMPUTED_VALUE"""),"Helicoil ")</f>
        <v>Helicoil </v>
      </c>
      <c r="G617" s="3" t="str">
        <f>IFERROR(__xludf.DUMMYFUNCTION("""COMPUTED_VALUE"""),"Drat helicoil ")</f>
        <v>Drat helicoil </v>
      </c>
      <c r="H617" s="3" t="str">
        <f>IFERROR(__xludf.DUMMYFUNCTION("""COMPUTED_VALUE"""),"universal")</f>
        <v>universal</v>
      </c>
      <c r="I617" s="3">
        <f>IFERROR(__xludf.DUMMYFUNCTION("""COMPUTED_VALUE"""),1.0)</f>
        <v>1</v>
      </c>
      <c r="J617" s="3" t="str">
        <f>IFERROR(__xludf.DUMMYFUNCTION("""COMPUTED_VALUE"""),"set")</f>
        <v>set</v>
      </c>
      <c r="K617" s="5" t="str">
        <f>IFERROR(__xludf.DUMMYFUNCTION("""COMPUTED_VALUE"""),"https://tk.tokopedia.com/ZSaY6QkYS/")</f>
        <v>https://tk.tokopedia.com/ZSaY6QkYS/</v>
      </c>
      <c r="L617" s="3" t="str">
        <f>IFERROR(__xludf.DUMMYFUNCTION("""COMPUTED_VALUE"""),"perbaikan handwheel capping dan stok tidak ada lagi ")</f>
        <v>perbaikan handwheel capping dan stok tidak ada lagi </v>
      </c>
      <c r="M617" s="3" t="str">
        <f>IFERROR(__xludf.DUMMYFUNCTION("""COMPUTED_VALUE"""),"Approve")</f>
        <v>Approve</v>
      </c>
      <c r="N617" s="3" t="str">
        <f>IFERROR(__xludf.DUMMYFUNCTION("""COMPUTED_VALUE"""),"Normal")</f>
        <v>Normal</v>
      </c>
      <c r="O617" s="3" t="str">
        <f>IFERROR(__xludf.DUMMYFUNCTION("""COMPUTED_VALUE"""),"Non Urgent")</f>
        <v>Non Urgent</v>
      </c>
    </row>
    <row r="618">
      <c r="A618" s="4">
        <f>IFERROR(__xludf.DUMMYFUNCTION("""COMPUTED_VALUE"""),46050.96368396991)</f>
        <v>46050.96368</v>
      </c>
      <c r="B618" s="3" t="str">
        <f>IFERROR(__xludf.DUMMYFUNCTION("""COMPUTED_VALUE"""),"KFFBR0003")</f>
        <v>KFFBR0003</v>
      </c>
      <c r="C618" s="3" t="str">
        <f>IFERROR(__xludf.DUMMYFUNCTION("""COMPUTED_VALUE"""),"EJO")</f>
        <v>EJO</v>
      </c>
      <c r="D618" s="3" t="str">
        <f>IFERROR(__xludf.DUMMYFUNCTION("""COMPUTED_VALUE"""),"EJO/2026/02/33")</f>
        <v>EJO/2026/02/33</v>
      </c>
      <c r="E618" s="3" t="str">
        <f>IFERROR(__xludf.DUMMYFUNCTION("""COMPUTED_VALUE"""),"Capping ")</f>
        <v>Capping </v>
      </c>
      <c r="F618" s="3" t="str">
        <f>IFERROR(__xludf.DUMMYFUNCTION("""COMPUTED_VALUE"""),"Mata Bor")</f>
        <v>Mata Bor</v>
      </c>
      <c r="G618" s="3" t="str">
        <f>IFERROR(__xludf.DUMMYFUNCTION("""COMPUTED_VALUE"""),"HSS Drill set")</f>
        <v>HSS Drill set</v>
      </c>
      <c r="H618" s="3" t="str">
        <f>IFERROR(__xludf.DUMMYFUNCTION("""COMPUTED_VALUE"""),"universal")</f>
        <v>universal</v>
      </c>
      <c r="I618" s="3">
        <f>IFERROR(__xludf.DUMMYFUNCTION("""COMPUTED_VALUE"""),1.0)</f>
        <v>1</v>
      </c>
      <c r="J618" s="3" t="str">
        <f>IFERROR(__xludf.DUMMYFUNCTION("""COMPUTED_VALUE"""),"set")</f>
        <v>set</v>
      </c>
      <c r="K618" s="5" t="str">
        <f>IFERROR(__xludf.DUMMYFUNCTION("""COMPUTED_VALUE"""),"https://tk.tokopedia.com/ZSaHUfPsQ/")</f>
        <v>https://tk.tokopedia.com/ZSaHUfPsQ/</v>
      </c>
      <c r="L618" s="3" t="str">
        <f>IFERROR(__xludf.DUMMYFUNCTION("""COMPUTED_VALUE"""),"perbaikan handwheel capping dan stok tidak ada lagi (REJECT KARENA SUDAH ADA SET YANG NACHI)")</f>
        <v>perbaikan handwheel capping dan stok tidak ada lagi (REJECT KARENA SUDAH ADA SET YANG NACHI)</v>
      </c>
      <c r="M618" s="3" t="str">
        <f>IFERROR(__xludf.DUMMYFUNCTION("""COMPUTED_VALUE"""),"Reject")</f>
        <v>Reject</v>
      </c>
      <c r="N618" s="3" t="str">
        <f>IFERROR(__xludf.DUMMYFUNCTION("""COMPUTED_VALUE"""),"Normal")</f>
        <v>Normal</v>
      </c>
      <c r="O618" s="3" t="str">
        <f>IFERROR(__xludf.DUMMYFUNCTION("""COMPUTED_VALUE"""),"Non Urgent")</f>
        <v>Non Urgent</v>
      </c>
    </row>
    <row r="619">
      <c r="A619" s="4">
        <f>IFERROR(__xludf.DUMMYFUNCTION("""COMPUTED_VALUE"""),46050.964547442134)</f>
        <v>46050.96455</v>
      </c>
      <c r="B619" s="3" t="str">
        <f>IFERROR(__xludf.DUMMYFUNCTION("""COMPUTED_VALUE"""),"KFFBR0001")</f>
        <v>KFFBR0001</v>
      </c>
      <c r="C619" s="3" t="str">
        <f>IFERROR(__xludf.DUMMYFUNCTION("""COMPUTED_VALUE"""),"EJO")</f>
        <v>EJO</v>
      </c>
      <c r="D619" s="3" t="str">
        <f>IFERROR(__xludf.DUMMYFUNCTION("""COMPUTED_VALUE"""),"EJO/2026/01/100")</f>
        <v>EJO/2026/01/100</v>
      </c>
      <c r="E619" s="3" t="str">
        <f>IFERROR(__xludf.DUMMYFUNCTION("""COMPUTED_VALUE"""),"Blistering OSD ")</f>
        <v>Blistering OSD </v>
      </c>
      <c r="F619" s="3" t="str">
        <f>IFERROR(__xludf.DUMMYFUNCTION("""COMPUTED_VALUE"""),"penggaris siku")</f>
        <v>penggaris siku</v>
      </c>
      <c r="G619" s="3" t="str">
        <f>IFERROR(__xludf.DUMMYFUNCTION("""COMPUTED_VALUE"""),"Penggaris Siku Profesional 306 ss ")</f>
        <v>Penggaris Siku Profesional 306 ss </v>
      </c>
      <c r="H619" s="3" t="str">
        <f>IFERROR(__xludf.DUMMYFUNCTION("""COMPUTED_VALUE"""),"Stanley")</f>
        <v>Stanley</v>
      </c>
      <c r="I619" s="3">
        <f>IFERROR(__xludf.DUMMYFUNCTION("""COMPUTED_VALUE"""),1.0)</f>
        <v>1</v>
      </c>
      <c r="J619" s="3" t="str">
        <f>IFERROR(__xludf.DUMMYFUNCTION("""COMPUTED_VALUE"""),"pcs")</f>
        <v>pcs</v>
      </c>
      <c r="K619" s="5" t="str">
        <f>IFERROR(__xludf.DUMMYFUNCTION("""COMPUTED_VALUE"""),"https://tk.tokopedia.com/ZS5Wroa1E/")</f>
        <v>https://tk.tokopedia.com/ZS5Wroa1E/</v>
      </c>
      <c r="L619" s="3" t="str">
        <f>IFERROR(__xludf.DUMMYFUNCTION("""COMPUTED_VALUE"""),"untuk project exhaust blister dan stok terbaru ")</f>
        <v>untuk project exhaust blister dan stok terbaru </v>
      </c>
      <c r="M619" s="3" t="str">
        <f>IFERROR(__xludf.DUMMYFUNCTION("""COMPUTED_VALUE"""),"Approve")</f>
        <v>Approve</v>
      </c>
      <c r="N619" s="3" t="str">
        <f>IFERROR(__xludf.DUMMYFUNCTION("""COMPUTED_VALUE"""),"Normal")</f>
        <v>Normal</v>
      </c>
      <c r="O619" s="3" t="str">
        <f>IFERROR(__xludf.DUMMYFUNCTION("""COMPUTED_VALUE"""),"Non Urgent")</f>
        <v>Non Urgent</v>
      </c>
    </row>
    <row r="620">
      <c r="A620" s="4">
        <f>IFERROR(__xludf.DUMMYFUNCTION("""COMPUTED_VALUE"""),46050.97148141204)</f>
        <v>46050.97148</v>
      </c>
      <c r="B620" s="3" t="str">
        <f>IFERROR(__xludf.DUMMYFUNCTION("""COMPUTED_VALUE"""),"KFFBR0004")</f>
        <v>KFFBR0004</v>
      </c>
      <c r="C620" s="3" t="str">
        <f>IFERROR(__xludf.DUMMYFUNCTION("""COMPUTED_VALUE"""),"EJO")</f>
        <v>EJO</v>
      </c>
      <c r="D620" s="3" t="str">
        <f>IFERROR(__xludf.DUMMYFUNCTION("""COMPUTED_VALUE"""),"EJO/2025/09/131")</f>
        <v>EJO/2025/09/131</v>
      </c>
      <c r="E620" s="3" t="str">
        <f>IFERROR(__xludf.DUMMYFUNCTION("""COMPUTED_VALUE"""),"HPLC ")</f>
        <v>HPLC </v>
      </c>
      <c r="F620" s="3" t="str">
        <f>IFERROR(__xludf.DUMMYFUNCTION("""COMPUTED_VALUE"""),"Plat SS316 ")</f>
        <v>Plat SS316 </v>
      </c>
      <c r="G620" s="3" t="str">
        <f>IFERROR(__xludf.DUMMYFUNCTION("""COMPUTED_VALUE"""),"SS 316 Tebal 1.2mm tipe 316L ukuran 4 x 8 ft (1220 x 2440mm)")</f>
        <v>SS 316 Tebal 1.2mm tipe 316L ukuran 4 x 8 ft (1220 x 2440mm)</v>
      </c>
      <c r="H620" s="3" t="str">
        <f>IFERROR(__xludf.DUMMYFUNCTION("""COMPUTED_VALUE"""),"universal")</f>
        <v>universal</v>
      </c>
      <c r="I620" s="3">
        <f>IFERROR(__xludf.DUMMYFUNCTION("""COMPUTED_VALUE"""),1.0)</f>
        <v>1</v>
      </c>
      <c r="J620" s="3" t="str">
        <f>IFERROR(__xludf.DUMMYFUNCTION("""COMPUTED_VALUE"""),"sheet")</f>
        <v>sheet</v>
      </c>
      <c r="K620" s="5" t="str">
        <f>IFERROR(__xludf.DUMMYFUNCTION("""COMPUTED_VALUE"""),"https://tk.tokopedia.com/ZSaHUbyMS/")</f>
        <v>https://tk.tokopedia.com/ZSaHUbyMS/</v>
      </c>
      <c r="L620" s="3" t="str">
        <f>IFERROR(__xludf.DUMMYFUNCTION("""COMPUTED_VALUE"""),"pembuatan trolly jerigen limbah mesin HPLC, ULPC dan LPC")</f>
        <v>pembuatan trolly jerigen limbah mesin HPLC, ULPC dan LPC</v>
      </c>
      <c r="M620" s="3" t="str">
        <f>IFERROR(__xludf.DUMMYFUNCTION("""COMPUTED_VALUE"""),"Approve")</f>
        <v>Approve</v>
      </c>
      <c r="N620" s="3" t="str">
        <f>IFERROR(__xludf.DUMMYFUNCTION("""COMPUTED_VALUE"""),"Normal")</f>
        <v>Normal</v>
      </c>
      <c r="O620" s="3" t="str">
        <f>IFERROR(__xludf.DUMMYFUNCTION("""COMPUTED_VALUE"""),"Non Urgent")</f>
        <v>Non Urgent</v>
      </c>
    </row>
    <row r="621">
      <c r="A621" s="4">
        <f>IFERROR(__xludf.DUMMYFUNCTION("""COMPUTED_VALUE"""),46050.975298923615)</f>
        <v>46050.9753</v>
      </c>
      <c r="B621" s="3" t="str">
        <f>IFERROR(__xludf.DUMMYFUNCTION("""COMPUTED_VALUE"""),"KFFBR0005")</f>
        <v>KFFBR0005</v>
      </c>
      <c r="C621" s="3" t="str">
        <f>IFERROR(__xludf.DUMMYFUNCTION("""COMPUTED_VALUE"""),"EJO")</f>
        <v>EJO</v>
      </c>
      <c r="D621" s="3" t="str">
        <f>IFERROR(__xludf.DUMMYFUNCTION("""COMPUTED_VALUE"""),"EJO/2025/09/131")</f>
        <v>EJO/2025/09/131</v>
      </c>
      <c r="E621" s="3" t="str">
        <f>IFERROR(__xludf.DUMMYFUNCTION("""COMPUTED_VALUE"""),"HPLC ")</f>
        <v>HPLC </v>
      </c>
      <c r="F621" s="3" t="str">
        <f>IFERROR(__xludf.DUMMYFUNCTION("""COMPUTED_VALUE"""),"Roda Trolly Rem")</f>
        <v>Roda Trolly Rem</v>
      </c>
      <c r="G621" s="3" t="str">
        <f>IFERROR(__xludf.DUMMYFUNCTION("""COMPUTED_VALUE"""),"roda trolley 1 inch, plate hidup + rem, warna hitam")</f>
        <v>roda trolley 1 inch, plate hidup + rem, warna hitam</v>
      </c>
      <c r="H621" s="3" t="str">
        <f>IFERROR(__xludf.DUMMYFUNCTION("""COMPUTED_VALUE"""),"universal")</f>
        <v>universal</v>
      </c>
      <c r="I621" s="3">
        <f>IFERROR(__xludf.DUMMYFUNCTION("""COMPUTED_VALUE"""),12.0)</f>
        <v>12</v>
      </c>
      <c r="J621" s="3" t="str">
        <f>IFERROR(__xludf.DUMMYFUNCTION("""COMPUTED_VALUE"""),"pcs")</f>
        <v>pcs</v>
      </c>
      <c r="K621" s="5" t="str">
        <f>IFERROR(__xludf.DUMMYFUNCTION("""COMPUTED_VALUE"""),"https://tk.tokopedia.com/ZSaHyVQMh/")</f>
        <v>https://tk.tokopedia.com/ZSaHyVQMh/</v>
      </c>
      <c r="L621" s="3" t="str">
        <f>IFERROR(__xludf.DUMMYFUNCTION("""COMPUTED_VALUE"""),"pembuatan trolly jerigen limbah mesin HPLC, ULPC dan LPC")</f>
        <v>pembuatan trolly jerigen limbah mesin HPLC, ULPC dan LPC</v>
      </c>
      <c r="M621" s="3" t="str">
        <f>IFERROR(__xludf.DUMMYFUNCTION("""COMPUTED_VALUE"""),"Reject")</f>
        <v>Reject</v>
      </c>
      <c r="N621" s="3" t="str">
        <f>IFERROR(__xludf.DUMMYFUNCTION("""COMPUTED_VALUE"""),"Normal")</f>
        <v>Normal</v>
      </c>
      <c r="O621" s="3" t="str">
        <f>IFERROR(__xludf.DUMMYFUNCTION("""COMPUTED_VALUE"""),"Non Urgent")</f>
        <v>Non Urgent</v>
      </c>
    </row>
    <row r="622">
      <c r="A622" s="4">
        <f>IFERROR(__xludf.DUMMYFUNCTION("""COMPUTED_VALUE"""),46051.0528322338)</f>
        <v>46051.05283</v>
      </c>
      <c r="B622" s="3" t="str">
        <f>IFERROR(__xludf.DUMMYFUNCTION("""COMPUTED_VALUE"""),"MRNBR0101")</f>
        <v>MRNBR0101</v>
      </c>
      <c r="C622" s="3" t="str">
        <f>IFERROR(__xludf.DUMMYFUNCTION("""COMPUTED_VALUE"""),"EJO")</f>
        <v>EJO</v>
      </c>
      <c r="D622" s="3" t="str">
        <f>IFERROR(__xludf.DUMMYFUNCTION("""COMPUTED_VALUE"""),"EJO/2025/08/205")</f>
        <v>EJO/2025/08/205</v>
      </c>
      <c r="E622" s="3" t="str">
        <f>IFERROR(__xludf.DUMMYFUNCTION("""COMPUTED_VALUE"""),"Lampu di IPC")</f>
        <v>Lampu di IPC</v>
      </c>
      <c r="F622" s="3" t="str">
        <f>IFERROR(__xludf.DUMMYFUNCTION("""COMPUTED_VALUE"""),"BOX lampu")</f>
        <v>BOX lampu</v>
      </c>
      <c r="G622" s="3" t="str">
        <f>IFERROR(__xludf.DUMMYFUNCTION("""COMPUTED_VALUE"""),"Lampu CPOB")</f>
        <v>Lampu CPOB</v>
      </c>
      <c r="H622" s="3" t="str">
        <f>IFERROR(__xludf.DUMMYFUNCTION("""COMPUTED_VALUE"""),"Amidef")</f>
        <v>Amidef</v>
      </c>
      <c r="I622" s="3">
        <f>IFERROR(__xludf.DUMMYFUNCTION("""COMPUTED_VALUE"""),9.0)</f>
        <v>9</v>
      </c>
      <c r="J622" s="3" t="str">
        <f>IFERROR(__xludf.DUMMYFUNCTION("""COMPUTED_VALUE"""),"pcs")</f>
        <v>pcs</v>
      </c>
      <c r="K622" s="5" t="str">
        <f>IFERROR(__xludf.DUMMYFUNCTION("""COMPUTED_VALUE"""),"https://acrobat.adobe.com/id/urn:aaid:sc:AP:ed51335f-ae92-4988-ac94-fda62b428eec")</f>
        <v>https://acrobat.adobe.com/id/urn:aaid:sc:AP:ed51335f-ae92-4988-ac94-fda62b428eec</v>
      </c>
      <c r="L622" s="3" t="str">
        <f>IFERROR(__xludf.DUMMYFUNCTION("""COMPUTED_VALUE"""),"Untuk lampu yang berkarat di produksi")</f>
        <v>Untuk lampu yang berkarat di produksi</v>
      </c>
      <c r="M622" s="3" t="str">
        <f>IFERROR(__xludf.DUMMYFUNCTION("""COMPUTED_VALUE"""),"Reject")</f>
        <v>Reject</v>
      </c>
      <c r="N622" s="3" t="str">
        <f>IFERROR(__xludf.DUMMYFUNCTION("""COMPUTED_VALUE"""),"Normal")</f>
        <v>Normal</v>
      </c>
      <c r="O622" s="3" t="str">
        <f>IFERROR(__xludf.DUMMYFUNCTION("""COMPUTED_VALUE"""),"Non Urgent")</f>
        <v>Non Urgent</v>
      </c>
    </row>
    <row r="623">
      <c r="A623" s="4">
        <f>IFERROR(__xludf.DUMMYFUNCTION("""COMPUTED_VALUE"""),46056.464922708336)</f>
        <v>46056.46492</v>
      </c>
      <c r="B623" s="3" t="str">
        <f>IFERROR(__xludf.DUMMYFUNCTION("""COMPUTED_VALUE"""),"RIABR0137")</f>
        <v>RIABR0137</v>
      </c>
      <c r="C623" s="3" t="str">
        <f>IFERROR(__xludf.DUMMYFUNCTION("""COMPUTED_VALUE"""),"EJO")</f>
        <v>EJO</v>
      </c>
      <c r="D623" s="3" t="str">
        <f>IFERROR(__xludf.DUMMYFUNCTION("""COMPUTED_VALUE"""),"EJO/2026/02/14")</f>
        <v>EJO/2026/02/14</v>
      </c>
      <c r="E623" s="3" t="str">
        <f>IFERROR(__xludf.DUMMYFUNCTION("""COMPUTED_VALUE"""),"N2 Generator")</f>
        <v>N2 Generator</v>
      </c>
      <c r="F623" s="3" t="str">
        <f>IFERROR(__xludf.DUMMYFUNCTION("""COMPUTED_VALUE"""),"Display Flow Meter")</f>
        <v>Display Flow Meter</v>
      </c>
      <c r="G623" s="3" t="str">
        <f>IFERROR(__xludf.DUMMYFUNCTION("""COMPUTED_VALUE"""),"CS Instrument DS350")</f>
        <v>CS Instrument DS350</v>
      </c>
      <c r="H623" s="3" t="str">
        <f>IFERROR(__xludf.DUMMYFUNCTION("""COMPUTED_VALUE"""),"CS Instrument")</f>
        <v>CS Instrument</v>
      </c>
      <c r="I623" s="3">
        <f>IFERROR(__xludf.DUMMYFUNCTION("""COMPUTED_VALUE"""),1.0)</f>
        <v>1</v>
      </c>
      <c r="J623" s="3" t="str">
        <f>IFERROR(__xludf.DUMMYFUNCTION("""COMPUTED_VALUE"""),"Pcs")</f>
        <v>Pcs</v>
      </c>
      <c r="K623" s="3" t="str">
        <f>IFERROR(__xludf.DUMMYFUNCTION("""COMPUTED_VALUE"""),"DS350 CS Instrument Display Flow Meter N2 Gen")</f>
        <v>DS350 CS Instrument Display Flow Meter N2 Gen</v>
      </c>
      <c r="L623" s="3" t="str">
        <f>IFERROR(__xludf.DUMMYFUNCTION("""COMPUTED_VALUE"""),"Minta tolong dicarikan penawaran untuk display ini karena sudah cek tokped dan google tidak nemu, hanya nemu yang portable saja, butuhnya cuma displaynya itu saja. Itu difolder udah tak kasih foto dan tipenya, bila masih ada kurang info saja")</f>
        <v>Minta tolong dicarikan penawaran untuk display ini karena sudah cek tokped dan google tidak nemu, hanya nemu yang portable saja, butuhnya cuma displaynya itu saja. Itu difolder udah tak kasih foto dan tipenya, bila masih ada kurang info saja</v>
      </c>
      <c r="M623" s="3" t="str">
        <f>IFERROR(__xludf.DUMMYFUNCTION("""COMPUTED_VALUE"""),"Approve")</f>
        <v>Approve</v>
      </c>
      <c r="N623" s="3" t="str">
        <f>IFERROR(__xludf.DUMMYFUNCTION("""COMPUTED_VALUE"""),"Normal")</f>
        <v>Normal</v>
      </c>
      <c r="O623" s="3" t="str">
        <f>IFERROR(__xludf.DUMMYFUNCTION("""COMPUTED_VALUE"""),"Non Urgent")</f>
        <v>Non Urgent</v>
      </c>
    </row>
    <row r="624">
      <c r="A624" s="4">
        <f>IFERROR(__xludf.DUMMYFUNCTION("""COMPUTED_VALUE"""),46056.68369653936)</f>
        <v>46056.6837</v>
      </c>
      <c r="B624" s="3" t="str">
        <f>IFERROR(__xludf.DUMMYFUNCTION("""COMPUTED_VALUE"""),"RIABR0138")</f>
        <v>RIABR0138</v>
      </c>
      <c r="C624" s="3" t="str">
        <f>IFERROR(__xludf.DUMMYFUNCTION("""COMPUTED_VALUE"""),"EJO")</f>
        <v>EJO</v>
      </c>
      <c r="D624" s="3" t="str">
        <f>IFERROR(__xludf.DUMMYFUNCTION("""COMPUTED_VALUE"""),"EJO/2026/01/92")</f>
        <v>EJO/2026/01/92</v>
      </c>
      <c r="E624" s="3" t="str">
        <f>IFERROR(__xludf.DUMMYFUNCTION("""COMPUTED_VALUE"""),"Hot Water")</f>
        <v>Hot Water</v>
      </c>
      <c r="F624" s="3" t="str">
        <f>IFERROR(__xludf.DUMMYFUNCTION("""COMPUTED_VALUE"""),"Insulasi")</f>
        <v>Insulasi</v>
      </c>
      <c r="G624" s="3" t="str">
        <f>IFERROR(__xludf.DUMMYFUNCTION("""COMPUTED_VALUE"""),"Insulasi Thermaflex")</f>
        <v>Insulasi Thermaflex</v>
      </c>
      <c r="H624" s="3" t="str">
        <f>IFERROR(__xludf.DUMMYFUNCTION("""COMPUTED_VALUE"""),"Thermaflex")</f>
        <v>Thermaflex</v>
      </c>
      <c r="I624" s="3">
        <f>IFERROR(__xludf.DUMMYFUNCTION("""COMPUTED_VALUE"""),1.0)</f>
        <v>1</v>
      </c>
      <c r="J624" s="3" t="str">
        <f>IFERROR(__xludf.DUMMYFUNCTION("""COMPUTED_VALUE"""),"Set")</f>
        <v>Set</v>
      </c>
      <c r="K624" s="3" t="str">
        <f>IFERROR(__xludf.DUMMYFUNCTION("""COMPUTED_VALUE"""),"Quote- 0049-PT Fongko international pharmaceuticals.pdf")</f>
        <v>Quote- 0049-PT Fongko international pharmaceuticals.pdf</v>
      </c>
      <c r="L624" s="3" t="str">
        <f>IFERROR(__xludf.DUMMYFUNCTION("""COMPUTED_VALUE"""),"Buat insulasi pipa hot water (REJECT BY MFH KARENA KEBUTUHAN BANYAK ITEM TAPI BQ HANYA 1 LINE)")</f>
        <v>Buat insulasi pipa hot water (REJECT BY MFH KARENA KEBUTUHAN BANYAK ITEM TAPI BQ HANYA 1 LINE)</v>
      </c>
      <c r="M624" s="3" t="str">
        <f>IFERROR(__xludf.DUMMYFUNCTION("""COMPUTED_VALUE"""),"Reject")</f>
        <v>Reject</v>
      </c>
      <c r="N624" s="3" t="str">
        <f>IFERROR(__xludf.DUMMYFUNCTION("""COMPUTED_VALUE"""),"Normal")</f>
        <v>Normal</v>
      </c>
      <c r="O624" s="3" t="str">
        <f>IFERROR(__xludf.DUMMYFUNCTION("""COMPUTED_VALUE"""),"Non Urgent")</f>
        <v>Non Urgent</v>
      </c>
    </row>
    <row r="625">
      <c r="A625" s="4">
        <f>IFERROR(__xludf.DUMMYFUNCTION("""COMPUTED_VALUE"""),46056.69940715278)</f>
        <v>46056.69941</v>
      </c>
      <c r="B625" s="3" t="str">
        <f>IFERROR(__xludf.DUMMYFUNCTION("""COMPUTED_VALUE"""),"ROSBR0079")</f>
        <v>ROSBR0079</v>
      </c>
      <c r="C625" s="3" t="str">
        <f>IFERROR(__xludf.DUMMYFUNCTION("""COMPUTED_VALUE"""),"Critical Part")</f>
        <v>Critical Part</v>
      </c>
      <c r="D625" s="3" t="str">
        <f>IFERROR(__xludf.DUMMYFUNCTION("""COMPUTED_VALUE"""),"NA")</f>
        <v>NA</v>
      </c>
      <c r="E625" s="3" t="str">
        <f>IFERROR(__xludf.DUMMYFUNCTION("""COMPUTED_VALUE"""),"Autoclave preparasi dan decontam 
Lab Micro ")</f>
        <v>Autoclave preparasi dan decontam 
Lab Micro </v>
      </c>
      <c r="F625" s="3" t="str">
        <f>IFERROR(__xludf.DUMMYFUNCTION("""COMPUTED_VALUE"""),"Water Presence Probe Kit and OR Seal")</f>
        <v>Water Presence Probe Kit and OR Seal</v>
      </c>
      <c r="G625" s="3" t="str">
        <f>IFERROR(__xludf.DUMMYFUNCTION("""COMPUTED_VALUE"""),"Water Presence Probe Kit and OR Seal
Product Code:
KK000080")</f>
        <v>Water Presence Probe Kit and OR Seal
Product Code:
KK000080</v>
      </c>
      <c r="H625" s="3" t="str">
        <f>IFERROR(__xludf.DUMMYFUNCTION("""COMPUTED_VALUE"""),"fedegari ")</f>
        <v>fedegari </v>
      </c>
      <c r="I625" s="3">
        <f>IFERROR(__xludf.DUMMYFUNCTION("""COMPUTED_VALUE"""),10.0)</f>
        <v>10</v>
      </c>
      <c r="J625" s="3" t="str">
        <f>IFERROR(__xludf.DUMMYFUNCTION("""COMPUTED_VALUE"""),"Set")</f>
        <v>Set</v>
      </c>
      <c r="K625" s="5" t="str">
        <f>IFERROR(__xludf.DUMMYFUNCTION("""COMPUTED_VALUE"""),"https://drive.google.com/drive/folders/1eCct3940FpMgMSRcHKv41fBAZmeRBUST?usp=drive_link")</f>
        <v>https://drive.google.com/drive/folders/1eCct3940FpMgMSRcHKv41fBAZmeRBUST?usp=drive_link</v>
      </c>
      <c r="L625" s="3" t="str">
        <f>IFERROR(__xludf.DUMMYFUNCTION("""COMPUTED_VALUE"""),"tolong belikan Oring kit sensor level untuk mesin autoclave preparasi dan decontam
Series Mesin 
ini no series mesin FVA/A1")</f>
        <v>tolong belikan Oring kit sensor level untuk mesin autoclave preparasi dan decontam
Series Mesin 
ini no series mesin FVA/A1</v>
      </c>
      <c r="M625" s="3" t="str">
        <f>IFERROR(__xludf.DUMMYFUNCTION("""COMPUTED_VALUE"""),"Approve")</f>
        <v>Approve</v>
      </c>
      <c r="N625" s="3" t="str">
        <f>IFERROR(__xludf.DUMMYFUNCTION("""COMPUTED_VALUE"""),"Normal")</f>
        <v>Normal</v>
      </c>
      <c r="O625" s="3" t="str">
        <f>IFERROR(__xludf.DUMMYFUNCTION("""COMPUTED_VALUE"""),"Non Urgent")</f>
        <v>Non Urgent</v>
      </c>
    </row>
    <row r="626">
      <c r="A626" s="4">
        <f>IFERROR(__xludf.DUMMYFUNCTION("""COMPUTED_VALUE"""),46056.709090289354)</f>
        <v>46056.70909</v>
      </c>
      <c r="B626" s="3" t="str">
        <f>IFERROR(__xludf.DUMMYFUNCTION("""COMPUTED_VALUE"""),"ROSBR0080")</f>
        <v>ROSBR0080</v>
      </c>
      <c r="C626" s="3" t="str">
        <f>IFERROR(__xludf.DUMMYFUNCTION("""COMPUTED_VALUE"""),"Critical Part")</f>
        <v>Critical Part</v>
      </c>
      <c r="D626" s="3" t="str">
        <f>IFERROR(__xludf.DUMMYFUNCTION("""COMPUTED_VALUE"""),"NA")</f>
        <v>NA</v>
      </c>
      <c r="E626" s="3" t="str">
        <f>IFERROR(__xludf.DUMMYFUNCTION("""COMPUTED_VALUE"""),"Printer head autoclave prepaarasi")</f>
        <v>Printer head autoclave prepaarasi</v>
      </c>
      <c r="F626" s="3" t="str">
        <f>IFERROR(__xludf.DUMMYFUNCTION("""COMPUTED_VALUE"""),"PROFACE PRINTER")</f>
        <v>PROFACE PRINTER</v>
      </c>
      <c r="G626" s="3" t="str">
        <f>IFERROR(__xludf.DUMMYFUNCTION("""COMPUTED_VALUE"""),"PROFACE PRINTER
Product Code: GP400736")</f>
        <v>PROFACE PRINTER
Product Code: GP400736</v>
      </c>
      <c r="H626" s="3" t="str">
        <f>IFERROR(__xludf.DUMMYFUNCTION("""COMPUTED_VALUE"""),"fedegari ")</f>
        <v>fedegari </v>
      </c>
      <c r="I626" s="3">
        <f>IFERROR(__xludf.DUMMYFUNCTION("""COMPUTED_VALUE"""),2.0)</f>
        <v>2</v>
      </c>
      <c r="J626" s="3" t="str">
        <f>IFERROR(__xludf.DUMMYFUNCTION("""COMPUTED_VALUE"""),"set")</f>
        <v>set</v>
      </c>
      <c r="K626" s="5" t="str">
        <f>IFERROR(__xludf.DUMMYFUNCTION("""COMPUTED_VALUE"""),"https://drive.google.com/drive/folders/1bNO_4ubS9oTp1rlIV0UiO31ztN-JfCMi")</f>
        <v>https://drive.google.com/drive/folders/1bNO_4ubS9oTp1rlIV0UiO31ztN-JfCMi</v>
      </c>
      <c r="L626" s="3" t="str">
        <f>IFERROR(__xludf.DUMMYFUNCTION("""COMPUTED_VALUE"""),"tolong belikan print head buatmesin autoclave preparasi dan 1 buat spare ")</f>
        <v>tolong belikan print head buatmesin autoclave preparasi dan 1 buat spare </v>
      </c>
      <c r="M626" s="3" t="str">
        <f>IFERROR(__xludf.DUMMYFUNCTION("""COMPUTED_VALUE"""),"Approve")</f>
        <v>Approve</v>
      </c>
      <c r="N626" s="3" t="str">
        <f>IFERROR(__xludf.DUMMYFUNCTION("""COMPUTED_VALUE"""),"Normal")</f>
        <v>Normal</v>
      </c>
      <c r="O626" s="3" t="str">
        <f>IFERROR(__xludf.DUMMYFUNCTION("""COMPUTED_VALUE"""),"Non Urgent")</f>
        <v>Non Urgent</v>
      </c>
    </row>
    <row r="627">
      <c r="A627" s="4">
        <f>IFERROR(__xludf.DUMMYFUNCTION("""COMPUTED_VALUE"""),46056.840529525456)</f>
        <v>46056.84053</v>
      </c>
      <c r="B627" s="3" t="str">
        <f>IFERROR(__xludf.DUMMYFUNCTION("""COMPUTED_VALUE"""),"BDUBR0002")</f>
        <v>BDUBR0002</v>
      </c>
      <c r="C627" s="3" t="str">
        <f>IFERROR(__xludf.DUMMYFUNCTION("""COMPUTED_VALUE"""),"EJO")</f>
        <v>EJO</v>
      </c>
      <c r="D627" s="3" t="str">
        <f>IFERROR(__xludf.DUMMYFUNCTION("""COMPUTED_VALUE"""),"EJO/2026/02/79")</f>
        <v>EJO/2026/02/79</v>
      </c>
      <c r="E627" s="3" t="str">
        <f>IFERROR(__xludf.DUMMYFUNCTION("""COMPUTED_VALUE"""),"AHU D1-2")</f>
        <v>AHU D1-2</v>
      </c>
      <c r="F627" s="3" t="str">
        <f>IFERROR(__xludf.DUMMYFUNCTION("""COMPUTED_VALUE"""),"Motorized Valve")</f>
        <v>Motorized Valve</v>
      </c>
      <c r="G627" s="3" t="str">
        <f>IFERROR(__xludf.DUMMYFUNCTION("""COMPUTED_VALUE"""),"SAS61.03 (S55158-A100)")</f>
        <v>SAS61.03 (S55158-A100)</v>
      </c>
      <c r="H627" s="3" t="str">
        <f>IFERROR(__xludf.DUMMYFUNCTION("""COMPUTED_VALUE"""),"Siemens")</f>
        <v>Siemens</v>
      </c>
      <c r="I627" s="3">
        <f>IFERROR(__xludf.DUMMYFUNCTION("""COMPUTED_VALUE"""),1.0)</f>
        <v>1</v>
      </c>
      <c r="J627" s="3" t="str">
        <f>IFERROR(__xludf.DUMMYFUNCTION("""COMPUTED_VALUE"""),"Pcs")</f>
        <v>Pcs</v>
      </c>
      <c r="K627" s="5" t="str">
        <f>IFERROR(__xludf.DUMMYFUNCTION("""COMPUTED_VALUE"""),"https://hit.sbt.siemens.com/RWD/app.aspx?module=Catalog&amp;action=ShowProduct&amp;key=S55158-A100")</f>
        <v>https://hit.sbt.siemens.com/RWD/app.aspx?module=Catalog&amp;action=ShowProduct&amp;key=S55158-A100</v>
      </c>
      <c r="L627" s="3" t="str">
        <f>IFERROR(__xludf.DUMMYFUNCTION("""COMPUTED_VALUE"""),"Untuk perbaikan mv macet")</f>
        <v>Untuk perbaikan mv macet</v>
      </c>
      <c r="M627" s="3" t="str">
        <f>IFERROR(__xludf.DUMMYFUNCTION("""COMPUTED_VALUE"""),"Reject")</f>
        <v>Reject</v>
      </c>
      <c r="N627" s="3" t="str">
        <f>IFERROR(__xludf.DUMMYFUNCTION("""COMPUTED_VALUE"""),"Normal")</f>
        <v>Normal</v>
      </c>
      <c r="O627" s="3" t="str">
        <f>IFERROR(__xludf.DUMMYFUNCTION("""COMPUTED_VALUE"""),"Non Urgent")</f>
        <v>Non Urgent</v>
      </c>
    </row>
    <row r="628">
      <c r="A628" s="4">
        <f>IFERROR(__xludf.DUMMYFUNCTION("""COMPUTED_VALUE"""),46056.84151530093)</f>
        <v>46056.84152</v>
      </c>
      <c r="B628" s="3" t="str">
        <f>IFERROR(__xludf.DUMMYFUNCTION("""COMPUTED_VALUE"""),"BDUBR0003")</f>
        <v>BDUBR0003</v>
      </c>
      <c r="C628" s="3" t="str">
        <f>IFERROR(__xludf.DUMMYFUNCTION("""COMPUTED_VALUE"""),"EJO")</f>
        <v>EJO</v>
      </c>
      <c r="D628" s="3" t="str">
        <f>IFERROR(__xludf.DUMMYFUNCTION("""COMPUTED_VALUE"""),"EJO/2026/02/79")</f>
        <v>EJO/2026/02/79</v>
      </c>
      <c r="E628" s="3" t="str">
        <f>IFERROR(__xludf.DUMMYFUNCTION("""COMPUTED_VALUE"""),"AHU D1-2")</f>
        <v>AHU D1-2</v>
      </c>
      <c r="F628" s="3" t="str">
        <f>IFERROR(__xludf.DUMMYFUNCTION("""COMPUTED_VALUE"""),"Body Valve")</f>
        <v>Body Valve</v>
      </c>
      <c r="G628" s="3" t="str">
        <f>IFERROR(__xludf.DUMMYFUNCTION("""COMPUTED_VALUE"""),"VVG44.25-10, 2 port")</f>
        <v>VVG44.25-10, 2 port</v>
      </c>
      <c r="H628" s="3" t="str">
        <f>IFERROR(__xludf.DUMMYFUNCTION("""COMPUTED_VALUE"""),"Siemens")</f>
        <v>Siemens</v>
      </c>
      <c r="I628" s="3">
        <f>IFERROR(__xludf.DUMMYFUNCTION("""COMPUTED_VALUE"""),1.0)</f>
        <v>1</v>
      </c>
      <c r="J628" s="3" t="str">
        <f>IFERROR(__xludf.DUMMYFUNCTION("""COMPUTED_VALUE"""),"Pcs")</f>
        <v>Pcs</v>
      </c>
      <c r="K628" s="5" t="str">
        <f>IFERROR(__xludf.DUMMYFUNCTION("""COMPUTED_VALUE"""),"https://hit.sbt.siemens.com/RWD/app.aspx?module=Catalog&amp;action=ShowProduct&amp;key=BPZ:VVG44.25-10")</f>
        <v>https://hit.sbt.siemens.com/RWD/app.aspx?module=Catalog&amp;action=ShowProduct&amp;key=BPZ:VVG44.25-10</v>
      </c>
      <c r="L628" s="3" t="str">
        <f>IFERROR(__xludf.DUMMYFUNCTION("""COMPUTED_VALUE"""),"Untuk perbaikan body Valve bocor")</f>
        <v>Untuk perbaikan body Valve bocor</v>
      </c>
      <c r="M628" s="3" t="str">
        <f>IFERROR(__xludf.DUMMYFUNCTION("""COMPUTED_VALUE"""),"Reject")</f>
        <v>Reject</v>
      </c>
      <c r="N628" s="3" t="str">
        <f>IFERROR(__xludf.DUMMYFUNCTION("""COMPUTED_VALUE"""),"Normal")</f>
        <v>Normal</v>
      </c>
      <c r="O628" s="3" t="str">
        <f>IFERROR(__xludf.DUMMYFUNCTION("""COMPUTED_VALUE"""),"Non Urgent")</f>
        <v>Non Urgent</v>
      </c>
    </row>
    <row r="629">
      <c r="A629" s="4">
        <f>IFERROR(__xludf.DUMMYFUNCTION("""COMPUTED_VALUE"""),46058.39088365741)</f>
        <v>46058.39088</v>
      </c>
      <c r="B629" s="3" t="str">
        <f>IFERROR(__xludf.DUMMYFUNCTION("""COMPUTED_VALUE"""),"AAABR0032")</f>
        <v>AAABR0032</v>
      </c>
      <c r="C629" s="3" t="str">
        <f>IFERROR(__xludf.DUMMYFUNCTION("""COMPUTED_VALUE"""),"EJO")</f>
        <v>EJO</v>
      </c>
      <c r="D629" s="3" t="str">
        <f>IFERROR(__xludf.DUMMYFUNCTION("""COMPUTED_VALUE"""),"EJO/2026/02/76")</f>
        <v>EJO/2026/02/76</v>
      </c>
      <c r="E629" s="3" t="str">
        <f>IFERROR(__xludf.DUMMYFUNCTION("""COMPUTED_VALUE"""),"Furnace")</f>
        <v>Furnace</v>
      </c>
      <c r="F629" s="3" t="str">
        <f>IFERROR(__xludf.DUMMYFUNCTION("""COMPUTED_VALUE"""),"termokopel ")</f>
        <v>termokopel </v>
      </c>
      <c r="G629" s="3" t="str">
        <f>IFERROR(__xludf.DUMMYFUNCTION("""COMPUTED_VALUE"""),"type K ; 1300 degree ; keramik material")</f>
        <v>type K ; 1300 degree ; keramik material</v>
      </c>
      <c r="H629" s="3" t="str">
        <f>IFERROR(__xludf.DUMMYFUNCTION("""COMPUTED_VALUE"""),"NA")</f>
        <v>NA</v>
      </c>
      <c r="I629" s="3">
        <f>IFERROR(__xludf.DUMMYFUNCTION("""COMPUTED_VALUE"""),2.0)</f>
        <v>2</v>
      </c>
      <c r="J629" s="3" t="str">
        <f>IFERROR(__xludf.DUMMYFUNCTION("""COMPUTED_VALUE"""),"Pcs")</f>
        <v>Pcs</v>
      </c>
      <c r="K629" s="3" t="str">
        <f>IFERROR(__xludf.DUMMYFUNCTION("""COMPUTED_VALUE"""),"https://id.shp.ee/T3wxPnp (REJECT BY MFH KARENA SUDAH BELI ONLINE)")</f>
        <v>https://id.shp.ee/T3wxPnp (REJECT BY MFH KARENA SUDAH BELI ONLINE)</v>
      </c>
      <c r="L629" s="3" t="str">
        <f>IFERROR(__xludf.DUMMYFUNCTION("""COMPUTED_VALUE"""),"neede date 05 mar 26")</f>
        <v>neede date 05 mar 26</v>
      </c>
      <c r="M629" s="3" t="str">
        <f>IFERROR(__xludf.DUMMYFUNCTION("""COMPUTED_VALUE"""),"Reject")</f>
        <v>Reject</v>
      </c>
      <c r="N629" s="3" t="str">
        <f>IFERROR(__xludf.DUMMYFUNCTION("""COMPUTED_VALUE"""),"Normal")</f>
        <v>Normal</v>
      </c>
      <c r="O629" s="3" t="str">
        <f>IFERROR(__xludf.DUMMYFUNCTION("""COMPUTED_VALUE"""),"Non Urgent")</f>
        <v>Non Urgent</v>
      </c>
    </row>
    <row r="630">
      <c r="A630" s="4">
        <f>IFERROR(__xludf.DUMMYFUNCTION("""COMPUTED_VALUE"""),46062.37783008102)</f>
        <v>46062.37783</v>
      </c>
      <c r="B630" s="3" t="str">
        <f>IFERROR(__xludf.DUMMYFUNCTION("""COMPUTED_VALUE"""),"MFHBR0020")</f>
        <v>MFHBR0020</v>
      </c>
      <c r="C630" s="3" t="str">
        <f>IFERROR(__xludf.DUMMYFUNCTION("""COMPUTED_VALUE"""),"Critical Part")</f>
        <v>Critical Part</v>
      </c>
      <c r="D630" s="3" t="str">
        <f>IFERROR(__xludf.DUMMYFUNCTION("""COMPUTED_VALUE"""),"-")</f>
        <v>-</v>
      </c>
      <c r="E630" s="3" t="str">
        <f>IFERROR(__xludf.DUMMYFUNCTION("""COMPUTED_VALUE"""),"Building")</f>
        <v>Building</v>
      </c>
      <c r="F630" s="3" t="str">
        <f>IFERROR(__xludf.DUMMYFUNCTION("""COMPUTED_VALUE"""),"Renovation - Penambahan AHU B1-3")</f>
        <v>Renovation - Penambahan AHU B1-3</v>
      </c>
      <c r="G630" s="3" t="str">
        <f>IFERROR(__xludf.DUMMYFUNCTION("""COMPUTED_VALUE"""),"-")</f>
        <v>-</v>
      </c>
      <c r="H630" s="3" t="str">
        <f>IFERROR(__xludf.DUMMYFUNCTION("""COMPUTED_VALUE"""),"KPE")</f>
        <v>KPE</v>
      </c>
      <c r="I630" s="3">
        <f>IFERROR(__xludf.DUMMYFUNCTION("""COMPUTED_VALUE"""),1.0)</f>
        <v>1</v>
      </c>
      <c r="J630" s="3" t="str">
        <f>IFERROR(__xludf.DUMMYFUNCTION("""COMPUTED_VALUE"""),"Lot")</f>
        <v>Lot</v>
      </c>
      <c r="K630" s="3" t="str">
        <f>IFERROR(__xludf.DUMMYFUNCTION("""COMPUTED_VALUE"""),"Email Pak Kris")</f>
        <v>Email Pak Kris</v>
      </c>
      <c r="L630" s="3" t="str">
        <f>IFERROR(__xludf.DUMMYFUNCTION("""COMPUTED_VALUE"""),"2865 121703291 - APPROVED R-71002-00")</f>
        <v>2865 121703291 - APPROVED R-71002-00</v>
      </c>
      <c r="M630" s="3" t="str">
        <f>IFERROR(__xludf.DUMMYFUNCTION("""COMPUTED_VALUE"""),"Approve")</f>
        <v>Approve</v>
      </c>
      <c r="N630" s="3" t="str">
        <f>IFERROR(__xludf.DUMMYFUNCTION("""COMPUTED_VALUE"""),"Normal")</f>
        <v>Normal</v>
      </c>
      <c r="O630" s="3" t="str">
        <f>IFERROR(__xludf.DUMMYFUNCTION("""COMPUTED_VALUE"""),"Non Urgent")</f>
        <v>Non Urgent</v>
      </c>
    </row>
    <row r="631">
      <c r="A631" s="4">
        <f>IFERROR(__xludf.DUMMYFUNCTION("""COMPUTED_VALUE"""),46062.37783008102)</f>
        <v>46062.37783</v>
      </c>
      <c r="B631" s="3" t="str">
        <f>IFERROR(__xludf.DUMMYFUNCTION("""COMPUTED_VALUE"""),"MFHBR0021")</f>
        <v>MFHBR0021</v>
      </c>
      <c r="C631" s="3" t="str">
        <f>IFERROR(__xludf.DUMMYFUNCTION("""COMPUTED_VALUE"""),"Critical Part")</f>
        <v>Critical Part</v>
      </c>
      <c r="D631" s="3" t="str">
        <f>IFERROR(__xludf.DUMMYFUNCTION("""COMPUTED_VALUE"""),"-")</f>
        <v>-</v>
      </c>
      <c r="E631" s="3" t="str">
        <f>IFERROR(__xludf.DUMMYFUNCTION("""COMPUTED_VALUE"""),"FD")</f>
        <v>FD</v>
      </c>
      <c r="F631" s="3" t="str">
        <f>IFERROR(__xludf.DUMMYFUNCTION("""COMPUTED_VALUE"""),"Machine Equipment; ; ; - Suplai dan Instalasi Sistim Exhaust untuk Chimney, BIBO/Safe Change + Preparasi")</f>
        <v>Machine Equipment; ; ; - Suplai dan Instalasi Sistim Exhaust untuk Chimney, BIBO/Safe Change + Preparasi</v>
      </c>
      <c r="G631" s="3" t="str">
        <f>IFERROR(__xludf.DUMMYFUNCTION("""COMPUTED_VALUE"""),"-")</f>
        <v>-</v>
      </c>
      <c r="H631" s="3" t="str">
        <f>IFERROR(__xludf.DUMMYFUNCTION("""COMPUTED_VALUE"""),"KPE")</f>
        <v>KPE</v>
      </c>
      <c r="I631" s="3">
        <f>IFERROR(__xludf.DUMMYFUNCTION("""COMPUTED_VALUE"""),1.0)</f>
        <v>1</v>
      </c>
      <c r="J631" s="3" t="str">
        <f>IFERROR(__xludf.DUMMYFUNCTION("""COMPUTED_VALUE"""),"Lot")</f>
        <v>Lot</v>
      </c>
      <c r="K631" s="3" t="str">
        <f>IFERROR(__xludf.DUMMYFUNCTION("""COMPUTED_VALUE"""),"Email Pak Kris")</f>
        <v>Email Pak Kris</v>
      </c>
      <c r="L631" s="3" t="str">
        <f>IFERROR(__xludf.DUMMYFUNCTION("""COMPUTED_VALUE"""),"3120 121703500 - APPROVED R-20024-00")</f>
        <v>3120 121703500 - APPROVED R-20024-00</v>
      </c>
      <c r="M631" s="3" t="str">
        <f>IFERROR(__xludf.DUMMYFUNCTION("""COMPUTED_VALUE"""),"Approve")</f>
        <v>Approve</v>
      </c>
      <c r="N631" s="3" t="str">
        <f>IFERROR(__xludf.DUMMYFUNCTION("""COMPUTED_VALUE"""),"Normal")</f>
        <v>Normal</v>
      </c>
      <c r="O631" s="3" t="str">
        <f>IFERROR(__xludf.DUMMYFUNCTION("""COMPUTED_VALUE"""),"Non Urgent")</f>
        <v>Non Urgent</v>
      </c>
    </row>
    <row r="632">
      <c r="A632" s="4">
        <f>IFERROR(__xludf.DUMMYFUNCTION("""COMPUTED_VALUE"""),46062.37783008102)</f>
        <v>46062.37783</v>
      </c>
      <c r="B632" s="3" t="str">
        <f>IFERROR(__xludf.DUMMYFUNCTION("""COMPUTED_VALUE"""),"MFHBR0022")</f>
        <v>MFHBR0022</v>
      </c>
      <c r="C632" s="3" t="str">
        <f>IFERROR(__xludf.DUMMYFUNCTION("""COMPUTED_VALUE"""),"Critical Part")</f>
        <v>Critical Part</v>
      </c>
      <c r="D632" s="3" t="str">
        <f>IFERROR(__xludf.DUMMYFUNCTION("""COMPUTED_VALUE"""),"-")</f>
        <v>-</v>
      </c>
      <c r="E632" s="3" t="str">
        <f>IFERROR(__xludf.DUMMYFUNCTION("""COMPUTED_VALUE"""),"Water System")</f>
        <v>Water System</v>
      </c>
      <c r="F632" s="3" t="str">
        <f>IFERROR(__xludf.DUMMYFUNCTION("""COMPUTED_VALUE"""),"Inverter")</f>
        <v>Inverter</v>
      </c>
      <c r="G632" s="3" t="str">
        <f>IFERROR(__xludf.DUMMYFUNCTION("""COMPUTED_VALUE"""),"Utility Equipment; ; ; - FC-102P11KT4E20H2XGXXXXSXXXXAXBXCXXXXDX - FC-102P11KT4E20H2XGXXXXSXXXXAXBXCXXXXDX")</f>
        <v>Utility Equipment; ; ; - FC-102P11KT4E20H2XGXXXXSXXXXAXBXCXXXXDX - FC-102P11KT4E20H2XGXXXXSXXXXAXBXCXXXXDX</v>
      </c>
      <c r="H632" s="3" t="str">
        <f>IFERROR(__xludf.DUMMYFUNCTION("""COMPUTED_VALUE"""),"Danfoss")</f>
        <v>Danfoss</v>
      </c>
      <c r="I632" s="3">
        <f>IFERROR(__xludf.DUMMYFUNCTION("""COMPUTED_VALUE"""),1.0)</f>
        <v>1</v>
      </c>
      <c r="J632" s="3" t="str">
        <f>IFERROR(__xludf.DUMMYFUNCTION("""COMPUTED_VALUE"""),"Unit")</f>
        <v>Unit</v>
      </c>
      <c r="K632" s="3" t="str">
        <f>IFERROR(__xludf.DUMMYFUNCTION("""COMPUTED_VALUE"""),"BQ")</f>
        <v>BQ</v>
      </c>
      <c r="L632" s="3" t="str">
        <f>IFERROR(__xludf.DUMMYFUNCTION("""COMPUTED_VALUE"""),"3146 121703545 - APPROVED R-21013-00")</f>
        <v>3146 121703545 - APPROVED R-21013-00</v>
      </c>
      <c r="M632" s="3" t="str">
        <f>IFERROR(__xludf.DUMMYFUNCTION("""COMPUTED_VALUE"""),"Approve")</f>
        <v>Approve</v>
      </c>
      <c r="N632" s="3" t="str">
        <f>IFERROR(__xludf.DUMMYFUNCTION("""COMPUTED_VALUE"""),"Normal")</f>
        <v>Normal</v>
      </c>
      <c r="O632" s="3" t="str">
        <f>IFERROR(__xludf.DUMMYFUNCTION("""COMPUTED_VALUE"""),"Non Urgent")</f>
        <v>Non Urgent</v>
      </c>
    </row>
    <row r="633">
      <c r="A633" s="4">
        <f>IFERROR(__xludf.DUMMYFUNCTION("""COMPUTED_VALUE"""),46062.37783008102)</f>
        <v>46062.37783</v>
      </c>
      <c r="B633" s="3" t="str">
        <f>IFERROR(__xludf.DUMMYFUNCTION("""COMPUTED_VALUE"""),"MFHBR0023")</f>
        <v>MFHBR0023</v>
      </c>
      <c r="C633" s="3" t="str">
        <f>IFERROR(__xludf.DUMMYFUNCTION("""COMPUTED_VALUE"""),"Critical Part")</f>
        <v>Critical Part</v>
      </c>
      <c r="D633" s="3" t="str">
        <f>IFERROR(__xludf.DUMMYFUNCTION("""COMPUTED_VALUE"""),"-")</f>
        <v>-</v>
      </c>
      <c r="E633" s="3" t="str">
        <f>IFERROR(__xludf.DUMMYFUNCTION("""COMPUTED_VALUE"""),"Building")</f>
        <v>Building</v>
      </c>
      <c r="F633" s="3" t="str">
        <f>IFERROR(__xludf.DUMMYFUNCTION("""COMPUTED_VALUE"""),"Machine Equipment; ; ; - Addtitional Project Pipa Utilitas - Addtitional Project Pipa Utilitas - Addtitional Project Pipa Utilitas - Addtitional Project Pipa Utilitas - Addtitional Project Pipa Utilitas - Addtitional Project Pipa Utilitas")</f>
        <v>Machine Equipment; ; ; - Addtitional Project Pipa Utilitas - Addtitional Project Pipa Utilitas - Addtitional Project Pipa Utilitas - Addtitional Project Pipa Utilitas - Addtitional Project Pipa Utilitas - Addtitional Project Pipa Utilitas</v>
      </c>
      <c r="G633" s="3" t="str">
        <f>IFERROR(__xludf.DUMMYFUNCTION("""COMPUTED_VALUE"""),"-")</f>
        <v>-</v>
      </c>
      <c r="H633" s="3" t="str">
        <f>IFERROR(__xludf.DUMMYFUNCTION("""COMPUTED_VALUE"""),"TSP")</f>
        <v>TSP</v>
      </c>
      <c r="I633" s="3">
        <f>IFERROR(__xludf.DUMMYFUNCTION("""COMPUTED_VALUE"""),1.0)</f>
        <v>1</v>
      </c>
      <c r="J633" s="3" t="str">
        <f>IFERROR(__xludf.DUMMYFUNCTION("""COMPUTED_VALUE"""),"Lot")</f>
        <v>Lot</v>
      </c>
      <c r="K633" s="3" t="str">
        <f>IFERROR(__xludf.DUMMYFUNCTION("""COMPUTED_VALUE"""),"Email Pak Kris")</f>
        <v>Email Pak Kris</v>
      </c>
      <c r="L633" s="3" t="str">
        <f>IFERROR(__xludf.DUMMYFUNCTION("""COMPUTED_VALUE"""),"3187 121703584 - APPROVED R-20024-00")</f>
        <v>3187 121703584 - APPROVED R-20024-00</v>
      </c>
      <c r="M633" s="3" t="str">
        <f>IFERROR(__xludf.DUMMYFUNCTION("""COMPUTED_VALUE"""),"Approve")</f>
        <v>Approve</v>
      </c>
      <c r="N633" s="3" t="str">
        <f>IFERROR(__xludf.DUMMYFUNCTION("""COMPUTED_VALUE"""),"Normal")</f>
        <v>Normal</v>
      </c>
      <c r="O633" s="3" t="str">
        <f>IFERROR(__xludf.DUMMYFUNCTION("""COMPUTED_VALUE"""),"Non Urgent")</f>
        <v>Non Urgent</v>
      </c>
    </row>
    <row r="634">
      <c r="A634" s="4">
        <f>IFERROR(__xludf.DUMMYFUNCTION("""COMPUTED_VALUE"""),46062.37783008102)</f>
        <v>46062.37783</v>
      </c>
      <c r="B634" s="3" t="str">
        <f>IFERROR(__xludf.DUMMYFUNCTION("""COMPUTED_VALUE"""),"MFHBR0024")</f>
        <v>MFHBR0024</v>
      </c>
      <c r="C634" s="3" t="str">
        <f>IFERROR(__xludf.DUMMYFUNCTION("""COMPUTED_VALUE"""),"Critical Part")</f>
        <v>Critical Part</v>
      </c>
      <c r="D634" s="3" t="str">
        <f>IFERROR(__xludf.DUMMYFUNCTION("""COMPUTED_VALUE"""),"-")</f>
        <v>-</v>
      </c>
      <c r="E634" s="3" t="str">
        <f>IFERROR(__xludf.DUMMYFUNCTION("""COMPUTED_VALUE"""),"Building")</f>
        <v>Building</v>
      </c>
      <c r="F634" s="3" t="str">
        <f>IFERROR(__xludf.DUMMYFUNCTION("""COMPUTED_VALUE"""),"Flow Meter")</f>
        <v>Flow Meter</v>
      </c>
      <c r="G634" s="3" t="str">
        <f>IFERROR(__xludf.DUMMYFUNCTION("""COMPUTED_VALUE"""),"Utility Equipment; ; ; - VORTEX FLOWMETER, REMOTE TYPE DISPLAY, CABLE LENGTH 20M CONN FLANGE PN16 DN80, OUTPUT 4-20MA +RS485, PWR 24 VDC, SS304, EX PROOF, SPV NO: VOFT80S32R1D - VORTEX FLOWMETER, REMOTE TYPE DISPLAY, CABLE LENGTH 20M CONN F")</f>
        <v>Utility Equipment; ; ; - VORTEX FLOWMETER, REMOTE TYPE DISPLAY, CABLE LENGTH 20M CONN FLANGE PN16 DN80, OUTPUT 4-20MA +RS485, PWR 24 VDC, SS304, EX PROOF, SPV NO: VOFT80S32R1D - VORTEX FLOWMETER, REMOTE TYPE DISPLAY, CABLE LENGTH 20M CONN F</v>
      </c>
      <c r="H634" s="3" t="str">
        <f>IFERROR(__xludf.DUMMYFUNCTION("""COMPUTED_VALUE"""),"SSPV")</f>
        <v>SSPV</v>
      </c>
      <c r="I634" s="3">
        <f>IFERROR(__xludf.DUMMYFUNCTION("""COMPUTED_VALUE"""),1.0)</f>
        <v>1</v>
      </c>
      <c r="J634" s="3" t="str">
        <f>IFERROR(__xludf.DUMMYFUNCTION("""COMPUTED_VALUE"""),"Unit")</f>
        <v>Unit</v>
      </c>
      <c r="K634" s="3" t="str">
        <f>IFERROR(__xludf.DUMMYFUNCTION("""COMPUTED_VALUE"""),"Email Mas Ken")</f>
        <v>Email Mas Ken</v>
      </c>
      <c r="L634" s="3" t="str">
        <f>IFERROR(__xludf.DUMMYFUNCTION("""COMPUTED_VALUE"""),"3191 121703597 - APPROVED R-21013-00")</f>
        <v>3191 121703597 - APPROVED R-21013-00</v>
      </c>
      <c r="M634" s="3" t="str">
        <f>IFERROR(__xludf.DUMMYFUNCTION("""COMPUTED_VALUE"""),"Approve")</f>
        <v>Approve</v>
      </c>
      <c r="N634" s="3" t="str">
        <f>IFERROR(__xludf.DUMMYFUNCTION("""COMPUTED_VALUE"""),"Normal")</f>
        <v>Normal</v>
      </c>
      <c r="O634" s="3" t="str">
        <f>IFERROR(__xludf.DUMMYFUNCTION("""COMPUTED_VALUE"""),"Non Urgent")</f>
        <v>Non Urgent</v>
      </c>
    </row>
    <row r="635">
      <c r="A635" s="4">
        <f>IFERROR(__xludf.DUMMYFUNCTION("""COMPUTED_VALUE"""),46062.37783008102)</f>
        <v>46062.37783</v>
      </c>
      <c r="B635" s="3" t="str">
        <f>IFERROR(__xludf.DUMMYFUNCTION("""COMPUTED_VALUE"""),"MFHBR0025")</f>
        <v>MFHBR0025</v>
      </c>
      <c r="C635" s="3" t="str">
        <f>IFERROR(__xludf.DUMMYFUNCTION("""COMPUTED_VALUE"""),"Critical Part")</f>
        <v>Critical Part</v>
      </c>
      <c r="D635" s="3" t="str">
        <f>IFERROR(__xludf.DUMMYFUNCTION("""COMPUTED_VALUE"""),"-")</f>
        <v>-</v>
      </c>
      <c r="E635" s="3" t="str">
        <f>IFERROR(__xludf.DUMMYFUNCTION("""COMPUTED_VALUE"""),"Building")</f>
        <v>Building</v>
      </c>
      <c r="F635" s="3" t="str">
        <f>IFERROR(__xludf.DUMMYFUNCTION("""COMPUTED_VALUE"""),"Flow Meter")</f>
        <v>Flow Meter</v>
      </c>
      <c r="G635" s="3" t="str">
        <f>IFERROR(__xludf.DUMMYFUNCTION("""COMPUTED_VALUE"""),"Utility Equipment; ; ; - FLOWMETER ULTRASONIC, MODEL MUF-2000 SERIES, WALL MOUNTED, CLAMP ON, MIDDLE SIZE DN50-700,10 MT CABLE, OUTPUT PULSE+4-20MA+RS485, COMPLETE PACKAGE")</f>
        <v>Utility Equipment; ; ; - FLOWMETER ULTRASONIC, MODEL MUF-2000 SERIES, WALL MOUNTED, CLAMP ON, MIDDLE SIZE DN50-700,10 MT CABLE, OUTPUT PULSE+4-20MA+RS485, COMPLETE PACKAGE</v>
      </c>
      <c r="H635" s="3" t="str">
        <f>IFERROR(__xludf.DUMMYFUNCTION("""COMPUTED_VALUE"""),"SSPV")</f>
        <v>SSPV</v>
      </c>
      <c r="I635" s="3">
        <f>IFERROR(__xludf.DUMMYFUNCTION("""COMPUTED_VALUE"""),1.0)</f>
        <v>1</v>
      </c>
      <c r="J635" s="3" t="str">
        <f>IFERROR(__xludf.DUMMYFUNCTION("""COMPUTED_VALUE"""),"Unit")</f>
        <v>Unit</v>
      </c>
      <c r="K635" s="3" t="str">
        <f>IFERROR(__xludf.DUMMYFUNCTION("""COMPUTED_VALUE"""),"Email Mas Ken")</f>
        <v>Email Mas Ken</v>
      </c>
      <c r="L635" s="3" t="str">
        <f>IFERROR(__xludf.DUMMYFUNCTION("""COMPUTED_VALUE"""),"3192 121703600 - APPROVED R-21013-00")</f>
        <v>3192 121703600 - APPROVED R-21013-00</v>
      </c>
      <c r="M635" s="3" t="str">
        <f>IFERROR(__xludf.DUMMYFUNCTION("""COMPUTED_VALUE"""),"Approve")</f>
        <v>Approve</v>
      </c>
      <c r="N635" s="3" t="str">
        <f>IFERROR(__xludf.DUMMYFUNCTION("""COMPUTED_VALUE"""),"Normal")</f>
        <v>Normal</v>
      </c>
      <c r="O635" s="3" t="str">
        <f>IFERROR(__xludf.DUMMYFUNCTION("""COMPUTED_VALUE"""),"Non Urgent")</f>
        <v>Non Urgent</v>
      </c>
    </row>
    <row r="636">
      <c r="A636" s="4">
        <f>IFERROR(__xludf.DUMMYFUNCTION("""COMPUTED_VALUE"""),46062.37783008102)</f>
        <v>46062.37783</v>
      </c>
      <c r="B636" s="3" t="str">
        <f>IFERROR(__xludf.DUMMYFUNCTION("""COMPUTED_VALUE"""),"MFHBR0026")</f>
        <v>MFHBR0026</v>
      </c>
      <c r="C636" s="3" t="str">
        <f>IFERROR(__xludf.DUMMYFUNCTION("""COMPUTED_VALUE"""),"Critical Part")</f>
        <v>Critical Part</v>
      </c>
      <c r="D636" s="3" t="str">
        <f>IFERROR(__xludf.DUMMYFUNCTION("""COMPUTED_VALUE"""),"-")</f>
        <v>-</v>
      </c>
      <c r="E636" s="3" t="str">
        <f>IFERROR(__xludf.DUMMYFUNCTION("""COMPUTED_VALUE"""),"Water System")</f>
        <v>Water System</v>
      </c>
      <c r="F636" s="3" t="str">
        <f>IFERROR(__xludf.DUMMYFUNCTION("""COMPUTED_VALUE"""),"Pompa")</f>
        <v>Pompa</v>
      </c>
      <c r="G636" s="3" t="str">
        <f>IFERROR(__xludf.DUMMYFUNCTION("""COMPUTED_VALUE"""),"Utility Equipment; ; ; - Pompa Grundfos CRN1-6 EFO-CX-A-F-HQQE 3x230/400 50HZ")</f>
        <v>Utility Equipment; ; ; - Pompa Grundfos CRN1-6 EFO-CX-A-F-HQQE 3x230/400 50HZ</v>
      </c>
      <c r="H636" s="3" t="str">
        <f>IFERROR(__xludf.DUMMYFUNCTION("""COMPUTED_VALUE"""),"Grundfoss")</f>
        <v>Grundfoss</v>
      </c>
      <c r="I636" s="3">
        <f>IFERROR(__xludf.DUMMYFUNCTION("""COMPUTED_VALUE"""),1.0)</f>
        <v>1</v>
      </c>
      <c r="J636" s="3" t="str">
        <f>IFERROR(__xludf.DUMMYFUNCTION("""COMPUTED_VALUE"""),"Unit")</f>
        <v>Unit</v>
      </c>
      <c r="K636" s="3" t="str">
        <f>IFERROR(__xludf.DUMMYFUNCTION("""COMPUTED_VALUE"""),"Email Mas Ken")</f>
        <v>Email Mas Ken</v>
      </c>
      <c r="L636" s="3" t="str">
        <f>IFERROR(__xludf.DUMMYFUNCTION("""COMPUTED_VALUE"""),"3207 121703620 - APPROVED R-21013-00")</f>
        <v>3207 121703620 - APPROVED R-21013-00</v>
      </c>
      <c r="M636" s="3" t="str">
        <f>IFERROR(__xludf.DUMMYFUNCTION("""COMPUTED_VALUE"""),"Approve")</f>
        <v>Approve</v>
      </c>
      <c r="N636" s="3" t="str">
        <f>IFERROR(__xludf.DUMMYFUNCTION("""COMPUTED_VALUE"""),"Normal")</f>
        <v>Normal</v>
      </c>
      <c r="O636" s="3" t="str">
        <f>IFERROR(__xludf.DUMMYFUNCTION("""COMPUTED_VALUE"""),"Non Urgent")</f>
        <v>Non Urgent</v>
      </c>
    </row>
    <row r="637">
      <c r="A637" s="4">
        <f>IFERROR(__xludf.DUMMYFUNCTION("""COMPUTED_VALUE"""),46062.37783008102)</f>
        <v>46062.37783</v>
      </c>
      <c r="B637" s="3" t="str">
        <f>IFERROR(__xludf.DUMMYFUNCTION("""COMPUTED_VALUE"""),"MFHBR0027")</f>
        <v>MFHBR0027</v>
      </c>
      <c r="C637" s="3" t="str">
        <f>IFERROR(__xludf.DUMMYFUNCTION("""COMPUTED_VALUE"""),"Critical Part")</f>
        <v>Critical Part</v>
      </c>
      <c r="D637" s="3" t="str">
        <f>IFERROR(__xludf.DUMMYFUNCTION("""COMPUTED_VALUE"""),"-")</f>
        <v>-</v>
      </c>
      <c r="E637" s="3" t="str">
        <f>IFERROR(__xludf.DUMMYFUNCTION("""COMPUTED_VALUE"""),"Water System")</f>
        <v>Water System</v>
      </c>
      <c r="F637" s="3" t="str">
        <f>IFERROR(__xludf.DUMMYFUNCTION("""COMPUTED_VALUE"""),"Upgrade Sensor Ozone")</f>
        <v>Upgrade Sensor Ozone</v>
      </c>
      <c r="G637" s="3" t="str">
        <f>IFERROR(__xludf.DUMMYFUNCTION("""COMPUTED_VALUE"""),"Utility Equipment; ; ; - Transmitter M300 Water 2-CH 1/4DIN 30280778")</f>
        <v>Utility Equipment; ; ; - Transmitter M300 Water 2-CH 1/4DIN 30280778</v>
      </c>
      <c r="H637" s="3" t="str">
        <f>IFERROR(__xludf.DUMMYFUNCTION("""COMPUTED_VALUE"""),"Mettler")</f>
        <v>Mettler</v>
      </c>
      <c r="I637" s="3">
        <f>IFERROR(__xludf.DUMMYFUNCTION("""COMPUTED_VALUE"""),1.0)</f>
        <v>1</v>
      </c>
      <c r="J637" s="3" t="str">
        <f>IFERROR(__xludf.DUMMYFUNCTION("""COMPUTED_VALUE"""),"Unit")</f>
        <v>Unit</v>
      </c>
      <c r="K637" s="3" t="str">
        <f>IFERROR(__xludf.DUMMYFUNCTION("""COMPUTED_VALUE"""),"Email Mas Ken")</f>
        <v>Email Mas Ken</v>
      </c>
      <c r="L637" s="3" t="str">
        <f>IFERROR(__xludf.DUMMYFUNCTION("""COMPUTED_VALUE"""),"3255 121703680 - APPROVED R21013-00")</f>
        <v>3255 121703680 - APPROVED R21013-00</v>
      </c>
      <c r="M637" s="3" t="str">
        <f>IFERROR(__xludf.DUMMYFUNCTION("""COMPUTED_VALUE"""),"Approve")</f>
        <v>Approve</v>
      </c>
      <c r="N637" s="3" t="str">
        <f>IFERROR(__xludf.DUMMYFUNCTION("""COMPUTED_VALUE"""),"Normal")</f>
        <v>Normal</v>
      </c>
      <c r="O637" s="3" t="str">
        <f>IFERROR(__xludf.DUMMYFUNCTION("""COMPUTED_VALUE"""),"Non Urgent")</f>
        <v>Non Urgent</v>
      </c>
    </row>
    <row r="638">
      <c r="A638" s="4">
        <f>IFERROR(__xludf.DUMMYFUNCTION("""COMPUTED_VALUE"""),46062.37783008102)</f>
        <v>46062.37783</v>
      </c>
      <c r="B638" s="3" t="str">
        <f>IFERROR(__xludf.DUMMYFUNCTION("""COMPUTED_VALUE"""),"MFHBR0028")</f>
        <v>MFHBR0028</v>
      </c>
      <c r="C638" s="3" t="str">
        <f>IFERROR(__xludf.DUMMYFUNCTION("""COMPUTED_VALUE"""),"Critical Part")</f>
        <v>Critical Part</v>
      </c>
      <c r="D638" s="3" t="str">
        <f>IFERROR(__xludf.DUMMYFUNCTION("""COMPUTED_VALUE"""),"-")</f>
        <v>-</v>
      </c>
      <c r="E638" s="3" t="str">
        <f>IFERROR(__xludf.DUMMYFUNCTION("""COMPUTED_VALUE"""),"Water System")</f>
        <v>Water System</v>
      </c>
      <c r="F638" s="3" t="str">
        <f>IFERROR(__xludf.DUMMYFUNCTION("""COMPUTED_VALUE"""),"Upgrade Sensor Ozone")</f>
        <v>Upgrade Sensor Ozone</v>
      </c>
      <c r="G638" s="3" t="str">
        <f>IFERROR(__xludf.DUMMYFUNCTION("""COMPUTED_VALUE"""),"Utility Equipment; ; ; - O3 Sensor Probe, pureO3/12/120 30139305")</f>
        <v>Utility Equipment; ; ; - O3 Sensor Probe, pureO3/12/120 30139305</v>
      </c>
      <c r="H638" s="3" t="str">
        <f>IFERROR(__xludf.DUMMYFUNCTION("""COMPUTED_VALUE"""),"Mettler")</f>
        <v>Mettler</v>
      </c>
      <c r="I638" s="3">
        <f>IFERROR(__xludf.DUMMYFUNCTION("""COMPUTED_VALUE"""),1.0)</f>
        <v>1</v>
      </c>
      <c r="J638" s="3" t="str">
        <f>IFERROR(__xludf.DUMMYFUNCTION("""COMPUTED_VALUE"""),"Unit")</f>
        <v>Unit</v>
      </c>
      <c r="K638" s="3" t="str">
        <f>IFERROR(__xludf.DUMMYFUNCTION("""COMPUTED_VALUE"""),"Email Mas Ken")</f>
        <v>Email Mas Ken</v>
      </c>
      <c r="L638" s="3" t="str">
        <f>IFERROR(__xludf.DUMMYFUNCTION("""COMPUTED_VALUE"""),"3256 121703680 - APPROVED R21013-00")</f>
        <v>3256 121703680 - APPROVED R21013-00</v>
      </c>
      <c r="M638" s="3" t="str">
        <f>IFERROR(__xludf.DUMMYFUNCTION("""COMPUTED_VALUE"""),"Approve")</f>
        <v>Approve</v>
      </c>
      <c r="N638" s="3" t="str">
        <f>IFERROR(__xludf.DUMMYFUNCTION("""COMPUTED_VALUE"""),"Normal")</f>
        <v>Normal</v>
      </c>
      <c r="O638" s="3" t="str">
        <f>IFERROR(__xludf.DUMMYFUNCTION("""COMPUTED_VALUE"""),"Non Urgent")</f>
        <v>Non Urgent</v>
      </c>
    </row>
    <row r="639">
      <c r="A639" s="4">
        <f>IFERROR(__xludf.DUMMYFUNCTION("""COMPUTED_VALUE"""),46062.37783008102)</f>
        <v>46062.37783</v>
      </c>
      <c r="B639" s="3" t="str">
        <f>IFERROR(__xludf.DUMMYFUNCTION("""COMPUTED_VALUE"""),"MFHBR0029")</f>
        <v>MFHBR0029</v>
      </c>
      <c r="C639" s="3" t="str">
        <f>IFERROR(__xludf.DUMMYFUNCTION("""COMPUTED_VALUE"""),"Critical Part")</f>
        <v>Critical Part</v>
      </c>
      <c r="D639" s="3" t="str">
        <f>IFERROR(__xludf.DUMMYFUNCTION("""COMPUTED_VALUE"""),"-")</f>
        <v>-</v>
      </c>
      <c r="E639" s="3" t="str">
        <f>IFERROR(__xludf.DUMMYFUNCTION("""COMPUTED_VALUE"""),"Water System")</f>
        <v>Water System</v>
      </c>
      <c r="F639" s="3" t="str">
        <f>IFERROR(__xludf.DUMMYFUNCTION("""COMPUTED_VALUE"""),"Upgrade Sensor Ozone")</f>
        <v>Upgrade Sensor Ozone</v>
      </c>
      <c r="G639" s="3" t="str">
        <f>IFERROR(__xludf.DUMMYFUNCTION("""COMPUTED_VALUE"""),"Utility Equipment; ; ; - Cable AK9/10m 59902230")</f>
        <v>Utility Equipment; ; ; - Cable AK9/10m 59902230</v>
      </c>
      <c r="H639" s="3" t="str">
        <f>IFERROR(__xludf.DUMMYFUNCTION("""COMPUTED_VALUE"""),"Mettler")</f>
        <v>Mettler</v>
      </c>
      <c r="I639" s="3">
        <f>IFERROR(__xludf.DUMMYFUNCTION("""COMPUTED_VALUE"""),1.0)</f>
        <v>1</v>
      </c>
      <c r="J639" s="3" t="str">
        <f>IFERROR(__xludf.DUMMYFUNCTION("""COMPUTED_VALUE"""),"Unit")</f>
        <v>Unit</v>
      </c>
      <c r="K639" s="3" t="str">
        <f>IFERROR(__xludf.DUMMYFUNCTION("""COMPUTED_VALUE"""),"Email Mas Ken")</f>
        <v>Email Mas Ken</v>
      </c>
      <c r="L639" s="3" t="str">
        <f>IFERROR(__xludf.DUMMYFUNCTION("""COMPUTED_VALUE"""),"3257 121703680 - APPROVED R21013-00")</f>
        <v>3257 121703680 - APPROVED R21013-00</v>
      </c>
      <c r="M639" s="3" t="str">
        <f>IFERROR(__xludf.DUMMYFUNCTION("""COMPUTED_VALUE"""),"Approve")</f>
        <v>Approve</v>
      </c>
      <c r="N639" s="3" t="str">
        <f>IFERROR(__xludf.DUMMYFUNCTION("""COMPUTED_VALUE"""),"Normal")</f>
        <v>Normal</v>
      </c>
      <c r="O639" s="3" t="str">
        <f>IFERROR(__xludf.DUMMYFUNCTION("""COMPUTED_VALUE"""),"Non Urgent")</f>
        <v>Non Urgent</v>
      </c>
    </row>
    <row r="640">
      <c r="A640" s="4">
        <f>IFERROR(__xludf.DUMMYFUNCTION("""COMPUTED_VALUE"""),46062.37783008102)</f>
        <v>46062.37783</v>
      </c>
      <c r="B640" s="3" t="str">
        <f>IFERROR(__xludf.DUMMYFUNCTION("""COMPUTED_VALUE"""),"MFHBR0030")</f>
        <v>MFHBR0030</v>
      </c>
      <c r="C640" s="3" t="str">
        <f>IFERROR(__xludf.DUMMYFUNCTION("""COMPUTED_VALUE"""),"Critical Part")</f>
        <v>Critical Part</v>
      </c>
      <c r="D640" s="3" t="str">
        <f>IFERROR(__xludf.DUMMYFUNCTION("""COMPUTED_VALUE"""),"-")</f>
        <v>-</v>
      </c>
      <c r="E640" s="3" t="str">
        <f>IFERROR(__xludf.DUMMYFUNCTION("""COMPUTED_VALUE"""),"Water System")</f>
        <v>Water System</v>
      </c>
      <c r="F640" s="3" t="str">
        <f>IFERROR(__xludf.DUMMYFUNCTION("""COMPUTED_VALUE"""),"Upgrade Sensor Ozone")</f>
        <v>Upgrade Sensor Ozone</v>
      </c>
      <c r="G640" s="3" t="str">
        <f>IFERROR(__xludf.DUMMYFUNCTION("""COMPUTED_VALUE"""),"Utility Equipment; ; ; - Setup Standard Configuration EA")</f>
        <v>Utility Equipment; ; ; - Setup Standard Configuration EA</v>
      </c>
      <c r="H640" s="3" t="str">
        <f>IFERROR(__xludf.DUMMYFUNCTION("""COMPUTED_VALUE"""),"Mettler")</f>
        <v>Mettler</v>
      </c>
      <c r="I640" s="3">
        <f>IFERROR(__xludf.DUMMYFUNCTION("""COMPUTED_VALUE"""),1.0)</f>
        <v>1</v>
      </c>
      <c r="J640" s="3" t="str">
        <f>IFERROR(__xludf.DUMMYFUNCTION("""COMPUTED_VALUE"""),"Unit")</f>
        <v>Unit</v>
      </c>
      <c r="K640" s="3" t="str">
        <f>IFERROR(__xludf.DUMMYFUNCTION("""COMPUTED_VALUE"""),"Email Mas Ken")</f>
        <v>Email Mas Ken</v>
      </c>
      <c r="L640" s="3" t="str">
        <f>IFERROR(__xludf.DUMMYFUNCTION("""COMPUTED_VALUE"""),"3258 121703680 - APPROVED R21013-00")</f>
        <v>3258 121703680 - APPROVED R21013-00</v>
      </c>
      <c r="M640" s="3" t="str">
        <f>IFERROR(__xludf.DUMMYFUNCTION("""COMPUTED_VALUE"""),"Approve")</f>
        <v>Approve</v>
      </c>
      <c r="N640" s="3" t="str">
        <f>IFERROR(__xludf.DUMMYFUNCTION("""COMPUTED_VALUE"""),"Normal")</f>
        <v>Normal</v>
      </c>
      <c r="O640" s="3" t="str">
        <f>IFERROR(__xludf.DUMMYFUNCTION("""COMPUTED_VALUE"""),"Non Urgent")</f>
        <v>Non Urgent</v>
      </c>
    </row>
    <row r="641">
      <c r="A641" s="4">
        <f>IFERROR(__xludf.DUMMYFUNCTION("""COMPUTED_VALUE"""),46062.37783008102)</f>
        <v>46062.37783</v>
      </c>
      <c r="B641" s="3" t="str">
        <f>IFERROR(__xludf.DUMMYFUNCTION("""COMPUTED_VALUE"""),"MFHBR0031")</f>
        <v>MFHBR0031</v>
      </c>
      <c r="C641" s="3" t="str">
        <f>IFERROR(__xludf.DUMMYFUNCTION("""COMPUTED_VALUE"""),"Critical Part")</f>
        <v>Critical Part</v>
      </c>
      <c r="D641" s="3" t="str">
        <f>IFERROR(__xludf.DUMMYFUNCTION("""COMPUTED_VALUE"""),"-")</f>
        <v>-</v>
      </c>
      <c r="E641" s="3" t="str">
        <f>IFERROR(__xludf.DUMMYFUNCTION("""COMPUTED_VALUE"""),"Water System")</f>
        <v>Water System</v>
      </c>
      <c r="F641" s="3" t="str">
        <f>IFERROR(__xludf.DUMMYFUNCTION("""COMPUTED_VALUE"""),"Upgrade Sensor Ozone")</f>
        <v>Upgrade Sensor Ozone</v>
      </c>
      <c r="G641" s="3" t="str">
        <f>IFERROR(__xludf.DUMMYFUNCTION("""COMPUTED_VALUE"""),"Utility Equipment; ; ; - Calibrate Sensor OnSite")</f>
        <v>Utility Equipment; ; ; - Calibrate Sensor OnSite</v>
      </c>
      <c r="H641" s="3" t="str">
        <f>IFERROR(__xludf.DUMMYFUNCTION("""COMPUTED_VALUE"""),"Mettler")</f>
        <v>Mettler</v>
      </c>
      <c r="I641" s="3">
        <f>IFERROR(__xludf.DUMMYFUNCTION("""COMPUTED_VALUE"""),1.0)</f>
        <v>1</v>
      </c>
      <c r="J641" s="3" t="str">
        <f>IFERROR(__xludf.DUMMYFUNCTION("""COMPUTED_VALUE"""),"Unit")</f>
        <v>Unit</v>
      </c>
      <c r="K641" s="3" t="str">
        <f>IFERROR(__xludf.DUMMYFUNCTION("""COMPUTED_VALUE"""),"Email Mas Ken")</f>
        <v>Email Mas Ken</v>
      </c>
      <c r="L641" s="3" t="str">
        <f>IFERROR(__xludf.DUMMYFUNCTION("""COMPUTED_VALUE"""),"3259 121703680 - APPROVED R21013-00")</f>
        <v>3259 121703680 - APPROVED R21013-00</v>
      </c>
      <c r="M641" s="3" t="str">
        <f>IFERROR(__xludf.DUMMYFUNCTION("""COMPUTED_VALUE"""),"Approve")</f>
        <v>Approve</v>
      </c>
      <c r="N641" s="3" t="str">
        <f>IFERROR(__xludf.DUMMYFUNCTION("""COMPUTED_VALUE"""),"Normal")</f>
        <v>Normal</v>
      </c>
      <c r="O641" s="3" t="str">
        <f>IFERROR(__xludf.DUMMYFUNCTION("""COMPUTED_VALUE"""),"Non Urgent")</f>
        <v>Non Urgent</v>
      </c>
    </row>
    <row r="642">
      <c r="A642" s="4">
        <f>IFERROR(__xludf.DUMMYFUNCTION("""COMPUTED_VALUE"""),46062.37783008102)</f>
        <v>46062.37783</v>
      </c>
      <c r="B642" s="3" t="str">
        <f>IFERROR(__xludf.DUMMYFUNCTION("""COMPUTED_VALUE"""),"MFHBR0032")</f>
        <v>MFHBR0032</v>
      </c>
      <c r="C642" s="3" t="str">
        <f>IFERROR(__xludf.DUMMYFUNCTION("""COMPUTED_VALUE"""),"Critical Part")</f>
        <v>Critical Part</v>
      </c>
      <c r="D642" s="3" t="str">
        <f>IFERROR(__xludf.DUMMYFUNCTION("""COMPUTED_VALUE"""),"-")</f>
        <v>-</v>
      </c>
      <c r="E642" s="3" t="str">
        <f>IFERROR(__xludf.DUMMYFUNCTION("""COMPUTED_VALUE"""),"FD")</f>
        <v>FD</v>
      </c>
      <c r="F642" s="3" t="str">
        <f>IFERROR(__xludf.DUMMYFUNCTION("""COMPUTED_VALUE"""),"Machine Equipment; ; ; - Exhaust Freeze Dryer")</f>
        <v>Machine Equipment; ; ; - Exhaust Freeze Dryer</v>
      </c>
      <c r="G642" s="3" t="str">
        <f>IFERROR(__xludf.DUMMYFUNCTION("""COMPUTED_VALUE"""),"-")</f>
        <v>-</v>
      </c>
      <c r="H642" s="3" t="str">
        <f>IFERROR(__xludf.DUMMYFUNCTION("""COMPUTED_VALUE"""),"KPE")</f>
        <v>KPE</v>
      </c>
      <c r="I642" s="3">
        <f>IFERROR(__xludf.DUMMYFUNCTION("""COMPUTED_VALUE"""),1.0)</f>
        <v>1</v>
      </c>
      <c r="J642" s="3" t="str">
        <f>IFERROR(__xludf.DUMMYFUNCTION("""COMPUTED_VALUE"""),"Unit")</f>
        <v>Unit</v>
      </c>
      <c r="K642" s="3" t="str">
        <f>IFERROR(__xludf.DUMMYFUNCTION("""COMPUTED_VALUE"""),"Email Mas Ken")</f>
        <v>Email Mas Ken</v>
      </c>
      <c r="L642" s="3" t="str">
        <f>IFERROR(__xludf.DUMMYFUNCTION("""COMPUTED_VALUE"""),"3261 121703686 - APPROVED R-20024-00")</f>
        <v>3261 121703686 - APPROVED R-20024-00</v>
      </c>
      <c r="M642" s="3" t="str">
        <f>IFERROR(__xludf.DUMMYFUNCTION("""COMPUTED_VALUE"""),"Approve")</f>
        <v>Approve</v>
      </c>
      <c r="N642" s="3" t="str">
        <f>IFERROR(__xludf.DUMMYFUNCTION("""COMPUTED_VALUE"""),"Normal")</f>
        <v>Normal</v>
      </c>
      <c r="O642" s="3" t="str">
        <f>IFERROR(__xludf.DUMMYFUNCTION("""COMPUTED_VALUE"""),"Non Urgent")</f>
        <v>Non Urgent</v>
      </c>
    </row>
    <row r="643">
      <c r="A643" s="4">
        <f>IFERROR(__xludf.DUMMYFUNCTION("""COMPUTED_VALUE"""),46062.37783008102)</f>
        <v>46062.37783</v>
      </c>
      <c r="B643" s="3" t="str">
        <f>IFERROR(__xludf.DUMMYFUNCTION("""COMPUTED_VALUE"""),"MFHBR0033")</f>
        <v>MFHBR0033</v>
      </c>
      <c r="C643" s="3" t="str">
        <f>IFERROR(__xludf.DUMMYFUNCTION("""COMPUTED_VALUE"""),"Critical Part")</f>
        <v>Critical Part</v>
      </c>
      <c r="D643" s="3" t="str">
        <f>IFERROR(__xludf.DUMMYFUNCTION("""COMPUTED_VALUE"""),"-")</f>
        <v>-</v>
      </c>
      <c r="E643" s="3" t="str">
        <f>IFERROR(__xludf.DUMMYFUNCTION("""COMPUTED_VALUE"""),"Office")</f>
        <v>Office</v>
      </c>
      <c r="F643" s="3" t="str">
        <f>IFERROR(__xludf.DUMMYFUNCTION("""COMPUTED_VALUE"""),"TC ENG")</f>
        <v>TC ENG</v>
      </c>
      <c r="G643" s="3" t="str">
        <f>IFERROR(__xludf.DUMMYFUNCTION("""COMPUTED_VALUE"""),"Monitor - Dell Monitor E2225H 21.5"" Widescreen")</f>
        <v>Monitor - Dell Monitor E2225H 21.5" Widescreen</v>
      </c>
      <c r="H643" s="3" t="str">
        <f>IFERROR(__xludf.DUMMYFUNCTION("""COMPUTED_VALUE"""),"Dell")</f>
        <v>Dell</v>
      </c>
      <c r="I643" s="3">
        <f>IFERROR(__xludf.DUMMYFUNCTION("""COMPUTED_VALUE"""),2.0)</f>
        <v>2</v>
      </c>
      <c r="J643" s="3" t="str">
        <f>IFERROR(__xludf.DUMMYFUNCTION("""COMPUTED_VALUE"""),"Unit")</f>
        <v>Unit</v>
      </c>
      <c r="K643" s="3" t="str">
        <f>IFERROR(__xludf.DUMMYFUNCTION("""COMPUTED_VALUE"""),"PO QA")</f>
        <v>PO QA</v>
      </c>
      <c r="L643" s="3" t="str">
        <f>IFERROR(__xludf.DUMMYFUNCTION("""COMPUTED_VALUE"""),"3275 121703695 - APPROVED R-62003-00")</f>
        <v>3275 121703695 - APPROVED R-62003-00</v>
      </c>
      <c r="M643" s="3" t="str">
        <f>IFERROR(__xludf.DUMMYFUNCTION("""COMPUTED_VALUE"""),"Approve")</f>
        <v>Approve</v>
      </c>
      <c r="N643" s="3" t="str">
        <f>IFERROR(__xludf.DUMMYFUNCTION("""COMPUTED_VALUE"""),"Normal")</f>
        <v>Normal</v>
      </c>
      <c r="O643" s="3" t="str">
        <f>IFERROR(__xludf.DUMMYFUNCTION("""COMPUTED_VALUE"""),"Non Urgent")</f>
        <v>Non Urgent</v>
      </c>
    </row>
    <row r="644">
      <c r="A644" s="4">
        <f>IFERROR(__xludf.DUMMYFUNCTION("""COMPUTED_VALUE"""),46062.37783008102)</f>
        <v>46062.37783</v>
      </c>
      <c r="B644" s="3" t="str">
        <f>IFERROR(__xludf.DUMMYFUNCTION("""COMPUTED_VALUE"""),"MFHBR0034")</f>
        <v>MFHBR0034</v>
      </c>
      <c r="C644" s="3" t="str">
        <f>IFERROR(__xludf.DUMMYFUNCTION("""COMPUTED_VALUE"""),"Critical Part")</f>
        <v>Critical Part</v>
      </c>
      <c r="D644" s="3" t="str">
        <f>IFERROR(__xludf.DUMMYFUNCTION("""COMPUTED_VALUE"""),"-")</f>
        <v>-</v>
      </c>
      <c r="E644" s="3" t="str">
        <f>IFERROR(__xludf.DUMMYFUNCTION("""COMPUTED_VALUE"""),"Office")</f>
        <v>Office</v>
      </c>
      <c r="F644" s="3" t="str">
        <f>IFERROR(__xludf.DUMMYFUNCTION("""COMPUTED_VALUE"""),"TC ENG")</f>
        <v>TC ENG</v>
      </c>
      <c r="G644" s="3" t="str">
        <f>IFERROR(__xludf.DUMMYFUNCTION("""COMPUTED_VALUE"""),"Thin Client - Thin Client HP Pro T550 (Linux)")</f>
        <v>Thin Client - Thin Client HP Pro T550 (Linux)</v>
      </c>
      <c r="H644" s="3" t="str">
        <f>IFERROR(__xludf.DUMMYFUNCTION("""COMPUTED_VALUE"""),"HP")</f>
        <v>HP</v>
      </c>
      <c r="I644" s="3">
        <f>IFERROR(__xludf.DUMMYFUNCTION("""COMPUTED_VALUE"""),2.0)</f>
        <v>2</v>
      </c>
      <c r="J644" s="3" t="str">
        <f>IFERROR(__xludf.DUMMYFUNCTION("""COMPUTED_VALUE"""),"Unit")</f>
        <v>Unit</v>
      </c>
      <c r="K644" s="3" t="str">
        <f>IFERROR(__xludf.DUMMYFUNCTION("""COMPUTED_VALUE"""),"PO QA")</f>
        <v>PO QA</v>
      </c>
      <c r="L644" s="3" t="str">
        <f>IFERROR(__xludf.DUMMYFUNCTION("""COMPUTED_VALUE"""),"3276 121703695 - APPROVED R-62019-00")</f>
        <v>3276 121703695 - APPROVED R-62019-00</v>
      </c>
      <c r="M644" s="3" t="str">
        <f>IFERROR(__xludf.DUMMYFUNCTION("""COMPUTED_VALUE"""),"Approve")</f>
        <v>Approve</v>
      </c>
      <c r="N644" s="3" t="str">
        <f>IFERROR(__xludf.DUMMYFUNCTION("""COMPUTED_VALUE"""),"Normal")</f>
        <v>Normal</v>
      </c>
      <c r="O644" s="3" t="str">
        <f>IFERROR(__xludf.DUMMYFUNCTION("""COMPUTED_VALUE"""),"Non Urgent")</f>
        <v>Non Urgent</v>
      </c>
    </row>
    <row r="645">
      <c r="A645" s="4">
        <f>IFERROR(__xludf.DUMMYFUNCTION("""COMPUTED_VALUE"""),46062.37800035879)</f>
        <v>46062.378</v>
      </c>
      <c r="B645" s="3" t="str">
        <f>IFERROR(__xludf.DUMMYFUNCTION("""COMPUTED_VALUE"""),"MFHBR0019")</f>
        <v>MFHBR0019</v>
      </c>
      <c r="C645" s="3" t="str">
        <f>IFERROR(__xludf.DUMMYFUNCTION("""COMPUTED_VALUE"""),"Critical Part")</f>
        <v>Critical Part</v>
      </c>
      <c r="D645" s="3" t="str">
        <f>IFERROR(__xludf.DUMMYFUNCTION("""COMPUTED_VALUE"""),"EJO/2026/02/01")</f>
        <v>EJO/2026/02/01</v>
      </c>
      <c r="E645" s="3" t="str">
        <f>IFERROR(__xludf.DUMMYFUNCTION("""COMPUTED_VALUE"""),"Coating")</f>
        <v>Coating</v>
      </c>
      <c r="F645" s="3" t="str">
        <f>IFERROR(__xludf.DUMMYFUNCTION("""COMPUTED_VALUE"""),"Coating PLAB - Directional Control Valve; SMC; VNA101A-F6A; 1 Pc")</f>
        <v>Coating PLAB - Directional Control Valve; SMC; VNA101A-F6A; 1 Pc</v>
      </c>
      <c r="G645" s="3" t="str">
        <f>IFERROR(__xludf.DUMMYFUNCTION("""COMPUTED_VALUE"""),"-")</f>
        <v>-</v>
      </c>
      <c r="H645" s="3" t="str">
        <f>IFERROR(__xludf.DUMMYFUNCTION("""COMPUTED_VALUE"""),"-")</f>
        <v>-</v>
      </c>
      <c r="I645" s="3">
        <f>IFERROR(__xludf.DUMMYFUNCTION("""COMPUTED_VALUE"""),3.0)</f>
        <v>3</v>
      </c>
      <c r="J645" s="3" t="str">
        <f>IFERROR(__xludf.DUMMYFUNCTION("""COMPUTED_VALUE"""),"Pcs")</f>
        <v>Pcs</v>
      </c>
      <c r="K645" s="3" t="str">
        <f>IFERROR(__xludf.DUMMYFUNCTION("""COMPUTED_VALUE"""),"WA Mas Umar")</f>
        <v>WA Mas Umar</v>
      </c>
      <c r="L645" s="3" t="str">
        <f>IFERROR(__xludf.DUMMYFUNCTION("""COMPUTED_VALUE"""),"3272 121703690 O-21305-00")</f>
        <v>3272 121703690 O-21305-00</v>
      </c>
      <c r="M645" s="3" t="str">
        <f>IFERROR(__xludf.DUMMYFUNCTION("""COMPUTED_VALUE"""),"Approve")</f>
        <v>Approve</v>
      </c>
      <c r="N645" s="3" t="str">
        <f>IFERROR(__xludf.DUMMYFUNCTION("""COMPUTED_VALUE"""),"Normal")</f>
        <v>Normal</v>
      </c>
      <c r="O645" s="3" t="str">
        <f>IFERROR(__xludf.DUMMYFUNCTION("""COMPUTED_VALUE"""),"Non Urgent")</f>
        <v>Non Urgent</v>
      </c>
    </row>
    <row r="646">
      <c r="A646" s="4">
        <f>IFERROR(__xludf.DUMMYFUNCTION("""COMPUTED_VALUE"""),46062.63300458333)</f>
        <v>46062.633</v>
      </c>
      <c r="B646" s="3" t="str">
        <f>IFERROR(__xludf.DUMMYFUNCTION("""COMPUTED_VALUE"""),"RIABR0139")</f>
        <v>RIABR0139</v>
      </c>
      <c r="C646" s="3" t="str">
        <f>IFERROR(__xludf.DUMMYFUNCTION("""COMPUTED_VALUE"""),"EJO")</f>
        <v>EJO</v>
      </c>
      <c r="D646" s="3" t="str">
        <f>IFERROR(__xludf.DUMMYFUNCTION("""COMPUTED_VALUE"""),"EJO/2026/02/70")</f>
        <v>EJO/2026/02/70</v>
      </c>
      <c r="E646" s="3" t="str">
        <f>IFERROR(__xludf.DUMMYFUNCTION("""COMPUTED_VALUE"""),"WWTP")</f>
        <v>WWTP</v>
      </c>
      <c r="F646" s="3" t="str">
        <f>IFERROR(__xludf.DUMMYFUNCTION("""COMPUTED_VALUE"""),"Solenoid Valve")</f>
        <v>Solenoid Valve</v>
      </c>
      <c r="G646" s="3" t="str">
        <f>IFERROR(__xludf.DUMMYFUNCTION("""COMPUTED_VALUE"""),"""Solenoid Valve Kuningan 220VAC/24VDC NORMAL OPEN uk 1 inch (32mm) Drat Female Female
* Media : Air, Water, and Oil
* Valve body : Brass
* Working Pressure : 0 - 7 bar
* Max Pressure : 0 - 10 bar
* Port Size : 1 Inch
* Initial State : Normal Open"&amp;"
* Voltage: 220 VAC/24VDC/Dc 12")</f>
        <v>"Solenoid Valve Kuningan 220VAC/24VDC NORMAL OPEN uk 1 inch (32mm) Drat Female Female
* Media : Air, Water, and Oil
* Valve body : Brass
* Working Pressure : 0 - 7 bar
* Max Pressure : 0 - 10 bar
* Port Size : 1 Inch
* Initial State : Normal Open
* Voltage: 220 VAC/24VDC/Dc 12</v>
      </c>
      <c r="H646" s="3" t="str">
        <f>IFERROR(__xludf.DUMMYFUNCTION("""COMPUTED_VALUE"""),"Lokal")</f>
        <v>Lokal</v>
      </c>
      <c r="I646" s="3">
        <f>IFERROR(__xludf.DUMMYFUNCTION("""COMPUTED_VALUE"""),2.0)</f>
        <v>2</v>
      </c>
      <c r="J646" s="3" t="str">
        <f>IFERROR(__xludf.DUMMYFUNCTION("""COMPUTED_VALUE"""),"Pcs")</f>
        <v>Pcs</v>
      </c>
      <c r="K646" s="5" t="str">
        <f>IFERROR(__xludf.DUMMYFUNCTION("""COMPUTED_VALUE"""),"https://www.tokopedia.com/trenindonesia/solenoid-valve-2-way-kuningan-normal-open-1-inch-voltase-ac220-pamy-1729954728013825858?extParam=ivf%3Dfalse%26keyword%3Dsolenoid+valve+1+inch+normaly+open+220+vac%26search_id%3D202602090804246DA37DD3139AA4011VYJ%26"&amp;"src%3Dsearch&amp;t_id=1770624288381&amp;t_st=2&amp;t_pp=search_result&amp;t_efo=search_pure_goods_card&amp;t_ef=goods_search&amp;t_sm=&amp;t_spt=search_result")</f>
        <v>https://www.tokopedia.com/trenindonesia/solenoid-valve-2-way-kuningan-normal-open-1-inch-voltase-ac220-pamy-1729954728013825858?extParam=ivf%3Dfalse%26keyword%3Dsolenoid+valve+1+inch+normaly+open+220+vac%26search_id%3D202602090804246DA37DD3139AA4011VYJ%26src%3Dsearch&amp;t_id=1770624288381&amp;t_st=2&amp;t_pp=search_result&amp;t_efo=search_pure_goods_card&amp;t_ef=goods_search&amp;t_sm=&amp;t_spt=search_result</v>
      </c>
      <c r="L646" s="3" t="str">
        <f>IFERROR(__xludf.DUMMYFUNCTION("""COMPUTED_VALUE"""),"Untuk SV di Reaktor 2 beli yang NO ya 220 VAC")</f>
        <v>Untuk SV di Reaktor 2 beli yang NO ya 220 VAC</v>
      </c>
      <c r="M646" s="3" t="str">
        <f>IFERROR(__xludf.DUMMYFUNCTION("""COMPUTED_VALUE"""),"Approve")</f>
        <v>Approve</v>
      </c>
      <c r="N646" s="3" t="str">
        <f>IFERROR(__xludf.DUMMYFUNCTION("""COMPUTED_VALUE"""),"Normal")</f>
        <v>Normal</v>
      </c>
      <c r="O646" s="3" t="str">
        <f>IFERROR(__xludf.DUMMYFUNCTION("""COMPUTED_VALUE"""),"Non Urgent")</f>
        <v>Non Urgent</v>
      </c>
    </row>
    <row r="647">
      <c r="A647" s="4">
        <f>IFERROR(__xludf.DUMMYFUNCTION("""COMPUTED_VALUE"""),46062.944040925926)</f>
        <v>46062.94404</v>
      </c>
      <c r="B647" s="3" t="str">
        <f>IFERROR(__xludf.DUMMYFUNCTION("""COMPUTED_VALUE"""),"KFFBR0006")</f>
        <v>KFFBR0006</v>
      </c>
      <c r="C647" s="3" t="str">
        <f>IFERROR(__xludf.DUMMYFUNCTION("""COMPUTED_VALUE"""),"EJO")</f>
        <v>EJO</v>
      </c>
      <c r="D647" s="3" t="str">
        <f>IFERROR(__xludf.DUMMYFUNCTION("""COMPUTED_VALUE"""),"EJO/2026/01/50")</f>
        <v>EJO/2026/01/50</v>
      </c>
      <c r="E647" s="3" t="str">
        <f>IFERROR(__xludf.DUMMYFUNCTION("""COMPUTED_VALUE"""),"Fumehood")</f>
        <v>Fumehood</v>
      </c>
      <c r="F647" s="3" t="str">
        <f>IFERROR(__xludf.DUMMYFUNCTION("""COMPUTED_VALUE"""),"Cat Semprot ")</f>
        <v>Cat Semprot </v>
      </c>
      <c r="G647" s="3" t="str">
        <f>IFERROR(__xludf.DUMMYFUNCTION("""COMPUTED_VALUE"""),"Sapporo Refrigerator White 7506 Cat Semprot Aerosol Putih Gading Cream Car Metall")</f>
        <v>Sapporo Refrigerator White 7506 Cat Semprot Aerosol Putih Gading Cream Car Metall</v>
      </c>
      <c r="H647" s="3" t="str">
        <f>IFERROR(__xludf.DUMMYFUNCTION("""COMPUTED_VALUE"""),"sapporo")</f>
        <v>sapporo</v>
      </c>
      <c r="I647" s="3">
        <f>IFERROR(__xludf.DUMMYFUNCTION("""COMPUTED_VALUE"""),2.0)</f>
        <v>2</v>
      </c>
      <c r="J647" s="3" t="str">
        <f>IFERROR(__xludf.DUMMYFUNCTION("""COMPUTED_VALUE"""),"pcs")</f>
        <v>pcs</v>
      </c>
      <c r="K647" s="5" t="str">
        <f>IFERROR(__xludf.DUMMYFUNCTION("""COMPUTED_VALUE"""),"https://tk.tokopedia.com/ZSmeH6NCN/")</f>
        <v>https://tk.tokopedia.com/ZSmeH6NCN/</v>
      </c>
      <c r="L647" s="3" t="str">
        <f>IFERROR(__xludf.DUMMYFUNCTION("""COMPUTED_VALUE"""),"Ada bercak dan noda pada fumehood 1, tidak dapat dihilangkan (finding 5R) (REJECT BY MFH KARENA SUDAH BELI ONLINE)")</f>
        <v>Ada bercak dan noda pada fumehood 1, tidak dapat dihilangkan (finding 5R) (REJECT BY MFH KARENA SUDAH BELI ONLINE)</v>
      </c>
      <c r="M647" s="3" t="str">
        <f>IFERROR(__xludf.DUMMYFUNCTION("""COMPUTED_VALUE"""),"Reject")</f>
        <v>Reject</v>
      </c>
      <c r="N647" s="3" t="str">
        <f>IFERROR(__xludf.DUMMYFUNCTION("""COMPUTED_VALUE"""),"Normal")</f>
        <v>Normal</v>
      </c>
      <c r="O647" s="3" t="str">
        <f>IFERROR(__xludf.DUMMYFUNCTION("""COMPUTED_VALUE"""),"Non Urgent")</f>
        <v>Non Urgent</v>
      </c>
    </row>
    <row r="648">
      <c r="A648" s="4">
        <f>IFERROR(__xludf.DUMMYFUNCTION("""COMPUTED_VALUE"""),46062.96818876157)</f>
        <v>46062.96819</v>
      </c>
      <c r="B648" s="3" t="str">
        <f>IFERROR(__xludf.DUMMYFUNCTION("""COMPUTED_VALUE"""),"KFFBR0007")</f>
        <v>KFFBR0007</v>
      </c>
      <c r="C648" s="3" t="str">
        <f>IFERROR(__xludf.DUMMYFUNCTION("""COMPUTED_VALUE"""),"EJO")</f>
        <v>EJO</v>
      </c>
      <c r="D648" s="3" t="str">
        <f>IFERROR(__xludf.DUMMYFUNCTION("""COMPUTED_VALUE"""),"EJO/2026/01/100")</f>
        <v>EJO/2026/01/100</v>
      </c>
      <c r="E648" s="3" t="str">
        <f>IFERROR(__xludf.DUMMYFUNCTION("""COMPUTED_VALUE"""),"Blistering OSD ")</f>
        <v>Blistering OSD </v>
      </c>
      <c r="F648" s="3" t="str">
        <f>IFERROR(__xludf.DUMMYFUNCTION("""COMPUTED_VALUE"""),"Mesin las")</f>
        <v>Mesin las</v>
      </c>
      <c r="G648" s="3" t="str">
        <f>IFERROR(__xludf.DUMMYFUNCTION("""COMPUTED_VALUE"""),"Stahlwerk TIG 250C Mesin Las Argon Listrik Cold Welding Machine 250 Ampere")</f>
        <v>Stahlwerk TIG 250C Mesin Las Argon Listrik Cold Welding Machine 250 Ampere</v>
      </c>
      <c r="H648" s="3" t="str">
        <f>IFERROR(__xludf.DUMMYFUNCTION("""COMPUTED_VALUE"""),"stahlwerk")</f>
        <v>stahlwerk</v>
      </c>
      <c r="I648" s="3">
        <f>IFERROR(__xludf.DUMMYFUNCTION("""COMPUTED_VALUE"""),1.0)</f>
        <v>1</v>
      </c>
      <c r="J648" s="3" t="str">
        <f>IFERROR(__xludf.DUMMYFUNCTION("""COMPUTED_VALUE"""),"set")</f>
        <v>set</v>
      </c>
      <c r="K648" s="5" t="str">
        <f>IFERROR(__xludf.DUMMYFUNCTION("""COMPUTED_VALUE"""),"https://tk.tokopedia.com/ZSmeCshY4/")</f>
        <v>https://tk.tokopedia.com/ZSmeCshY4/</v>
      </c>
      <c r="L648" s="3" t="str">
        <f>IFERROR(__xludf.DUMMYFUNCTION("""COMPUTED_VALUE"""),"urgent untuk pemakaian sehari hari dan fabrikasi ")</f>
        <v>urgent untuk pemakaian sehari hari dan fabrikasi </v>
      </c>
      <c r="M648" s="3" t="str">
        <f>IFERROR(__xludf.DUMMYFUNCTION("""COMPUTED_VALUE"""),"Reject")</f>
        <v>Reject</v>
      </c>
      <c r="N648" s="3" t="str">
        <f>IFERROR(__xludf.DUMMYFUNCTION("""COMPUTED_VALUE"""),"Normal")</f>
        <v>Normal</v>
      </c>
      <c r="O648" s="3" t="str">
        <f>IFERROR(__xludf.DUMMYFUNCTION("""COMPUTED_VALUE"""),"Non Urgent")</f>
        <v>Non Urgent</v>
      </c>
    </row>
    <row r="649">
      <c r="A649" s="4">
        <f>IFERROR(__xludf.DUMMYFUNCTION("""COMPUTED_VALUE"""),46062.97194194444)</f>
        <v>46062.97194</v>
      </c>
      <c r="B649" s="3" t="str">
        <f>IFERROR(__xludf.DUMMYFUNCTION("""COMPUTED_VALUE"""),"RIABR0140")</f>
        <v>RIABR0140</v>
      </c>
      <c r="C649" s="3" t="str">
        <f>IFERROR(__xludf.DUMMYFUNCTION("""COMPUTED_VALUE"""),"EJO")</f>
        <v>EJO</v>
      </c>
      <c r="D649" s="3" t="str">
        <f>IFERROR(__xludf.DUMMYFUNCTION("""COMPUTED_VALUE"""),"EJO/2026/01/92")</f>
        <v>EJO/2026/01/92</v>
      </c>
      <c r="E649" s="3" t="str">
        <f>IFERROR(__xludf.DUMMYFUNCTION("""COMPUTED_VALUE"""),"Hot Water")</f>
        <v>Hot Water</v>
      </c>
      <c r="F649" s="3" t="str">
        <f>IFERROR(__xludf.DUMMYFUNCTION("""COMPUTED_VALUE"""),"Insulasi")</f>
        <v>Insulasi</v>
      </c>
      <c r="G649" s="3" t="str">
        <f>IFERROR(__xludf.DUMMYFUNCTION("""COMPUTED_VALUE"""),"Thermaflex Uk 1""x3/4"" (34mmx20mm), kebutuhan 5 mtr")</f>
        <v>Thermaflex Uk 1"x3/4" (34mmx20mm), kebutuhan 5 mtr</v>
      </c>
      <c r="H649" s="3" t="str">
        <f>IFERROR(__xludf.DUMMYFUNCTION("""COMPUTED_VALUE"""),"Thermaflex")</f>
        <v>Thermaflex</v>
      </c>
      <c r="I649" s="3">
        <f>IFERROR(__xludf.DUMMYFUNCTION("""COMPUTED_VALUE"""),3.0)</f>
        <v>3</v>
      </c>
      <c r="J649" s="3" t="str">
        <f>IFERROR(__xludf.DUMMYFUNCTION("""COMPUTED_VALUE"""),"Btg")</f>
        <v>Btg</v>
      </c>
      <c r="K649" s="3" t="str">
        <f>IFERROR(__xludf.DUMMYFUNCTION("""COMPUTED_VALUE"""),"Quote- 0049-PT Fongko international pharmaceuticals.pdf")</f>
        <v>Quote- 0049-PT Fongko international pharmaceuticals.pdf</v>
      </c>
      <c r="L649" s="3" t="str">
        <f>IFERROR(__xludf.DUMMYFUNCTION("""COMPUTED_VALUE"""),"Buat insulasi pipa hot water")</f>
        <v>Buat insulasi pipa hot water</v>
      </c>
      <c r="M649" s="3" t="str">
        <f>IFERROR(__xludf.DUMMYFUNCTION("""COMPUTED_VALUE"""),"Approve")</f>
        <v>Approve</v>
      </c>
      <c r="N649" s="3" t="str">
        <f>IFERROR(__xludf.DUMMYFUNCTION("""COMPUTED_VALUE"""),"Normal")</f>
        <v>Normal</v>
      </c>
      <c r="O649" s="3" t="str">
        <f>IFERROR(__xludf.DUMMYFUNCTION("""COMPUTED_VALUE"""),"Non Urgent")</f>
        <v>Non Urgent</v>
      </c>
    </row>
    <row r="650">
      <c r="A650" s="4">
        <f>IFERROR(__xludf.DUMMYFUNCTION("""COMPUTED_VALUE"""),46062.97194194444)</f>
        <v>46062.97194</v>
      </c>
      <c r="B650" s="3" t="str">
        <f>IFERROR(__xludf.DUMMYFUNCTION("""COMPUTED_VALUE"""),"RIABR0141")</f>
        <v>RIABR0141</v>
      </c>
      <c r="C650" s="3" t="str">
        <f>IFERROR(__xludf.DUMMYFUNCTION("""COMPUTED_VALUE"""),"EJO")</f>
        <v>EJO</v>
      </c>
      <c r="D650" s="3" t="str">
        <f>IFERROR(__xludf.DUMMYFUNCTION("""COMPUTED_VALUE"""),"EJO/2026/01/92")</f>
        <v>EJO/2026/01/92</v>
      </c>
      <c r="E650" s="3" t="str">
        <f>IFERROR(__xludf.DUMMYFUNCTION("""COMPUTED_VALUE"""),"Hot Water")</f>
        <v>Hot Water</v>
      </c>
      <c r="F650" s="3" t="str">
        <f>IFERROR(__xludf.DUMMYFUNCTION("""COMPUTED_VALUE"""),"Insulasi")</f>
        <v>Insulasi</v>
      </c>
      <c r="G650" s="3" t="str">
        <f>IFERROR(__xludf.DUMMYFUNCTION("""COMPUTED_VALUE"""),"Thermaflex Uk 2""x3/4"" (60mmx20mm),kebutuhan 5 mtr")</f>
        <v>Thermaflex Uk 2"x3/4" (60mmx20mm),kebutuhan 5 mtr</v>
      </c>
      <c r="H650" s="3" t="str">
        <f>IFERROR(__xludf.DUMMYFUNCTION("""COMPUTED_VALUE"""),"Thermaflex")</f>
        <v>Thermaflex</v>
      </c>
      <c r="I650" s="3">
        <f>IFERROR(__xludf.DUMMYFUNCTION("""COMPUTED_VALUE"""),3.0)</f>
        <v>3</v>
      </c>
      <c r="J650" s="3" t="str">
        <f>IFERROR(__xludf.DUMMYFUNCTION("""COMPUTED_VALUE"""),"Btg")</f>
        <v>Btg</v>
      </c>
      <c r="K650" s="3" t="str">
        <f>IFERROR(__xludf.DUMMYFUNCTION("""COMPUTED_VALUE"""),"Quote- 0049-PT Fongko international pharmaceuticals.pdf")</f>
        <v>Quote- 0049-PT Fongko international pharmaceuticals.pdf</v>
      </c>
      <c r="L650" s="3" t="str">
        <f>IFERROR(__xludf.DUMMYFUNCTION("""COMPUTED_VALUE"""),"Buat insulasi pipa hot water")</f>
        <v>Buat insulasi pipa hot water</v>
      </c>
      <c r="M650" s="3" t="str">
        <f>IFERROR(__xludf.DUMMYFUNCTION("""COMPUTED_VALUE"""),"Approve")</f>
        <v>Approve</v>
      </c>
      <c r="N650" s="3" t="str">
        <f>IFERROR(__xludf.DUMMYFUNCTION("""COMPUTED_VALUE"""),"Normal")</f>
        <v>Normal</v>
      </c>
      <c r="O650" s="3" t="str">
        <f>IFERROR(__xludf.DUMMYFUNCTION("""COMPUTED_VALUE"""),"Non Urgent")</f>
        <v>Non Urgent</v>
      </c>
    </row>
    <row r="651">
      <c r="A651" s="4">
        <f>IFERROR(__xludf.DUMMYFUNCTION("""COMPUTED_VALUE"""),46062.97194194444)</f>
        <v>46062.97194</v>
      </c>
      <c r="B651" s="3" t="str">
        <f>IFERROR(__xludf.DUMMYFUNCTION("""COMPUTED_VALUE"""),"RIABR0142")</f>
        <v>RIABR0142</v>
      </c>
      <c r="C651" s="3" t="str">
        <f>IFERROR(__xludf.DUMMYFUNCTION("""COMPUTED_VALUE"""),"EJO")</f>
        <v>EJO</v>
      </c>
      <c r="D651" s="3" t="str">
        <f>IFERROR(__xludf.DUMMYFUNCTION("""COMPUTED_VALUE"""),"EJO/2026/01/92")</f>
        <v>EJO/2026/01/92</v>
      </c>
      <c r="E651" s="3" t="str">
        <f>IFERROR(__xludf.DUMMYFUNCTION("""COMPUTED_VALUE"""),"Hot Water")</f>
        <v>Hot Water</v>
      </c>
      <c r="F651" s="3" t="str">
        <f>IFERROR(__xludf.DUMMYFUNCTION("""COMPUTED_VALUE"""),"Insulasi")</f>
        <v>Insulasi</v>
      </c>
      <c r="G651" s="3" t="str">
        <f>IFERROR(__xludf.DUMMYFUNCTION("""COMPUTED_VALUE"""),"Thermaflex Uk 2 1/2""x3/4"" (76mmx20mm), kebutuhan 5 mtr")</f>
        <v>Thermaflex Uk 2 1/2"x3/4" (76mmx20mm), kebutuhan 5 mtr</v>
      </c>
      <c r="H651" s="3" t="str">
        <f>IFERROR(__xludf.DUMMYFUNCTION("""COMPUTED_VALUE"""),"Thermaflex")</f>
        <v>Thermaflex</v>
      </c>
      <c r="I651" s="3">
        <f>IFERROR(__xludf.DUMMYFUNCTION("""COMPUTED_VALUE"""),3.0)</f>
        <v>3</v>
      </c>
      <c r="J651" s="3" t="str">
        <f>IFERROR(__xludf.DUMMYFUNCTION("""COMPUTED_VALUE"""),"Btg")</f>
        <v>Btg</v>
      </c>
      <c r="K651" s="3" t="str">
        <f>IFERROR(__xludf.DUMMYFUNCTION("""COMPUTED_VALUE"""),"Quote- 0049-PT Fongko international pharmaceuticals.pdf")</f>
        <v>Quote- 0049-PT Fongko international pharmaceuticals.pdf</v>
      </c>
      <c r="L651" s="3" t="str">
        <f>IFERROR(__xludf.DUMMYFUNCTION("""COMPUTED_VALUE"""),"Buat insulasi pipa hot water")</f>
        <v>Buat insulasi pipa hot water</v>
      </c>
      <c r="M651" s="3" t="str">
        <f>IFERROR(__xludf.DUMMYFUNCTION("""COMPUTED_VALUE"""),"Approve")</f>
        <v>Approve</v>
      </c>
      <c r="N651" s="3" t="str">
        <f>IFERROR(__xludf.DUMMYFUNCTION("""COMPUTED_VALUE"""),"Normal")</f>
        <v>Normal</v>
      </c>
      <c r="O651" s="3" t="str">
        <f>IFERROR(__xludf.DUMMYFUNCTION("""COMPUTED_VALUE"""),"Non Urgent")</f>
        <v>Non Urgent</v>
      </c>
    </row>
    <row r="652">
      <c r="A652" s="4">
        <f>IFERROR(__xludf.DUMMYFUNCTION("""COMPUTED_VALUE"""),46062.97194194444)</f>
        <v>46062.97194</v>
      </c>
      <c r="B652" s="3" t="str">
        <f>IFERROR(__xludf.DUMMYFUNCTION("""COMPUTED_VALUE"""),"RIABR0143")</f>
        <v>RIABR0143</v>
      </c>
      <c r="C652" s="3" t="str">
        <f>IFERROR(__xludf.DUMMYFUNCTION("""COMPUTED_VALUE"""),"EJO")</f>
        <v>EJO</v>
      </c>
      <c r="D652" s="3" t="str">
        <f>IFERROR(__xludf.DUMMYFUNCTION("""COMPUTED_VALUE"""),"EJO/2026/01/92")</f>
        <v>EJO/2026/01/92</v>
      </c>
      <c r="E652" s="3" t="str">
        <f>IFERROR(__xludf.DUMMYFUNCTION("""COMPUTED_VALUE"""),"Hot Water")</f>
        <v>Hot Water</v>
      </c>
      <c r="F652" s="3" t="str">
        <f>IFERROR(__xludf.DUMMYFUNCTION("""COMPUTED_VALUE"""),"Insulasi")</f>
        <v>Insulasi</v>
      </c>
      <c r="G652" s="3" t="str">
        <f>IFERROR(__xludf.DUMMYFUNCTION("""COMPUTED_VALUE"""),"Elbow 2 1/2"" , Kebutuhan 2 Pcs
Thermaflex uk 2 1/2"" x3/4"" (76mmx20mm)")</f>
        <v>Elbow 2 1/2" , Kebutuhan 2 Pcs
Thermaflex uk 2 1/2" x3/4" (76mmx20mm)</v>
      </c>
      <c r="H652" s="3" t="str">
        <f>IFERROR(__xludf.DUMMYFUNCTION("""COMPUTED_VALUE"""),"Thermaflex")</f>
        <v>Thermaflex</v>
      </c>
      <c r="I652" s="3">
        <f>IFERROR(__xludf.DUMMYFUNCTION("""COMPUTED_VALUE"""),1.0)</f>
        <v>1</v>
      </c>
      <c r="J652" s="3" t="str">
        <f>IFERROR(__xludf.DUMMYFUNCTION("""COMPUTED_VALUE"""),"Btg")</f>
        <v>Btg</v>
      </c>
      <c r="K652" s="3" t="str">
        <f>IFERROR(__xludf.DUMMYFUNCTION("""COMPUTED_VALUE"""),"Quote- 0049-PT Fongko international pharmaceuticals.pdf")</f>
        <v>Quote- 0049-PT Fongko international pharmaceuticals.pdf</v>
      </c>
      <c r="L652" s="3" t="str">
        <f>IFERROR(__xludf.DUMMYFUNCTION("""COMPUTED_VALUE"""),"Buat insulasi pipa hot water")</f>
        <v>Buat insulasi pipa hot water</v>
      </c>
      <c r="M652" s="3" t="str">
        <f>IFERROR(__xludf.DUMMYFUNCTION("""COMPUTED_VALUE"""),"Approve")</f>
        <v>Approve</v>
      </c>
      <c r="N652" s="3" t="str">
        <f>IFERROR(__xludf.DUMMYFUNCTION("""COMPUTED_VALUE"""),"Normal")</f>
        <v>Normal</v>
      </c>
      <c r="O652" s="3" t="str">
        <f>IFERROR(__xludf.DUMMYFUNCTION("""COMPUTED_VALUE"""),"Non Urgent")</f>
        <v>Non Urgent</v>
      </c>
    </row>
    <row r="653">
      <c r="A653" s="4">
        <f>IFERROR(__xludf.DUMMYFUNCTION("""COMPUTED_VALUE"""),46062.97194194444)</f>
        <v>46062.97194</v>
      </c>
      <c r="B653" s="3" t="str">
        <f>IFERROR(__xludf.DUMMYFUNCTION("""COMPUTED_VALUE"""),"RIABR0144")</f>
        <v>RIABR0144</v>
      </c>
      <c r="C653" s="3" t="str">
        <f>IFERROR(__xludf.DUMMYFUNCTION("""COMPUTED_VALUE"""),"EJO")</f>
        <v>EJO</v>
      </c>
      <c r="D653" s="3" t="str">
        <f>IFERROR(__xludf.DUMMYFUNCTION("""COMPUTED_VALUE"""),"EJO/2026/01/92")</f>
        <v>EJO/2026/01/92</v>
      </c>
      <c r="E653" s="3" t="str">
        <f>IFERROR(__xludf.DUMMYFUNCTION("""COMPUTED_VALUE"""),"Hot Water")</f>
        <v>Hot Water</v>
      </c>
      <c r="F653" s="3" t="str">
        <f>IFERROR(__xludf.DUMMYFUNCTION("""COMPUTED_VALUE"""),"Insulasi")</f>
        <v>Insulasi</v>
      </c>
      <c r="G653" s="3" t="str">
        <f>IFERROR(__xludf.DUMMYFUNCTION("""COMPUTED_VALUE"""),"Elbow 1"" , kebutuhan 4 Pcs
Thermaflex uk 1"" x3/4"" (34mmx20mm)")</f>
        <v>Elbow 1" , kebutuhan 4 Pcs
Thermaflex uk 1" x3/4" (34mmx20mm)</v>
      </c>
      <c r="H653" s="3" t="str">
        <f>IFERROR(__xludf.DUMMYFUNCTION("""COMPUTED_VALUE"""),"Thermaflex")</f>
        <v>Thermaflex</v>
      </c>
      <c r="I653" s="3">
        <f>IFERROR(__xludf.DUMMYFUNCTION("""COMPUTED_VALUE"""),1.0)</f>
        <v>1</v>
      </c>
      <c r="J653" s="3" t="str">
        <f>IFERROR(__xludf.DUMMYFUNCTION("""COMPUTED_VALUE"""),"Btg")</f>
        <v>Btg</v>
      </c>
      <c r="K653" s="3" t="str">
        <f>IFERROR(__xludf.DUMMYFUNCTION("""COMPUTED_VALUE"""),"Quote- 0049-PT Fongko international pharmaceuticals.pdf")</f>
        <v>Quote- 0049-PT Fongko international pharmaceuticals.pdf</v>
      </c>
      <c r="L653" s="3" t="str">
        <f>IFERROR(__xludf.DUMMYFUNCTION("""COMPUTED_VALUE"""),"Buat insulasi pipa hot water")</f>
        <v>Buat insulasi pipa hot water</v>
      </c>
      <c r="M653" s="3" t="str">
        <f>IFERROR(__xludf.DUMMYFUNCTION("""COMPUTED_VALUE"""),"Approve")</f>
        <v>Approve</v>
      </c>
      <c r="N653" s="3" t="str">
        <f>IFERROR(__xludf.DUMMYFUNCTION("""COMPUTED_VALUE"""),"Normal")</f>
        <v>Normal</v>
      </c>
      <c r="O653" s="3" t="str">
        <f>IFERROR(__xludf.DUMMYFUNCTION("""COMPUTED_VALUE"""),"Non Urgent")</f>
        <v>Non Urgent</v>
      </c>
    </row>
    <row r="654">
      <c r="A654" s="4">
        <f>IFERROR(__xludf.DUMMYFUNCTION("""COMPUTED_VALUE"""),46062.97194194444)</f>
        <v>46062.97194</v>
      </c>
      <c r="B654" s="3" t="str">
        <f>IFERROR(__xludf.DUMMYFUNCTION("""COMPUTED_VALUE"""),"RIABR0145")</f>
        <v>RIABR0145</v>
      </c>
      <c r="C654" s="3" t="str">
        <f>IFERROR(__xludf.DUMMYFUNCTION("""COMPUTED_VALUE"""),"EJO")</f>
        <v>EJO</v>
      </c>
      <c r="D654" s="3" t="str">
        <f>IFERROR(__xludf.DUMMYFUNCTION("""COMPUTED_VALUE"""),"EJO/2026/01/92")</f>
        <v>EJO/2026/01/92</v>
      </c>
      <c r="E654" s="3" t="str">
        <f>IFERROR(__xludf.DUMMYFUNCTION("""COMPUTED_VALUE"""),"Hot Water")</f>
        <v>Hot Water</v>
      </c>
      <c r="F654" s="3" t="str">
        <f>IFERROR(__xludf.DUMMYFUNCTION("""COMPUTED_VALUE"""),"Insulasi")</f>
        <v>Insulasi</v>
      </c>
      <c r="G654" s="3" t="str">
        <f>IFERROR(__xludf.DUMMYFUNCTION("""COMPUTED_VALUE"""),"Flange JIS10K 2,5""(175mm)
Thermaflex sheet sh 20mmx1500mm")</f>
        <v>Flange JIS10K 2,5"(175mm)
Thermaflex sheet sh 20mmx1500mm</v>
      </c>
      <c r="H654" s="3" t="str">
        <f>IFERROR(__xludf.DUMMYFUNCTION("""COMPUTED_VALUE"""),"Thermaflex")</f>
        <v>Thermaflex</v>
      </c>
      <c r="I654" s="3">
        <f>IFERROR(__xludf.DUMMYFUNCTION("""COMPUTED_VALUE"""),1.0)</f>
        <v>1</v>
      </c>
      <c r="J654" s="3" t="str">
        <f>IFERROR(__xludf.DUMMYFUNCTION("""COMPUTED_VALUE"""),"Mtr")</f>
        <v>Mtr</v>
      </c>
      <c r="K654" s="3" t="str">
        <f>IFERROR(__xludf.DUMMYFUNCTION("""COMPUTED_VALUE"""),"Quote- 0049-PT Fongko international pharmaceuticals.pdf")</f>
        <v>Quote- 0049-PT Fongko international pharmaceuticals.pdf</v>
      </c>
      <c r="L654" s="3" t="str">
        <f>IFERROR(__xludf.DUMMYFUNCTION("""COMPUTED_VALUE"""),"Buat insulasi pipa hot water")</f>
        <v>Buat insulasi pipa hot water</v>
      </c>
      <c r="M654" s="3" t="str">
        <f>IFERROR(__xludf.DUMMYFUNCTION("""COMPUTED_VALUE"""),"Approve")</f>
        <v>Approve</v>
      </c>
      <c r="N654" s="3" t="str">
        <f>IFERROR(__xludf.DUMMYFUNCTION("""COMPUTED_VALUE"""),"Normal")</f>
        <v>Normal</v>
      </c>
      <c r="O654" s="3" t="str">
        <f>IFERROR(__xludf.DUMMYFUNCTION("""COMPUTED_VALUE"""),"Non Urgent")</f>
        <v>Non Urgent</v>
      </c>
    </row>
    <row r="655">
      <c r="A655" s="4">
        <f>IFERROR(__xludf.DUMMYFUNCTION("""COMPUTED_VALUE"""),46066.361161863424)</f>
        <v>46066.36116</v>
      </c>
      <c r="B655" s="3" t="str">
        <f>IFERROR(__xludf.DUMMYFUNCTION("""COMPUTED_VALUE"""),"SFHBR0044")</f>
        <v>SFHBR0044</v>
      </c>
      <c r="C655" s="3" t="str">
        <f>IFERROR(__xludf.DUMMYFUNCTION("""COMPUTED_VALUE"""),"Consumable")</f>
        <v>Consumable</v>
      </c>
      <c r="D655" s="3" t="str">
        <f>IFERROR(__xludf.DUMMYFUNCTION("""COMPUTED_VALUE"""),"-")</f>
        <v>-</v>
      </c>
      <c r="E655" s="3" t="str">
        <f>IFERROR(__xludf.DUMMYFUNCTION("""COMPUTED_VALUE"""),"lantai 2")</f>
        <v>lantai 2</v>
      </c>
      <c r="F655" s="3" t="str">
        <f>IFERROR(__xludf.DUMMYFUNCTION("""COMPUTED_VALUE"""),"kasa flafon")</f>
        <v>kasa flafon</v>
      </c>
      <c r="G655" s="3" t="str">
        <f>IFERROR(__xludf.DUMMYFUNCTION("""COMPUTED_VALUE"""),"Kasa gipsum tanpa lem serat fiber anti bocor fiberglass kasa plafon gypsum murah bagus - Kasa gipsum 1 in")</f>
        <v>Kasa gipsum tanpa lem serat fiber anti bocor fiberglass kasa plafon gypsum murah bagus - Kasa gipsum 1 in</v>
      </c>
      <c r="H655" s="3" t="str">
        <f>IFERROR(__xludf.DUMMYFUNCTION("""COMPUTED_VALUE"""),"kasa gypsum")</f>
        <v>kasa gypsum</v>
      </c>
      <c r="I655" s="3">
        <f>IFERROR(__xludf.DUMMYFUNCTION("""COMPUTED_VALUE"""),5.0)</f>
        <v>5</v>
      </c>
      <c r="J655" s="3" t="str">
        <f>IFERROR(__xludf.DUMMYFUNCTION("""COMPUTED_VALUE"""),"Roll")</f>
        <v>Roll</v>
      </c>
      <c r="K655" s="5" t="str">
        <f>IFERROR(__xludf.DUMMYFUNCTION("""COMPUTED_VALUE"""),"https://tk.tokopedia.com/ZSm2LbBkq/")</f>
        <v>https://tk.tokopedia.com/ZSm2LbBkq/</v>
      </c>
      <c r="L655" s="3" t="str">
        <f>IFERROR(__xludf.DUMMYFUNCTION("""COMPUTED_VALUE"""),"-")</f>
        <v>-</v>
      </c>
      <c r="M655" s="3" t="str">
        <f>IFERROR(__xludf.DUMMYFUNCTION("""COMPUTED_VALUE"""),"Approve")</f>
        <v>Approve</v>
      </c>
      <c r="N655" s="3" t="str">
        <f>IFERROR(__xludf.DUMMYFUNCTION("""COMPUTED_VALUE"""),"Normal")</f>
        <v>Normal</v>
      </c>
      <c r="O655" s="3" t="str">
        <f>IFERROR(__xludf.DUMMYFUNCTION("""COMPUTED_VALUE"""),"Non Urgent")</f>
        <v>Non Urgent</v>
      </c>
    </row>
    <row r="656">
      <c r="A656" s="4">
        <f>IFERROR(__xludf.DUMMYFUNCTION("""COMPUTED_VALUE"""),46066.44875253472)</f>
        <v>46066.44875</v>
      </c>
      <c r="B656" s="3" t="str">
        <f>IFERROR(__xludf.DUMMYFUNCTION("""COMPUTED_VALUE"""),"SFHBR0045")</f>
        <v>SFHBR0045</v>
      </c>
      <c r="C656" s="3" t="str">
        <f>IFERROR(__xludf.DUMMYFUNCTION("""COMPUTED_VALUE"""),"Consumable")</f>
        <v>Consumable</v>
      </c>
      <c r="D656" s="3" t="str">
        <f>IFERROR(__xludf.DUMMYFUNCTION("""COMPUTED_VALUE"""),"-")</f>
        <v>-</v>
      </c>
      <c r="E656" s="3" t="str">
        <f>IFERROR(__xludf.DUMMYFUNCTION("""COMPUTED_VALUE"""),"lantai 2")</f>
        <v>lantai 2</v>
      </c>
      <c r="F656" s="3" t="str">
        <f>IFERROR(__xludf.DUMMYFUNCTION("""COMPUTED_VALUE"""),"slot pintu kaca toilet")</f>
        <v>slot pintu kaca toilet</v>
      </c>
      <c r="G656" s="3" t="str">
        <f>IFERROR(__xludf.DUMMYFUNCTION("""COMPUTED_VALUE"""),"Kunci Grendel Slot kaca kaca &amp; kaca tembok 10-12 mm - KT")</f>
        <v>Kunci Grendel Slot kaca kaca &amp; kaca tembok 10-12 mm - KT</v>
      </c>
      <c r="H656" s="3" t="str">
        <f>IFERROR(__xludf.DUMMYFUNCTION("""COMPUTED_VALUE"""),"artkey")</f>
        <v>artkey</v>
      </c>
      <c r="I656" s="3">
        <f>IFERROR(__xludf.DUMMYFUNCTION("""COMPUTED_VALUE"""),5.0)</f>
        <v>5</v>
      </c>
      <c r="J656" s="3" t="str">
        <f>IFERROR(__xludf.DUMMYFUNCTION("""COMPUTED_VALUE"""),"pcs")</f>
        <v>pcs</v>
      </c>
      <c r="K656" s="5" t="str">
        <f>IFERROR(__xludf.DUMMYFUNCTION("""COMPUTED_VALUE"""),"https://tk.tokopedia.com/ZSm2AKPxK/")</f>
        <v>https://tk.tokopedia.com/ZSm2AKPxK/</v>
      </c>
      <c r="L656" s="3" t="str">
        <f>IFERROR(__xludf.DUMMYFUNCTION("""COMPUTED_VALUE"""),"untuk toilet")</f>
        <v>untuk toilet</v>
      </c>
      <c r="M656" s="3" t="str">
        <f>IFERROR(__xludf.DUMMYFUNCTION("""COMPUTED_VALUE"""),"Approve")</f>
        <v>Approve</v>
      </c>
      <c r="N656" s="3" t="str">
        <f>IFERROR(__xludf.DUMMYFUNCTION("""COMPUTED_VALUE"""),"Normal")</f>
        <v>Normal</v>
      </c>
      <c r="O656" s="3" t="str">
        <f>IFERROR(__xludf.DUMMYFUNCTION("""COMPUTED_VALUE"""),"Non Urgent")</f>
        <v>Non Urgent</v>
      </c>
    </row>
    <row r="657">
      <c r="A657" s="4">
        <f>IFERROR(__xludf.DUMMYFUNCTION("""COMPUTED_VALUE"""),46068.685726678246)</f>
        <v>46068.68573</v>
      </c>
      <c r="B657" s="3" t="str">
        <f>IFERROR(__xludf.DUMMYFUNCTION("""COMPUTED_VALUE"""),"RIABR0146")</f>
        <v>RIABR0146</v>
      </c>
      <c r="C657" s="3" t="str">
        <f>IFERROR(__xludf.DUMMYFUNCTION("""COMPUTED_VALUE"""),"EJO")</f>
        <v>EJO</v>
      </c>
      <c r="D657" s="3" t="str">
        <f>IFERROR(__xludf.DUMMYFUNCTION("""COMPUTED_VALUE"""),"EJO/2025/08/56")</f>
        <v>EJO/2025/08/56</v>
      </c>
      <c r="E657" s="3" t="str">
        <f>IFERROR(__xludf.DUMMYFUNCTION("""COMPUTED_VALUE"""),"WWTP")</f>
        <v>WWTP</v>
      </c>
      <c r="F657" s="3" t="str">
        <f>IFERROR(__xludf.DUMMYFUNCTION("""COMPUTED_VALUE"""),"Selector Switch 3 Posisi YW1S-3E20")</f>
        <v>Selector Switch 3 Posisi YW1S-3E20</v>
      </c>
      <c r="G657" s="3" t="str">
        <f>IFERROR(__xludf.DUMMYFUNCTION("""COMPUTED_VALUE"""),"Selector Switch 3 Posisi YW1S-3E20")</f>
        <v>Selector Switch 3 Posisi YW1S-3E20</v>
      </c>
      <c r="H657" s="3" t="str">
        <f>IFERROR(__xludf.DUMMYFUNCTION("""COMPUTED_VALUE"""),"Idec")</f>
        <v>Idec</v>
      </c>
      <c r="I657" s="3">
        <f>IFERROR(__xludf.DUMMYFUNCTION("""COMPUTED_VALUE"""),3.0)</f>
        <v>3</v>
      </c>
      <c r="J657" s="3" t="str">
        <f>IFERROR(__xludf.DUMMYFUNCTION("""COMPUTED_VALUE"""),"Pcs")</f>
        <v>Pcs</v>
      </c>
      <c r="K657" s="5" t="str">
        <f>IFERROR(__xludf.DUMMYFUNCTION("""COMPUTED_VALUE"""),"https://www.tokopedia.com/kedaielect/idec-selector-switch-3posisi-22mm-yw1s-3e20?extParam=ivf%3Dfalse%26keyword%3Dselector+switch+3+posisi+22+mm+idec%26search_id%3D2025071309512563923F49E524130BE7D6%26src%3Dsearch&amp;t_id=1752399739361&amp;t_st=7&amp;t_pp=search_res"&amp;"ult&amp;t_efo=search_pure_goods_card&amp;t_ef=goods_search&amp;t_sm=&amp;t_spt=search_result")</f>
        <v>https://www.tokopedia.com/kedaielect/idec-selector-switch-3posisi-22mm-yw1s-3e20?extParam=ivf%3Dfalse%26keyword%3Dselector+switch+3+posisi+22+mm+idec%26search_id%3D2025071309512563923F49E524130BE7D6%26src%3Dsearch&amp;t_id=1752399739361&amp;t_st=7&amp;t_pp=search_result&amp;t_efo=search_pure_goods_card&amp;t_ef=goods_search&amp;t_sm=&amp;t_spt=search_result</v>
      </c>
      <c r="L657" s="3" t="str">
        <f>IFERROR(__xludf.DUMMYFUNCTION("""COMPUTED_VALUE"""),"Aku mau re order tapi item code belum ada, ini tk bq ulangkarena dipakai sebagian buat mixing")</f>
        <v>Aku mau re order tapi item code belum ada, ini tk bq ulangkarena dipakai sebagian buat mixing</v>
      </c>
      <c r="M657" s="3" t="str">
        <f>IFERROR(__xludf.DUMMYFUNCTION("""COMPUTED_VALUE"""),"Approve")</f>
        <v>Approve</v>
      </c>
      <c r="N657" s="3" t="str">
        <f>IFERROR(__xludf.DUMMYFUNCTION("""COMPUTED_VALUE"""),"Normal")</f>
        <v>Normal</v>
      </c>
      <c r="O657" s="3" t="str">
        <f>IFERROR(__xludf.DUMMYFUNCTION("""COMPUTED_VALUE"""),"Non Urgent")</f>
        <v>Non Urgent</v>
      </c>
    </row>
    <row r="658">
      <c r="A658" s="4">
        <f>IFERROR(__xludf.DUMMYFUNCTION("""COMPUTED_VALUE"""),46069.627828807876)</f>
        <v>46069.62783</v>
      </c>
      <c r="B658" s="3" t="str">
        <f>IFERROR(__xludf.DUMMYFUNCTION("""COMPUTED_VALUE"""),"ROSBR0081")</f>
        <v>ROSBR0081</v>
      </c>
      <c r="C658" s="3" t="str">
        <f>IFERROR(__xludf.DUMMYFUNCTION("""COMPUTED_VALUE"""),"Consumable")</f>
        <v>Consumable</v>
      </c>
      <c r="D658" s="3" t="str">
        <f>IFERROR(__xludf.DUMMYFUNCTION("""COMPUTED_VALUE"""),"-")</f>
        <v>-</v>
      </c>
      <c r="E658" s="3" t="str">
        <f>IFERROR(__xludf.DUMMYFUNCTION("""COMPUTED_VALUE"""),"Utility OSD Lt2 ")</f>
        <v>Utility OSD Lt2 </v>
      </c>
      <c r="F658" s="3" t="str">
        <f>IFERROR(__xludf.DUMMYFUNCTION("""COMPUTED_VALUE"""),"Lemari APD Buat pengecekan Plastik dustcollector")</f>
        <v>Lemari APD Buat pengecekan Plastik dustcollector</v>
      </c>
      <c r="G658" s="3" t="str">
        <f>IFERROR(__xludf.DUMMYFUNCTION("""COMPUTED_VALUE"""),"Material : Cold Roll Steel
Type Of L ocker : Standard Locker
Type Of Construction : Knock Down
Type of Top : Flat
Type of Lock : Standard Lock
Plate Thickness : Approx 0.6mm
Powder Coating Finished : Approx 0.1mm
Maxload per Shelving : 20 Kg
Outside Dimen"&amp;"sion L x W x H (mm) : 600 x 800 x 1800
Inside Dimension L x W x H (mm) : 560 x 760 x 1100
Weigh t : Gross (Kg) : 27 / Nett (Kg) : 25
-")</f>
        <v>Material : Cold Roll Steel
Type Of L ocker : Standard Locker
Type Of Construction : Knock Down
Type of Top : Flat
Type of Lock : Standard Lock
Plate Thickness : Approx 0.6mm
Powder Coating Finished : Approx 0.1mm
Maxload per Shelving : 20 Kg
Outside Dimension L x W x H (mm) : 600 x 800 x 1800
Inside Dimension L x W x H (mm) : 560 x 760 x 1100
Weigh t : Gross (Kg) : 27 / Nett (Kg) : 25
-</v>
      </c>
      <c r="H658" s="3" t="str">
        <f>IFERROR(__xludf.DUMMYFUNCTION("""COMPUTED_VALUE"""),"Krisbow ")</f>
        <v>Krisbow </v>
      </c>
      <c r="I658" s="3">
        <f>IFERROR(__xludf.DUMMYFUNCTION("""COMPUTED_VALUE"""),1.0)</f>
        <v>1</v>
      </c>
      <c r="J658" s="3" t="str">
        <f>IFERROR(__xludf.DUMMYFUNCTION("""COMPUTED_VALUE"""),"set")</f>
        <v>set</v>
      </c>
      <c r="K658" s="5" t="str">
        <f>IFERROR(__xludf.DUMMYFUNCTION("""COMPUTED_VALUE"""),"https://www.krisbow.com/detail/10155038-locker-1-doors-single-coloum-red")</f>
        <v>https://www.krisbow.com/detail/10155038-locker-1-doors-single-coloum-red</v>
      </c>
      <c r="L658" s="3" t="str">
        <f>IFERROR(__xludf.DUMMYFUNCTION("""COMPUTED_VALUE"""),"https://drive.google.com/file/d/1rWZ7J8h5Oo-LaEKRgrdwEQ8F4-6K2c3N/view?usp=drive_link
REJECT BY MFH KARENA HARUS PAKAI BUDGET ASSET
")</f>
        <v>https://drive.google.com/file/d/1rWZ7J8h5Oo-LaEKRgrdwEQ8F4-6K2c3N/view?usp=drive_link
REJECT BY MFH KARENA HARUS PAKAI BUDGET ASSET
</v>
      </c>
      <c r="M658" s="3" t="str">
        <f>IFERROR(__xludf.DUMMYFUNCTION("""COMPUTED_VALUE"""),"Reject")</f>
        <v>Reject</v>
      </c>
      <c r="N658" s="3" t="str">
        <f>IFERROR(__xludf.DUMMYFUNCTION("""COMPUTED_VALUE"""),"Normal")</f>
        <v>Normal</v>
      </c>
      <c r="O658" s="3" t="str">
        <f>IFERROR(__xludf.DUMMYFUNCTION("""COMPUTED_VALUE"""),"Non Urgent")</f>
        <v>Non Urgent</v>
      </c>
    </row>
    <row r="659">
      <c r="A659" s="4">
        <f>IFERROR(__xludf.DUMMYFUNCTION("""COMPUTED_VALUE"""),46070.42437122685)</f>
        <v>46070.42437</v>
      </c>
      <c r="B659" s="3" t="str">
        <f>IFERROR(__xludf.DUMMYFUNCTION("""COMPUTED_VALUE"""),"ROSBR0082")</f>
        <v>ROSBR0082</v>
      </c>
      <c r="C659" s="3" t="str">
        <f>IFERROR(__xludf.DUMMYFUNCTION("""COMPUTED_VALUE"""),"EJO")</f>
        <v>EJO</v>
      </c>
      <c r="D659" s="3" t="str">
        <f>IFERROR(__xludf.DUMMYFUNCTION("""COMPUTED_VALUE"""),"2025/11/142")</f>
        <v>2025/11/142</v>
      </c>
      <c r="E659" s="3" t="str">
        <f>IFERROR(__xludf.DUMMYFUNCTION("""COMPUTED_VALUE"""),"Isolator Skan ")</f>
        <v>Isolator Skan </v>
      </c>
      <c r="F659" s="3" t="str">
        <f>IFERROR(__xludf.DUMMYFUNCTION("""COMPUTED_VALUE"""),"Dudukan equinox New")</f>
        <v>Dudukan equinox New</v>
      </c>
      <c r="G659" s="3" t="str">
        <f>IFERROR(__xludf.DUMMYFUNCTION("""COMPUTED_VALUE"""),"Machining Plate Mat'l SUS 304
Proses Laser Cutting
Profil Support Equinok
Assembly Welding
Finishing")</f>
        <v>Machining Plate Mat'l SUS 304
Proses Laser Cutting
Profil Support Equinok
Assembly Welding
Finishing</v>
      </c>
      <c r="H659" s="3" t="str">
        <f>IFERROR(__xludf.DUMMYFUNCTION("""COMPUTED_VALUE"""),"Agru")</f>
        <v>Agru</v>
      </c>
      <c r="I659" s="3">
        <f>IFERROR(__xludf.DUMMYFUNCTION("""COMPUTED_VALUE"""),1.0)</f>
        <v>1</v>
      </c>
      <c r="J659" s="3" t="str">
        <f>IFERROR(__xludf.DUMMYFUNCTION("""COMPUTED_VALUE"""),"set")</f>
        <v>set</v>
      </c>
      <c r="K659" s="5" t="str">
        <f>IFERROR(__xludf.DUMMYFUNCTION("""COMPUTED_VALUE"""),"https://drive.google.com/file/d/18nXIf_NpRdqgVFBLyZ6mGEMeLOWjq_X_/view?usp=drive_link")</f>
        <v>https://drive.google.com/file/d/18nXIf_NpRdqgVFBLyZ6mGEMeLOWjq_X_/view?usp=drive_link</v>
      </c>
      <c r="L659" s="5" t="str">
        <f>IFERROR(__xludf.DUMMYFUNCTION("""COMPUTED_VALUE"""),"https://drive.google.com/file/d/1mxFXDVuXTaI_HIgHyEpfeI6o1TdTjTRv/view?usp=drive_link")</f>
        <v>https://drive.google.com/file/d/1mxFXDVuXTaI_HIgHyEpfeI6o1TdTjTRv/view?usp=drive_link</v>
      </c>
      <c r="M659" s="3" t="str">
        <f>IFERROR(__xludf.DUMMYFUNCTION("""COMPUTED_VALUE"""),"Approve")</f>
        <v>Approve</v>
      </c>
      <c r="N659" s="3" t="str">
        <f>IFERROR(__xludf.DUMMYFUNCTION("""COMPUTED_VALUE"""),"Normal")</f>
        <v>Normal</v>
      </c>
      <c r="O659" s="3" t="str">
        <f>IFERROR(__xludf.DUMMYFUNCTION("""COMPUTED_VALUE"""),"Non Urgent")</f>
        <v>Non Urgent</v>
      </c>
    </row>
    <row r="660">
      <c r="A660" s="4">
        <f>IFERROR(__xludf.DUMMYFUNCTION("""COMPUTED_VALUE"""),46071.63137935185)</f>
        <v>46071.63138</v>
      </c>
      <c r="B660" s="3" t="str">
        <f>IFERROR(__xludf.DUMMYFUNCTION("""COMPUTED_VALUE"""),"RIABR0147")</f>
        <v>RIABR0147</v>
      </c>
      <c r="C660" s="3" t="str">
        <f>IFERROR(__xludf.DUMMYFUNCTION("""COMPUTED_VALUE"""),"EJO")</f>
        <v>EJO</v>
      </c>
      <c r="D660" s="3" t="str">
        <f>IFERROR(__xludf.DUMMYFUNCTION("""COMPUTED_VALUE"""),"EJO/2026/02/166")</f>
        <v>EJO/2026/02/166</v>
      </c>
      <c r="E660" s="3" t="str">
        <f>IFERROR(__xludf.DUMMYFUNCTION("""COMPUTED_VALUE"""),"Rolling Door")</f>
        <v>Rolling Door</v>
      </c>
      <c r="F660" s="3" t="str">
        <f>IFERROR(__xludf.DUMMYFUNCTION("""COMPUTED_VALUE"""),"Emergency Stop + Junction Box")</f>
        <v>Emergency Stop + Junction Box</v>
      </c>
      <c r="G660" s="3" t="str">
        <f>IFERROR(__xludf.DUMMYFUNCTION("""COMPUTED_VALUE"""),"Saklar Emergency Stop + Box 1NC + 1NO Panel Box
size box : 7,5cm x 7cm x 6,4cm")</f>
        <v>Saklar Emergency Stop + Box 1NC + 1NO Panel Box
size box : 7,5cm x 7cm x 6,4cm</v>
      </c>
      <c r="H660" s="3" t="str">
        <f>IFERROR(__xludf.DUMMYFUNCTION("""COMPUTED_VALUE"""),"Fort")</f>
        <v>Fort</v>
      </c>
      <c r="I660" s="3">
        <f>IFERROR(__xludf.DUMMYFUNCTION("""COMPUTED_VALUE"""),5.0)</f>
        <v>5</v>
      </c>
      <c r="J660" s="3" t="str">
        <f>IFERROR(__xludf.DUMMYFUNCTION("""COMPUTED_VALUE"""),"Pcs")</f>
        <v>Pcs</v>
      </c>
      <c r="K660" s="5" t="str">
        <f>IFERROR(__xludf.DUMMYFUNCTION("""COMPUTED_VALUE"""),"https://www.tokopedia.com/onoshop/saklar-emergency-stop-box-1nc-1no-panel-box?extParam=ivf%3Dfalse%26keyword%3Djunction+box+emergency+stop%26search_id%3D202602180808127F100B7B36092F047W3W%26src%3Dsearch&amp;t_id=1771402097871&amp;t_st=1&amp;t_pp=search_result&amp;t_efo=s"&amp;"earch_pure_goods_card&amp;t_ef=goods_search&amp;t_sm=&amp;t_spt=search_result")</f>
        <v>https://www.tokopedia.com/onoshop/saklar-emergency-stop-box-1nc-1no-panel-box?extParam=ivf%3Dfalse%26keyword%3Djunction+box+emergency+stop%26search_id%3D202602180808127F100B7B36092F047W3W%26src%3Dsearch&amp;t_id=1771402097871&amp;t_st=1&amp;t_pp=search_result&amp;t_efo=search_pure_goods_card&amp;t_ef=goods_search&amp;t_sm=&amp;t_spt=search_result</v>
      </c>
      <c r="L660" s="3" t="str">
        <f>IFERROR(__xludf.DUMMYFUNCTION("""COMPUTED_VALUE"""),"Untuk rolling door warehouse ada 2 rolling door minimal beliin 2 ya, yang lain buat spare saja")</f>
        <v>Untuk rolling door warehouse ada 2 rolling door minimal beliin 2 ya, yang lain buat spare saja</v>
      </c>
      <c r="M660" s="3" t="str">
        <f>IFERROR(__xludf.DUMMYFUNCTION("""COMPUTED_VALUE"""),"Approve")</f>
        <v>Approve</v>
      </c>
      <c r="N660" s="3" t="str">
        <f>IFERROR(__xludf.DUMMYFUNCTION("""COMPUTED_VALUE"""),"Normal")</f>
        <v>Normal</v>
      </c>
      <c r="O660" s="3" t="str">
        <f>IFERROR(__xludf.DUMMYFUNCTION("""COMPUTED_VALUE"""),"Non Urgent")</f>
        <v>Non Urgent</v>
      </c>
    </row>
    <row r="661">
      <c r="A661" s="4">
        <f>IFERROR(__xludf.DUMMYFUNCTION("""COMPUTED_VALUE"""),46077.95242194445)</f>
        <v>46077.95242</v>
      </c>
      <c r="B661" s="3" t="str">
        <f>IFERROR(__xludf.DUMMYFUNCTION("""COMPUTED_VALUE"""),"KFFBR0008")</f>
        <v>KFFBR0008</v>
      </c>
      <c r="C661" s="3" t="str">
        <f>IFERROR(__xludf.DUMMYFUNCTION("""COMPUTED_VALUE"""),"EJO")</f>
        <v>EJO</v>
      </c>
      <c r="D661" s="3" t="str">
        <f>IFERROR(__xludf.DUMMYFUNCTION("""COMPUTED_VALUE"""),"EJO/2025/09/131")</f>
        <v>EJO/2025/09/131</v>
      </c>
      <c r="E661" s="3" t="str">
        <f>IFERROR(__xludf.DUMMYFUNCTION("""COMPUTED_VALUE"""),"HPLC ")</f>
        <v>HPLC </v>
      </c>
      <c r="F661" s="3" t="str">
        <f>IFERROR(__xludf.DUMMYFUNCTION("""COMPUTED_VALUE"""),"Pipa Hollo ")</f>
        <v>Pipa Hollo </v>
      </c>
      <c r="G661" s="3" t="str">
        <f>IFERROR(__xludf.DUMMYFUNCTION("""COMPUTED_VALUE"""),"Pipa hollow stainless 304 30 x 30 x 1,5 mm panjang 6 meter / 3 x 3 cm - hollow 304 mirror / kilap")</f>
        <v>Pipa hollow stainless 304 30 x 30 x 1,5 mm panjang 6 meter / 3 x 3 cm - hollow 304 mirror / kilap</v>
      </c>
      <c r="H661" s="3" t="str">
        <f>IFERROR(__xludf.DUMMYFUNCTION("""COMPUTED_VALUE"""),"universal")</f>
        <v>universal</v>
      </c>
      <c r="I661" s="3">
        <f>IFERROR(__xludf.DUMMYFUNCTION("""COMPUTED_VALUE"""),2.0)</f>
        <v>2</v>
      </c>
      <c r="J661" s="3" t="str">
        <f>IFERROR(__xludf.DUMMYFUNCTION("""COMPUTED_VALUE"""),"btg")</f>
        <v>btg</v>
      </c>
      <c r="K661" s="5" t="str">
        <f>IFERROR(__xludf.DUMMYFUNCTION("""COMPUTED_VALUE"""),"https://tk.tokopedia.com/ZSm4H4Fnd/")</f>
        <v>https://tk.tokopedia.com/ZSm4H4Fnd/</v>
      </c>
      <c r="L661" s="3" t="str">
        <f>IFERROR(__xludf.DUMMYFUNCTION("""COMPUTED_VALUE"""),"pembuatan trolly jerigen limbah mesin HPLC, ULPC dan LPC")</f>
        <v>pembuatan trolly jerigen limbah mesin HPLC, ULPC dan LPC</v>
      </c>
      <c r="M661" s="3" t="str">
        <f>IFERROR(__xludf.DUMMYFUNCTION("""COMPUTED_VALUE"""),"Approve")</f>
        <v>Approve</v>
      </c>
      <c r="N661" s="3" t="str">
        <f>IFERROR(__xludf.DUMMYFUNCTION("""COMPUTED_VALUE"""),"Normal")</f>
        <v>Normal</v>
      </c>
      <c r="O661" s="3" t="str">
        <f>IFERROR(__xludf.DUMMYFUNCTION("""COMPUTED_VALUE"""),"Non Urgent")</f>
        <v>Non Urgent</v>
      </c>
    </row>
    <row r="662">
      <c r="A662" s="4">
        <f>IFERROR(__xludf.DUMMYFUNCTION("""COMPUTED_VALUE"""),46078.68495199074)</f>
        <v>46078.68495</v>
      </c>
      <c r="B662" s="3" t="str">
        <f>IFERROR(__xludf.DUMMYFUNCTION("""COMPUTED_VALUE"""),"RIABR0148")</f>
        <v>RIABR0148</v>
      </c>
      <c r="C662" s="3" t="str">
        <f>IFERROR(__xludf.DUMMYFUNCTION("""COMPUTED_VALUE"""),"EJO")</f>
        <v>EJO</v>
      </c>
      <c r="D662" s="3" t="str">
        <f>IFERROR(__xludf.DUMMYFUNCTION("""COMPUTED_VALUE"""),"-")</f>
        <v>-</v>
      </c>
      <c r="E662" s="3" t="str">
        <f>IFERROR(__xludf.DUMMYFUNCTION("""COMPUTED_VALUE"""),"All Area")</f>
        <v>All Area</v>
      </c>
      <c r="F662" s="3" t="str">
        <f>IFERROR(__xludf.DUMMYFUNCTION("""COMPUTED_VALUE"""),"Pilox")</f>
        <v>Pilox</v>
      </c>
      <c r="G662" s="3" t="str">
        <f>IFERROR(__xludf.DUMMYFUNCTION("""COMPUTED_VALUE"""),"Samurai Signal Red 23")</f>
        <v>Samurai Signal Red 23</v>
      </c>
      <c r="H662" s="3" t="str">
        <f>IFERROR(__xludf.DUMMYFUNCTION("""COMPUTED_VALUE"""),"Samurai")</f>
        <v>Samurai</v>
      </c>
      <c r="I662" s="3">
        <f>IFERROR(__xludf.DUMMYFUNCTION("""COMPUTED_VALUE"""),5.0)</f>
        <v>5</v>
      </c>
      <c r="J662" s="3" t="str">
        <f>IFERROR(__xludf.DUMMYFUNCTION("""COMPUTED_VALUE"""),"Pcs")</f>
        <v>Pcs</v>
      </c>
      <c r="K662" s="5" t="str">
        <f>IFERROR(__xludf.DUMMYFUNCTION("""COMPUTED_VALUE"""),"https://www.tokopedia.com/jesjave/pilox-samurai-paint-kurobushi-400ml-warna-glossy-metallic-doff-dll-signal-red-23?extParam=ivf%3Dfalse%26keyword%3Dpilox+samurai%26search_id%3D20260225092520432ACA3A1E345E12B7NA%26src%3Dsearch&amp;t_id=1772011525644&amp;t_st=2&amp;t_p"&amp;"p=search_result&amp;t_efo=search_pure_goods_card&amp;t_ef=goods_search&amp;t_sm=&amp;t_spt=search_result")</f>
        <v>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v>
      </c>
      <c r="L662" s="3" t="str">
        <f>IFERROR(__xludf.DUMMYFUNCTION("""COMPUTED_VALUE"""),"Untuk Flow Pipa")</f>
        <v>Untuk Flow Pipa</v>
      </c>
      <c r="M662" s="3" t="str">
        <f>IFERROR(__xludf.DUMMYFUNCTION("""COMPUTED_VALUE"""),"Approve")</f>
        <v>Approve</v>
      </c>
      <c r="N662" s="3" t="str">
        <f>IFERROR(__xludf.DUMMYFUNCTION("""COMPUTED_VALUE"""),"Normal")</f>
        <v>Normal</v>
      </c>
      <c r="O662" s="3" t="str">
        <f>IFERROR(__xludf.DUMMYFUNCTION("""COMPUTED_VALUE"""),"Non Urgent")</f>
        <v>Non Urgent</v>
      </c>
    </row>
    <row r="663">
      <c r="A663" s="4">
        <f>IFERROR(__xludf.DUMMYFUNCTION("""COMPUTED_VALUE"""),46078.68613465278)</f>
        <v>46078.68613</v>
      </c>
      <c r="B663" s="3" t="str">
        <f>IFERROR(__xludf.DUMMYFUNCTION("""COMPUTED_VALUE"""),"RIABR0149")</f>
        <v>RIABR0149</v>
      </c>
      <c r="C663" s="3" t="str">
        <f>IFERROR(__xludf.DUMMYFUNCTION("""COMPUTED_VALUE"""),"EJO")</f>
        <v>EJO</v>
      </c>
      <c r="D663" s="3" t="str">
        <f>IFERROR(__xludf.DUMMYFUNCTION("""COMPUTED_VALUE"""),"-")</f>
        <v>-</v>
      </c>
      <c r="E663" s="3" t="str">
        <f>IFERROR(__xludf.DUMMYFUNCTION("""COMPUTED_VALUE"""),"All Area")</f>
        <v>All Area</v>
      </c>
      <c r="F663" s="3" t="str">
        <f>IFERROR(__xludf.DUMMYFUNCTION("""COMPUTED_VALUE"""),"Pilox")</f>
        <v>Pilox</v>
      </c>
      <c r="G663" s="3" t="str">
        <f>IFERROR(__xludf.DUMMYFUNCTION("""COMPUTED_VALUE"""),"Blue 312 Samurai")</f>
        <v>Blue 312 Samurai</v>
      </c>
      <c r="H663" s="3" t="str">
        <f>IFERROR(__xludf.DUMMYFUNCTION("""COMPUTED_VALUE"""),"Samurai")</f>
        <v>Samurai</v>
      </c>
      <c r="I663" s="3">
        <f>IFERROR(__xludf.DUMMYFUNCTION("""COMPUTED_VALUE"""),3.0)</f>
        <v>3</v>
      </c>
      <c r="J663" s="3" t="str">
        <f>IFERROR(__xludf.DUMMYFUNCTION("""COMPUTED_VALUE"""),"Pcs")</f>
        <v>Pcs</v>
      </c>
      <c r="K663" s="5" t="str">
        <f>IFERROR(__xludf.DUMMYFUNCTION("""COMPUTED_VALUE"""),"https://www.tokopedia.com/jesjave/pilox-samurai-paint-kurobushi-400ml-warna-glossy-metallic-doff-dll-signal-red-23?extParam=ivf%3Dfalse%26keyword%3Dpilox+samurai%26search_id%3D20260225092520432ACA3A1E345E12B7NA%26src%3Dsearch&amp;t_id=1772011525644&amp;t_st=2&amp;t_p"&amp;"p=search_result&amp;t_efo=search_pure_goods_card&amp;t_ef=goods_search&amp;t_sm=&amp;t_spt=search_result")</f>
        <v>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v>
      </c>
      <c r="L663" s="3" t="str">
        <f>IFERROR(__xludf.DUMMYFUNCTION("""COMPUTED_VALUE"""),"Untuk Flow Pipa")</f>
        <v>Untuk Flow Pipa</v>
      </c>
      <c r="M663" s="3" t="str">
        <f>IFERROR(__xludf.DUMMYFUNCTION("""COMPUTED_VALUE"""),"Approve")</f>
        <v>Approve</v>
      </c>
      <c r="N663" s="3" t="str">
        <f>IFERROR(__xludf.DUMMYFUNCTION("""COMPUTED_VALUE"""),"Normal")</f>
        <v>Normal</v>
      </c>
      <c r="O663" s="3" t="str">
        <f>IFERROR(__xludf.DUMMYFUNCTION("""COMPUTED_VALUE"""),"Non Urgent")</f>
        <v>Non Urgent</v>
      </c>
    </row>
    <row r="664">
      <c r="A664" s="4">
        <f>IFERROR(__xludf.DUMMYFUNCTION("""COMPUTED_VALUE"""),46078.68657689815)</f>
        <v>46078.68658</v>
      </c>
      <c r="B664" s="3" t="str">
        <f>IFERROR(__xludf.DUMMYFUNCTION("""COMPUTED_VALUE"""),"RIABR0150")</f>
        <v>RIABR0150</v>
      </c>
      <c r="C664" s="3" t="str">
        <f>IFERROR(__xludf.DUMMYFUNCTION("""COMPUTED_VALUE"""),"EJO")</f>
        <v>EJO</v>
      </c>
      <c r="D664" s="3" t="str">
        <f>IFERROR(__xludf.DUMMYFUNCTION("""COMPUTED_VALUE"""),"-")</f>
        <v>-</v>
      </c>
      <c r="E664" s="3" t="str">
        <f>IFERROR(__xludf.DUMMYFUNCTION("""COMPUTED_VALUE"""),"All Area")</f>
        <v>All Area</v>
      </c>
      <c r="F664" s="3" t="str">
        <f>IFERROR(__xludf.DUMMYFUNCTION("""COMPUTED_VALUE"""),"Pilox")</f>
        <v>Pilox</v>
      </c>
      <c r="G664" s="3" t="str">
        <f>IFERROR(__xludf.DUMMYFUNCTION("""COMPUTED_VALUE"""),"Samurai Grey 104")</f>
        <v>Samurai Grey 104</v>
      </c>
      <c r="H664" s="3" t="str">
        <f>IFERROR(__xludf.DUMMYFUNCTION("""COMPUTED_VALUE"""),"Samurai")</f>
        <v>Samurai</v>
      </c>
      <c r="I664" s="3">
        <f>IFERROR(__xludf.DUMMYFUNCTION("""COMPUTED_VALUE"""),5.0)</f>
        <v>5</v>
      </c>
      <c r="J664" s="3" t="str">
        <f>IFERROR(__xludf.DUMMYFUNCTION("""COMPUTED_VALUE"""),"Pcs")</f>
        <v>Pcs</v>
      </c>
      <c r="K664" s="5" t="str">
        <f>IFERROR(__xludf.DUMMYFUNCTION("""COMPUTED_VALUE"""),"https://www.tokopedia.com/jesjave/pilox-samurai-paint-kurobushi-400ml-warna-glossy-metallic-doff-dll-signal-red-23?extParam=ivf%3Dfalse%26keyword%3Dpilox+samurai%26search_id%3D20260225092520432ACA3A1E345E12B7NA%26src%3Dsearch&amp;t_id=1772011525644&amp;t_st=2&amp;t_p"&amp;"p=search_result&amp;t_efo=search_pure_goods_card&amp;t_ef=goods_search&amp;t_sm=&amp;t_spt=search_result")</f>
        <v>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v>
      </c>
      <c r="L664" s="3" t="str">
        <f>IFERROR(__xludf.DUMMYFUNCTION("""COMPUTED_VALUE"""),"Untuk Flow Pipa")</f>
        <v>Untuk Flow Pipa</v>
      </c>
      <c r="M664" s="3" t="str">
        <f>IFERROR(__xludf.DUMMYFUNCTION("""COMPUTED_VALUE"""),"Approve")</f>
        <v>Approve</v>
      </c>
      <c r="N664" s="3" t="str">
        <f>IFERROR(__xludf.DUMMYFUNCTION("""COMPUTED_VALUE"""),"Normal")</f>
        <v>Normal</v>
      </c>
      <c r="O664" s="3" t="str">
        <f>IFERROR(__xludf.DUMMYFUNCTION("""COMPUTED_VALUE"""),"Non Urgent")</f>
        <v>Non Urgent</v>
      </c>
    </row>
    <row r="665">
      <c r="A665" s="4">
        <f>IFERROR(__xludf.DUMMYFUNCTION("""COMPUTED_VALUE"""),46078.68762921296)</f>
        <v>46078.68763</v>
      </c>
      <c r="B665" s="3" t="str">
        <f>IFERROR(__xludf.DUMMYFUNCTION("""COMPUTED_VALUE"""),"RIABR0151")</f>
        <v>RIABR0151</v>
      </c>
      <c r="C665" s="3" t="str">
        <f>IFERROR(__xludf.DUMMYFUNCTION("""COMPUTED_VALUE"""),"EJO")</f>
        <v>EJO</v>
      </c>
      <c r="D665" s="3" t="str">
        <f>IFERROR(__xludf.DUMMYFUNCTION("""COMPUTED_VALUE"""),"-")</f>
        <v>-</v>
      </c>
      <c r="E665" s="3" t="str">
        <f>IFERROR(__xludf.DUMMYFUNCTION("""COMPUTED_VALUE"""),"All Area")</f>
        <v>All Area</v>
      </c>
      <c r="F665" s="3" t="str">
        <f>IFERROR(__xludf.DUMMYFUNCTION("""COMPUTED_VALUE"""),"Pilox")</f>
        <v>Pilox</v>
      </c>
      <c r="G665" s="3" t="str">
        <f>IFERROR(__xludf.DUMMYFUNCTION("""COMPUTED_VALUE"""),"Samurai Scoopy Brown H391")</f>
        <v>Samurai Scoopy Brown H391</v>
      </c>
      <c r="H665" s="3" t="str">
        <f>IFERROR(__xludf.DUMMYFUNCTION("""COMPUTED_VALUE"""),"Samurai")</f>
        <v>Samurai</v>
      </c>
      <c r="I665" s="3">
        <f>IFERROR(__xludf.DUMMYFUNCTION("""COMPUTED_VALUE"""),3.0)</f>
        <v>3</v>
      </c>
      <c r="J665" s="3" t="str">
        <f>IFERROR(__xludf.DUMMYFUNCTION("""COMPUTED_VALUE"""),"Pcs")</f>
        <v>Pcs</v>
      </c>
      <c r="K665" s="5" t="str">
        <f>IFERROR(__xludf.DUMMYFUNCTION("""COMPUTED_VALUE"""),"https://www.tokopedia.com/willysmotor/samurai-paint-brown-scoopy-h391-cat-semprot-pilox-pylox?extParam=ivf%3Dfalse%26keyword%3Dpilox+samurai+coklat%26search_id%3D20260225092950D947BF06A885DB08CT6R%26src%3Dsearch&amp;t_id=1772011793678&amp;t_st=1&amp;t_pp=search_resul"&amp;"t&amp;t_efo=search_pure_goods_card&amp;t_ef=goods_search&amp;t_sm=&amp;t_spt=search_result")</f>
        <v>https://www.tokopedia.com/willysmotor/samurai-paint-brown-scoopy-h391-cat-semprot-pilox-pylox?extParam=ivf%3Dfalse%26keyword%3Dpilox+samurai+coklat%26search_id%3D20260225092950D947BF06A885DB08CT6R%26src%3Dsearch&amp;t_id=1772011793678&amp;t_st=1&amp;t_pp=search_result&amp;t_efo=search_pure_goods_card&amp;t_ef=goods_search&amp;t_sm=&amp;t_spt=search_result</v>
      </c>
      <c r="L665" s="3" t="str">
        <f>IFERROR(__xludf.DUMMYFUNCTION("""COMPUTED_VALUE"""),"Untuk Flow Pipa")</f>
        <v>Untuk Flow Pipa</v>
      </c>
      <c r="M665" s="3" t="str">
        <f>IFERROR(__xludf.DUMMYFUNCTION("""COMPUTED_VALUE"""),"Approve")</f>
        <v>Approve</v>
      </c>
      <c r="N665" s="3" t="str">
        <f>IFERROR(__xludf.DUMMYFUNCTION("""COMPUTED_VALUE"""),"Normal")</f>
        <v>Normal</v>
      </c>
      <c r="O665" s="3" t="str">
        <f>IFERROR(__xludf.DUMMYFUNCTION("""COMPUTED_VALUE"""),"Non Urgent")</f>
        <v>Non Urgent</v>
      </c>
    </row>
    <row r="666">
      <c r="A666" s="4">
        <f>IFERROR(__xludf.DUMMYFUNCTION("""COMPUTED_VALUE"""),46078.68898643518)</f>
        <v>46078.68899</v>
      </c>
      <c r="B666" s="3" t="str">
        <f>IFERROR(__xludf.DUMMYFUNCTION("""COMPUTED_VALUE"""),"RIABR0152")</f>
        <v>RIABR0152</v>
      </c>
      <c r="C666" s="3" t="str">
        <f>IFERROR(__xludf.DUMMYFUNCTION("""COMPUTED_VALUE"""),"EJO")</f>
        <v>EJO</v>
      </c>
      <c r="D666" s="3" t="str">
        <f>IFERROR(__xludf.DUMMYFUNCTION("""COMPUTED_VALUE"""),"-")</f>
        <v>-</v>
      </c>
      <c r="E666" s="3" t="str">
        <f>IFERROR(__xludf.DUMMYFUNCTION("""COMPUTED_VALUE"""),"All Area")</f>
        <v>All Area</v>
      </c>
      <c r="F666" s="3" t="str">
        <f>IFERROR(__xludf.DUMMYFUNCTION("""COMPUTED_VALUE"""),"Pilox")</f>
        <v>Pilox</v>
      </c>
      <c r="G666" s="3" t="str">
        <f>IFERROR(__xludf.DUMMYFUNCTION("""COMPUTED_VALUE"""),"Samurai Chrome Yellow")</f>
        <v>Samurai Chrome Yellow</v>
      </c>
      <c r="H666" s="3" t="str">
        <f>IFERROR(__xludf.DUMMYFUNCTION("""COMPUTED_VALUE"""),"Samurai")</f>
        <v>Samurai</v>
      </c>
      <c r="I666" s="3">
        <f>IFERROR(__xludf.DUMMYFUNCTION("""COMPUTED_VALUE"""),3.0)</f>
        <v>3</v>
      </c>
      <c r="J666" s="3" t="str">
        <f>IFERROR(__xludf.DUMMYFUNCTION("""COMPUTED_VALUE"""),"Pcs")</f>
        <v>Pcs</v>
      </c>
      <c r="K666" s="5" t="str">
        <f>IFERROR(__xludf.DUMMYFUNCTION("""COMPUTED_VALUE"""),"https://www.tokopedia.com/jesjave/pilox-samurai-paint-kurobushi-400ml-warna-glossy-metallic-doff-dll-signal-red-23?extParam=ivf%3Dfalse%26keyword%3Dpilox+samurai%26search_id%3D20260225092520432ACA3A1E345E12B7NA%26src%3Dsearch&amp;t_id=1772011525644&amp;t_st=2&amp;t_p"&amp;"p=search_result&amp;t_efo=search_pure_goods_card&amp;t_ef=goods_search&amp;t_sm=&amp;t_spt=search_result")</f>
        <v>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v>
      </c>
      <c r="L666" s="3" t="str">
        <f>IFERROR(__xludf.DUMMYFUNCTION("""COMPUTED_VALUE"""),"Untuk Flow Pipa")</f>
        <v>Untuk Flow Pipa</v>
      </c>
      <c r="M666" s="3" t="str">
        <f>IFERROR(__xludf.DUMMYFUNCTION("""COMPUTED_VALUE"""),"Approve")</f>
        <v>Approve</v>
      </c>
      <c r="N666" s="3" t="str">
        <f>IFERROR(__xludf.DUMMYFUNCTION("""COMPUTED_VALUE"""),"Normal")</f>
        <v>Normal</v>
      </c>
      <c r="O666" s="3" t="str">
        <f>IFERROR(__xludf.DUMMYFUNCTION("""COMPUTED_VALUE"""),"Non Urgent")</f>
        <v>Non Urgent</v>
      </c>
    </row>
    <row r="667">
      <c r="A667" s="4">
        <f>IFERROR(__xludf.DUMMYFUNCTION("""COMPUTED_VALUE"""),46078.689783726855)</f>
        <v>46078.68978</v>
      </c>
      <c r="B667" s="3" t="str">
        <f>IFERROR(__xludf.DUMMYFUNCTION("""COMPUTED_VALUE"""),"RIABR0153")</f>
        <v>RIABR0153</v>
      </c>
      <c r="C667" s="3" t="str">
        <f>IFERROR(__xludf.DUMMYFUNCTION("""COMPUTED_VALUE"""),"EJO")</f>
        <v>EJO</v>
      </c>
      <c r="D667" s="3" t="str">
        <f>IFERROR(__xludf.DUMMYFUNCTION("""COMPUTED_VALUE"""),"-")</f>
        <v>-</v>
      </c>
      <c r="E667" s="3" t="str">
        <f>IFERROR(__xludf.DUMMYFUNCTION("""COMPUTED_VALUE"""),"All Area")</f>
        <v>All Area</v>
      </c>
      <c r="F667" s="3" t="str">
        <f>IFERROR(__xludf.DUMMYFUNCTION("""COMPUTED_VALUE"""),"Pilox")</f>
        <v>Pilox</v>
      </c>
      <c r="G667" s="3" t="str">
        <f>IFERROR(__xludf.DUMMYFUNCTION("""COMPUTED_VALUE"""),"Samurai Super green 1144")</f>
        <v>Samurai Super green 1144</v>
      </c>
      <c r="H667" s="3" t="str">
        <f>IFERROR(__xludf.DUMMYFUNCTION("""COMPUTED_VALUE"""),"Samurai")</f>
        <v>Samurai</v>
      </c>
      <c r="I667" s="3">
        <f>IFERROR(__xludf.DUMMYFUNCTION("""COMPUTED_VALUE"""),10.0)</f>
        <v>10</v>
      </c>
      <c r="J667" s="3" t="str">
        <f>IFERROR(__xludf.DUMMYFUNCTION("""COMPUTED_VALUE"""),"Pcs")</f>
        <v>Pcs</v>
      </c>
      <c r="K667" s="5" t="str">
        <f>IFERROR(__xludf.DUMMYFUNCTION("""COMPUTED_VALUE"""),"https://www.tokopedia.com/cengtim/cat-semprot-aerosol-samurai-paint-hijau-tua-metalik-super-green-1144-pylox-tahan-bensin-1731425096795588007?extParam=ivf%3Dfalse%26keyword%3Dpilox+samurai+hijau+dark%26search_id%3D2026022509325704025959B191F8163PPB%26src%"&amp;"3Dsearch&amp;t_id=1772011793678&amp;t_st=2&amp;t_pp=search_result&amp;t_efo=search_pure_goods_card&amp;t_ef=goods_search&amp;t_sm=&amp;t_spt=search_result")</f>
        <v>https://www.tokopedia.com/cengtim/cat-semprot-aerosol-samurai-paint-hijau-tua-metalik-super-green-1144-pylox-tahan-bensin-1731425096795588007?extParam=ivf%3Dfalse%26keyword%3Dpilox+samurai+hijau+dark%26search_id%3D2026022509325704025959B191F8163PPB%26src%3Dsearch&amp;t_id=1772011793678&amp;t_st=2&amp;t_pp=search_result&amp;t_efo=search_pure_goods_card&amp;t_ef=goods_search&amp;t_sm=&amp;t_spt=search_result</v>
      </c>
      <c r="L667" s="3" t="str">
        <f>IFERROR(__xludf.DUMMYFUNCTION("""COMPUTED_VALUE"""),"Untuk Flow Pipa")</f>
        <v>Untuk Flow Pipa</v>
      </c>
      <c r="M667" s="3" t="str">
        <f>IFERROR(__xludf.DUMMYFUNCTION("""COMPUTED_VALUE"""),"Approve")</f>
        <v>Approve</v>
      </c>
      <c r="N667" s="3" t="str">
        <f>IFERROR(__xludf.DUMMYFUNCTION("""COMPUTED_VALUE"""),"Normal")</f>
        <v>Normal</v>
      </c>
      <c r="O667" s="3" t="str">
        <f>IFERROR(__xludf.DUMMYFUNCTION("""COMPUTED_VALUE"""),"Non Urgent")</f>
        <v>Non Urgent</v>
      </c>
    </row>
    <row r="668">
      <c r="A668" s="4">
        <f>IFERROR(__xludf.DUMMYFUNCTION("""COMPUTED_VALUE"""),46078.69071101852)</f>
        <v>46078.69071</v>
      </c>
      <c r="B668" s="3" t="str">
        <f>IFERROR(__xludf.DUMMYFUNCTION("""COMPUTED_VALUE"""),"RIABR0154")</f>
        <v>RIABR0154</v>
      </c>
      <c r="C668" s="3" t="str">
        <f>IFERROR(__xludf.DUMMYFUNCTION("""COMPUTED_VALUE"""),"EJO")</f>
        <v>EJO</v>
      </c>
      <c r="D668" s="3" t="str">
        <f>IFERROR(__xludf.DUMMYFUNCTION("""COMPUTED_VALUE"""),"-")</f>
        <v>-</v>
      </c>
      <c r="E668" s="3" t="str">
        <f>IFERROR(__xludf.DUMMYFUNCTION("""COMPUTED_VALUE"""),"All Area")</f>
        <v>All Area</v>
      </c>
      <c r="F668" s="3" t="str">
        <f>IFERROR(__xludf.DUMMYFUNCTION("""COMPUTED_VALUE"""),"Pilox")</f>
        <v>Pilox</v>
      </c>
      <c r="G668" s="3" t="str">
        <f>IFERROR(__xludf.DUMMYFUNCTION("""COMPUTED_VALUE"""),"Samurai Deep Purplish Blue Y3973")</f>
        <v>Samurai Deep Purplish Blue Y3973</v>
      </c>
      <c r="H668" s="3" t="str">
        <f>IFERROR(__xludf.DUMMYFUNCTION("""COMPUTED_VALUE"""),"Samurai")</f>
        <v>Samurai</v>
      </c>
      <c r="I668" s="3">
        <f>IFERROR(__xludf.DUMMYFUNCTION("""COMPUTED_VALUE"""),3.0)</f>
        <v>3</v>
      </c>
      <c r="J668" s="3" t="str">
        <f>IFERROR(__xludf.DUMMYFUNCTION("""COMPUTED_VALUE"""),"Pcs")</f>
        <v>Pcs</v>
      </c>
      <c r="K668" s="5" t="str">
        <f>IFERROR(__xludf.DUMMYFUNCTION("""COMPUTED_VALUE"""),"https://www.tokopedia.com/dmostoshop-106/cat-semprot-samurai-pilok-pilox-samurai-deep-purplish-blue-y3973-3973-biru-gelap-400ml-1734313104749069892?extParam=ivf%3Dfalse%26keyword%3Dpilox+samurai+dark+blue%26search_id%3D20260225093405D947BF06A885DB3B5OUR%2"&amp;"6src%3Dsearch&amp;t_id=1772011793678&amp;t_st=3&amp;t_pp=search_result&amp;t_efo=search_pure_goods_card&amp;t_ef=goods_search&amp;t_sm=&amp;t_spt=search_result")</f>
        <v>https://www.tokopedia.com/dmostoshop-106/cat-semprot-samurai-pilok-pilox-samurai-deep-purplish-blue-y3973-3973-biru-gelap-400ml-1734313104749069892?extParam=ivf%3Dfalse%26keyword%3Dpilox+samurai+dark+blue%26search_id%3D20260225093405D947BF06A885DB3B5OUR%26src%3Dsearch&amp;t_id=1772011793678&amp;t_st=3&amp;t_pp=search_result&amp;t_efo=search_pure_goods_card&amp;t_ef=goods_search&amp;t_sm=&amp;t_spt=search_result</v>
      </c>
      <c r="L668" s="3" t="str">
        <f>IFERROR(__xludf.DUMMYFUNCTION("""COMPUTED_VALUE"""),"Untuk Flow Pipa")</f>
        <v>Untuk Flow Pipa</v>
      </c>
      <c r="M668" s="3" t="str">
        <f>IFERROR(__xludf.DUMMYFUNCTION("""COMPUTED_VALUE"""),"Approve")</f>
        <v>Approve</v>
      </c>
      <c r="N668" s="3" t="str">
        <f>IFERROR(__xludf.DUMMYFUNCTION("""COMPUTED_VALUE"""),"Normal")</f>
        <v>Normal</v>
      </c>
      <c r="O668" s="3" t="str">
        <f>IFERROR(__xludf.DUMMYFUNCTION("""COMPUTED_VALUE"""),"Non Urgent")</f>
        <v>Non Urgent</v>
      </c>
    </row>
    <row r="669">
      <c r="A669" s="4">
        <f>IFERROR(__xludf.DUMMYFUNCTION("""COMPUTED_VALUE"""),46079.588131770826)</f>
        <v>46079.58813</v>
      </c>
      <c r="B669" s="3" t="str">
        <f>IFERROR(__xludf.DUMMYFUNCTION("""COMPUTED_VALUE"""),"AAABR0033")</f>
        <v>AAABR0033</v>
      </c>
      <c r="C669" s="3" t="str">
        <f>IFERROR(__xludf.DUMMYFUNCTION("""COMPUTED_VALUE"""),"EJO")</f>
        <v>EJO</v>
      </c>
      <c r="D669" s="3" t="str">
        <f>IFERROR(__xludf.DUMMYFUNCTION("""COMPUTED_VALUE"""),"EJO/2026/03/29")</f>
        <v>EJO/2026/03/29</v>
      </c>
      <c r="E669" s="3" t="str">
        <f>IFERROR(__xludf.DUMMYFUNCTION("""COMPUTED_VALUE"""),"washing")</f>
        <v>washing</v>
      </c>
      <c r="F669" s="3" t="str">
        <f>IFERROR(__xludf.DUMMYFUNCTION("""COMPUTED_VALUE"""),"air cylinder")</f>
        <v>air cylinder</v>
      </c>
      <c r="G669" s="3" t="str">
        <f>IFERROR(__xludf.DUMMYFUNCTION("""COMPUTED_VALUE"""),"Cylinder D=40mm, Stroke=40mm ; KD2000400040M
")</f>
        <v>Cylinder D=40mm, Stroke=40mm ; KD2000400040M
</v>
      </c>
      <c r="H669" s="3" t="str">
        <f>IFERROR(__xludf.DUMMYFUNCTION("""COMPUTED_VALUE"""),"Univer")</f>
        <v>Univer</v>
      </c>
      <c r="I669" s="3">
        <f>IFERROR(__xludf.DUMMYFUNCTION("""COMPUTED_VALUE"""),2.0)</f>
        <v>2</v>
      </c>
      <c r="J669" s="3" t="str">
        <f>IFERROR(__xludf.DUMMYFUNCTION("""COMPUTED_VALUE"""),"Pcs")</f>
        <v>Pcs</v>
      </c>
      <c r="K669" s="3"/>
      <c r="L669" s="3" t="str">
        <f>IFERROR(__xludf.DUMMYFUNCTION("""COMPUTED_VALUE"""),"untuk EJO needle not down")</f>
        <v>untuk EJO needle not down</v>
      </c>
      <c r="M669" s="3" t="str">
        <f>IFERROR(__xludf.DUMMYFUNCTION("""COMPUTED_VALUE"""),"Approve")</f>
        <v>Approve</v>
      </c>
      <c r="N669" s="3" t="str">
        <f>IFERROR(__xludf.DUMMYFUNCTION("""COMPUTED_VALUE"""),"Normal")</f>
        <v>Normal</v>
      </c>
      <c r="O669" s="3" t="str">
        <f>IFERROR(__xludf.DUMMYFUNCTION("""COMPUTED_VALUE"""),"Non Urgent")</f>
        <v>Non Urgent</v>
      </c>
    </row>
    <row r="670">
      <c r="A670" s="4">
        <f>IFERROR(__xludf.DUMMYFUNCTION("""COMPUTED_VALUE"""),46080.655699016206)</f>
        <v>46080.6557</v>
      </c>
      <c r="B670" s="3" t="str">
        <f>IFERROR(__xludf.DUMMYFUNCTION("""COMPUTED_VALUE"""),"SFHBR0046")</f>
        <v>SFHBR0046</v>
      </c>
      <c r="C670" s="3" t="str">
        <f>IFERROR(__xludf.DUMMYFUNCTION("""COMPUTED_VALUE"""),"Consumable")</f>
        <v>Consumable</v>
      </c>
      <c r="D670" s="3" t="str">
        <f>IFERROR(__xludf.DUMMYFUNCTION("""COMPUTED_VALUE"""),"-")</f>
        <v>-</v>
      </c>
      <c r="E670" s="3" t="str">
        <f>IFERROR(__xludf.DUMMYFUNCTION("""COMPUTED_VALUE"""),"lantai 1")</f>
        <v>lantai 1</v>
      </c>
      <c r="F670" s="3" t="str">
        <f>IFERROR(__xludf.DUMMYFUNCTION("""COMPUTED_VALUE"""),"Cat dulux watershild merlin")</f>
        <v>Cat dulux watershild merlin</v>
      </c>
      <c r="G670" s="3" t="str">
        <f>IFERROR(__xludf.DUMMYFUNCTION("""COMPUTED_VALUE"""),"Cat dulux watershild merlin 20 lt 40156M")</f>
        <v>Cat dulux watershild merlin 20 lt 40156M</v>
      </c>
      <c r="H670" s="3" t="str">
        <f>IFERROR(__xludf.DUMMYFUNCTION("""COMPUTED_VALUE"""),"Dulux")</f>
        <v>Dulux</v>
      </c>
      <c r="I670" s="3">
        <f>IFERROR(__xludf.DUMMYFUNCTION("""COMPUTED_VALUE"""),1.0)</f>
        <v>1</v>
      </c>
      <c r="J670" s="3" t="str">
        <f>IFERROR(__xludf.DUMMYFUNCTION("""COMPUTED_VALUE"""),"Pel")</f>
        <v>Pel</v>
      </c>
      <c r="K670" s="5" t="str">
        <f>IFERROR(__xludf.DUMMYFUNCTION("""COMPUTED_VALUE"""),"https://tk.tokopedia.com/ZSmGRUK4E/")</f>
        <v>https://tk.tokopedia.com/ZSmGRUK4E/</v>
      </c>
      <c r="L670" s="3" t="str">
        <f>IFERROR(__xludf.DUMMYFUNCTION("""COMPUTED_VALUE"""),"untuk cat dinding  lis teras luar")</f>
        <v>untuk cat dinding  lis teras luar</v>
      </c>
      <c r="M670" s="3" t="str">
        <f>IFERROR(__xludf.DUMMYFUNCTION("""COMPUTED_VALUE"""),"Approve")</f>
        <v>Approve</v>
      </c>
      <c r="N670" s="3" t="str">
        <f>IFERROR(__xludf.DUMMYFUNCTION("""COMPUTED_VALUE"""),"Normal")</f>
        <v>Normal</v>
      </c>
      <c r="O670" s="3" t="str">
        <f>IFERROR(__xludf.DUMMYFUNCTION("""COMPUTED_VALUE"""),"Non Urgent")</f>
        <v>Non Urgent</v>
      </c>
    </row>
    <row r="671">
      <c r="A671" s="4">
        <f>IFERROR(__xludf.DUMMYFUNCTION("""COMPUTED_VALUE"""),46081.67226850694)</f>
        <v>46081.67227</v>
      </c>
      <c r="B671" s="3" t="str">
        <f>IFERROR(__xludf.DUMMYFUNCTION("""COMPUTED_VALUE"""),"RIABR0155")</f>
        <v>RIABR0155</v>
      </c>
      <c r="C671" s="3" t="str">
        <f>IFERROR(__xludf.DUMMYFUNCTION("""COMPUTED_VALUE"""),"EJO")</f>
        <v>EJO</v>
      </c>
      <c r="D671" s="3" t="str">
        <f>IFERROR(__xludf.DUMMYFUNCTION("""COMPUTED_VALUE"""),"EJO/2026/02/142")</f>
        <v>EJO/2026/02/142</v>
      </c>
      <c r="E671" s="3" t="str">
        <f>IFERROR(__xludf.DUMMYFUNCTION("""COMPUTED_VALUE"""),"Deep Freezer")</f>
        <v>Deep Freezer</v>
      </c>
      <c r="F671" s="3" t="str">
        <f>IFERROR(__xludf.DUMMYFUNCTION("""COMPUTED_VALUE"""),"HMI")</f>
        <v>HMI</v>
      </c>
      <c r="G671" s="3" t="str">
        <f>IFERROR(__xludf.DUMMYFUNCTION("""COMPUTED_VALUE"""),"Programmed Electronic for LGPv 6520, Liebherr")</f>
        <v>Programmed Electronic for LGPv 6520, Liebherr</v>
      </c>
      <c r="H671" s="3" t="str">
        <f>IFERROR(__xludf.DUMMYFUNCTION("""COMPUTED_VALUE"""),"Liebherr")</f>
        <v>Liebherr</v>
      </c>
      <c r="I671" s="3">
        <f>IFERROR(__xludf.DUMMYFUNCTION("""COMPUTED_VALUE"""),1.0)</f>
        <v>1</v>
      </c>
      <c r="J671" s="3" t="str">
        <f>IFERROR(__xludf.DUMMYFUNCTION("""COMPUTED_VALUE"""),"Pcs")</f>
        <v>Pcs</v>
      </c>
      <c r="K671" s="3" t="str">
        <f>IFERROR(__xludf.DUMMYFUNCTION("""COMPUTED_VALUE"""),"II-092 Quotation Fonko Pharma.pdf")</f>
        <v>II-092 Quotation Fonko Pharma.pdf</v>
      </c>
      <c r="L671" s="3" t="str">
        <f>IFERROR(__xludf.DUMMYFUNCTION("""COMPUTED_VALUE"""),"Untuk Ganti HMI Deep Freezer")</f>
        <v>Untuk Ganti HMI Deep Freezer</v>
      </c>
      <c r="M671" s="3" t="str">
        <f>IFERROR(__xludf.DUMMYFUNCTION("""COMPUTED_VALUE"""),"Approve")</f>
        <v>Approve</v>
      </c>
      <c r="N671" s="3" t="str">
        <f>IFERROR(__xludf.DUMMYFUNCTION("""COMPUTED_VALUE"""),"Normal")</f>
        <v>Normal</v>
      </c>
      <c r="O671" s="3" t="str">
        <f>IFERROR(__xludf.DUMMYFUNCTION("""COMPUTED_VALUE"""),"Non Urgent")</f>
        <v>Non Urgent</v>
      </c>
    </row>
    <row r="672">
      <c r="A672" s="4">
        <f>IFERROR(__xludf.DUMMYFUNCTION("""COMPUTED_VALUE"""),46083.64223204861)</f>
        <v>46083.64223</v>
      </c>
      <c r="B672" s="3" t="str">
        <f>IFERROR(__xludf.DUMMYFUNCTION("""COMPUTED_VALUE"""),"ROSBR0083")</f>
        <v>ROSBR0083</v>
      </c>
      <c r="C672" s="3" t="str">
        <f>IFERROR(__xludf.DUMMYFUNCTION("""COMPUTED_VALUE"""),"Consumable")</f>
        <v>Consumable</v>
      </c>
      <c r="D672" s="3" t="str">
        <f>IFERROR(__xludf.DUMMYFUNCTION("""COMPUTED_VALUE"""),"-")</f>
        <v>-</v>
      </c>
      <c r="E672" s="3" t="str">
        <f>IFERROR(__xludf.DUMMYFUNCTION("""COMPUTED_VALUE"""),"washing ")</f>
        <v>washing </v>
      </c>
      <c r="F672" s="3" t="str">
        <f>IFERROR(__xludf.DUMMYFUNCTION("""COMPUTED_VALUE"""),"QS cylinder washing ")</f>
        <v>QS cylinder washing </v>
      </c>
      <c r="G672" s="3" t="str">
        <f>IFERROR(__xludf.DUMMYFUNCTION("""COMPUTED_VALUE"""),"QS cylinder 
ukuran tubing 4 
ukuran ulir M5
material stainless
sesuai ukuran dilampiran foto")</f>
        <v>QS cylinder 
ukuran tubing 4 
ukuran ulir M5
material stainless
sesuai ukuran dilampiran foto</v>
      </c>
      <c r="H672" s="3" t="str">
        <f>IFERROR(__xludf.DUMMYFUNCTION("""COMPUTED_VALUE"""),"festo")</f>
        <v>festo</v>
      </c>
      <c r="I672" s="3">
        <f>IFERROR(__xludf.DUMMYFUNCTION("""COMPUTED_VALUE"""),30.0)</f>
        <v>30</v>
      </c>
      <c r="J672" s="3" t="str">
        <f>IFERROR(__xludf.DUMMYFUNCTION("""COMPUTED_VALUE"""),"pcs")</f>
        <v>pcs</v>
      </c>
      <c r="K672" s="5" t="str">
        <f>IFERROR(__xludf.DUMMYFUNCTION("""COMPUTED_VALUE"""),"https://drive.google.com/drive/folders/1S9MBCu7rvIZ5WYScEkf3R51aidi6viNX?usp=drive_link")</f>
        <v>https://drive.google.com/drive/folders/1S9MBCu7rvIZ5WYScEkf3R51aidi6viNX?usp=drive_link</v>
      </c>
      <c r="L672" s="3" t="str">
        <f>IFERROR(__xludf.DUMMYFUNCTION("""COMPUTED_VALUE"""),"tolong belikan QS sesuai lampiran untuk peremajaan dan pergantian QS cylinder pusher washing ")</f>
        <v>tolong belikan QS sesuai lampiran untuk peremajaan dan pergantian QS cylinder pusher washing </v>
      </c>
      <c r="M672" s="3" t="str">
        <f>IFERROR(__xludf.DUMMYFUNCTION("""COMPUTED_VALUE"""),"Approve")</f>
        <v>Approve</v>
      </c>
      <c r="N672" s="3" t="str">
        <f>IFERROR(__xludf.DUMMYFUNCTION("""COMPUTED_VALUE"""),"Normal")</f>
        <v>Normal</v>
      </c>
      <c r="O672" s="3" t="str">
        <f>IFERROR(__xludf.DUMMYFUNCTION("""COMPUTED_VALUE"""),"Non Urgent")</f>
        <v>Non Urgent</v>
      </c>
    </row>
    <row r="673">
      <c r="A673" s="4">
        <f>IFERROR(__xludf.DUMMYFUNCTION("""COMPUTED_VALUE"""),46083.66518791667)</f>
        <v>46083.66519</v>
      </c>
      <c r="B673" s="3" t="str">
        <f>IFERROR(__xludf.DUMMYFUNCTION("""COMPUTED_VALUE"""),"BDUBR0004")</f>
        <v>BDUBR0004</v>
      </c>
      <c r="C673" s="3" t="str">
        <f>IFERROR(__xludf.DUMMYFUNCTION("""COMPUTED_VALUE"""),"EJO")</f>
        <v>EJO</v>
      </c>
      <c r="D673" s="3" t="str">
        <f>IFERROR(__xludf.DUMMYFUNCTION("""COMPUTED_VALUE"""),"EJO/2026/03/14")</f>
        <v>EJO/2026/03/14</v>
      </c>
      <c r="E673" s="3" t="str">
        <f>IFERROR(__xludf.DUMMYFUNCTION("""COMPUTED_VALUE"""),"Laundry Room")</f>
        <v>Laundry Room</v>
      </c>
      <c r="F673" s="3" t="str">
        <f>IFERROR(__xludf.DUMMYFUNCTION("""COMPUTED_VALUE"""),"LAF Curtain")</f>
        <v>LAF Curtain</v>
      </c>
      <c r="G673" s="3" t="str">
        <f>IFERROR(__xludf.DUMMYFUNCTION("""COMPUTED_VALUE"""),"warna bening, 2mm x 200mm x 100meter")</f>
        <v>warna bening, 2mm x 200mm x 100meter</v>
      </c>
      <c r="H673" s="3" t="str">
        <f>IFERROR(__xludf.DUMMYFUNCTION("""COMPUTED_VALUE"""),"-")</f>
        <v>-</v>
      </c>
      <c r="I673" s="3">
        <f>IFERROR(__xludf.DUMMYFUNCTION("""COMPUTED_VALUE"""),100.0)</f>
        <v>100</v>
      </c>
      <c r="J673" s="3" t="str">
        <f>IFERROR(__xludf.DUMMYFUNCTION("""COMPUTED_VALUE"""),"Meter")</f>
        <v>Meter</v>
      </c>
      <c r="K673" s="5" t="str">
        <f>IFERROR(__xludf.DUMMYFUNCTION("""COMPUTED_VALUE"""),"https://shopee.co.id/product/117505252/9279632448")</f>
        <v>https://shopee.co.id/product/117505252/9279632448</v>
      </c>
      <c r="L673" s="3" t="str">
        <f>IFERROR(__xludf.DUMMYFUNCTION("""COMPUTED_VALUE"""),"Untuk pergantian LAF laundry kusam")</f>
        <v>Untuk pergantian LAF laundry kusam</v>
      </c>
      <c r="M673" s="3" t="str">
        <f>IFERROR(__xludf.DUMMYFUNCTION("""COMPUTED_VALUE"""),"Approve")</f>
        <v>Approve</v>
      </c>
      <c r="N673" s="3" t="str">
        <f>IFERROR(__xludf.DUMMYFUNCTION("""COMPUTED_VALUE"""),"Normal")</f>
        <v>Normal</v>
      </c>
      <c r="O673" s="3" t="str">
        <f>IFERROR(__xludf.DUMMYFUNCTION("""COMPUTED_VALUE"""),"Non Urgent")</f>
        <v>Non Urgent</v>
      </c>
    </row>
    <row r="674">
      <c r="A674" s="4">
        <f>IFERROR(__xludf.DUMMYFUNCTION("""COMPUTED_VALUE"""),46083.665207164355)</f>
        <v>46083.66521</v>
      </c>
      <c r="B674" s="3" t="str">
        <f>IFERROR(__xludf.DUMMYFUNCTION("""COMPUTED_VALUE"""),"BDUBR0005")</f>
        <v>BDUBR0005</v>
      </c>
      <c r="C674" s="3" t="str">
        <f>IFERROR(__xludf.DUMMYFUNCTION("""COMPUTED_VALUE"""),"EJO")</f>
        <v>EJO</v>
      </c>
      <c r="D674" s="3" t="str">
        <f>IFERROR(__xludf.DUMMYFUNCTION("""COMPUTED_VALUE"""),"EJO/2026/03/14")</f>
        <v>EJO/2026/03/14</v>
      </c>
      <c r="E674" s="3" t="str">
        <f>IFERROR(__xludf.DUMMYFUNCTION("""COMPUTED_VALUE"""),"Laundry Room")</f>
        <v>Laundry Room</v>
      </c>
      <c r="F674" s="3" t="str">
        <f>IFERROR(__xludf.DUMMYFUNCTION("""COMPUTED_VALUE"""),"Paku Rivet")</f>
        <v>Paku Rivet</v>
      </c>
      <c r="G674" s="3" t="str">
        <f>IFERROR(__xludf.DUMMYFUNCTION("""COMPUTED_VALUE"""),"4,8 mm x 12.7 mm")</f>
        <v>4,8 mm x 12.7 mm</v>
      </c>
      <c r="H674" s="3" t="str">
        <f>IFERROR(__xludf.DUMMYFUNCTION("""COMPUTED_VALUE"""),"-")</f>
        <v>-</v>
      </c>
      <c r="I674" s="3">
        <f>IFERROR(__xludf.DUMMYFUNCTION("""COMPUTED_VALUE"""),100.0)</f>
        <v>100</v>
      </c>
      <c r="J674" s="3" t="str">
        <f>IFERROR(__xludf.DUMMYFUNCTION("""COMPUTED_VALUE"""),"pcs")</f>
        <v>pcs</v>
      </c>
      <c r="K674" s="5" t="str">
        <f>IFERROR(__xludf.DUMMYFUNCTION("""COMPUTED_VALUE"""),"https://www.tokopedia.com/skenoofastener/100-gr-paku-rivet-sip-brand-2-4mm-3-2mm-4mm-dan-4-8mm-eceran-1732378493242017132?extParam=ivf%3Dfalse%26keyword%3Dpaku+rivet+4.8mm%26search_id%3D202603020903063C7781A36BCD6C0BES8T%26src%3Dsearch&amp;t_id=1772442202083&amp;"&amp;"t_st=3&amp;t_pp=search_result&amp;t_efo=search_pure_goods_card&amp;t_ef=goods_search&amp;t_sm=&amp;t_spt=search_result")</f>
        <v>https://www.tokopedia.com/skenoofastener/100-gr-paku-rivet-sip-brand-2-4mm-3-2mm-4mm-dan-4-8mm-eceran-1732378493242017132?extParam=ivf%3Dfalse%26keyword%3Dpaku+rivet+4.8mm%26search_id%3D202603020903063C7781A36BCD6C0BES8T%26src%3Dsearch&amp;t_id=1772442202083&amp;t_st=3&amp;t_pp=search_result&amp;t_efo=search_pure_goods_card&amp;t_ef=goods_search&amp;t_sm=&amp;t_spt=search_result</v>
      </c>
      <c r="L674" s="3" t="str">
        <f>IFERROR(__xludf.DUMMYFUNCTION("""COMPUTED_VALUE"""),"Untuk pemasangan LAF Laundry")</f>
        <v>Untuk pemasangan LAF Laundry</v>
      </c>
      <c r="M674" s="3" t="str">
        <f>IFERROR(__xludf.DUMMYFUNCTION("""COMPUTED_VALUE"""),"Approve")</f>
        <v>Approve</v>
      </c>
      <c r="N674" s="3" t="str">
        <f>IFERROR(__xludf.DUMMYFUNCTION("""COMPUTED_VALUE"""),"Normal")</f>
        <v>Normal</v>
      </c>
      <c r="O674" s="3" t="str">
        <f>IFERROR(__xludf.DUMMYFUNCTION("""COMPUTED_VALUE"""),"Non Urgent")</f>
        <v>Non Urgent</v>
      </c>
    </row>
    <row r="675">
      <c r="A675" s="4">
        <f>IFERROR(__xludf.DUMMYFUNCTION("""COMPUTED_VALUE"""),46084.6434721875)</f>
        <v>46084.64347</v>
      </c>
      <c r="B675" s="3" t="str">
        <f>IFERROR(__xludf.DUMMYFUNCTION("""COMPUTED_VALUE"""),"ROSBR0084")</f>
        <v>ROSBR0084</v>
      </c>
      <c r="C675" s="3" t="str">
        <f>IFERROR(__xludf.DUMMYFUNCTION("""COMPUTED_VALUE"""),"Consumable")</f>
        <v>Consumable</v>
      </c>
      <c r="D675" s="3" t="str">
        <f>IFERROR(__xludf.DUMMYFUNCTION("""COMPUTED_VALUE"""),"-")</f>
        <v>-</v>
      </c>
      <c r="E675" s="3" t="str">
        <f>IFERROR(__xludf.DUMMYFUNCTION("""COMPUTED_VALUE"""),"Mixing")</f>
        <v>Mixing</v>
      </c>
      <c r="F675" s="3" t="str">
        <f>IFERROR(__xludf.DUMMYFUNCTION("""COMPUTED_VALUE"""),"Blind ferrule jalur N2")</f>
        <v>Blind ferrule jalur N2</v>
      </c>
      <c r="G675" s="3" t="str">
        <f>IFERROR(__xludf.DUMMYFUNCTION("""COMPUTED_VALUE"""),"Bind ferrule 3/4""
Material SUS316L")</f>
        <v>Bind ferrule 3/4"
Material SUS316L</v>
      </c>
      <c r="H675" s="3" t="str">
        <f>IFERROR(__xludf.DUMMYFUNCTION("""COMPUTED_VALUE"""),"universal ")</f>
        <v>universal </v>
      </c>
      <c r="I675" s="3">
        <f>IFERROR(__xludf.DUMMYFUNCTION("""COMPUTED_VALUE"""),10.0)</f>
        <v>10</v>
      </c>
      <c r="J675" s="3" t="str">
        <f>IFERROR(__xludf.DUMMYFUNCTION("""COMPUTED_VALUE"""),"pcs")</f>
        <v>pcs</v>
      </c>
      <c r="K675" s="5" t="str">
        <f>IFERROR(__xludf.DUMMYFUNCTION("""COMPUTED_VALUE"""),"https://shopee.co.id/product/1037069836/53855065223?gads_t_sig=VTJGc2RHVmtYMTlxTFVSVVRrdENkVEdTU3BlMW9zMXB6bGYrZ0J1VEdQdmcvT3Fia3pwaEdLTi9POHV0OTZHdjE1aEdvVzZOWUpWY0p2M3p5MTVjNHV3N1kxS3kwRmlJdSttQWZVOVdqd2w3am9tcyt1Y01TUEZIMlZ4RkpFMytpU3Z4eXlyQkRrS2F6QjV6"&amp;"NjBoTmtBPT0&amp;gad_source=1&amp;gad_campaignid=23295573023&amp;gbraid=0AAAAADPpU8191fxNZBLS_jfqJ3XPS9CNL&amp;gclid=CjwKCAiAh5XNBhAAEiwA_Bu8FTXlzjRuKXUo4IBw19IVz0oGMUKQ6_QvKHD3gFV7SE2sIfFWV9CxNxoChzgQAvD_BwE")</f>
        <v>https://shopee.co.id/product/1037069836/53855065223?gads_t_sig=VTJGc2RHVmtYMTlxTFVSVVRrdENkVEdTU3BlMW9zMXB6bGYrZ0J1VEdQdmcvT3Fia3pwaEdLTi9POHV0OTZHdjE1aEdvVzZOWUpWY0p2M3p5MTVjNHV3N1kxS3kwRmlJdSttQWZVOVdqd2w3am9tcyt1Y01TUEZIMlZ4RkpFMytpU3Z4eXlyQkRrS2F6QjV6NjBoTmtBPT0&amp;gad_source=1&amp;gad_campaignid=23295573023&amp;gbraid=0AAAAADPpU8191fxNZBLS_jfqJ3XPS9CNL&amp;gclid=CjwKCAiAh5XNBhAAEiwA_Bu8FTXlzjRuKXUo4IBw19IVz0oGMUKQ6_QvKHD3gFV7SE2sIfFWV9CxNxoChzgQAvD_BwE</v>
      </c>
      <c r="L675" s="3" t="str">
        <f>IFERROR(__xludf.DUMMYFUNCTION("""COMPUTED_VALUE"""),"Minta tolong beliin blind ferrule buat, jalur T N2  (REJECT BY MFH KARENA DOUBLE DENGAN ROSBR0087 SUDAH DIKALI 2)")</f>
        <v>Minta tolong beliin blind ferrule buat, jalur T N2  (REJECT BY MFH KARENA DOUBLE DENGAN ROSBR0087 SUDAH DIKALI 2)</v>
      </c>
      <c r="M675" s="3" t="str">
        <f>IFERROR(__xludf.DUMMYFUNCTION("""COMPUTED_VALUE"""),"Reject")</f>
        <v>Reject</v>
      </c>
      <c r="N675" s="3" t="str">
        <f>IFERROR(__xludf.DUMMYFUNCTION("""COMPUTED_VALUE"""),"Normal")</f>
        <v>Normal</v>
      </c>
      <c r="O675" s="3" t="str">
        <f>IFERROR(__xludf.DUMMYFUNCTION("""COMPUTED_VALUE"""),"Non Urgent")</f>
        <v>Non Urgent</v>
      </c>
    </row>
    <row r="676">
      <c r="A676" s="4">
        <f>IFERROR(__xludf.DUMMYFUNCTION("""COMPUTED_VALUE"""),46084.64543319444)</f>
        <v>46084.64543</v>
      </c>
      <c r="B676" s="3" t="str">
        <f>IFERROR(__xludf.DUMMYFUNCTION("""COMPUTED_VALUE"""),"ROSBR0085")</f>
        <v>ROSBR0085</v>
      </c>
      <c r="C676" s="3" t="str">
        <f>IFERROR(__xludf.DUMMYFUNCTION("""COMPUTED_VALUE"""),"Consumable")</f>
        <v>Consumable</v>
      </c>
      <c r="D676" s="3" t="str">
        <f>IFERROR(__xludf.DUMMYFUNCTION("""COMPUTED_VALUE"""),"-")</f>
        <v>-</v>
      </c>
      <c r="E676" s="3" t="str">
        <f>IFERROR(__xludf.DUMMYFUNCTION("""COMPUTED_VALUE"""),"Universal ")</f>
        <v>Universal </v>
      </c>
      <c r="F676" s="3" t="str">
        <f>IFERROR(__xludf.DUMMYFUNCTION("""COMPUTED_VALUE"""),"Blind ferrule 1""")</f>
        <v>Blind ferrule 1"</v>
      </c>
      <c r="G676" s="3" t="str">
        <f>IFERROR(__xludf.DUMMYFUNCTION("""COMPUTED_VALUE"""),"Bind ferrule 1""
Material SUS316L")</f>
        <v>Bind ferrule 1"
Material SUS316L</v>
      </c>
      <c r="H676" s="3" t="str">
        <f>IFERROR(__xludf.DUMMYFUNCTION("""COMPUTED_VALUE"""),"universal ")</f>
        <v>universal </v>
      </c>
      <c r="I676" s="3">
        <f>IFERROR(__xludf.DUMMYFUNCTION("""COMPUTED_VALUE"""),10.0)</f>
        <v>10</v>
      </c>
      <c r="J676" s="3" t="str">
        <f>IFERROR(__xludf.DUMMYFUNCTION("""COMPUTED_VALUE"""),"pcs")</f>
        <v>pcs</v>
      </c>
      <c r="K676" s="5" t="str">
        <f>IFERROR(__xludf.DUMMYFUNCTION("""COMPUTED_VALUE"""),"https://shopee.co.id/1-Blind-Ferrule-Sanitary-Foodgrade-Solid-End-Cap-Dop-Ferrule-Buta-Stainless-Steel-316L-Size-1-Inch-i.1037069836.54805060782?extraParams=%7B%22display_model_id%22%3A335466374070%2C%22model_selection_logic%22%3A3%7D&amp;sp_atk=66a49e53-bb0b"&amp;"-4a1b-ae87-edd6653c5c1b&amp;xptdk=66a49e53-bb0b-4a1b-ae87-edd6653c5c1b")</f>
        <v>https://shopee.co.id/1-Blind-Ferrule-Sanitary-Foodgrade-Solid-End-Cap-Dop-Ferrule-Buta-Stainless-Steel-316L-Size-1-Inch-i.1037069836.54805060782?extraParams=%7B%22display_model_id%22%3A335466374070%2C%22model_selection_logic%22%3A3%7D&amp;sp_atk=66a49e53-bb0b-4a1b-ae87-edd6653c5c1b&amp;xptdk=66a49e53-bb0b-4a1b-ae87-edd6653c5c1b</v>
      </c>
      <c r="L676" s="3" t="str">
        <f>IFERROR(__xludf.DUMMYFUNCTION("""COMPUTED_VALUE"""),"minta tolong beliin buat stok")</f>
        <v>minta tolong beliin buat stok</v>
      </c>
      <c r="M676" s="3" t="str">
        <f>IFERROR(__xludf.DUMMYFUNCTION("""COMPUTED_VALUE"""),"Approve")</f>
        <v>Approve</v>
      </c>
      <c r="N676" s="3" t="str">
        <f>IFERROR(__xludf.DUMMYFUNCTION("""COMPUTED_VALUE"""),"Normal")</f>
        <v>Normal</v>
      </c>
      <c r="O676" s="3" t="str">
        <f>IFERROR(__xludf.DUMMYFUNCTION("""COMPUTED_VALUE"""),"Non Urgent")</f>
        <v>Non Urgent</v>
      </c>
    </row>
    <row r="677">
      <c r="A677" s="4">
        <f>IFERROR(__xludf.DUMMYFUNCTION("""COMPUTED_VALUE"""),46084.650005856485)</f>
        <v>46084.65001</v>
      </c>
      <c r="B677" s="3" t="str">
        <f>IFERROR(__xludf.DUMMYFUNCTION("""COMPUTED_VALUE"""),"ROSBR0086")</f>
        <v>ROSBR0086</v>
      </c>
      <c r="C677" s="3" t="str">
        <f>IFERROR(__xludf.DUMMYFUNCTION("""COMPUTED_VALUE"""),"Consumable")</f>
        <v>Consumable</v>
      </c>
      <c r="D677" s="3" t="str">
        <f>IFERROR(__xludf.DUMMYFUNCTION("""COMPUTED_VALUE"""),"-")</f>
        <v>-</v>
      </c>
      <c r="E677" s="3" t="str">
        <f>IFERROR(__xludf.DUMMYFUNCTION("""COMPUTED_VALUE"""),"Universal ")</f>
        <v>Universal </v>
      </c>
      <c r="F677" s="3" t="str">
        <f>IFERROR(__xludf.DUMMYFUNCTION("""COMPUTED_VALUE"""),"Blind ferrule 1/2""")</f>
        <v>Blind ferrule 1/2"</v>
      </c>
      <c r="G677" s="3" t="str">
        <f>IFERROR(__xludf.DUMMYFUNCTION("""COMPUTED_VALUE"""),"Bind ferrule 1/2""
Material SUS316L")</f>
        <v>Bind ferrule 1/2"
Material SUS316L</v>
      </c>
      <c r="H677" s="3" t="str">
        <f>IFERROR(__xludf.DUMMYFUNCTION("""COMPUTED_VALUE"""),"universal ")</f>
        <v>universal </v>
      </c>
      <c r="I677" s="3">
        <f>IFERROR(__xludf.DUMMYFUNCTION("""COMPUTED_VALUE"""),10.0)</f>
        <v>10</v>
      </c>
      <c r="J677" s="3" t="str">
        <f>IFERROR(__xludf.DUMMYFUNCTION("""COMPUTED_VALUE"""),"pcs")</f>
        <v>pcs</v>
      </c>
      <c r="K677" s="5" t="str">
        <f>IFERROR(__xludf.DUMMYFUNCTION("""COMPUTED_VALUE"""),"https://shopee.co.id/1-2-Blind-Ferrule-Sanitary-Foodgrade-Solid-End-Cap-Dop-Ferrule-Buta-Stainless-Steel-316L-Size-1-2-Inch-i.1037069836.54805060783?extraParams=%7B%22display_model_id%22%3A310466968668%2C%22model_selection_logic%22%3A3%7D&amp;sp_atk=777a7459-"&amp;"821b-4a59-9a1c-b9fee3b444ef&amp;xptdk=777a7459-821b-4a59-9a1c-b9fee3b444ef")</f>
        <v>https://shopee.co.id/1-2-Blind-Ferrule-Sanitary-Foodgrade-Solid-End-Cap-Dop-Ferrule-Buta-Stainless-Steel-316L-Size-1-2-Inch-i.1037069836.54805060783?extraParams=%7B%22display_model_id%22%3A310466968668%2C%22model_selection_logic%22%3A3%7D&amp;sp_atk=777a7459-821b-4a59-9a1c-b9fee3b444ef&amp;xptdk=777a7459-821b-4a59-9a1c-b9fee3b444ef</v>
      </c>
      <c r="L677" s="3" t="str">
        <f>IFERROR(__xludf.DUMMYFUNCTION("""COMPUTED_VALUE"""),"minta tolong beliin buat stok")</f>
        <v>minta tolong beliin buat stok</v>
      </c>
      <c r="M677" s="3" t="str">
        <f>IFERROR(__xludf.DUMMYFUNCTION("""COMPUTED_VALUE"""),"Approve")</f>
        <v>Approve</v>
      </c>
      <c r="N677" s="3" t="str">
        <f>IFERROR(__xludf.DUMMYFUNCTION("""COMPUTED_VALUE"""),"Normal")</f>
        <v>Normal</v>
      </c>
      <c r="O677" s="3" t="str">
        <f>IFERROR(__xludf.DUMMYFUNCTION("""COMPUTED_VALUE"""),"Non Urgent")</f>
        <v>Non Urgent</v>
      </c>
    </row>
    <row r="678">
      <c r="A678" s="4">
        <f>IFERROR(__xludf.DUMMYFUNCTION("""COMPUTED_VALUE"""),46085.636620520825)</f>
        <v>46085.63662</v>
      </c>
      <c r="B678" s="3" t="str">
        <f>IFERROR(__xludf.DUMMYFUNCTION("""COMPUTED_VALUE"""),"MRNBR0102")</f>
        <v>MRNBR0102</v>
      </c>
      <c r="C678" s="3" t="str">
        <f>IFERROR(__xludf.DUMMYFUNCTION("""COMPUTED_VALUE"""),"EJO")</f>
        <v>EJO</v>
      </c>
      <c r="D678" s="3" t="str">
        <f>IFERROR(__xludf.DUMMYFUNCTION("""COMPUTED_VALUE"""),"EJO/2026/03/56")</f>
        <v>EJO/2026/03/56</v>
      </c>
      <c r="E678" s="3" t="str">
        <f>IFERROR(__xludf.DUMMYFUNCTION("""COMPUTED_VALUE"""),"EF C1-32")</f>
        <v>EF C1-32</v>
      </c>
      <c r="F678" s="3" t="str">
        <f>IFERROR(__xludf.DUMMYFUNCTION("""COMPUTED_VALUE"""),"Gasket pintu")</f>
        <v>Gasket pintu</v>
      </c>
      <c r="G678" s="3" t="str">
        <f>IFERROR(__xludf.DUMMYFUNCTION("""COMPUTED_VALUE"""),"Lis Strip Pintu Door Noise Insulation Sealing Tape 5Mx3cm - B3")</f>
        <v>Lis Strip Pintu Door Noise Insulation Sealing Tape 5Mx3cm - B3</v>
      </c>
      <c r="H678" s="3" t="str">
        <f>IFERROR(__xludf.DUMMYFUNCTION("""COMPUTED_VALUE"""),"Taffpack")</f>
        <v>Taffpack</v>
      </c>
      <c r="I678" s="3">
        <f>IFERROR(__xludf.DUMMYFUNCTION("""COMPUTED_VALUE"""),8.0)</f>
        <v>8</v>
      </c>
      <c r="J678" s="3" t="str">
        <f>IFERROR(__xludf.DUMMYFUNCTION("""COMPUTED_VALUE"""),"roll")</f>
        <v>roll</v>
      </c>
      <c r="K678" s="5" t="str">
        <f>IFERROR(__xludf.DUMMYFUNCTION("""COMPUTED_VALUE"""),"https://www.tokopedia.com/usea/usea-x-taffpack-lis-strip-pintu-door-noise-insulation-sealing-tape-5mx3cm-b35-peredam-suara-pintu-jendela-1731213568021465083?extParam=ivf%3Dfalse%26keyword%3Dsealing+tape%26search_id%3D2026030408131594F6D7E04A4D450A03ZW%26s"&amp;"rc%3Dsearch")</f>
        <v>https://www.tokopedia.com/usea/usea-x-taffpack-lis-strip-pintu-door-noise-insulation-sealing-tape-5mx3cm-b35-peredam-suara-pintu-jendela-1731213568021465083?extParam=ivf%3Dfalse%26keyword%3Dsealing+tape%26search_id%3D2026030408131594F6D7E04A4D450A03ZW%26src%3Dsearch</v>
      </c>
      <c r="L678" s="3" t="str">
        <f>IFERROR(__xludf.DUMMYFUNCTION("""COMPUTED_VALUE"""),"pintu exhaust fan getas")</f>
        <v>pintu exhaust fan getas</v>
      </c>
      <c r="M678" s="3" t="str">
        <f>IFERROR(__xludf.DUMMYFUNCTION("""COMPUTED_VALUE"""),"Approve")</f>
        <v>Approve</v>
      </c>
      <c r="N678" s="3" t="str">
        <f>IFERROR(__xludf.DUMMYFUNCTION("""COMPUTED_VALUE"""),"Normal")</f>
        <v>Normal</v>
      </c>
      <c r="O678" s="3" t="str">
        <f>IFERROR(__xludf.DUMMYFUNCTION("""COMPUTED_VALUE"""),"Non Urgent")</f>
        <v>Non Urgent</v>
      </c>
    </row>
    <row r="679">
      <c r="A679" s="4">
        <f>IFERROR(__xludf.DUMMYFUNCTION("""COMPUTED_VALUE"""),46086.45758048611)</f>
        <v>46086.45758</v>
      </c>
      <c r="B679" s="3" t="str">
        <f>IFERROR(__xludf.DUMMYFUNCTION("""COMPUTED_VALUE"""),"MRNBR0103")</f>
        <v>MRNBR0103</v>
      </c>
      <c r="C679" s="3" t="str">
        <f>IFERROR(__xludf.DUMMYFUNCTION("""COMPUTED_VALUE"""),"EJO")</f>
        <v>EJO</v>
      </c>
      <c r="D679" s="3" t="str">
        <f>IFERROR(__xludf.DUMMYFUNCTION("""COMPUTED_VALUE"""),"EJO/2026/03/56")</f>
        <v>EJO/2026/03/56</v>
      </c>
      <c r="E679" s="3" t="str">
        <f>IFERROR(__xludf.DUMMYFUNCTION("""COMPUTED_VALUE"""),"EF micro")</f>
        <v>EF micro</v>
      </c>
      <c r="F679" s="3" t="str">
        <f>IFERROR(__xludf.DUMMYFUNCTION("""COMPUTED_VALUE"""),"Exhaust fan")</f>
        <v>Exhaust fan</v>
      </c>
      <c r="G679" s="3" t="str">
        <f>IFERROR(__xludf.DUMMYFUNCTION("""COMPUTED_VALUE"""),"nicotra GCIL 200")</f>
        <v>nicotra GCIL 200</v>
      </c>
      <c r="H679" s="3" t="str">
        <f>IFERROR(__xludf.DUMMYFUNCTION("""COMPUTED_VALUE"""),"nicotra")</f>
        <v>nicotra</v>
      </c>
      <c r="I679" s="3">
        <f>IFERROR(__xludf.DUMMYFUNCTION("""COMPUTED_VALUE"""),2.0)</f>
        <v>2</v>
      </c>
      <c r="J679" s="3" t="str">
        <f>IFERROR(__xludf.DUMMYFUNCTION("""COMPUTED_VALUE"""),"unit")</f>
        <v>unit</v>
      </c>
      <c r="K679" s="5" t="str">
        <f>IFERROR(__xludf.DUMMYFUNCTION("""COMPUTED_VALUE"""),"https://www.tokopedia.com/pacificmesin/centrifugal-duct-inline-8inch-gcil-200-nicotra-2speed-230v-gcil20-best?aff_unique_id=&amp;channel=others&amp;chain_key=")</f>
        <v>https://www.tokopedia.com/pacificmesin/centrifugal-duct-inline-8inch-gcil-200-nicotra-2speed-230v-gcil20-best?aff_unique_id=&amp;channel=others&amp;chain_key=</v>
      </c>
      <c r="L679" s="3" t="str">
        <f>IFERROR(__xludf.DUMMYFUNCTION("""COMPUTED_VALUE"""),"untuk pressure micro")</f>
        <v>untuk pressure micro</v>
      </c>
      <c r="M679" s="3" t="str">
        <f>IFERROR(__xludf.DUMMYFUNCTION("""COMPUTED_VALUE"""),"Approve")</f>
        <v>Approve</v>
      </c>
      <c r="N679" s="3" t="str">
        <f>IFERROR(__xludf.DUMMYFUNCTION("""COMPUTED_VALUE"""),"Normal")</f>
        <v>Normal</v>
      </c>
      <c r="O679" s="3" t="str">
        <f>IFERROR(__xludf.DUMMYFUNCTION("""COMPUTED_VALUE"""),"Non Urgent")</f>
        <v>Non Urgent</v>
      </c>
    </row>
    <row r="680">
      <c r="A680" s="4">
        <f>IFERROR(__xludf.DUMMYFUNCTION("""COMPUTED_VALUE"""),46086.471976539346)</f>
        <v>46086.47198</v>
      </c>
      <c r="B680" s="3" t="str">
        <f>IFERROR(__xludf.DUMMYFUNCTION("""COMPUTED_VALUE"""),"ROSBR0087")</f>
        <v>ROSBR0087</v>
      </c>
      <c r="C680" s="3" t="str">
        <f>IFERROR(__xludf.DUMMYFUNCTION("""COMPUTED_VALUE"""),"Consumable")</f>
        <v>Consumable</v>
      </c>
      <c r="D680" s="3" t="str">
        <f>IFERROR(__xludf.DUMMYFUNCTION("""COMPUTED_VALUE"""),"-")</f>
        <v>-</v>
      </c>
      <c r="E680" s="3" t="str">
        <f>IFERROR(__xludf.DUMMYFUNCTION("""COMPUTED_VALUE"""),"Universal ")</f>
        <v>Universal </v>
      </c>
      <c r="F680" s="3" t="str">
        <f>IFERROR(__xludf.DUMMYFUNCTION("""COMPUTED_VALUE"""),"Blind ferrule 3/4""")</f>
        <v>Blind ferrule 3/4"</v>
      </c>
      <c r="G680" s="3" t="str">
        <f>IFERROR(__xludf.DUMMYFUNCTION("""COMPUTED_VALUE"""),"Bind ferrule 3/4""
Material SUS316L")</f>
        <v>Bind ferrule 3/4"
Material SUS316L</v>
      </c>
      <c r="H680" s="3" t="str">
        <f>IFERROR(__xludf.DUMMYFUNCTION("""COMPUTED_VALUE"""),"universal ")</f>
        <v>universal </v>
      </c>
      <c r="I680" s="3">
        <f>IFERROR(__xludf.DUMMYFUNCTION("""COMPUTED_VALUE"""),20.0)</f>
        <v>20</v>
      </c>
      <c r="J680" s="3" t="str">
        <f>IFERROR(__xludf.DUMMYFUNCTION("""COMPUTED_VALUE"""),"pcs")</f>
        <v>pcs</v>
      </c>
      <c r="K680" s="5" t="str">
        <f>IFERROR(__xludf.DUMMYFUNCTION("""COMPUTED_VALUE"""),"https://shopee.co.id/3-4-Blind-Ferrule-Sanitary-Foodgrade-Solid-End-Cap-Dop-Ferrule-Buta-Stainless-Steel-316L-Size-3-4-Inch-i.1319467784.51755156791?extraParams=%7B%22display_model_id%22%3A380473384257%2C%22model_selection_logic%22%3A3%7D&amp;sp_atk=23f1bb3e-"&amp;"8675-4892-b81b-ef46ef154c58&amp;xptdk=23f1bb3e-8675-4892-b81b-ef46ef154c58")</f>
        <v>https://shopee.co.id/3-4-Blind-Ferrule-Sanitary-Foodgrade-Solid-End-Cap-Dop-Ferrule-Buta-Stainless-Steel-316L-Size-3-4-Inch-i.1319467784.51755156791?extraParams=%7B%22display_model_id%22%3A380473384257%2C%22model_selection_logic%22%3A3%7D&amp;sp_atk=23f1bb3e-8675-4892-b81b-ef46ef154c58&amp;xptdk=23f1bb3e-8675-4892-b81b-ef46ef154c58</v>
      </c>
      <c r="L680" s="3" t="str">
        <f>IFERROR(__xludf.DUMMYFUNCTION("""COMPUTED_VALUE"""),"minta tolong beliin buat stok")</f>
        <v>minta tolong beliin buat stok</v>
      </c>
      <c r="M680" s="3" t="str">
        <f>IFERROR(__xludf.DUMMYFUNCTION("""COMPUTED_VALUE"""),"Approve")</f>
        <v>Approve</v>
      </c>
      <c r="N680" s="3" t="str">
        <f>IFERROR(__xludf.DUMMYFUNCTION("""COMPUTED_VALUE"""),"Normal")</f>
        <v>Normal</v>
      </c>
      <c r="O680" s="3" t="str">
        <f>IFERROR(__xludf.DUMMYFUNCTION("""COMPUTED_VALUE"""),"Non Urgent")</f>
        <v>Non Urgent</v>
      </c>
    </row>
    <row r="681">
      <c r="A681" s="4">
        <f>IFERROR(__xludf.DUMMYFUNCTION("""COMPUTED_VALUE"""),46086.47533390047)</f>
        <v>46086.47533</v>
      </c>
      <c r="B681" s="3" t="str">
        <f>IFERROR(__xludf.DUMMYFUNCTION("""COMPUTED_VALUE"""),"ROSBR0088")</f>
        <v>ROSBR0088</v>
      </c>
      <c r="C681" s="3" t="str">
        <f>IFERROR(__xludf.DUMMYFUNCTION("""COMPUTED_VALUE"""),"Consumable")</f>
        <v>Consumable</v>
      </c>
      <c r="D681" s="3" t="str">
        <f>IFERROR(__xludf.DUMMYFUNCTION("""COMPUTED_VALUE"""),"-")</f>
        <v>-</v>
      </c>
      <c r="E681" s="3" t="str">
        <f>IFERROR(__xludf.DUMMYFUNCTION("""COMPUTED_VALUE"""),"mixing")</f>
        <v>mixing</v>
      </c>
      <c r="F681" s="3" t="str">
        <f>IFERROR(__xludf.DUMMYFUNCTION("""COMPUTED_VALUE"""),"Lampu tangki  Mixing ")</f>
        <v>Lampu tangki  Mixing </v>
      </c>
      <c r="G681" s="3" t="str">
        <f>IFERROR(__xludf.DUMMYFUNCTION("""COMPUTED_VALUE"""),"Tipe LED : COB
Voltase : DC 12-24 V
Daya / Power : 3 W
Material : Aluminium dan ABS
Warna : Warm LUX 3000k
Diameter: 65 mm
Diameter Lubang: 58 mm
Tinggi: 76 mm")</f>
        <v>Tipe LED : COB
Voltase : DC 12-24 V
Daya / Power : 3 W
Material : Aluminium dan ABS
Warna : Warm LUX 3000k
Diameter: 65 mm
Diameter Lubang: 58 mm
Tinggi: 76 mm</v>
      </c>
      <c r="H681" s="3" t="str">
        <f>IFERROR(__xludf.DUMMYFUNCTION("""COMPUTED_VALUE"""),"Liten")</f>
        <v>Liten</v>
      </c>
      <c r="I681" s="3">
        <f>IFERROR(__xludf.DUMMYFUNCTION("""COMPUTED_VALUE"""),2.0)</f>
        <v>2</v>
      </c>
      <c r="J681" s="3" t="str">
        <f>IFERROR(__xludf.DUMMYFUNCTION("""COMPUTED_VALUE"""),"unit")</f>
        <v>unit</v>
      </c>
      <c r="K681" s="5" t="str">
        <f>IFERROR(__xludf.DUMMYFUNCTION("""COMPUTED_VALUE"""),"https://shopee.co.id/Lampu-Tanam-Lantai-LED-DC-12V-12-V-Uplight-COB-Ground-Light-Outdoor-Waterproof-IP65-Lampu-Carport-Taman-Rumah-1000k-3000k-i.171115695.44458488299?xptdk=3be436bf-1efb-4162-8224-44c448c477dc")</f>
        <v>https://shopee.co.id/Lampu-Tanam-Lantai-LED-DC-12V-12-V-Uplight-COB-Ground-Light-Outdoor-Waterproof-IP65-Lampu-Carport-Taman-Rumah-1000k-3000k-i.171115695.44458488299?xptdk=3be436bf-1efb-4162-8224-44c448c477dc</v>
      </c>
      <c r="L681" s="3" t="str">
        <f>IFERROR(__xludf.DUMMYFUNCTION("""COMPUTED_VALUE"""),"Minta tolong beliin buat lampu mixing sesuai deskripsi ya ")</f>
        <v>Minta tolong beliin buat lampu mixing sesuai deskripsi ya </v>
      </c>
      <c r="M681" s="3" t="str">
        <f>IFERROR(__xludf.DUMMYFUNCTION("""COMPUTED_VALUE"""),"Approve")</f>
        <v>Approve</v>
      </c>
      <c r="N681" s="3" t="str">
        <f>IFERROR(__xludf.DUMMYFUNCTION("""COMPUTED_VALUE"""),"Normal")</f>
        <v>Normal</v>
      </c>
      <c r="O681" s="3" t="str">
        <f>IFERROR(__xludf.DUMMYFUNCTION("""COMPUTED_VALUE"""),"Non Urgent")</f>
        <v>Non Urgent</v>
      </c>
    </row>
    <row r="682">
      <c r="A682" s="4">
        <f>IFERROR(__xludf.DUMMYFUNCTION("""COMPUTED_VALUE"""),46086.617435381944)</f>
        <v>46086.61744</v>
      </c>
      <c r="B682" s="3" t="str">
        <f>IFERROR(__xludf.DUMMYFUNCTION("""COMPUTED_VALUE"""),"ROSBR0089")</f>
        <v>ROSBR0089</v>
      </c>
      <c r="C682" s="3" t="str">
        <f>IFERROR(__xludf.DUMMYFUNCTION("""COMPUTED_VALUE"""),"Critical Part")</f>
        <v>Critical Part</v>
      </c>
      <c r="D682" s="3" t="str">
        <f>IFERROR(__xludf.DUMMYFUNCTION("""COMPUTED_VALUE"""),"-")</f>
        <v>-</v>
      </c>
      <c r="E682" s="3" t="str">
        <f>IFERROR(__xludf.DUMMYFUNCTION("""COMPUTED_VALUE"""),"BSC")</f>
        <v>BSC</v>
      </c>
      <c r="F682" s="3" t="str">
        <f>IFERROR(__xludf.DUMMYFUNCTION("""COMPUTED_VALUE"""),"EF BSC 3")</f>
        <v>EF BSC 3</v>
      </c>
      <c r="G682" s="3" t="str">
        <f>IFERROR(__xludf.DUMMYFUNCTION("""COMPUTED_VALUE"""),"exhaust BSC 3 
Type R3G220-RD53-03
Type of voltage AC
Nominal voltagein V230
Nominal voltage rangein 200V- 240V
Frequency 50/60Hz
Type of data definition maximum load
Speed in min-1 3230
Power input 168W
Current draw in A        1,4
motor : M3G055-CF
1pha"&amp;"se")</f>
        <v>exhaust BSC 3 
Type R3G220-RD53-03
Type of voltage AC
Nominal voltagein V230
Nominal voltage rangein 200V- 240V
Frequency 50/60Hz
Type of data definition maximum load
Speed in min-1 3230
Power input 168W
Current draw in A        1,4
motor : M3G055-CF
1phase</v>
      </c>
      <c r="H682" s="3" t="str">
        <f>IFERROR(__xludf.DUMMYFUNCTION("""COMPUTED_VALUE"""),"Ebmpapst")</f>
        <v>Ebmpapst</v>
      </c>
      <c r="I682" s="3">
        <f>IFERROR(__xludf.DUMMYFUNCTION("""COMPUTED_VALUE"""),2.0)</f>
        <v>2</v>
      </c>
      <c r="J682" s="3" t="str">
        <f>IFERROR(__xludf.DUMMYFUNCTION("""COMPUTED_VALUE"""),"unit ")</f>
        <v>unit </v>
      </c>
      <c r="K682" s="5" t="str">
        <f>IFERROR(__xludf.DUMMYFUNCTION("""COMPUTED_VALUE"""),"https://drive.google.com/drive/folders/16RUdl0UsA4XTftxhbjZNed8eRo4Oj33n?usp=drive_link")</f>
        <v>https://drive.google.com/drive/folders/16RUdl0UsA4XTftxhbjZNed8eRo4Oj33n?usp=drive_link</v>
      </c>
      <c r="L682" s="5" t="str">
        <f>IFERROR(__xludf.DUMMYFUNCTION("""COMPUTED_VALUE"""),"https://www.ebmpapst.com/de/en/products/centrifugal-fans/p/R3G220RD5303.html")</f>
        <v>https://www.ebmpapst.com/de/en/products/centrifugal-fans/p/R3G220RD5303.html</v>
      </c>
      <c r="M682" s="3" t="str">
        <f>IFERROR(__xludf.DUMMYFUNCTION("""COMPUTED_VALUE"""),"Approve")</f>
        <v>Approve</v>
      </c>
      <c r="N682" s="3" t="str">
        <f>IFERROR(__xludf.DUMMYFUNCTION("""COMPUTED_VALUE"""),"Normal")</f>
        <v>Normal</v>
      </c>
      <c r="O682" s="3" t="str">
        <f>IFERROR(__xludf.DUMMYFUNCTION("""COMPUTED_VALUE"""),"Non Urgent")</f>
        <v>Non Urgent</v>
      </c>
    </row>
    <row r="683">
      <c r="A683" s="4">
        <f>IFERROR(__xludf.DUMMYFUNCTION("""COMPUTED_VALUE"""),46087.97294246528)</f>
        <v>46087.97294</v>
      </c>
      <c r="B683" s="3" t="str">
        <f>IFERROR(__xludf.DUMMYFUNCTION("""COMPUTED_VALUE"""),"SFHBR0047")</f>
        <v>SFHBR0047</v>
      </c>
      <c r="C683" s="3" t="str">
        <f>IFERROR(__xludf.DUMMYFUNCTION("""COMPUTED_VALUE"""),"Consumable")</f>
        <v>Consumable</v>
      </c>
      <c r="D683" s="3" t="str">
        <f>IFERROR(__xludf.DUMMYFUNCTION("""COMPUTED_VALUE"""),"-")</f>
        <v>-</v>
      </c>
      <c r="E683" s="3" t="str">
        <f>IFERROR(__xludf.DUMMYFUNCTION("""COMPUTED_VALUE"""),"lantai 2")</f>
        <v>lantai 2</v>
      </c>
      <c r="F683" s="3" t="str">
        <f>IFERROR(__xludf.DUMMYFUNCTION("""COMPUTED_VALUE"""),"keramik dinding buat toiltet")</f>
        <v>keramik dinding buat toiltet</v>
      </c>
      <c r="G683" s="3" t="str">
        <f>IFERROR(__xludf.DUMMYFUNCTION("""COMPUTED_VALUE"""),"keramik roman w25107 dlucido cream 20x25 kw1")</f>
        <v>keramik roman w25107 dlucido cream 20x25 kw1</v>
      </c>
      <c r="H683" s="3" t="str">
        <f>IFERROR(__xludf.DUMMYFUNCTION("""COMPUTED_VALUE"""),"Roman")</f>
        <v>Roman</v>
      </c>
      <c r="I683" s="3">
        <f>IFERROR(__xludf.DUMMYFUNCTION("""COMPUTED_VALUE"""),4.0)</f>
        <v>4</v>
      </c>
      <c r="J683" s="3" t="str">
        <f>IFERROR(__xludf.DUMMYFUNCTION("""COMPUTED_VALUE"""),"dus")</f>
        <v>dus</v>
      </c>
      <c r="K683" s="5" t="str">
        <f>IFERROR(__xludf.DUMMYFUNCTION("""COMPUTED_VALUE"""),"https://tk.tokopedia.com/ZSu85mvxp/")</f>
        <v>https://tk.tokopedia.com/ZSu85mvxp/</v>
      </c>
      <c r="L683" s="3" t="str">
        <f>IFERROR(__xludf.DUMMYFUNCTION("""COMPUTED_VALUE"""),"stock ny habis")</f>
        <v>stock ny habis</v>
      </c>
      <c r="M683" s="3" t="str">
        <f>IFERROR(__xludf.DUMMYFUNCTION("""COMPUTED_VALUE"""),"Approve")</f>
        <v>Approve</v>
      </c>
      <c r="N683" s="3" t="str">
        <f>IFERROR(__xludf.DUMMYFUNCTION("""COMPUTED_VALUE"""),"Normal")</f>
        <v>Normal</v>
      </c>
      <c r="O683" s="3" t="str">
        <f>IFERROR(__xludf.DUMMYFUNCTION("""COMPUTED_VALUE"""),"Non Urgent")</f>
        <v>Non Urgent</v>
      </c>
    </row>
    <row r="684">
      <c r="A684" s="4">
        <f>IFERROR(__xludf.DUMMYFUNCTION("""COMPUTED_VALUE"""),46088.302281145836)</f>
        <v>46088.30228</v>
      </c>
      <c r="B684" s="3" t="str">
        <f>IFERROR(__xludf.DUMMYFUNCTION("""COMPUTED_VALUE"""),"RIABR0156")</f>
        <v>RIABR0156</v>
      </c>
      <c r="C684" s="3" t="str">
        <f>IFERROR(__xludf.DUMMYFUNCTION("""COMPUTED_VALUE"""),"EJO")</f>
        <v>EJO</v>
      </c>
      <c r="D684" s="3" t="str">
        <f>IFERROR(__xludf.DUMMYFUNCTION("""COMPUTED_VALUE"""),"-")</f>
        <v>-</v>
      </c>
      <c r="E684" s="3" t="str">
        <f>IFERROR(__xludf.DUMMYFUNCTION("""COMPUTED_VALUE"""),"Granulasi")</f>
        <v>Granulasi</v>
      </c>
      <c r="F684" s="3" t="str">
        <f>IFERROR(__xludf.DUMMYFUNCTION("""COMPUTED_VALUE"""),"Oli Mesin")</f>
        <v>Oli Mesin</v>
      </c>
      <c r="G684" s="3" t="str">
        <f>IFERROR(__xludf.DUMMYFUNCTION("""COMPUTED_VALUE"""),"Brand : Pertamina
Type : Masri RG 320
ISO VG : 320")</f>
        <v>Brand : Pertamina
Type : Masri RG 320
ISO VG : 320</v>
      </c>
      <c r="H684" s="3" t="str">
        <f>IFERROR(__xludf.DUMMYFUNCTION("""COMPUTED_VALUE"""),"Pertamina")</f>
        <v>Pertamina</v>
      </c>
      <c r="I684" s="3">
        <f>IFERROR(__xludf.DUMMYFUNCTION("""COMPUTED_VALUE"""),3.0)</f>
        <v>3</v>
      </c>
      <c r="J684" s="3" t="str">
        <f>IFERROR(__xludf.DUMMYFUNCTION("""COMPUTED_VALUE"""),"Ltr")</f>
        <v>Ltr</v>
      </c>
      <c r="K684" s="5" t="str">
        <f>IFERROR(__xludf.DUMMYFUNCTION("""COMPUTED_VALUE"""),"https://www.tokopedia.com/murnimitrasejati/pertamina-masri-rg-320-iso-vg-320-oli-gear-industri-eceran-ecer-1-l?extParam=ivf%3Dfalse%26keyword%3Doli+iso+vg+320%26search_id%3D20260307001018C042F4DB68F234220PR3%26src%3Dsearch&amp;t_id=1772842407778&amp;t_st=4&amp;t_pp=s"&amp;"earch_result&amp;t_efo=search_pure_goods_card&amp;t_ef=goods_search&amp;t_sm=&amp;t_spt=search_resultr")</f>
        <v>https://www.tokopedia.com/murnimitrasejati/pertamina-masri-rg-320-iso-vg-320-oli-gear-industri-eceran-ecer-1-l?extParam=ivf%3Dfalse%26keyword%3Doli+iso+vg+320%26search_id%3D20260307001018C042F4DB68F234220PR3%26src%3Dsearch&amp;t_id=1772842407778&amp;t_st=4&amp;t_pp=search_result&amp;t_efo=search_pure_goods_card&amp;t_ef=goods_search&amp;t_sm=&amp;t_spt=search_resultr</v>
      </c>
      <c r="L684" s="3" t="str">
        <f>IFERROR(__xludf.DUMMYFUNCTION("""COMPUTED_VALUE"""),"Untuk fill up dosing pump washkit granulasi")</f>
        <v>Untuk fill up dosing pump washkit granulasi</v>
      </c>
      <c r="M684" s="3" t="str">
        <f>IFERROR(__xludf.DUMMYFUNCTION("""COMPUTED_VALUE"""),"Approve")</f>
        <v>Approve</v>
      </c>
      <c r="N684" s="3" t="str">
        <f>IFERROR(__xludf.DUMMYFUNCTION("""COMPUTED_VALUE"""),"Normal")</f>
        <v>Normal</v>
      </c>
      <c r="O684" s="3" t="str">
        <f>IFERROR(__xludf.DUMMYFUNCTION("""COMPUTED_VALUE"""),"Non Urgent")</f>
        <v>Non Urgent</v>
      </c>
    </row>
    <row r="685">
      <c r="A685" s="4">
        <f>IFERROR(__xludf.DUMMYFUNCTION("""COMPUTED_VALUE"""),46088.30924729167)</f>
        <v>46088.30925</v>
      </c>
      <c r="B685" s="3" t="str">
        <f>IFERROR(__xludf.DUMMYFUNCTION("""COMPUTED_VALUE"""),"RIABR0157")</f>
        <v>RIABR0157</v>
      </c>
      <c r="C685" s="3" t="str">
        <f>IFERROR(__xludf.DUMMYFUNCTION("""COMPUTED_VALUE"""),"EJO")</f>
        <v>EJO</v>
      </c>
      <c r="D685" s="3" t="str">
        <f>IFERROR(__xludf.DUMMYFUNCTION("""COMPUTED_VALUE"""),"-")</f>
        <v>-</v>
      </c>
      <c r="E685" s="3" t="str">
        <f>IFERROR(__xludf.DUMMYFUNCTION("""COMPUTED_VALUE"""),"Loker Kantin")</f>
        <v>Loker Kantin</v>
      </c>
      <c r="F685" s="3" t="str">
        <f>IFERROR(__xludf.DUMMYFUNCTION("""COMPUTED_VALUE"""),"Door Closer Tali")</f>
        <v>Door Closer Tali</v>
      </c>
      <c r="G685" s="3" t="str">
        <f>IFERROR(__xludf.DUMMYFUNCTION("""COMPUTED_VALUE"""),"️Spesifikasi:
• Material
- Bodi: Plastik
- Tali: Kawat Baja
• Dimensi
- Bodi: 6.3 x 6.3 x 1.6 cm
- Panjang Tali: Hingga 1.2 meter
• Warna : Hitam/Putih (Random)
• Menahan gaya beban hingga 500 gram")</f>
        <v>️Spesifikasi:
• Material
- Bodi: Plastik
- Tali: Kawat Baja
• Dimensi
- Bodi: 6.3 x 6.3 x 1.6 cm
- Panjang Tali: Hingga 1.2 meter
• Warna : Hitam/Putih (Random)
• Menahan gaya beban hingga 500 gram</v>
      </c>
      <c r="H685" s="3" t="str">
        <f>IFERROR(__xludf.DUMMYFUNCTION("""COMPUTED_VALUE"""),"Lokal")</f>
        <v>Lokal</v>
      </c>
      <c r="I685" s="3">
        <f>IFERROR(__xludf.DUMMYFUNCTION("""COMPUTED_VALUE"""),15.0)</f>
        <v>15</v>
      </c>
      <c r="J685" s="3" t="str">
        <f>IFERROR(__xludf.DUMMYFUNCTION("""COMPUTED_VALUE"""),"Pcs")</f>
        <v>Pcs</v>
      </c>
      <c r="K685" s="5" t="str">
        <f>IFERROR(__xludf.DUMMYFUNCTION("""COMPUTED_VALUE"""),"https://www.tokopedia.com/vanele/retractable-automatic-door-closer-tali-pintu-tutup-otomatis-800gr-9db7e?extParam=ivf%3Dfalse%26keyword%3Ddoor+closer+tali%26search_id%3D202603070023183DD48AB31D016F187H30%26src%3Dsearch&amp;t_id=1772842407778&amp;t_st=10&amp;t_pp=sear"&amp;"ch_result&amp;t_efo=search_pure_goods_card&amp;t_ef=goods_search&amp;t_sm=&amp;t_spt=search_result")</f>
        <v>https://www.tokopedia.com/vanele/retractable-automatic-door-closer-tali-pintu-tutup-otomatis-800gr-9db7e?extParam=ivf%3Dfalse%26keyword%3Ddoor+closer+tali%26search_id%3D202603070023183DD48AB31D016F187H30%26src%3Dsearch&amp;t_id=1772842407778&amp;t_st=10&amp;t_pp=search_result&amp;t_efo=search_pure_goods_card&amp;t_ef=goods_search&amp;t_sm=&amp;t_spt=search_result</v>
      </c>
      <c r="L685" s="3" t="str">
        <f>IFERROR(__xludf.DUMMYFUNCTION("""COMPUTED_VALUE"""),"Untuk door closer pintu loker kantin ejo improvement (REJECT BY MFH KARENA TIDAK JADI)")</f>
        <v>Untuk door closer pintu loker kantin ejo improvement (REJECT BY MFH KARENA TIDAK JADI)</v>
      </c>
      <c r="M685" s="3" t="str">
        <f>IFERROR(__xludf.DUMMYFUNCTION("""COMPUTED_VALUE"""),"Reject")</f>
        <v>Reject</v>
      </c>
      <c r="N685" s="3" t="str">
        <f>IFERROR(__xludf.DUMMYFUNCTION("""COMPUTED_VALUE"""),"Normal")</f>
        <v>Normal</v>
      </c>
      <c r="O685" s="3" t="str">
        <f>IFERROR(__xludf.DUMMYFUNCTION("""COMPUTED_VALUE"""),"Non Urgent")</f>
        <v>Non Urgent</v>
      </c>
    </row>
    <row r="686">
      <c r="A686" s="4">
        <f>IFERROR(__xludf.DUMMYFUNCTION("""COMPUTED_VALUE"""),46090.40527920139)</f>
        <v>46090.40528</v>
      </c>
      <c r="B686" s="3" t="str">
        <f>IFERROR(__xludf.DUMMYFUNCTION("""COMPUTED_VALUE"""),"NDSBR0052")</f>
        <v>NDSBR0052</v>
      </c>
      <c r="C686" s="3" t="str">
        <f>IFERROR(__xludf.DUMMYFUNCTION("""COMPUTED_VALUE"""),"EJO")</f>
        <v>EJO</v>
      </c>
      <c r="D686" s="3" t="str">
        <f>IFERROR(__xludf.DUMMYFUNCTION("""COMPUTED_VALUE"""),"EJO/2026/03/75")</f>
        <v>EJO/2026/03/75</v>
      </c>
      <c r="E686" s="3" t="str">
        <f>IFERROR(__xludf.DUMMYFUNCTION("""COMPUTED_VALUE"""),"Tablet Press")</f>
        <v>Tablet Press</v>
      </c>
      <c r="F686" s="3" t="str">
        <f>IFERROR(__xludf.DUMMYFUNCTION("""COMPUTED_VALUE"""),"Cover Upper Punch")</f>
        <v>Cover Upper Punch</v>
      </c>
      <c r="G686" s="3" t="str">
        <f>IFERROR(__xludf.DUMMYFUNCTION("""COMPUTED_VALUE"""),"Sesuai Penawaran")</f>
        <v>Sesuai Penawaran</v>
      </c>
      <c r="H686" s="3" t="str">
        <f>IFERROR(__xludf.DUMMYFUNCTION("""COMPUTED_VALUE"""),"-")</f>
        <v>-</v>
      </c>
      <c r="I686" s="3">
        <f>IFERROR(__xludf.DUMMYFUNCTION("""COMPUTED_VALUE"""),25.0)</f>
        <v>25</v>
      </c>
      <c r="J686" s="3" t="str">
        <f>IFERROR(__xludf.DUMMYFUNCTION("""COMPUTED_VALUE"""),"pcs")</f>
        <v>pcs</v>
      </c>
      <c r="K686" s="5" t="str">
        <f>IFERROR(__xludf.DUMMYFUNCTION("""COMPUTED_VALUE"""),"https://drive.google.com/file/d/1RetRhB0IiBOdKEEgDfI5zpTWBf11f2fj/view?usp=sharing")</f>
        <v>https://drive.google.com/file/d/1RetRhB0IiBOdKEEgDfI5zpTWBf11f2fj/view?usp=sharing</v>
      </c>
      <c r="L686" s="3" t="str">
        <f>IFERROR(__xludf.DUMMYFUNCTION("""COMPUTED_VALUE"""),"satu penawaran sudah tercantum 2 pcs")</f>
        <v>satu penawaran sudah tercantum 2 pcs</v>
      </c>
      <c r="M686" s="3" t="str">
        <f>IFERROR(__xludf.DUMMYFUNCTION("""COMPUTED_VALUE"""),"Approve")</f>
        <v>Approve</v>
      </c>
      <c r="N686" s="3" t="str">
        <f>IFERROR(__xludf.DUMMYFUNCTION("""COMPUTED_VALUE"""),"Normal")</f>
        <v>Normal</v>
      </c>
      <c r="O686" s="3" t="str">
        <f>IFERROR(__xludf.DUMMYFUNCTION("""COMPUTED_VALUE"""),"Non Urgent")</f>
        <v>Non Urgent</v>
      </c>
    </row>
    <row r="687">
      <c r="A687" s="4">
        <f>IFERROR(__xludf.DUMMYFUNCTION("""COMPUTED_VALUE"""),46091.617545520836)</f>
        <v>46091.61755</v>
      </c>
      <c r="B687" s="3" t="str">
        <f>IFERROR(__xludf.DUMMYFUNCTION("""COMPUTED_VALUE"""),"ANOBR0052")</f>
        <v>ANOBR0052</v>
      </c>
      <c r="C687" s="3" t="str">
        <f>IFERROR(__xludf.DUMMYFUNCTION("""COMPUTED_VALUE"""),"EJO")</f>
        <v>EJO</v>
      </c>
      <c r="D687" s="3" t="str">
        <f>IFERROR(__xludf.DUMMYFUNCTION("""COMPUTED_VALUE"""),"EJO/2026/01/137")</f>
        <v>EJO/2026/01/137</v>
      </c>
      <c r="E687" s="3" t="str">
        <f>IFERROR(__xludf.DUMMYFUNCTION("""COMPUTED_VALUE"""),"Aerosol generator")</f>
        <v>Aerosol generator</v>
      </c>
      <c r="F687" s="3" t="str">
        <f>IFERROR(__xludf.DUMMYFUNCTION("""COMPUTED_VALUE"""),"rivet nut m4")</f>
        <v>rivet nut m4</v>
      </c>
      <c r="G687" s="3" t="str">
        <f>IFERROR(__xludf.DUMMYFUNCTION("""COMPUTED_VALUE"""),"rivet nut m4")</f>
        <v>rivet nut m4</v>
      </c>
      <c r="H687" s="3" t="str">
        <f>IFERROR(__xludf.DUMMYFUNCTION("""COMPUTED_VALUE"""),"-")</f>
        <v>-</v>
      </c>
      <c r="I687" s="3">
        <f>IFERROR(__xludf.DUMMYFUNCTION("""COMPUTED_VALUE"""),50.0)</f>
        <v>50</v>
      </c>
      <c r="J687" s="3" t="str">
        <f>IFERROR(__xludf.DUMMYFUNCTION("""COMPUTED_VALUE"""),"pcs")</f>
        <v>pcs</v>
      </c>
      <c r="K687" s="5" t="str">
        <f>IFERROR(__xludf.DUMMYFUNCTION("""COMPUTED_VALUE"""),"https://shopee.co.id/product/105221864/22620153153?gads_t_sig=VTJGc2RHVmtYMTlxTFVSVVRrdENkY0tSanlKZU1BU2Y2RTJzOS9neUtnZm9xdk1HYjhBM2ZWSDhGNTlxbXBqZEkzbkxkell0cURwRmYrQS9TWGYwY05TZ0VHTnI2aTR2Z3YwQW9jcFhFTFFMVmR3K2taTEw4QUZvU1Z5MU40RkpZU1N6Mnc1ZzJ4TVI3WlY1W"&amp;"nNsUU5BPT0&amp;gad_source=1&amp;gad_campaignid=23290582497&amp;gbraid=0AAAAADPpU81VyXAjPKX7Kjr4xcHYf0wXl&amp;gclid=Cj0KCQjwgr_NBhDFARIsAHiUWr7Y7lsCy9W-Ys5c-mochJ57DXXQ9dUb_r-2vABZmccT1pDK7Z0A60caAipfEALw_wcB")</f>
        <v>https://shopee.co.id/product/105221864/22620153153?gads_t_sig=VTJGc2RHVmtYMTlxTFVSVVRrdENkY0tSanlKZU1BU2Y2RTJzOS9neUtnZm9xdk1HYjhBM2ZWSDhGNTlxbXBqZEkzbkxkell0cURwRmYrQS9TWGYwY05TZ0VHTnI2aTR2Z3YwQW9jcFhFTFFMVmR3K2taTEw4QUZvU1Z5MU40RkpZU1N6Mnc1ZzJ4TVI3WlY1WnNsUU5BPT0&amp;gad_source=1&amp;gad_campaignid=23290582497&amp;gbraid=0AAAAADPpU81VyXAjPKX7Kjr4xcHYf0wXl&amp;gclid=Cj0KCQjwgr_NBhDFARIsAHiUWr7Y7lsCy9W-Ys5c-mochJ57DXXQ9dUb_r-2vABZmccT1pDK7Z0A60caAipfEALw_wcB</v>
      </c>
      <c r="L687" s="3" t="str">
        <f>IFERROR(__xludf.DUMMYFUNCTION("""COMPUTED_VALUE"""),"untuk keperluan penambahan baut pada cover aerosol generator")</f>
        <v>untuk keperluan penambahan baut pada cover aerosol generator</v>
      </c>
      <c r="M687" s="3" t="str">
        <f>IFERROR(__xludf.DUMMYFUNCTION("""COMPUTED_VALUE"""),"Approve")</f>
        <v>Approve</v>
      </c>
      <c r="N687" s="3" t="str">
        <f>IFERROR(__xludf.DUMMYFUNCTION("""COMPUTED_VALUE"""),"Normal")</f>
        <v>Normal</v>
      </c>
      <c r="O687" s="3" t="str">
        <f>IFERROR(__xludf.DUMMYFUNCTION("""COMPUTED_VALUE"""),"Non Urgent")</f>
        <v>Non Urgent</v>
      </c>
    </row>
    <row r="688">
      <c r="A688" s="4">
        <f>IFERROR(__xludf.DUMMYFUNCTION("""COMPUTED_VALUE"""),46091.63665068287)</f>
        <v>46091.63665</v>
      </c>
      <c r="B688" s="3" t="str">
        <f>IFERROR(__xludf.DUMMYFUNCTION("""COMPUTED_VALUE"""),"ANOBR0053")</f>
        <v>ANOBR0053</v>
      </c>
      <c r="C688" s="3" t="str">
        <f>IFERROR(__xludf.DUMMYFUNCTION("""COMPUTED_VALUE"""),"Consumable")</f>
        <v>Consumable</v>
      </c>
      <c r="D688" s="3" t="str">
        <f>IFERROR(__xludf.DUMMYFUNCTION("""COMPUTED_VALUE"""),"-")</f>
        <v>-</v>
      </c>
      <c r="E688" s="3" t="str">
        <f>IFERROR(__xludf.DUMMYFUNCTION("""COMPUTED_VALUE"""),"alat las")</f>
        <v>alat las</v>
      </c>
      <c r="F688" s="3" t="str">
        <f>IFERROR(__xludf.DUMMYFUNCTION("""COMPUTED_VALUE"""),"kedok las ")</f>
        <v>kedok las </v>
      </c>
      <c r="G688" s="3" t="str">
        <f>IFERROR(__xludf.DUMMYFUNCTION("""COMPUTED_VALUE"""),"kedok las otomatis")</f>
        <v>kedok las otomatis</v>
      </c>
      <c r="H688" s="3" t="str">
        <f>IFERROR(__xludf.DUMMYFUNCTION("""COMPUTED_VALUE"""),"daiden")</f>
        <v>daiden</v>
      </c>
      <c r="I688" s="3">
        <f>IFERROR(__xludf.DUMMYFUNCTION("""COMPUTED_VALUE"""),1.0)</f>
        <v>1</v>
      </c>
      <c r="J688" s="3" t="str">
        <f>IFERROR(__xludf.DUMMYFUNCTION("""COMPUTED_VALUE"""),"pcs")</f>
        <v>pcs</v>
      </c>
      <c r="K688" s="5" t="str">
        <f>IFERROR(__xludf.DUMMYFUNCTION("""COMPUTED_VALUE"""),"https://www.monotaro.id/items/s045330964.html?utm_source=google&amp;utm_medium=pla&amp;utm_campaign=22608577675&amp;utm_content=180145020197&amp;utm_term=others_cat_group_2_pricebrand_group_1&amp;gad_source=4&amp;gad_campaignid=22608577675&amp;gbraid=0AAAAADJU9--igvJUcptF5cp8mmiUW_V"&amp;"w8&amp;gclid=Cj0KCQjwgr_NBhDFARIsAHiUWr5jqoFl_ND7RZJtRsLhVU2AuLYUHuHA3yKwRCUBA9OCaHZML5LOsiAaAqtFEALw_wcB")</f>
        <v>https://www.monotaro.id/items/s045330964.html?utm_source=google&amp;utm_medium=pla&amp;utm_campaign=22608577675&amp;utm_content=180145020197&amp;utm_term=others_cat_group_2_pricebrand_group_1&amp;gad_source=4&amp;gad_campaignid=22608577675&amp;gbraid=0AAAAADJU9--igvJUcptF5cp8mmiUW_Vw8&amp;gclid=Cj0KCQjwgr_NBhDFARIsAHiUWr5jqoFl_ND7RZJtRsLhVU2AuLYUHuHA3yKwRCUBA9OCaHZML5LOsiAaAqtFEALw_wcB</v>
      </c>
      <c r="L688" s="3" t="str">
        <f>IFERROR(__xludf.DUMMYFUNCTION("""COMPUTED_VALUE"""),"keperluan aktivitas las")</f>
        <v>keperluan aktivitas las</v>
      </c>
      <c r="M688" s="3" t="str">
        <f>IFERROR(__xludf.DUMMYFUNCTION("""COMPUTED_VALUE"""),"Approve")</f>
        <v>Approve</v>
      </c>
      <c r="N688" s="3" t="str">
        <f>IFERROR(__xludf.DUMMYFUNCTION("""COMPUTED_VALUE"""),"Normal")</f>
        <v>Normal</v>
      </c>
      <c r="O688" s="3" t="str">
        <f>IFERROR(__xludf.DUMMYFUNCTION("""COMPUTED_VALUE"""),"Non Urgent")</f>
        <v>Non Urgent</v>
      </c>
    </row>
    <row r="689">
      <c r="A689" s="4">
        <f>IFERROR(__xludf.DUMMYFUNCTION("""COMPUTED_VALUE"""),46091.64007299769)</f>
        <v>46091.64007</v>
      </c>
      <c r="B689" s="3" t="str">
        <f>IFERROR(__xludf.DUMMYFUNCTION("""COMPUTED_VALUE"""),"ANOBR0050")</f>
        <v>ANOBR0050</v>
      </c>
      <c r="C689" s="3" t="str">
        <f>IFERROR(__xludf.DUMMYFUNCTION("""COMPUTED_VALUE"""),"EJO")</f>
        <v>EJO</v>
      </c>
      <c r="D689" s="3" t="str">
        <f>IFERROR(__xludf.DUMMYFUNCTION("""COMPUTED_VALUE"""),"EJO/2026/01/137")</f>
        <v>EJO/2026/01/137</v>
      </c>
      <c r="E689" s="3" t="str">
        <f>IFERROR(__xludf.DUMMYFUNCTION("""COMPUTED_VALUE"""),"Aerosol generator")</f>
        <v>Aerosol generator</v>
      </c>
      <c r="F689" s="3" t="str">
        <f>IFERROR(__xludf.DUMMYFUNCTION("""COMPUTED_VALUE"""),"gasket silicon rubber")</f>
        <v>gasket silicon rubber</v>
      </c>
      <c r="G689" s="3" t="str">
        <f>IFERROR(__xludf.DUMMYFUNCTION("""COMPUTED_VALUE"""),"gasket silicon  rubber tebal 3 mm ukuran 1meter x 1 meter")</f>
        <v>gasket silicon  rubber tebal 3 mm ukuran 1meter x 1 meter</v>
      </c>
      <c r="H689" s="3" t="str">
        <f>IFERROR(__xludf.DUMMYFUNCTION("""COMPUTED_VALUE"""),"-")</f>
        <v>-</v>
      </c>
      <c r="I689" s="3">
        <f>IFERROR(__xludf.DUMMYFUNCTION("""COMPUTED_VALUE"""),1.0)</f>
        <v>1</v>
      </c>
      <c r="J689" s="3" t="str">
        <f>IFERROR(__xludf.DUMMYFUNCTION("""COMPUTED_VALUE"""),"roll")</f>
        <v>roll</v>
      </c>
      <c r="K689" s="5" t="str">
        <f>IFERROR(__xludf.DUMMYFUNCTION("""COMPUTED_VALUE"""),"https://shopee.co.id/product/12427419/17556834730?gads_t_sig=VTJGc2RHVmtYMTlxTFVSVVRrdENkVEN2VUxrWEZOaDk0d0pqV3V0QjRydjRtZURjWlFKM3l3Mkx5SVJ2eXZaV2VuRWp3WVg3cE1rbjNoS3hZTEVTU2xaSnNoczMzRm1tVmtVNThOT29QTnNJQlltcDMvTlA0MFlEQlVZMk42M1c&amp;gad_source=1&amp;gad_campa"&amp;"ignid=23290582497&amp;gbraid=0AAAAADPpU81VyXAjPKX7Kjr4xcHYf0wXl&amp;gclid=Cj0KCQjwgr_NBhDFARIsAHiUWr7PF8eed-OEOs8_TjDiIzPi_X6ZvaqmtpuEniI0-r2tLmgAFB1gbasaAp4eEALw_wcB")</f>
        <v>https://shopee.co.id/product/12427419/17556834730?gads_t_sig=VTJGc2RHVmtYMTlxTFVSVVRrdENkVEN2VUxrWEZOaDk0d0pqV3V0QjRydjRtZURjWlFKM3l3Mkx5SVJ2eXZaV2VuRWp3WVg3cE1rbjNoS3hZTEVTU2xaSnNoczMzRm1tVmtVNThOT29QTnNJQlltcDMvTlA0MFlEQlVZMk42M1c&amp;gad_source=1&amp;gad_campaignid=23290582497&amp;gbraid=0AAAAADPpU81VyXAjPKX7Kjr4xcHYf0wXl&amp;gclid=Cj0KCQjwgr_NBhDFARIsAHiUWr7PF8eed-OEOs8_TjDiIzPi_X6ZvaqmtpuEniI0-r2tLmgAFB1gbasaAp4eEALw_wcB</v>
      </c>
      <c r="L689" s="3" t="str">
        <f>IFERROR(__xludf.DUMMYFUNCTION("""COMPUTED_VALUE"""),"untuk keperluan mengganti seal gasket pada baut pengunci cover aerosol generator")</f>
        <v>untuk keperluan mengganti seal gasket pada baut pengunci cover aerosol generator</v>
      </c>
      <c r="M689" s="3" t="str">
        <f>IFERROR(__xludf.DUMMYFUNCTION("""COMPUTED_VALUE"""),"Approve")</f>
        <v>Approve</v>
      </c>
      <c r="N689" s="3" t="str">
        <f>IFERROR(__xludf.DUMMYFUNCTION("""COMPUTED_VALUE"""),"Normal")</f>
        <v>Normal</v>
      </c>
      <c r="O689" s="3" t="str">
        <f>IFERROR(__xludf.DUMMYFUNCTION("""COMPUTED_VALUE"""),"Non Urgent")</f>
        <v>Non Urgent</v>
      </c>
    </row>
    <row r="690">
      <c r="A690" s="4">
        <f>IFERROR(__xludf.DUMMYFUNCTION("""COMPUTED_VALUE"""),46091.64013233796)</f>
        <v>46091.64013</v>
      </c>
      <c r="B690" s="3" t="str">
        <f>IFERROR(__xludf.DUMMYFUNCTION("""COMPUTED_VALUE"""),"ANOBR0051")</f>
        <v>ANOBR0051</v>
      </c>
      <c r="C690" s="3" t="str">
        <f>IFERROR(__xludf.DUMMYFUNCTION("""COMPUTED_VALUE"""),"EJO")</f>
        <v>EJO</v>
      </c>
      <c r="D690" s="3" t="str">
        <f>IFERROR(__xludf.DUMMYFUNCTION("""COMPUTED_VALUE"""),"EJO/2026/01/137")</f>
        <v>EJO/2026/01/137</v>
      </c>
      <c r="E690" s="3" t="str">
        <f>IFERROR(__xludf.DUMMYFUNCTION("""COMPUTED_VALUE"""),"Aerosol generator")</f>
        <v>Aerosol generator</v>
      </c>
      <c r="F690" s="3" t="str">
        <f>IFERROR(__xludf.DUMMYFUNCTION("""COMPUTED_VALUE"""),"gasket silicon rubber")</f>
        <v>gasket silicon rubber</v>
      </c>
      <c r="G690" s="3" t="str">
        <f>IFERROR(__xludf.DUMMYFUNCTION("""COMPUTED_VALUE"""),"gasket silicon  rubber tebal 5 mm ukuran 1 meter x 1 meter")</f>
        <v>gasket silicon  rubber tebal 5 mm ukuran 1 meter x 1 meter</v>
      </c>
      <c r="H690" s="3" t="str">
        <f>IFERROR(__xludf.DUMMYFUNCTION("""COMPUTED_VALUE"""),"-")</f>
        <v>-</v>
      </c>
      <c r="I690" s="3">
        <f>IFERROR(__xludf.DUMMYFUNCTION("""COMPUTED_VALUE"""),1.0)</f>
        <v>1</v>
      </c>
      <c r="J690" s="3" t="str">
        <f>IFERROR(__xludf.DUMMYFUNCTION("""COMPUTED_VALUE"""),"roll")</f>
        <v>roll</v>
      </c>
      <c r="K690" s="5" t="str">
        <f>IFERROR(__xludf.DUMMYFUNCTION("""COMPUTED_VALUE"""),"https://shopee.co.id/product/1566195522/40508035156?gads_t_sig=VTJGc2RHVmtYMTlxTFVSVVRrdENkVEdTU3BlMW9zMXB6bGYrZ0J1VEdQdjl4MzJ5UFUvREsxQnRRbS94a1puNGdZMStxM1U4b0o5K2RNWVdNbTBwNVhCRUpSUk1UOVFDY0ZTVTU0Z1JlMGtyMXlqUkErd1QyZ2V0VWt0T2R1STFZZUwzNThjdnhkN3Z0TGZN"&amp;"aFh4NXJBPT0&amp;gad_source=1&amp;gad_campaignid=23290582497&amp;gbraid=0AAAAADPpU81VyXAjPKX7Kjr4xcHYf0wXl&amp;gclid=Cj0KCQjwgr_NBhDFARIsAHiUWr5E1yRcOQ8ayWbFzZq7eAggocA7ZFpSw9Tg4K-ZAFTSWyCenMqlaSUaAmMhEALw_wcB")</f>
        <v>https://shopee.co.id/product/1566195522/40508035156?gads_t_sig=VTJGc2RHVmtYMTlxTFVSVVRrdENkVEdTU3BlMW9zMXB6bGYrZ0J1VEdQdjl4MzJ5UFUvREsxQnRRbS94a1puNGdZMStxM1U4b0o5K2RNWVdNbTBwNVhCRUpSUk1UOVFDY0ZTVTU0Z1JlMGtyMXlqUkErd1QyZ2V0VWt0T2R1STFZZUwzNThjdnhkN3Z0TGZNaFh4NXJBPT0&amp;gad_source=1&amp;gad_campaignid=23290582497&amp;gbraid=0AAAAADPpU81VyXAjPKX7Kjr4xcHYf0wXl&amp;gclid=Cj0KCQjwgr_NBhDFARIsAHiUWr5E1yRcOQ8ayWbFzZq7eAggocA7ZFpSw9Tg4K-ZAFTSWyCenMqlaSUaAmMhEALw_wcB</v>
      </c>
      <c r="L690" s="3" t="str">
        <f>IFERROR(__xludf.DUMMYFUNCTION("""COMPUTED_VALUE"""),"untuk keperluan mengganti seal gasket aerosol generator")</f>
        <v>untuk keperluan mengganti seal gasket aerosol generator</v>
      </c>
      <c r="M690" s="3" t="str">
        <f>IFERROR(__xludf.DUMMYFUNCTION("""COMPUTED_VALUE"""),"Approve")</f>
        <v>Approve</v>
      </c>
      <c r="N690" s="3" t="str">
        <f>IFERROR(__xludf.DUMMYFUNCTION("""COMPUTED_VALUE"""),"Normal")</f>
        <v>Normal</v>
      </c>
      <c r="O690" s="3" t="str">
        <f>IFERROR(__xludf.DUMMYFUNCTION("""COMPUTED_VALUE"""),"Non Urgent")</f>
        <v>Non Urgent</v>
      </c>
    </row>
    <row r="691">
      <c r="A691" s="4">
        <f>IFERROR(__xludf.DUMMYFUNCTION("""COMPUTED_VALUE"""),46093.64691605324)</f>
        <v>46093.64692</v>
      </c>
      <c r="B691" s="3" t="str">
        <f>IFERROR(__xludf.DUMMYFUNCTION("""COMPUTED_VALUE"""),"ROSBR0090")</f>
        <v>ROSBR0090</v>
      </c>
      <c r="C691" s="3" t="str">
        <f>IFERROR(__xludf.DUMMYFUNCTION("""COMPUTED_VALUE"""),"Critical Part")</f>
        <v>Critical Part</v>
      </c>
      <c r="D691" s="3" t="str">
        <f>IFERROR(__xludf.DUMMYFUNCTION("""COMPUTED_VALUE"""),"-")</f>
        <v>-</v>
      </c>
      <c r="E691" s="3" t="str">
        <f>IFERROR(__xludf.DUMMYFUNCTION("""COMPUTED_VALUE"""),"BSC")</f>
        <v>BSC</v>
      </c>
      <c r="F691" s="3" t="str">
        <f>IFERROR(__xludf.DUMMYFUNCTION("""COMPUTED_VALUE"""),"Supply motor Blower BSC ")</f>
        <v>Supply motor Blower BSC </v>
      </c>
      <c r="G691" s="3" t="str">
        <f>IFERROR(__xludf.DUMMYFUNCTION("""COMPUTED_VALUE"""),"Part code: 8115610923 -INSTRUMENT COOLING FANS R3G 250, R3G 250 AK 41-71, MAKE EBM")</f>
        <v>Part code: 8115610923 -INSTRUMENT COOLING FANS R3G 250, R3G 250 AK 41-71, MAKE EBM</v>
      </c>
      <c r="H691" s="3" t="str">
        <f>IFERROR(__xludf.DUMMYFUNCTION("""COMPUTED_VALUE"""),"Ebmpapst")</f>
        <v>Ebmpapst</v>
      </c>
      <c r="I691" s="3">
        <f>IFERROR(__xludf.DUMMYFUNCTION("""COMPUTED_VALUE"""),1.0)</f>
        <v>1</v>
      </c>
      <c r="J691" s="3" t="str">
        <f>IFERROR(__xludf.DUMMYFUNCTION("""COMPUTED_VALUE"""),"unit ")</f>
        <v>unit </v>
      </c>
      <c r="K691" s="3" t="str">
        <f>IFERROR(__xludf.DUMMYFUNCTION("""COMPUTED_VALUE"""),"Penawaran dari Pak MUN")</f>
        <v>Penawaran dari Pak MUN</v>
      </c>
      <c r="L691" s="3" t="str">
        <f>IFERROR(__xludf.DUMMYFUNCTION("""COMPUTED_VALUE"""),"-")</f>
        <v>-</v>
      </c>
      <c r="M691" s="3" t="str">
        <f>IFERROR(__xludf.DUMMYFUNCTION("""COMPUTED_VALUE"""),"Approve")</f>
        <v>Approve</v>
      </c>
      <c r="N691" s="3" t="str">
        <f>IFERROR(__xludf.DUMMYFUNCTION("""COMPUTED_VALUE"""),"Normal")</f>
        <v>Normal</v>
      </c>
      <c r="O691" s="3" t="str">
        <f>IFERROR(__xludf.DUMMYFUNCTION("""COMPUTED_VALUE"""),"Non Urgent")</f>
        <v>Non Urgent</v>
      </c>
    </row>
    <row r="692">
      <c r="A692" s="4">
        <f>IFERROR(__xludf.DUMMYFUNCTION("""COMPUTED_VALUE"""),46093.65385894676)</f>
        <v>46093.65386</v>
      </c>
      <c r="B692" s="3" t="str">
        <f>IFERROR(__xludf.DUMMYFUNCTION("""COMPUTED_VALUE"""),"KFFBR0009")</f>
        <v>KFFBR0009</v>
      </c>
      <c r="C692" s="3" t="str">
        <f>IFERROR(__xludf.DUMMYFUNCTION("""COMPUTED_VALUE"""),"Consumable")</f>
        <v>Consumable</v>
      </c>
      <c r="D692" s="3" t="str">
        <f>IFERROR(__xludf.DUMMYFUNCTION("""COMPUTED_VALUE"""),"EJO/2025/09/131")</f>
        <v>EJO/2025/09/131</v>
      </c>
      <c r="E692" s="3" t="str">
        <f>IFERROR(__xludf.DUMMYFUNCTION("""COMPUTED_VALUE"""),"Workshop")</f>
        <v>Workshop</v>
      </c>
      <c r="F692" s="3" t="str">
        <f>IFERROR(__xludf.DUMMYFUNCTION("""COMPUTED_VALUE"""),"Tungsten electrode")</f>
        <v>Tungsten electrode</v>
      </c>
      <c r="G692" s="3" t="str">
        <f>IFERROR(__xludf.DUMMYFUNCTION("""COMPUTED_VALUE"""),"Red 2MM ")</f>
        <v>Red 2MM </v>
      </c>
      <c r="H692" s="3" t="str">
        <f>IFERROR(__xludf.DUMMYFUNCTION("""COMPUTED_VALUE"""),"universal")</f>
        <v>universal</v>
      </c>
      <c r="I692" s="3">
        <f>IFERROR(__xludf.DUMMYFUNCTION("""COMPUTED_VALUE"""),1.0)</f>
        <v>1</v>
      </c>
      <c r="J692" s="3" t="str">
        <f>IFERROR(__xludf.DUMMYFUNCTION("""COMPUTED_VALUE"""),"set")</f>
        <v>set</v>
      </c>
      <c r="K692" s="5" t="str">
        <f>IFERROR(__xludf.DUMMYFUNCTION("""COMPUTED_VALUE"""),"https://tk.tokopedia.com/ZSuAvGxmo/")</f>
        <v>https://tk.tokopedia.com/ZSuAvGxmo/</v>
      </c>
      <c r="L692" s="3" t="str">
        <f>IFERROR(__xludf.DUMMYFUNCTION("""COMPUTED_VALUE"""),"consumable untuk pengerjaan project2 yang berkaitan dengan welding ")</f>
        <v>consumable untuk pengerjaan project2 yang berkaitan dengan welding </v>
      </c>
      <c r="M692" s="3" t="str">
        <f>IFERROR(__xludf.DUMMYFUNCTION("""COMPUTED_VALUE"""),"Approve")</f>
        <v>Approve</v>
      </c>
      <c r="N692" s="3" t="str">
        <f>IFERROR(__xludf.DUMMYFUNCTION("""COMPUTED_VALUE"""),"Normal")</f>
        <v>Normal</v>
      </c>
      <c r="O692" s="3" t="str">
        <f>IFERROR(__xludf.DUMMYFUNCTION("""COMPUTED_VALUE"""),"Non Urgent")</f>
        <v>Non Urgent</v>
      </c>
    </row>
    <row r="693">
      <c r="A693" s="4">
        <f>IFERROR(__xludf.DUMMYFUNCTION("""COMPUTED_VALUE"""),46093.65701800926)</f>
        <v>46093.65702</v>
      </c>
      <c r="B693" s="3" t="str">
        <f>IFERROR(__xludf.DUMMYFUNCTION("""COMPUTED_VALUE"""),"KFFBR0010")</f>
        <v>KFFBR0010</v>
      </c>
      <c r="C693" s="3" t="str">
        <f>IFERROR(__xludf.DUMMYFUNCTION("""COMPUTED_VALUE"""),"Consumable")</f>
        <v>Consumable</v>
      </c>
      <c r="D693" s="3" t="str">
        <f>IFERROR(__xludf.DUMMYFUNCTION("""COMPUTED_VALUE"""),"EJO/2025/09/131")</f>
        <v>EJO/2025/09/131</v>
      </c>
      <c r="E693" s="3" t="str">
        <f>IFERROR(__xludf.DUMMYFUNCTION("""COMPUTED_VALUE"""),"Workshop")</f>
        <v>Workshop</v>
      </c>
      <c r="F693" s="3" t="str">
        <f>IFERROR(__xludf.DUMMYFUNCTION("""COMPUTED_VALUE"""),"consumable welding kit ")</f>
        <v>consumable welding kit </v>
      </c>
      <c r="G693" s="3" t="str">
        <f>IFERROR(__xludf.DUMMYFUNCTION("""COMPUTED_VALUE"""),"55pcs Tig Argon Welding Torch Aksesoris Nosel Alumina Gas Lens Keramik Collet Body Untuk Wp 17 Wp18 Wp 26 - 55pc")</f>
        <v>55pcs Tig Argon Welding Torch Aksesoris Nosel Alumina Gas Lens Keramik Collet Body Untuk Wp 17 Wp18 Wp 26 - 55pc</v>
      </c>
      <c r="H693" s="3" t="str">
        <f>IFERROR(__xludf.DUMMYFUNCTION("""COMPUTED_VALUE"""),"universal")</f>
        <v>universal</v>
      </c>
      <c r="I693" s="3">
        <f>IFERROR(__xludf.DUMMYFUNCTION("""COMPUTED_VALUE"""),1.0)</f>
        <v>1</v>
      </c>
      <c r="J693" s="3" t="str">
        <f>IFERROR(__xludf.DUMMYFUNCTION("""COMPUTED_VALUE"""),"SET")</f>
        <v>SET</v>
      </c>
      <c r="K693" s="5" t="str">
        <f>IFERROR(__xludf.DUMMYFUNCTION("""COMPUTED_VALUE"""),"https://tk.tokopedia.com/ZSuA3mDHf/")</f>
        <v>https://tk.tokopedia.com/ZSuA3mDHf/</v>
      </c>
      <c r="L693" s="3" t="str">
        <f>IFERROR(__xludf.DUMMYFUNCTION("""COMPUTED_VALUE"""),"consumable stock karna tidak ada sama sekali ")</f>
        <v>consumable stock karna tidak ada sama sekali </v>
      </c>
      <c r="M693" s="3" t="str">
        <f>IFERROR(__xludf.DUMMYFUNCTION("""COMPUTED_VALUE"""),"Approve")</f>
        <v>Approve</v>
      </c>
      <c r="N693" s="3" t="str">
        <f>IFERROR(__xludf.DUMMYFUNCTION("""COMPUTED_VALUE"""),"Normal")</f>
        <v>Normal</v>
      </c>
      <c r="O693" s="3" t="str">
        <f>IFERROR(__xludf.DUMMYFUNCTION("""COMPUTED_VALUE"""),"Non Urgent")</f>
        <v>Non Urgent</v>
      </c>
    </row>
    <row r="694">
      <c r="A694" s="4">
        <f>IFERROR(__xludf.DUMMYFUNCTION("""COMPUTED_VALUE"""),46094.916488113435)</f>
        <v>46094.91649</v>
      </c>
      <c r="B694" s="3" t="str">
        <f>IFERROR(__xludf.DUMMYFUNCTION("""COMPUTED_VALUE"""),"SFHBR0048")</f>
        <v>SFHBR0048</v>
      </c>
      <c r="C694" s="3" t="str">
        <f>IFERROR(__xludf.DUMMYFUNCTION("""COMPUTED_VALUE"""),"EJO")</f>
        <v>EJO</v>
      </c>
      <c r="D694" s="3" t="str">
        <f>IFERROR(__xludf.DUMMYFUNCTION("""COMPUTED_VALUE"""),"EJO/2026/03/42")</f>
        <v>EJO/2026/03/42</v>
      </c>
      <c r="E694" s="3" t="str">
        <f>IFERROR(__xludf.DUMMYFUNCTION("""COMPUTED_VALUE"""),"lamtai 2")</f>
        <v>lamtai 2</v>
      </c>
      <c r="F694" s="3" t="str">
        <f>IFERROR(__xludf.DUMMYFUNCTION("""COMPUTED_VALUE"""),"RODA CASTER RUBBER HITAM UNTUK TROLY yang ada Rem ny")</f>
        <v>RODA CASTER RUBBER HITAM UNTUK TROLY yang ada Rem ny</v>
      </c>
      <c r="G694" s="3" t="str">
        <f>IFERROR(__xludf.DUMMYFUNCTION("""COMPUTED_VALUE"""),"RODA CASTER RUBBER HITAM UNTUK TROLY ukuran 4 inc yang ada braker atau Rem")</f>
        <v>RODA CASTER RUBBER HITAM UNTUK TROLY ukuran 4 inc yang ada braker atau Rem</v>
      </c>
      <c r="H694" s="3" t="str">
        <f>IFERROR(__xludf.DUMMYFUNCTION("""COMPUTED_VALUE"""),"roda caster rubber")</f>
        <v>roda caster rubber</v>
      </c>
      <c r="I694" s="3">
        <f>IFERROR(__xludf.DUMMYFUNCTION("""COMPUTED_VALUE"""),2.0)</f>
        <v>2</v>
      </c>
      <c r="J694" s="3" t="str">
        <f>IFERROR(__xludf.DUMMYFUNCTION("""COMPUTED_VALUE"""),"pcs")</f>
        <v>pcs</v>
      </c>
      <c r="K694" s="5" t="str">
        <f>IFERROR(__xludf.DUMMYFUNCTION("""COMPUTED_VALUE"""),"https://tk.tokopedia.com/ZSufY5FEo/")</f>
        <v>https://tk.tokopedia.com/ZSufY5FEo/</v>
      </c>
      <c r="L694" s="3" t="str">
        <f>IFERROR(__xludf.DUMMYFUNCTION("""COMPUTED_VALUE"""),"-")</f>
        <v>-</v>
      </c>
      <c r="M694" s="3" t="str">
        <f>IFERROR(__xludf.DUMMYFUNCTION("""COMPUTED_VALUE"""),"Approve")</f>
        <v>Approve</v>
      </c>
      <c r="N694" s="3" t="str">
        <f>IFERROR(__xludf.DUMMYFUNCTION("""COMPUTED_VALUE"""),"Normal")</f>
        <v>Normal</v>
      </c>
      <c r="O694" s="3" t="str">
        <f>IFERROR(__xludf.DUMMYFUNCTION("""COMPUTED_VALUE"""),"Non Urgent")</f>
        <v>Non Urgent</v>
      </c>
    </row>
    <row r="695">
      <c r="A695" s="4">
        <f>IFERROR(__xludf.DUMMYFUNCTION("""COMPUTED_VALUE"""),46095.314760393514)</f>
        <v>46095.31476</v>
      </c>
      <c r="B695" s="3" t="str">
        <f>IFERROR(__xludf.DUMMYFUNCTION("""COMPUTED_VALUE"""),"NDSBR0053")</f>
        <v>NDSBR0053</v>
      </c>
      <c r="C695" s="3" t="str">
        <f>IFERROR(__xludf.DUMMYFUNCTION("""COMPUTED_VALUE"""),"EJO")</f>
        <v>EJO</v>
      </c>
      <c r="D695" s="3" t="str">
        <f>IFERROR(__xludf.DUMMYFUNCTION("""COMPUTED_VALUE"""),"EJO/2026/02/18")</f>
        <v>EJO/2026/02/18</v>
      </c>
      <c r="E695" s="3" t="str">
        <f>IFERROR(__xludf.DUMMYFUNCTION("""COMPUTED_VALUE"""),"Blister")</f>
        <v>Blister</v>
      </c>
      <c r="F695" s="3" t="str">
        <f>IFERROR(__xludf.DUMMYFUNCTION("""COMPUTED_VALUE"""),"Fitting regulator")</f>
        <v>Fitting regulator</v>
      </c>
      <c r="G695" s="3" t="str">
        <f>IFERROR(__xludf.DUMMYFUNCTION("""COMPUTED_VALUE"""),"KQ2H06-03AS")</f>
        <v>KQ2H06-03AS</v>
      </c>
      <c r="H695" s="3" t="str">
        <f>IFERROR(__xludf.DUMMYFUNCTION("""COMPUTED_VALUE"""),"SMC")</f>
        <v>SMC</v>
      </c>
      <c r="I695" s="3">
        <f>IFERROR(__xludf.DUMMYFUNCTION("""COMPUTED_VALUE"""),1.0)</f>
        <v>1</v>
      </c>
      <c r="J695" s="3" t="str">
        <f>IFERROR(__xludf.DUMMYFUNCTION("""COMPUTED_VALUE"""),"Pcs")</f>
        <v>Pcs</v>
      </c>
      <c r="K695" s="5" t="str">
        <f>IFERROR(__xludf.DUMMYFUNCTION("""COMPUTED_VALUE"""),"https://drive.google.com/drive/folders/1ZRj5fiO6TVaEqrDRawB57QX6Lkod426T?usp=drive_link")</f>
        <v>https://drive.google.com/drive/folders/1ZRj5fiO6TVaEqrDRawB57QX6Lkod426T?usp=drive_link</v>
      </c>
      <c r="L695" s="3" t="str">
        <f>IFERROR(__xludf.DUMMYFUNCTION("""COMPUTED_VALUE"""),",")</f>
        <v>,</v>
      </c>
      <c r="M695" s="3" t="str">
        <f>IFERROR(__xludf.DUMMYFUNCTION("""COMPUTED_VALUE"""),"Reject")</f>
        <v>Reject</v>
      </c>
      <c r="N695" s="3" t="str">
        <f>IFERROR(__xludf.DUMMYFUNCTION("""COMPUTED_VALUE"""),"Normal")</f>
        <v>Normal</v>
      </c>
      <c r="O695" s="3" t="str">
        <f>IFERROR(__xludf.DUMMYFUNCTION("""COMPUTED_VALUE"""),"Non Urgent")</f>
        <v>Non Urgent</v>
      </c>
    </row>
    <row r="696">
      <c r="A696" s="4">
        <f>IFERROR(__xludf.DUMMYFUNCTION("""COMPUTED_VALUE"""),46098.82845061343)</f>
        <v>46098.82845</v>
      </c>
      <c r="B696" s="3" t="str">
        <f>IFERROR(__xludf.DUMMYFUNCTION("""COMPUTED_VALUE"""),"RIABR0158")</f>
        <v>RIABR0158</v>
      </c>
      <c r="C696" s="3" t="str">
        <f>IFERROR(__xludf.DUMMYFUNCTION("""COMPUTED_VALUE"""),"EJO")</f>
        <v>EJO</v>
      </c>
      <c r="D696" s="3" t="str">
        <f>IFERROR(__xludf.DUMMYFUNCTION("""COMPUTED_VALUE"""),"EJO/2026/01/57")</f>
        <v>EJO/2026/01/57</v>
      </c>
      <c r="E696" s="3" t="str">
        <f>IFERROR(__xludf.DUMMYFUNCTION("""COMPUTED_VALUE"""),"Lift Penumpang")</f>
        <v>Lift Penumpang</v>
      </c>
      <c r="F696" s="3" t="str">
        <f>IFERROR(__xludf.DUMMYFUNCTION("""COMPUTED_VALUE"""),"Door Shoe")</f>
        <v>Door Shoe</v>
      </c>
      <c r="G696" s="3" t="str">
        <f>IFERROR(__xludf.DUMMYFUNCTION("""COMPUTED_VALUE"""),"Door Shoe Car Door -
*Lift Office
*Kondisi aus (medium priority)
*code : iwu-000528
*stock ready tidak mengikat")</f>
        <v>Door Shoe Car Door -
*Lift Office
*Kondisi aus (medium priority)
*code : iwu-000528
*stock ready tidak mengikat</v>
      </c>
      <c r="H696" s="3" t="str">
        <f>IFERROR(__xludf.DUMMYFUNCTION("""COMPUTED_VALUE"""),"IWU")</f>
        <v>IWU</v>
      </c>
      <c r="I696" s="3">
        <f>IFERROR(__xludf.DUMMYFUNCTION("""COMPUTED_VALUE"""),4.0)</f>
        <v>4</v>
      </c>
      <c r="J696" s="3" t="str">
        <f>IFERROR(__xludf.DUMMYFUNCTION("""COMPUTED_VALUE"""),"Pcs")</f>
        <v>Pcs</v>
      </c>
      <c r="K696" s="5" t="str">
        <f>IFERROR(__xludf.DUMMYFUNCTION("""COMPUTED_VALUE"""),"https://drive.google.com/file/d/1ziyJsvvlRjeBfjIvmq8jY6sonNV3yR7y/view?usp=drive_link")</f>
        <v>https://drive.google.com/file/d/1ziyJsvvlRjeBfjIvmq8jY6sonNV3yR7y/view?usp=drive_link</v>
      </c>
      <c r="L696" s="3" t="str">
        <f>IFERROR(__xludf.DUMMYFUNCTION("""COMPUTED_VALUE"""),"Untuk Lift")</f>
        <v>Untuk Lift</v>
      </c>
      <c r="M696" s="3" t="str">
        <f>IFERROR(__xludf.DUMMYFUNCTION("""COMPUTED_VALUE"""),"Approve")</f>
        <v>Approve</v>
      </c>
      <c r="N696" s="3" t="str">
        <f>IFERROR(__xludf.DUMMYFUNCTION("""COMPUTED_VALUE"""),"Normal")</f>
        <v>Normal</v>
      </c>
      <c r="O696" s="3" t="str">
        <f>IFERROR(__xludf.DUMMYFUNCTION("""COMPUTED_VALUE"""),"Non Urgent")</f>
        <v>Non Urgent</v>
      </c>
    </row>
    <row r="697">
      <c r="A697" s="4">
        <f>IFERROR(__xludf.DUMMYFUNCTION("""COMPUTED_VALUE"""),46107.60829709491)</f>
        <v>46107.6083</v>
      </c>
      <c r="B697" s="3" t="str">
        <f>IFERROR(__xludf.DUMMYFUNCTION("""COMPUTED_VALUE"""),"BDUBR0006")</f>
        <v>BDUBR0006</v>
      </c>
      <c r="C697" s="3" t="str">
        <f>IFERROR(__xludf.DUMMYFUNCTION("""COMPUTED_VALUE"""),"EJO")</f>
        <v>EJO</v>
      </c>
      <c r="D697" s="3" t="str">
        <f>IFERROR(__xludf.DUMMYFUNCTION("""COMPUTED_VALUE"""),"EJO Menyusul")</f>
        <v>EJO Menyusul</v>
      </c>
      <c r="E697" s="3" t="str">
        <f>IFERROR(__xludf.DUMMYFUNCTION("""COMPUTED_VALUE"""),"Freeze Dfryer")</f>
        <v>Freeze Dfryer</v>
      </c>
      <c r="F697" s="3" t="str">
        <f>IFERROR(__xludf.DUMMYFUNCTION("""COMPUTED_VALUE"""),"Ethernet Router")</f>
        <v>Ethernet Router</v>
      </c>
      <c r="G697" s="3" t="str">
        <f>IFERROR(__xludf.DUMMYFUNCTION("""COMPUTED_VALUE"""),"10~64VDC; PSTN modem; Ethernet Interface; rail")</f>
        <v>10~64VDC; PSTN modem; Ethernet Interface; rail</v>
      </c>
      <c r="H697" s="3" t="str">
        <f>IFERROR(__xludf.DUMMYFUNCTION("""COMPUTED_VALUE"""),"Westermo ED-210")</f>
        <v>Westermo ED-210</v>
      </c>
      <c r="I697" s="3">
        <f>IFERROR(__xludf.DUMMYFUNCTION("""COMPUTED_VALUE"""),1.0)</f>
        <v>1</v>
      </c>
      <c r="J697" s="3" t="str">
        <f>IFERROR(__xludf.DUMMYFUNCTION("""COMPUTED_VALUE"""),"pcs")</f>
        <v>pcs</v>
      </c>
      <c r="K697" s="5" t="str">
        <f>IFERROR(__xludf.DUMMYFUNCTION("""COMPUTED_VALUE"""),"https://www.westermo.com/support/product-support/ed-210")</f>
        <v>https://www.westermo.com/support/product-support/ed-210</v>
      </c>
      <c r="L697" s="3" t="str">
        <f>IFERROR(__xludf.DUMMYFUNCTION("""COMPUTED_VALUE"""),"Untuk perbaikan permasalahan komunikasi lan (REJECT, BY MFH, SILAHKAN CARI DI MANUAL BOOK FD, DAN AKAN BELI KE IMA)")</f>
        <v>Untuk perbaikan permasalahan komunikasi lan (REJECT, BY MFH, SILAHKAN CARI DI MANUAL BOOK FD, DAN AKAN BELI KE IMA)</v>
      </c>
      <c r="M697" s="3" t="str">
        <f>IFERROR(__xludf.DUMMYFUNCTION("""COMPUTED_VALUE"""),"Reject")</f>
        <v>Reject</v>
      </c>
      <c r="N697" s="3" t="str">
        <f>IFERROR(__xludf.DUMMYFUNCTION("""COMPUTED_VALUE"""),"Normal")</f>
        <v>Normal</v>
      </c>
      <c r="O697" s="3" t="str">
        <f>IFERROR(__xludf.DUMMYFUNCTION("""COMPUTED_VALUE"""),"Non Urgent")</f>
        <v>Non Urgent</v>
      </c>
    </row>
    <row r="698">
      <c r="A698" s="4">
        <f>IFERROR(__xludf.DUMMYFUNCTION("""COMPUTED_VALUE"""),46108.619852129625)</f>
        <v>46108.61985</v>
      </c>
      <c r="B698" s="3" t="str">
        <f>IFERROR(__xludf.DUMMYFUNCTION("""COMPUTED_VALUE"""),"BDUBR0007")</f>
        <v>BDUBR0007</v>
      </c>
      <c r="C698" s="3" t="str">
        <f>IFERROR(__xludf.DUMMYFUNCTION("""COMPUTED_VALUE"""),"MIn Stok")</f>
        <v>MIn Stok</v>
      </c>
      <c r="D698" s="3" t="str">
        <f>IFERROR(__xludf.DUMMYFUNCTION("""COMPUTED_VALUE"""),"Stock Habis")</f>
        <v>Stock Habis</v>
      </c>
      <c r="E698" s="3" t="str">
        <f>IFERROR(__xludf.DUMMYFUNCTION("""COMPUTED_VALUE"""),"MIxing")</f>
        <v>MIxing</v>
      </c>
      <c r="F698" s="3" t="str">
        <f>IFERROR(__xludf.DUMMYFUNCTION("""COMPUTED_VALUE"""),"Power Supply")</f>
        <v>Power Supply</v>
      </c>
      <c r="G698" s="3" t="str">
        <f>IFERROR(__xludf.DUMMYFUNCTION("""COMPUTED_VALUE"""),"Input 220 VAC, Output 24VDC, 5A, 120W")</f>
        <v>Input 220 VAC, Output 24VDC, 5A, 120W</v>
      </c>
      <c r="H698" s="3" t="str">
        <f>IFERROR(__xludf.DUMMYFUNCTION("""COMPUTED_VALUE"""),"MeanWell")</f>
        <v>MeanWell</v>
      </c>
      <c r="I698" s="3">
        <f>IFERROR(__xludf.DUMMYFUNCTION("""COMPUTED_VALUE"""),2.0)</f>
        <v>2</v>
      </c>
      <c r="J698" s="3" t="str">
        <f>IFERROR(__xludf.DUMMYFUNCTION("""COMPUTED_VALUE"""),"pcs")</f>
        <v>pcs</v>
      </c>
      <c r="K698" s="3" t="str">
        <f>IFERROR(__xludf.DUMMYFUNCTION("""COMPUTED_VALUE"""),"DR-120-24")</f>
        <v>DR-120-24</v>
      </c>
      <c r="L698" s="3" t="str">
        <f>IFERROR(__xludf.DUMMYFUNCTION("""COMPUTED_VALUE"""),"Untuk stock power supply mesin, karena sudah dipakai mixing")</f>
        <v>Untuk stock power supply mesin, karena sudah dipakai mixing</v>
      </c>
      <c r="M698" s="3" t="str">
        <f>IFERROR(__xludf.DUMMYFUNCTION("""COMPUTED_VALUE"""),"Approve")</f>
        <v>Approve</v>
      </c>
      <c r="N698" s="3" t="str">
        <f>IFERROR(__xludf.DUMMYFUNCTION("""COMPUTED_VALUE"""),"Normal")</f>
        <v>Normal</v>
      </c>
      <c r="O698" s="3" t="str">
        <f>IFERROR(__xludf.DUMMYFUNCTION("""COMPUTED_VALUE"""),"Non Urgent")</f>
        <v>Non Urgent</v>
      </c>
    </row>
    <row r="699">
      <c r="A699" s="4">
        <f>IFERROR(__xludf.DUMMYFUNCTION("""COMPUTED_VALUE"""),46108.66456697917)</f>
        <v>46108.66457</v>
      </c>
      <c r="B699" s="3" t="str">
        <f>IFERROR(__xludf.DUMMYFUNCTION("""COMPUTED_VALUE"""),"SFHBR0049")</f>
        <v>SFHBR0049</v>
      </c>
      <c r="C699" s="3" t="str">
        <f>IFERROR(__xludf.DUMMYFUNCTION("""COMPUTED_VALUE"""),"EJO")</f>
        <v>EJO</v>
      </c>
      <c r="D699" s="3" t="str">
        <f>IFERROR(__xludf.DUMMYFUNCTION("""COMPUTED_VALUE"""),"EJO/2026/02/183")</f>
        <v>EJO/2026/02/183</v>
      </c>
      <c r="E699" s="3" t="str">
        <f>IFERROR(__xludf.DUMMYFUNCTION("""COMPUTED_VALUE"""),"lantai 3")</f>
        <v>lantai 3</v>
      </c>
      <c r="F699" s="3" t="str">
        <f>IFERROR(__xludf.DUMMYFUNCTION("""COMPUTED_VALUE"""),"Lis Penutup Lubang Bawah Pintu | Door Bottom Seal | Penghalang Debu Angin Serangga | Penutup Celah Anti Kecoa Model Silikon Karet Silikon Kokoh Anti gesek")</f>
        <v>Lis Penutup Lubang Bawah Pintu | Door Bottom Seal | Penghalang Debu Angin Serangga | Penutup Celah Anti Kecoa Model Silikon Karet Silikon Kokoh Anti gesek</v>
      </c>
      <c r="G699" s="3" t="str">
        <f>IFERROR(__xludf.DUMMYFUNCTION("""COMPUTED_VALUE"""),"Lis Penutup Lubang Bawah Pintu | Door Bottom Seal | Penghalang Debu Angin Serangga | Penutup Celah Anti Kecoa Model Silikon Karet Silikon Kokoh Anti Gesekan Minimalis 5cm x 1m - Hitam")</f>
        <v>Lis Penutup Lubang Bawah Pintu | Door Bottom Seal | Penghalang Debu Angin Serangga | Penutup Celah Anti Kecoa Model Silikon Karet Silikon Kokoh Anti Gesekan Minimalis 5cm x 1m - Hitam</v>
      </c>
      <c r="H699" s="3" t="str">
        <f>IFERROR(__xludf.DUMMYFUNCTION("""COMPUTED_VALUE"""),"penutup celah")</f>
        <v>penutup celah</v>
      </c>
      <c r="I699" s="3">
        <f>IFERROR(__xludf.DUMMYFUNCTION("""COMPUTED_VALUE"""),3.0)</f>
        <v>3</v>
      </c>
      <c r="J699" s="3" t="str">
        <f>IFERROR(__xludf.DUMMYFUNCTION("""COMPUTED_VALUE"""),"roll")</f>
        <v>roll</v>
      </c>
      <c r="K699" s="5" t="str">
        <f>IFERROR(__xludf.DUMMYFUNCTION("""COMPUTED_VALUE"""),"https://tk.tokopedia.com/ZSuo1a4cR/")</f>
        <v>https://tk.tokopedia.com/ZSuo1a4cR/</v>
      </c>
      <c r="L699" s="3" t="str">
        <f>IFERROR(__xludf.DUMMYFUNCTION("""COMPUTED_VALUE"""),"-")</f>
        <v>-</v>
      </c>
      <c r="M699" s="3" t="str">
        <f>IFERROR(__xludf.DUMMYFUNCTION("""COMPUTED_VALUE"""),"Approve")</f>
        <v>Approve</v>
      </c>
      <c r="N699" s="3" t="str">
        <f>IFERROR(__xludf.DUMMYFUNCTION("""COMPUTED_VALUE"""),"Normal")</f>
        <v>Normal</v>
      </c>
      <c r="O699" s="3" t="str">
        <f>IFERROR(__xludf.DUMMYFUNCTION("""COMPUTED_VALUE"""),"Non Urgent")</f>
        <v>Non Urgent</v>
      </c>
    </row>
    <row r="700">
      <c r="A700" s="4">
        <f>IFERROR(__xludf.DUMMYFUNCTION("""COMPUTED_VALUE"""),46111.920992997686)</f>
        <v>46111.92099</v>
      </c>
      <c r="B700" s="3" t="str">
        <f>IFERROR(__xludf.DUMMYFUNCTION("""COMPUTED_VALUE"""),"BDUBR0008")</f>
        <v>BDUBR0008</v>
      </c>
      <c r="C700" s="3" t="str">
        <f>IFERROR(__xludf.DUMMYFUNCTION("""COMPUTED_VALUE"""),"EJO")</f>
        <v>EJO</v>
      </c>
      <c r="D700" s="3" t="str">
        <f>IFERROR(__xludf.DUMMYFUNCTION("""COMPUTED_VALUE"""),"EJO/2025/10/85")</f>
        <v>EJO/2025/10/85</v>
      </c>
      <c r="E700" s="3" t="str">
        <f>IFERROR(__xludf.DUMMYFUNCTION("""COMPUTED_VALUE"""),"FD")</f>
        <v>FD</v>
      </c>
      <c r="F700" s="3" t="str">
        <f>IFERROR(__xludf.DUMMYFUNCTION("""COMPUTED_VALUE"""),"Selenoid Valve")</f>
        <v>Selenoid Valve</v>
      </c>
      <c r="G700" s="3" t="str">
        <f>IFERROR(__xludf.DUMMYFUNCTION("""COMPUTED_VALUE"""),"24VDC, 180-4E1-PLL-1L")</f>
        <v>24VDC, 180-4E1-PLL-1L</v>
      </c>
      <c r="H700" s="3" t="str">
        <f>IFERROR(__xludf.DUMMYFUNCTION("""COMPUTED_VALUE"""),"KOGANEI")</f>
        <v>KOGANEI</v>
      </c>
      <c r="I700" s="3">
        <f>IFERROR(__xludf.DUMMYFUNCTION("""COMPUTED_VALUE"""),1.0)</f>
        <v>1</v>
      </c>
      <c r="J700" s="3" t="str">
        <f>IFERROR(__xludf.DUMMYFUNCTION("""COMPUTED_VALUE"""),"pcs")</f>
        <v>pcs</v>
      </c>
      <c r="K700" s="5" t="str">
        <f>IFERROR(__xludf.DUMMYFUNCTION("""COMPUTED_VALUE"""),"https://www.tokopedia.com/pneuhydraulics/solenoid-koganei-180-4e1-pll-24vdc-koganei-solenoid-valve-180-4e1-pll?extParam=ivf%3Dfalse%26keyword%3Dkoganei+180-4e1-pll-1l%26search_id%3D202603301508314734BA6F3DE83D145H3D%26src%3Dsearch&amp;t_id=1774883266765&amp;t_st="&amp;"7&amp;t_pp=search_result&amp;t_efo=search_pure_goods_card&amp;t_ef=goods_search&amp;t_sm=&amp;t_spt=search_result")</f>
        <v>https://www.tokopedia.com/pneuhydraulics/solenoid-koganei-180-4e1-pll-24vdc-koganei-solenoid-valve-180-4e1-pll?extParam=ivf%3Dfalse%26keyword%3Dkoganei+180-4e1-pll-1l%26search_id%3D202603301508314734BA6F3DE83D145H3D%26src%3Dsearch&amp;t_id=1774883266765&amp;t_st=7&amp;t_pp=search_result&amp;t_efo=search_pure_goods_card&amp;t_ef=goods_search&amp;t_sm=&amp;t_spt=search_result</v>
      </c>
      <c r="L700" s="3" t="str">
        <f>IFERROR(__xludf.DUMMYFUNCTION("""COMPUTED_VALUE"""),"Untuk dilakukan pergantian pada sv13")</f>
        <v>Untuk dilakukan pergantian pada sv13</v>
      </c>
      <c r="M700" s="3" t="str">
        <f>IFERROR(__xludf.DUMMYFUNCTION("""COMPUTED_VALUE"""),"Approve")</f>
        <v>Approve</v>
      </c>
      <c r="N700" s="3" t="str">
        <f>IFERROR(__xludf.DUMMYFUNCTION("""COMPUTED_VALUE"""),"Normal")</f>
        <v>Normal</v>
      </c>
      <c r="O700" s="3" t="str">
        <f>IFERROR(__xludf.DUMMYFUNCTION("""COMPUTED_VALUE"""),"Non Urgent")</f>
        <v>Non Urgent</v>
      </c>
    </row>
    <row r="701">
      <c r="A701" s="4">
        <f>IFERROR(__xludf.DUMMYFUNCTION("""COMPUTED_VALUE"""),46112.15370383102)</f>
        <v>46112.1537</v>
      </c>
      <c r="B701" s="3" t="str">
        <f>IFERROR(__xludf.DUMMYFUNCTION("""COMPUTED_VALUE"""),"ROSBR0091")</f>
        <v>ROSBR0091</v>
      </c>
      <c r="C701" s="3" t="str">
        <f>IFERROR(__xludf.DUMMYFUNCTION("""COMPUTED_VALUE"""),"EJO")</f>
        <v>EJO</v>
      </c>
      <c r="D701" s="3" t="str">
        <f>IFERROR(__xludf.DUMMYFUNCTION("""COMPUTED_VALUE"""),"EJO/2026/03/88")</f>
        <v>EJO/2026/03/88</v>
      </c>
      <c r="E701" s="3" t="str">
        <f>IFERROR(__xludf.DUMMYFUNCTION("""COMPUTED_VALUE"""),"Crabs")</f>
        <v>Crabs</v>
      </c>
      <c r="F701" s="3" t="str">
        <f>IFERROR(__xludf.DUMMYFUNCTION("""COMPUTED_VALUE"""),"Mur Hepa Crabs ")</f>
        <v>Mur Hepa Crabs </v>
      </c>
      <c r="G701" s="3" t="str">
        <f>IFERROR(__xludf.DUMMYFUNCTION("""COMPUTED_VALUE"""),"Mur  M10
Diameter dalam : 10mm
pitch : 1.5
material ss304")</f>
        <v>Mur  M10
Diameter dalam : 10mm
pitch : 1.5
material ss304</v>
      </c>
      <c r="H701" s="3" t="str">
        <f>IFERROR(__xludf.DUMMYFUNCTION("""COMPUTED_VALUE"""),"Universal ")</f>
        <v>Universal </v>
      </c>
      <c r="I701" s="3">
        <f>IFERROR(__xludf.DUMMYFUNCTION("""COMPUTED_VALUE"""),150.0)</f>
        <v>150</v>
      </c>
      <c r="J701" s="3" t="str">
        <f>IFERROR(__xludf.DUMMYFUNCTION("""COMPUTED_VALUE"""),"pcs ")</f>
        <v>pcs </v>
      </c>
      <c r="K701" s="5" t="str">
        <f>IFERROR(__xludf.DUMMYFUNCTION("""COMPUTED_VALUE"""),"https://shopee.co.id/SS304-Mur-M10-Mur-Stainless-M10-Hex-Nut-M10-SUS304-A2-70-i.11837378.25891530349?extraParams=%7B%22display_model_id%22%3A166971436616%2C%22model_selection_logic%22%3A2%7D&amp;sp_atk=60a9e104-d23e-46cf-809b-c38557f07cf7&amp;xptdk=60a9e104-d23e-"&amp;"46cf-809b-c38557f07cf7")</f>
        <v>https://shopee.co.id/SS304-Mur-M10-Mur-Stainless-M10-Hex-Nut-M10-SUS304-A2-70-i.11837378.25891530349?extraParams=%7B%22display_model_id%22%3A166971436616%2C%22model_selection_logic%22%3A2%7D&amp;sp_atk=60a9e104-d23e-46cf-809b-c38557f07cf7&amp;xptdk=60a9e104-d23e-46cf-809b-c38557f07cf7</v>
      </c>
      <c r="L701" s="3" t="str">
        <f>IFERROR(__xludf.DUMMYFUNCTION("""COMPUTED_VALUE"""),"Tolong belikan Mur m10 buat pergantian mur yang slek dan peremajaan dan buat stok ")</f>
        <v>Tolong belikan Mur m10 buat pergantian mur yang slek dan peremajaan dan buat stok </v>
      </c>
      <c r="M701" s="3" t="str">
        <f>IFERROR(__xludf.DUMMYFUNCTION("""COMPUTED_VALUE"""),"Approve")</f>
        <v>Approve</v>
      </c>
      <c r="N701" s="3" t="str">
        <f>IFERROR(__xludf.DUMMYFUNCTION("""COMPUTED_VALUE"""),"Normal")</f>
        <v>Normal</v>
      </c>
      <c r="O701" s="3" t="str">
        <f>IFERROR(__xludf.DUMMYFUNCTION("""COMPUTED_VALUE"""),"Non Urgent")</f>
        <v>Non Urgent</v>
      </c>
    </row>
    <row r="702">
      <c r="A702" s="4">
        <f>IFERROR(__xludf.DUMMYFUNCTION("""COMPUTED_VALUE"""),46112.435738761575)</f>
        <v>46112.43574</v>
      </c>
      <c r="B702" s="3" t="str">
        <f>IFERROR(__xludf.DUMMYFUNCTION("""COMPUTED_VALUE"""),"KFFBR0011")</f>
        <v>KFFBR0011</v>
      </c>
      <c r="C702" s="3" t="str">
        <f>IFERROR(__xludf.DUMMYFUNCTION("""COMPUTED_VALUE"""),"Consumable")</f>
        <v>Consumable</v>
      </c>
      <c r="D702" s="3" t="str">
        <f>IFERROR(__xludf.DUMMYFUNCTION("""COMPUTED_VALUE"""),"EJO/2025/09/131")</f>
        <v>EJO/2025/09/131</v>
      </c>
      <c r="E702" s="3" t="str">
        <f>IFERROR(__xludf.DUMMYFUNCTION("""COMPUTED_VALUE"""),"Workshop")</f>
        <v>Workshop</v>
      </c>
      <c r="F702" s="3" t="str">
        <f>IFERROR(__xludf.DUMMYFUNCTION("""COMPUTED_VALUE"""),"Consumable tools ")</f>
        <v>Consumable tools </v>
      </c>
      <c r="G702" s="3" t="str">
        <f>IFERROR(__xludf.DUMMYFUNCTION("""COMPUTED_VALUE"""),"Mesin Las Inverter Argon TIG DC Pulse Weico Weiro TIG 200 P")</f>
        <v>Mesin Las Inverter Argon TIG DC Pulse Weico Weiro TIG 200 P</v>
      </c>
      <c r="H702" s="3" t="str">
        <f>IFERROR(__xludf.DUMMYFUNCTION("""COMPUTED_VALUE"""),"WEIRO")</f>
        <v>WEIRO</v>
      </c>
      <c r="I702" s="3">
        <f>IFERROR(__xludf.DUMMYFUNCTION("""COMPUTED_VALUE"""),1.0)</f>
        <v>1</v>
      </c>
      <c r="J702" s="3" t="str">
        <f>IFERROR(__xludf.DUMMYFUNCTION("""COMPUTED_VALUE"""),"SET")</f>
        <v>SET</v>
      </c>
      <c r="K702" s="5" t="str">
        <f>IFERROR(__xludf.DUMMYFUNCTION("""COMPUTED_VALUE"""),"https://tk.tokopedia.com/ZSHNvHadm/")</f>
        <v>https://tk.tokopedia.com/ZSHNvHadm/</v>
      </c>
      <c r="L702" s="3" t="str">
        <f>IFERROR(__xludf.DUMMYFUNCTION("""COMPUTED_VALUE"""),"consumable untuk pengerjaan project2 yang berkaitan dengan welding (REJECT BY MFH KARENA HARUS PAKAI BUDGET ASSET)")</f>
        <v>consumable untuk pengerjaan project2 yang berkaitan dengan welding (REJECT BY MFH KARENA HARUS PAKAI BUDGET ASSET)</v>
      </c>
      <c r="M702" s="3" t="str">
        <f>IFERROR(__xludf.DUMMYFUNCTION("""COMPUTED_VALUE"""),"Reject")</f>
        <v>Reject</v>
      </c>
      <c r="N702" s="3" t="str">
        <f>IFERROR(__xludf.DUMMYFUNCTION("""COMPUTED_VALUE"""),"Normal")</f>
        <v>Normal</v>
      </c>
      <c r="O702" s="3" t="str">
        <f>IFERROR(__xludf.DUMMYFUNCTION("""COMPUTED_VALUE"""),"Non Urgent")</f>
        <v>Non Urgent</v>
      </c>
    </row>
    <row r="703">
      <c r="A703" s="4">
        <f>IFERROR(__xludf.DUMMYFUNCTION("""COMPUTED_VALUE"""),46113.36471707176)</f>
        <v>46113.36472</v>
      </c>
      <c r="B703" s="3" t="str">
        <f>IFERROR(__xludf.DUMMYFUNCTION("""COMPUTED_VALUE"""),"KFFBR0012")</f>
        <v>KFFBR0012</v>
      </c>
      <c r="C703" s="3" t="str">
        <f>IFERROR(__xludf.DUMMYFUNCTION("""COMPUTED_VALUE"""),"Consumable")</f>
        <v>Consumable</v>
      </c>
      <c r="D703" s="3" t="str">
        <f>IFERROR(__xludf.DUMMYFUNCTION("""COMPUTED_VALUE"""),"EJO/2025/09/131")</f>
        <v>EJO/2025/09/131</v>
      </c>
      <c r="E703" s="3" t="str">
        <f>IFERROR(__xludf.DUMMYFUNCTION("""COMPUTED_VALUE"""),"Workshop")</f>
        <v>Workshop</v>
      </c>
      <c r="F703" s="3" t="str">
        <f>IFERROR(__xludf.DUMMYFUNCTION("""COMPUTED_VALUE"""),"Consumable Safety for Weld")</f>
        <v>Consumable Safety for Weld</v>
      </c>
      <c r="G703" s="3" t="str">
        <f>IFERROR(__xludf.DUMMYFUNCTION("""COMPUTED_VALUE"""),"Topeng Kedok Helm Las Daiden Eiji 10x Welding Helmet Las Autodark Otomatis Shoji 8000 - Eiji 10x")</f>
        <v>Topeng Kedok Helm Las Daiden Eiji 10x Welding Helmet Las Autodark Otomatis Shoji 8000 - Eiji 10x</v>
      </c>
      <c r="H703" s="3" t="str">
        <f>IFERROR(__xludf.DUMMYFUNCTION("""COMPUTED_VALUE"""),"DAIDEN")</f>
        <v>DAIDEN</v>
      </c>
      <c r="I703" s="3">
        <f>IFERROR(__xludf.DUMMYFUNCTION("""COMPUTED_VALUE"""),1.0)</f>
        <v>1</v>
      </c>
      <c r="J703" s="3" t="str">
        <f>IFERROR(__xludf.DUMMYFUNCTION("""COMPUTED_VALUE"""),"PCS")</f>
        <v>PCS</v>
      </c>
      <c r="K703" s="5" t="str">
        <f>IFERROR(__xludf.DUMMYFUNCTION("""COMPUTED_VALUE"""),"https://tk.tokopedia.com/ZSH28QYUR/")</f>
        <v>https://tk.tokopedia.com/ZSH28QYUR/</v>
      </c>
      <c r="L703" s="3" t="str">
        <f>IFERROR(__xludf.DUMMYFUNCTION("""COMPUTED_VALUE"""),"consumable untuk pengerjaan project2 yang berkaitan dengan welding ")</f>
        <v>consumable untuk pengerjaan project2 yang berkaitan dengan welding </v>
      </c>
      <c r="M703" s="3" t="str">
        <f>IFERROR(__xludf.DUMMYFUNCTION("""COMPUTED_VALUE"""),"Reject")</f>
        <v>Reject</v>
      </c>
      <c r="N703" s="3" t="str">
        <f>IFERROR(__xludf.DUMMYFUNCTION("""COMPUTED_VALUE"""),"Normal")</f>
        <v>Normal</v>
      </c>
      <c r="O703" s="3" t="str">
        <f>IFERROR(__xludf.DUMMYFUNCTION("""COMPUTED_VALUE"""),"Non Urgent")</f>
        <v>Non Urgent</v>
      </c>
    </row>
    <row r="704">
      <c r="A704" s="4">
        <f>IFERROR(__xludf.DUMMYFUNCTION("""COMPUTED_VALUE"""),46113.85694946759)</f>
        <v>46113.85695</v>
      </c>
      <c r="B704" s="3" t="str">
        <f>IFERROR(__xludf.DUMMYFUNCTION("""COMPUTED_VALUE"""),"AAABR0034")</f>
        <v>AAABR0034</v>
      </c>
      <c r="C704" s="3" t="str">
        <f>IFERROR(__xludf.DUMMYFUNCTION("""COMPUTED_VALUE"""),"EJO")</f>
        <v>EJO</v>
      </c>
      <c r="D704" s="3" t="str">
        <f>IFERROR(__xludf.DUMMYFUNCTION("""COMPUTED_VALUE"""),"EJO/2025/07/123")</f>
        <v>EJO/2025/07/123</v>
      </c>
      <c r="E704" s="3" t="str">
        <f>IFERROR(__xludf.DUMMYFUNCTION("""COMPUTED_VALUE"""),"Freeze dryer")</f>
        <v>Freeze dryer</v>
      </c>
      <c r="F704" s="3" t="str">
        <f>IFERROR(__xludf.DUMMYFUNCTION("""COMPUTED_VALUE"""),"flow switch")</f>
        <v>flow switch</v>
      </c>
      <c r="G704" s="3" t="str">
        <f>IFERROR(__xludf.DUMMYFUNCTION("""COMPUTED_VALUE"""),"IFW510-04-00 ; Pressure 0.1 ~ 0.6 MPa ; max flow rate 2 Lpm ; 5A ; 250 VAC")</f>
        <v>IFW510-04-00 ; Pressure 0.1 ~ 0.6 MPa ; max flow rate 2 Lpm ; 5A ; 250 VAC</v>
      </c>
      <c r="H704" s="3" t="str">
        <f>IFERROR(__xludf.DUMMYFUNCTION("""COMPUTED_VALUE"""),"SMC")</f>
        <v>SMC</v>
      </c>
      <c r="I704" s="3">
        <f>IFERROR(__xludf.DUMMYFUNCTION("""COMPUTED_VALUE"""),2.0)</f>
        <v>2</v>
      </c>
      <c r="J704" s="3" t="str">
        <f>IFERROR(__xludf.DUMMYFUNCTION("""COMPUTED_VALUE"""),"Pcs")</f>
        <v>Pcs</v>
      </c>
      <c r="K704" s="5" t="str">
        <f>IFERROR(__xludf.DUMMYFUNCTION("""COMPUTED_VALUE"""),"https://www.smcpneumatics.com/pdfs/IFW.pdf")</f>
        <v>https://www.smcpneumatics.com/pdfs/IFW.pdf</v>
      </c>
      <c r="L704" s="3" t="str">
        <f>IFERROR(__xludf.DUMMYFUNCTION("""COMPUTED_VALUE"""),"ejo untuk LRP FD")</f>
        <v>ejo untuk LRP FD</v>
      </c>
      <c r="M704" s="3" t="str">
        <f>IFERROR(__xludf.DUMMYFUNCTION("""COMPUTED_VALUE"""),"Approve")</f>
        <v>Approve</v>
      </c>
      <c r="N704" s="3" t="str">
        <f>IFERROR(__xludf.DUMMYFUNCTION("""COMPUTED_VALUE"""),"Normal")</f>
        <v>Normal</v>
      </c>
      <c r="O704" s="3" t="str">
        <f>IFERROR(__xludf.DUMMYFUNCTION("""COMPUTED_VALUE"""),"Non Urgent")</f>
        <v>Non Urgent</v>
      </c>
    </row>
    <row r="705">
      <c r="A705" s="4">
        <f>IFERROR(__xludf.DUMMYFUNCTION("""COMPUTED_VALUE"""),46114.96688408565)</f>
        <v>46114.96688</v>
      </c>
      <c r="B705" s="3" t="str">
        <f>IFERROR(__xludf.DUMMYFUNCTION("""COMPUTED_VALUE"""),"RIABR0159")</f>
        <v>RIABR0159</v>
      </c>
      <c r="C705" s="3" t="str">
        <f>IFERROR(__xludf.DUMMYFUNCTION("""COMPUTED_VALUE"""),"EJO")</f>
        <v>EJO</v>
      </c>
      <c r="D705" s="3" t="str">
        <f>IFERROR(__xludf.DUMMYFUNCTION("""COMPUTED_VALUE"""),"EJO/2026/04/016")</f>
        <v>EJO/2026/04/016</v>
      </c>
      <c r="E705" s="3" t="str">
        <f>IFERROR(__xludf.DUMMYFUNCTION("""COMPUTED_VALUE"""),"WFI SKID")</f>
        <v>WFI SKID</v>
      </c>
      <c r="F705" s="3" t="str">
        <f>IFERROR(__xludf.DUMMYFUNCTION("""COMPUTED_VALUE"""),"Jacket Heater")</f>
        <v>Jacket Heater</v>
      </c>
      <c r="G705" s="3" t="str">
        <f>IFERROR(__xludf.DUMMYFUNCTION("""COMPUTED_VALUE"""),"Ø 100 x L. 160 x t. 25 mm
Industrial Jacket Electric Heater ex. United Heater
1 kW - 220 V - 1 phase (AC)")</f>
        <v>Ø 100 x L. 160 x t. 25 mm
Industrial Jacket Electric Heater ex. United Heater
1 kW - 220 V - 1 phase (AC)</v>
      </c>
      <c r="H705" s="3" t="str">
        <f>IFERROR(__xludf.DUMMYFUNCTION("""COMPUTED_VALUE"""),"United Heater")</f>
        <v>United Heater</v>
      </c>
      <c r="I705" s="3">
        <f>IFERROR(__xludf.DUMMYFUNCTION("""COMPUTED_VALUE"""),1.0)</f>
        <v>1</v>
      </c>
      <c r="J705" s="3" t="str">
        <f>IFERROR(__xludf.DUMMYFUNCTION("""COMPUTED_VALUE"""),"Pcs")</f>
        <v>Pcs</v>
      </c>
      <c r="K705" s="3" t="str">
        <f>IFERROR(__xludf.DUMMYFUNCTION("""COMPUTED_VALUE"""),"Quotation PT  Fonko IP ''Heater Jacket ''__ 26 03 2026.pdf")</f>
        <v>Quotation PT  Fonko IP ''Heater Jacket ''__ 26 03 2026.pdf</v>
      </c>
      <c r="L705" s="3" t="str">
        <f>IFERROR(__xludf.DUMMYFUNCTION("""COMPUTED_VALUE"""),"Heater Jackting Vent Filter WFI SKID")</f>
        <v>Heater Jackting Vent Filter WFI SKID</v>
      </c>
      <c r="M705" s="3" t="str">
        <f>IFERROR(__xludf.DUMMYFUNCTION("""COMPUTED_VALUE"""),"Approve")</f>
        <v>Approve</v>
      </c>
      <c r="N705" s="3" t="str">
        <f>IFERROR(__xludf.DUMMYFUNCTION("""COMPUTED_VALUE"""),"Normal")</f>
        <v>Normal</v>
      </c>
      <c r="O705" s="3" t="str">
        <f>IFERROR(__xludf.DUMMYFUNCTION("""COMPUTED_VALUE"""),"Non Urgent")</f>
        <v>Non Urgent</v>
      </c>
    </row>
    <row r="706">
      <c r="A706" s="4">
        <f>IFERROR(__xludf.DUMMYFUNCTION("""COMPUTED_VALUE"""),46119.70843935185)</f>
        <v>46119.70844</v>
      </c>
      <c r="B706" s="3" t="str">
        <f>IFERROR(__xludf.DUMMYFUNCTION("""COMPUTED_VALUE"""),"ROSBR0092")</f>
        <v>ROSBR0092</v>
      </c>
      <c r="C706" s="3" t="str">
        <f>IFERROR(__xludf.DUMMYFUNCTION("""COMPUTED_VALUE"""),"EJO")</f>
        <v>EJO</v>
      </c>
      <c r="D706" s="3" t="str">
        <f>IFERROR(__xludf.DUMMYFUNCTION("""COMPUTED_VALUE"""),"EJO 2026/04/075")</f>
        <v>EJO 2026/04/075</v>
      </c>
      <c r="E706" s="3" t="str">
        <f>IFERROR(__xludf.DUMMYFUNCTION("""COMPUTED_VALUE"""),"Tunnel")</f>
        <v>Tunnel</v>
      </c>
      <c r="F706" s="3" t="str">
        <f>IFERROR(__xludf.DUMMYFUNCTION("""COMPUTED_VALUE"""),"3 way ball valve")</f>
        <v>3 way ball valve</v>
      </c>
      <c r="G706" s="3" t="str">
        <f>IFERROR(__xludf.DUMMYFUNCTION("""COMPUTED_VALUE"""),"Anix 3-Way Ball Valve SS304 T-Port 3/4"" 
c/w Pneumatic Actuator DA-063 + Solenoid 24VDC")</f>
        <v>Anix 3-Way Ball Valve SS304 T-Port 3/4" 
c/w Pneumatic Actuator DA-063 + Solenoid 24VDC</v>
      </c>
      <c r="H706" s="3" t="str">
        <f>IFERROR(__xludf.DUMMYFUNCTION("""COMPUTED_VALUE"""),"Anix")</f>
        <v>Anix</v>
      </c>
      <c r="I706" s="3">
        <f>IFERROR(__xludf.DUMMYFUNCTION("""COMPUTED_VALUE"""),2.0)</f>
        <v>2</v>
      </c>
      <c r="J706" s="3" t="str">
        <f>IFERROR(__xludf.DUMMYFUNCTION("""COMPUTED_VALUE"""),"set")</f>
        <v>set</v>
      </c>
      <c r="K706" s="5" t="str">
        <f>IFERROR(__xludf.DUMMYFUNCTION("""COMPUTED_VALUE"""),"https://drive.google.com/drive/folders/1UPTdR3qY40b_S68KkEqtQ4CU_cBdXVFj?usp=drive_link")</f>
        <v>https://drive.google.com/drive/folders/1UPTdR3qY40b_S68KkEqtQ4CU_cBdXVFj?usp=drive_link</v>
      </c>
      <c r="L706" s="3" t="str">
        <f>IFERROR(__xludf.DUMMYFUNCTION("""COMPUTED_VALUE"""),"tolong belikan body vave untuk mesin tunnel ")</f>
        <v>tolong belikan body vave untuk mesin tunnel </v>
      </c>
      <c r="M706" s="3" t="str">
        <f>IFERROR(__xludf.DUMMYFUNCTION("""COMPUTED_VALUE"""),"Approve")</f>
        <v>Approve</v>
      </c>
      <c r="N706" s="3" t="str">
        <f>IFERROR(__xludf.DUMMYFUNCTION("""COMPUTED_VALUE"""),"Urgent")</f>
        <v>Urgent</v>
      </c>
      <c r="O706" s="3" t="str">
        <f>IFERROR(__xludf.DUMMYFUNCTION("""COMPUTED_VALUE"""),"Waiting")</f>
        <v>Waiting</v>
      </c>
    </row>
    <row r="707">
      <c r="A707" s="4">
        <f>IFERROR(__xludf.DUMMYFUNCTION("""COMPUTED_VALUE"""),46126.83815373843)</f>
        <v>46126.83815</v>
      </c>
      <c r="B707" s="3" t="str">
        <f>IFERROR(__xludf.DUMMYFUNCTION("""COMPUTED_VALUE"""),"SFHBR0050")</f>
        <v>SFHBR0050</v>
      </c>
      <c r="C707" s="3" t="str">
        <f>IFERROR(__xludf.DUMMYFUNCTION("""COMPUTED_VALUE"""),"Consumable")</f>
        <v>Consumable</v>
      </c>
      <c r="D707" s="3" t="str">
        <f>IFERROR(__xludf.DUMMYFUNCTION("""COMPUTED_VALUE"""),"-")</f>
        <v>-</v>
      </c>
      <c r="E707" s="3" t="str">
        <f>IFERROR(__xludf.DUMMYFUNCTION("""COMPUTED_VALUE"""),"lantai 2")</f>
        <v>lantai 2</v>
      </c>
      <c r="F707" s="3" t="str">
        <f>IFERROR(__xludf.DUMMYFUNCTION("""COMPUTED_VALUE"""),"MATA BOR NACHI 2M")</f>
        <v>MATA BOR NACHI 2M</v>
      </c>
      <c r="G707" s="3" t="str">
        <f>IFERROR(__xludf.DUMMYFUNCTION("""COMPUTED_VALUE"""),"MATA BOR NACHI 2M")</f>
        <v>MATA BOR NACHI 2M</v>
      </c>
      <c r="H707" s="3" t="str">
        <f>IFERROR(__xludf.DUMMYFUNCTION("""COMPUTED_VALUE"""),"nachi")</f>
        <v>nachi</v>
      </c>
      <c r="I707" s="3">
        <f>IFERROR(__xludf.DUMMYFUNCTION("""COMPUTED_VALUE"""),2.0)</f>
        <v>2</v>
      </c>
      <c r="J707" s="3" t="str">
        <f>IFERROR(__xludf.DUMMYFUNCTION("""COMPUTED_VALUE"""),"pcs")</f>
        <v>pcs</v>
      </c>
      <c r="K707" s="5" t="str">
        <f>IFERROR(__xludf.DUMMYFUNCTION("""COMPUTED_VALUE"""),"https://tk.tokopedia.com/ZSHs25bDM/")</f>
        <v>https://tk.tokopedia.com/ZSHs25bDM/</v>
      </c>
      <c r="L707" s="3" t="str">
        <f>IFERROR(__xludf.DUMMYFUNCTION("""COMPUTED_VALUE"""),"mat bor sudah patah")</f>
        <v>mat bor sudah patah</v>
      </c>
      <c r="M707" s="3" t="str">
        <f>IFERROR(__xludf.DUMMYFUNCTION("""COMPUTED_VALUE"""),"Approve")</f>
        <v>Approve</v>
      </c>
      <c r="N707" s="3" t="str">
        <f>IFERROR(__xludf.DUMMYFUNCTION("""COMPUTED_VALUE"""),"Normal")</f>
        <v>Normal</v>
      </c>
      <c r="O707" s="3" t="str">
        <f>IFERROR(__xludf.DUMMYFUNCTION("""COMPUTED_VALUE"""),"Non Urgent")</f>
        <v>Non Urgent</v>
      </c>
    </row>
    <row r="708">
      <c r="A708" s="4">
        <f>IFERROR(__xludf.DUMMYFUNCTION("""COMPUTED_VALUE"""),46126.83976253473)</f>
        <v>46126.83976</v>
      </c>
      <c r="B708" s="3" t="str">
        <f>IFERROR(__xludf.DUMMYFUNCTION("""COMPUTED_VALUE"""),"SFHBR0051")</f>
        <v>SFHBR0051</v>
      </c>
      <c r="C708" s="3" t="str">
        <f>IFERROR(__xludf.DUMMYFUNCTION("""COMPUTED_VALUE"""),"Consumable")</f>
        <v>Consumable</v>
      </c>
      <c r="D708" s="3" t="str">
        <f>IFERROR(__xludf.DUMMYFUNCTION("""COMPUTED_VALUE"""),"-")</f>
        <v>-</v>
      </c>
      <c r="E708" s="3" t="str">
        <f>IFERROR(__xludf.DUMMYFUNCTION("""COMPUTED_VALUE"""),"lantai 2")</f>
        <v>lantai 2</v>
      </c>
      <c r="F708" s="3" t="str">
        <f>IFERROR(__xludf.DUMMYFUNCTION("""COMPUTED_VALUE"""),"MATA BOR NACHI 2.5M")</f>
        <v>MATA BOR NACHI 2.5M</v>
      </c>
      <c r="G708" s="3" t="str">
        <f>IFERROR(__xludf.DUMMYFUNCTION("""COMPUTED_VALUE"""),"MATA BOR NACHI 2.5M")</f>
        <v>MATA BOR NACHI 2.5M</v>
      </c>
      <c r="H708" s="3" t="str">
        <f>IFERROR(__xludf.DUMMYFUNCTION("""COMPUTED_VALUE"""),"nachi")</f>
        <v>nachi</v>
      </c>
      <c r="I708" s="3">
        <f>IFERROR(__xludf.DUMMYFUNCTION("""COMPUTED_VALUE"""),2.0)</f>
        <v>2</v>
      </c>
      <c r="J708" s="3" t="str">
        <f>IFERROR(__xludf.DUMMYFUNCTION("""COMPUTED_VALUE"""),"pcs")</f>
        <v>pcs</v>
      </c>
      <c r="K708" s="5" t="str">
        <f>IFERROR(__xludf.DUMMYFUNCTION("""COMPUTED_VALUE"""),"https://tk.tokopedia.com/ZSHs25bDM/")</f>
        <v>https://tk.tokopedia.com/ZSHs25bDM/</v>
      </c>
      <c r="L708" s="3" t="str">
        <f>IFERROR(__xludf.DUMMYFUNCTION("""COMPUTED_VALUE"""),"mat bor sudah patah")</f>
        <v>mat bor sudah patah</v>
      </c>
      <c r="M708" s="3" t="str">
        <f>IFERROR(__xludf.DUMMYFUNCTION("""COMPUTED_VALUE"""),"Approve")</f>
        <v>Approve</v>
      </c>
      <c r="N708" s="3" t="str">
        <f>IFERROR(__xludf.DUMMYFUNCTION("""COMPUTED_VALUE"""),"Normal")</f>
        <v>Normal</v>
      </c>
      <c r="O708" s="3" t="str">
        <f>IFERROR(__xludf.DUMMYFUNCTION("""COMPUTED_VALUE"""),"Non Urgent")</f>
        <v>Non Urgent</v>
      </c>
    </row>
    <row r="709">
      <c r="A709" s="4">
        <f>IFERROR(__xludf.DUMMYFUNCTION("""COMPUTED_VALUE"""),46126.84115641203)</f>
        <v>46126.84116</v>
      </c>
      <c r="B709" s="3" t="str">
        <f>IFERROR(__xludf.DUMMYFUNCTION("""COMPUTED_VALUE"""),"SFHBR0052")</f>
        <v>SFHBR0052</v>
      </c>
      <c r="C709" s="3" t="str">
        <f>IFERROR(__xludf.DUMMYFUNCTION("""COMPUTED_VALUE"""),"Consumable")</f>
        <v>Consumable</v>
      </c>
      <c r="D709" s="3" t="str">
        <f>IFERROR(__xludf.DUMMYFUNCTION("""COMPUTED_VALUE"""),"-")</f>
        <v>-</v>
      </c>
      <c r="E709" s="3" t="str">
        <f>IFERROR(__xludf.DUMMYFUNCTION("""COMPUTED_VALUE"""),"lantai 2")</f>
        <v>lantai 2</v>
      </c>
      <c r="F709" s="3" t="str">
        <f>IFERROR(__xludf.DUMMYFUNCTION("""COMPUTED_VALUE"""),"MATA BOR NACHI 3MMATA BOR NACHI 3M")</f>
        <v>MATA BOR NACHI 3MMATA BOR NACHI 3M</v>
      </c>
      <c r="G709" s="3"/>
      <c r="H709" s="3" t="str">
        <f>IFERROR(__xludf.DUMMYFUNCTION("""COMPUTED_VALUE"""),"nachi")</f>
        <v>nachi</v>
      </c>
      <c r="I709" s="3">
        <f>IFERROR(__xludf.DUMMYFUNCTION("""COMPUTED_VALUE"""),2.0)</f>
        <v>2</v>
      </c>
      <c r="J709" s="3" t="str">
        <f>IFERROR(__xludf.DUMMYFUNCTION("""COMPUTED_VALUE"""),"pcs")</f>
        <v>pcs</v>
      </c>
      <c r="K709" s="5" t="str">
        <f>IFERROR(__xludf.DUMMYFUNCTION("""COMPUTED_VALUE"""),"https://tk.tokopedia.com/ZSHs2uxuR/")</f>
        <v>https://tk.tokopedia.com/ZSHs2uxuR/</v>
      </c>
      <c r="L709" s="3" t="str">
        <f>IFERROR(__xludf.DUMMYFUNCTION("""COMPUTED_VALUE"""),"mat bor sudah patah")</f>
        <v>mat bor sudah patah</v>
      </c>
      <c r="M709" s="3" t="str">
        <f>IFERROR(__xludf.DUMMYFUNCTION("""COMPUTED_VALUE"""),"Approve")</f>
        <v>Approve</v>
      </c>
      <c r="N709" s="3" t="str">
        <f>IFERROR(__xludf.DUMMYFUNCTION("""COMPUTED_VALUE"""),"Normal")</f>
        <v>Normal</v>
      </c>
      <c r="O709" s="3" t="str">
        <f>IFERROR(__xludf.DUMMYFUNCTION("""COMPUTED_VALUE"""),"Non Urgent")</f>
        <v>Non Urgent</v>
      </c>
    </row>
    <row r="710">
      <c r="A710" s="4">
        <f>IFERROR(__xludf.DUMMYFUNCTION("""COMPUTED_VALUE"""),46126.842008078704)</f>
        <v>46126.84201</v>
      </c>
      <c r="B710" s="3" t="str">
        <f>IFERROR(__xludf.DUMMYFUNCTION("""COMPUTED_VALUE"""),"SFHBR0053")</f>
        <v>SFHBR0053</v>
      </c>
      <c r="C710" s="3" t="str">
        <f>IFERROR(__xludf.DUMMYFUNCTION("""COMPUTED_VALUE"""),"Consumable")</f>
        <v>Consumable</v>
      </c>
      <c r="D710" s="3" t="str">
        <f>IFERROR(__xludf.DUMMYFUNCTION("""COMPUTED_VALUE"""),"-")</f>
        <v>-</v>
      </c>
      <c r="E710" s="3" t="str">
        <f>IFERROR(__xludf.DUMMYFUNCTION("""COMPUTED_VALUE"""),"lantai 2")</f>
        <v>lantai 2</v>
      </c>
      <c r="F710" s="3" t="str">
        <f>IFERROR(__xludf.DUMMYFUNCTION("""COMPUTED_VALUE"""),"MATA BOR NACHI 3.5M")</f>
        <v>MATA BOR NACHI 3.5M</v>
      </c>
      <c r="G710" s="3" t="str">
        <f>IFERROR(__xludf.DUMMYFUNCTION("""COMPUTED_VALUE"""),"MATA BOR NACHI 3.5M")</f>
        <v>MATA BOR NACHI 3.5M</v>
      </c>
      <c r="H710" s="3" t="str">
        <f>IFERROR(__xludf.DUMMYFUNCTION("""COMPUTED_VALUE"""),"nachi")</f>
        <v>nachi</v>
      </c>
      <c r="I710" s="3">
        <f>IFERROR(__xludf.DUMMYFUNCTION("""COMPUTED_VALUE"""),2.0)</f>
        <v>2</v>
      </c>
      <c r="J710" s="3" t="str">
        <f>IFERROR(__xludf.DUMMYFUNCTION("""COMPUTED_VALUE"""),"pcs")</f>
        <v>pcs</v>
      </c>
      <c r="K710" s="5" t="str">
        <f>IFERROR(__xludf.DUMMYFUNCTION("""COMPUTED_VALUE"""),"https://tk.tokopedia.com/ZSHs29Urp/")</f>
        <v>https://tk.tokopedia.com/ZSHs29Urp/</v>
      </c>
      <c r="L710" s="3" t="str">
        <f>IFERROR(__xludf.DUMMYFUNCTION("""COMPUTED_VALUE"""),"mat bor sudah patah")</f>
        <v>mat bor sudah patah</v>
      </c>
      <c r="M710" s="3" t="str">
        <f>IFERROR(__xludf.DUMMYFUNCTION("""COMPUTED_VALUE"""),"Approve")</f>
        <v>Approve</v>
      </c>
      <c r="N710" s="3" t="str">
        <f>IFERROR(__xludf.DUMMYFUNCTION("""COMPUTED_VALUE"""),"Normal")</f>
        <v>Normal</v>
      </c>
      <c r="O710" s="3" t="str">
        <f>IFERROR(__xludf.DUMMYFUNCTION("""COMPUTED_VALUE"""),"Non Urgent")</f>
        <v>Non Urgent</v>
      </c>
    </row>
    <row r="711">
      <c r="A711" s="4">
        <f>IFERROR(__xludf.DUMMYFUNCTION("""COMPUTED_VALUE"""),46126.84346361111)</f>
        <v>46126.84346</v>
      </c>
      <c r="B711" s="3" t="str">
        <f>IFERROR(__xludf.DUMMYFUNCTION("""COMPUTED_VALUE"""),"SFHBR0054")</f>
        <v>SFHBR0054</v>
      </c>
      <c r="C711" s="3" t="str">
        <f>IFERROR(__xludf.DUMMYFUNCTION("""COMPUTED_VALUE"""),"Consumable")</f>
        <v>Consumable</v>
      </c>
      <c r="D711" s="3" t="str">
        <f>IFERROR(__xludf.DUMMYFUNCTION("""COMPUTED_VALUE"""),"-")</f>
        <v>-</v>
      </c>
      <c r="E711" s="3" t="str">
        <f>IFERROR(__xludf.DUMMYFUNCTION("""COMPUTED_VALUE"""),"lantai 2")</f>
        <v>lantai 2</v>
      </c>
      <c r="F711" s="3" t="str">
        <f>IFERROR(__xludf.DUMMYFUNCTION("""COMPUTED_VALUE"""),"MATA BOR NACHI 4 M")</f>
        <v>MATA BOR NACHI 4 M</v>
      </c>
      <c r="G711" s="3" t="str">
        <f>IFERROR(__xludf.DUMMYFUNCTION("""COMPUTED_VALUE"""),"MATA BOR NACHI 4 M")</f>
        <v>MATA BOR NACHI 4 M</v>
      </c>
      <c r="H711" s="3" t="str">
        <f>IFERROR(__xludf.DUMMYFUNCTION("""COMPUTED_VALUE"""),"nachi")</f>
        <v>nachi</v>
      </c>
      <c r="I711" s="3">
        <f>IFERROR(__xludf.DUMMYFUNCTION("""COMPUTED_VALUE"""),2.0)</f>
        <v>2</v>
      </c>
      <c r="J711" s="3" t="str">
        <f>IFERROR(__xludf.DUMMYFUNCTION("""COMPUTED_VALUE"""),"pcs")</f>
        <v>pcs</v>
      </c>
      <c r="K711" s="5" t="str">
        <f>IFERROR(__xludf.DUMMYFUNCTION("""COMPUTED_VALUE"""),"https://tk.tokopedia.com/ZSHs2K5yB/")</f>
        <v>https://tk.tokopedia.com/ZSHs2K5yB/</v>
      </c>
      <c r="L711" s="3" t="str">
        <f>IFERROR(__xludf.DUMMYFUNCTION("""COMPUTED_VALUE"""),"mat bor sudah patah")</f>
        <v>mat bor sudah patah</v>
      </c>
      <c r="M711" s="3" t="str">
        <f>IFERROR(__xludf.DUMMYFUNCTION("""COMPUTED_VALUE"""),"Approve")</f>
        <v>Approve</v>
      </c>
      <c r="N711" s="3" t="str">
        <f>IFERROR(__xludf.DUMMYFUNCTION("""COMPUTED_VALUE"""),"Normal")</f>
        <v>Normal</v>
      </c>
      <c r="O711" s="3" t="str">
        <f>IFERROR(__xludf.DUMMYFUNCTION("""COMPUTED_VALUE"""),"Non Urgent")</f>
        <v>Non Urgent</v>
      </c>
    </row>
    <row r="712">
      <c r="A712" s="4">
        <f>IFERROR(__xludf.DUMMYFUNCTION("""COMPUTED_VALUE"""),46126.84493501158)</f>
        <v>46126.84494</v>
      </c>
      <c r="B712" s="3" t="str">
        <f>IFERROR(__xludf.DUMMYFUNCTION("""COMPUTED_VALUE"""),"SFHBR0055")</f>
        <v>SFHBR0055</v>
      </c>
      <c r="C712" s="3" t="str">
        <f>IFERROR(__xludf.DUMMYFUNCTION("""COMPUTED_VALUE"""),"Consumable")</f>
        <v>Consumable</v>
      </c>
      <c r="D712" s="3" t="str">
        <f>IFERROR(__xludf.DUMMYFUNCTION("""COMPUTED_VALUE"""),"-")</f>
        <v>-</v>
      </c>
      <c r="E712" s="3" t="str">
        <f>IFERROR(__xludf.DUMMYFUNCTION("""COMPUTED_VALUE"""),"lantai 2")</f>
        <v>lantai 2</v>
      </c>
      <c r="F712" s="3" t="str">
        <f>IFERROR(__xludf.DUMMYFUNCTION("""COMPUTED_VALUE"""),"MATA BOR NACHI 4.5 M")</f>
        <v>MATA BOR NACHI 4.5 M</v>
      </c>
      <c r="G712" s="3" t="str">
        <f>IFERROR(__xludf.DUMMYFUNCTION("""COMPUTED_VALUE"""),"MATA BOR NACHI 4.5 M")</f>
        <v>MATA BOR NACHI 4.5 M</v>
      </c>
      <c r="H712" s="3" t="str">
        <f>IFERROR(__xludf.DUMMYFUNCTION("""COMPUTED_VALUE"""),"nachi")</f>
        <v>nachi</v>
      </c>
      <c r="I712" s="3">
        <f>IFERROR(__xludf.DUMMYFUNCTION("""COMPUTED_VALUE"""),2.0)</f>
        <v>2</v>
      </c>
      <c r="J712" s="3" t="str">
        <f>IFERROR(__xludf.DUMMYFUNCTION("""COMPUTED_VALUE"""),"pcs")</f>
        <v>pcs</v>
      </c>
      <c r="K712" s="5" t="str">
        <f>IFERROR(__xludf.DUMMYFUNCTION("""COMPUTED_VALUE"""),"https://tk.tokopedia.com/ZSHs2K5yB/")</f>
        <v>https://tk.tokopedia.com/ZSHs2K5yB/</v>
      </c>
      <c r="L712" s="3" t="str">
        <f>IFERROR(__xludf.DUMMYFUNCTION("""COMPUTED_VALUE"""),"mat bor sudah patah")</f>
        <v>mat bor sudah patah</v>
      </c>
      <c r="M712" s="3" t="str">
        <f>IFERROR(__xludf.DUMMYFUNCTION("""COMPUTED_VALUE"""),"Approve")</f>
        <v>Approve</v>
      </c>
      <c r="N712" s="3" t="str">
        <f>IFERROR(__xludf.DUMMYFUNCTION("""COMPUTED_VALUE"""),"Normal")</f>
        <v>Normal</v>
      </c>
      <c r="O712" s="3" t="str">
        <f>IFERROR(__xludf.DUMMYFUNCTION("""COMPUTED_VALUE"""),"Non Urgent")</f>
        <v>Non Urgent</v>
      </c>
    </row>
    <row r="713">
      <c r="A713" s="4">
        <f>IFERROR(__xludf.DUMMYFUNCTION("""COMPUTED_VALUE"""),46126.8487374537)</f>
        <v>46126.84874</v>
      </c>
      <c r="B713" s="3" t="str">
        <f>IFERROR(__xludf.DUMMYFUNCTION("""COMPUTED_VALUE"""),"SFHBR0056")</f>
        <v>SFHBR0056</v>
      </c>
      <c r="C713" s="3" t="str">
        <f>IFERROR(__xludf.DUMMYFUNCTION("""COMPUTED_VALUE"""),"Consumable")</f>
        <v>Consumable</v>
      </c>
      <c r="D713" s="3" t="str">
        <f>IFERROR(__xludf.DUMMYFUNCTION("""COMPUTED_VALUE"""),"-")</f>
        <v>-</v>
      </c>
      <c r="E713" s="3" t="str">
        <f>IFERROR(__xludf.DUMMYFUNCTION("""COMPUTED_VALUE"""),"lantai 2")</f>
        <v>lantai 2</v>
      </c>
      <c r="F713" s="3" t="str">
        <f>IFERROR(__xludf.DUMMYFUNCTION("""COMPUTED_VALUE"""),"Kunci sok sock T 13 mm TEKIRO")</f>
        <v>Kunci sok sock T 13 mm TEKIRO</v>
      </c>
      <c r="G713" s="3" t="str">
        <f>IFERROR(__xludf.DUMMYFUNCTION("""COMPUTED_VALUE"""),"Kunci sok sock T 13 mm TEKIRO")</f>
        <v>Kunci sok sock T 13 mm TEKIRO</v>
      </c>
      <c r="H713" s="3" t="str">
        <f>IFERROR(__xludf.DUMMYFUNCTION("""COMPUTED_VALUE"""),"tekiro")</f>
        <v>tekiro</v>
      </c>
      <c r="I713" s="3">
        <f>IFERROR(__xludf.DUMMYFUNCTION("""COMPUTED_VALUE"""),2.0)</f>
        <v>2</v>
      </c>
      <c r="J713" s="3" t="str">
        <f>IFERROR(__xludf.DUMMYFUNCTION("""COMPUTED_VALUE"""),"Pcs")</f>
        <v>Pcs</v>
      </c>
      <c r="K713" s="5" t="str">
        <f>IFERROR(__xludf.DUMMYFUNCTION("""COMPUTED_VALUE"""),"https://tk.tokopedia.com/ZSHsjcGVh/")</f>
        <v>https://tk.tokopedia.com/ZSHsjcGVh/</v>
      </c>
      <c r="L713" s="3" t="str">
        <f>IFERROR(__xludf.DUMMYFUNCTION("""COMPUTED_VALUE"""),"Buat integrity hepa")</f>
        <v>Buat integrity hepa</v>
      </c>
      <c r="M713" s="3" t="str">
        <f>IFERROR(__xludf.DUMMYFUNCTION("""COMPUTED_VALUE"""),"Approve")</f>
        <v>Approve</v>
      </c>
      <c r="N713" s="3" t="str">
        <f>IFERROR(__xludf.DUMMYFUNCTION("""COMPUTED_VALUE"""),"Normal")</f>
        <v>Normal</v>
      </c>
      <c r="O713" s="3" t="str">
        <f>IFERROR(__xludf.DUMMYFUNCTION("""COMPUTED_VALUE"""),"Non Urgent")</f>
        <v>Non Urgent</v>
      </c>
    </row>
    <row r="714">
      <c r="A714" s="4">
        <f>IFERROR(__xludf.DUMMYFUNCTION("""COMPUTED_VALUE"""),46126.851919375)</f>
        <v>46126.85192</v>
      </c>
      <c r="B714" s="3" t="str">
        <f>IFERROR(__xludf.DUMMYFUNCTION("""COMPUTED_VALUE"""),"SFHBR0057")</f>
        <v>SFHBR0057</v>
      </c>
      <c r="C714" s="3" t="str">
        <f>IFERROR(__xludf.DUMMYFUNCTION("""COMPUTED_VALUE"""),"Consumable")</f>
        <v>Consumable</v>
      </c>
      <c r="D714" s="3" t="str">
        <f>IFERROR(__xludf.DUMMYFUNCTION("""COMPUTED_VALUE"""),"-")</f>
        <v>-</v>
      </c>
      <c r="E714" s="3" t="str">
        <f>IFERROR(__xludf.DUMMYFUNCTION("""COMPUTED_VALUE"""),"lantai 2")</f>
        <v>lantai 2</v>
      </c>
      <c r="F714" s="3" t="str">
        <f>IFERROR(__xludf.DUMMYFUNCTION("""COMPUTED_VALUE"""),"Mata obeng magnet + + PH1 X 65 mm TEKIRO SD-DE 0958")</f>
        <v>Mata obeng magnet + + PH1 X 65 mm TEKIRO SD-DE 0958</v>
      </c>
      <c r="G714" s="3" t="str">
        <f>IFERROR(__xludf.DUMMYFUNCTION("""COMPUTED_VALUE"""),"Mata obeng magnet + + PH1 X 65 mm TEKIRO SD-DE 0958")</f>
        <v>Mata obeng magnet + + PH1 X 65 mm TEKIRO SD-DE 0958</v>
      </c>
      <c r="H714" s="3" t="str">
        <f>IFERROR(__xludf.DUMMYFUNCTION("""COMPUTED_VALUE"""),"tekiro")</f>
        <v>tekiro</v>
      </c>
      <c r="I714" s="3">
        <f>IFERROR(__xludf.DUMMYFUNCTION("""COMPUTED_VALUE"""),1.0)</f>
        <v>1</v>
      </c>
      <c r="J714" s="3" t="str">
        <f>IFERROR(__xludf.DUMMYFUNCTION("""COMPUTED_VALUE"""),"set")</f>
        <v>set</v>
      </c>
      <c r="K714" s="5" t="str">
        <f>IFERROR(__xludf.DUMMYFUNCTION("""COMPUTED_VALUE"""),"https://tk.tokopedia.com/ZSHs6wgr4/")</f>
        <v>https://tk.tokopedia.com/ZSHs6wgr4/</v>
      </c>
      <c r="L714" s="3" t="str">
        <f>IFERROR(__xludf.DUMMYFUNCTION("""COMPUTED_VALUE"""),"Buat integrity hepa")</f>
        <v>Buat integrity hepa</v>
      </c>
      <c r="M714" s="3" t="str">
        <f>IFERROR(__xludf.DUMMYFUNCTION("""COMPUTED_VALUE"""),"Approve")</f>
        <v>Approve</v>
      </c>
      <c r="N714" s="3" t="str">
        <f>IFERROR(__xludf.DUMMYFUNCTION("""COMPUTED_VALUE"""),"Normal")</f>
        <v>Normal</v>
      </c>
      <c r="O714" s="3" t="str">
        <f>IFERROR(__xludf.DUMMYFUNCTION("""COMPUTED_VALUE"""),"Non Urgent")</f>
        <v>Non Urgent</v>
      </c>
    </row>
    <row r="715">
      <c r="A715" s="4">
        <f>IFERROR(__xludf.DUMMYFUNCTION("""COMPUTED_VALUE"""),46127.858451990745)</f>
        <v>46127.85845</v>
      </c>
      <c r="B715" s="3" t="str">
        <f>IFERROR(__xludf.DUMMYFUNCTION("""COMPUTED_VALUE"""),"MRNBR0104")</f>
        <v>MRNBR0104</v>
      </c>
      <c r="C715" s="3" t="str">
        <f>IFERROR(__xludf.DUMMYFUNCTION("""COMPUTED_VALUE"""),"EJO")</f>
        <v>EJO</v>
      </c>
      <c r="D715" s="3" t="str">
        <f>IFERROR(__xludf.DUMMYFUNCTION("""COMPUTED_VALUE"""),"EJO/2026/04/073")</f>
        <v>EJO/2026/04/073</v>
      </c>
      <c r="E715" s="3" t="str">
        <f>IFERROR(__xludf.DUMMYFUNCTION("""COMPUTED_VALUE"""),"Tanki air hujan wwtp")</f>
        <v>Tanki air hujan wwtp</v>
      </c>
      <c r="F715" s="3" t="str">
        <f>IFERROR(__xludf.DUMMYFUNCTION("""COMPUTED_VALUE"""),"pompa Summersible")</f>
        <v>pompa Summersible</v>
      </c>
      <c r="G715" s="3" t="str">
        <f>IFERROR(__xludf.DUMMYFUNCTION("""COMPUTED_VALUE"""),"Grundfos DPK.10.50.15.5.0D 96884080")</f>
        <v>Grundfos DPK.10.50.15.5.0D 96884080</v>
      </c>
      <c r="H715" s="3" t="str">
        <f>IFERROR(__xludf.DUMMYFUNCTION("""COMPUTED_VALUE"""),"Grundfos")</f>
        <v>Grundfos</v>
      </c>
      <c r="I715" s="3">
        <f>IFERROR(__xludf.DUMMYFUNCTION("""COMPUTED_VALUE"""),1.0)</f>
        <v>1</v>
      </c>
      <c r="J715" s="3" t="str">
        <f>IFERROR(__xludf.DUMMYFUNCTION("""COMPUTED_VALUE"""),"unit")</f>
        <v>unit</v>
      </c>
      <c r="K715" s="5" t="str">
        <f>IFERROR(__xludf.DUMMYFUNCTION("""COMPUTED_VALUE"""),"https://www.tokopedia.com/pompanusantara/pompa-grundfos-dpk-10-50-15-5-0d-submersible-sewage-water-pump-pump-adc-4c440")</f>
        <v>https://www.tokopedia.com/pompanusantara/pompa-grundfos-dpk-10-50-15-5-0d-submersible-sewage-water-pump-pump-adc-4c440</v>
      </c>
      <c r="L715" s="3" t="str">
        <f>IFERROR(__xludf.DUMMYFUNCTION("""COMPUTED_VALUE"""),"untuk pompa tanki emergency  wwtp (DIGANTI DENGAN YANG DARI PA KRIS)")</f>
        <v>untuk pompa tanki emergency  wwtp (DIGANTI DENGAN YANG DARI PA KRIS)</v>
      </c>
      <c r="M715" s="3" t="str">
        <f>IFERROR(__xludf.DUMMYFUNCTION("""COMPUTED_VALUE"""),"Reject")</f>
        <v>Reject</v>
      </c>
      <c r="N715" s="3" t="str">
        <f>IFERROR(__xludf.DUMMYFUNCTION("""COMPUTED_VALUE"""),"Normal")</f>
        <v>Normal</v>
      </c>
      <c r="O715" s="3" t="str">
        <f>IFERROR(__xludf.DUMMYFUNCTION("""COMPUTED_VALUE"""),"Non Urgent")</f>
        <v>Non Urgent</v>
      </c>
    </row>
    <row r="716">
      <c r="A716" s="4">
        <f>IFERROR(__xludf.DUMMYFUNCTION("""COMPUTED_VALUE"""),46129.641862268516)</f>
        <v>46129.64186</v>
      </c>
      <c r="B716" s="3" t="str">
        <f>IFERROR(__xludf.DUMMYFUNCTION("""COMPUTED_VALUE"""),"RIABR0160")</f>
        <v>RIABR0160</v>
      </c>
      <c r="C716" s="3" t="str">
        <f>IFERROR(__xludf.DUMMYFUNCTION("""COMPUTED_VALUE"""),"EJO")</f>
        <v>EJO</v>
      </c>
      <c r="D716" s="3" t="str">
        <f>IFERROR(__xludf.DUMMYFUNCTION("""COMPUTED_VALUE"""),"-")</f>
        <v>-</v>
      </c>
      <c r="E716" s="3" t="str">
        <f>IFERROR(__xludf.DUMMYFUNCTION("""COMPUTED_VALUE"""),"Material Handling")</f>
        <v>Material Handling</v>
      </c>
      <c r="F716" s="3" t="str">
        <f>IFERROR(__xludf.DUMMYFUNCTION("""COMPUTED_VALUE"""),"Gasket Teflon")</f>
        <v>Gasket Teflon</v>
      </c>
      <c r="G716" s="3" t="str">
        <f>IFERROR(__xludf.DUMMYFUNCTION("""COMPUTED_VALUE"""),"Gasket / Seal untuk Ferrule Sanitary
12 inch
Bahan : Teflon
Rating : Foodgrade ")</f>
        <v>Gasket / Seal untuk Ferrule Sanitary
12 inch
Bahan : Teflon
Rating : Foodgrade </v>
      </c>
      <c r="H716" s="3" t="str">
        <f>IFERROR(__xludf.DUMMYFUNCTION("""COMPUTED_VALUE"""),"Lokal")</f>
        <v>Lokal</v>
      </c>
      <c r="I716" s="3">
        <f>IFERROR(__xludf.DUMMYFUNCTION("""COMPUTED_VALUE"""),5.0)</f>
        <v>5</v>
      </c>
      <c r="J716" s="3" t="str">
        <f>IFERROR(__xludf.DUMMYFUNCTION("""COMPUTED_VALUE"""),"Pcs")</f>
        <v>Pcs</v>
      </c>
      <c r="K716" s="5" t="str">
        <f>IFERROR(__xludf.DUMMYFUNCTION("""COMPUTED_VALUE"""),"https://www.tokopedia.com/ferdiofficial/gasket-seal-teflon-ptfe-ferrule-sanitary-uk-1-2-3-4-1-1-1-4-1-1-2-2-2-1-2-3-4-5-6-8-10-12-1733252694670541828?extParam=ivf%3Dfalse%26keyword%3Dgasket+teflon+12+inch+ferrule%26search_id%3D202604170821088D3BBA7425E7C9"&amp;"20FWGH%26src%3Dsearch&amp;t_id=1776414150399&amp;t_st=1&amp;t_pp=search_result&amp;t_efo=search_pure_goods_card&amp;t_ef=goods_search&amp;t_sm=&amp;t_spt=search_result")</f>
        <v>https://www.tokopedia.com/ferdiofficial/gasket-seal-teflon-ptfe-ferrule-sanitary-uk-1-2-3-4-1-1-1-4-1-1-2-2-2-1-2-3-4-5-6-8-10-12-1733252694670541828?extParam=ivf%3Dfalse%26keyword%3Dgasket+teflon+12+inch+ferrule%26search_id%3D202604170821088D3BBA7425E7C920FWGH%26src%3Dsearch&amp;t_id=1776414150399&amp;t_st=1&amp;t_pp=search_result&amp;t_efo=search_pure_goods_card&amp;t_ef=goods_search&amp;t_sm=&amp;t_spt=search_result</v>
      </c>
      <c r="L716" s="3" t="str">
        <f>IFERROR(__xludf.DUMMYFUNCTION("""COMPUTED_VALUE"""),"Untuk gasket material handling, 12 inch ferrule teflon (REJECT BY MFH KARENA MESI/AREA TIDAK JELAS DAN SUPPLIER KESULITAN SUPPLY)")</f>
        <v>Untuk gasket material handling, 12 inch ferrule teflon (REJECT BY MFH KARENA MESI/AREA TIDAK JELAS DAN SUPPLIER KESULITAN SUPPLY)</v>
      </c>
      <c r="M716" s="3" t="str">
        <f>IFERROR(__xludf.DUMMYFUNCTION("""COMPUTED_VALUE"""),"Reject")</f>
        <v>Reject</v>
      </c>
      <c r="N716" s="3" t="str">
        <f>IFERROR(__xludf.DUMMYFUNCTION("""COMPUTED_VALUE"""),"Normal")</f>
        <v>Normal</v>
      </c>
      <c r="O716" s="3" t="str">
        <f>IFERROR(__xludf.DUMMYFUNCTION("""COMPUTED_VALUE"""),"Non Urgent")</f>
        <v>Non Urgent</v>
      </c>
    </row>
    <row r="717">
      <c r="A717" s="4">
        <f>IFERROR(__xludf.DUMMYFUNCTION("""COMPUTED_VALUE"""),46132.92333158565)</f>
        <v>46132.92333</v>
      </c>
      <c r="B717" s="3" t="str">
        <f>IFERROR(__xludf.DUMMYFUNCTION("""COMPUTED_VALUE"""),"NDSBR0054")</f>
        <v>NDSBR0054</v>
      </c>
      <c r="C717" s="3" t="str">
        <f>IFERROR(__xludf.DUMMYFUNCTION("""COMPUTED_VALUE"""),"EJO")</f>
        <v>EJO</v>
      </c>
      <c r="D717" s="3" t="str">
        <f>IFERROR(__xludf.DUMMYFUNCTION("""COMPUTED_VALUE"""),"EJO/2025/09/118")</f>
        <v>EJO/2025/09/118</v>
      </c>
      <c r="E717" s="3" t="str">
        <f>IFERROR(__xludf.DUMMYFUNCTION("""COMPUTED_VALUE"""),"Blister")</f>
        <v>Blister</v>
      </c>
      <c r="F717" s="3" t="str">
        <f>IFERROR(__xludf.DUMMYFUNCTION("""COMPUTED_VALUE"""),"Teflon Forming 568")</f>
        <v>Teflon Forming 568</v>
      </c>
      <c r="G717" s="3" t="str">
        <f>IFERROR(__xludf.DUMMYFUNCTION("""COMPUTED_VALUE"""),"Sesuai gambar")</f>
        <v>Sesuai gambar</v>
      </c>
      <c r="H717" s="3" t="str">
        <f>IFERROR(__xludf.DUMMYFUNCTION("""COMPUTED_VALUE"""),"-")</f>
        <v>-</v>
      </c>
      <c r="I717" s="3">
        <f>IFERROR(__xludf.DUMMYFUNCTION("""COMPUTED_VALUE"""),30.0)</f>
        <v>30</v>
      </c>
      <c r="J717" s="3" t="str">
        <f>IFERROR(__xludf.DUMMYFUNCTION("""COMPUTED_VALUE"""),"pcs")</f>
        <v>pcs</v>
      </c>
      <c r="K717" s="5" t="str">
        <f>IFERROR(__xludf.DUMMYFUNCTION("""COMPUTED_VALUE"""),"https://drive.google.com/drive/folders/1iyjSTsQwh1FJ4qLP2UdeqF5J6Vdjoqb-?usp=drive_link")</f>
        <v>https://drive.google.com/drive/folders/1iyjSTsQwh1FJ4qLP2UdeqF5J6Vdjoqb-?usp=drive_link</v>
      </c>
      <c r="L717" s="3" t="str">
        <f>IFERROR(__xludf.DUMMYFUNCTION("""COMPUTED_VALUE"""),"Kita hanya butuh no 2,Housing")</f>
        <v>Kita hanya butuh no 2,Housing</v>
      </c>
      <c r="M717" s="3" t="str">
        <f>IFERROR(__xludf.DUMMYFUNCTION("""COMPUTED_VALUE"""),"Waiting")</f>
        <v>Waiting</v>
      </c>
      <c r="N717" s="3" t="str">
        <f>IFERROR(__xludf.DUMMYFUNCTION("""COMPUTED_VALUE"""),"Waiting")</f>
        <v>Waiting</v>
      </c>
      <c r="O717" s="3" t="str">
        <f>IFERROR(__xludf.DUMMYFUNCTION("""COMPUTED_VALUE"""),"Non Urgent")</f>
        <v>Non Urgent</v>
      </c>
    </row>
    <row r="718">
      <c r="A718" s="4">
        <f>IFERROR(__xludf.DUMMYFUNCTION("""COMPUTED_VALUE"""),46132.92380344907)</f>
        <v>46132.9238</v>
      </c>
      <c r="B718" s="3" t="str">
        <f>IFERROR(__xludf.DUMMYFUNCTION("""COMPUTED_VALUE"""),"NDSBR0055")</f>
        <v>NDSBR0055</v>
      </c>
      <c r="C718" s="3" t="str">
        <f>IFERROR(__xludf.DUMMYFUNCTION("""COMPUTED_VALUE"""),"EJO")</f>
        <v>EJO</v>
      </c>
      <c r="D718" s="3" t="str">
        <f>IFERROR(__xludf.DUMMYFUNCTION("""COMPUTED_VALUE"""),"EJO/2025/09/118")</f>
        <v>EJO/2025/09/118</v>
      </c>
      <c r="E718" s="3" t="str">
        <f>IFERROR(__xludf.DUMMYFUNCTION("""COMPUTED_VALUE"""),"Blister")</f>
        <v>Blister</v>
      </c>
      <c r="F718" s="3" t="str">
        <f>IFERROR(__xludf.DUMMYFUNCTION("""COMPUTED_VALUE"""),"Teflon Forming 569")</f>
        <v>Teflon Forming 569</v>
      </c>
      <c r="G718" s="3" t="str">
        <f>IFERROR(__xludf.DUMMYFUNCTION("""COMPUTED_VALUE"""),"Sesuai gambar")</f>
        <v>Sesuai gambar</v>
      </c>
      <c r="H718" s="3" t="str">
        <f>IFERROR(__xludf.DUMMYFUNCTION("""COMPUTED_VALUE"""),"-")</f>
        <v>-</v>
      </c>
      <c r="I718" s="3">
        <f>IFERROR(__xludf.DUMMYFUNCTION("""COMPUTED_VALUE"""),30.0)</f>
        <v>30</v>
      </c>
      <c r="J718" s="3" t="str">
        <f>IFERROR(__xludf.DUMMYFUNCTION("""COMPUTED_VALUE"""),"Pcs")</f>
        <v>Pcs</v>
      </c>
      <c r="K718" s="5" t="str">
        <f>IFERROR(__xludf.DUMMYFUNCTION("""COMPUTED_VALUE"""),"https://drive.google.com/drive/folders/1HA_l4VE-c2stfmaiop6Kn9wux0GKEOZs?usp=drive_link")</f>
        <v>https://drive.google.com/drive/folders/1HA_l4VE-c2stfmaiop6Kn9wux0GKEOZs?usp=drive_link</v>
      </c>
      <c r="L718" s="3" t="str">
        <f>IFERROR(__xludf.DUMMYFUNCTION("""COMPUTED_VALUE"""),"Kita hanya butuh no 2Housing")</f>
        <v>Kita hanya butuh no 2Housing</v>
      </c>
      <c r="M718" s="3" t="str">
        <f>IFERROR(__xludf.DUMMYFUNCTION("""COMPUTED_VALUE"""),"Waiting")</f>
        <v>Waiting</v>
      </c>
      <c r="N718" s="3" t="str">
        <f>IFERROR(__xludf.DUMMYFUNCTION("""COMPUTED_VALUE"""),"Waiting")</f>
        <v>Waiting</v>
      </c>
      <c r="O718" s="3" t="str">
        <f>IFERROR(__xludf.DUMMYFUNCTION("""COMPUTED_VALUE"""),"Non Urgent")</f>
        <v>Non Urgent</v>
      </c>
    </row>
    <row r="719">
      <c r="A719" s="4">
        <f>IFERROR(__xludf.DUMMYFUNCTION("""COMPUTED_VALUE"""),46132.92472952546)</f>
        <v>46132.92473</v>
      </c>
      <c r="B719" s="3" t="str">
        <f>IFERROR(__xludf.DUMMYFUNCTION("""COMPUTED_VALUE"""),"NDSBR0056")</f>
        <v>NDSBR0056</v>
      </c>
      <c r="C719" s="3" t="str">
        <f>IFERROR(__xludf.DUMMYFUNCTION("""COMPUTED_VALUE"""),"Critical Part")</f>
        <v>Critical Part</v>
      </c>
      <c r="D719" s="3" t="str">
        <f>IFERROR(__xludf.DUMMYFUNCTION("""COMPUTED_VALUE"""),"-")</f>
        <v>-</v>
      </c>
      <c r="E719" s="3" t="str">
        <f>IFERROR(__xludf.DUMMYFUNCTION("""COMPUTED_VALUE"""),"Blister")</f>
        <v>Blister</v>
      </c>
      <c r="F719" s="3" t="str">
        <f>IFERROR(__xludf.DUMMYFUNCTION("""COMPUTED_VALUE"""),"Radius gauge")</f>
        <v>Radius gauge</v>
      </c>
      <c r="G719" s="3" t="str">
        <f>IFERROR(__xludf.DUMMYFUNCTION("""COMPUTED_VALUE"""),"sesuai gambar")</f>
        <v>sesuai gambar</v>
      </c>
      <c r="H719" s="3" t="str">
        <f>IFERROR(__xludf.DUMMYFUNCTION("""COMPUTED_VALUE"""),"mitutoyo")</f>
        <v>mitutoyo</v>
      </c>
      <c r="I719" s="3">
        <f>IFERROR(__xludf.DUMMYFUNCTION("""COMPUTED_VALUE"""),1.0)</f>
        <v>1</v>
      </c>
      <c r="J719" s="3" t="str">
        <f>IFERROR(__xludf.DUMMYFUNCTION("""COMPUTED_VALUE"""),"pcs")</f>
        <v>pcs</v>
      </c>
      <c r="K719" s="5" t="str">
        <f>IFERROR(__xludf.DUMMYFUNCTION("""COMPUTED_VALUE"""),"https://shopee.co.id/product/287681718/21308319884?gads_t_sig=gqRjZGVrxHCFomtpsTE0MjUxOnRzc19zZGtfa2V5omt20QABpGFsZ2_SAAAAZKNkZWvAomN0xEAAAAAMRvS3L9OTXdZ5FJNxILig8p7lQ7pNpXYtdZAbsM8MQrkGmzJ0eOQRwaQfuYgAF9FAqYvxRTQ9oVrOjPOJqmNpcGhlcnRleHTEcQAAAAw-R2r-8X4dM"&amp;"xBDEzJh3pQDGCIkVXaSSOa4dVheX-NNYjU1-tBPNZgcvbaRd_DqMV96QwisDCTfJN59rit3rVP5X3b8mMFsU1Z0aK816OTpAV2tGQ6-NVwsOuLQr0KGY-ptxQJ_k99fIn0IrPVE&amp;gad_source=1&amp;gad_campaignid=23631329745&amp;gbraid=0AAAAADPpU83Hg09HXhYzviD5WvOmTFOrQ&amp;gclid=CjwKCAjwnZfPBhAGEiwAzg-VzCDMhdb"&amp;"iRijeYWeh_lNAk8KJgrm9uaje72hZQemvJGOJZyZw3oyWAxoCt_EQAvD_BwE")</f>
        <v>https://shopee.co.id/product/287681718/21308319884?gads_t_sig=gqRjZGVrxHCFomtpsTE0MjUxOnRzc19zZGtfa2V5omt20QABpGFsZ2_SAAAAZKNkZWvAomN0xEAAAAAMRvS3L9OTXdZ5FJNxILig8p7lQ7pNpXYtdZAbsM8MQrkGmzJ0eOQRwaQfuYgAF9FAqYvxRTQ9oVrOjPOJqmNpcGhlcnRleHTEcQAAAAw-R2r-8X4dMxBDEzJh3pQDGCIkVXaSSOa4dVheX-NNYjU1-tBPNZgcvbaRd_DqMV96QwisDCTfJN59rit3rVP5X3b8mMFsU1Z0aK816OTpAV2tGQ6-NVwsOuLQr0KGY-ptxQJ_k99fIn0IrPVE&amp;gad_source=1&amp;gad_campaignid=23631329745&amp;gbraid=0AAAAADPpU83Hg09HXhYzviD5WvOmTFOrQ&amp;gclid=CjwKCAjwnZfPBhAGEiwAzg-VzCDMhdbiRijeYWeh_lNAk8KJgrm9uaje72hZQemvJGOJZyZw3oyWAxoCt_EQAvD_BwE</v>
      </c>
      <c r="L719" s="3" t="str">
        <f>IFERROR(__xludf.DUMMYFUNCTION("""COMPUTED_VALUE"""),"-")</f>
        <v>-</v>
      </c>
      <c r="M719" s="3" t="str">
        <f>IFERROR(__xludf.DUMMYFUNCTION("""COMPUTED_VALUE"""),"Approve")</f>
        <v>Approve</v>
      </c>
      <c r="N719" s="3" t="str">
        <f>IFERROR(__xludf.DUMMYFUNCTION("""COMPUTED_VALUE"""),"Normal")</f>
        <v>Normal</v>
      </c>
      <c r="O719" s="3" t="str">
        <f>IFERROR(__xludf.DUMMYFUNCTION("""COMPUTED_VALUE"""),"Non Urgent")</f>
        <v>Non Urgent</v>
      </c>
    </row>
    <row r="720">
      <c r="A720" s="4">
        <f>IFERROR(__xludf.DUMMYFUNCTION("""COMPUTED_VALUE"""),46133.18225657407)</f>
        <v>46133.18226</v>
      </c>
      <c r="B720" s="3" t="str">
        <f>IFERROR(__xludf.DUMMYFUNCTION("""COMPUTED_VALUE"""),"ROSBR0093")</f>
        <v>ROSBR0093</v>
      </c>
      <c r="C720" s="3" t="str">
        <f>IFERROR(__xludf.DUMMYFUNCTION("""COMPUTED_VALUE"""),"Critical Part")</f>
        <v>Critical Part</v>
      </c>
      <c r="D720" s="3" t="str">
        <f>IFERROR(__xludf.DUMMYFUNCTION("""COMPUTED_VALUE"""),"-")</f>
        <v>-</v>
      </c>
      <c r="E720" s="3" t="str">
        <f>IFERROR(__xludf.DUMMYFUNCTION("""COMPUTED_VALUE"""),"autoclave")</f>
        <v>autoclave</v>
      </c>
      <c r="F720" s="3" t="str">
        <f>IFERROR(__xludf.DUMMYFUNCTION("""COMPUTED_VALUE"""),"valve modulating")</f>
        <v>valve modulating</v>
      </c>
      <c r="G720" s="3" t="str">
        <f>IFERROR(__xludf.DUMMYFUNCTION("""COMPUTED_VALUE"""),"DN16 Modulating Valve Spare Parts
Product Code:
KK000305")</f>
        <v>DN16 Modulating Valve Spare Parts
Product Code:
KK000305</v>
      </c>
      <c r="H720" s="3" t="str">
        <f>IFERROR(__xludf.DUMMYFUNCTION("""COMPUTED_VALUE"""),"fedegari ")</f>
        <v>fedegari </v>
      </c>
      <c r="I720" s="3">
        <f>IFERROR(__xludf.DUMMYFUNCTION("""COMPUTED_VALUE"""),5.0)</f>
        <v>5</v>
      </c>
      <c r="J720" s="3" t="str">
        <f>IFERROR(__xludf.DUMMYFUNCTION("""COMPUTED_VALUE"""),"Pcs")</f>
        <v>Pcs</v>
      </c>
      <c r="K720" s="5" t="str">
        <f>IFERROR(__xludf.DUMMYFUNCTION("""COMPUTED_VALUE"""),"https://drive.google.com/drive/folders/11118Cc_L-ROcwEY62w3m9tggLAi2Ercf?usp=drive_link")</f>
        <v>https://drive.google.com/drive/folders/11118Cc_L-ROcwEY62w3m9tggLAi2Ercf?usp=drive_link</v>
      </c>
      <c r="L720" s="3" t="str">
        <f>IFERROR(__xludf.DUMMYFUNCTION("""COMPUTED_VALUE"""),"buat pergantian peremajaan  VP3 punya service dan terminal
berikut no Series FOF5/9A TH4 ")</f>
        <v>buat pergantian peremajaan  VP3 punya service dan terminal
berikut no Series FOF5/9A TH4 </v>
      </c>
      <c r="M720" s="3" t="str">
        <f>IFERROR(__xludf.DUMMYFUNCTION("""COMPUTED_VALUE"""),"Approve")</f>
        <v>Approve</v>
      </c>
      <c r="N720" s="3" t="str">
        <f>IFERROR(__xludf.DUMMYFUNCTION("""COMPUTED_VALUE"""),"Normal")</f>
        <v>Normal</v>
      </c>
      <c r="O720" s="3" t="str">
        <f>IFERROR(__xludf.DUMMYFUNCTION("""COMPUTED_VALUE"""),"Non Urgent")</f>
        <v>Non Urgent</v>
      </c>
    </row>
    <row r="721">
      <c r="A721" s="4">
        <f>IFERROR(__xludf.DUMMYFUNCTION("""COMPUTED_VALUE"""),46133.1944578588)</f>
        <v>46133.19446</v>
      </c>
      <c r="B721" s="3" t="str">
        <f>IFERROR(__xludf.DUMMYFUNCTION("""COMPUTED_VALUE"""),"MRNBR0105")</f>
        <v>MRNBR0105</v>
      </c>
      <c r="C721" s="3" t="str">
        <f>IFERROR(__xludf.DUMMYFUNCTION("""COMPUTED_VALUE"""),"EJO")</f>
        <v>EJO</v>
      </c>
      <c r="D721" s="3" t="str">
        <f>IFERROR(__xludf.DUMMYFUNCTION("""COMPUTED_VALUE"""),"EJO/2026/02/79")</f>
        <v>EJO/2026/02/79</v>
      </c>
      <c r="E721" s="3" t="str">
        <f>IFERROR(__xludf.DUMMYFUNCTION("""COMPUTED_VALUE"""),"AHU D1-2")</f>
        <v>AHU D1-2</v>
      </c>
      <c r="F721" s="3" t="str">
        <f>IFERROR(__xludf.DUMMYFUNCTION("""COMPUTED_VALUE"""),"Motorize valve")</f>
        <v>Motorize valve</v>
      </c>
      <c r="G721" s="3" t="str">
        <f>IFERROR(__xludf.DUMMYFUNCTION("""COMPUTED_VALUE"""),"SQS65")</f>
        <v>SQS65</v>
      </c>
      <c r="H721" s="3" t="str">
        <f>IFERROR(__xludf.DUMMYFUNCTION("""COMPUTED_VALUE"""),"siemens")</f>
        <v>siemens</v>
      </c>
      <c r="I721" s="3">
        <f>IFERROR(__xludf.DUMMYFUNCTION("""COMPUTED_VALUE"""),1.0)</f>
        <v>1</v>
      </c>
      <c r="J721" s="3" t="str">
        <f>IFERROR(__xludf.DUMMYFUNCTION("""COMPUTED_VALUE"""),"unit")</f>
        <v>unit</v>
      </c>
      <c r="K721" s="5" t="str">
        <f>IFERROR(__xludf.DUMMYFUNCTION("""COMPUTED_VALUE"""),"https://hit.sbt.siemens.com/RWD/App/Main?RC=Baltics&amp;lang=en&amp;MODULE=Catalog&amp;ACTION=ShowProduct&amp;KEY=BPZ%3aSQS65")</f>
        <v>https://hit.sbt.siemens.com/RWD/App/Main?RC=Baltics&amp;lang=en&amp;MODULE=Catalog&amp;ACTION=ShowProduct&amp;KEY=BPZ%3aSQS65</v>
      </c>
      <c r="L721" s="3" t="str">
        <f>IFERROR(__xludf.DUMMYFUNCTION("""COMPUTED_VALUE"""),"untuk mtotorize cooling coil ahu sering macet")</f>
        <v>untuk mtotorize cooling coil ahu sering macet</v>
      </c>
      <c r="M721" s="3" t="str">
        <f>IFERROR(__xludf.DUMMYFUNCTION("""COMPUTED_VALUE"""),"Reject")</f>
        <v>Reject</v>
      </c>
      <c r="N721" s="3" t="str">
        <f>IFERROR(__xludf.DUMMYFUNCTION("""COMPUTED_VALUE"""),"Normal")</f>
        <v>Normal</v>
      </c>
      <c r="O721" s="3" t="str">
        <f>IFERROR(__xludf.DUMMYFUNCTION("""COMPUTED_VALUE"""),"Non Urgent")</f>
        <v>Non Urgent</v>
      </c>
    </row>
    <row r="722">
      <c r="A722" s="4">
        <f>IFERROR(__xludf.DUMMYFUNCTION("""COMPUTED_VALUE"""),46133.19551983796)</f>
        <v>46133.19552</v>
      </c>
      <c r="B722" s="3" t="str">
        <f>IFERROR(__xludf.DUMMYFUNCTION("""COMPUTED_VALUE"""),"MRNBR0106")</f>
        <v>MRNBR0106</v>
      </c>
      <c r="C722" s="3" t="str">
        <f>IFERROR(__xludf.DUMMYFUNCTION("""COMPUTED_VALUE"""),"EJO")</f>
        <v>EJO</v>
      </c>
      <c r="D722" s="3" t="str">
        <f>IFERROR(__xludf.DUMMYFUNCTION("""COMPUTED_VALUE"""),"EJO/2026/02/79")</f>
        <v>EJO/2026/02/79</v>
      </c>
      <c r="E722" s="3" t="str">
        <f>IFERROR(__xludf.DUMMYFUNCTION("""COMPUTED_VALUE"""),"AHU D1-2")</f>
        <v>AHU D1-2</v>
      </c>
      <c r="F722" s="3" t="str">
        <f>IFERROR(__xludf.DUMMYFUNCTION("""COMPUTED_VALUE"""),"Body valve")</f>
        <v>Body valve</v>
      </c>
      <c r="G722" s="3" t="str">
        <f>IFERROR(__xludf.DUMMYFUNCTION("""COMPUTED_VALUE"""),"VVG44.25-10")</f>
        <v>VVG44.25-10</v>
      </c>
      <c r="H722" s="3" t="str">
        <f>IFERROR(__xludf.DUMMYFUNCTION("""COMPUTED_VALUE"""),"siemens")</f>
        <v>siemens</v>
      </c>
      <c r="I722" s="3">
        <f>IFERROR(__xludf.DUMMYFUNCTION("""COMPUTED_VALUE"""),1.0)</f>
        <v>1</v>
      </c>
      <c r="J722" s="3" t="str">
        <f>IFERROR(__xludf.DUMMYFUNCTION("""COMPUTED_VALUE"""),"unit")</f>
        <v>unit</v>
      </c>
      <c r="K722" s="5" t="str">
        <f>IFERROR(__xludf.DUMMYFUNCTION("""COMPUTED_VALUE"""),"https://hit.sbt.siemens.com/RWD/app.aspx?module=Catalog&amp;action=ShowProduct&amp;key=BPZ:VVG44.25-10")</f>
        <v>https://hit.sbt.siemens.com/RWD/app.aspx?module=Catalog&amp;action=ShowProduct&amp;key=BPZ:VVG44.25-10</v>
      </c>
      <c r="L722" s="3" t="str">
        <f>IFERROR(__xludf.DUMMYFUNCTION("""COMPUTED_VALUE"""),"untuk mtotorize cooling coil ahu sering macet")</f>
        <v>untuk mtotorize cooling coil ahu sering macet</v>
      </c>
      <c r="M722" s="3" t="str">
        <f>IFERROR(__xludf.DUMMYFUNCTION("""COMPUTED_VALUE"""),"Reject")</f>
        <v>Reject</v>
      </c>
      <c r="N722" s="3" t="str">
        <f>IFERROR(__xludf.DUMMYFUNCTION("""COMPUTED_VALUE"""),"Normal")</f>
        <v>Normal</v>
      </c>
      <c r="O722" s="3" t="str">
        <f>IFERROR(__xludf.DUMMYFUNCTION("""COMPUTED_VALUE"""),"Non Urgent")</f>
        <v>Non Urgent</v>
      </c>
    </row>
    <row r="723">
      <c r="A723" s="4">
        <f>IFERROR(__xludf.DUMMYFUNCTION("""COMPUTED_VALUE"""),46133.828057175924)</f>
        <v>46133.82806</v>
      </c>
      <c r="B723" s="3" t="str">
        <f>IFERROR(__xludf.DUMMYFUNCTION("""COMPUTED_VALUE"""),"NDSBR0057")</f>
        <v>NDSBR0057</v>
      </c>
      <c r="C723" s="3" t="str">
        <f>IFERROR(__xludf.DUMMYFUNCTION("""COMPUTED_VALUE"""),"Critical Part")</f>
        <v>Critical Part</v>
      </c>
      <c r="D723" s="3" t="str">
        <f>IFERROR(__xludf.DUMMYFUNCTION("""COMPUTED_VALUE"""),"-")</f>
        <v>-</v>
      </c>
      <c r="E723" s="3" t="str">
        <f>IFERROR(__xludf.DUMMYFUNCTION("""COMPUTED_VALUE"""),"Isolator Mixing")</f>
        <v>Isolator Mixing</v>
      </c>
      <c r="F723" s="3" t="str">
        <f>IFERROR(__xludf.DUMMYFUNCTION("""COMPUTED_VALUE"""),"Penguncu alpaport")</f>
        <v>Penguncu alpaport</v>
      </c>
      <c r="G723" s="3" t="str">
        <f>IFERROR(__xludf.DUMMYFUNCTION("""COMPUTED_VALUE"""),"Sesuai gambar ")</f>
        <v>Sesuai gambar </v>
      </c>
      <c r="H723" s="3" t="str">
        <f>IFERROR(__xludf.DUMMYFUNCTION("""COMPUTED_VALUE"""),"-")</f>
        <v>-</v>
      </c>
      <c r="I723" s="3">
        <f>IFERROR(__xludf.DUMMYFUNCTION("""COMPUTED_VALUE"""),2.0)</f>
        <v>2</v>
      </c>
      <c r="J723" s="3" t="str">
        <f>IFERROR(__xludf.DUMMYFUNCTION("""COMPUTED_VALUE"""),"pcs")</f>
        <v>pcs</v>
      </c>
      <c r="K723" s="5" t="str">
        <f>IFERROR(__xludf.DUMMYFUNCTION("""COMPUTED_VALUE"""),"https://drive.google.com/drive/folders/1YsryhUe8jgRHicPjwSsSK_nouvdeR44n?usp=sharing")</f>
        <v>https://drive.google.com/drive/folders/1YsryhUe8jgRHicPjwSsSK_nouvdeR44n?usp=sharing</v>
      </c>
      <c r="L723" s="3" t="str">
        <f>IFERROR(__xludf.DUMMYFUNCTION("""COMPUTED_VALUE"""),"-")</f>
        <v>-</v>
      </c>
      <c r="M723" s="3" t="str">
        <f>IFERROR(__xludf.DUMMYFUNCTION("""COMPUTED_VALUE"""),"Approve")</f>
        <v>Approve</v>
      </c>
      <c r="N723" s="3" t="str">
        <f>IFERROR(__xludf.DUMMYFUNCTION("""COMPUTED_VALUE"""),"Normal")</f>
        <v>Normal</v>
      </c>
      <c r="O723" s="3" t="str">
        <f>IFERROR(__xludf.DUMMYFUNCTION("""COMPUTED_VALUE"""),"Non Urgent")</f>
        <v>Non Urgent</v>
      </c>
    </row>
    <row r="724">
      <c r="A724" s="4">
        <f>IFERROR(__xludf.DUMMYFUNCTION("""COMPUTED_VALUE"""),46133.93294586805)</f>
        <v>46133.93295</v>
      </c>
      <c r="B724" s="3" t="str">
        <f>IFERROR(__xludf.DUMMYFUNCTION("""COMPUTED_VALUE"""),"ANOBR0054")</f>
        <v>ANOBR0054</v>
      </c>
      <c r="C724" s="3" t="str">
        <f>IFERROR(__xludf.DUMMYFUNCTION("""COMPUTED_VALUE"""),"EJO")</f>
        <v>EJO</v>
      </c>
      <c r="D724" s="3" t="str">
        <f>IFERROR(__xludf.DUMMYFUNCTION("""COMPUTED_VALUE"""),"EJO/2026/04/118")</f>
        <v>EJO/2026/04/118</v>
      </c>
      <c r="E724" s="3" t="str">
        <f>IFERROR(__xludf.DUMMYFUNCTION("""COMPUTED_VALUE"""),"trolley limbah ")</f>
        <v>trolley limbah </v>
      </c>
      <c r="F724" s="3" t="str">
        <f>IFERROR(__xludf.DUMMYFUNCTION("""COMPUTED_VALUE"""),"roda trolley limbah")</f>
        <v>roda trolley limbah</v>
      </c>
      <c r="G724" s="3" t="str">
        <f>IFERROR(__xludf.DUMMYFUNCTION("""COMPUTED_VALUE"""),"roda trolley size 6 inch (4 mati, 4 rem)")</f>
        <v>roda trolley size 6 inch (4 mati, 4 rem)</v>
      </c>
      <c r="H724" s="3" t="str">
        <f>IFERROR(__xludf.DUMMYFUNCTION("""COMPUTED_VALUE"""),"-")</f>
        <v>-</v>
      </c>
      <c r="I724" s="3">
        <f>IFERROR(__xludf.DUMMYFUNCTION("""COMPUTED_VALUE"""),8.0)</f>
        <v>8</v>
      </c>
      <c r="J724" s="3" t="str">
        <f>IFERROR(__xludf.DUMMYFUNCTION("""COMPUTED_VALUE"""),"pcs")</f>
        <v>pcs</v>
      </c>
      <c r="K724" s="5" t="str">
        <f>IFERROR(__xludf.DUMMYFUNCTION("""COMPUTED_VALUE"""),"https://www.tokopedia.com/casterwheel/roda-pu-heavy-duty-6inch-1set-4pcs-2mati-2rem?aff_unique_id=&amp;channel=others&amp;chain_key=")</f>
        <v>https://www.tokopedia.com/casterwheel/roda-pu-heavy-duty-6inch-1set-4pcs-2mati-2rem?aff_unique_id=&amp;channel=others&amp;chain_key=</v>
      </c>
      <c r="L724" s="3" t="str">
        <f>IFERROR(__xludf.DUMMYFUNCTION("""COMPUTED_VALUE"""),"keperluan penggantian roda trolley limbah ")</f>
        <v>keperluan penggantian roda trolley limbah </v>
      </c>
      <c r="M724" s="3" t="str">
        <f>IFERROR(__xludf.DUMMYFUNCTION("""COMPUTED_VALUE"""),"Approve")</f>
        <v>Approve</v>
      </c>
      <c r="N724" s="3" t="str">
        <f>IFERROR(__xludf.DUMMYFUNCTION("""COMPUTED_VALUE"""),"Urgent")</f>
        <v>Urgent</v>
      </c>
      <c r="O724" s="3" t="str">
        <f>IFERROR(__xludf.DUMMYFUNCTION("""COMPUTED_VALUE"""),"Waiting")</f>
        <v>Waiting</v>
      </c>
    </row>
    <row r="725">
      <c r="A725" s="4">
        <f>IFERROR(__xludf.DUMMYFUNCTION("""COMPUTED_VALUE"""),46133.94747658565)</f>
        <v>46133.94748</v>
      </c>
      <c r="B725" s="3" t="str">
        <f>IFERROR(__xludf.DUMMYFUNCTION("""COMPUTED_VALUE"""),"ANOBR0055")</f>
        <v>ANOBR0055</v>
      </c>
      <c r="C725" s="3" t="str">
        <f>IFERROR(__xludf.DUMMYFUNCTION("""COMPUTED_VALUE"""),"Consumable")</f>
        <v>Consumable</v>
      </c>
      <c r="D725" s="3" t="str">
        <f>IFERROR(__xludf.DUMMYFUNCTION("""COMPUTED_VALUE"""),"-")</f>
        <v>-</v>
      </c>
      <c r="E725" s="3" t="str">
        <f>IFERROR(__xludf.DUMMYFUNCTION("""COMPUTED_VALUE"""),"workshop")</f>
        <v>workshop</v>
      </c>
      <c r="F725" s="3" t="str">
        <f>IFERROR(__xludf.DUMMYFUNCTION("""COMPUTED_VALUE"""),"bor healty BOSCH")</f>
        <v>bor healty BOSCH</v>
      </c>
      <c r="G725" s="3" t="str">
        <f>IFERROR(__xludf.DUMMYFUNCTION("""COMPUTED_VALUE"""),"BOR Rotary Hammer 22mm BOSCH GBH220 / Mesin Bor Bobok Beton SDS Plus GBH-220 GBH 220 BOSCH")</f>
        <v>BOR Rotary Hammer 22mm BOSCH GBH220 / Mesin Bor Bobok Beton SDS Plus GBH-220 GBH 220 BOSCH</v>
      </c>
      <c r="H725" s="3" t="str">
        <f>IFERROR(__xludf.DUMMYFUNCTION("""COMPUTED_VALUE"""),"BOSCH")</f>
        <v>BOSCH</v>
      </c>
      <c r="I725" s="3">
        <f>IFERROR(__xludf.DUMMYFUNCTION("""COMPUTED_VALUE"""),1.0)</f>
        <v>1</v>
      </c>
      <c r="J725" s="3" t="str">
        <f>IFERROR(__xludf.DUMMYFUNCTION("""COMPUTED_VALUE"""),"UNIT")</f>
        <v>UNIT</v>
      </c>
      <c r="K725" s="5" t="str">
        <f>IFERROR(__xludf.DUMMYFUNCTION("""COMPUTED_VALUE"""),"https://www.tokopedia.com/miraclesporty/mesin-bor-beton-bosch-rotary-hammer-hammer-drill-bor-bobok-gbh-220-gbh220-bor-beton-tembok-22mm-1730590333702997662?aff_unique_id=&amp;channel=others&amp;chain_key=")</f>
        <v>https://www.tokopedia.com/miraclesporty/mesin-bor-beton-bosch-rotary-hammer-hammer-drill-bor-bobok-gbh-220-gbh220-bor-beton-tembok-22mm-1730590333702997662?aff_unique_id=&amp;channel=others&amp;chain_key=</v>
      </c>
      <c r="L725" s="3" t="str">
        <f>IFERROR(__xludf.DUMMYFUNCTION("""COMPUTED_VALUE"""),"kebutuhan project")</f>
        <v>kebutuhan project</v>
      </c>
      <c r="M725" s="3" t="str">
        <f>IFERROR(__xludf.DUMMYFUNCTION("""COMPUTED_VALUE"""),"Approve")</f>
        <v>Approve</v>
      </c>
      <c r="N725" s="3" t="str">
        <f>IFERROR(__xludf.DUMMYFUNCTION("""COMPUTED_VALUE"""),"Normal")</f>
        <v>Normal</v>
      </c>
      <c r="O725" s="3" t="str">
        <f>IFERROR(__xludf.DUMMYFUNCTION("""COMPUTED_VALUE"""),"Non Urgent")</f>
        <v>Non Urgent</v>
      </c>
    </row>
    <row r="726">
      <c r="A726" s="4">
        <f>IFERROR(__xludf.DUMMYFUNCTION("""COMPUTED_VALUE"""),46133.94879188657)</f>
        <v>46133.94879</v>
      </c>
      <c r="B726" s="3" t="str">
        <f>IFERROR(__xludf.DUMMYFUNCTION("""COMPUTED_VALUE"""),"ANOBR0056")</f>
        <v>ANOBR0056</v>
      </c>
      <c r="C726" s="3" t="str">
        <f>IFERROR(__xludf.DUMMYFUNCTION("""COMPUTED_VALUE"""),"Consumable")</f>
        <v>Consumable</v>
      </c>
      <c r="D726" s="3" t="str">
        <f>IFERROR(__xludf.DUMMYFUNCTION("""COMPUTED_VALUE"""),"-")</f>
        <v>-</v>
      </c>
      <c r="E726" s="3" t="str">
        <f>IFERROR(__xludf.DUMMYFUNCTION("""COMPUTED_VALUE"""),"workshop")</f>
        <v>workshop</v>
      </c>
      <c r="F726" s="3" t="str">
        <f>IFERROR(__xludf.DUMMYFUNCTION("""COMPUTED_VALUE"""),"mata bor healty")</f>
        <v>mata bor healty</v>
      </c>
      <c r="G726" s="3" t="str">
        <f>IFERROR(__xludf.DUMMYFUNCTION("""COMPUTED_VALUE"""),"mata  bor beton Healthy size 6,8,10,12,14,16,18,20,22")</f>
        <v>mata  bor beton Healthy size 6,8,10,12,14,16,18,20,22</v>
      </c>
      <c r="H726" s="3" t="str">
        <f>IFERROR(__xludf.DUMMYFUNCTION("""COMPUTED_VALUE"""),"ISKU")</f>
        <v>ISKU</v>
      </c>
      <c r="I726" s="3">
        <f>IFERROR(__xludf.DUMMYFUNCTION("""COMPUTED_VALUE"""),1.0)</f>
        <v>1</v>
      </c>
      <c r="J726" s="3" t="str">
        <f>IFERROR(__xludf.DUMMYFUNCTION("""COMPUTED_VALUE"""),"SET")</f>
        <v>SET</v>
      </c>
      <c r="K726" s="5" t="str">
        <f>IFERROR(__xludf.DUMMYFUNCTION("""COMPUTED_VALUE"""),"https://shopee.co.id/product/1410113315/29720530891?gads_t_sig=gqRjZGVrxHCFomtpsTE0MjUxOnRzc19zZGtfa2V5omt20QABpGFsZ2_SAAAAZKNkZWvAomN0xEAAAAAMRvS3L9OTXdZ5FJNxILig8p7lQ7pNpXYtdZAbsM8MQrkGmzJ0eOQRwaQfuYgAF9FAqYvxRTQ9oVrOjPOJqmNpcGhlcnRleHTEcwAAAAx-KXqI_vga"&amp;"kUFeqSwGS_l1UVBW2vxYI2L3umjGBsc6CG0CagoC9jwNBZY06PuYSQkCNM9-ulPUQVzkYGzo7AtDnslO4deh5EodoDqlR9MQla4kFok1CxmZbhoDYAF4h_V_BSC69CgfPu2O4gdNjMA&amp;gad_source=1&amp;gad_campaignid=23290582497&amp;gbraid=0AAAAADPpU80bLni-osjaedmdB_ob8fKd-&amp;gclid=CjwKCAjwwJzPBhBREiwAJfHRnVN"&amp;"oiwmhXvZSxByCToE0wsUMjMpYHm7pcX8TT215i1MhUYWDtrd1JBoCqigQAvD_BwE")</f>
        <v>https://shopee.co.id/product/1410113315/29720530891?gads_t_sig=gqRjZGVrxHCFomtpsTE0MjUxOnRzc19zZGtfa2V5omt20QABpGFsZ2_SAAAAZKNkZWvAomN0xEAAAAAMRvS3L9OTXdZ5FJNxILig8p7lQ7pNpXYtdZAbsM8MQrkGmzJ0eOQRwaQfuYgAF9FAqYvxRTQ9oVrOjPOJqmNpcGhlcnRleHTEcwAAAAx-KXqI_vgakUFeqSwGS_l1UVBW2vxYI2L3umjGBsc6CG0CagoC9jwNBZY06PuYSQkCNM9-ulPUQVzkYGzo7AtDnslO4deh5EodoDqlR9MQla4kFok1CxmZbhoDYAF4h_V_BSC69CgfPu2O4gdNjMA&amp;gad_source=1&amp;gad_campaignid=23290582497&amp;gbraid=0AAAAADPpU80bLni-osjaedmdB_ob8fKd-&amp;gclid=CjwKCAjwwJzPBhBREiwAJfHRnVNoiwmhXvZSxByCToE0wsUMjMpYHm7pcX8TT215i1MhUYWDtrd1JBoCqigQAvD_BwE</v>
      </c>
      <c r="L726" s="3" t="str">
        <f>IFERROR(__xludf.DUMMYFUNCTION("""COMPUTED_VALUE"""),"kebutuhan project")</f>
        <v>kebutuhan project</v>
      </c>
      <c r="M726" s="3" t="str">
        <f>IFERROR(__xludf.DUMMYFUNCTION("""COMPUTED_VALUE"""),"Approve")</f>
        <v>Approve</v>
      </c>
      <c r="N726" s="3" t="str">
        <f>IFERROR(__xludf.DUMMYFUNCTION("""COMPUTED_VALUE"""),"Normal")</f>
        <v>Normal</v>
      </c>
      <c r="O726" s="3" t="str">
        <f>IFERROR(__xludf.DUMMYFUNCTION("""COMPUTED_VALUE"""),"Non Urgent")</f>
        <v>Non Urgent</v>
      </c>
    </row>
    <row r="727">
      <c r="A727" s="4">
        <f>IFERROR(__xludf.DUMMYFUNCTION("""COMPUTED_VALUE"""),46133.953969594906)</f>
        <v>46133.95397</v>
      </c>
      <c r="B727" s="3" t="str">
        <f>IFERROR(__xludf.DUMMYFUNCTION("""COMPUTED_VALUE"""),"ANOBR0057")</f>
        <v>ANOBR0057</v>
      </c>
      <c r="C727" s="3" t="str">
        <f>IFERROR(__xludf.DUMMYFUNCTION("""COMPUTED_VALUE"""),"Consumable")</f>
        <v>Consumable</v>
      </c>
      <c r="D727" s="3" t="str">
        <f>IFERROR(__xludf.DUMMYFUNCTION("""COMPUTED_VALUE"""),"-")</f>
        <v>-</v>
      </c>
      <c r="E727" s="3" t="str">
        <f>IFERROR(__xludf.DUMMYFUNCTION("""COMPUTED_VALUE"""),"workshop")</f>
        <v>workshop</v>
      </c>
      <c r="F727" s="3" t="str">
        <f>IFERROR(__xludf.DUMMYFUNCTION("""COMPUTED_VALUE"""),"mata hole saw ")</f>
        <v>mata hole saw </v>
      </c>
      <c r="G727" s="3" t="str">
        <f>IFERROR(__xludf.DUMMYFUNCTION("""COMPUTED_VALUE"""),"hole saw size 16,18.5, 20,22,25,30,40,50,60")</f>
        <v>hole saw size 16,18.5, 20,22,25,30,40,50,60</v>
      </c>
      <c r="H727" s="3" t="str">
        <f>IFERROR(__xludf.DUMMYFUNCTION("""COMPUTED_VALUE"""),"TAFFWARE")</f>
        <v>TAFFWARE</v>
      </c>
      <c r="I727" s="3">
        <f>IFERROR(__xludf.DUMMYFUNCTION("""COMPUTED_VALUE"""),1.0)</f>
        <v>1</v>
      </c>
      <c r="J727" s="3" t="str">
        <f>IFERROR(__xludf.DUMMYFUNCTION("""COMPUTED_VALUE"""),"SET")</f>
        <v>SET</v>
      </c>
      <c r="K727" s="5" t="str">
        <f>IFERROR(__xludf.DUMMYFUNCTION("""COMPUTED_VALUE"""),"https://shopee.co.id/product/374626687/3477781329?gads_t_sig=gqRjZGVrxHCFomtpsTE0MjUxOnRzc19zZGtfa2V5omt20QABpGFsZ2_SAAAAZKNkZWvAomN0xEAAAAAMRvS3L9OTXdZ5FJNxILig8p7lQ7pNpXYtdZAbsM8MQrkGmzJ0eOQRwaQfuYgAF9FAqYvxRTQ9oVrOjPOJqmNpcGhlcnRleHTEbwAAAAykPENgu2UiSJ"&amp;"OdfSgVGdwS-0MS9NSHftqZS1AqUOcKOd6s7CBMim585dAwyu_mxbIvm6c0Jl_H6PwYVQ7Go1A0iyc3kjl85nHRJf-UzG6k3UqaeV4uW8JPn_KJLoG9A2V-r8UFYyezZtrU9Q&amp;gad_source=1&amp;gad_campaignid=23290582497&amp;gbraid=0AAAAADPpU80bLni-osjaedmdB_ob8fKd-&amp;gclid=CjwKCAjwwJzPBhBREiwAJfHRnRT3hlfkMp"&amp;"kJSDHZNu04tdFYMRaiNfM3ySpZw6HeLqC9IW3-0gtichoCSYAQAvD_BwE")</f>
        <v>https://shopee.co.id/product/374626687/3477781329?gads_t_sig=gqRjZGVrxHCFomtpsTE0MjUxOnRzc19zZGtfa2V5omt20QABpGFsZ2_SAAAAZKNkZWvAomN0xEAAAAAMRvS3L9OTXdZ5FJNxILig8p7lQ7pNpXYtdZAbsM8MQrkGmzJ0eOQRwaQfuYgAF9FAqYvxRTQ9oVrOjPOJqmNpcGhlcnRleHTEbwAAAAykPENgu2UiSJOdfSgVGdwS-0MS9NSHftqZS1AqUOcKOd6s7CBMim585dAwyu_mxbIvm6c0Jl_H6PwYVQ7Go1A0iyc3kjl85nHRJf-UzG6k3UqaeV4uW8JPn_KJLoG9A2V-r8UFYyezZtrU9Q&amp;gad_source=1&amp;gad_campaignid=23290582497&amp;gbraid=0AAAAADPpU80bLni-osjaedmdB_ob8fKd-&amp;gclid=CjwKCAjwwJzPBhBREiwAJfHRnRT3hlfkMpkJSDHZNu04tdFYMRaiNfM3ySpZw6HeLqC9IW3-0gtichoCSYAQAvD_BwE</v>
      </c>
      <c r="L727" s="3" t="str">
        <f>IFERROR(__xludf.DUMMYFUNCTION("""COMPUTED_VALUE"""),"Kebutuhan project")</f>
        <v>Kebutuhan project</v>
      </c>
      <c r="M727" s="3" t="str">
        <f>IFERROR(__xludf.DUMMYFUNCTION("""COMPUTED_VALUE"""),"Approve")</f>
        <v>Approve</v>
      </c>
      <c r="N727" s="3" t="str">
        <f>IFERROR(__xludf.DUMMYFUNCTION("""COMPUTED_VALUE"""),"Normal")</f>
        <v>Normal</v>
      </c>
      <c r="O727" s="3" t="str">
        <f>IFERROR(__xludf.DUMMYFUNCTION("""COMPUTED_VALUE"""),"Non Urgent")</f>
        <v>Non Urgent</v>
      </c>
    </row>
    <row r="728">
      <c r="A728" s="4">
        <f>IFERROR(__xludf.DUMMYFUNCTION("""COMPUTED_VALUE"""),46133.95766962963)</f>
        <v>46133.95767</v>
      </c>
      <c r="B728" s="3" t="str">
        <f>IFERROR(__xludf.DUMMYFUNCTION("""COMPUTED_VALUE"""),"NDSBR0058")</f>
        <v>NDSBR0058</v>
      </c>
      <c r="C728" s="3" t="str">
        <f>IFERROR(__xludf.DUMMYFUNCTION("""COMPUTED_VALUE"""),"EJO")</f>
        <v>EJO</v>
      </c>
      <c r="D728" s="3" t="str">
        <f>IFERROR(__xludf.DUMMYFUNCTION("""COMPUTED_VALUE"""),"EJO/2026/04/029")</f>
        <v>EJO/2026/04/029</v>
      </c>
      <c r="E728" s="3" t="str">
        <f>IFERROR(__xludf.DUMMYFUNCTION("""COMPUTED_VALUE"""),"Washing Lance")</f>
        <v>Washing Lance</v>
      </c>
      <c r="F728" s="3" t="str">
        <f>IFERROR(__xludf.DUMMYFUNCTION("""COMPUTED_VALUE"""),"As Washing Lance")</f>
        <v>As Washing Lance</v>
      </c>
      <c r="G728" s="3" t="str">
        <f>IFERROR(__xludf.DUMMYFUNCTION("""COMPUTED_VALUE"""),"bahan Sanitary ")</f>
        <v>bahan Sanitary </v>
      </c>
      <c r="H728" s="3" t="str">
        <f>IFERROR(__xludf.DUMMYFUNCTION("""COMPUTED_VALUE"""),"-")</f>
        <v>-</v>
      </c>
      <c r="I728" s="3">
        <f>IFERROR(__xludf.DUMMYFUNCTION("""COMPUTED_VALUE"""),1.0)</f>
        <v>1</v>
      </c>
      <c r="J728" s="3" t="str">
        <f>IFERROR(__xludf.DUMMYFUNCTION("""COMPUTED_VALUE"""),"PCS")</f>
        <v>PCS</v>
      </c>
      <c r="K728" s="3" t="str">
        <f>IFERROR(__xludf.DUMMYFUNCTION("""COMPUTED_VALUE"""),"-")</f>
        <v>-</v>
      </c>
      <c r="L728" s="3" t="str">
        <f>IFERROR(__xludf.DUMMYFUNCTION("""COMPUTED_VALUE"""),"Dulu sudah pernah beli")</f>
        <v>Dulu sudah pernah beli</v>
      </c>
      <c r="M728" s="3" t="str">
        <f>IFERROR(__xludf.DUMMYFUNCTION("""COMPUTED_VALUE"""),"Approve")</f>
        <v>Approve</v>
      </c>
      <c r="N728" s="3" t="str">
        <f>IFERROR(__xludf.DUMMYFUNCTION("""COMPUTED_VALUE"""),"Normal")</f>
        <v>Normal</v>
      </c>
      <c r="O728" s="3" t="str">
        <f>IFERROR(__xludf.DUMMYFUNCTION("""COMPUTED_VALUE"""),"Non Urgent")</f>
        <v>Non Urgent</v>
      </c>
    </row>
    <row r="729">
      <c r="A729" s="4">
        <f>IFERROR(__xludf.DUMMYFUNCTION("""COMPUTED_VALUE"""),46134.607008402774)</f>
        <v>46134.60701</v>
      </c>
      <c r="B729" s="3" t="str">
        <f>IFERROR(__xludf.DUMMYFUNCTION("""COMPUTED_VALUE"""),"SFHBR0058")</f>
        <v>SFHBR0058</v>
      </c>
      <c r="C729" s="3" t="str">
        <f>IFERROR(__xludf.DUMMYFUNCTION("""COMPUTED_VALUE"""),"EJO")</f>
        <v>EJO</v>
      </c>
      <c r="D729" s="3" t="str">
        <f>IFERROR(__xludf.DUMMYFUNCTION("""COMPUTED_VALUE"""),"-")</f>
        <v>-</v>
      </c>
      <c r="E729" s="3" t="str">
        <f>IFERROR(__xludf.DUMMYFUNCTION("""COMPUTED_VALUE"""),"lantai 2")</f>
        <v>lantai 2</v>
      </c>
      <c r="F729" s="3" t="str">
        <f>IFERROR(__xludf.DUMMYFUNCTION("""COMPUTED_VALUE"""),"Lem Putih Fox Biru Murah")</f>
        <v>Lem Putih Fox Biru Murah</v>
      </c>
      <c r="G729" s="3" t="str">
        <f>IFERROR(__xludf.DUMMYFUNCTION("""COMPUTED_VALUE"""),"lem putih buat campuran dempul")</f>
        <v>lem putih buat campuran dempul</v>
      </c>
      <c r="H729" s="3" t="str">
        <f>IFERROR(__xludf.DUMMYFUNCTION("""COMPUTED_VALUE"""),"fox")</f>
        <v>fox</v>
      </c>
      <c r="I729" s="3">
        <f>IFERROR(__xludf.DUMMYFUNCTION("""COMPUTED_VALUE"""),10.0)</f>
        <v>10</v>
      </c>
      <c r="J729" s="3" t="str">
        <f>IFERROR(__xludf.DUMMYFUNCTION("""COMPUTED_VALUE"""),"kg")</f>
        <v>kg</v>
      </c>
      <c r="K729" s="5" t="str">
        <f>IFERROR(__xludf.DUMMYFUNCTION("""COMPUTED_VALUE"""),"https://tk.tokopedia.com/ZS9RrKwA5/")</f>
        <v>https://tk.tokopedia.com/ZS9RrKwA5/</v>
      </c>
      <c r="L729" s="3" t="str">
        <f>IFERROR(__xludf.DUMMYFUNCTION("""COMPUTED_VALUE"""),"buat campuran dempul palfon dan dinding biar engga gampang retak")</f>
        <v>buat campuran dempul palfon dan dinding biar engga gampang retak</v>
      </c>
      <c r="M729" s="3" t="str">
        <f>IFERROR(__xludf.DUMMYFUNCTION("""COMPUTED_VALUE"""),"Approve")</f>
        <v>Approve</v>
      </c>
      <c r="N729" s="3" t="str">
        <f>IFERROR(__xludf.DUMMYFUNCTION("""COMPUTED_VALUE"""),"Normal")</f>
        <v>Normal</v>
      </c>
      <c r="O729" s="3" t="str">
        <f>IFERROR(__xludf.DUMMYFUNCTION("""COMPUTED_VALUE"""),"Non Urgent")</f>
        <v>Non Urgent</v>
      </c>
    </row>
    <row r="730">
      <c r="A730" s="4">
        <f>IFERROR(__xludf.DUMMYFUNCTION("""COMPUTED_VALUE"""),46135.66840275463)</f>
        <v>46135.6684</v>
      </c>
      <c r="B730" s="3" t="str">
        <f>IFERROR(__xludf.DUMMYFUNCTION("""COMPUTED_VALUE"""),"KFFBR0015")</f>
        <v>KFFBR0015</v>
      </c>
      <c r="C730" s="3" t="str">
        <f>IFERROR(__xludf.DUMMYFUNCTION("""COMPUTED_VALUE"""),"Consumable")</f>
        <v>Consumable</v>
      </c>
      <c r="D730" s="3" t="str">
        <f>IFERROR(__xludf.DUMMYFUNCTION("""COMPUTED_VALUE"""),"EJO/2025/09/131")</f>
        <v>EJO/2025/09/131</v>
      </c>
      <c r="E730" s="3" t="str">
        <f>IFERROR(__xludf.DUMMYFUNCTION("""COMPUTED_VALUE"""),"Workshop")</f>
        <v>Workshop</v>
      </c>
      <c r="F730" s="3" t="str">
        <f>IFERROR(__xludf.DUMMYFUNCTION("""COMPUTED_VALUE"""),"consumable for tools")</f>
        <v>consumable for tools</v>
      </c>
      <c r="G730" s="3" t="str">
        <f>IFERROR(__xludf.DUMMYFUNCTION("""COMPUTED_VALUE"""),"Penggaris Busur Derajat Protractor Adjustable 180 Derajat Stainless Steel Mistar Putar Pengukur Sudut")</f>
        <v>Penggaris Busur Derajat Protractor Adjustable 180 Derajat Stainless Steel Mistar Putar Pengukur Sudut</v>
      </c>
      <c r="H730" s="3" t="str">
        <f>IFERROR(__xludf.DUMMYFUNCTION("""COMPUTED_VALUE"""),"universal")</f>
        <v>universal</v>
      </c>
      <c r="I730" s="3">
        <f>IFERROR(__xludf.DUMMYFUNCTION("""COMPUTED_VALUE"""),2.0)</f>
        <v>2</v>
      </c>
      <c r="J730" s="3" t="str">
        <f>IFERROR(__xludf.DUMMYFUNCTION("""COMPUTED_VALUE"""),"pcs")</f>
        <v>pcs</v>
      </c>
      <c r="K730" s="5" t="str">
        <f>IFERROR(__xludf.DUMMYFUNCTION("""COMPUTED_VALUE"""),"https://tk.tokopedia.com/ZS9NeQqQu/")</f>
        <v>https://tk.tokopedia.com/ZS9NeQqQu/</v>
      </c>
      <c r="L730" s="3" t="str">
        <f>IFERROR(__xludf.DUMMYFUNCTION("""COMPUTED_VALUE"""),"tools consumable untuk pengukuran derajat ")</f>
        <v>tools consumable untuk pengukuran derajat </v>
      </c>
      <c r="M730" s="3" t="str">
        <f>IFERROR(__xludf.DUMMYFUNCTION("""COMPUTED_VALUE"""),"Waiting")</f>
        <v>Waiting</v>
      </c>
      <c r="N730" s="3" t="str">
        <f>IFERROR(__xludf.DUMMYFUNCTION("""COMPUTED_VALUE"""),"Waiting")</f>
        <v>Waiting</v>
      </c>
      <c r="O730" s="3" t="str">
        <f>IFERROR(__xludf.DUMMYFUNCTION("""COMPUTED_VALUE"""),"Non Urgent")</f>
        <v>Non Urgent</v>
      </c>
    </row>
    <row r="731">
      <c r="A731" s="4">
        <f>IFERROR(__xludf.DUMMYFUNCTION("""COMPUTED_VALUE"""),46135.67025984954)</f>
        <v>46135.67026</v>
      </c>
      <c r="B731" s="3" t="str">
        <f>IFERROR(__xludf.DUMMYFUNCTION("""COMPUTED_VALUE"""),"KFFBR0016")</f>
        <v>KFFBR0016</v>
      </c>
      <c r="C731" s="3" t="str">
        <f>IFERROR(__xludf.DUMMYFUNCTION("""COMPUTED_VALUE"""),"Consumable")</f>
        <v>Consumable</v>
      </c>
      <c r="D731" s="3" t="str">
        <f>IFERROR(__xludf.DUMMYFUNCTION("""COMPUTED_VALUE"""),"EJO/2026/04/055")</f>
        <v>EJO/2026/04/055</v>
      </c>
      <c r="E731" s="3" t="str">
        <f>IFERROR(__xludf.DUMMYFUNCTION("""COMPUTED_VALUE"""),"Stock")</f>
        <v>Stock</v>
      </c>
      <c r="F731" s="3" t="str">
        <f>IFERROR(__xludf.DUMMYFUNCTION("""COMPUTED_VALUE"""),"consumable part")</f>
        <v>consumable part</v>
      </c>
      <c r="G731" s="3" t="str">
        <f>IFERROR(__xludf.DUMMYFUNCTION("""COMPUTED_VALUE"""),"Karet Seal O Ring 1200pcs HNBR / Rubber O Ring Seal Tightening +Box - hitam 1200PCS")</f>
        <v>Karet Seal O Ring 1200pcs HNBR / Rubber O Ring Seal Tightening +Box - hitam 1200PCS</v>
      </c>
      <c r="H731" s="3" t="str">
        <f>IFERROR(__xludf.DUMMYFUNCTION("""COMPUTED_VALUE"""),"universal")</f>
        <v>universal</v>
      </c>
      <c r="I731" s="3">
        <f>IFERROR(__xludf.DUMMYFUNCTION("""COMPUTED_VALUE"""),1.0)</f>
        <v>1</v>
      </c>
      <c r="J731" s="3" t="str">
        <f>IFERROR(__xludf.DUMMYFUNCTION("""COMPUTED_VALUE"""),"set")</f>
        <v>set</v>
      </c>
      <c r="K731" s="5" t="str">
        <f>IFERROR(__xludf.DUMMYFUNCTION("""COMPUTED_VALUE"""),"https://tk.tokopedia.com/ZS9NeWf9q/")</f>
        <v>https://tk.tokopedia.com/ZS9NeWf9q/</v>
      </c>
      <c r="L731" s="3" t="str">
        <f>IFERROR(__xludf.DUMMYFUNCTION("""COMPUTED_VALUE"""),"o ring set untuk stock ")</f>
        <v>o ring set untuk stock </v>
      </c>
      <c r="M731" s="3" t="str">
        <f>IFERROR(__xludf.DUMMYFUNCTION("""COMPUTED_VALUE"""),"Waiting")</f>
        <v>Waiting</v>
      </c>
      <c r="N731" s="3" t="str">
        <f>IFERROR(__xludf.DUMMYFUNCTION("""COMPUTED_VALUE"""),"Waiting")</f>
        <v>Waiting</v>
      </c>
      <c r="O731" s="3" t="str">
        <f>IFERROR(__xludf.DUMMYFUNCTION("""COMPUTED_VALUE"""),"Non Urgent")</f>
        <v>Non Urgent</v>
      </c>
    </row>
    <row r="732">
      <c r="A732" s="4">
        <f>IFERROR(__xludf.DUMMYFUNCTION("""COMPUTED_VALUE"""),46135.915228935184)</f>
        <v>46135.91523</v>
      </c>
      <c r="B732" s="3" t="str">
        <f>IFERROR(__xludf.DUMMYFUNCTION("""COMPUTED_VALUE"""),"NDSBR0059")</f>
        <v>NDSBR0059</v>
      </c>
      <c r="C732" s="3" t="str">
        <f>IFERROR(__xludf.DUMMYFUNCTION("""COMPUTED_VALUE"""),"EJO")</f>
        <v>EJO</v>
      </c>
      <c r="D732" s="3" t="str">
        <f>IFERROR(__xludf.DUMMYFUNCTION("""COMPUTED_VALUE"""),"EJO/2026/04/031")</f>
        <v>EJO/2026/04/031</v>
      </c>
      <c r="E732" s="3" t="str">
        <f>IFERROR(__xludf.DUMMYFUNCTION("""COMPUTED_VALUE"""),"Wash Lance")</f>
        <v>Wash Lance</v>
      </c>
      <c r="F732" s="3" t="str">
        <f>IFERROR(__xludf.DUMMYFUNCTION("""COMPUTED_VALUE"""),"Spraybvall wash lance")</f>
        <v>Spraybvall wash lance</v>
      </c>
      <c r="G732" s="3" t="str">
        <f>IFERROR(__xludf.DUMMYFUNCTION("""COMPUTED_VALUE"""),"Sesuai Gambar")</f>
        <v>Sesuai Gambar</v>
      </c>
      <c r="H732" s="3" t="str">
        <f>IFERROR(__xludf.DUMMYFUNCTION("""COMPUTED_VALUE"""),"-")</f>
        <v>-</v>
      </c>
      <c r="I732" s="3">
        <f>IFERROR(__xludf.DUMMYFUNCTION("""COMPUTED_VALUE"""),1.0)</f>
        <v>1</v>
      </c>
      <c r="J732" s="3" t="str">
        <f>IFERROR(__xludf.DUMMYFUNCTION("""COMPUTED_VALUE"""),"pcs")</f>
        <v>pcs</v>
      </c>
      <c r="K732" s="5" t="str">
        <f>IFERROR(__xludf.DUMMYFUNCTION("""COMPUTED_VALUE"""),"https://drive.google.com/file/d/1zpC8wMxZddx_KtPRnD_yIgP04wUTugPT/view?usp=drive_link")</f>
        <v>https://drive.google.com/file/d/1zpC8wMxZddx_KtPRnD_yIgP04wUTugPT/view?usp=drive_link</v>
      </c>
      <c r="L732" s="3" t="str">
        <f>IFERROR(__xludf.DUMMYFUNCTION("""COMPUTED_VALUE"""),"-")</f>
        <v>-</v>
      </c>
      <c r="M732" s="3" t="str">
        <f>IFERROR(__xludf.DUMMYFUNCTION("""COMPUTED_VALUE"""),"Waiting")</f>
        <v>Waiting</v>
      </c>
      <c r="N732" s="3" t="str">
        <f>IFERROR(__xludf.DUMMYFUNCTION("""COMPUTED_VALUE"""),"Waiting")</f>
        <v>Waiting</v>
      </c>
      <c r="O732" s="3" t="str">
        <f>IFERROR(__xludf.DUMMYFUNCTION("""COMPUTED_VALUE"""),"Non Urgent")</f>
        <v>Non Urgent</v>
      </c>
    </row>
    <row r="733">
      <c r="A733" s="4">
        <f>IFERROR(__xludf.DUMMYFUNCTION("""COMPUTED_VALUE"""),46136.66087574074)</f>
        <v>46136.66088</v>
      </c>
      <c r="B733" s="3" t="str">
        <f>IFERROR(__xludf.DUMMYFUNCTION("""COMPUTED_VALUE"""),"RIABR0161")</f>
        <v>RIABR0161</v>
      </c>
      <c r="C733" s="3" t="str">
        <f>IFERROR(__xludf.DUMMYFUNCTION("""COMPUTED_VALUE"""),"EJO")</f>
        <v>EJO</v>
      </c>
      <c r="D733" s="3" t="str">
        <f>IFERROR(__xludf.DUMMYFUNCTION("""COMPUTED_VALUE"""),"EJO/2026/02/14")</f>
        <v>EJO/2026/02/14</v>
      </c>
      <c r="E733" s="3" t="str">
        <f>IFERROR(__xludf.DUMMYFUNCTION("""COMPUTED_VALUE"""),"N2 Generator")</f>
        <v>N2 Generator</v>
      </c>
      <c r="F733" s="3" t="str">
        <f>IFERROR(__xludf.DUMMYFUNCTION("""COMPUTED_VALUE"""),"Display Flow Meter")</f>
        <v>Display Flow Meter</v>
      </c>
      <c r="G733" s="3" t="str">
        <f>IFERROR(__xludf.DUMMYFUNCTION("""COMPUTED_VALUE"""),"Companel Display and Data Logger")</f>
        <v>Companel Display and Data Logger</v>
      </c>
      <c r="H733" s="3" t="str">
        <f>IFERROR(__xludf.DUMMYFUNCTION("""COMPUTED_VALUE"""),"Comate")</f>
        <v>Comate</v>
      </c>
      <c r="I733" s="3">
        <f>IFERROR(__xludf.DUMMYFUNCTION("""COMPUTED_VALUE"""),1.0)</f>
        <v>1</v>
      </c>
      <c r="J733" s="3" t="str">
        <f>IFERROR(__xludf.DUMMYFUNCTION("""COMPUTED_VALUE"""),"Pcs")</f>
        <v>Pcs</v>
      </c>
      <c r="K733" s="5" t="str">
        <f>IFERROR(__xludf.DUMMYFUNCTION("""COMPUTED_VALUE"""),"https://drive.google.com/file/d/1wM-9n7WDrWWYEFsPO11kqSs5Hp9UTVX8/view?usp=sharing")</f>
        <v>https://drive.google.com/file/d/1wM-9n7WDrWWYEFsPO11kqSs5Hp9UTVX8/view?usp=sharing</v>
      </c>
      <c r="L733" s="3" t="str">
        <f>IFERROR(__xludf.DUMMYFUNCTION("""COMPUTED_VALUE"""),"Untuk display n2")</f>
        <v>Untuk display n2</v>
      </c>
      <c r="M733" s="3" t="str">
        <f>IFERROR(__xludf.DUMMYFUNCTION("""COMPUTED_VALUE"""),"Approve")</f>
        <v>Approve</v>
      </c>
      <c r="N733" s="3" t="str">
        <f>IFERROR(__xludf.DUMMYFUNCTION("""COMPUTED_VALUE"""),"Normal")</f>
        <v>Normal</v>
      </c>
      <c r="O733" s="3" t="str">
        <f>IFERROR(__xludf.DUMMYFUNCTION("""COMPUTED_VALUE"""),"Non Urgent")</f>
        <v>Non Urgent</v>
      </c>
    </row>
    <row r="734">
      <c r="A734" s="4">
        <f>IFERROR(__xludf.DUMMYFUNCTION("""COMPUTED_VALUE"""),46136.66168539351)</f>
        <v>46136.66169</v>
      </c>
      <c r="B734" s="3" t="str">
        <f>IFERROR(__xludf.DUMMYFUNCTION("""COMPUTED_VALUE"""),"RIABR0162")</f>
        <v>RIABR0162</v>
      </c>
      <c r="C734" s="3" t="str">
        <f>IFERROR(__xludf.DUMMYFUNCTION("""COMPUTED_VALUE"""),"EJO")</f>
        <v>EJO</v>
      </c>
      <c r="D734" s="3" t="str">
        <f>IFERROR(__xludf.DUMMYFUNCTION("""COMPUTED_VALUE"""),"EJO/2026/02/14")</f>
        <v>EJO/2026/02/14</v>
      </c>
      <c r="E734" s="3" t="str">
        <f>IFERROR(__xludf.DUMMYFUNCTION("""COMPUTED_VALUE"""),"N2 Generator")</f>
        <v>N2 Generator</v>
      </c>
      <c r="F734" s="3" t="str">
        <f>IFERROR(__xludf.DUMMYFUNCTION("""COMPUTED_VALUE"""),"Sensor Dew Poin")</f>
        <v>Sensor Dew Poin</v>
      </c>
      <c r="G734" s="3" t="str">
        <f>IFERROR(__xludf.DUMMYFUNCTION("""COMPUTED_VALUE"""),"Dry Air (After Dryer)
DP212 (-80°Ctd...+20°Ctd)
24VDC power, 3 wire 4~20mA +RS485 + Bluetooth
output/comm
Accuracy: ±1°C in +50°Ctd...-20°Ctd
±2°C in -20°Ctd...-50°Ctd
±3°C in -50°Ctd...-80°Ctd
Bluetooth funtion , can read, set and remote diagnosis"&amp;"
Polymer sensor with upgrade algorithm for quick
response time")</f>
        <v>Dry Air (After Dryer)
DP212 (-80°Ctd...+20°Ctd)
24VDC power, 3 wire 4~20mA +RS485 + Bluetooth
output/comm
Accuracy: ±1°C in +50°Ctd...-20°Ctd
±2°C in -20°Ctd...-50°Ctd
±3°C in -50°Ctd...-80°Ctd
Bluetooth funtion , can read, set and remote diagnosis
Polymer sensor with upgrade algorithm for quick
response time</v>
      </c>
      <c r="H734" s="3" t="str">
        <f>IFERROR(__xludf.DUMMYFUNCTION("""COMPUTED_VALUE"""),"Comate")</f>
        <v>Comate</v>
      </c>
      <c r="I734" s="3">
        <f>IFERROR(__xludf.DUMMYFUNCTION("""COMPUTED_VALUE"""),1.0)</f>
        <v>1</v>
      </c>
      <c r="J734" s="3" t="str">
        <f>IFERROR(__xludf.DUMMYFUNCTION("""COMPUTED_VALUE"""),"Pcs")</f>
        <v>Pcs</v>
      </c>
      <c r="K734" s="3" t="str">
        <f>IFERROR(__xludf.DUMMYFUNCTION("""COMPUTED_VALUE"""),"Ref.260422-IND058KT Dewpoint 212 PT FONCO.pdf")</f>
        <v>Ref.260422-IND058KT Dewpoint 212 PT FONCO.pdf</v>
      </c>
      <c r="L734" s="3" t="str">
        <f>IFERROR(__xludf.DUMMYFUNCTION("""COMPUTED_VALUE"""),"Untuk Dew Point sensor n2")</f>
        <v>Untuk Dew Point sensor n2</v>
      </c>
      <c r="M734" s="3" t="str">
        <f>IFERROR(__xludf.DUMMYFUNCTION("""COMPUTED_VALUE"""),"Approve")</f>
        <v>Approve</v>
      </c>
      <c r="N734" s="3" t="str">
        <f>IFERROR(__xludf.DUMMYFUNCTION("""COMPUTED_VALUE"""),"Normal")</f>
        <v>Normal</v>
      </c>
      <c r="O734" s="3" t="str">
        <f>IFERROR(__xludf.DUMMYFUNCTION("""COMPUTED_VALUE"""),"Non Urgent")</f>
        <v>Non Urgent</v>
      </c>
    </row>
    <row r="735">
      <c r="A735" s="4">
        <f>IFERROR(__xludf.DUMMYFUNCTION("""COMPUTED_VALUE"""),46136.6622946412)</f>
        <v>46136.66229</v>
      </c>
      <c r="B735" s="3" t="str">
        <f>IFERROR(__xludf.DUMMYFUNCTION("""COMPUTED_VALUE"""),"RIABR0163")</f>
        <v>RIABR0163</v>
      </c>
      <c r="C735" s="3" t="str">
        <f>IFERROR(__xludf.DUMMYFUNCTION("""COMPUTED_VALUE"""),"EJO")</f>
        <v>EJO</v>
      </c>
      <c r="D735" s="3" t="str">
        <f>IFERROR(__xludf.DUMMYFUNCTION("""COMPUTED_VALUE"""),"EJO/2026/02/14")</f>
        <v>EJO/2026/02/14</v>
      </c>
      <c r="E735" s="3" t="str">
        <f>IFERROR(__xludf.DUMMYFUNCTION("""COMPUTED_VALUE"""),"N2 Generator")</f>
        <v>N2 Generator</v>
      </c>
      <c r="F735" s="3" t="str">
        <f>IFERROR(__xludf.DUMMYFUNCTION("""COMPUTED_VALUE"""),"Sensor Flow Meter")</f>
        <v>Sensor Flow Meter</v>
      </c>
      <c r="G735" s="3" t="str">
        <f>IFERROR(__xludf.DUMMYFUNCTION("""COMPUTED_VALUE"""),"Micro Flow Meter TGF260-1-B-G-15 for 15 mm pipe pipe by g male thread connection
Accuracy: 1.5% of reading + 0.3% of full scale
Repeatability: 0.3% of reading
Storage Temperature: - 20~+50°C
Transportation Temperature: - 30~60°C
Temperature of medium"&amp;": -20~100°C
Pressure of medium: 1.6 Mpa
Power Supply: 10~35 VDC / 200 mA
Response time: 160 millisecond
Communication: Pulse,4~20mA output, RS485 communication, Bluetooth,
Flow velocity: 0.3 ~ 30Nm/s
Standard flow measure range: 8.8 ~ 882..8 NL/min")</f>
        <v>Micro Flow Meter TGF260-1-B-G-15 for 15 mm pipe pipe by g male thread connection
Accuracy: 1.5% of reading + 0.3% of full scale
Repeatability: 0.3% of reading
Storage Temperature: - 20~+50°C
Transportation Temperature: - 30~60°C
Temperature of medium: -20~100°C
Pressure of medium: 1.6 Mpa
Power Supply: 10~35 VDC / 200 mA
Response time: 160 millisecond
Communication: Pulse,4~20mA output, RS485 communication, Bluetooth,
Flow velocity: 0.3 ~ 30Nm/s
Standard flow measure range: 8.8 ~ 882..8 NL/min</v>
      </c>
      <c r="H735" s="3" t="str">
        <f>IFERROR(__xludf.DUMMYFUNCTION("""COMPUTED_VALUE"""),"Comate")</f>
        <v>Comate</v>
      </c>
      <c r="I735" s="3">
        <f>IFERROR(__xludf.DUMMYFUNCTION("""COMPUTED_VALUE"""),1.0)</f>
        <v>1</v>
      </c>
      <c r="J735" s="3" t="str">
        <f>IFERROR(__xludf.DUMMYFUNCTION("""COMPUTED_VALUE"""),"Pcs")</f>
        <v>Pcs</v>
      </c>
      <c r="K735" s="3" t="str">
        <f>IFERROR(__xludf.DUMMYFUNCTION("""COMPUTED_VALUE"""),"Ref.260422-IND057JKT Flow Meter N2 PT Fonco.pdf")</f>
        <v>Ref.260422-IND057JKT Flow Meter N2 PT Fonco.pdf</v>
      </c>
      <c r="L735" s="3" t="str">
        <f>IFERROR(__xludf.DUMMYFUNCTION("""COMPUTED_VALUE"""),"Flow meter n2")</f>
        <v>Flow meter n2</v>
      </c>
      <c r="M735" s="3" t="str">
        <f>IFERROR(__xludf.DUMMYFUNCTION("""COMPUTED_VALUE"""),"Approve")</f>
        <v>Approve</v>
      </c>
      <c r="N735" s="3" t="str">
        <f>IFERROR(__xludf.DUMMYFUNCTION("""COMPUTED_VALUE"""),"Normal")</f>
        <v>Normal</v>
      </c>
      <c r="O735" s="3" t="str">
        <f>IFERROR(__xludf.DUMMYFUNCTION("""COMPUTED_VALUE"""),"Non Urgent")</f>
        <v>Non Urgent</v>
      </c>
    </row>
    <row r="736">
      <c r="A736" s="4">
        <f>IFERROR(__xludf.DUMMYFUNCTION("""COMPUTED_VALUE"""),46141.56928729166)</f>
        <v>46141.56929</v>
      </c>
      <c r="B736" s="3" t="str">
        <f>IFERROR(__xludf.DUMMYFUNCTION("""COMPUTED_VALUE"""),"SFHBR0036")</f>
        <v>SFHBR0036</v>
      </c>
      <c r="C736" s="3" t="str">
        <f>IFERROR(__xludf.DUMMYFUNCTION("""COMPUTED_VALUE"""),"EJO")</f>
        <v>EJO</v>
      </c>
      <c r="D736" s="3" t="str">
        <f>IFERROR(__xludf.DUMMYFUNCTION("""COMPUTED_VALUE"""),"EJO/2025/138")</f>
        <v>EJO/2025/138</v>
      </c>
      <c r="E736" s="3" t="str">
        <f>IFERROR(__xludf.DUMMYFUNCTION("""COMPUTED_VALUE"""),"Lantai 3")</f>
        <v>Lantai 3</v>
      </c>
      <c r="F736" s="3" t="str">
        <f>IFERROR(__xludf.DUMMYFUNCTION("""COMPUTED_VALUE"""),"Kunci Tusuk Kunci Laci Kunci Tekan Push Lock HUBEN HL 105")</f>
        <v>Kunci Tusuk Kunci Laci Kunci Tekan Push Lock HUBEN HL 105</v>
      </c>
      <c r="G736" s="3" t="str">
        <f>IFERROR(__xludf.DUMMYFUNCTION("""COMPUTED_VALUE"""),"Kunci Tusuk Kunci Laci Kunci Tekan Push Lock HUBEN HL 105")</f>
        <v>Kunci Tusuk Kunci Laci Kunci Tekan Push Lock HUBEN HL 105</v>
      </c>
      <c r="H736" s="3" t="str">
        <f>IFERROR(__xludf.DUMMYFUNCTION("""COMPUTED_VALUE"""),"hubben")</f>
        <v>hubben</v>
      </c>
      <c r="I736" s="3">
        <f>IFERROR(__xludf.DUMMYFUNCTION("""COMPUTED_VALUE"""),5.0)</f>
        <v>5</v>
      </c>
      <c r="J736" s="3" t="str">
        <f>IFERROR(__xludf.DUMMYFUNCTION("""COMPUTED_VALUE"""),"pcs")</f>
        <v>pcs</v>
      </c>
      <c r="K736" s="5" t="str">
        <f>IFERROR(__xludf.DUMMYFUNCTION("""COMPUTED_VALUE"""),"https://tk.tokopedia.com/ZSDvcvphB/")</f>
        <v>https://tk.tokopedia.com/ZSDvcvphB/</v>
      </c>
      <c r="L736" s="3" t="str">
        <f>IFERROR(__xludf.DUMMYFUNCTION("""COMPUTED_VALUE"""),"-")</f>
        <v>-</v>
      </c>
      <c r="M736" s="3" t="str">
        <f>IFERROR(__xludf.DUMMYFUNCTION("""COMPUTED_VALUE"""),"Approve")</f>
        <v>Approve</v>
      </c>
      <c r="N736" s="3" t="str">
        <f>IFERROR(__xludf.DUMMYFUNCTION("""COMPUTED_VALUE"""),"Normal")</f>
        <v>Normal</v>
      </c>
      <c r="O736" s="3" t="str">
        <f>IFERROR(__xludf.DUMMYFUNCTION("""COMPUTED_VALUE"""),"Non Urgent")</f>
        <v>Non Urgent</v>
      </c>
    </row>
    <row r="737">
      <c r="A737" s="4">
        <f>IFERROR(__xludf.DUMMYFUNCTION("""COMPUTED_VALUE"""),46142.633234085646)</f>
        <v>46142.63323</v>
      </c>
      <c r="B737" s="3" t="str">
        <f>IFERROR(__xludf.DUMMYFUNCTION("""COMPUTED_VALUE"""),"RIABR0164")</f>
        <v>RIABR0164</v>
      </c>
      <c r="C737" s="3" t="str">
        <f>IFERROR(__xludf.DUMMYFUNCTION("""COMPUTED_VALUE"""),"Critical Part")</f>
        <v>Critical Part</v>
      </c>
      <c r="D737" s="3" t="str">
        <f>IFERROR(__xludf.DUMMYFUNCTION("""COMPUTED_VALUE"""),"-")</f>
        <v>-</v>
      </c>
      <c r="E737" s="3" t="str">
        <f>IFERROR(__xludf.DUMMYFUNCTION("""COMPUTED_VALUE"""),"Air Hujan")</f>
        <v>Air Hujan</v>
      </c>
      <c r="F737" s="3" t="str">
        <f>IFERROR(__xludf.DUMMYFUNCTION("""COMPUTED_VALUE"""),"Discharge ADC")</f>
        <v>Discharge ADC</v>
      </c>
      <c r="G737" s="3" t="str">
        <f>IFERROR(__xludf.DUMMYFUNCTION("""COMPUTED_VALUE"""),"Discharge ADC T-DN 50 mm")</f>
        <v>Discharge ADC T-DN 50 mm</v>
      </c>
      <c r="H737" s="3" t="str">
        <f>IFERROR(__xludf.DUMMYFUNCTION("""COMPUTED_VALUE"""),"Grundfoss")</f>
        <v>Grundfoss</v>
      </c>
      <c r="I737" s="3">
        <f>IFERROR(__xludf.DUMMYFUNCTION("""COMPUTED_VALUE"""),2.0)</f>
        <v>2</v>
      </c>
      <c r="J737" s="3" t="str">
        <f>IFERROR(__xludf.DUMMYFUNCTION("""COMPUTED_VALUE"""),"Set")</f>
        <v>Set</v>
      </c>
      <c r="K737" s="3" t="str">
        <f>IFERROR(__xludf.DUMMYFUNCTION("""COMPUTED_VALUE"""),"063-PT Fonko International Pharmaceuticlas.pdf")</f>
        <v>063-PT Fonko International Pharmaceuticlas.pdf</v>
      </c>
      <c r="L737" s="3" t="str">
        <f>IFERROR(__xludf.DUMMYFUNCTION("""COMPUTED_VALUE"""),"Untuk koneksi flange oulet pompa air hujan butuh 2 pcs (REJECT BY MFH KARENA PAKAI POMPA CELUP DARI PA KRIS)")</f>
        <v>Untuk koneksi flange oulet pompa air hujan butuh 2 pcs (REJECT BY MFH KARENA PAKAI POMPA CELUP DARI PA KRIS)</v>
      </c>
      <c r="M737" s="3" t="str">
        <f>IFERROR(__xludf.DUMMYFUNCTION("""COMPUTED_VALUE"""),"Reject")</f>
        <v>Reject</v>
      </c>
      <c r="N737" s="3" t="str">
        <f>IFERROR(__xludf.DUMMYFUNCTION("""COMPUTED_VALUE"""),"Normal")</f>
        <v>Normal</v>
      </c>
      <c r="O737" s="3" t="str">
        <f>IFERROR(__xludf.DUMMYFUNCTION("""COMPUTED_VALUE"""),"Non Urgent")</f>
        <v>Non Urgent</v>
      </c>
    </row>
    <row r="738">
      <c r="A738" s="4">
        <f>IFERROR(__xludf.DUMMYFUNCTION("""COMPUTED_VALUE"""),46142.63494993056)</f>
        <v>46142.63495</v>
      </c>
      <c r="B738" s="3" t="str">
        <f>IFERROR(__xludf.DUMMYFUNCTION("""COMPUTED_VALUE"""),"RIABR0165")</f>
        <v>RIABR0165</v>
      </c>
      <c r="C738" s="3" t="str">
        <f>IFERROR(__xludf.DUMMYFUNCTION("""COMPUTED_VALUE"""),"EJO")</f>
        <v>EJO</v>
      </c>
      <c r="D738" s="3" t="str">
        <f>IFERROR(__xludf.DUMMYFUNCTION("""COMPUTED_VALUE"""),"-")</f>
        <v>-</v>
      </c>
      <c r="E738" s="3" t="str">
        <f>IFERROR(__xludf.DUMMYFUNCTION("""COMPUTED_VALUE"""),"Air Hujan")</f>
        <v>Air Hujan</v>
      </c>
      <c r="F738" s="3" t="str">
        <f>IFERROR(__xludf.DUMMYFUNCTION("""COMPUTED_VALUE"""),"Pompa Submersible")</f>
        <v>Pompa Submersible</v>
      </c>
      <c r="G738" s="3" t="str">
        <f>IFERROR(__xludf.DUMMYFUNCTION("""COMPUTED_VALUE"""),"DPK.10.50.15.5 0D")</f>
        <v>DPK.10.50.15.5 0D</v>
      </c>
      <c r="H738" s="3" t="str">
        <f>IFERROR(__xludf.DUMMYFUNCTION("""COMPUTED_VALUE"""),"Grundfoss")</f>
        <v>Grundfoss</v>
      </c>
      <c r="I738" s="3">
        <f>IFERROR(__xludf.DUMMYFUNCTION("""COMPUTED_VALUE"""),1.0)</f>
        <v>1</v>
      </c>
      <c r="J738" s="3" t="str">
        <f>IFERROR(__xludf.DUMMYFUNCTION("""COMPUTED_VALUE"""),"Set")</f>
        <v>Set</v>
      </c>
      <c r="K738" s="3" t="str">
        <f>IFERROR(__xludf.DUMMYFUNCTION("""COMPUTED_VALUE"""),"063-PT Fonko International Pharmaceuticlas.pdf")</f>
        <v>063-PT Fonko International Pharmaceuticlas.pdf</v>
      </c>
      <c r="L738" s="3" t="str">
        <f>IFERROR(__xludf.DUMMYFUNCTION("""COMPUTED_VALUE"""),"Untuk pompa air hujan spare (REJECT BY MFH KARENA SUDAH DI BQ MRN)")</f>
        <v>Untuk pompa air hujan spare (REJECT BY MFH KARENA SUDAH DI BQ MRN)</v>
      </c>
      <c r="M738" s="3" t="str">
        <f>IFERROR(__xludf.DUMMYFUNCTION("""COMPUTED_VALUE"""),"Reject")</f>
        <v>Reject</v>
      </c>
      <c r="N738" s="3" t="str">
        <f>IFERROR(__xludf.DUMMYFUNCTION("""COMPUTED_VALUE"""),"Normal")</f>
        <v>Normal</v>
      </c>
      <c r="O738" s="3" t="str">
        <f>IFERROR(__xludf.DUMMYFUNCTION("""COMPUTED_VALUE"""),"Non Urgent")</f>
        <v>Non Urgent</v>
      </c>
    </row>
    <row r="739">
      <c r="A739" s="4">
        <f>IFERROR(__xludf.DUMMYFUNCTION("""COMPUTED_VALUE"""),46142.63764476852)</f>
        <v>46142.63764</v>
      </c>
      <c r="B739" s="3" t="str">
        <f>IFERROR(__xludf.DUMMYFUNCTION("""COMPUTED_VALUE"""),"RIABR0166")</f>
        <v>RIABR0166</v>
      </c>
      <c r="C739" s="3" t="str">
        <f>IFERROR(__xludf.DUMMYFUNCTION("""COMPUTED_VALUE"""),"EJO")</f>
        <v>EJO</v>
      </c>
      <c r="D739" s="3" t="str">
        <f>IFERROR(__xludf.DUMMYFUNCTION("""COMPUTED_VALUE"""),"-")</f>
        <v>-</v>
      </c>
      <c r="E739" s="3" t="str">
        <f>IFERROR(__xludf.DUMMYFUNCTION("""COMPUTED_VALUE"""),"PWG")</f>
        <v>PWG</v>
      </c>
      <c r="F739" s="3" t="str">
        <f>IFERROR(__xludf.DUMMYFUNCTION("""COMPUTED_VALUE"""),"Solenoid Valve")</f>
        <v>Solenoid Valve</v>
      </c>
      <c r="G739" s="3" t="str">
        <f>IFERROR(__xludf.DUMMYFUNCTION("""COMPUTED_VALUE"""),"MAC Valve
34C-L00-GDF0-1DJ; MAC")</f>
        <v>MAC Valve
34C-L00-GDF0-1DJ; MAC</v>
      </c>
      <c r="H739" s="3" t="str">
        <f>IFERROR(__xludf.DUMMYFUNCTION("""COMPUTED_VALUE"""),"Austar")</f>
        <v>Austar</v>
      </c>
      <c r="I739" s="3">
        <f>IFERROR(__xludf.DUMMYFUNCTION("""COMPUTED_VALUE"""),5.0)</f>
        <v>5</v>
      </c>
      <c r="J739" s="3" t="str">
        <f>IFERROR(__xludf.DUMMYFUNCTION("""COMPUTED_VALUE"""),"Pcs")</f>
        <v>Pcs</v>
      </c>
      <c r="K739" s="3" t="str">
        <f>IFERROR(__xludf.DUMMYFUNCTION("""COMPUTED_VALUE"""),"BNP-FONKO-RA-SP82-04-26.pdf")</f>
        <v>BNP-FONKO-RA-SP82-04-26.pdf</v>
      </c>
      <c r="L739" s="3" t="str">
        <f>IFERROR(__xludf.DUMMYFUNCTION("""COMPUTED_VALUE"""),"Untuk ganti sv pwg yang sempat macet")</f>
        <v>Untuk ganti sv pwg yang sempat macet</v>
      </c>
      <c r="M739" s="3" t="str">
        <f>IFERROR(__xludf.DUMMYFUNCTION("""COMPUTED_VALUE"""),"Approve")</f>
        <v>Approve</v>
      </c>
      <c r="N739" s="3" t="str">
        <f>IFERROR(__xludf.DUMMYFUNCTION("""COMPUTED_VALUE"""),"Normal")</f>
        <v>Normal</v>
      </c>
      <c r="O739" s="3" t="str">
        <f>IFERROR(__xludf.DUMMYFUNCTION("""COMPUTED_VALUE"""),"Non Urgent")</f>
        <v>Non Urgent</v>
      </c>
    </row>
    <row r="740">
      <c r="A740" s="4">
        <f>IFERROR(__xludf.DUMMYFUNCTION("""COMPUTED_VALUE"""),46147.90925295139)</f>
        <v>46147.90925</v>
      </c>
      <c r="B740" s="3" t="str">
        <f>IFERROR(__xludf.DUMMYFUNCTION("""COMPUTED_VALUE"""),"BDUBR0009")</f>
        <v>BDUBR0009</v>
      </c>
      <c r="C740" s="3" t="str">
        <f>IFERROR(__xludf.DUMMYFUNCTION("""COMPUTED_VALUE"""),"MIn Stok")</f>
        <v>MIn Stok</v>
      </c>
      <c r="D740" s="3" t="str">
        <f>IFERROR(__xludf.DUMMYFUNCTION("""COMPUTED_VALUE"""),"-")</f>
        <v>-</v>
      </c>
      <c r="E740" s="3" t="str">
        <f>IFERROR(__xludf.DUMMYFUNCTION("""COMPUTED_VALUE"""),"PC FTIR")</f>
        <v>PC FTIR</v>
      </c>
      <c r="F740" s="3" t="str">
        <f>IFERROR(__xludf.DUMMYFUNCTION("""COMPUTED_VALUE"""),"Harddisk Internal")</f>
        <v>Harddisk Internal</v>
      </c>
      <c r="G740" s="3" t="str">
        <f>IFERROR(__xludf.DUMMYFUNCTION("""COMPUTED_VALUE"""),"1Tb, 3.5 Inch")</f>
        <v>1Tb, 3.5 Inch</v>
      </c>
      <c r="H740" s="3" t="str">
        <f>IFERROR(__xludf.DUMMYFUNCTION("""COMPUTED_VALUE"""),"Seagate")</f>
        <v>Seagate</v>
      </c>
      <c r="I740" s="3">
        <f>IFERROR(__xludf.DUMMYFUNCTION("""COMPUTED_VALUE"""),3.0)</f>
        <v>3</v>
      </c>
      <c r="J740" s="3" t="str">
        <f>IFERROR(__xludf.DUMMYFUNCTION("""COMPUTED_VALUE"""),"Pcs")</f>
        <v>Pcs</v>
      </c>
      <c r="K740" s="5" t="str">
        <f>IFERROR(__xludf.DUMMYFUNCTION("""COMPUTED_VALUE"""),"https://www.tokopedia.com/it-shoponline/seagate-barracuda-35-desktop-1tb-harddisk-1729568468913260609?extParam=ivf%3Dfalse%26keyword%3Dhdd+3.5+1tb+seagate%26search_id%3D2026050305424440008B9A5380FC10CY8F%26src%3Dsearch%26whid%3D12666244&amp;t_id=1777786980558"&amp;"&amp;t_st=1&amp;t_pp=search_result&amp;t_efo=search_pure_goods_card&amp;t_ef=goods_search&amp;t_sm=&amp;t_spt=search_result")</f>
        <v>https://www.tokopedia.com/it-shoponline/seagate-barracuda-35-desktop-1tb-harddisk-1729568468913260609?extParam=ivf%3Dfalse%26keyword%3Dhdd+3.5+1tb+seagate%26search_id%3D2026050305424440008B9A5380FC10CY8F%26src%3Dsearch%26whid%3D12666244&amp;t_id=1777786980558&amp;t_st=1&amp;t_pp=search_result&amp;t_efo=search_pure_goods_card&amp;t_ef=goods_search&amp;t_sm=&amp;t_spt=search_result</v>
      </c>
      <c r="L740" s="3" t="str">
        <f>IFERROR(__xludf.DUMMYFUNCTION("""COMPUTED_VALUE"""),"Untuk Pengganti SSD yang dipakai FTIR (dan spare)")</f>
        <v>Untuk Pengganti SSD yang dipakai FTIR (dan spare)</v>
      </c>
      <c r="M740" s="3" t="str">
        <f>IFERROR(__xludf.DUMMYFUNCTION("""COMPUTED_VALUE"""),"Approve")</f>
        <v>Approve</v>
      </c>
      <c r="N740" s="3" t="str">
        <f>IFERROR(__xludf.DUMMYFUNCTION("""COMPUTED_VALUE"""),"Normal")</f>
        <v>Normal</v>
      </c>
      <c r="O740" s="3" t="str">
        <f>IFERROR(__xludf.DUMMYFUNCTION("""COMPUTED_VALUE"""),"Non Urgent")</f>
        <v>Non Urgent</v>
      </c>
    </row>
    <row r="741">
      <c r="A741" s="4">
        <f>IFERROR(__xludf.DUMMYFUNCTION("""COMPUTED_VALUE"""),46147.90927142361)</f>
        <v>46147.90927</v>
      </c>
      <c r="B741" s="3" t="str">
        <f>IFERROR(__xludf.DUMMYFUNCTION("""COMPUTED_VALUE"""),"BDUBR0010")</f>
        <v>BDUBR0010</v>
      </c>
      <c r="C741" s="3" t="str">
        <f>IFERROR(__xludf.DUMMYFUNCTION("""COMPUTED_VALUE"""),"MIn Stok")</f>
        <v>MIn Stok</v>
      </c>
      <c r="D741" s="3" t="str">
        <f>IFERROR(__xludf.DUMMYFUNCTION("""COMPUTED_VALUE"""),"-")</f>
        <v>-</v>
      </c>
      <c r="E741" s="3" t="str">
        <f>IFERROR(__xludf.DUMMYFUNCTION("""COMPUTED_VALUE"""),"RAM PC FTIR")</f>
        <v>RAM PC FTIR</v>
      </c>
      <c r="F741" s="3" t="str">
        <f>IFERROR(__xludf.DUMMYFUNCTION("""COMPUTED_VALUE"""),"RAM DDR3")</f>
        <v>RAM DDR3</v>
      </c>
      <c r="G741" s="3" t="str">
        <f>IFERROR(__xludf.DUMMYFUNCTION("""COMPUTED_VALUE"""),"DDR3, LongDIMM, 4GB")</f>
        <v>DDR3, LongDIMM, 4GB</v>
      </c>
      <c r="H741" s="3" t="str">
        <f>IFERROR(__xludf.DUMMYFUNCTION("""COMPUTED_VALUE"""),"Kingston")</f>
        <v>Kingston</v>
      </c>
      <c r="I741" s="3">
        <f>IFERROR(__xludf.DUMMYFUNCTION("""COMPUTED_VALUE"""),1.0)</f>
        <v>1</v>
      </c>
      <c r="J741" s="3" t="str">
        <f>IFERROR(__xludf.DUMMYFUNCTION("""COMPUTED_VALUE"""),"pcs")</f>
        <v>pcs</v>
      </c>
      <c r="K741" s="5" t="str">
        <f>IFERROR(__xludf.DUMMYFUNCTION("""COMPUTED_VALUE"""),"https://www.tokopedia.com/samsungjakarta/ram-pc-kingston-ddr3-4gb-1600mhz-pc-12800-1-5v-ori-ram-komputer-ddr3-4gb-longdimm-1729819347293734825?extParam=ivf%3Dfalse%26keyword%3Dram+4+gb+ddr3%26search_id%3D2026042204152334ED066DF378EF344J00%26src%3Dsearch&amp;t"&amp;"_id=1776832320690&amp;t_st=3&amp;t_pp=search_result&amp;t_efo=search_pure_goods_card&amp;t_ef=goods_search&amp;t_sm=&amp;t_spt=search_result")</f>
        <v>https://www.tokopedia.com/samsungjakarta/ram-pc-kingston-ddr3-4gb-1600mhz-pc-12800-1-5v-ori-ram-komputer-ddr3-4gb-longdimm-1729819347293734825?extParam=ivf%3Dfalse%26keyword%3Dram+4+gb+ddr3%26search_id%3D2026042204152334ED066DF378EF344J00%26src%3Dsearch&amp;t_id=1776832320690&amp;t_st=3&amp;t_pp=search_result&amp;t_efo=search_pure_goods_card&amp;t_ef=goods_search&amp;t_sm=&amp;t_spt=search_result</v>
      </c>
      <c r="L741" s="3" t="str">
        <f>IFERROR(__xludf.DUMMYFUNCTION("""COMPUTED_VALUE"""),"Untuk Komputer FTIR (dan spare)")</f>
        <v>Untuk Komputer FTIR (dan spare)</v>
      </c>
      <c r="M741" s="3" t="str">
        <f>IFERROR(__xludf.DUMMYFUNCTION("""COMPUTED_VALUE"""),"Approve")</f>
        <v>Approve</v>
      </c>
      <c r="N741" s="3" t="str">
        <f>IFERROR(__xludf.DUMMYFUNCTION("""COMPUTED_VALUE"""),"Normal")</f>
        <v>Normal</v>
      </c>
      <c r="O741" s="3" t="str">
        <f>IFERROR(__xludf.DUMMYFUNCTION("""COMPUTED_VALUE"""),"Non Urgent")</f>
        <v>Non Urgent</v>
      </c>
    </row>
    <row r="742">
      <c r="A742" s="4">
        <f>IFERROR(__xludf.DUMMYFUNCTION("""COMPUTED_VALUE"""),46147.90958394676)</f>
        <v>46147.90958</v>
      </c>
      <c r="B742" s="3" t="str">
        <f>IFERROR(__xludf.DUMMYFUNCTION("""COMPUTED_VALUE"""),"BDUBR0011")</f>
        <v>BDUBR0011</v>
      </c>
      <c r="C742" s="3" t="str">
        <f>IFERROR(__xludf.DUMMYFUNCTION("""COMPUTED_VALUE"""),"MIn Stok")</f>
        <v>MIn Stok</v>
      </c>
      <c r="D742" s="3" t="str">
        <f>IFERROR(__xludf.DUMMYFUNCTION("""COMPUTED_VALUE"""),"-")</f>
        <v>-</v>
      </c>
      <c r="E742" s="3" t="str">
        <f>IFERROR(__xludf.DUMMYFUNCTION("""COMPUTED_VALUE"""),"General")</f>
        <v>General</v>
      </c>
      <c r="F742" s="3" t="str">
        <f>IFERROR(__xludf.DUMMYFUNCTION("""COMPUTED_VALUE"""),"Mata bor d2,5")</f>
        <v>Mata bor d2,5</v>
      </c>
      <c r="G742" s="3" t="str">
        <f>IFERROR(__xludf.DUMMYFUNCTION("""COMPUTED_VALUE"""),"HSS, 2,5mm")</f>
        <v>HSS, 2,5mm</v>
      </c>
      <c r="H742" s="3" t="str">
        <f>IFERROR(__xludf.DUMMYFUNCTION("""COMPUTED_VALUE"""),"NACHI")</f>
        <v>NACHI</v>
      </c>
      <c r="I742" s="3">
        <f>IFERROR(__xludf.DUMMYFUNCTION("""COMPUTED_VALUE"""),10.0)</f>
        <v>10</v>
      </c>
      <c r="J742" s="3" t="str">
        <f>IFERROR(__xludf.DUMMYFUNCTION("""COMPUTED_VALUE"""),"pcs")</f>
        <v>pcs</v>
      </c>
      <c r="K742" s="5" t="str">
        <f>IFERROR(__xludf.DUMMYFUNCTION("""COMPUTED_VALUE"""),"https://www.tokopedia.com/candicestoreofficial/mata-bor-nachi-2m-2-5m-3m-3-5m-4m-4-5m-5m-5-5m-harga-1-pcs-bukan-perbungkus-mata-bor-besi-hss-nachi-2-5-mm-a8f35?extParam=ivf%3Dfalse%26keyword%3Dmatabor+hss%26search_id%3D2026050514454594F6D7E04A4D4518DF68%2"&amp;"6src%3Dsearch&amp;t_id=1777992352126&amp;t_st=1&amp;t_pp=search_result&amp;t_efo=search_pure_goods_card&amp;t_ef=goods_search&amp;t_sm=&amp;t_spt=search_result")</f>
        <v>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v>
      </c>
      <c r="L742" s="3" t="str">
        <f>IFERROR(__xludf.DUMMYFUNCTION("""COMPUTED_VALUE"""),"Untuk meleghkapi mata bor yang tidak ada (10pcs = 1 pck)")</f>
        <v>Untuk meleghkapi mata bor yang tidak ada (10pcs = 1 pck)</v>
      </c>
      <c r="M742" s="3" t="str">
        <f>IFERROR(__xludf.DUMMYFUNCTION("""COMPUTED_VALUE"""),"Approve")</f>
        <v>Approve</v>
      </c>
      <c r="N742" s="3" t="str">
        <f>IFERROR(__xludf.DUMMYFUNCTION("""COMPUTED_VALUE"""),"Normal")</f>
        <v>Normal</v>
      </c>
      <c r="O742" s="3" t="str">
        <f>IFERROR(__xludf.DUMMYFUNCTION("""COMPUTED_VALUE"""),"Non Urgent")</f>
        <v>Non Urgent</v>
      </c>
    </row>
    <row r="743">
      <c r="A743" s="4">
        <f>IFERROR(__xludf.DUMMYFUNCTION("""COMPUTED_VALUE"""),46147.911208935184)</f>
        <v>46147.91121</v>
      </c>
      <c r="B743" s="3" t="str">
        <f>IFERROR(__xludf.DUMMYFUNCTION("""COMPUTED_VALUE"""),"BDUBR0012")</f>
        <v>BDUBR0012</v>
      </c>
      <c r="C743" s="3" t="str">
        <f>IFERROR(__xludf.DUMMYFUNCTION("""COMPUTED_VALUE"""),"MIn Stok")</f>
        <v>MIn Stok</v>
      </c>
      <c r="D743" s="3" t="str">
        <f>IFERROR(__xludf.DUMMYFUNCTION("""COMPUTED_VALUE"""),"-")</f>
        <v>-</v>
      </c>
      <c r="E743" s="3" t="str">
        <f>IFERROR(__xludf.DUMMYFUNCTION("""COMPUTED_VALUE"""),"General")</f>
        <v>General</v>
      </c>
      <c r="F743" s="3" t="str">
        <f>IFERROR(__xludf.DUMMYFUNCTION("""COMPUTED_VALUE"""),"Mata bor d3")</f>
        <v>Mata bor d3</v>
      </c>
      <c r="G743" s="3" t="str">
        <f>IFERROR(__xludf.DUMMYFUNCTION("""COMPUTED_VALUE"""),"HSS, 3 mm")</f>
        <v>HSS, 3 mm</v>
      </c>
      <c r="H743" s="3" t="str">
        <f>IFERROR(__xludf.DUMMYFUNCTION("""COMPUTED_VALUE"""),"NACHI")</f>
        <v>NACHI</v>
      </c>
      <c r="I743" s="3">
        <f>IFERROR(__xludf.DUMMYFUNCTION("""COMPUTED_VALUE"""),10.0)</f>
        <v>10</v>
      </c>
      <c r="J743" s="3" t="str">
        <f>IFERROR(__xludf.DUMMYFUNCTION("""COMPUTED_VALUE"""),"pcs")</f>
        <v>pcs</v>
      </c>
      <c r="K743" s="5" t="str">
        <f>IFERROR(__xludf.DUMMYFUNCTION("""COMPUTED_VALUE"""),"https://www.tokopedia.com/candicestoreofficial/mata-bor-nachi-2m-2-5m-3m-3-5m-4m-4-5m-5m-5-5m-harga-1-pcs-bukan-perbungkus-mata-bor-besi-hss-nachi-2-5-mm-a8f35?extParam=ivf%3Dfalse%26keyword%3Dmatabor+hss%26search_id%3D2026050514454594F6D7E04A4D4518DF68%2"&amp;"6src%3Dsearch&amp;t_id=1777992352126&amp;t_st=1&amp;t_pp=search_result&amp;t_efo=search_pure_goods_card&amp;t_ef=goods_search&amp;t_sm=&amp;t_spt=search_result")</f>
        <v>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v>
      </c>
      <c r="L743" s="3" t="str">
        <f>IFERROR(__xludf.DUMMYFUNCTION("""COMPUTED_VALUE"""),"Untuk meleghkapi mata bor yang tidak ada (10pcs = 1 pck)")</f>
        <v>Untuk meleghkapi mata bor yang tidak ada (10pcs = 1 pck)</v>
      </c>
      <c r="M743" s="3" t="str">
        <f>IFERROR(__xludf.DUMMYFUNCTION("""COMPUTED_VALUE"""),"Approve")</f>
        <v>Approve</v>
      </c>
      <c r="N743" s="3" t="str">
        <f>IFERROR(__xludf.DUMMYFUNCTION("""COMPUTED_VALUE"""),"Normal")</f>
        <v>Normal</v>
      </c>
      <c r="O743" s="3" t="str">
        <f>IFERROR(__xludf.DUMMYFUNCTION("""COMPUTED_VALUE"""),"Non Urgent")</f>
        <v>Non Urgent</v>
      </c>
    </row>
    <row r="744">
      <c r="A744" s="4">
        <f>IFERROR(__xludf.DUMMYFUNCTION("""COMPUTED_VALUE"""),46147.9124525463)</f>
        <v>46147.91245</v>
      </c>
      <c r="B744" s="3" t="str">
        <f>IFERROR(__xludf.DUMMYFUNCTION("""COMPUTED_VALUE"""),"BDUBR0013")</f>
        <v>BDUBR0013</v>
      </c>
      <c r="C744" s="3" t="str">
        <f>IFERROR(__xludf.DUMMYFUNCTION("""COMPUTED_VALUE"""),"MIn Stok")</f>
        <v>MIn Stok</v>
      </c>
      <c r="D744" s="3" t="str">
        <f>IFERROR(__xludf.DUMMYFUNCTION("""COMPUTED_VALUE"""),"-")</f>
        <v>-</v>
      </c>
      <c r="E744" s="3" t="str">
        <f>IFERROR(__xludf.DUMMYFUNCTION("""COMPUTED_VALUE"""),"General")</f>
        <v>General</v>
      </c>
      <c r="F744" s="3" t="str">
        <f>IFERROR(__xludf.DUMMYFUNCTION("""COMPUTED_VALUE"""),"Mata bor d3,5")</f>
        <v>Mata bor d3,5</v>
      </c>
      <c r="G744" s="3" t="str">
        <f>IFERROR(__xludf.DUMMYFUNCTION("""COMPUTED_VALUE"""),"HSS, 3,5 mm")</f>
        <v>HSS, 3,5 mm</v>
      </c>
      <c r="H744" s="3" t="str">
        <f>IFERROR(__xludf.DUMMYFUNCTION("""COMPUTED_VALUE"""),"NACHI")</f>
        <v>NACHI</v>
      </c>
      <c r="I744" s="3">
        <f>IFERROR(__xludf.DUMMYFUNCTION("""COMPUTED_VALUE"""),10.0)</f>
        <v>10</v>
      </c>
      <c r="J744" s="3" t="str">
        <f>IFERROR(__xludf.DUMMYFUNCTION("""COMPUTED_VALUE"""),"pcs")</f>
        <v>pcs</v>
      </c>
      <c r="K744" s="5" t="str">
        <f>IFERROR(__xludf.DUMMYFUNCTION("""COMPUTED_VALUE"""),"https://www.tokopedia.com/candicestoreofficial/mata-bor-nachi-2m-2-5m-3m-3-5m-4m-4-5m-5m-5-5m-harga-1-pcs-bukan-perbungkus-mata-bor-besi-hss-nachi-2-5-mm-a8f35?extParam=ivf%3Dfalse%26keyword%3Dmatabor+hss%26search_id%3D2026050514454594F6D7E04A4D4518DF68%2"&amp;"6src%3Dsearch&amp;t_id=1777992352126&amp;t_st=1&amp;t_pp=search_result&amp;t_efo=search_pure_goods_card&amp;t_ef=goods_search&amp;t_sm=&amp;t_spt=search_result")</f>
        <v>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v>
      </c>
      <c r="L744" s="3" t="str">
        <f>IFERROR(__xludf.DUMMYFUNCTION("""COMPUTED_VALUE"""),"Untuk meleghkapi mata bor yang tidak ada (10pcs = 1 pck)")</f>
        <v>Untuk meleghkapi mata bor yang tidak ada (10pcs = 1 pck)</v>
      </c>
      <c r="M744" s="3" t="str">
        <f>IFERROR(__xludf.DUMMYFUNCTION("""COMPUTED_VALUE"""),"Approve")</f>
        <v>Approve</v>
      </c>
      <c r="N744" s="3" t="str">
        <f>IFERROR(__xludf.DUMMYFUNCTION("""COMPUTED_VALUE"""),"Normal")</f>
        <v>Normal</v>
      </c>
      <c r="O744" s="3" t="str">
        <f>IFERROR(__xludf.DUMMYFUNCTION("""COMPUTED_VALUE"""),"Non Urgent")</f>
        <v>Non Urgent</v>
      </c>
    </row>
    <row r="745">
      <c r="A745" s="4">
        <f>IFERROR(__xludf.DUMMYFUNCTION("""COMPUTED_VALUE"""),46147.91601097223)</f>
        <v>46147.91601</v>
      </c>
      <c r="B745" s="3" t="str">
        <f>IFERROR(__xludf.DUMMYFUNCTION("""COMPUTED_VALUE"""),"BDUBR0014")</f>
        <v>BDUBR0014</v>
      </c>
      <c r="C745" s="3" t="str">
        <f>IFERROR(__xludf.DUMMYFUNCTION("""COMPUTED_VALUE"""),"MIn Stok")</f>
        <v>MIn Stok</v>
      </c>
      <c r="D745" s="3" t="str">
        <f>IFERROR(__xludf.DUMMYFUNCTION("""COMPUTED_VALUE"""),"-")</f>
        <v>-</v>
      </c>
      <c r="E745" s="3" t="str">
        <f>IFERROR(__xludf.DUMMYFUNCTION("""COMPUTED_VALUE"""),"General")</f>
        <v>General</v>
      </c>
      <c r="F745" s="3" t="str">
        <f>IFERROR(__xludf.DUMMYFUNCTION("""COMPUTED_VALUE"""),"Mata bor d4")</f>
        <v>Mata bor d4</v>
      </c>
      <c r="G745" s="3" t="str">
        <f>IFERROR(__xludf.DUMMYFUNCTION("""COMPUTED_VALUE"""),"HSS, 4 mm")</f>
        <v>HSS, 4 mm</v>
      </c>
      <c r="H745" s="3" t="str">
        <f>IFERROR(__xludf.DUMMYFUNCTION("""COMPUTED_VALUE"""),"NACHI")</f>
        <v>NACHI</v>
      </c>
      <c r="I745" s="3">
        <f>IFERROR(__xludf.DUMMYFUNCTION("""COMPUTED_VALUE"""),10.0)</f>
        <v>10</v>
      </c>
      <c r="J745" s="3" t="str">
        <f>IFERROR(__xludf.DUMMYFUNCTION("""COMPUTED_VALUE"""),"pcs")</f>
        <v>pcs</v>
      </c>
      <c r="K745" s="5" t="str">
        <f>IFERROR(__xludf.DUMMYFUNCTION("""COMPUTED_VALUE"""),"https://www.tokopedia.com/candicestoreofficial/mata-bor-nachi-2m-2-5m-3m-3-5m-4m-4-5m-5m-5-5m-harga-1-pcs-bukan-perbungkus-mata-bor-besi-hss-nachi-2-5-mm-a8f35?extParam=ivf%3Dfalse%26keyword%3Dmatabor+hss%26search_id%3D2026050514454594F6D7E04A4D4518DF68%2"&amp;"6src%3Dsearch&amp;t_id=1777992352126&amp;t_st=1&amp;t_pp=search_result&amp;t_efo=search_pure_goods_card&amp;t_ef=goods_search&amp;t_sm=&amp;t_spt=search_result")</f>
        <v>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v>
      </c>
      <c r="L745" s="3" t="str">
        <f>IFERROR(__xludf.DUMMYFUNCTION("""COMPUTED_VALUE"""),"Untuk meleghkapi mata bor yang tidak ada (10pcs = 1 pck)")</f>
        <v>Untuk meleghkapi mata bor yang tidak ada (10pcs = 1 pck)</v>
      </c>
      <c r="M745" s="3" t="str">
        <f>IFERROR(__xludf.DUMMYFUNCTION("""COMPUTED_VALUE"""),"Approve")</f>
        <v>Approve</v>
      </c>
      <c r="N745" s="3" t="str">
        <f>IFERROR(__xludf.DUMMYFUNCTION("""COMPUTED_VALUE"""),"Normal")</f>
        <v>Normal</v>
      </c>
      <c r="O745" s="3" t="str">
        <f>IFERROR(__xludf.DUMMYFUNCTION("""COMPUTED_VALUE"""),"Non Urgent")</f>
        <v>Non Urgent</v>
      </c>
    </row>
    <row r="746">
      <c r="A746" s="4">
        <f>IFERROR(__xludf.DUMMYFUNCTION("""COMPUTED_VALUE"""),46147.916031562505)</f>
        <v>46147.91603</v>
      </c>
      <c r="B746" s="3" t="str">
        <f>IFERROR(__xludf.DUMMYFUNCTION("""COMPUTED_VALUE"""),"BDUBR0015")</f>
        <v>BDUBR0015</v>
      </c>
      <c r="C746" s="3" t="str">
        <f>IFERROR(__xludf.DUMMYFUNCTION("""COMPUTED_VALUE"""),"MIn Stok")</f>
        <v>MIn Stok</v>
      </c>
      <c r="D746" s="3" t="str">
        <f>IFERROR(__xludf.DUMMYFUNCTION("""COMPUTED_VALUE"""),"-")</f>
        <v>-</v>
      </c>
      <c r="E746" s="3" t="str">
        <f>IFERROR(__xludf.DUMMYFUNCTION("""COMPUTED_VALUE"""),"General")</f>
        <v>General</v>
      </c>
      <c r="F746" s="3" t="str">
        <f>IFERROR(__xludf.DUMMYFUNCTION("""COMPUTED_VALUE"""),"Mata bor d4,5")</f>
        <v>Mata bor d4,5</v>
      </c>
      <c r="G746" s="3" t="str">
        <f>IFERROR(__xludf.DUMMYFUNCTION("""COMPUTED_VALUE"""),"HSS, 4,5 mm")</f>
        <v>HSS, 4,5 mm</v>
      </c>
      <c r="H746" s="3" t="str">
        <f>IFERROR(__xludf.DUMMYFUNCTION("""COMPUTED_VALUE"""),"NACHI")</f>
        <v>NACHI</v>
      </c>
      <c r="I746" s="3">
        <f>IFERROR(__xludf.DUMMYFUNCTION("""COMPUTED_VALUE"""),10.0)</f>
        <v>10</v>
      </c>
      <c r="J746" s="3" t="str">
        <f>IFERROR(__xludf.DUMMYFUNCTION("""COMPUTED_VALUE"""),"pcs")</f>
        <v>pcs</v>
      </c>
      <c r="K746" s="5" t="str">
        <f>IFERROR(__xludf.DUMMYFUNCTION("""COMPUTED_VALUE"""),"https://www.tokopedia.com/candicestoreofficial/mata-bor-nachi-2m-2-5m-3m-3-5m-4m-4-5m-5m-5-5m-harga-1-pcs-bukan-perbungkus-mata-bor-besi-hss-nachi-2-5-mm-a8f35?extParam=ivf%3Dfalse%26keyword%3Dmatabor+hss%26search_id%3D2026050514454594F6D7E04A4D4518DF68%2"&amp;"6src%3Dsearch&amp;t_id=1777992352126&amp;t_st=1&amp;t_pp=search_result&amp;t_efo=search_pure_goods_card&amp;t_ef=goods_search&amp;t_sm=&amp;t_spt=search_result")</f>
        <v>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v>
      </c>
      <c r="L746" s="3" t="str">
        <f>IFERROR(__xludf.DUMMYFUNCTION("""COMPUTED_VALUE"""),"Untuk meleghkapi mata bor yang tidak ada (10pcs = 1 pck)")</f>
        <v>Untuk meleghkapi mata bor yang tidak ada (10pcs = 1 pck)</v>
      </c>
      <c r="M746" s="3" t="str">
        <f>IFERROR(__xludf.DUMMYFUNCTION("""COMPUTED_VALUE"""),"Approve")</f>
        <v>Approve</v>
      </c>
      <c r="N746" s="3" t="str">
        <f>IFERROR(__xludf.DUMMYFUNCTION("""COMPUTED_VALUE"""),"Normal")</f>
        <v>Normal</v>
      </c>
      <c r="O746" s="3" t="str">
        <f>IFERROR(__xludf.DUMMYFUNCTION("""COMPUTED_VALUE"""),"Non Urgent")</f>
        <v>Non Urgent</v>
      </c>
    </row>
    <row r="747">
      <c r="A747" s="4">
        <f>IFERROR(__xludf.DUMMYFUNCTION("""COMPUTED_VALUE"""),46147.9160383912)</f>
        <v>46147.91604</v>
      </c>
      <c r="B747" s="3" t="str">
        <f>IFERROR(__xludf.DUMMYFUNCTION("""COMPUTED_VALUE"""),"BDUBR0016")</f>
        <v>BDUBR0016</v>
      </c>
      <c r="C747" s="3" t="str">
        <f>IFERROR(__xludf.DUMMYFUNCTION("""COMPUTED_VALUE"""),"MIn Stok")</f>
        <v>MIn Stok</v>
      </c>
      <c r="D747" s="3" t="str">
        <f>IFERROR(__xludf.DUMMYFUNCTION("""COMPUTED_VALUE"""),"-")</f>
        <v>-</v>
      </c>
      <c r="E747" s="3" t="str">
        <f>IFERROR(__xludf.DUMMYFUNCTION("""COMPUTED_VALUE"""),"General")</f>
        <v>General</v>
      </c>
      <c r="F747" s="3" t="str">
        <f>IFERROR(__xludf.DUMMYFUNCTION("""COMPUTED_VALUE"""),"Mata bor d5")</f>
        <v>Mata bor d5</v>
      </c>
      <c r="G747" s="3" t="str">
        <f>IFERROR(__xludf.DUMMYFUNCTION("""COMPUTED_VALUE"""),"HSS, 5 mm")</f>
        <v>HSS, 5 mm</v>
      </c>
      <c r="H747" s="3" t="str">
        <f>IFERROR(__xludf.DUMMYFUNCTION("""COMPUTED_VALUE"""),"NACHI")</f>
        <v>NACHI</v>
      </c>
      <c r="I747" s="3">
        <f>IFERROR(__xludf.DUMMYFUNCTION("""COMPUTED_VALUE"""),10.0)</f>
        <v>10</v>
      </c>
      <c r="J747" s="3" t="str">
        <f>IFERROR(__xludf.DUMMYFUNCTION("""COMPUTED_VALUE"""),"pcs")</f>
        <v>pcs</v>
      </c>
      <c r="K747" s="5" t="str">
        <f>IFERROR(__xludf.DUMMYFUNCTION("""COMPUTED_VALUE"""),"https://www.tokopedia.com/candicestoreofficial/mata-bor-nachi-2m-2-5m-3m-3-5m-4m-4-5m-5m-5-5m-harga-1-pcs-bukan-perbungkus-mata-bor-besi-hss-nachi-2-5-mm-a8f35?extParam=ivf%3Dfalse%26keyword%3Dmatabor+hss%26search_id%3D2026050514454594F6D7E04A4D4518DF68%2"&amp;"6src%3Dsearch&amp;t_id=1777992352126&amp;t_st=1&amp;t_pp=search_result&amp;t_efo=search_pure_goods_card&amp;t_ef=goods_search&amp;t_sm=&amp;t_spt=search_result")</f>
        <v>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v>
      </c>
      <c r="L747" s="3" t="str">
        <f>IFERROR(__xludf.DUMMYFUNCTION("""COMPUTED_VALUE"""),"Untuk meleghkapi mata bor yang tidak ada (10pcs = 1 pck)")</f>
        <v>Untuk meleghkapi mata bor yang tidak ada (10pcs = 1 pck)</v>
      </c>
      <c r="M747" s="3" t="str">
        <f>IFERROR(__xludf.DUMMYFUNCTION("""COMPUTED_VALUE"""),"Approve")</f>
        <v>Approve</v>
      </c>
      <c r="N747" s="3" t="str">
        <f>IFERROR(__xludf.DUMMYFUNCTION("""COMPUTED_VALUE"""),"Normal")</f>
        <v>Normal</v>
      </c>
      <c r="O747" s="3" t="str">
        <f>IFERROR(__xludf.DUMMYFUNCTION("""COMPUTED_VALUE"""),"Non Urgent")</f>
        <v>Non Urgent</v>
      </c>
    </row>
    <row r="748">
      <c r="A748" s="4">
        <f>IFERROR(__xludf.DUMMYFUNCTION("""COMPUTED_VALUE"""),46147.91604778935)</f>
        <v>46147.91605</v>
      </c>
      <c r="B748" s="3" t="str">
        <f>IFERROR(__xludf.DUMMYFUNCTION("""COMPUTED_VALUE"""),"BDUBR0017")</f>
        <v>BDUBR0017</v>
      </c>
      <c r="C748" s="3" t="str">
        <f>IFERROR(__xludf.DUMMYFUNCTION("""COMPUTED_VALUE"""),"MIn Stok")</f>
        <v>MIn Stok</v>
      </c>
      <c r="D748" s="3" t="str">
        <f>IFERROR(__xludf.DUMMYFUNCTION("""COMPUTED_VALUE"""),"-")</f>
        <v>-</v>
      </c>
      <c r="E748" s="3" t="str">
        <f>IFERROR(__xludf.DUMMYFUNCTION("""COMPUTED_VALUE"""),"General")</f>
        <v>General</v>
      </c>
      <c r="F748" s="3" t="str">
        <f>IFERROR(__xludf.DUMMYFUNCTION("""COMPUTED_VALUE"""),"Mata bor d5,5")</f>
        <v>Mata bor d5,5</v>
      </c>
      <c r="G748" s="3" t="str">
        <f>IFERROR(__xludf.DUMMYFUNCTION("""COMPUTED_VALUE"""),"HSS, 5,5 mm")</f>
        <v>HSS, 5,5 mm</v>
      </c>
      <c r="H748" s="3" t="str">
        <f>IFERROR(__xludf.DUMMYFUNCTION("""COMPUTED_VALUE"""),"NACHI")</f>
        <v>NACHI</v>
      </c>
      <c r="I748" s="3">
        <f>IFERROR(__xludf.DUMMYFUNCTION("""COMPUTED_VALUE"""),10.0)</f>
        <v>10</v>
      </c>
      <c r="J748" s="3" t="str">
        <f>IFERROR(__xludf.DUMMYFUNCTION("""COMPUTED_VALUE"""),"pcs")</f>
        <v>pcs</v>
      </c>
      <c r="K748" s="5" t="str">
        <f>IFERROR(__xludf.DUMMYFUNCTION("""COMPUTED_VALUE"""),"https://www.tokopedia.com/candicestoreofficial/mata-bor-nachi-2m-2-5m-3m-3-5m-4m-4-5m-5m-5-5m-harga-1-pcs-bukan-perbungkus-mata-bor-besi-hss-nachi-2-5-mm-a8f35?extParam=ivf%3Dfalse%26keyword%3Dmatabor+hss%26search_id%3D2026050514454594F6D7E04A4D4518DF68%2"&amp;"6src%3Dsearch&amp;t_id=1777992352126&amp;t_st=1&amp;t_pp=search_result&amp;t_efo=search_pure_goods_card&amp;t_ef=goods_search&amp;t_sm=&amp;t_spt=search_result")</f>
        <v>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v>
      </c>
      <c r="L748" s="3" t="str">
        <f>IFERROR(__xludf.DUMMYFUNCTION("""COMPUTED_VALUE"""),"Untuk meleghkapi mata bor yang tidak ada (10pcs = 1 pck)")</f>
        <v>Untuk meleghkapi mata bor yang tidak ada (10pcs = 1 pck)</v>
      </c>
      <c r="M748" s="3" t="str">
        <f>IFERROR(__xludf.DUMMYFUNCTION("""COMPUTED_VALUE"""),"Approve")</f>
        <v>Approve</v>
      </c>
      <c r="N748" s="3" t="str">
        <f>IFERROR(__xludf.DUMMYFUNCTION("""COMPUTED_VALUE"""),"Normal")</f>
        <v>Normal</v>
      </c>
      <c r="O748" s="3" t="str">
        <f>IFERROR(__xludf.DUMMYFUNCTION("""COMPUTED_VALUE"""),"Non Urgent")</f>
        <v>Non Urgent</v>
      </c>
    </row>
    <row r="749">
      <c r="A749" s="4">
        <f>IFERROR(__xludf.DUMMYFUNCTION("""COMPUTED_VALUE"""),46148.994122766206)</f>
        <v>46148.99412</v>
      </c>
      <c r="B749" s="3" t="str">
        <f>IFERROR(__xludf.DUMMYFUNCTION("""COMPUTED_VALUE"""),"NDSBR0060")</f>
        <v>NDSBR0060</v>
      </c>
      <c r="C749" s="3" t="str">
        <f>IFERROR(__xludf.DUMMYFUNCTION("""COMPUTED_VALUE"""),"Consumable")</f>
        <v>Consumable</v>
      </c>
      <c r="D749" s="3" t="str">
        <f>IFERROR(__xludf.DUMMYFUNCTION("""COMPUTED_VALUE"""),"-")</f>
        <v>-</v>
      </c>
      <c r="E749" s="3" t="str">
        <f>IFERROR(__xludf.DUMMYFUNCTION("""COMPUTED_VALUE"""),"Autoclave Preparation Lab")</f>
        <v>Autoclave Preparation Lab</v>
      </c>
      <c r="F749" s="3" t="str">
        <f>IFERROR(__xludf.DUMMYFUNCTION("""COMPUTED_VALUE"""),"Kapasitor 12.5uF")</f>
        <v>Kapasitor 12.5uF</v>
      </c>
      <c r="G749" s="3" t="str">
        <f>IFERROR(__xludf.DUMMYFUNCTION("""COMPUTED_VALUE"""),"12,5uF")</f>
        <v>12,5uF</v>
      </c>
      <c r="H749" s="3" t="str">
        <f>IFERROR(__xludf.DUMMYFUNCTION("""COMPUTED_VALUE"""),"-")</f>
        <v>-</v>
      </c>
      <c r="I749" s="3">
        <f>IFERROR(__xludf.DUMMYFUNCTION("""COMPUTED_VALUE"""),3.0)</f>
        <v>3</v>
      </c>
      <c r="J749" s="3" t="str">
        <f>IFERROR(__xludf.DUMMYFUNCTION("""COMPUTED_VALUE"""),"pcs")</f>
        <v>pcs</v>
      </c>
      <c r="K749" s="5" t="str">
        <f>IFERROR(__xludf.DUMMYFUNCTION("""COMPUTED_VALUE"""),"https://www.tokopedia.com/baridaman/kapasitor-12-uf-12uf-450-450-v-kapasitor-kabel?utm_source=google&amp;utm_medium=organic&amp;utm_campaign=pdp")</f>
        <v>https://www.tokopedia.com/baridaman/kapasitor-12-uf-12uf-450-450-v-kapasitor-kabel?utm_source=google&amp;utm_medium=organic&amp;utm_campaign=pdp</v>
      </c>
      <c r="L749" s="3" t="str">
        <f>IFERROR(__xludf.DUMMYFUNCTION("""COMPUTED_VALUE"""),"-")</f>
        <v>-</v>
      </c>
      <c r="M749" s="3" t="str">
        <f>IFERROR(__xludf.DUMMYFUNCTION("""COMPUTED_VALUE"""),"Waiting")</f>
        <v>Waiting</v>
      </c>
      <c r="N749" s="3" t="str">
        <f>IFERROR(__xludf.DUMMYFUNCTION("""COMPUTED_VALUE"""),"Waiting")</f>
        <v>Waiting</v>
      </c>
      <c r="O749" s="3" t="str">
        <f>IFERROR(__xludf.DUMMYFUNCTION("""COMPUTED_VALUE"""),"Non Urgent")</f>
        <v>Non Urgent</v>
      </c>
    </row>
    <row r="750">
      <c r="A750" s="4">
        <f>IFERROR(__xludf.DUMMYFUNCTION("""COMPUTED_VALUE"""),46149.550700590284)</f>
        <v>46149.5507</v>
      </c>
      <c r="B750" s="3" t="str">
        <f>IFERROR(__xludf.DUMMYFUNCTION("""COMPUTED_VALUE"""),"BDUBR0018")</f>
        <v>BDUBR0018</v>
      </c>
      <c r="C750" s="3" t="str">
        <f>IFERROR(__xludf.DUMMYFUNCTION("""COMPUTED_VALUE"""),"MIn Stok")</f>
        <v>MIn Stok</v>
      </c>
      <c r="D750" s="3" t="str">
        <f>IFERROR(__xludf.DUMMYFUNCTION("""COMPUTED_VALUE"""),"-")</f>
        <v>-</v>
      </c>
      <c r="E750" s="3" t="str">
        <f>IFERROR(__xludf.DUMMYFUNCTION("""COMPUTED_VALUE"""),"General ")</f>
        <v>General </v>
      </c>
      <c r="F750" s="3" t="str">
        <f>IFERROR(__xludf.DUMMYFUNCTION("""COMPUTED_VALUE"""),"botol spray alcohol ")</f>
        <v>botol spray alcohol </v>
      </c>
      <c r="G750" s="3" t="str">
        <f>IFERROR(__xludf.DUMMYFUNCTION("""COMPUTED_VALUE"""),"500ml")</f>
        <v>500ml</v>
      </c>
      <c r="H750" s="3" t="str">
        <f>IFERROR(__xludf.DUMMYFUNCTION("""COMPUTED_VALUE"""),"-")</f>
        <v>-</v>
      </c>
      <c r="I750" s="3">
        <f>IFERROR(__xludf.DUMMYFUNCTION("""COMPUTED_VALUE"""),5.0)</f>
        <v>5</v>
      </c>
      <c r="J750" s="3" t="str">
        <f>IFERROR(__xludf.DUMMYFUNCTION("""COMPUTED_VALUE"""),"pcs")</f>
        <v>pcs</v>
      </c>
      <c r="K750" s="5" t="str">
        <f>IFERROR(__xludf.DUMMYFUNCTION("""COMPUTED_VALUE"""),"https://id.shp.ee/89Wj6fm3")</f>
        <v>https://id.shp.ee/89Wj6fm3</v>
      </c>
      <c r="L750" s="3" t="str">
        <f>IFERROR(__xludf.DUMMYFUNCTION("""COMPUTED_VALUE"""),"untuk pembersihan mesin")</f>
        <v>untuk pembersihan mesin</v>
      </c>
      <c r="M750" s="3" t="str">
        <f>IFERROR(__xludf.DUMMYFUNCTION("""COMPUTED_VALUE"""),"Approve")</f>
        <v>Approve</v>
      </c>
      <c r="N750" s="3" t="str">
        <f>IFERROR(__xludf.DUMMYFUNCTION("""COMPUTED_VALUE"""),"Normal")</f>
        <v>Normal</v>
      </c>
      <c r="O750" s="3" t="str">
        <f>IFERROR(__xludf.DUMMYFUNCTION("""COMPUTED_VALUE"""),"Non Urgent")</f>
        <v>Non Urgent</v>
      </c>
    </row>
    <row r="751">
      <c r="A751" s="4">
        <f>IFERROR(__xludf.DUMMYFUNCTION("""COMPUTED_VALUE"""),46149.64082866898)</f>
        <v>46149.64083</v>
      </c>
      <c r="B751" s="3" t="str">
        <f>IFERROR(__xludf.DUMMYFUNCTION("""COMPUTED_VALUE"""),"KFFBR0017")</f>
        <v>KFFBR0017</v>
      </c>
      <c r="C751" s="3" t="str">
        <f>IFERROR(__xludf.DUMMYFUNCTION("""COMPUTED_VALUE"""),"Consumable")</f>
        <v>Consumable</v>
      </c>
      <c r="D751" s="3" t="str">
        <f>IFERROR(__xludf.DUMMYFUNCTION("""COMPUTED_VALUE"""),"EJO/2025/09/131")</f>
        <v>EJO/2025/09/131</v>
      </c>
      <c r="E751" s="3" t="str">
        <f>IFERROR(__xludf.DUMMYFUNCTION("""COMPUTED_VALUE"""),"Workshop")</f>
        <v>Workshop</v>
      </c>
      <c r="F751" s="3" t="str">
        <f>IFERROR(__xludf.DUMMYFUNCTION("""COMPUTED_VALUE"""),"Consumable tools ")</f>
        <v>Consumable tools </v>
      </c>
      <c r="G751" s="3" t="str">
        <f>IFERROR(__xludf.DUMMYFUNCTION("""COMPUTED_VALUE"""),"Mesin Las Inverter Argon TIG DC Pulse Weico Weiro TIG 200 P")</f>
        <v>Mesin Las Inverter Argon TIG DC Pulse Weico Weiro TIG 200 P</v>
      </c>
      <c r="H751" s="3" t="str">
        <f>IFERROR(__xludf.DUMMYFUNCTION("""COMPUTED_VALUE"""),"WEIRO")</f>
        <v>WEIRO</v>
      </c>
      <c r="I751" s="3">
        <f>IFERROR(__xludf.DUMMYFUNCTION("""COMPUTED_VALUE"""),1.0)</f>
        <v>1</v>
      </c>
      <c r="J751" s="3" t="str">
        <f>IFERROR(__xludf.DUMMYFUNCTION("""COMPUTED_VALUE"""),"SET")</f>
        <v>SET</v>
      </c>
      <c r="K751" s="5" t="str">
        <f>IFERROR(__xludf.DUMMYFUNCTION("""COMPUTED_VALUE"""),"https://tk.tokopedia.com/ZSHNvHadm/")</f>
        <v>https://tk.tokopedia.com/ZSHNvHadm/</v>
      </c>
      <c r="L751" s="3" t="str">
        <f>IFERROR(__xludf.DUMMYFUNCTION("""COMPUTED_VALUE"""),"tools critical untuk pengerjaan project2 yang bersangkutan dengan welding ")</f>
        <v>tools critical untuk pengerjaan project2 yang bersangkutan dengan welding </v>
      </c>
      <c r="M751" s="3" t="str">
        <f>IFERROR(__xludf.DUMMYFUNCTION("""COMPUTED_VALUE"""),"Waiting")</f>
        <v>Waiting</v>
      </c>
      <c r="N751" s="3" t="str">
        <f>IFERROR(__xludf.DUMMYFUNCTION("""COMPUTED_VALUE"""),"Waiting")</f>
        <v>Waiting</v>
      </c>
      <c r="O751" s="3" t="str">
        <f>IFERROR(__xludf.DUMMYFUNCTION("""COMPUTED_VALUE"""),"Non Urgent")</f>
        <v>Non Urgent</v>
      </c>
    </row>
    <row r="752">
      <c r="A752" s="4">
        <f>IFERROR(__xludf.DUMMYFUNCTION("""COMPUTED_VALUE"""),46150.00773329861)</f>
        <v>46150.00773</v>
      </c>
      <c r="B752" s="3" t="str">
        <f>IFERROR(__xludf.DUMMYFUNCTION("""COMPUTED_VALUE"""),"ROSBR0094")</f>
        <v>ROSBR0094</v>
      </c>
      <c r="C752" s="3" t="str">
        <f>IFERROR(__xludf.DUMMYFUNCTION("""COMPUTED_VALUE"""),"Critical Part")</f>
        <v>Critical Part</v>
      </c>
      <c r="D752" s="3" t="str">
        <f>IFERROR(__xludf.DUMMYFUNCTION("""COMPUTED_VALUE"""),"-")</f>
        <v>-</v>
      </c>
      <c r="E752" s="3" t="str">
        <f>IFERROR(__xludf.DUMMYFUNCTION("""COMPUTED_VALUE"""),"Autoclave Lab Micro")</f>
        <v>Autoclave Lab Micro</v>
      </c>
      <c r="F752" s="3" t="str">
        <f>IFERROR(__xludf.DUMMYFUNCTION("""COMPUTED_VALUE"""),"Level Probe Assembly for Generator")</f>
        <v>Level Probe Assembly for Generator</v>
      </c>
      <c r="G752" s="3" t="str">
        <f>IFERROR(__xludf.DUMMYFUNCTION("""COMPUTED_VALUE"""),"Level Probe Assembly for Generator")</f>
        <v>Level Probe Assembly for Generator</v>
      </c>
      <c r="H752" s="3" t="str">
        <f>IFERROR(__xludf.DUMMYFUNCTION("""COMPUTED_VALUE"""),"fedegari ")</f>
        <v>fedegari </v>
      </c>
      <c r="I752" s="3">
        <f>IFERROR(__xludf.DUMMYFUNCTION("""COMPUTED_VALUE"""),5.0)</f>
        <v>5</v>
      </c>
      <c r="J752" s="3" t="str">
        <f>IFERROR(__xludf.DUMMYFUNCTION("""COMPUTED_VALUE"""),"pcs")</f>
        <v>pcs</v>
      </c>
      <c r="K752" s="5" t="str">
        <f>IFERROR(__xludf.DUMMYFUNCTION("""COMPUTED_VALUE"""),"https://store.fedegari.com/product/level-probe-assembly-for-generator/01t0O00000EwcybQAB")</f>
        <v>https://store.fedegari.com/product/level-probe-assembly-for-generator/01t0O00000EwcybQAB</v>
      </c>
      <c r="L752" s="3" t="str">
        <f>IFERROR(__xludf.DUMMYFUNCTION("""COMPUTED_VALUE"""),"Buat pergantian di autoclave preparasi 2pcs, peremajaan di autoclave decontam 2pcs, 1pcs buat spare ")</f>
        <v>Buat pergantian di autoclave preparasi 2pcs, peremajaan di autoclave decontam 2pcs, 1pcs buat spare </v>
      </c>
      <c r="M752" s="3" t="str">
        <f>IFERROR(__xludf.DUMMYFUNCTION("""COMPUTED_VALUE"""),"Approve")</f>
        <v>Approve</v>
      </c>
      <c r="N752" s="3" t="str">
        <f>IFERROR(__xludf.DUMMYFUNCTION("""COMPUTED_VALUE"""),"Normal")</f>
        <v>Normal</v>
      </c>
      <c r="O752" s="3" t="str">
        <f>IFERROR(__xludf.DUMMYFUNCTION("""COMPUTED_VALUE"""),"Non Urgent")</f>
        <v>Non Urgent</v>
      </c>
    </row>
    <row r="753">
      <c r="A753" s="4">
        <f>IFERROR(__xludf.DUMMYFUNCTION("""COMPUTED_VALUE"""),46150.923330335645)</f>
        <v>46150.92333</v>
      </c>
      <c r="B753" s="3" t="str">
        <f>IFERROR(__xludf.DUMMYFUNCTION("""COMPUTED_VALUE"""),"SFHBR0059")</f>
        <v>SFHBR0059</v>
      </c>
      <c r="C753" s="3" t="str">
        <f>IFERROR(__xludf.DUMMYFUNCTION("""COMPUTED_VALUE"""),"EJO")</f>
        <v>EJO</v>
      </c>
      <c r="D753" s="3" t="str">
        <f>IFERROR(__xludf.DUMMYFUNCTION("""COMPUTED_VALUE"""),"-")</f>
        <v>-</v>
      </c>
      <c r="E753" s="3" t="str">
        <f>IFERROR(__xludf.DUMMYFUNCTION("""COMPUTED_VALUE"""),"lantai 1")</f>
        <v>lantai 1</v>
      </c>
      <c r="F753" s="3" t="str">
        <f>IFERROR(__xludf.DUMMYFUNCTION("""COMPUTED_VALUE"""),"BOSCH GSH14 C Mesin Bobok Beton Jack Hammer Demolition Hammer 28 Joule GSH 14 C")</f>
        <v>BOSCH GSH14 C Mesin Bobok Beton Jack Hammer Demolition Hammer 28 Joule GSH 14 C</v>
      </c>
      <c r="G753" s="3" t="str">
        <f>IFERROR(__xludf.DUMMYFUNCTION("""COMPUTED_VALUE"""),"BOSCH GSH14 C Mesin Bobok Beton Jack Hammer Demolition Hammer 28 Joule GSH 14 C")</f>
        <v>BOSCH GSH14 C Mesin Bobok Beton Jack Hammer Demolition Hammer 28 Joule GSH 14 C</v>
      </c>
      <c r="H753" s="3" t="str">
        <f>IFERROR(__xludf.DUMMYFUNCTION("""COMPUTED_VALUE"""),"Bosch")</f>
        <v>Bosch</v>
      </c>
      <c r="I753" s="3">
        <f>IFERROR(__xludf.DUMMYFUNCTION("""COMPUTED_VALUE"""),1.0)</f>
        <v>1</v>
      </c>
      <c r="J753" s="3" t="str">
        <f>IFERROR(__xludf.DUMMYFUNCTION("""COMPUTED_VALUE"""),"buah")</f>
        <v>buah</v>
      </c>
      <c r="K753" s="5" t="str">
        <f>IFERROR(__xludf.DUMMYFUNCTION("""COMPUTED_VALUE"""),"https://tk.tokopedia.com/ZS9tVPjjt/")</f>
        <v>https://tk.tokopedia.com/ZS9tVPjjt/</v>
      </c>
      <c r="L753" s="3" t="str">
        <f>IFERROR(__xludf.DUMMYFUNCTION("""COMPUTED_VALUE"""),"buat bobok beton")</f>
        <v>buat bobok beton</v>
      </c>
      <c r="M753" s="3" t="str">
        <f>IFERROR(__xludf.DUMMYFUNCTION("""COMPUTED_VALUE"""),"Approve")</f>
        <v>Approve</v>
      </c>
      <c r="N753" s="3" t="str">
        <f>IFERROR(__xludf.DUMMYFUNCTION("""COMPUTED_VALUE"""),"Normal")</f>
        <v>Normal</v>
      </c>
      <c r="O753" s="3" t="str">
        <f>IFERROR(__xludf.DUMMYFUNCTION("""COMPUTED_VALUE"""),"Non Urgent")</f>
        <v>Non Urgent</v>
      </c>
    </row>
    <row r="754">
      <c r="A754" s="4">
        <f>IFERROR(__xludf.DUMMYFUNCTION("""COMPUTED_VALUE"""),46150.930133229165)</f>
        <v>46150.93013</v>
      </c>
      <c r="B754" s="3" t="str">
        <f>IFERROR(__xludf.DUMMYFUNCTION("""COMPUTED_VALUE"""),"SFHBR0060")</f>
        <v>SFHBR0060</v>
      </c>
      <c r="C754" s="3" t="str">
        <f>IFERROR(__xludf.DUMMYFUNCTION("""COMPUTED_VALUE"""),"EJO")</f>
        <v>EJO</v>
      </c>
      <c r="D754" s="3" t="str">
        <f>IFERROR(__xludf.DUMMYFUNCTION("""COMPUTED_VALUE"""),"-")</f>
        <v>-</v>
      </c>
      <c r="E754" s="3" t="str">
        <f>IFERROR(__xludf.DUMMYFUNCTION("""COMPUTED_VALUE"""),"lantai 2")</f>
        <v>lantai 2</v>
      </c>
      <c r="F754" s="3" t="str">
        <f>IFERROR(__xludf.DUMMYFUNCTION("""COMPUTED_VALUE"""),"ALTAIR 4XR MSA, Gas Detector,Portable Multigas,Gas Meter, Pertamina,Pertambangan batu bara,Industri")</f>
        <v>ALTAIR 4XR MSA, Gas Detector,Portable Multigas,Gas Meter, Pertamina,Pertambangan batu bara,Industri</v>
      </c>
      <c r="G754" s="3" t="str">
        <f>IFERROR(__xludf.DUMMYFUNCTION("""COMPUTED_VALUE"""),"ALTAIR 4XR MSA, Gas Detector,Portable Multigas,Gas Meter, Pertamina,Pertambangan batu bara,Industri")</f>
        <v>ALTAIR 4XR MSA, Gas Detector,Portable Multigas,Gas Meter, Pertamina,Pertambangan batu bara,Industri</v>
      </c>
      <c r="H754" s="3" t="str">
        <f>IFERROR(__xludf.DUMMYFUNCTION("""COMPUTED_VALUE"""),"MSA")</f>
        <v>MSA</v>
      </c>
      <c r="I754" s="3">
        <f>IFERROR(__xludf.DUMMYFUNCTION("""COMPUTED_VALUE"""),1.0)</f>
        <v>1</v>
      </c>
      <c r="J754" s="3" t="str">
        <f>IFERROR(__xludf.DUMMYFUNCTION("""COMPUTED_VALUE"""),"buah")</f>
        <v>buah</v>
      </c>
      <c r="K754" s="5" t="str">
        <f>IFERROR(__xludf.DUMMYFUNCTION("""COMPUTED_VALUE"""),"https://tk.tokopedia.com/ZS9tVnK5V/")</f>
        <v>https://tk.tokopedia.com/ZS9tVnK5V/</v>
      </c>
      <c r="L754" s="3" t="str">
        <f>IFERROR(__xludf.DUMMYFUNCTION("""COMPUTED_VALUE"""),"buat cek gas area ruang terbatas")</f>
        <v>buat cek gas area ruang terbatas</v>
      </c>
      <c r="M754" s="3" t="str">
        <f>IFERROR(__xludf.DUMMYFUNCTION("""COMPUTED_VALUE"""),"Approve")</f>
        <v>Approve</v>
      </c>
      <c r="N754" s="3" t="str">
        <f>IFERROR(__xludf.DUMMYFUNCTION("""COMPUTED_VALUE"""),"Normal")</f>
        <v>Normal</v>
      </c>
      <c r="O754" s="3" t="str">
        <f>IFERROR(__xludf.DUMMYFUNCTION("""COMPUTED_VALUE"""),"Non Urgent")</f>
        <v>Non Urgent</v>
      </c>
    </row>
    <row r="755">
      <c r="A755" s="4">
        <f>IFERROR(__xludf.DUMMYFUNCTION("""COMPUTED_VALUE"""),46150.94247815972)</f>
        <v>46150.94248</v>
      </c>
      <c r="B755" s="3" t="str">
        <f>IFERROR(__xludf.DUMMYFUNCTION("""COMPUTED_VALUE"""),"SFHBR0061")</f>
        <v>SFHBR0061</v>
      </c>
      <c r="C755" s="3" t="str">
        <f>IFERROR(__xludf.DUMMYFUNCTION("""COMPUTED_VALUE"""),"Consumable")</f>
        <v>Consumable</v>
      </c>
      <c r="D755" s="3" t="str">
        <f>IFERROR(__xludf.DUMMYFUNCTION("""COMPUTED_VALUE"""),"-")</f>
        <v>-</v>
      </c>
      <c r="E755" s="3" t="str">
        <f>IFERROR(__xludf.DUMMYFUNCTION("""COMPUTED_VALUE"""),"lantai 2")</f>
        <v>lantai 2</v>
      </c>
      <c r="F755" s="3" t="str">
        <f>IFERROR(__xludf.DUMMYFUNCTION("""COMPUTED_VALUE"""),"SEMEN 3 RODA 50 KG / SEMEN 3 RODA 1 DO (160 SAK)")</f>
        <v>SEMEN 3 RODA 50 KG / SEMEN 3 RODA 1 DO (160 SAK)</v>
      </c>
      <c r="G755" s="3" t="str">
        <f>IFERROR(__xludf.DUMMYFUNCTION("""COMPUTED_VALUE"""),"SEMEN 3 RODA 50 KG / SEMEN 3 RODA 1 DO (160 SAK)")</f>
        <v>SEMEN 3 RODA 50 KG / SEMEN 3 RODA 1 DO (160 SAK)</v>
      </c>
      <c r="H755" s="3" t="str">
        <f>IFERROR(__xludf.DUMMYFUNCTION("""COMPUTED_VALUE"""),"tiga roda")</f>
        <v>tiga roda</v>
      </c>
      <c r="I755" s="3">
        <f>IFERROR(__xludf.DUMMYFUNCTION("""COMPUTED_VALUE"""),200.0)</f>
        <v>200</v>
      </c>
      <c r="J755" s="3" t="str">
        <f>IFERROR(__xludf.DUMMYFUNCTION("""COMPUTED_VALUE"""),"kg")</f>
        <v>kg</v>
      </c>
      <c r="K755" s="5" t="str">
        <f>IFERROR(__xludf.DUMMYFUNCTION("""COMPUTED_VALUE"""),"https://tk.tokopedia.com/ZS9tbfdcp/")</f>
        <v>https://tk.tokopedia.com/ZS9tbfdcp/</v>
      </c>
      <c r="L755" s="3" t="str">
        <f>IFERROR(__xludf.DUMMYFUNCTION("""COMPUTED_VALUE"""),"Buat perbaikan  dinding kondensat")</f>
        <v>Buat perbaikan  dinding kondensat</v>
      </c>
      <c r="M755" s="3" t="str">
        <f>IFERROR(__xludf.DUMMYFUNCTION("""COMPUTED_VALUE"""),"Approve")</f>
        <v>Approve</v>
      </c>
      <c r="N755" s="3" t="str">
        <f>IFERROR(__xludf.DUMMYFUNCTION("""COMPUTED_VALUE"""),"Normal")</f>
        <v>Normal</v>
      </c>
      <c r="O755" s="3" t="str">
        <f>IFERROR(__xludf.DUMMYFUNCTION("""COMPUTED_VALUE"""),"Non Urgent")</f>
        <v>Non Urgent</v>
      </c>
    </row>
    <row r="756">
      <c r="A756" s="4">
        <f>IFERROR(__xludf.DUMMYFUNCTION("""COMPUTED_VALUE"""),46150.966112222224)</f>
        <v>46150.96611</v>
      </c>
      <c r="B756" s="3" t="str">
        <f>IFERROR(__xludf.DUMMYFUNCTION("""COMPUTED_VALUE"""),"ROSBR0095")</f>
        <v>ROSBR0095</v>
      </c>
      <c r="C756" s="3" t="str">
        <f>IFERROR(__xludf.DUMMYFUNCTION("""COMPUTED_VALUE"""),"EJO")</f>
        <v>EJO</v>
      </c>
      <c r="D756" s="3" t="str">
        <f>IFERROR(__xludf.DUMMYFUNCTION("""COMPUTED_VALUE"""),"EJO/2026/05/046")</f>
        <v>EJO/2026/05/046</v>
      </c>
      <c r="E756" s="3" t="str">
        <f>IFERROR(__xludf.DUMMYFUNCTION("""COMPUTED_VALUE"""),"Lab Washer Miele")</f>
        <v>Lab Washer Miele</v>
      </c>
      <c r="F756" s="3" t="str">
        <f>IFERROR(__xludf.DUMMYFUNCTION("""COMPUTED_VALUE"""),"Filter Drain ")</f>
        <v>Filter Drain </v>
      </c>
      <c r="G756" s="3" t="str">
        <f>IFERROR(__xludf.DUMMYFUNCTION("""COMPUTED_VALUE"""),"Filter drain lab washer miele ")</f>
        <v>Filter drain lab washer miele </v>
      </c>
      <c r="H756" s="3" t="str">
        <f>IFERROR(__xludf.DUMMYFUNCTION("""COMPUTED_VALUE"""),"Miele")</f>
        <v>Miele</v>
      </c>
      <c r="I756" s="3">
        <f>IFERROR(__xludf.DUMMYFUNCTION("""COMPUTED_VALUE"""),1.0)</f>
        <v>1</v>
      </c>
      <c r="J756" s="3" t="str">
        <f>IFERROR(__xludf.DUMMYFUNCTION("""COMPUTED_VALUE"""),"pcs")</f>
        <v>pcs</v>
      </c>
      <c r="K756" s="5" t="str">
        <f>IFERROR(__xludf.DUMMYFUNCTION("""COMPUTED_VALUE"""),"https://drive.google.com/file/d/1ONkOawShG42cFsxr2cPLzVSzGJ1tF4vr/view?usp=drive_link")</f>
        <v>https://drive.google.com/file/d/1ONkOawShG42cFsxr2cPLzVSzGJ1tF4vr/view?usp=drive_link</v>
      </c>
      <c r="L756" s="3" t="str">
        <f>IFERROR(__xludf.DUMMYFUNCTION("""COMPUTED_VALUE"""),"buat pergantian filter drain yang sudah sobek ")</f>
        <v>buat pergantian filter drain yang sudah sobek </v>
      </c>
      <c r="M756" s="3" t="str">
        <f>IFERROR(__xludf.DUMMYFUNCTION("""COMPUTED_VALUE"""),"Approve")</f>
        <v>Approve</v>
      </c>
      <c r="N756" s="3" t="str">
        <f>IFERROR(__xludf.DUMMYFUNCTION("""COMPUTED_VALUE"""),"Normal")</f>
        <v>Normal</v>
      </c>
      <c r="O756" s="3" t="str">
        <f>IFERROR(__xludf.DUMMYFUNCTION("""COMPUTED_VALUE"""),"Non Urgent")</f>
        <v>Non Urgent</v>
      </c>
    </row>
    <row r="757">
      <c r="A757" s="4">
        <f>IFERROR(__xludf.DUMMYFUNCTION("""COMPUTED_VALUE"""),46163.38684436342)</f>
        <v>46163.38684</v>
      </c>
      <c r="B757" s="3" t="str">
        <f>IFERROR(__xludf.DUMMYFUNCTION("""COMPUTED_VALUE"""),"ERABR0001")</f>
        <v>ERABR0001</v>
      </c>
      <c r="C757" s="3" t="str">
        <f>IFERROR(__xludf.DUMMYFUNCTION("""COMPUTED_VALUE"""),"EJO")</f>
        <v>EJO</v>
      </c>
      <c r="D757" s="3" t="str">
        <f>IFERROR(__xludf.DUMMYFUNCTION("""COMPUTED_VALUE"""),"EJO/2026/05/007")</f>
        <v>EJO/2026/05/007</v>
      </c>
      <c r="E757" s="3" t="str">
        <f>IFERROR(__xludf.DUMMYFUNCTION("""COMPUTED_VALUE"""),"Particle Size Distribution/Dry Lab")</f>
        <v>Particle Size Distribution/Dry Lab</v>
      </c>
      <c r="F757" s="3" t="str">
        <f>IFERROR(__xludf.DUMMYFUNCTION("""COMPUTED_VALUE"""),"Pneumatic push in fitting lurus Brand FESTO")</f>
        <v>Pneumatic push in fitting lurus Brand FESTO</v>
      </c>
      <c r="G757" s="3" t="str">
        <f>IFERROR(__xludf.DUMMYFUNCTION("""COMPUTED_VALUE"""),"Pneumatic push in 8mm x 1/2  QS-1/2-8")</f>
        <v>Pneumatic push in 8mm x 1/2  QS-1/2-8</v>
      </c>
      <c r="H757" s="3" t="str">
        <f>IFERROR(__xludf.DUMMYFUNCTION("""COMPUTED_VALUE"""),"FESTO")</f>
        <v>FESTO</v>
      </c>
      <c r="I757" s="3">
        <f>IFERROR(__xludf.DUMMYFUNCTION("""COMPUTED_VALUE"""),3.0)</f>
        <v>3</v>
      </c>
      <c r="J757" s="3" t="str">
        <f>IFERROR(__xludf.DUMMYFUNCTION("""COMPUTED_VALUE"""),"PCS")</f>
        <v>PCS</v>
      </c>
      <c r="K757" s="5" t="str">
        <f>IFERROR(__xludf.DUMMYFUNCTION("""COMPUTED_VALUE"""),"https://www.tokopedia.com/tokofitting/pneumatic-push-in-8mm-x-1-2-festo-qs-1-2-8?extParam=ivf%3Dfalse%26keyword%3Dqs+1%2F2+8%26search_id%3D2026052102331534ED066DF378EF25ADKN%26src%3Dsearch")</f>
        <v>https://www.tokopedia.com/tokofitting/pneumatic-push-in-8mm-x-1-2-festo-qs-1-2-8?extParam=ivf%3Dfalse%26keyword%3Dqs+1%2F2+8%26search_id%3D2026052102331534ED066DF378EF25ADKN%26src%3Dsearch</v>
      </c>
      <c r="L757" s="3" t="str">
        <f>IFERROR(__xludf.DUMMYFUNCTION("""COMPUTED_VALUE"""),"Untuk instrumen baru")</f>
        <v>Untuk instrumen baru</v>
      </c>
      <c r="M757" s="3" t="str">
        <f>IFERROR(__xludf.DUMMYFUNCTION("""COMPUTED_VALUE"""),"Approve")</f>
        <v>Approve</v>
      </c>
      <c r="N757" s="3" t="str">
        <f>IFERROR(__xludf.DUMMYFUNCTION("""COMPUTED_VALUE"""),"Normal")</f>
        <v>Normal</v>
      </c>
      <c r="O757" s="3" t="str">
        <f>IFERROR(__xludf.DUMMYFUNCTION("""COMPUTED_VALUE"""),"Non Urgent")</f>
        <v>Non Urgent</v>
      </c>
    </row>
    <row r="758">
      <c r="A758" s="4">
        <f>IFERROR(__xludf.DUMMYFUNCTION("""COMPUTED_VALUE"""),46167.636916840274)</f>
        <v>46167.63692</v>
      </c>
      <c r="B758" s="3" t="str">
        <f>IFERROR(__xludf.DUMMYFUNCTION("""COMPUTED_VALUE"""),"KFFBR0018")</f>
        <v>KFFBR0018</v>
      </c>
      <c r="C758" s="3" t="str">
        <f>IFERROR(__xludf.DUMMYFUNCTION("""COMPUTED_VALUE"""),"EJO")</f>
        <v>EJO</v>
      </c>
      <c r="D758" s="3" t="str">
        <f>IFERROR(__xludf.DUMMYFUNCTION("""COMPUTED_VALUE"""),"EJO/2026/05/061")</f>
        <v>EJO/2026/05/061</v>
      </c>
      <c r="E758" s="3" t="str">
        <f>IFERROR(__xludf.DUMMYFUNCTION("""COMPUTED_VALUE"""),"Dispensing steril")</f>
        <v>Dispensing steril</v>
      </c>
      <c r="F758" s="3" t="str">
        <f>IFERROR(__xludf.DUMMYFUNCTION("""COMPUTED_VALUE"""),"temuan PM")</f>
        <v>temuan PM</v>
      </c>
      <c r="G758" s="3" t="str">
        <f>IFERROR(__xludf.DUMMYFUNCTION("""COMPUTED_VALUE"""),"Contactor Siemens 3TF30 10-0B 
9A 415v ")</f>
        <v>Contactor Siemens 3TF30 10-0B 
9A 415v </v>
      </c>
      <c r="H758" s="3" t="str">
        <f>IFERROR(__xludf.DUMMYFUNCTION("""COMPUTED_VALUE"""),"Siemens")</f>
        <v>Siemens</v>
      </c>
      <c r="I758" s="3">
        <f>IFERROR(__xludf.DUMMYFUNCTION("""COMPUTED_VALUE"""),1.0)</f>
        <v>1</v>
      </c>
      <c r="J758" s="3" t="str">
        <f>IFERROR(__xludf.DUMMYFUNCTION("""COMPUTED_VALUE"""),"pcs")</f>
        <v>pcs</v>
      </c>
      <c r="K758" s="5" t="str">
        <f>IFERROR(__xludf.DUMMYFUNCTION("""COMPUTED_VALUE"""),"https://tk.tokopedia.com/ZSxHxE9Y1/")</f>
        <v>https://tk.tokopedia.com/ZSxHxE9Y1/</v>
      </c>
      <c r="L758" s="3" t="str">
        <f>IFERROR(__xludf.DUMMYFUNCTION("""COMPUTED_VALUE"""),"temuan PM temperature melebihi batas maksimal &gt;60 c
actual 66c")</f>
        <v>temuan PM temperature melebihi batas maksimal &gt;60 c
actual 66c</v>
      </c>
      <c r="M758" s="3" t="str">
        <f>IFERROR(__xludf.DUMMYFUNCTION("""COMPUTED_VALUE"""),"Waiting")</f>
        <v>Waiting</v>
      </c>
      <c r="N758" s="3" t="str">
        <f>IFERROR(__xludf.DUMMYFUNCTION("""COMPUTED_VALUE"""),"Waiting")</f>
        <v>Waiting</v>
      </c>
      <c r="O758" s="3" t="str">
        <f>IFERROR(__xludf.DUMMYFUNCTION("""COMPUTED_VALUE"""),"Non Urgent")</f>
        <v>Non Urgent</v>
      </c>
    </row>
    <row r="759">
      <c r="A759" s="4">
        <f>IFERROR(__xludf.DUMMYFUNCTION("""COMPUTED_VALUE"""),46168.00272101852)</f>
        <v>46168.00272</v>
      </c>
      <c r="B759" s="3" t="str">
        <f>IFERROR(__xludf.DUMMYFUNCTION("""COMPUTED_VALUE"""),"ROSBR0096")</f>
        <v>ROSBR0096</v>
      </c>
      <c r="C759" s="3" t="str">
        <f>IFERROR(__xludf.DUMMYFUNCTION("""COMPUTED_VALUE"""),"EJO")</f>
        <v>EJO</v>
      </c>
      <c r="D759" s="3" t="str">
        <f>IFERROR(__xludf.DUMMYFUNCTION("""COMPUTED_VALUE"""),"EJO/2026/05/047")</f>
        <v>EJO/2026/05/047</v>
      </c>
      <c r="E759" s="3" t="str">
        <f>IFERROR(__xludf.DUMMYFUNCTION("""COMPUTED_VALUE"""),"Isolator Skan ")</f>
        <v>Isolator Skan </v>
      </c>
      <c r="F759" s="3" t="str">
        <f>IFERROR(__xludf.DUMMYFUNCTION("""COMPUTED_VALUE"""),"Gas Spring Bansbach")</f>
        <v>Gas Spring Bansbach</v>
      </c>
      <c r="G759" s="3" t="str">
        <f>IFERROR(__xludf.DUMMYFUNCTION("""COMPUTED_VALUE"""),"Gas Spring Bansbach D0M0 83 250 760 002 745N")</f>
        <v>Gas Spring Bansbach D0M0 83 250 760 002 745N</v>
      </c>
      <c r="H759" s="3" t="str">
        <f>IFERROR(__xludf.DUMMYFUNCTION("""COMPUTED_VALUE"""),"Bansbach")</f>
        <v>Bansbach</v>
      </c>
      <c r="I759" s="3">
        <f>IFERROR(__xludf.DUMMYFUNCTION("""COMPUTED_VALUE"""),2.0)</f>
        <v>2</v>
      </c>
      <c r="J759" s="3" t="str">
        <f>IFERROR(__xludf.DUMMYFUNCTION("""COMPUTED_VALUE"""),"Pcs")</f>
        <v>Pcs</v>
      </c>
      <c r="K759" s="5" t="str">
        <f>IFERROR(__xludf.DUMMYFUNCTION("""COMPUTED_VALUE"""),"https://www.tokopedia.com/bansbachofficial/gas-spring-bansbach-d0m0-83-250-760-750n-1735758326594766499")</f>
        <v>https://www.tokopedia.com/bansbachofficial/gas-spring-bansbach-d0m0-83-250-760-750n-1735758326594766499</v>
      </c>
      <c r="L759" s="3" t="str">
        <f>IFERROR(__xludf.DUMMYFUNCTION("""COMPUTED_VALUE"""),"Tolong belikan Gas Spring buat , Sesuai deskripsi, penawaran dari vendor resmi bansbach Indonesia ")</f>
        <v>Tolong belikan Gas Spring buat , Sesuai deskripsi, penawaran dari vendor resmi bansbach Indonesia </v>
      </c>
      <c r="M759" s="3" t="str">
        <f>IFERROR(__xludf.DUMMYFUNCTION("""COMPUTED_VALUE"""),"Approve")</f>
        <v>Approve</v>
      </c>
      <c r="N759" s="3" t="str">
        <f>IFERROR(__xludf.DUMMYFUNCTION("""COMPUTED_VALUE"""),"Normal")</f>
        <v>Normal</v>
      </c>
      <c r="O759" s="3" t="str">
        <f>IFERROR(__xludf.DUMMYFUNCTION("""COMPUTED_VALUE"""),"Non Urgent")</f>
        <v>Non Urgent</v>
      </c>
    </row>
    <row r="760">
      <c r="A760" s="4">
        <f>IFERROR(__xludf.DUMMYFUNCTION("""COMPUTED_VALUE"""),46168.44706547454)</f>
        <v>46168.44707</v>
      </c>
      <c r="B760" s="3" t="str">
        <f>IFERROR(__xludf.DUMMYFUNCTION("""COMPUTED_VALUE"""),"ERABR0002")</f>
        <v>ERABR0002</v>
      </c>
      <c r="C760" s="3" t="str">
        <f>IFERROR(__xludf.DUMMYFUNCTION("""COMPUTED_VALUE"""),"Consumable")</f>
        <v>Consumable</v>
      </c>
      <c r="D760" s="3" t="str">
        <f>IFERROR(__xludf.DUMMYFUNCTION("""COMPUTED_VALUE"""),"-")</f>
        <v>-</v>
      </c>
      <c r="E760" s="3" t="str">
        <f>IFERROR(__xludf.DUMMYFUNCTION("""COMPUTED_VALUE"""),"Isolator SKAN/Lab Micro")</f>
        <v>Isolator SKAN/Lab Micro</v>
      </c>
      <c r="F760" s="3" t="str">
        <f>IFERROR(__xludf.DUMMYFUNCTION("""COMPUTED_VALUE"""),"Oring G 300")</f>
        <v>Oring G 300</v>
      </c>
      <c r="G760" s="3" t="str">
        <f>IFERROR(__xludf.DUMMYFUNCTION("""COMPUTED_VALUE"""),"NBR 70 OD: 301.7 mm ID: 299.3 mm T: 5.7 mm ")</f>
        <v>NBR 70 OD: 301.7 mm ID: 299.3 mm T: 5.7 mm </v>
      </c>
      <c r="H760" s="3" t="str">
        <f>IFERROR(__xludf.DUMMYFUNCTION("""COMPUTED_VALUE"""),"NOK")</f>
        <v>NOK</v>
      </c>
      <c r="I760" s="3">
        <f>IFERROR(__xludf.DUMMYFUNCTION("""COMPUTED_VALUE"""),4.0)</f>
        <v>4</v>
      </c>
      <c r="J760" s="3" t="str">
        <f>IFERROR(__xludf.DUMMYFUNCTION("""COMPUTED_VALUE"""),"PCS")</f>
        <v>PCS</v>
      </c>
      <c r="K760" s="5" t="str">
        <f>IFERROR(__xludf.DUMMYFUNCTION("""COMPUTED_VALUE"""),"https://www.tokopedia.com/oringjaya/o-ring-g-300-5-7-x-299-3-x-310-7-mm-nbr-shore-70-merk-nok-1735361336094459163?extParam=ivf%3Dfalse%26keyword%3Do+ring+diameter+30cm%26search_id%3D20260526025648320722549D1751085FKN%26src%3Dsearch&amp;t_id=1779764347613&amp;t_st"&amp;"=1&amp;t_pp=search_result&amp;t_efo=search_pure_goods_card&amp;t_ef=goods_search&amp;t_sm=&amp;t_spt=search_result")</f>
        <v>https://www.tokopedia.com/oringjaya/o-ring-g-300-5-7-x-299-3-x-310-7-mm-nbr-shore-70-merk-nok-1735361336094459163?extParam=ivf%3Dfalse%26keyword%3Do+ring+diameter+30cm%26search_id%3D20260526025648320722549D1751085FKN%26src%3Dsearch&amp;t_id=1779764347613&amp;t_st=1&amp;t_pp=search_result&amp;t_efo=search_pure_goods_card&amp;t_ef=goods_search&amp;t_sm=&amp;t_spt=search_result</v>
      </c>
      <c r="L760" s="3" t="str">
        <f>IFERROR(__xludf.DUMMYFUNCTION("""COMPUTED_VALUE"""),"Untuk Spare Part")</f>
        <v>Untuk Spare Part</v>
      </c>
      <c r="M760" s="3" t="str">
        <f>IFERROR(__xludf.DUMMYFUNCTION("""COMPUTED_VALUE"""),"Approve")</f>
        <v>Approve</v>
      </c>
      <c r="N760" s="3" t="str">
        <f>IFERROR(__xludf.DUMMYFUNCTION("""COMPUTED_VALUE"""),"Normal")</f>
        <v>Normal</v>
      </c>
      <c r="O760" s="3" t="str">
        <f>IFERROR(__xludf.DUMMYFUNCTION("""COMPUTED_VALUE"""),"Non Urgent")</f>
        <v>Non Urgent</v>
      </c>
    </row>
    <row r="761">
      <c r="A761" s="4">
        <f>IFERROR(__xludf.DUMMYFUNCTION("""COMPUTED_VALUE"""),46168.58870814815)</f>
        <v>46168.58871</v>
      </c>
      <c r="B761" s="3" t="str">
        <f>IFERROR(__xludf.DUMMYFUNCTION("""COMPUTED_VALUE"""),"WAPBR0001")</f>
        <v>WAPBR0001</v>
      </c>
      <c r="C761" s="3" t="str">
        <f>IFERROR(__xludf.DUMMYFUNCTION("""COMPUTED_VALUE"""),"EJO")</f>
        <v>EJO</v>
      </c>
      <c r="D761" s="3" t="str">
        <f>IFERROR(__xludf.DUMMYFUNCTION("""COMPUTED_VALUE"""),"EJO/2026/05/077")</f>
        <v>EJO/2026/05/077</v>
      </c>
      <c r="E761" s="3" t="str">
        <f>IFERROR(__xludf.DUMMYFUNCTION("""COMPUTED_VALUE"""),"Stability")</f>
        <v>Stability</v>
      </c>
      <c r="F761" s="3" t="str">
        <f>IFERROR(__xludf.DUMMYFUNCTION("""COMPUTED_VALUE"""),"Cover lampu WIHC")</f>
        <v>Cover lampu WIHC</v>
      </c>
      <c r="G761" s="3" t="str">
        <f>IFERROR(__xludf.DUMMYFUNCTION("""COMPUTED_VALUE"""),"Akrilik (ukuran sesuai gambar)")</f>
        <v>Akrilik (ukuran sesuai gambar)</v>
      </c>
      <c r="H761" s="3" t="str">
        <f>IFERROR(__xludf.DUMMYFUNCTION("""COMPUTED_VALUE"""),"lokal")</f>
        <v>lokal</v>
      </c>
      <c r="I761" s="3">
        <f>IFERROR(__xludf.DUMMYFUNCTION("""COMPUTED_VALUE"""),4.0)</f>
        <v>4</v>
      </c>
      <c r="J761" s="3" t="str">
        <f>IFERROR(__xludf.DUMMYFUNCTION("""COMPUTED_VALUE"""),"Pcs")</f>
        <v>Pcs</v>
      </c>
      <c r="K761" s="5" t="str">
        <f>IFERROR(__xludf.DUMMYFUNCTION("""COMPUTED_VALUE"""),"https://drive.google.com/drive/folders/1qFjh3nWLC22ZkSw2vBRudTbIz7Cy1CSk?usp=sharing")</f>
        <v>https://drive.google.com/drive/folders/1qFjh3nWLC22ZkSw2vBRudTbIz7Cy1CSk?usp=sharing</v>
      </c>
      <c r="L761" s="3" t="str">
        <f>IFERROR(__xludf.DUMMYFUNCTION("""COMPUTED_VALUE"""),"-")</f>
        <v>-</v>
      </c>
      <c r="M761" s="3" t="str">
        <f>IFERROR(__xludf.DUMMYFUNCTION("""COMPUTED_VALUE"""),"Reject")</f>
        <v>Reject</v>
      </c>
      <c r="N761" s="3" t="str">
        <f>IFERROR(__xludf.DUMMYFUNCTION("""COMPUTED_VALUE"""),"Normal")</f>
        <v>Normal</v>
      </c>
      <c r="O761" s="3" t="str">
        <f>IFERROR(__xludf.DUMMYFUNCTION("""COMPUTED_VALUE"""),"Non Urgent")</f>
        <v>Non Urgent</v>
      </c>
    </row>
    <row r="762">
      <c r="A762" s="4">
        <f>IFERROR(__xludf.DUMMYFUNCTION("""COMPUTED_VALUE"""),46170.640493252315)</f>
        <v>46170.64049</v>
      </c>
      <c r="B762" s="3" t="str">
        <f>IFERROR(__xludf.DUMMYFUNCTION("""COMPUTED_VALUE"""),"MRNBR0107")</f>
        <v>MRNBR0107</v>
      </c>
      <c r="C762" s="3" t="str">
        <f>IFERROR(__xludf.DUMMYFUNCTION("""COMPUTED_VALUE"""),"EJO")</f>
        <v>EJO</v>
      </c>
      <c r="D762" s="3" t="str">
        <f>IFERROR(__xludf.DUMMYFUNCTION("""COMPUTED_VALUE"""),"EJO/2026/04/125")</f>
        <v>EJO/2026/04/125</v>
      </c>
      <c r="E762" s="3" t="str">
        <f>IFERROR(__xludf.DUMMYFUNCTION("""COMPUTED_VALUE"""),"WIP 25")</f>
        <v>WIP 25</v>
      </c>
      <c r="F762" s="3" t="str">
        <f>IFERROR(__xludf.DUMMYFUNCTION("""COMPUTED_VALUE"""),"slot pintu")</f>
        <v>slot pintu</v>
      </c>
      <c r="G762" s="3" t="str">
        <f>IFERROR(__xludf.DUMMYFUNCTION("""COMPUTED_VALUE"""),"Flush bolt Griff 1625 + Stang")</f>
        <v>Flush bolt Griff 1625 + Stang</v>
      </c>
      <c r="H762" s="3" t="str">
        <f>IFERROR(__xludf.DUMMYFUNCTION("""COMPUTED_VALUE"""),"griff")</f>
        <v>griff</v>
      </c>
      <c r="I762" s="3">
        <f>IFERROR(__xludf.DUMMYFUNCTION("""COMPUTED_VALUE"""),10.0)</f>
        <v>10</v>
      </c>
      <c r="J762" s="3" t="str">
        <f>IFERROR(__xludf.DUMMYFUNCTION("""COMPUTED_VALUE"""),"unit")</f>
        <v>unit</v>
      </c>
      <c r="K762" s="5" t="str">
        <f>IFERROR(__xludf.DUMMYFUNCTION("""COMPUTED_VALUE"""),"https://drive.google.com/file/d/1brIX0ArNhYAOJeEHqdfR2-328M_jU1Vh/view?usp=drive_link")</f>
        <v>https://drive.google.com/file/d/1brIX0ArNhYAOJeEHqdfR2-328M_jU1Vh/view?usp=drive_link</v>
      </c>
      <c r="L762" s="3" t="str">
        <f>IFERROR(__xludf.DUMMYFUNCTION("""COMPUTED_VALUE"""),"untuk pintu besi double")</f>
        <v>untuk pintu besi double</v>
      </c>
      <c r="M762" s="3" t="str">
        <f>IFERROR(__xludf.DUMMYFUNCTION("""COMPUTED_VALUE"""),"Approve")</f>
        <v>Approve</v>
      </c>
      <c r="N762" s="3" t="str">
        <f>IFERROR(__xludf.DUMMYFUNCTION("""COMPUTED_VALUE"""),"Normal")</f>
        <v>Normal</v>
      </c>
      <c r="O762" s="3" t="str">
        <f>IFERROR(__xludf.DUMMYFUNCTION("""COMPUTED_VALUE"""),"Non Urgent")</f>
        <v>Non Urgent</v>
      </c>
    </row>
    <row r="763">
      <c r="A763" s="4">
        <f>IFERROR(__xludf.DUMMYFUNCTION("""COMPUTED_VALUE"""),46177.43880142361)</f>
        <v>46177.4388</v>
      </c>
      <c r="B763" s="3" t="str">
        <f>IFERROR(__xludf.DUMMYFUNCTION("""COMPUTED_VALUE"""),"WAPBR0002")</f>
        <v>WAPBR0002</v>
      </c>
      <c r="C763" s="3" t="str">
        <f>IFERROR(__xludf.DUMMYFUNCTION("""COMPUTED_VALUE"""),"Consumable")</f>
        <v>Consumable</v>
      </c>
      <c r="D763" s="3" t="str">
        <f>IFERROR(__xludf.DUMMYFUNCTION("""COMPUTED_VALUE"""),"-")</f>
        <v>-</v>
      </c>
      <c r="E763" s="3" t="str">
        <f>IFERROR(__xludf.DUMMYFUNCTION("""COMPUTED_VALUE"""),"Workshop")</f>
        <v>Workshop</v>
      </c>
      <c r="F763" s="3" t="str">
        <f>IFERROR(__xludf.DUMMYFUNCTION("""COMPUTED_VALUE"""),"gergaji besi set")</f>
        <v>gergaji besi set</v>
      </c>
      <c r="G763" s="3" t="str">
        <f>IFERROR(__xludf.DUMMYFUNCTION("""COMPUTED_VALUE"""),"gergaji + hacksaw blade")</f>
        <v>gergaji + hacksaw blade</v>
      </c>
      <c r="H763" s="3" t="str">
        <f>IFERROR(__xludf.DUMMYFUNCTION("""COMPUTED_VALUE"""),"Tekiro")</f>
        <v>Tekiro</v>
      </c>
      <c r="I763" s="3">
        <f>IFERROR(__xludf.DUMMYFUNCTION("""COMPUTED_VALUE"""),1.0)</f>
        <v>1</v>
      </c>
      <c r="J763" s="3" t="str">
        <f>IFERROR(__xludf.DUMMYFUNCTION("""COMPUTED_VALUE"""),"set")</f>
        <v>set</v>
      </c>
      <c r="K763" s="5" t="str">
        <f>IFERROR(__xludf.DUMMYFUNCTION("""COMPUTED_VALUE"""),"https://www.tokopedia.com/rakini/tekiro-gagang-gergaji-besi-12-gratis-mata-gergajinya-30-cm?extParam=ivf%3Dfalse%26keyword%3Dgergaji+besi+set%26search_id%3D2026060403332734ED066DF378EF2F3442%26src%3Dsearch&amp;t_id=1780544016334&amp;t_st=2&amp;t_pp=search_result&amp;t_ef"&amp;"o=search_pure_goods_card&amp;t_ef=goods_search&amp;t_sm=&amp;t_spt=search_result")</f>
        <v>https://www.tokopedia.com/rakini/tekiro-gagang-gergaji-besi-12-gratis-mata-gergajinya-30-cm?extParam=ivf%3Dfalse%26keyword%3Dgergaji+besi+set%26search_id%3D2026060403332734ED066DF378EF2F3442%26src%3Dsearch&amp;t_id=1780544016334&amp;t_st=2&amp;t_pp=search_result&amp;t_efo=search_pure_goods_card&amp;t_ef=goods_search&amp;t_sm=&amp;t_spt=search_result</v>
      </c>
      <c r="L763" s="3" t="str">
        <f>IFERROR(__xludf.DUMMYFUNCTION("""COMPUTED_VALUE"""),"-")</f>
        <v>-</v>
      </c>
      <c r="M763" s="3" t="str">
        <f>IFERROR(__xludf.DUMMYFUNCTION("""COMPUTED_VALUE"""),"Waiting")</f>
        <v>Waiting</v>
      </c>
      <c r="N763" s="3" t="str">
        <f>IFERROR(__xludf.DUMMYFUNCTION("""COMPUTED_VALUE"""),"Waiting")</f>
        <v>Waiting</v>
      </c>
      <c r="O763" s="3" t="str">
        <f>IFERROR(__xludf.DUMMYFUNCTION("""COMPUTED_VALUE"""),"Non Urgent")</f>
        <v>Non Urgent</v>
      </c>
    </row>
    <row r="764">
      <c r="A764" s="4">
        <f>IFERROR(__xludf.DUMMYFUNCTION("""COMPUTED_VALUE"""),46177.54958222222)</f>
        <v>46177.54958</v>
      </c>
      <c r="B764" s="3" t="str">
        <f>IFERROR(__xludf.DUMMYFUNCTION("""COMPUTED_VALUE"""),"WAPBR0003")</f>
        <v>WAPBR0003</v>
      </c>
      <c r="C764" s="3" t="str">
        <f>IFERROR(__xludf.DUMMYFUNCTION("""COMPUTED_VALUE"""),"Consumable")</f>
        <v>Consumable</v>
      </c>
      <c r="D764" s="3" t="str">
        <f>IFERROR(__xludf.DUMMYFUNCTION("""COMPUTED_VALUE"""),"-")</f>
        <v>-</v>
      </c>
      <c r="E764" s="3" t="str">
        <f>IFERROR(__xludf.DUMMYFUNCTION("""COMPUTED_VALUE"""),"Workshop")</f>
        <v>Workshop</v>
      </c>
      <c r="F764" s="3" t="str">
        <f>IFERROR(__xludf.DUMMYFUNCTION("""COMPUTED_VALUE"""),"mata gergaji besi")</f>
        <v>mata gergaji besi</v>
      </c>
      <c r="G764" s="3" t="str">
        <f>IFERROR(__xludf.DUMMYFUNCTION("""COMPUTED_VALUE"""),"Hacksaw blade ")</f>
        <v>Hacksaw blade </v>
      </c>
      <c r="H764" s="3" t="str">
        <f>IFERROR(__xludf.DUMMYFUNCTION("""COMPUTED_VALUE"""),"tekiro")</f>
        <v>tekiro</v>
      </c>
      <c r="I764" s="3">
        <f>IFERROR(__xludf.DUMMYFUNCTION("""COMPUTED_VALUE"""),5.0)</f>
        <v>5</v>
      </c>
      <c r="J764" s="3" t="str">
        <f>IFERROR(__xludf.DUMMYFUNCTION("""COMPUTED_VALUE"""),"Pcs")</f>
        <v>Pcs</v>
      </c>
      <c r="K764" s="3" t="str">
        <f>IFERROR(__xludf.DUMMYFUNCTION("""COMPUTED_VALUE"""),"Jual Tekiro Mata Gergaji Besi 18 TPI / Tekiro Hacksaw Blade - Green - Kota Administrasi Jakarta Utara - Fixcomart | Tokopedia")</f>
        <v>Jual Tekiro Mata Gergaji Besi 18 TPI / Tekiro Hacksaw Blade - Green - Kota Administrasi Jakarta Utara - Fixcomart | Tokopedia</v>
      </c>
      <c r="L764" s="3" t="str">
        <f>IFERROR(__xludf.DUMMYFUNCTION("""COMPUTED_VALUE"""),"-")</f>
        <v>-</v>
      </c>
      <c r="M764" s="3" t="str">
        <f>IFERROR(__xludf.DUMMYFUNCTION("""COMPUTED_VALUE"""),"Approve")</f>
        <v>Approve</v>
      </c>
      <c r="N764" s="3" t="str">
        <f>IFERROR(__xludf.DUMMYFUNCTION("""COMPUTED_VALUE"""),"Normal")</f>
        <v>Normal</v>
      </c>
      <c r="O764" s="3" t="str">
        <f>IFERROR(__xludf.DUMMYFUNCTION("""COMPUTED_VALUE"""),"Non Urgent")</f>
        <v>Non Urgent</v>
      </c>
    </row>
    <row r="765">
      <c r="A765" s="4">
        <f>IFERROR(__xludf.DUMMYFUNCTION("""COMPUTED_VALUE"""),46178.44269900463)</f>
        <v>46178.4427</v>
      </c>
      <c r="B765" s="3" t="str">
        <f>IFERROR(__xludf.DUMMYFUNCTION("""COMPUTED_VALUE"""),"MRNBR0108")</f>
        <v>MRNBR0108</v>
      </c>
      <c r="C765" s="3" t="str">
        <f>IFERROR(__xludf.DUMMYFUNCTION("""COMPUTED_VALUE"""),"EJO")</f>
        <v>EJO</v>
      </c>
      <c r="D765" s="3" t="str">
        <f>IFERROR(__xludf.DUMMYFUNCTION("""COMPUTED_VALUE"""),"EJO/2025/08/205")</f>
        <v>EJO/2025/08/205</v>
      </c>
      <c r="E765" s="3" t="str">
        <f>IFERROR(__xludf.DUMMYFUNCTION("""COMPUTED_VALUE"""),"Lampu di IPC")</f>
        <v>Lampu di IPC</v>
      </c>
      <c r="F765" s="3" t="str">
        <f>IFERROR(__xludf.DUMMYFUNCTION("""COMPUTED_VALUE"""),"BOX lampu")</f>
        <v>BOX lampu</v>
      </c>
      <c r="G765" s="3" t="str">
        <f>IFERROR(__xludf.DUMMYFUNCTION("""COMPUTED_VALUE"""),"Lampu CPOB")</f>
        <v>Lampu CPOB</v>
      </c>
      <c r="H765" s="3" t="str">
        <f>IFERROR(__xludf.DUMMYFUNCTION("""COMPUTED_VALUE"""),"Amidef")</f>
        <v>Amidef</v>
      </c>
      <c r="I765" s="3">
        <f>IFERROR(__xludf.DUMMYFUNCTION("""COMPUTED_VALUE"""),9.0)</f>
        <v>9</v>
      </c>
      <c r="J765" s="3" t="str">
        <f>IFERROR(__xludf.DUMMYFUNCTION("""COMPUTED_VALUE"""),"pcs")</f>
        <v>pcs</v>
      </c>
      <c r="K765" s="5" t="str">
        <f>IFERROR(__xludf.DUMMYFUNCTION("""COMPUTED_VALUE"""),"https://acrobat.adobe.com/id/urn:aaid:sc:AP:ed51335f-ae92-4988-ac94-fda62b428eec")</f>
        <v>https://acrobat.adobe.com/id/urn:aaid:sc:AP:ed51335f-ae92-4988-ac94-fda62b428eec</v>
      </c>
      <c r="L765" s="3" t="str">
        <f>IFERROR(__xludf.DUMMYFUNCTION("""COMPUTED_VALUE"""),"penawaran terlampir di link")</f>
        <v>penawaran terlampir di link</v>
      </c>
      <c r="M765" s="3" t="str">
        <f>IFERROR(__xludf.DUMMYFUNCTION("""COMPUTED_VALUE"""),"Reject")</f>
        <v>Reject</v>
      </c>
      <c r="N765" s="3" t="str">
        <f>IFERROR(__xludf.DUMMYFUNCTION("""COMPUTED_VALUE"""),"Normal")</f>
        <v>Normal</v>
      </c>
      <c r="O765" s="3" t="str">
        <f>IFERROR(__xludf.DUMMYFUNCTION("""COMPUTED_VALUE"""),"Non Urgent")</f>
        <v>Non Urgent</v>
      </c>
    </row>
    <row r="766">
      <c r="A766" s="4">
        <f>IFERROR(__xludf.DUMMYFUNCTION("""COMPUTED_VALUE"""),46181.14899461805)</f>
        <v>46181.14899</v>
      </c>
      <c r="B766" s="3" t="str">
        <f>IFERROR(__xludf.DUMMYFUNCTION("""COMPUTED_VALUE"""),"RIABR0167")</f>
        <v>RIABR0167</v>
      </c>
      <c r="C766" s="3" t="str">
        <f>IFERROR(__xludf.DUMMYFUNCTION("""COMPUTED_VALUE"""),"EJO")</f>
        <v>EJO</v>
      </c>
      <c r="D766" s="3" t="str">
        <f>IFERROR(__xludf.DUMMYFUNCTION("""COMPUTED_VALUE"""),"-")</f>
        <v>-</v>
      </c>
      <c r="E766" s="3" t="str">
        <f>IFERROR(__xludf.DUMMYFUNCTION("""COMPUTED_VALUE"""),"All Area")</f>
        <v>All Area</v>
      </c>
      <c r="F766" s="3" t="str">
        <f>IFERROR(__xludf.DUMMYFUNCTION("""COMPUTED_VALUE"""),"Tongkat")</f>
        <v>Tongkat</v>
      </c>
      <c r="G766" s="3" t="str">
        <f>IFERROR(__xludf.DUMMYFUNCTION("""COMPUTED_VALUE"""),"Tongkat Buat Ganti Lampu Bohlamp Biar Cepat Tanpa Tangga")</f>
        <v>Tongkat Buat Ganti Lampu Bohlamp Biar Cepat Tanpa Tangga</v>
      </c>
      <c r="H766" s="3" t="str">
        <f>IFERROR(__xludf.DUMMYFUNCTION("""COMPUTED_VALUE"""),"Lokal")</f>
        <v>Lokal</v>
      </c>
      <c r="I766" s="3">
        <f>IFERROR(__xludf.DUMMYFUNCTION("""COMPUTED_VALUE"""),1.0)</f>
        <v>1</v>
      </c>
      <c r="J766" s="3" t="str">
        <f>IFERROR(__xludf.DUMMYFUNCTION("""COMPUTED_VALUE"""),"Pcs")</f>
        <v>Pcs</v>
      </c>
      <c r="K766" s="5" t="str">
        <f>IFERROR(__xludf.DUMMYFUNCTION("""COMPUTED_VALUE"""),"https://www.tokopedia.com/louloustore/tongkat-pengganti-lampu-panjang-2-meter-downlight-downlights-2-m-2m-lampu-bohlam-led-pijar-stick-1731620172457018942?extParam=ivf%3Dfalse%26keyword%3Dganti+lampu%26search_id%3D202606072033439DE6D14FFF98062F4U1L%26src%"&amp;"3Dsearch&amp;t_id=1780864432590&amp;t_st=1&amp;t_pp=search_result&amp;t_efo=search_pure_goods_card&amp;t_ef=goods_search&amp;t_sm=&amp;t_spt=search_result")</f>
        <v>https://www.tokopedia.com/louloustore/tongkat-pengganti-lampu-panjang-2-meter-downlight-downlights-2-m-2m-lampu-bohlam-led-pijar-stick-1731620172457018942?extParam=ivf%3Dfalse%26keyword%3Dganti+lampu%26search_id%3D202606072033439DE6D14FFF98062F4U1L%26src%3Dsearch&amp;t_id=1780864432590&amp;t_st=1&amp;t_pp=search_result&amp;t_efo=search_pure_goods_card&amp;t_ef=goods_search&amp;t_sm=&amp;t_spt=search_result</v>
      </c>
      <c r="L766" s="3" t="str">
        <f>IFERROR(__xludf.DUMMYFUNCTION("""COMPUTED_VALUE"""),"Menghemat waktu dan tenaga karena hanya bawa tongkat buat ganti lampu lebih cepat")</f>
        <v>Menghemat waktu dan tenaga karena hanya bawa tongkat buat ganti lampu lebih cepat</v>
      </c>
      <c r="M766" s="3" t="str">
        <f>IFERROR(__xludf.DUMMYFUNCTION("""COMPUTED_VALUE"""),"Approve")</f>
        <v>Approve</v>
      </c>
      <c r="N766" s="3" t="str">
        <f>IFERROR(__xludf.DUMMYFUNCTION("""COMPUTED_VALUE"""),"Normal")</f>
        <v>Normal</v>
      </c>
      <c r="O766" s="3" t="str">
        <f>IFERROR(__xludf.DUMMYFUNCTION("""COMPUTED_VALUE"""),"Non Urgent")</f>
        <v>Non Urgent</v>
      </c>
    </row>
    <row r="767">
      <c r="A767" s="4">
        <f>IFERROR(__xludf.DUMMYFUNCTION("""COMPUTED_VALUE"""),46182.42816619213)</f>
        <v>46182.42817</v>
      </c>
      <c r="B767" s="3" t="str">
        <f>IFERROR(__xludf.DUMMYFUNCTION("""COMPUTED_VALUE"""),"SFHBR0062")</f>
        <v>SFHBR0062</v>
      </c>
      <c r="C767" s="3" t="str">
        <f>IFERROR(__xludf.DUMMYFUNCTION("""COMPUTED_VALUE"""),"Consumable")</f>
        <v>Consumable</v>
      </c>
      <c r="D767" s="3" t="str">
        <f>IFERROR(__xludf.DUMMYFUNCTION("""COMPUTED_VALUE"""),"-")</f>
        <v>-</v>
      </c>
      <c r="E767" s="3" t="str">
        <f>IFERROR(__xludf.DUMMYFUNCTION("""COMPUTED_VALUE"""),"lantai 1")</f>
        <v>lantai 1</v>
      </c>
      <c r="F767" s="3" t="str">
        <f>IFERROR(__xludf.DUMMYFUNCTION("""COMPUTED_VALUE"""),"DOP PIPA TUTUP DALAM - 1inc1/4"" INCHI TUTUP PIPA ORNAMEN STAINLESS STAINLESS 201")</f>
        <v>DOP PIPA TUTUP DALAM - 1inc1/4" INCHI TUTUP PIPA ORNAMEN STAINLESS STAINLESS 201</v>
      </c>
      <c r="G767" s="3" t="str">
        <f>IFERROR(__xludf.DUMMYFUNCTION("""COMPUTED_VALUE"""),"DOP PIPA TUTUP DALAM - 1inchi 1/4 INCHI TUTUP PIPA ORNAMEN STAINLESS STAINLESS 201")</f>
        <v>DOP PIPA TUTUP DALAM - 1inchi 1/4 INCHI TUTUP PIPA ORNAMEN STAINLESS STAINLESS 201</v>
      </c>
      <c r="H767" s="3" t="str">
        <f>IFERROR(__xludf.DUMMYFUNCTION("""COMPUTED_VALUE"""),"ornamen stanlis")</f>
        <v>ornamen stanlis</v>
      </c>
      <c r="I767" s="3">
        <f>IFERROR(__xludf.DUMMYFUNCTION("""COMPUTED_VALUE"""),30.0)</f>
        <v>30</v>
      </c>
      <c r="J767" s="3" t="str">
        <f>IFERROR(__xludf.DUMMYFUNCTION("""COMPUTED_VALUE"""),"pcs")</f>
        <v>pcs</v>
      </c>
      <c r="K767" s="5" t="str">
        <f>IFERROR(__xludf.DUMMYFUNCTION("""COMPUTED_VALUE"""),"https://shopee.co.id/DOP-PIPA-TUTUP-DALAM-1-2-3-INCHI-TUTUP-PIPA-ORNAMEN-STAINLESS-STAINLESS-201-i.329038744.9434764723?extraParams=%7B%22display_model_id%22%3A410425438611%2C%22model_selection_logic%22%3A2%7D&amp;sp_atk=82f9a3da-bd49-41b4-98d6-646ef63139b4&amp;x"&amp;"ptdk=82f9a3da-bd49-41b4-98d6-646ef63139b4")</f>
        <v>https://shopee.co.id/DOP-PIPA-TUTUP-DALAM-1-2-3-INCHI-TUTUP-PIPA-ORNAMEN-STAINLESS-STAINLESS-201-i.329038744.9434764723?extraParams=%7B%22display_model_id%22%3A410425438611%2C%22model_selection_logic%22%3A2%7D&amp;sp_atk=82f9a3da-bd49-41b4-98d6-646ef63139b4&amp;xptdk=82f9a3da-bd49-41b4-98d6-646ef63139b4</v>
      </c>
      <c r="L767" s="3" t="str">
        <f>IFERROR(__xludf.DUMMYFUNCTION("""COMPUTED_VALUE"""),"buat tutup demper ahu osd")</f>
        <v>buat tutup demper ahu osd</v>
      </c>
      <c r="M767" s="3" t="str">
        <f>IFERROR(__xludf.DUMMYFUNCTION("""COMPUTED_VALUE"""),"Approve")</f>
        <v>Approve</v>
      </c>
      <c r="N767" s="3" t="str">
        <f>IFERROR(__xludf.DUMMYFUNCTION("""COMPUTED_VALUE"""),"Normal")</f>
        <v>Normal</v>
      </c>
      <c r="O767" s="3" t="str">
        <f>IFERROR(__xludf.DUMMYFUNCTION("""COMPUTED_VALUE"""),"Non Urgent")</f>
        <v>Non Urgent</v>
      </c>
    </row>
    <row r="768">
      <c r="A768" s="4">
        <f>IFERROR(__xludf.DUMMYFUNCTION("""COMPUTED_VALUE"""),46182.49350109954)</f>
        <v>46182.4935</v>
      </c>
      <c r="B768" s="3" t="str">
        <f>IFERROR(__xludf.DUMMYFUNCTION("""COMPUTED_VALUE"""),"ERABR0003")</f>
        <v>ERABR0003</v>
      </c>
      <c r="C768" s="3" t="str">
        <f>IFERROR(__xludf.DUMMYFUNCTION("""COMPUTED_VALUE"""),"EJO")</f>
        <v>EJO</v>
      </c>
      <c r="D768" s="3" t="str">
        <f>IFERROR(__xludf.DUMMYFUNCTION("""COMPUTED_VALUE"""),"EJO/2026/05/0065")</f>
        <v>EJO/2026/05/0065</v>
      </c>
      <c r="E768" s="3" t="str">
        <f>IFERROR(__xludf.DUMMYFUNCTION("""COMPUTED_VALUE"""),"Leaflet machine / Cartoning")</f>
        <v>Leaflet machine / Cartoning</v>
      </c>
      <c r="F768" s="3" t="str">
        <f>IFERROR(__xludf.DUMMYFUNCTION("""COMPUTED_VALUE"""),"Snapring  E4")</f>
        <v>Snapring  E4</v>
      </c>
      <c r="G768" s="3" t="str">
        <f>IFERROR(__xludf.DUMMYFUNCTION("""COMPUTED_VALUE"""),"Type E, OD: 9.2 mm ID: 4 mm T: 0.8 mm")</f>
        <v>Type E, OD: 9.2 mm ID: 4 mm T: 0.8 mm</v>
      </c>
      <c r="H768" s="3" t="str">
        <f>IFERROR(__xludf.DUMMYFUNCTION("""COMPUTED_VALUE"""),"Steel")</f>
        <v>Steel</v>
      </c>
      <c r="I768" s="3">
        <f>IFERROR(__xludf.DUMMYFUNCTION("""COMPUTED_VALUE"""),100.0)</f>
        <v>100</v>
      </c>
      <c r="J768" s="3" t="str">
        <f>IFERROR(__xludf.DUMMYFUNCTION("""COMPUTED_VALUE"""),"PCS")</f>
        <v>PCS</v>
      </c>
      <c r="K768" s="5" t="str">
        <f>IFERROR(__xludf.DUMMYFUNCTION("""COMPUTED_VALUE"""),"https://www.tokopedia.com/sinarlautmandiri/snapring-type-e-snap-ring-type-e-4?extParam=ivf%3Dfalse%26keyword%3Dsnap+ring+e4%26search_id%3D20260609031813D296C101DAA88A2625LY%26src%3Dsearch&amp;t_id=1780975123765&amp;t_st=5&amp;t_pp=search_result&amp;t_efo=search_pure_good"&amp;"s_card&amp;t_ef=goods_search&amp;t_sm=&amp;t_spt=search_result")</f>
        <v>https://www.tokopedia.com/sinarlautmandiri/snapring-type-e-snap-ring-type-e-4?extParam=ivf%3Dfalse%26keyword%3Dsnap+ring+e4%26search_id%3D20260609031813D296C101DAA88A2625LY%26src%3Dsearch&amp;t_id=1780975123765&amp;t_st=5&amp;t_pp=search_result&amp;t_efo=search_pure_goods_card&amp;t_ef=goods_search&amp;t_sm=&amp;t_spt=search_result</v>
      </c>
      <c r="L768" s="3" t="str">
        <f>IFERROR(__xludf.DUMMYFUNCTION("""COMPUTED_VALUE"""),"Untuk stock spare part dipakai untuk roller di leaflet cartoning")</f>
        <v>Untuk stock spare part dipakai untuk roller di leaflet cartoning</v>
      </c>
      <c r="M768" s="3" t="str">
        <f>IFERROR(__xludf.DUMMYFUNCTION("""COMPUTED_VALUE"""),"Approve")</f>
        <v>Approve</v>
      </c>
      <c r="N768" s="3" t="str">
        <f>IFERROR(__xludf.DUMMYFUNCTION("""COMPUTED_VALUE"""),"Normal")</f>
        <v>Normal</v>
      </c>
      <c r="O768" s="3" t="str">
        <f>IFERROR(__xludf.DUMMYFUNCTION("""COMPUTED_VALUE"""),"Non Urgent")</f>
        <v>Non Urgent</v>
      </c>
    </row>
    <row r="769">
      <c r="A769" s="4">
        <f>IFERROR(__xludf.DUMMYFUNCTION("""COMPUTED_VALUE"""),46182.63419998842)</f>
        <v>46182.6342</v>
      </c>
      <c r="B769" s="3" t="str">
        <f>IFERROR(__xludf.DUMMYFUNCTION("""COMPUTED_VALUE"""),"KFFBR0019")</f>
        <v>KFFBR0019</v>
      </c>
      <c r="C769" s="3" t="str">
        <f>IFERROR(__xludf.DUMMYFUNCTION("""COMPUTED_VALUE"""),"Consumable")</f>
        <v>Consumable</v>
      </c>
      <c r="D769" s="3" t="str">
        <f>IFERROR(__xludf.DUMMYFUNCTION("""COMPUTED_VALUE"""),"EJO/2025/09/131")</f>
        <v>EJO/2025/09/131</v>
      </c>
      <c r="E769" s="3" t="str">
        <f>IFERROR(__xludf.DUMMYFUNCTION("""COMPUTED_VALUE"""),"workshop")</f>
        <v>workshop</v>
      </c>
      <c r="F769" s="3" t="str">
        <f>IFERROR(__xludf.DUMMYFUNCTION("""COMPUTED_VALUE"""),"tools for workshop")</f>
        <v>tools for workshop</v>
      </c>
      <c r="G769" s="3" t="str">
        <f>IFERROR(__xludf.DUMMYFUNCTION("""COMPUTED_VALUE"""),"BELTER Penggaris Siku Waterpass 12inch Mistar Multifungsi Adjustable Combination Ruler")</f>
        <v>BELTER Penggaris Siku Waterpass 12inch Mistar Multifungsi Adjustable Combination Ruler</v>
      </c>
      <c r="H769" s="3" t="str">
        <f>IFERROR(__xludf.DUMMYFUNCTION("""COMPUTED_VALUE"""),"universal")</f>
        <v>universal</v>
      </c>
      <c r="I769" s="3">
        <f>IFERROR(__xludf.DUMMYFUNCTION("""COMPUTED_VALUE"""),2.0)</f>
        <v>2</v>
      </c>
      <c r="J769" s="3" t="str">
        <f>IFERROR(__xludf.DUMMYFUNCTION("""COMPUTED_VALUE"""),"pcs")</f>
        <v>pcs</v>
      </c>
      <c r="K769" s="5" t="str">
        <f>IFERROR(__xludf.DUMMYFUNCTION("""COMPUTED_VALUE"""),"https://tk.tokopedia.com/ZSQkSxFt3/")</f>
        <v>https://tk.tokopedia.com/ZSQkSxFt3/</v>
      </c>
      <c r="L769" s="3" t="str">
        <f>IFERROR(__xludf.DUMMYFUNCTION("""COMPUTED_VALUE"""),"stok workshop (REJECT BY MFH KARENA SUDAH DI BQ PENGGARIS SIKU YANG STANLEY LEBIH MAHAL DI KFFBR0001)")</f>
        <v>stok workshop (REJECT BY MFH KARENA SUDAH DI BQ PENGGARIS SIKU YANG STANLEY LEBIH MAHAL DI KFFBR0001)</v>
      </c>
      <c r="M769" s="3" t="str">
        <f>IFERROR(__xludf.DUMMYFUNCTION("""COMPUTED_VALUE"""),"Reject")</f>
        <v>Reject</v>
      </c>
      <c r="N769" s="3" t="str">
        <f>IFERROR(__xludf.DUMMYFUNCTION("""COMPUTED_VALUE"""),"Normal")</f>
        <v>Normal</v>
      </c>
      <c r="O769" s="3" t="str">
        <f>IFERROR(__xludf.DUMMYFUNCTION("""COMPUTED_VALUE"""),"Non Urgent")</f>
        <v>Non Urgent</v>
      </c>
    </row>
    <row r="770">
      <c r="A770" s="4">
        <f>IFERROR(__xludf.DUMMYFUNCTION("""COMPUTED_VALUE"""),46182.644185868056)</f>
        <v>46182.64419</v>
      </c>
      <c r="B770" s="3" t="str">
        <f>IFERROR(__xludf.DUMMYFUNCTION("""COMPUTED_VALUE"""),"KFFBR0020")</f>
        <v>KFFBR0020</v>
      </c>
      <c r="C770" s="3" t="str">
        <f>IFERROR(__xludf.DUMMYFUNCTION("""COMPUTED_VALUE"""),"Consumable")</f>
        <v>Consumable</v>
      </c>
      <c r="D770" s="3" t="str">
        <f>IFERROR(__xludf.DUMMYFUNCTION("""COMPUTED_VALUE"""),"No Ejo")</f>
        <v>No Ejo</v>
      </c>
      <c r="E770" s="3" t="str">
        <f>IFERROR(__xludf.DUMMYFUNCTION("""COMPUTED_VALUE"""),"workshop")</f>
        <v>workshop</v>
      </c>
      <c r="F770" s="3" t="str">
        <f>IFERROR(__xludf.DUMMYFUNCTION("""COMPUTED_VALUE"""),"tools for workshop")</f>
        <v>tools for workshop</v>
      </c>
      <c r="G770" s="3" t="str">
        <f>IFERROR(__xludf.DUMMYFUNCTION("""COMPUTED_VALUE"""),"MITUTOYO 530-118 Vernier Caliper/ Jangka Sorong/ Sketmat 8""/ 0.02mm")</f>
        <v>MITUTOYO 530-118 Vernier Caliper/ Jangka Sorong/ Sketmat 8"/ 0.02mm</v>
      </c>
      <c r="H770" s="3" t="str">
        <f>IFERROR(__xludf.DUMMYFUNCTION("""COMPUTED_VALUE"""),"MITUTOYO")</f>
        <v>MITUTOYO</v>
      </c>
      <c r="I770" s="3">
        <f>IFERROR(__xludf.DUMMYFUNCTION("""COMPUTED_VALUE"""),1.0)</f>
        <v>1</v>
      </c>
      <c r="J770" s="3" t="str">
        <f>IFERROR(__xludf.DUMMYFUNCTION("""COMPUTED_VALUE"""),"PCS")</f>
        <v>PCS</v>
      </c>
      <c r="K770" s="5" t="str">
        <f>IFERROR(__xludf.DUMMYFUNCTION("""COMPUTED_VALUE"""),"https://tk.tokopedia.com/ZSQkAuea6/")</f>
        <v>https://tk.tokopedia.com/ZSQkAuea6/</v>
      </c>
      <c r="L770" s="3" t="str">
        <f>IFERROR(__xludf.DUMMYFUNCTION("""COMPUTED_VALUE"""),"stok workshop")</f>
        <v>stok workshop</v>
      </c>
      <c r="M770" s="3" t="str">
        <f>IFERROR(__xludf.DUMMYFUNCTION("""COMPUTED_VALUE"""),"Waiting")</f>
        <v>Waiting</v>
      </c>
      <c r="N770" s="3" t="str">
        <f>IFERROR(__xludf.DUMMYFUNCTION("""COMPUTED_VALUE"""),"Waiting")</f>
        <v>Waiting</v>
      </c>
      <c r="O770" s="3" t="str">
        <f>IFERROR(__xludf.DUMMYFUNCTION("""COMPUTED_VALUE"""),"Non Urgent")</f>
        <v>Non Urgent</v>
      </c>
    </row>
    <row r="771">
      <c r="A771" s="4">
        <f>IFERROR(__xludf.DUMMYFUNCTION("""COMPUTED_VALUE"""),46182.64434850695)</f>
        <v>46182.64435</v>
      </c>
      <c r="B771" s="3" t="str">
        <f>IFERROR(__xludf.DUMMYFUNCTION("""COMPUTED_VALUE"""),"KFFBR0013")</f>
        <v>KFFBR0013</v>
      </c>
      <c r="C771" s="3" t="str">
        <f>IFERROR(__xludf.DUMMYFUNCTION("""COMPUTED_VALUE"""),"Consumable")</f>
        <v>Consumable</v>
      </c>
      <c r="D771" s="3" t="str">
        <f>IFERROR(__xludf.DUMMYFUNCTION("""COMPUTED_VALUE"""),"No Ejo")</f>
        <v>No Ejo</v>
      </c>
      <c r="E771" s="3" t="str">
        <f>IFERROR(__xludf.DUMMYFUNCTION("""COMPUTED_VALUE"""),"Workshop")</f>
        <v>Workshop</v>
      </c>
      <c r="F771" s="3" t="str">
        <f>IFERROR(__xludf.DUMMYFUNCTION("""COMPUTED_VALUE"""),"consumable for tools")</f>
        <v>consumable for tools</v>
      </c>
      <c r="G771" s="3" t="str">
        <f>IFERROR(__xludf.DUMMYFUNCTION("""COMPUTED_VALUE"""),"R Gauge Radius Gauge Alat Ukur Stainless Steel Alat Ukur Radius Pengukur Radius / Alat Ukur Celah - 25-50mm")</f>
        <v>R Gauge Radius Gauge Alat Ukur Stainless Steel Alat Ukur Radius Pengukur Radius / Alat Ukur Celah - 25-50mm</v>
      </c>
      <c r="H771" s="3" t="str">
        <f>IFERROR(__xludf.DUMMYFUNCTION("""COMPUTED_VALUE"""),"universal")</f>
        <v>universal</v>
      </c>
      <c r="I771" s="3">
        <f>IFERROR(__xludf.DUMMYFUNCTION("""COMPUTED_VALUE"""),2.0)</f>
        <v>2</v>
      </c>
      <c r="J771" s="3" t="str">
        <f>IFERROR(__xludf.DUMMYFUNCTION("""COMPUTED_VALUE"""),"pcs")</f>
        <v>pcs</v>
      </c>
      <c r="K771" s="5" t="str">
        <f>IFERROR(__xludf.DUMMYFUNCTION("""COMPUTED_VALUE"""),"https://tk.tokopedia.com/ZS9LoJs2Q/")</f>
        <v>https://tk.tokopedia.com/ZS9LoJs2Q/</v>
      </c>
      <c r="L771" s="3" t="str">
        <f>IFERROR(__xludf.DUMMYFUNCTION("""COMPUTED_VALUE"""),"consumable untuk pengukuran part2 yang membutuhkan ukuran radius")</f>
        <v>consumable untuk pengukuran part2 yang membutuhkan ukuran radius</v>
      </c>
      <c r="M771" s="3" t="str">
        <f>IFERROR(__xludf.DUMMYFUNCTION("""COMPUTED_VALUE"""),"Waiting")</f>
        <v>Waiting</v>
      </c>
      <c r="N771" s="3" t="str">
        <f>IFERROR(__xludf.DUMMYFUNCTION("""COMPUTED_VALUE"""),"Waiting")</f>
        <v>Waiting</v>
      </c>
      <c r="O771" s="3" t="str">
        <f>IFERROR(__xludf.DUMMYFUNCTION("""COMPUTED_VALUE"""),"Non Urgent")</f>
        <v>Non Urgent</v>
      </c>
    </row>
    <row r="772">
      <c r="A772" s="4">
        <f>IFERROR(__xludf.DUMMYFUNCTION("""COMPUTED_VALUE"""),46182.64451180555)</f>
        <v>46182.64451</v>
      </c>
      <c r="B772" s="3" t="str">
        <f>IFERROR(__xludf.DUMMYFUNCTION("""COMPUTED_VALUE"""),"KFFBR0014")</f>
        <v>KFFBR0014</v>
      </c>
      <c r="C772" s="3" t="str">
        <f>IFERROR(__xludf.DUMMYFUNCTION("""COMPUTED_VALUE"""),"Consumable")</f>
        <v>Consumable</v>
      </c>
      <c r="D772" s="3" t="str">
        <f>IFERROR(__xludf.DUMMYFUNCTION("""COMPUTED_VALUE"""),"No Ejo")</f>
        <v>No Ejo</v>
      </c>
      <c r="E772" s="3" t="str">
        <f>IFERROR(__xludf.DUMMYFUNCTION("""COMPUTED_VALUE"""),"Workshop")</f>
        <v>Workshop</v>
      </c>
      <c r="F772" s="3" t="str">
        <f>IFERROR(__xludf.DUMMYFUNCTION("""COMPUTED_VALUE"""),"consumable for tools")</f>
        <v>consumable for tools</v>
      </c>
      <c r="G772" s="3" t="str">
        <f>IFERROR(__xludf.DUMMYFUNCTION("""COMPUTED_VALUE"""),"Micrometer Digital Syntex")</f>
        <v>Micrometer Digital Syntex</v>
      </c>
      <c r="H772" s="3" t="str">
        <f>IFERROR(__xludf.DUMMYFUNCTION("""COMPUTED_VALUE"""),"Syntex")</f>
        <v>Syntex</v>
      </c>
      <c r="I772" s="3">
        <f>IFERROR(__xludf.DUMMYFUNCTION("""COMPUTED_VALUE"""),1.0)</f>
        <v>1</v>
      </c>
      <c r="J772" s="3" t="str">
        <f>IFERROR(__xludf.DUMMYFUNCTION("""COMPUTED_VALUE"""),"pcs")</f>
        <v>pcs</v>
      </c>
      <c r="K772" s="5" t="str">
        <f>IFERROR(__xludf.DUMMYFUNCTION("""COMPUTED_VALUE"""),"https://tk.tokopedia.com/ZS9Lo6KSg/")</f>
        <v>https://tk.tokopedia.com/ZS9Lo6KSg/</v>
      </c>
      <c r="L772" s="3" t="str">
        <f>IFERROR(__xludf.DUMMYFUNCTION("""COMPUTED_VALUE"""),"tools untuk pengukuran ketebalan yang membutuhkan akurasi micro")</f>
        <v>tools untuk pengukuran ketebalan yang membutuhkan akurasi micro</v>
      </c>
      <c r="M772" s="3" t="str">
        <f>IFERROR(__xludf.DUMMYFUNCTION("""COMPUTED_VALUE"""),"Waiting")</f>
        <v>Waiting</v>
      </c>
      <c r="N772" s="3" t="str">
        <f>IFERROR(__xludf.DUMMYFUNCTION("""COMPUTED_VALUE"""),"Waiting")</f>
        <v>Waiting</v>
      </c>
      <c r="O772" s="3" t="str">
        <f>IFERROR(__xludf.DUMMYFUNCTION("""COMPUTED_VALUE"""),"Non Urgent")</f>
        <v>Non Urgent</v>
      </c>
    </row>
    <row r="773">
      <c r="A773" s="4">
        <f>IFERROR(__xludf.DUMMYFUNCTION("""COMPUTED_VALUE"""),46182.64470736111)</f>
        <v>46182.64471</v>
      </c>
      <c r="B773" s="3" t="str">
        <f>IFERROR(__xludf.DUMMYFUNCTION("""COMPUTED_VALUE"""),"KFFBR0021")</f>
        <v>KFFBR0021</v>
      </c>
      <c r="C773" s="3" t="str">
        <f>IFERROR(__xludf.DUMMYFUNCTION("""COMPUTED_VALUE"""),"Consumable")</f>
        <v>Consumable</v>
      </c>
      <c r="D773" s="3" t="str">
        <f>IFERROR(__xludf.DUMMYFUNCTION("""COMPUTED_VALUE"""),"No Ejo")</f>
        <v>No Ejo</v>
      </c>
      <c r="E773" s="3" t="str">
        <f>IFERROR(__xludf.DUMMYFUNCTION("""COMPUTED_VALUE"""),"workshop")</f>
        <v>workshop</v>
      </c>
      <c r="F773" s="3" t="str">
        <f>IFERROR(__xludf.DUMMYFUNCTION("""COMPUTED_VALUE"""),"tools for workshop")</f>
        <v>tools for workshop</v>
      </c>
      <c r="G773" s="3" t="str">
        <f>IFERROR(__xludf.DUMMYFUNCTION("""COMPUTED_VALUE"""),"Tekiro Alat Ukur Celah / Feeler Gauge Set Isi 13 PCS - MAXITOOLS")</f>
        <v>Tekiro Alat Ukur Celah / Feeler Gauge Set Isi 13 PCS - MAXITOOLS</v>
      </c>
      <c r="H773" s="3" t="str">
        <f>IFERROR(__xludf.DUMMYFUNCTION("""COMPUTED_VALUE"""),"TEKIRO")</f>
        <v>TEKIRO</v>
      </c>
      <c r="I773" s="3">
        <f>IFERROR(__xludf.DUMMYFUNCTION("""COMPUTED_VALUE"""),1.0)</f>
        <v>1</v>
      </c>
      <c r="J773" s="3" t="str">
        <f>IFERROR(__xludf.DUMMYFUNCTION("""COMPUTED_VALUE"""),"PCS")</f>
        <v>PCS</v>
      </c>
      <c r="K773" s="5" t="str">
        <f>IFERROR(__xludf.DUMMYFUNCTION("""COMPUTED_VALUE"""),"https://tk.tokopedia.com/ZSQkAt6KA/")</f>
        <v>https://tk.tokopedia.com/ZSQkAt6KA/</v>
      </c>
      <c r="L773" s="3" t="str">
        <f>IFERROR(__xludf.DUMMYFUNCTION("""COMPUTED_VALUE"""),"stok workshop")</f>
        <v>stok workshop</v>
      </c>
      <c r="M773" s="3" t="str">
        <f>IFERROR(__xludf.DUMMYFUNCTION("""COMPUTED_VALUE"""),"Waiting")</f>
        <v>Waiting</v>
      </c>
      <c r="N773" s="3" t="str">
        <f>IFERROR(__xludf.DUMMYFUNCTION("""COMPUTED_VALUE"""),"Waiting")</f>
        <v>Waiting</v>
      </c>
      <c r="O773" s="3" t="str">
        <f>IFERROR(__xludf.DUMMYFUNCTION("""COMPUTED_VALUE"""),"Non Urgent")</f>
        <v>Non Urgent</v>
      </c>
    </row>
    <row r="774">
      <c r="A774" s="4">
        <f>IFERROR(__xludf.DUMMYFUNCTION("""COMPUTED_VALUE"""),46182.69083681713)</f>
        <v>46182.69084</v>
      </c>
      <c r="B774" s="3" t="str">
        <f>IFERROR(__xludf.DUMMYFUNCTION("""COMPUTED_VALUE"""),"MOBBR0056")</f>
        <v>MOBBR0056</v>
      </c>
      <c r="C774" s="3" t="str">
        <f>IFERROR(__xludf.DUMMYFUNCTION("""COMPUTED_VALUE"""),"EJO")</f>
        <v>EJO</v>
      </c>
      <c r="D774" s="3" t="str">
        <f>IFERROR(__xludf.DUMMYFUNCTION("""COMPUTED_VALUE"""),"EJO/2026/06/046")</f>
        <v>EJO/2026/06/046</v>
      </c>
      <c r="E774" s="3" t="str">
        <f>IFERROR(__xludf.DUMMYFUNCTION("""COMPUTED_VALUE"""),"FMS C1-1")</f>
        <v>FMS C1-1</v>
      </c>
      <c r="F774" s="3" t="str">
        <f>IFERROR(__xludf.DUMMYFUNCTION("""COMPUTED_VALUE"""),"Fuse Holder")</f>
        <v>Fuse Holder</v>
      </c>
      <c r="G774" s="3" t="str">
        <f>IFERROR(__xludf.DUMMYFUNCTION("""COMPUTED_VALUE"""),"FS-10 Fort")</f>
        <v>FS-10 Fort</v>
      </c>
      <c r="H774" s="3" t="str">
        <f>IFERROR(__xludf.DUMMYFUNCTION("""COMPUTED_VALUE"""),"Fort")</f>
        <v>Fort</v>
      </c>
      <c r="I774" s="3">
        <f>IFERROR(__xludf.DUMMYFUNCTION("""COMPUTED_VALUE"""),20.0)</f>
        <v>20</v>
      </c>
      <c r="J774" s="3" t="str">
        <f>IFERROR(__xludf.DUMMYFUNCTION("""COMPUTED_VALUE"""),"Pcs")</f>
        <v>Pcs</v>
      </c>
      <c r="K774" s="5" t="str">
        <f>IFERROR(__xludf.DUMMYFUNCTION("""COMPUTED_VALUE"""),"https://fortindo.id/product/fuse-kubur-fs-101-1-pole-10-ampere-merk-fort/")</f>
        <v>https://fortindo.id/product/fuse-kubur-fs-101-1-pole-10-ampere-merk-fort/</v>
      </c>
      <c r="L774" s="3" t="str">
        <f>IFERROR(__xludf.DUMMYFUNCTION("""COMPUTED_VALUE"""),"Penggantian FMS sensor")</f>
        <v>Penggantian FMS sensor</v>
      </c>
      <c r="M774" s="3" t="str">
        <f>IFERROR(__xludf.DUMMYFUNCTION("""COMPUTED_VALUE"""),"Approve")</f>
        <v>Approve</v>
      </c>
      <c r="N774" s="3" t="str">
        <f>IFERROR(__xludf.DUMMYFUNCTION("""COMPUTED_VALUE"""),"Normal")</f>
        <v>Normal</v>
      </c>
      <c r="O774" s="3" t="str">
        <f>IFERROR(__xludf.DUMMYFUNCTION("""COMPUTED_VALUE"""),"Non Urgent")</f>
        <v>Non Urgent</v>
      </c>
    </row>
    <row r="775">
      <c r="A775" s="4">
        <f>IFERROR(__xludf.DUMMYFUNCTION("""COMPUTED_VALUE"""),46182.69355427083)</f>
        <v>46182.69355</v>
      </c>
      <c r="B775" s="3" t="str">
        <f>IFERROR(__xludf.DUMMYFUNCTION("""COMPUTED_VALUE"""),"ROSBR0097")</f>
        <v>ROSBR0097</v>
      </c>
      <c r="C775" s="3" t="str">
        <f>IFERROR(__xludf.DUMMYFUNCTION("""COMPUTED_VALUE"""),"Consumable")</f>
        <v>Consumable</v>
      </c>
      <c r="D775" s="3" t="str">
        <f>IFERROR(__xludf.DUMMYFUNCTION("""COMPUTED_VALUE"""),"-")</f>
        <v>-</v>
      </c>
      <c r="E775" s="3" t="str">
        <f>IFERROR(__xludf.DUMMYFUNCTION("""COMPUTED_VALUE"""),"Recorder Tunnel")</f>
        <v>Recorder Tunnel</v>
      </c>
      <c r="F775" s="3" t="str">
        <f>IFERROR(__xludf.DUMMYFUNCTION("""COMPUTED_VALUE"""),"Baterai Lithium ")</f>
        <v>Baterai Lithium </v>
      </c>
      <c r="G775" s="3" t="str">
        <f>IFERROR(__xludf.DUMMYFUNCTION("""COMPUTED_VALUE"""),"Panasonic BR.2032
Voltage - 3 volt
Dimensi - diameter 20mm dan tebal 3,2mm")</f>
        <v>Panasonic BR.2032
Voltage - 3 volt
Dimensi - diameter 20mm dan tebal 3,2mm</v>
      </c>
      <c r="H775" s="3" t="str">
        <f>IFERROR(__xludf.DUMMYFUNCTION("""COMPUTED_VALUE"""),"Panasonic")</f>
        <v>Panasonic</v>
      </c>
      <c r="I775" s="3">
        <f>IFERROR(__xludf.DUMMYFUNCTION("""COMPUTED_VALUE"""),5.0)</f>
        <v>5</v>
      </c>
      <c r="J775" s="3" t="str">
        <f>IFERROR(__xludf.DUMMYFUNCTION("""COMPUTED_VALUE"""),"Pcs")</f>
        <v>Pcs</v>
      </c>
      <c r="K775" s="5" t="str">
        <f>IFERROR(__xludf.DUMMYFUNCTION("""COMPUTED_VALUE"""),"https://www.tokopedia.com/electrindofast/panasonic-br2032-3volt-original-1731279756595004907?extParam=ivf%3Dfalse%26keyword%3Dpanasonic+br.2330+3volt+%26search_id%3D2026060909272534ED066DF378EF3ABU2V%26src%3Dsearch&amp;t_id=1780997250566&amp;t_st=4&amp;t_pp=search_re"&amp;"sult&amp;t_efo=search_pure_goods_card&amp;t_ef=goods_search&amp;t_sm=&amp;t_spt=search_result")</f>
        <v>https://www.tokopedia.com/electrindofast/panasonic-br2032-3volt-original-1731279756595004907?extParam=ivf%3Dfalse%26keyword%3Dpanasonic+br.2330+3volt+%26search_id%3D2026060909272534ED066DF378EF3ABU2V%26src%3Dsearch&amp;t_id=1780997250566&amp;t_st=4&amp;t_pp=search_result&amp;t_efo=search_pure_goods_card&amp;t_ef=goods_search&amp;t_sm=&amp;t_spt=search_result</v>
      </c>
      <c r="L775" s="3" t="str">
        <f>IFERROR(__xludf.DUMMYFUNCTION("""COMPUTED_VALUE"""),"tolong beliin baterai Lithium buat Jam Recorder tunnel")</f>
        <v>tolong beliin baterai Lithium buat Jam Recorder tunnel</v>
      </c>
      <c r="M775" s="3" t="str">
        <f>IFERROR(__xludf.DUMMYFUNCTION("""COMPUTED_VALUE"""),"Approve")</f>
        <v>Approve</v>
      </c>
      <c r="N775" s="3" t="str">
        <f>IFERROR(__xludf.DUMMYFUNCTION("""COMPUTED_VALUE"""),"Normal")</f>
        <v>Normal</v>
      </c>
      <c r="O775" s="3" t="str">
        <f>IFERROR(__xludf.DUMMYFUNCTION("""COMPUTED_VALUE"""),"Non Urgent")</f>
        <v>Non Urgent</v>
      </c>
    </row>
    <row r="776">
      <c r="A776" s="4">
        <f>IFERROR(__xludf.DUMMYFUNCTION("""COMPUTED_VALUE"""),46191.50323777778)</f>
        <v>46191.50324</v>
      </c>
      <c r="B776" s="3" t="str">
        <f>IFERROR(__xludf.DUMMYFUNCTION("""COMPUTED_VALUE"""),"ROSBR0098")</f>
        <v>ROSBR0098</v>
      </c>
      <c r="C776" s="3" t="str">
        <f>IFERROR(__xludf.DUMMYFUNCTION("""COMPUTED_VALUE"""),"Critical Part")</f>
        <v>Critical Part</v>
      </c>
      <c r="D776" s="3" t="str">
        <f>IFERROR(__xludf.DUMMYFUNCTION("""COMPUTED_VALUE"""),"EJO/2026/06/142")</f>
        <v>EJO/2026/06/142</v>
      </c>
      <c r="E776" s="3" t="str">
        <f>IFERROR(__xludf.DUMMYFUNCTION("""COMPUTED_VALUE"""),"Washing Tinnel")</f>
        <v>Washing Tinnel</v>
      </c>
      <c r="F776" s="3" t="str">
        <f>IFERROR(__xludf.DUMMYFUNCTION("""COMPUTED_VALUE"""),"MICO electronic circuit protection, 2 CHANNELS")</f>
        <v>MICO electronic circuit protection, 2 CHANNELS</v>
      </c>
      <c r="G776" s="3" t="str">
        <f>IFERROR(__xludf.DUMMYFUNCTION("""COMPUTED_VALUE"""),"IN: 24 V DC OUT: 24 V /4-6-8-10 A
Art.No.:9000-41042-0401000")</f>
        <v>IN: 24 V DC OUT: 24 V /4-6-8-10 A
Art.No.:9000-41042-0401000</v>
      </c>
      <c r="H776" s="3" t="str">
        <f>IFERROR(__xludf.DUMMYFUNCTION("""COMPUTED_VALUE"""),"MURR Elektronik ")</f>
        <v>MURR Elektronik </v>
      </c>
      <c r="I776" s="3">
        <f>IFERROR(__xludf.DUMMYFUNCTION("""COMPUTED_VALUE"""),2.0)</f>
        <v>2</v>
      </c>
      <c r="J776" s="3" t="str">
        <f>IFERROR(__xludf.DUMMYFUNCTION("""COMPUTED_VALUE"""),"Pcs")</f>
        <v>Pcs</v>
      </c>
      <c r="K776" s="5" t="str">
        <f>IFERROR(__xludf.DUMMYFUNCTION("""COMPUTED_VALUE"""),"https://shop.murrelektronik.com/en/Electronics-in-the-Control-Cabinet/Intelligent-Power-Distribution/Modules/MICO-electronic-circuit-protection-2-CHANNELS-9000-41042-0401000.html")</f>
        <v>https://shop.murrelektronik.com/en/Electronics-in-the-Control-Cabinet/Intelligent-Power-Distribution/Modules/MICO-electronic-circuit-protection-2-CHANNELS-9000-41042-0401000.html</v>
      </c>
      <c r="L776" s="3" t="str">
        <f>IFERROR(__xludf.DUMMYFUNCTION("""COMPUTED_VALUE"""),"Buat Pergantian pada mesin washing tunnel ")</f>
        <v>Buat Pergantian pada mesin washing tunnel </v>
      </c>
      <c r="M776" s="3" t="str">
        <f>IFERROR(__xludf.DUMMYFUNCTION("""COMPUTED_VALUE"""),"Approve")</f>
        <v>Approve</v>
      </c>
      <c r="N776" s="3" t="str">
        <f>IFERROR(__xludf.DUMMYFUNCTION("""COMPUTED_VALUE"""),"Normal")</f>
        <v>Normal</v>
      </c>
      <c r="O776" s="3" t="str">
        <f>IFERROR(__xludf.DUMMYFUNCTION("""COMPUTED_VALUE"""),"Non Urgent")</f>
        <v>Non Urgent</v>
      </c>
    </row>
    <row r="777">
      <c r="A777" s="4">
        <f>IFERROR(__xludf.DUMMYFUNCTION("""COMPUTED_VALUE"""),46191.61530452547)</f>
        <v>46191.6153</v>
      </c>
      <c r="B777" s="3" t="str">
        <f>IFERROR(__xludf.DUMMYFUNCTION("""COMPUTED_VALUE"""),"WAPBR0004")</f>
        <v>WAPBR0004</v>
      </c>
      <c r="C777" s="3" t="str">
        <f>IFERROR(__xludf.DUMMYFUNCTION("""COMPUTED_VALUE"""),"Consumable")</f>
        <v>Consumable</v>
      </c>
      <c r="D777" s="3" t="str">
        <f>IFERROR(__xludf.DUMMYFUNCTION("""COMPUTED_VALUE"""),"-")</f>
        <v>-</v>
      </c>
      <c r="E777" s="3" t="str">
        <f>IFERROR(__xludf.DUMMYFUNCTION("""COMPUTED_VALUE"""),"Utilty dan MTC")</f>
        <v>Utilty dan MTC</v>
      </c>
      <c r="F777" s="3" t="str">
        <f>IFERROR(__xludf.DUMMYFUNCTION("""COMPUTED_VALUE"""),"magnet siku (weld)")</f>
        <v>magnet siku (weld)</v>
      </c>
      <c r="G777" s="3" t="str">
        <f>IFERROR(__xludf.DUMMYFUNCTION("""COMPUTED_VALUE"""),"ukuran 4 inch")</f>
        <v>ukuran 4 inch</v>
      </c>
      <c r="H777" s="3" t="str">
        <f>IFERROR(__xludf.DUMMYFUNCTION("""COMPUTED_VALUE"""),"KDK")</f>
        <v>KDK</v>
      </c>
      <c r="I777" s="3">
        <f>IFERROR(__xludf.DUMMYFUNCTION("""COMPUTED_VALUE"""),3.0)</f>
        <v>3</v>
      </c>
      <c r="J777" s="3" t="str">
        <f>IFERROR(__xludf.DUMMYFUNCTION("""COMPUTED_VALUE"""),"pcs")</f>
        <v>pcs</v>
      </c>
      <c r="K777" s="5" t="str">
        <f>IFERROR(__xludf.DUMMYFUNCTION("""COMPUTED_VALUE"""),"https://shopee.co.id/product/298341482/7453844976?gads_t_sig=gqRjZGVrxHCFomtpsTE0MjUxOnRzc19zZGtfa2V5omt20QABpGFsZ2_SAAAAZKNkZWvAomN0xEAAAAAMfaLqlfFS4JwQPCoOJZHE2YMfq1tWF61pnIIHqGuyOlpkjBotHu7Xpb0YRK1tULWVZdcpI_r9hw6jgE9CqmNpcGhlcnRleHTEbwAAAAxec2J5tsaSY0"&amp;"spDEzg-OpHcdN3SkSQuYRBMMBkVPZVrbxorz-tNtEVeHdW5wMom76ptwZ7CqN5X3zFIl5hvXdLIcGIrL4m7v3h1HKPCOormIgCS0SIaiz9YD7FYUlPN8JdAJFnslegcMZ79Q&amp;gad_source=1&amp;gad_campaignid=23199775580&amp;gbraid=0AAAAADPpU82zfCXJsEupNYlwCfbjtXZsK&amp;gclid=Cj0KCQjwrs7RBhDuARIsAIVfBD38oMoZuJ"&amp;"HpbuNto4zbEUIqagj030ZAae8PE32BbWG_L6KV74mtdEAaAoJvEALw_wcB")</f>
        <v>https://shopee.co.id/product/298341482/7453844976?gads_t_sig=gqRjZGVrxHCFomtpsTE0MjUxOnRzc19zZGtfa2V5omt20QABpGFsZ2_SAAAAZKNkZWvAomN0xEAAAAAMfaLqlfFS4JwQPCoOJZHE2YMfq1tWF61pnIIHqGuyOlpkjBotHu7Xpb0YRK1tULWVZdcpI_r9hw6jgE9CqmNpcGhlcnRleHTEbwAAAAxec2J5tsaSY0spDEzg-OpHcdN3SkSQuYRBMMBkVPZVrbxorz-tNtEVeHdW5wMom76ptwZ7CqN5X3zFIl5hvXdLIcGIrL4m7v3h1HKPCOormIgCS0SIaiz9YD7FYUlPN8JdAJFnslegcMZ79Q&amp;gad_source=1&amp;gad_campaignid=23199775580&amp;gbraid=0AAAAADPpU82zfCXJsEupNYlwCfbjtXZsK&amp;gclid=Cj0KCQjwrs7RBhDuARIsAIVfBD38oMoZuJHpbuNto4zbEUIqagj030ZAae8PE32BbWG_L6KV74mtdEAaAoJvEALw_wcB</v>
      </c>
      <c r="L777" s="3" t="str">
        <f>IFERROR(__xludf.DUMMYFUNCTION("""COMPUTED_VALUE"""),"-")</f>
        <v>-</v>
      </c>
      <c r="M777" s="3" t="str">
        <f>IFERROR(__xludf.DUMMYFUNCTION("""COMPUTED_VALUE"""),"Approve")</f>
        <v>Approve</v>
      </c>
      <c r="N777" s="3" t="str">
        <f>IFERROR(__xludf.DUMMYFUNCTION("""COMPUTED_VALUE"""),"Normal")</f>
        <v>Normal</v>
      </c>
      <c r="O777" s="3" t="str">
        <f>IFERROR(__xludf.DUMMYFUNCTION("""COMPUTED_VALUE"""),"Non Urgent")</f>
        <v>Non Urgent</v>
      </c>
    </row>
    <row r="778">
      <c r="A778" s="4">
        <f>IFERROR(__xludf.DUMMYFUNCTION("""COMPUTED_VALUE"""),46192.46033797454)</f>
        <v>46192.46034</v>
      </c>
      <c r="B778" s="3" t="str">
        <f>IFERROR(__xludf.DUMMYFUNCTION("""COMPUTED_VALUE"""),"RIABR0168")</f>
        <v>RIABR0168</v>
      </c>
      <c r="C778" s="3" t="str">
        <f>IFERROR(__xludf.DUMMYFUNCTION("""COMPUTED_VALUE"""),"EJO")</f>
        <v>EJO</v>
      </c>
      <c r="D778" s="3" t="str">
        <f>IFERROR(__xludf.DUMMYFUNCTION("""COMPUTED_VALUE"""),"EJO/2026/06/098")</f>
        <v>EJO/2026/06/098</v>
      </c>
      <c r="E778" s="3" t="str">
        <f>IFERROR(__xludf.DUMMYFUNCTION("""COMPUTED_VALUE"""),"DP Tenaga 3 N")</f>
        <v>DP Tenaga 3 N</v>
      </c>
      <c r="F778" s="3" t="str">
        <f>IFERROR(__xludf.DUMMYFUNCTION("""COMPUTED_VALUE"""),"Power Meter")</f>
        <v>Power Meter</v>
      </c>
      <c r="G778" s="3" t="str">
        <f>IFERROR(__xludf.DUMMYFUNCTION("""COMPUTED_VALUE"""),"Fitur
The PowerLogic PM800 series power meters offer high-performance measurement capabilities needed to monitor an electrical installation in a compact 96 x 96 mm unit. The power meter's large easy-to-read display lets you view all three phases and neut"&amp;"ral at the same time.
Standard features of the PM800 series power meters include an RS485 Modbus communication port (ASCII and RTU) and Ethernet Modbus TCP/IP (optional), digital input, digital output, THD metering, and alarming. Also, the PM820, PM850"&amp;" offer custom on-board logging and individual current and voltage harmonic readings. The PM850 offers waveform capture. And the PM870 is the first compact meter to offer voltage and current disturbance (sag and swell) detection and configurable waveform c"&amp;"apture. In addition all models offer Input Metering (WAGES) capability and GPS date/time synchronization. The PM850 and PM870 include EN50160 and ITI(CBEMA)/SEMI F-47 Evaluations as well.")</f>
        <v>Fitur
The PowerLogic PM800 series power meters offer high-performance measurement capabilities needed to monitor an electrical installation in a compact 96 x 96 mm unit. The power meter's large easy-to-read display lets you view all three phases and neutral at the same time.
Standard features of the PM800 series power meters include an RS485 Modbus communication port (ASCII and RTU) and Ethernet Modbus TCP/IP (optional), digital input, digital output, THD metering, and alarming. Also, the PM820, PM850 offer custom on-board logging and individual current and voltage harmonic readings. The PM850 offers waveform capture. And the PM870 is the first compact meter to offer voltage and current disturbance (sag and swell) detection and configurable waveform capture. In addition all models offer Input Metering (WAGES) capability and GPS date/time synchronization. The PM850 and PM870 include EN50160 and ITI(CBEMA)/SEMI F-47 Evaluations as well.</v>
      </c>
      <c r="H778" s="3" t="str">
        <f>IFERROR(__xludf.DUMMYFUNCTION("""COMPUTED_VALUE"""),"Schneider")</f>
        <v>Schneider</v>
      </c>
      <c r="I778" s="3">
        <f>IFERROR(__xludf.DUMMYFUNCTION("""COMPUTED_VALUE"""),1.0)</f>
        <v>1</v>
      </c>
      <c r="J778" s="3" t="str">
        <f>IFERROR(__xludf.DUMMYFUNCTION("""COMPUTED_VALUE"""),"pcs")</f>
        <v>pcs</v>
      </c>
      <c r="K778" s="3" t="str">
        <f>IFERROR(__xludf.DUMMYFUNCTION("""COMPUTED_VALUE"""),"PowerLogic PM800 series | Schneider Electric Indonesia")</f>
        <v>PowerLogic PM800 series | Schneider Electric Indonesia</v>
      </c>
      <c r="L778" s="3" t="str">
        <f>IFERROR(__xludf.DUMMYFUNCTION("""COMPUTED_VALUE"""),"Buat power meter panel ya, PM800 Power Logic Schneider")</f>
        <v>Buat power meter panel ya, PM800 Power Logic Schneider</v>
      </c>
      <c r="M778" s="3" t="str">
        <f>IFERROR(__xludf.DUMMYFUNCTION("""COMPUTED_VALUE"""),"Approve")</f>
        <v>Approve</v>
      </c>
      <c r="N778" s="3" t="str">
        <f>IFERROR(__xludf.DUMMYFUNCTION("""COMPUTED_VALUE"""),"Normal")</f>
        <v>Normal</v>
      </c>
      <c r="O778" s="3" t="str">
        <f>IFERROR(__xludf.DUMMYFUNCTION("""COMPUTED_VALUE"""),"Non Urgent")</f>
        <v>Non Urgent</v>
      </c>
    </row>
    <row r="779">
      <c r="A779" s="4">
        <f>IFERROR(__xludf.DUMMYFUNCTION("""COMPUTED_VALUE"""),46192.461777557866)</f>
        <v>46192.46178</v>
      </c>
      <c r="B779" s="3" t="str">
        <f>IFERROR(__xludf.DUMMYFUNCTION("""COMPUTED_VALUE"""),"RIABR0169")</f>
        <v>RIABR0169</v>
      </c>
      <c r="C779" s="3" t="str">
        <f>IFERROR(__xludf.DUMMYFUNCTION("""COMPUTED_VALUE"""),"EJO")</f>
        <v>EJO</v>
      </c>
      <c r="D779" s="3" t="str">
        <f>IFERROR(__xludf.DUMMYFUNCTION("""COMPUTED_VALUE"""),"EJO/2026/06/099")</f>
        <v>EJO/2026/06/099</v>
      </c>
      <c r="E779" s="3" t="str">
        <f>IFERROR(__xludf.DUMMYFUNCTION("""COMPUTED_VALUE"""),"P - GC")</f>
        <v>P - GC</v>
      </c>
      <c r="F779" s="3" t="str">
        <f>IFERROR(__xludf.DUMMYFUNCTION("""COMPUTED_VALUE"""),"Power Meter")</f>
        <v>Power Meter</v>
      </c>
      <c r="G779" s="3" t="str">
        <f>IFERROR(__xludf.DUMMYFUNCTION("""COMPUTED_VALUE"""),"Fitur
The PowerLogic PM800 series power meters offer high-performance measurement capabilities needed to monitor an electrical installation in a compact 96 x 96 mm unit. The power meter's large easy-to-read display lets you view all three phases and neut"&amp;"ral at the same time.
Standard features of the PM800 series power meters include an RS485 Modbus communication port (ASCII and RTU) and Ethernet Modbus TCP/IP (optional), digital input, digital output, THD metering, and alarming. Also, the PM820, PM850"&amp;" offer custom on-board logging and individual current and voltage harmonic readings. The PM850 offers waveform capture. And the PM870 is the first compact meter to offer voltage and current disturbance (sag and swell) detection and configurable waveform c"&amp;"apture. In addition all models offer Input Metering (WAGES) capability and GPS date/time synchronization. The PM850 and PM870 include EN50160 and ITI(CBEMA)/SEMI F-47 Evaluations as well.")</f>
        <v>Fitur
The PowerLogic PM800 series power meters offer high-performance measurement capabilities needed to monitor an electrical installation in a compact 96 x 96 mm unit. The power meter's large easy-to-read display lets you view all three phases and neutral at the same time.
Standard features of the PM800 series power meters include an RS485 Modbus communication port (ASCII and RTU) and Ethernet Modbus TCP/IP (optional), digital input, digital output, THD metering, and alarming. Also, the PM820, PM850 offer custom on-board logging and individual current and voltage harmonic readings. The PM850 offers waveform capture. And the PM870 is the first compact meter to offer voltage and current disturbance (sag and swell) detection and configurable waveform capture. In addition all models offer Input Metering (WAGES) capability and GPS date/time synchronization. The PM850 and PM870 include EN50160 and ITI(CBEMA)/SEMI F-47 Evaluations as well.</v>
      </c>
      <c r="H779" s="3" t="str">
        <f>IFERROR(__xludf.DUMMYFUNCTION("""COMPUTED_VALUE"""),"Schneider")</f>
        <v>Schneider</v>
      </c>
      <c r="I779" s="3">
        <f>IFERROR(__xludf.DUMMYFUNCTION("""COMPUTED_VALUE"""),2.0)</f>
        <v>2</v>
      </c>
      <c r="J779" s="3" t="str">
        <f>IFERROR(__xludf.DUMMYFUNCTION("""COMPUTED_VALUE"""),"pcs")</f>
        <v>pcs</v>
      </c>
      <c r="K779" s="3" t="str">
        <f>IFERROR(__xludf.DUMMYFUNCTION("""COMPUTED_VALUE"""),"PowerLogic PM800 series | Schneider Electric Indonesia")</f>
        <v>PowerLogic PM800 series | Schneider Electric Indonesia</v>
      </c>
      <c r="L779" s="3" t="str">
        <f>IFERROR(__xludf.DUMMYFUNCTION("""COMPUTED_VALUE"""),"Buat power meter panel ya, PM800 Power Logic Schneider")</f>
        <v>Buat power meter panel ya, PM800 Power Logic Schneider</v>
      </c>
      <c r="M779" s="3" t="str">
        <f>IFERROR(__xludf.DUMMYFUNCTION("""COMPUTED_VALUE"""),"Approve")</f>
        <v>Approve</v>
      </c>
      <c r="N779" s="3" t="str">
        <f>IFERROR(__xludf.DUMMYFUNCTION("""COMPUTED_VALUE"""),"Normal")</f>
        <v>Normal</v>
      </c>
      <c r="O779" s="3" t="str">
        <f>IFERROR(__xludf.DUMMYFUNCTION("""COMPUTED_VALUE"""),"Non Urgent")</f>
        <v>Non Urgent</v>
      </c>
    </row>
    <row r="780">
      <c r="A780" s="4">
        <f>IFERROR(__xludf.DUMMYFUNCTION("""COMPUTED_VALUE"""),46193.41210287037)</f>
        <v>46193.4121</v>
      </c>
      <c r="B780" s="3" t="str">
        <f>IFERROR(__xludf.DUMMYFUNCTION("""COMPUTED_VALUE"""),"MRNBR0109")</f>
        <v>MRNBR0109</v>
      </c>
      <c r="C780" s="3" t="str">
        <f>IFERROR(__xludf.DUMMYFUNCTION("""COMPUTED_VALUE"""),"EJO")</f>
        <v>EJO</v>
      </c>
      <c r="D780" s="3" t="str">
        <f>IFERROR(__xludf.DUMMYFUNCTION("""COMPUTED_VALUE"""),"EJO/2026/02/41")</f>
        <v>EJO/2026/02/41</v>
      </c>
      <c r="E780" s="3" t="str">
        <f>IFERROR(__xludf.DUMMYFUNCTION("""COMPUTED_VALUE"""),"Workshop")</f>
        <v>Workshop</v>
      </c>
      <c r="F780" s="3" t="str">
        <f>IFERROR(__xludf.DUMMYFUNCTION("""COMPUTED_VALUE"""),"flexible duct alumunium")</f>
        <v>flexible duct alumunium</v>
      </c>
      <c r="G780" s="3" t="str">
        <f>IFERROR(__xludf.DUMMYFUNCTION("""COMPUTED_VALUE"""),"6 inch")</f>
        <v>6 inch</v>
      </c>
      <c r="H780" s="3" t="str">
        <f>IFERROR(__xludf.DUMMYFUNCTION("""COMPUTED_VALUE"""),"NA")</f>
        <v>NA</v>
      </c>
      <c r="I780" s="3">
        <f>IFERROR(__xludf.DUMMYFUNCTION("""COMPUTED_VALUE"""),2.0)</f>
        <v>2</v>
      </c>
      <c r="J780" s="3" t="str">
        <f>IFERROR(__xludf.DUMMYFUNCTION("""COMPUTED_VALUE"""),"unit")</f>
        <v>unit</v>
      </c>
      <c r="K780" s="5" t="str">
        <f>IFERROR(__xludf.DUMMYFUNCTION("""COMPUTED_VALUE"""),"https://shopee.co.id/product/299925060/28105168306?gads_t_sig=gqRjZGVrxHCFomtpsTE0MjUxOnRzc19zZGtfa2V5omt20QABpGFsZ2_SAAAAZKNkZWvAomN0xEAAAAAMfaLqlfFS4JwQPCoOJZHE2YMfq1tWF61pnIIHqGuyOlpkjBotHu7Xpb0YRK1tULWVZdcpI_r9hw6jgE9CqmNpcGhlcnRleHTEcQAAAAyqMUWUEbBUW"&amp;"J7cgWQSjUnuo2ulZ2QKvWieGxMWNcUkghvd_wGlbDvNwGsui7cfwRvlYQMt5k9Va-zOIBp9yDRIZdU4o3y70G5jDZqptLQycf8M6NVrlabDPiX9z5fhIJQACMJLHTEzzuh-r-YI&amp;gad_source=1&amp;gad_campaignid=23290582497&amp;gbraid=0AAAAADPpU82jbzPMtihPNavUdnJYjsjnR&amp;gclid=CjwKCAjw0dPRBhAPEiwAE5vTTgTQcHW"&amp;"oXZLHkkw_MmatHu9Ytu1Yc9URg88BxZCj0hfyaJaNYgPFNBoCmzMQAvD_BwE")</f>
        <v>https://shopee.co.id/product/299925060/28105168306?gads_t_sig=gqRjZGVrxHCFomtpsTE0MjUxOnRzc19zZGtfa2V5omt20QABpGFsZ2_SAAAAZKNkZWvAomN0xEAAAAAMfaLqlfFS4JwQPCoOJZHE2YMfq1tWF61pnIIHqGuyOlpkjBotHu7Xpb0YRK1tULWVZdcpI_r9hw6jgE9CqmNpcGhlcnRleHTEcQAAAAyqMUWUEbBUWJ7cgWQSjUnuo2ulZ2QKvWieGxMWNcUkghvd_wGlbDvNwGsui7cfwRvlYQMt5k9Va-zOIBp9yDRIZdU4o3y70G5jDZqptLQycf8M6NVrlabDPiX9z5fhIJQACMJLHTEzzuh-r-YI&amp;gad_source=1&amp;gad_campaignid=23290582497&amp;gbraid=0AAAAADPpU82jbzPMtihPNavUdnJYjsjnR&amp;gclid=CjwKCAjw0dPRBhAPEiwAE5vTTgTQcHWoXZLHkkw_MmatHu9Ytu1Yc9URg88BxZCj0hfyaJaNYgPFNBoCmzMQAvD_BwE</v>
      </c>
      <c r="L780" s="3" t="str">
        <f>IFERROR(__xludf.DUMMYFUNCTION("""COMPUTED_VALUE"""),"untuk workshop")</f>
        <v>untuk workshop</v>
      </c>
      <c r="M780" s="3" t="str">
        <f>IFERROR(__xludf.DUMMYFUNCTION("""COMPUTED_VALUE"""),"Approve")</f>
        <v>Approve</v>
      </c>
      <c r="N780" s="3" t="str">
        <f>IFERROR(__xludf.DUMMYFUNCTION("""COMPUTED_VALUE"""),"Normal")</f>
        <v>Normal</v>
      </c>
      <c r="O780" s="3" t="str">
        <f>IFERROR(__xludf.DUMMYFUNCTION("""COMPUTED_VALUE"""),"Non Urgent")</f>
        <v>Non Urgent</v>
      </c>
    </row>
    <row r="781">
      <c r="A781" s="4">
        <f>IFERROR(__xludf.DUMMYFUNCTION("""COMPUTED_VALUE"""),46193.41818853009)</f>
        <v>46193.41819</v>
      </c>
      <c r="B781" s="3" t="str">
        <f>IFERROR(__xludf.DUMMYFUNCTION("""COMPUTED_VALUE"""),"MRNBR0110")</f>
        <v>MRNBR0110</v>
      </c>
      <c r="C781" s="3" t="str">
        <f>IFERROR(__xludf.DUMMYFUNCTION("""COMPUTED_VALUE"""),"EJO")</f>
        <v>EJO</v>
      </c>
      <c r="D781" s="3" t="str">
        <f>IFERROR(__xludf.DUMMYFUNCTION("""COMPUTED_VALUE"""),"EJO/2026/02/41")</f>
        <v>EJO/2026/02/41</v>
      </c>
      <c r="E781" s="3" t="str">
        <f>IFERROR(__xludf.DUMMYFUNCTION("""COMPUTED_VALUE"""),"Workshop")</f>
        <v>Workshop</v>
      </c>
      <c r="F781" s="3" t="str">
        <f>IFERROR(__xludf.DUMMYFUNCTION("""COMPUTED_VALUE"""),"grill exhaust plafon")</f>
        <v>grill exhaust plafon</v>
      </c>
      <c r="G781" s="3" t="str">
        <f>IFERROR(__xludf.DUMMYFUNCTION("""COMPUTED_VALUE"""),"6 inch ")</f>
        <v>6 inch </v>
      </c>
      <c r="H781" s="3" t="str">
        <f>IFERROR(__xludf.DUMMYFUNCTION("""COMPUTED_VALUE"""),"NA")</f>
        <v>NA</v>
      </c>
      <c r="I781" s="3">
        <f>IFERROR(__xludf.DUMMYFUNCTION("""COMPUTED_VALUE"""),1.0)</f>
        <v>1</v>
      </c>
      <c r="J781" s="3" t="str">
        <f>IFERROR(__xludf.DUMMYFUNCTION("""COMPUTED_VALUE"""),"unit")</f>
        <v>unit</v>
      </c>
      <c r="K781" s="5" t="str">
        <f>IFERROR(__xludf.DUMMYFUNCTION("""COMPUTED_VALUE"""),"https://www.tokopedia.com/hvac-indonesia/plastic-air-grille-exhaust-fan-round-diffuser-bulat-4-6-8-inch-plastik-hg-02-100-mm")</f>
        <v>https://www.tokopedia.com/hvac-indonesia/plastic-air-grille-exhaust-fan-round-diffuser-bulat-4-6-8-inch-plastik-hg-02-100-mm</v>
      </c>
      <c r="L781" s="3" t="str">
        <f>IFERROR(__xludf.DUMMYFUNCTION("""COMPUTED_VALUE"""),"untuk workshop")</f>
        <v>untuk workshop</v>
      </c>
      <c r="M781" s="3" t="str">
        <f>IFERROR(__xludf.DUMMYFUNCTION("""COMPUTED_VALUE"""),"Approve")</f>
        <v>Approve</v>
      </c>
      <c r="N781" s="3" t="str">
        <f>IFERROR(__xludf.DUMMYFUNCTION("""COMPUTED_VALUE"""),"Normal")</f>
        <v>Normal</v>
      </c>
      <c r="O781" s="3" t="str">
        <f>IFERROR(__xludf.DUMMYFUNCTION("""COMPUTED_VALUE"""),"Non Urgent")</f>
        <v>Non Urgent</v>
      </c>
    </row>
    <row r="782">
      <c r="A782" s="4">
        <f>IFERROR(__xludf.DUMMYFUNCTION("""COMPUTED_VALUE"""),46195.66214417824)</f>
        <v>46195.66214</v>
      </c>
      <c r="B782" s="3" t="str">
        <f>IFERROR(__xludf.DUMMYFUNCTION("""COMPUTED_VALUE"""),"ANOBR0058")</f>
        <v>ANOBR0058</v>
      </c>
      <c r="C782" s="3" t="str">
        <f>IFERROR(__xludf.DUMMYFUNCTION("""COMPUTED_VALUE"""),"EJO")</f>
        <v>EJO</v>
      </c>
      <c r="D782" s="3" t="str">
        <f>IFERROR(__xludf.DUMMYFUNCTION("""COMPUTED_VALUE"""),"-")</f>
        <v>-</v>
      </c>
      <c r="E782" s="3" t="str">
        <f>IFERROR(__xludf.DUMMYFUNCTION("""COMPUTED_VALUE"""),"workshop")</f>
        <v>workshop</v>
      </c>
      <c r="F782" s="3" t="str">
        <f>IFERROR(__xludf.DUMMYFUNCTION("""COMPUTED_VALUE"""),"mata gerinda 4 inch")</f>
        <v>mata gerinda 4 inch</v>
      </c>
      <c r="G782" s="3" t="str">
        <f>IFERROR(__xludf.DUMMYFUNCTION("""COMPUTED_VALUE"""),"mata gerinda potong 4"" ")</f>
        <v>mata gerinda potong 4" </v>
      </c>
      <c r="H782" s="3" t="str">
        <f>IFERROR(__xludf.DUMMYFUNCTION("""COMPUTED_VALUE"""),"-")</f>
        <v>-</v>
      </c>
      <c r="I782" s="3">
        <f>IFERROR(__xludf.DUMMYFUNCTION("""COMPUTED_VALUE"""),5.0)</f>
        <v>5</v>
      </c>
      <c r="J782" s="3" t="str">
        <f>IFERROR(__xludf.DUMMYFUNCTION("""COMPUTED_VALUE"""),"box")</f>
        <v>box</v>
      </c>
      <c r="K782" s="5" t="str">
        <f>IFERROR(__xludf.DUMMYFUNCTION("""COMPUTED_VALUE"""),"https://www.tokopedia.com/lengkapaja/mata-gerinda-potong-wd-cutting-4-inch-harga-per-dus-kotak?aff_unique_id=&amp;channel=others&amp;chain_key=")</f>
        <v>https://www.tokopedia.com/lengkapaja/mata-gerinda-potong-wd-cutting-4-inch-harga-per-dus-kotak?aff_unique_id=&amp;channel=others&amp;chain_key=</v>
      </c>
      <c r="L782" s="3" t="str">
        <f>IFERROR(__xludf.DUMMYFUNCTION("""COMPUTED_VALUE"""),"kebutuhan project")</f>
        <v>kebutuhan project</v>
      </c>
      <c r="M782" s="3" t="str">
        <f>IFERROR(__xludf.DUMMYFUNCTION("""COMPUTED_VALUE"""),"Approve")</f>
        <v>Approve</v>
      </c>
      <c r="N782" s="3" t="str">
        <f>IFERROR(__xludf.DUMMYFUNCTION("""COMPUTED_VALUE"""),"Normal")</f>
        <v>Normal</v>
      </c>
      <c r="O782" s="3" t="str">
        <f>IFERROR(__xludf.DUMMYFUNCTION("""COMPUTED_VALUE"""),"Non Urgent")</f>
        <v>Non Urgent</v>
      </c>
    </row>
    <row r="783">
      <c r="A783" s="4">
        <f>IFERROR(__xludf.DUMMYFUNCTION("""COMPUTED_VALUE"""),46195.66214417824)</f>
        <v>46195.66214</v>
      </c>
      <c r="B783" s="3" t="str">
        <f>IFERROR(__xludf.DUMMYFUNCTION("""COMPUTED_VALUE"""),"ANOBR0059")</f>
        <v>ANOBR0059</v>
      </c>
      <c r="C783" s="3" t="str">
        <f>IFERROR(__xludf.DUMMYFUNCTION("""COMPUTED_VALUE"""),"EJO")</f>
        <v>EJO</v>
      </c>
      <c r="D783" s="3" t="str">
        <f>IFERROR(__xludf.DUMMYFUNCTION("""COMPUTED_VALUE"""),"-")</f>
        <v>-</v>
      </c>
      <c r="E783" s="3" t="str">
        <f>IFERROR(__xludf.DUMMYFUNCTION("""COMPUTED_VALUE"""),"workshop")</f>
        <v>workshop</v>
      </c>
      <c r="F783" s="3" t="str">
        <f>IFERROR(__xludf.DUMMYFUNCTION("""COMPUTED_VALUE"""),"mata gerinda polesh 4 inch")</f>
        <v>mata gerinda polesh 4 inch</v>
      </c>
      <c r="G783" s="3" t="str">
        <f>IFERROR(__xludf.DUMMYFUNCTION("""COMPUTED_VALUE"""),"mata gerinda polesh 4 inch")</f>
        <v>mata gerinda polesh 4 inch</v>
      </c>
      <c r="H783" s="3" t="str">
        <f>IFERROR(__xludf.DUMMYFUNCTION("""COMPUTED_VALUE"""),"-")</f>
        <v>-</v>
      </c>
      <c r="I783" s="3">
        <f>IFERROR(__xludf.DUMMYFUNCTION("""COMPUTED_VALUE"""),5.0)</f>
        <v>5</v>
      </c>
      <c r="J783" s="3" t="str">
        <f>IFERROR(__xludf.DUMMYFUNCTION("""COMPUTED_VALUE"""),"box")</f>
        <v>box</v>
      </c>
      <c r="K783" s="5" t="str">
        <f>IFERROR(__xludf.DUMMYFUNCTION("""COMPUTED_VALUE"""),"https://www.tokopedia.com/archive-rajawali-putra-1/batu-gurinda-poles-wd-4-x-6-grinda-wheel-4-x6-tb-wd-batu-poles-1-box-taiyo-blue-4x6m-batu-poles-0f994?extParam=ivf%3Dfalse%26keyword%3Dmata+gerinda+polesh+1box%26search_id%3D20260507015118577BCC914F9E552F"&amp;"40J5%26src%3Dsearch&amp;t_id=1778118655787&amp;t_st=2&amp;t_pp=search_result&amp;t_efo=search_pure_goods_card&amp;t_ef=goods_search&amp;t_sm=&amp;t_spt=search_result")</f>
        <v>https://www.tokopedia.com/archive-rajawali-putra-1/batu-gurinda-poles-wd-4-x-6-grinda-wheel-4-x6-tb-wd-batu-poles-1-box-taiyo-blue-4x6m-batu-poles-0f994?extParam=ivf%3Dfalse%26keyword%3Dmata+gerinda+polesh+1box%26search_id%3D20260507015118577BCC914F9E552F40J5%26src%3Dsearch&amp;t_id=1778118655787&amp;t_st=2&amp;t_pp=search_result&amp;t_efo=search_pure_goods_card&amp;t_ef=goods_search&amp;t_sm=&amp;t_spt=search_result</v>
      </c>
      <c r="L783" s="3" t="str">
        <f>IFERROR(__xludf.DUMMYFUNCTION("""COMPUTED_VALUE"""),"kebutuhan project")</f>
        <v>kebutuhan project</v>
      </c>
      <c r="M783" s="3" t="str">
        <f>IFERROR(__xludf.DUMMYFUNCTION("""COMPUTED_VALUE"""),"Approve")</f>
        <v>Approve</v>
      </c>
      <c r="N783" s="3" t="str">
        <f>IFERROR(__xludf.DUMMYFUNCTION("""COMPUTED_VALUE"""),"Normal")</f>
        <v>Normal</v>
      </c>
      <c r="O783" s="3" t="str">
        <f>IFERROR(__xludf.DUMMYFUNCTION("""COMPUTED_VALUE"""),"Non Urgent")</f>
        <v>Non Urgent</v>
      </c>
    </row>
    <row r="784">
      <c r="A784" s="4">
        <f>IFERROR(__xludf.DUMMYFUNCTION("""COMPUTED_VALUE"""),46195.66214417824)</f>
        <v>46195.66214</v>
      </c>
      <c r="B784" s="3" t="str">
        <f>IFERROR(__xludf.DUMMYFUNCTION("""COMPUTED_VALUE"""),"ANOBR0060")</f>
        <v>ANOBR0060</v>
      </c>
      <c r="C784" s="3" t="str">
        <f>IFERROR(__xludf.DUMMYFUNCTION("""COMPUTED_VALUE"""),"EJO")</f>
        <v>EJO</v>
      </c>
      <c r="D784" s="3" t="str">
        <f>IFERROR(__xludf.DUMMYFUNCTION("""COMPUTED_VALUE"""),"-")</f>
        <v>-</v>
      </c>
      <c r="E784" s="3" t="str">
        <f>IFERROR(__xludf.DUMMYFUNCTION("""COMPUTED_VALUE"""),"workshop")</f>
        <v>workshop</v>
      </c>
      <c r="F784" s="3" t="str">
        <f>IFERROR(__xludf.DUMMYFUNCTION("""COMPUTED_VALUE"""),"mata gerinda amplas 4""")</f>
        <v>mata gerinda amplas 4"</v>
      </c>
      <c r="G784" s="3" t="str">
        <f>IFERROR(__xludf.DUMMYFUNCTION("""COMPUTED_VALUE"""),"mata gerinda amplas 4"" ukuran #100 ")</f>
        <v>mata gerinda amplas 4" ukuran #100 </v>
      </c>
      <c r="H784" s="3" t="str">
        <f>IFERROR(__xludf.DUMMYFUNCTION("""COMPUTED_VALUE"""),"-")</f>
        <v>-</v>
      </c>
      <c r="I784" s="3">
        <f>IFERROR(__xludf.DUMMYFUNCTION("""COMPUTED_VALUE"""),5.0)</f>
        <v>5</v>
      </c>
      <c r="J784" s="3" t="str">
        <f>IFERROR(__xludf.DUMMYFUNCTION("""COMPUTED_VALUE"""),"box")</f>
        <v>box</v>
      </c>
      <c r="K784" s="5" t="str">
        <f>IFERROR(__xludf.DUMMYFUNCTION("""COMPUTED_VALUE"""),"https://www.tokopedia.com/kabirmall/amplas-susun-flapdisc-taiyo-4-per-kotak-terlaris-1734137829216716375?aff_unique_id=&amp;channel=others&amp;chain_key=")</f>
        <v>https://www.tokopedia.com/kabirmall/amplas-susun-flapdisc-taiyo-4-per-kotak-terlaris-1734137829216716375?aff_unique_id=&amp;channel=others&amp;chain_key=</v>
      </c>
      <c r="L784" s="3" t="str">
        <f>IFERROR(__xludf.DUMMYFUNCTION("""COMPUTED_VALUE"""),"kebutuhan project")</f>
        <v>kebutuhan project</v>
      </c>
      <c r="M784" s="3" t="str">
        <f>IFERROR(__xludf.DUMMYFUNCTION("""COMPUTED_VALUE"""),"Approve")</f>
        <v>Approve</v>
      </c>
      <c r="N784" s="3" t="str">
        <f>IFERROR(__xludf.DUMMYFUNCTION("""COMPUTED_VALUE"""),"Normal")</f>
        <v>Normal</v>
      </c>
      <c r="O784" s="3" t="str">
        <f>IFERROR(__xludf.DUMMYFUNCTION("""COMPUTED_VALUE"""),"Non Urgent")</f>
        <v>Non Urgent</v>
      </c>
    </row>
    <row r="785">
      <c r="A785" s="4">
        <f>IFERROR(__xludf.DUMMYFUNCTION("""COMPUTED_VALUE"""),46195.66214417824)</f>
        <v>46195.66214</v>
      </c>
      <c r="B785" s="3" t="str">
        <f>IFERROR(__xludf.DUMMYFUNCTION("""COMPUTED_VALUE"""),"ANOBR0061")</f>
        <v>ANOBR0061</v>
      </c>
      <c r="C785" s="3" t="str">
        <f>IFERROR(__xludf.DUMMYFUNCTION("""COMPUTED_VALUE"""),"EJO")</f>
        <v>EJO</v>
      </c>
      <c r="D785" s="3" t="str">
        <f>IFERROR(__xludf.DUMMYFUNCTION("""COMPUTED_VALUE"""),"-")</f>
        <v>-</v>
      </c>
      <c r="E785" s="3" t="str">
        <f>IFERROR(__xludf.DUMMYFUNCTION("""COMPUTED_VALUE"""),"workshop")</f>
        <v>workshop</v>
      </c>
      <c r="F785" s="3" t="str">
        <f>IFERROR(__xludf.DUMMYFUNCTION("""COMPUTED_VALUE"""),"mata gerinda amplas 4""")</f>
        <v>mata gerinda amplas 4"</v>
      </c>
      <c r="G785" s="3" t="str">
        <f>IFERROR(__xludf.DUMMYFUNCTION("""COMPUTED_VALUE"""),"mata gerinda amplas 4"" ukuran #24-0")</f>
        <v>mata gerinda amplas 4" ukuran #24-0</v>
      </c>
      <c r="H785" s="3" t="str">
        <f>IFERROR(__xludf.DUMMYFUNCTION("""COMPUTED_VALUE"""),"-")</f>
        <v>-</v>
      </c>
      <c r="I785" s="3">
        <f>IFERROR(__xludf.DUMMYFUNCTION("""COMPUTED_VALUE"""),5.0)</f>
        <v>5</v>
      </c>
      <c r="J785" s="3" t="str">
        <f>IFERROR(__xludf.DUMMYFUNCTION("""COMPUTED_VALUE"""),"box")</f>
        <v>box</v>
      </c>
      <c r="K785" s="5" t="str">
        <f>IFERROR(__xludf.DUMMYFUNCTION("""COMPUTED_VALUE"""),"https://www.tokopedia.com/kabirmall/amplas-susun-flapdisc-taiyo-4-per-kotak-terlaris-1734137829216716375?aff_unique_id=&amp;channel=others&amp;chain_key=")</f>
        <v>https://www.tokopedia.com/kabirmall/amplas-susun-flapdisc-taiyo-4-per-kotak-terlaris-1734137829216716375?aff_unique_id=&amp;channel=others&amp;chain_key=</v>
      </c>
      <c r="L785" s="3" t="str">
        <f>IFERROR(__xludf.DUMMYFUNCTION("""COMPUTED_VALUE"""),"kebutuhan project")</f>
        <v>kebutuhan project</v>
      </c>
      <c r="M785" s="3" t="str">
        <f>IFERROR(__xludf.DUMMYFUNCTION("""COMPUTED_VALUE"""),"Approve")</f>
        <v>Approve</v>
      </c>
      <c r="N785" s="3" t="str">
        <f>IFERROR(__xludf.DUMMYFUNCTION("""COMPUTED_VALUE"""),"Normal")</f>
        <v>Normal</v>
      </c>
      <c r="O785" s="3" t="str">
        <f>IFERROR(__xludf.DUMMYFUNCTION("""COMPUTED_VALUE"""),"Non Urgent")</f>
        <v>Non Urgent</v>
      </c>
    </row>
    <row r="786">
      <c r="A786" s="4">
        <f>IFERROR(__xludf.DUMMYFUNCTION("""COMPUTED_VALUE"""),46195.66214417824)</f>
        <v>46195.66214</v>
      </c>
      <c r="B786" s="3" t="str">
        <f>IFERROR(__xludf.DUMMYFUNCTION("""COMPUTED_VALUE"""),"ANOBR0062")</f>
        <v>ANOBR0062</v>
      </c>
      <c r="C786" s="3" t="str">
        <f>IFERROR(__xludf.DUMMYFUNCTION("""COMPUTED_VALUE"""),"EJO")</f>
        <v>EJO</v>
      </c>
      <c r="D786" s="3" t="str">
        <f>IFERROR(__xludf.DUMMYFUNCTION("""COMPUTED_VALUE"""),"-")</f>
        <v>-</v>
      </c>
      <c r="E786" s="3" t="str">
        <f>IFERROR(__xludf.DUMMYFUNCTION("""COMPUTED_VALUE"""),"workshop")</f>
        <v>workshop</v>
      </c>
      <c r="F786" s="3" t="str">
        <f>IFERROR(__xludf.DUMMYFUNCTION("""COMPUTED_VALUE"""),"mata gerinda amplas 4""")</f>
        <v>mata gerinda amplas 4"</v>
      </c>
      <c r="G786" s="3" t="str">
        <f>IFERROR(__xludf.DUMMYFUNCTION("""COMPUTED_VALUE"""),"mata gerinda  brushing 4""")</f>
        <v>mata gerinda  brushing 4"</v>
      </c>
      <c r="H786" s="3" t="str">
        <f>IFERROR(__xludf.DUMMYFUNCTION("""COMPUTED_VALUE"""),"-")</f>
        <v>-</v>
      </c>
      <c r="I786" s="3">
        <f>IFERROR(__xludf.DUMMYFUNCTION("""COMPUTED_VALUE"""),3.0)</f>
        <v>3</v>
      </c>
      <c r="J786" s="3" t="str">
        <f>IFERROR(__xludf.DUMMYFUNCTION("""COMPUTED_VALUE"""),"pcs")</f>
        <v>pcs</v>
      </c>
      <c r="K786" s="5" t="str">
        <f>IFERROR(__xludf.DUMMYFUNCTION("""COMPUTED_VALUE"""),"https://www.monotaro.id/items/s000043642.html?utm_source=google&amp;utm_medium=pla&amp;utm_campaign=22645740610&amp;utm_content=189071432548&amp;utm_term=ready_stock_cat_group_2_pricebrand_group_1&amp;gad_source=4&amp;gad_campaignid=22645740610&amp;gbraid=0AAAAADJU9-_fxP46sbx3UVVJWc"&amp;"9oOsxk4&amp;gclid=CjwKCAjwzevPBhBaEiwAplAxvjLum4MJO87V-Xxbb2o0yawfb1xBtgqFbTDO00qV4vL0kYjCsXcM1hoCJnsQAvD_BwE")</f>
        <v>https://www.monotaro.id/items/s000043642.html?utm_source=google&amp;utm_medium=pla&amp;utm_campaign=22645740610&amp;utm_content=189071432548&amp;utm_term=ready_stock_cat_group_2_pricebrand_group_1&amp;gad_source=4&amp;gad_campaignid=22645740610&amp;gbraid=0AAAAADJU9-_fxP46sbx3UVVJWc9oOsxk4&amp;gclid=CjwKCAjwzevPBhBaEiwAplAxvjLum4MJO87V-Xxbb2o0yawfb1xBtgqFbTDO00qV4vL0kYjCsXcM1hoCJnsQAvD_BwE</v>
      </c>
      <c r="L786" s="3" t="str">
        <f>IFERROR(__xludf.DUMMYFUNCTION("""COMPUTED_VALUE"""),"kebutuhan project")</f>
        <v>kebutuhan project</v>
      </c>
      <c r="M786" s="3" t="str">
        <f>IFERROR(__xludf.DUMMYFUNCTION("""COMPUTED_VALUE"""),"Approve")</f>
        <v>Approve</v>
      </c>
      <c r="N786" s="3" t="str">
        <f>IFERROR(__xludf.DUMMYFUNCTION("""COMPUTED_VALUE"""),"Normal")</f>
        <v>Normal</v>
      </c>
      <c r="O786" s="3" t="str">
        <f>IFERROR(__xludf.DUMMYFUNCTION("""COMPUTED_VALUE"""),"Non Urgent")</f>
        <v>Non Urgent</v>
      </c>
    </row>
    <row r="787">
      <c r="A787" s="4">
        <f>IFERROR(__xludf.DUMMYFUNCTION("""COMPUTED_VALUE"""),46195.66214417824)</f>
        <v>46195.66214</v>
      </c>
      <c r="B787" s="3" t="str">
        <f>IFERROR(__xludf.DUMMYFUNCTION("""COMPUTED_VALUE"""),"ANOBR0063")</f>
        <v>ANOBR0063</v>
      </c>
      <c r="C787" s="3" t="str">
        <f>IFERROR(__xludf.DUMMYFUNCTION("""COMPUTED_VALUE"""),"EJO")</f>
        <v>EJO</v>
      </c>
      <c r="D787" s="3" t="str">
        <f>IFERROR(__xludf.DUMMYFUNCTION("""COMPUTED_VALUE"""),"-")</f>
        <v>-</v>
      </c>
      <c r="E787" s="3" t="str">
        <f>IFERROR(__xludf.DUMMYFUNCTION("""COMPUTED_VALUE"""),"pipa FW LT 2")</f>
        <v>pipa FW LT 2</v>
      </c>
      <c r="F787" s="3" t="str">
        <f>IFERROR(__xludf.DUMMYFUNCTION("""COMPUTED_VALUE"""),"pipa ss 304 2 1/2"" ")</f>
        <v>pipa ss 304 2 1/2" </v>
      </c>
      <c r="G787" s="3" t="str">
        <f>IFERROR(__xludf.DUMMYFUNCTION("""COMPUTED_VALUE"""),"pipa ss 304L 2 1/2"" schedule 10")</f>
        <v>pipa ss 304L 2 1/2" schedule 10</v>
      </c>
      <c r="H787" s="3" t="str">
        <f>IFERROR(__xludf.DUMMYFUNCTION("""COMPUTED_VALUE"""),"-")</f>
        <v>-</v>
      </c>
      <c r="I787" s="3">
        <f>IFERROR(__xludf.DUMMYFUNCTION("""COMPUTED_VALUE"""),4.0)</f>
        <v>4</v>
      </c>
      <c r="J787" s="3" t="str">
        <f>IFERROR(__xludf.DUMMYFUNCTION("""COMPUTED_VALUE"""),"batang")</f>
        <v>batang</v>
      </c>
      <c r="K787" s="3" t="str">
        <f>IFERROR(__xludf.DUMMYFUNCTION("""COMPUTED_VALUE"""),"-")</f>
        <v>-</v>
      </c>
      <c r="L787" s="3" t="str">
        <f>IFERROR(__xludf.DUMMYFUNCTION("""COMPUTED_VALUE"""),"kebutuhan penggantian pipa FW lt 2")</f>
        <v>kebutuhan penggantian pipa FW lt 2</v>
      </c>
      <c r="M787" s="3" t="str">
        <f>IFERROR(__xludf.DUMMYFUNCTION("""COMPUTED_VALUE"""),"Approve")</f>
        <v>Approve</v>
      </c>
      <c r="N787" s="3" t="str">
        <f>IFERROR(__xludf.DUMMYFUNCTION("""COMPUTED_VALUE"""),"Normal")</f>
        <v>Normal</v>
      </c>
      <c r="O787" s="3" t="str">
        <f>IFERROR(__xludf.DUMMYFUNCTION("""COMPUTED_VALUE"""),"Non Urgent")</f>
        <v>Non Urgent</v>
      </c>
    </row>
    <row r="788">
      <c r="A788" s="4">
        <f>IFERROR(__xludf.DUMMYFUNCTION("""COMPUTED_VALUE"""),46195.66214417824)</f>
        <v>46195.66214</v>
      </c>
      <c r="B788" s="3" t="str">
        <f>IFERROR(__xludf.DUMMYFUNCTION("""COMPUTED_VALUE"""),"ANOBR0064")</f>
        <v>ANOBR0064</v>
      </c>
      <c r="C788" s="3" t="str">
        <f>IFERROR(__xludf.DUMMYFUNCTION("""COMPUTED_VALUE"""),"EJO")</f>
        <v>EJO</v>
      </c>
      <c r="D788" s="3" t="str">
        <f>IFERROR(__xludf.DUMMYFUNCTION("""COMPUTED_VALUE"""),"-")</f>
        <v>-</v>
      </c>
      <c r="E788" s="3" t="str">
        <f>IFERROR(__xludf.DUMMYFUNCTION("""COMPUTED_VALUE"""),"pipa FW LT 2")</f>
        <v>pipa FW LT 2</v>
      </c>
      <c r="F788" s="3" t="str">
        <f>IFERROR(__xludf.DUMMYFUNCTION("""COMPUTED_VALUE"""),"flange ss 304 2 1/2 DN 75")</f>
        <v>flange ss 304 2 1/2 DN 75</v>
      </c>
      <c r="G788" s="3" t="str">
        <f>IFERROR(__xludf.DUMMYFUNCTION("""COMPUTED_VALUE"""),"flange ss 304L 2 1/2""  DN 75")</f>
        <v>flange ss 304L 2 1/2"  DN 75</v>
      </c>
      <c r="H788" s="3" t="str">
        <f>IFERROR(__xludf.DUMMYFUNCTION("""COMPUTED_VALUE"""),"-")</f>
        <v>-</v>
      </c>
      <c r="I788" s="3">
        <f>IFERROR(__xludf.DUMMYFUNCTION("""COMPUTED_VALUE"""),8.0)</f>
        <v>8</v>
      </c>
      <c r="J788" s="3" t="str">
        <f>IFERROR(__xludf.DUMMYFUNCTION("""COMPUTED_VALUE"""),"PCS")</f>
        <v>PCS</v>
      </c>
      <c r="K788" s="3" t="str">
        <f>IFERROR(__xludf.DUMMYFUNCTION("""COMPUTED_VALUE"""),"-")</f>
        <v>-</v>
      </c>
      <c r="L788" s="3" t="str">
        <f>IFERROR(__xludf.DUMMYFUNCTION("""COMPUTED_VALUE"""),"kebutuhan penggantian pipa FW lt 2")</f>
        <v>kebutuhan penggantian pipa FW lt 2</v>
      </c>
      <c r="M788" s="3" t="str">
        <f>IFERROR(__xludf.DUMMYFUNCTION("""COMPUTED_VALUE"""),"Approve")</f>
        <v>Approve</v>
      </c>
      <c r="N788" s="3" t="str">
        <f>IFERROR(__xludf.DUMMYFUNCTION("""COMPUTED_VALUE"""),"Normal")</f>
        <v>Normal</v>
      </c>
      <c r="O788" s="3" t="str">
        <f>IFERROR(__xludf.DUMMYFUNCTION("""COMPUTED_VALUE"""),"Non Urgent")</f>
        <v>Non Urgent</v>
      </c>
    </row>
    <row r="789">
      <c r="A789" s="4">
        <f>IFERROR(__xludf.DUMMYFUNCTION("""COMPUTED_VALUE"""),46195.66214417824)</f>
        <v>46195.66214</v>
      </c>
      <c r="B789" s="3" t="str">
        <f>IFERROR(__xludf.DUMMYFUNCTION("""COMPUTED_VALUE"""),"ANOBR0065")</f>
        <v>ANOBR0065</v>
      </c>
      <c r="C789" s="3" t="str">
        <f>IFERROR(__xludf.DUMMYFUNCTION("""COMPUTED_VALUE"""),"EJO")</f>
        <v>EJO</v>
      </c>
      <c r="D789" s="3" t="str">
        <f>IFERROR(__xludf.DUMMYFUNCTION("""COMPUTED_VALUE"""),"-")</f>
        <v>-</v>
      </c>
      <c r="E789" s="3" t="str">
        <f>IFERROR(__xludf.DUMMYFUNCTION("""COMPUTED_VALUE"""),"pipa FW LT 2")</f>
        <v>pipa FW LT 2</v>
      </c>
      <c r="F789" s="3" t="str">
        <f>IFERROR(__xludf.DUMMYFUNCTION("""COMPUTED_VALUE"""),"Elbow SS 304 2 1/2"" ")</f>
        <v>Elbow SS 304 2 1/2" </v>
      </c>
      <c r="G789" s="3" t="str">
        <f>IFERROR(__xludf.DUMMYFUNCTION("""COMPUTED_VALUE"""),"Elbow SS 304 2 1/2"" ")</f>
        <v>Elbow SS 304 2 1/2" </v>
      </c>
      <c r="H789" s="3" t="str">
        <f>IFERROR(__xludf.DUMMYFUNCTION("""COMPUTED_VALUE"""),"-")</f>
        <v>-</v>
      </c>
      <c r="I789" s="3">
        <f>IFERROR(__xludf.DUMMYFUNCTION("""COMPUTED_VALUE"""),8.0)</f>
        <v>8</v>
      </c>
      <c r="J789" s="3" t="str">
        <f>IFERROR(__xludf.DUMMYFUNCTION("""COMPUTED_VALUE"""),"pcs")</f>
        <v>pcs</v>
      </c>
      <c r="K789" s="3" t="str">
        <f>IFERROR(__xludf.DUMMYFUNCTION("""COMPUTED_VALUE"""),"-")</f>
        <v>-</v>
      </c>
      <c r="L789" s="3" t="str">
        <f>IFERROR(__xludf.DUMMYFUNCTION("""COMPUTED_VALUE"""),"kebutuhan penggantian pipa FW lt 2")</f>
        <v>kebutuhan penggantian pipa FW lt 2</v>
      </c>
      <c r="M789" s="3" t="str">
        <f>IFERROR(__xludf.DUMMYFUNCTION("""COMPUTED_VALUE"""),"Approve")</f>
        <v>Approve</v>
      </c>
      <c r="N789" s="3" t="str">
        <f>IFERROR(__xludf.DUMMYFUNCTION("""COMPUTED_VALUE"""),"Normal")</f>
        <v>Normal</v>
      </c>
      <c r="O789" s="3" t="str">
        <f>IFERROR(__xludf.DUMMYFUNCTION("""COMPUTED_VALUE"""),"Non Urgent")</f>
        <v>Non Urgent</v>
      </c>
    </row>
    <row r="790">
      <c r="A790" s="4">
        <f>IFERROR(__xludf.DUMMYFUNCTION("""COMPUTED_VALUE"""),46195.66214417824)</f>
        <v>46195.66214</v>
      </c>
      <c r="B790" s="3" t="str">
        <f>IFERROR(__xludf.DUMMYFUNCTION("""COMPUTED_VALUE"""),"ANOBR0066")</f>
        <v>ANOBR0066</v>
      </c>
      <c r="C790" s="3" t="str">
        <f>IFERROR(__xludf.DUMMYFUNCTION("""COMPUTED_VALUE"""),"EJO")</f>
        <v>EJO</v>
      </c>
      <c r="D790" s="3" t="str">
        <f>IFERROR(__xludf.DUMMYFUNCTION("""COMPUTED_VALUE"""),"-")</f>
        <v>-</v>
      </c>
      <c r="E790" s="3" t="str">
        <f>IFERROR(__xludf.DUMMYFUNCTION("""COMPUTED_VALUE"""),"pipa FW LT 2")</f>
        <v>pipa FW LT 2</v>
      </c>
      <c r="F790" s="3" t="str">
        <f>IFERROR(__xludf.DUMMYFUNCTION("""COMPUTED_VALUE"""),"pipa 1 inch ")</f>
        <v>pipa 1 inch </v>
      </c>
      <c r="G790" s="3" t="str">
        <f>IFERROR(__xludf.DUMMYFUNCTION("""COMPUTED_VALUE"""),"pipa ss 304 1 inch schedule 10")</f>
        <v>pipa ss 304 1 inch schedule 10</v>
      </c>
      <c r="H790" s="3" t="str">
        <f>IFERROR(__xludf.DUMMYFUNCTION("""COMPUTED_VALUE"""),"-")</f>
        <v>-</v>
      </c>
      <c r="I790" s="3">
        <f>IFERROR(__xludf.DUMMYFUNCTION("""COMPUTED_VALUE"""),3.0)</f>
        <v>3</v>
      </c>
      <c r="J790" s="3" t="str">
        <f>IFERROR(__xludf.DUMMYFUNCTION("""COMPUTED_VALUE"""),"batang")</f>
        <v>batang</v>
      </c>
      <c r="K790" s="3" t="str">
        <f>IFERROR(__xludf.DUMMYFUNCTION("""COMPUTED_VALUE"""),"--")</f>
        <v>--</v>
      </c>
      <c r="L790" s="3" t="str">
        <f>IFERROR(__xludf.DUMMYFUNCTION("""COMPUTED_VALUE"""),"kebutuhan penggantian pipa FW lt 2")</f>
        <v>kebutuhan penggantian pipa FW lt 2</v>
      </c>
      <c r="M790" s="3" t="str">
        <f>IFERROR(__xludf.DUMMYFUNCTION("""COMPUTED_VALUE"""),"Approve")</f>
        <v>Approve</v>
      </c>
      <c r="N790" s="3" t="str">
        <f>IFERROR(__xludf.DUMMYFUNCTION("""COMPUTED_VALUE"""),"Normal")</f>
        <v>Normal</v>
      </c>
      <c r="O790" s="3" t="str">
        <f>IFERROR(__xludf.DUMMYFUNCTION("""COMPUTED_VALUE"""),"Non Urgent")</f>
        <v>Non Urgent</v>
      </c>
    </row>
    <row r="791">
      <c r="A791" s="4">
        <f>IFERROR(__xludf.DUMMYFUNCTION("""COMPUTED_VALUE"""),46195.66214417824)</f>
        <v>46195.66214</v>
      </c>
      <c r="B791" s="3" t="str">
        <f>IFERROR(__xludf.DUMMYFUNCTION("""COMPUTED_VALUE"""),"ANOBR0067")</f>
        <v>ANOBR0067</v>
      </c>
      <c r="C791" s="3" t="str">
        <f>IFERROR(__xludf.DUMMYFUNCTION("""COMPUTED_VALUE"""),"EJO")</f>
        <v>EJO</v>
      </c>
      <c r="D791" s="3" t="str">
        <f>IFERROR(__xludf.DUMMYFUNCTION("""COMPUTED_VALUE"""),"-")</f>
        <v>-</v>
      </c>
      <c r="E791" s="3" t="str">
        <f>IFERROR(__xludf.DUMMYFUNCTION("""COMPUTED_VALUE"""),"pipa FW LT 2")</f>
        <v>pipa FW LT 2</v>
      </c>
      <c r="F791" s="3" t="str">
        <f>IFERROR(__xludf.DUMMYFUNCTION("""COMPUTED_VALUE"""),"elbow 1 inch ")</f>
        <v>elbow 1 inch </v>
      </c>
      <c r="G791" s="3" t="str">
        <f>IFERROR(__xludf.DUMMYFUNCTION("""COMPUTED_VALUE"""),"elbow ss 304 1 inch")</f>
        <v>elbow ss 304 1 inch</v>
      </c>
      <c r="H791" s="3" t="str">
        <f>IFERROR(__xludf.DUMMYFUNCTION("""COMPUTED_VALUE"""),"-")</f>
        <v>-</v>
      </c>
      <c r="I791" s="3">
        <f>IFERROR(__xludf.DUMMYFUNCTION("""COMPUTED_VALUE"""),2.0)</f>
        <v>2</v>
      </c>
      <c r="J791" s="3" t="str">
        <f>IFERROR(__xludf.DUMMYFUNCTION("""COMPUTED_VALUE"""),"pcs")</f>
        <v>pcs</v>
      </c>
      <c r="K791" s="3" t="str">
        <f>IFERROR(__xludf.DUMMYFUNCTION("""COMPUTED_VALUE"""),"-")</f>
        <v>-</v>
      </c>
      <c r="L791" s="3" t="str">
        <f>IFERROR(__xludf.DUMMYFUNCTION("""COMPUTED_VALUE"""),"kebutuhan penggantian pipa FW lt 2")</f>
        <v>kebutuhan penggantian pipa FW lt 2</v>
      </c>
      <c r="M791" s="3" t="str">
        <f>IFERROR(__xludf.DUMMYFUNCTION("""COMPUTED_VALUE"""),"Approve")</f>
        <v>Approve</v>
      </c>
      <c r="N791" s="3" t="str">
        <f>IFERROR(__xludf.DUMMYFUNCTION("""COMPUTED_VALUE"""),"Normal")</f>
        <v>Normal</v>
      </c>
      <c r="O791" s="3" t="str">
        <f>IFERROR(__xludf.DUMMYFUNCTION("""COMPUTED_VALUE"""),"Non Urgent")</f>
        <v>Non Urgent</v>
      </c>
    </row>
    <row r="792">
      <c r="A792" s="4">
        <f>IFERROR(__xludf.DUMMYFUNCTION("""COMPUTED_VALUE"""),46195.66214417824)</f>
        <v>46195.66214</v>
      </c>
      <c r="B792" s="3" t="str">
        <f>IFERROR(__xludf.DUMMYFUNCTION("""COMPUTED_VALUE"""),"ANOBR0068")</f>
        <v>ANOBR0068</v>
      </c>
      <c r="C792" s="3" t="str">
        <f>IFERROR(__xludf.DUMMYFUNCTION("""COMPUTED_VALUE"""),"EJO")</f>
        <v>EJO</v>
      </c>
      <c r="D792" s="3" t="str">
        <f>IFERROR(__xludf.DUMMYFUNCTION("""COMPUTED_VALUE"""),"-")</f>
        <v>-</v>
      </c>
      <c r="E792" s="3" t="str">
        <f>IFERROR(__xludf.DUMMYFUNCTION("""COMPUTED_VALUE"""),"pipa FW LT 2")</f>
        <v>pipa FW LT 2</v>
      </c>
      <c r="F792" s="3" t="str">
        <f>IFERROR(__xludf.DUMMYFUNCTION("""COMPUTED_VALUE"""),"manual valve 1 inch ")</f>
        <v>manual valve 1 inch </v>
      </c>
      <c r="G792" s="3" t="str">
        <f>IFERROR(__xludf.DUMMYFUNCTION("""COMPUTED_VALUE"""),"manual valve ss 304 1 inch")</f>
        <v>manual valve ss 304 1 inch</v>
      </c>
      <c r="H792" s="3" t="str">
        <f>IFERROR(__xludf.DUMMYFUNCTION("""COMPUTED_VALUE"""),"-")</f>
        <v>-</v>
      </c>
      <c r="I792" s="3">
        <f>IFERROR(__xludf.DUMMYFUNCTION("""COMPUTED_VALUE"""),2.0)</f>
        <v>2</v>
      </c>
      <c r="J792" s="3" t="str">
        <f>IFERROR(__xludf.DUMMYFUNCTION("""COMPUTED_VALUE"""),"pcs")</f>
        <v>pcs</v>
      </c>
      <c r="K792" s="3" t="str">
        <f>IFERROR(__xludf.DUMMYFUNCTION("""COMPUTED_VALUE"""),"-")</f>
        <v>-</v>
      </c>
      <c r="L792" s="3" t="str">
        <f>IFERROR(__xludf.DUMMYFUNCTION("""COMPUTED_VALUE"""),"kebutuhan penggantian pipa FW lt 2")</f>
        <v>kebutuhan penggantian pipa FW lt 2</v>
      </c>
      <c r="M792" s="3" t="str">
        <f>IFERROR(__xludf.DUMMYFUNCTION("""COMPUTED_VALUE"""),"Approve")</f>
        <v>Approve</v>
      </c>
      <c r="N792" s="3" t="str">
        <f>IFERROR(__xludf.DUMMYFUNCTION("""COMPUTED_VALUE"""),"Normal")</f>
        <v>Normal</v>
      </c>
      <c r="O792" s="3" t="str">
        <f>IFERROR(__xludf.DUMMYFUNCTION("""COMPUTED_VALUE"""),"Non Urgent")</f>
        <v>Non Urgent</v>
      </c>
    </row>
    <row r="793">
      <c r="A793" s="4">
        <f>IFERROR(__xludf.DUMMYFUNCTION("""COMPUTED_VALUE"""),46195.66214417824)</f>
        <v>46195.66214</v>
      </c>
      <c r="B793" s="3" t="str">
        <f>IFERROR(__xludf.DUMMYFUNCTION("""COMPUTED_VALUE"""),"ANOBR0069")</f>
        <v>ANOBR0069</v>
      </c>
      <c r="C793" s="3" t="str">
        <f>IFERROR(__xludf.DUMMYFUNCTION("""COMPUTED_VALUE"""),"EJO")</f>
        <v>EJO</v>
      </c>
      <c r="D793" s="3" t="str">
        <f>IFERROR(__xludf.DUMMYFUNCTION("""COMPUTED_VALUE"""),"-")</f>
        <v>-</v>
      </c>
      <c r="E793" s="3" t="str">
        <f>IFERROR(__xludf.DUMMYFUNCTION("""COMPUTED_VALUE"""),"pipa FW LT 2")</f>
        <v>pipa FW LT 2</v>
      </c>
      <c r="F793" s="3" t="str">
        <f>IFERROR(__xludf.DUMMYFUNCTION("""COMPUTED_VALUE"""),"kawat las argon 2 mm")</f>
        <v>kawat las argon 2 mm</v>
      </c>
      <c r="G793" s="3" t="str">
        <f>IFERROR(__xludf.DUMMYFUNCTION("""COMPUTED_VALUE"""),"kawat las argon size 2 mm.")</f>
        <v>kawat las argon size 2 mm.</v>
      </c>
      <c r="H793" s="3" t="str">
        <f>IFERROR(__xludf.DUMMYFUNCTION("""COMPUTED_VALUE"""),"-")</f>
        <v>-</v>
      </c>
      <c r="I793" s="3">
        <f>IFERROR(__xludf.DUMMYFUNCTION("""COMPUTED_VALUE"""),2.0)</f>
        <v>2</v>
      </c>
      <c r="J793" s="3" t="str">
        <f>IFERROR(__xludf.DUMMYFUNCTION("""COMPUTED_VALUE"""),"box")</f>
        <v>box</v>
      </c>
      <c r="K793" s="3" t="str">
        <f>IFERROR(__xludf.DUMMYFUNCTION("""COMPUTED_VALUE"""),"-")</f>
        <v>-</v>
      </c>
      <c r="L793" s="3" t="str">
        <f>IFERROR(__xludf.DUMMYFUNCTION("""COMPUTED_VALUE"""),"kebutuhan penggantian pipa FW lt 2")</f>
        <v>kebutuhan penggantian pipa FW lt 2</v>
      </c>
      <c r="M793" s="3" t="str">
        <f>IFERROR(__xludf.DUMMYFUNCTION("""COMPUTED_VALUE"""),"Approve")</f>
        <v>Approve</v>
      </c>
      <c r="N793" s="3" t="str">
        <f>IFERROR(__xludf.DUMMYFUNCTION("""COMPUTED_VALUE"""),"Normal")</f>
        <v>Normal</v>
      </c>
      <c r="O793" s="3" t="str">
        <f>IFERROR(__xludf.DUMMYFUNCTION("""COMPUTED_VALUE"""),"Non Urgent")</f>
        <v>Non Urgent</v>
      </c>
    </row>
    <row r="794">
      <c r="A794" s="4">
        <f>IFERROR(__xludf.DUMMYFUNCTION("""COMPUTED_VALUE"""),46195.66214417824)</f>
        <v>46195.66214</v>
      </c>
      <c r="B794" s="3" t="str">
        <f>IFERROR(__xludf.DUMMYFUNCTION("""COMPUTED_VALUE"""),"ANOBR0070")</f>
        <v>ANOBR0070</v>
      </c>
      <c r="C794" s="3" t="str">
        <f>IFERROR(__xludf.DUMMYFUNCTION("""COMPUTED_VALUE"""),"EJO")</f>
        <v>EJO</v>
      </c>
      <c r="D794" s="3" t="str">
        <f>IFERROR(__xludf.DUMMYFUNCTION("""COMPUTED_VALUE"""),"-")</f>
        <v>-</v>
      </c>
      <c r="E794" s="3" t="str">
        <f>IFERROR(__xludf.DUMMYFUNCTION("""COMPUTED_VALUE"""),"pipa FW LT 2")</f>
        <v>pipa FW LT 2</v>
      </c>
      <c r="F794" s="3" t="str">
        <f>IFERROR(__xludf.DUMMYFUNCTION("""COMPUTED_VALUE"""),"kawat las argon 1.8 mm")</f>
        <v>kawat las argon 1.8 mm</v>
      </c>
      <c r="G794" s="3" t="str">
        <f>IFERROR(__xludf.DUMMYFUNCTION("""COMPUTED_VALUE"""),"kawat las argon 1.8 mm")</f>
        <v>kawat las argon 1.8 mm</v>
      </c>
      <c r="H794" s="3" t="str">
        <f>IFERROR(__xludf.DUMMYFUNCTION("""COMPUTED_VALUE"""),"-")</f>
        <v>-</v>
      </c>
      <c r="I794" s="3">
        <f>IFERROR(__xludf.DUMMYFUNCTION("""COMPUTED_VALUE"""),2.0)</f>
        <v>2</v>
      </c>
      <c r="J794" s="3" t="str">
        <f>IFERROR(__xludf.DUMMYFUNCTION("""COMPUTED_VALUE"""),"box")</f>
        <v>box</v>
      </c>
      <c r="K794" s="3" t="str">
        <f>IFERROR(__xludf.DUMMYFUNCTION("""COMPUTED_VALUE"""),"-")</f>
        <v>-</v>
      </c>
      <c r="L794" s="3" t="str">
        <f>IFERROR(__xludf.DUMMYFUNCTION("""COMPUTED_VALUE"""),"kebutuhan penggantian pipa FW lt 2")</f>
        <v>kebutuhan penggantian pipa FW lt 2</v>
      </c>
      <c r="M794" s="3" t="str">
        <f>IFERROR(__xludf.DUMMYFUNCTION("""COMPUTED_VALUE"""),"Approve")</f>
        <v>Approve</v>
      </c>
      <c r="N794" s="3" t="str">
        <f>IFERROR(__xludf.DUMMYFUNCTION("""COMPUTED_VALUE"""),"Normal")</f>
        <v>Normal</v>
      </c>
      <c r="O794" s="3" t="str">
        <f>IFERROR(__xludf.DUMMYFUNCTION("""COMPUTED_VALUE"""),"Non Urgent")</f>
        <v>Non Urgent</v>
      </c>
    </row>
    <row r="795">
      <c r="A795" s="4">
        <f>IFERROR(__xludf.DUMMYFUNCTION("""COMPUTED_VALUE"""),46195.66828746528)</f>
        <v>46195.66829</v>
      </c>
      <c r="B795" s="3" t="str">
        <f>IFERROR(__xludf.DUMMYFUNCTION("""COMPUTED_VALUE"""),"ANOBR0071")</f>
        <v>ANOBR0071</v>
      </c>
      <c r="C795" s="3" t="str">
        <f>IFERROR(__xludf.DUMMYFUNCTION("""COMPUTED_VALUE"""),"EJO")</f>
        <v>EJO</v>
      </c>
      <c r="D795" s="3" t="str">
        <f>IFERROR(__xludf.DUMMYFUNCTION("""COMPUTED_VALUE"""),"-")</f>
        <v>-</v>
      </c>
      <c r="E795" s="3" t="str">
        <f>IFERROR(__xludf.DUMMYFUNCTION("""COMPUTED_VALUE"""),"pipa FW LT 2")</f>
        <v>pipa FW LT 2</v>
      </c>
      <c r="F795" s="3" t="str">
        <f>IFERROR(__xludf.DUMMYFUNCTION("""COMPUTED_VALUE"""),"Tee 2 1/2"" To 1 inch")</f>
        <v>Tee 2 1/2" To 1 inch</v>
      </c>
      <c r="G795" s="3" t="str">
        <f>IFERROR(__xludf.DUMMYFUNCTION("""COMPUTED_VALUE"""),"Tee 2 1/2"" To 1 inch")</f>
        <v>Tee 2 1/2" To 1 inch</v>
      </c>
      <c r="H795" s="3" t="str">
        <f>IFERROR(__xludf.DUMMYFUNCTION("""COMPUTED_VALUE"""),"-")</f>
        <v>-</v>
      </c>
      <c r="I795" s="3">
        <f>IFERROR(__xludf.DUMMYFUNCTION("""COMPUTED_VALUE"""),2.0)</f>
        <v>2</v>
      </c>
      <c r="J795" s="3" t="str">
        <f>IFERROR(__xludf.DUMMYFUNCTION("""COMPUTED_VALUE"""),"pcs")</f>
        <v>pcs</v>
      </c>
      <c r="K795" s="3" t="str">
        <f>IFERROR(__xludf.DUMMYFUNCTION("""COMPUTED_VALUE"""),"-")</f>
        <v>-</v>
      </c>
      <c r="L795" s="3" t="str">
        <f>IFERROR(__xludf.DUMMYFUNCTION("""COMPUTED_VALUE"""),"kebutuhan penggantian pipa FW lt 2")</f>
        <v>kebutuhan penggantian pipa FW lt 2</v>
      </c>
      <c r="M795" s="3" t="str">
        <f>IFERROR(__xludf.DUMMYFUNCTION("""COMPUTED_VALUE"""),"Approve")</f>
        <v>Approve</v>
      </c>
      <c r="N795" s="3" t="str">
        <f>IFERROR(__xludf.DUMMYFUNCTION("""COMPUTED_VALUE"""),"Normal")</f>
        <v>Normal</v>
      </c>
      <c r="O795" s="3" t="str">
        <f>IFERROR(__xludf.DUMMYFUNCTION("""COMPUTED_VALUE"""),"Non Urgent")</f>
        <v>Non Urgent</v>
      </c>
    </row>
    <row r="796">
      <c r="A796" s="4">
        <f>IFERROR(__xludf.DUMMYFUNCTION("""COMPUTED_VALUE"""),46195.668796481485)</f>
        <v>46195.6688</v>
      </c>
      <c r="B796" s="3" t="str">
        <f>IFERROR(__xludf.DUMMYFUNCTION("""COMPUTED_VALUE"""),"ANOBR0072")</f>
        <v>ANOBR0072</v>
      </c>
      <c r="C796" s="3" t="str">
        <f>IFERROR(__xludf.DUMMYFUNCTION("""COMPUTED_VALUE"""),"EJO")</f>
        <v>EJO</v>
      </c>
      <c r="D796" s="3" t="str">
        <f>IFERROR(__xludf.DUMMYFUNCTION("""COMPUTED_VALUE"""),"-")</f>
        <v>-</v>
      </c>
      <c r="E796" s="3" t="str">
        <f>IFERROR(__xludf.DUMMYFUNCTION("""COMPUTED_VALUE"""),"pipa FW LT 2")</f>
        <v>pipa FW LT 2</v>
      </c>
      <c r="F796" s="3" t="str">
        <f>IFERROR(__xludf.DUMMYFUNCTION("""COMPUTED_VALUE"""),"gasket rubber tebal 3 mm ")</f>
        <v>gasket rubber tebal 3 mm </v>
      </c>
      <c r="G796" s="3" t="str">
        <f>IFERROR(__xludf.DUMMYFUNCTION("""COMPUTED_VALUE"""),"gasket rubber tebal 3 mm ")</f>
        <v>gasket rubber tebal 3 mm </v>
      </c>
      <c r="H796" s="3" t="str">
        <f>IFERROR(__xludf.DUMMYFUNCTION("""COMPUTED_VALUE"""),"-")</f>
        <v>-</v>
      </c>
      <c r="I796" s="3">
        <f>IFERROR(__xludf.DUMMYFUNCTION("""COMPUTED_VALUE"""),1.0)</f>
        <v>1</v>
      </c>
      <c r="J796" s="3" t="str">
        <f>IFERROR(__xludf.DUMMYFUNCTION("""COMPUTED_VALUE"""),"lembar")</f>
        <v>lembar</v>
      </c>
      <c r="K796" s="3" t="str">
        <f>IFERROR(__xludf.DUMMYFUNCTION("""COMPUTED_VALUE"""),"-")</f>
        <v>-</v>
      </c>
      <c r="L796" s="3" t="str">
        <f>IFERROR(__xludf.DUMMYFUNCTION("""COMPUTED_VALUE"""),"kebutuhan penggantian pipa FW lt 2")</f>
        <v>kebutuhan penggantian pipa FW lt 2</v>
      </c>
      <c r="M796" s="3" t="str">
        <f>IFERROR(__xludf.DUMMYFUNCTION("""COMPUTED_VALUE"""),"Approve")</f>
        <v>Approve</v>
      </c>
      <c r="N796" s="3" t="str">
        <f>IFERROR(__xludf.DUMMYFUNCTION("""COMPUTED_VALUE"""),"Normal")</f>
        <v>Normal</v>
      </c>
      <c r="O796" s="3" t="str">
        <f>IFERROR(__xludf.DUMMYFUNCTION("""COMPUTED_VALUE"""),"Non Urgent")</f>
        <v>Non Urgent</v>
      </c>
    </row>
    <row r="797">
      <c r="A797" s="4">
        <f>IFERROR(__xludf.DUMMYFUNCTION("""COMPUTED_VALUE"""),46195.69084635417)</f>
        <v>46195.69085</v>
      </c>
      <c r="B797" s="3" t="str">
        <f>IFERROR(__xludf.DUMMYFUNCTION("""COMPUTED_VALUE"""),"ANOBR0073")</f>
        <v>ANOBR0073</v>
      </c>
      <c r="C797" s="3" t="str">
        <f>IFERROR(__xludf.DUMMYFUNCTION("""COMPUTED_VALUE"""),"EJO")</f>
        <v>EJO</v>
      </c>
      <c r="D797" s="3" t="str">
        <f>IFERROR(__xludf.DUMMYFUNCTION("""COMPUTED_VALUE"""),"-")</f>
        <v>-</v>
      </c>
      <c r="E797" s="3" t="str">
        <f>IFERROR(__xludf.DUMMYFUNCTION("""COMPUTED_VALUE"""),"pipa FW LT 2")</f>
        <v>pipa FW LT 2</v>
      </c>
      <c r="F797" s="3" t="str">
        <f>IFERROR(__xludf.DUMMYFUNCTION("""COMPUTED_VALUE"""),"watermur ss 304 1 inch ")</f>
        <v>watermur ss 304 1 inch </v>
      </c>
      <c r="G797" s="3" t="str">
        <f>IFERROR(__xludf.DUMMYFUNCTION("""COMPUTED_VALUE"""),"watermur ss 304 1 inch ")</f>
        <v>watermur ss 304 1 inch </v>
      </c>
      <c r="H797" s="3" t="str">
        <f>IFERROR(__xludf.DUMMYFUNCTION("""COMPUTED_VALUE"""),"-")</f>
        <v>-</v>
      </c>
      <c r="I797" s="3">
        <f>IFERROR(__xludf.DUMMYFUNCTION("""COMPUTED_VALUE"""),4.0)</f>
        <v>4</v>
      </c>
      <c r="J797" s="3" t="str">
        <f>IFERROR(__xludf.DUMMYFUNCTION("""COMPUTED_VALUE"""),"pcs")</f>
        <v>pcs</v>
      </c>
      <c r="K797" s="3" t="str">
        <f>IFERROR(__xludf.DUMMYFUNCTION("""COMPUTED_VALUE"""),"-")</f>
        <v>-</v>
      </c>
      <c r="L797" s="3" t="str">
        <f>IFERROR(__xludf.DUMMYFUNCTION("""COMPUTED_VALUE"""),"kebutuhan penggantian pipa FW lt 2")</f>
        <v>kebutuhan penggantian pipa FW lt 2</v>
      </c>
      <c r="M797" s="3" t="str">
        <f>IFERROR(__xludf.DUMMYFUNCTION("""COMPUTED_VALUE"""),"Approve")</f>
        <v>Approve</v>
      </c>
      <c r="N797" s="3" t="str">
        <f>IFERROR(__xludf.DUMMYFUNCTION("""COMPUTED_VALUE"""),"Normal")</f>
        <v>Normal</v>
      </c>
      <c r="O797" s="3" t="str">
        <f>IFERROR(__xludf.DUMMYFUNCTION("""COMPUTED_VALUE"""),"Non Urgent")</f>
        <v>Non Urgent</v>
      </c>
    </row>
    <row r="798">
      <c r="A798" s="4">
        <f>IFERROR(__xludf.DUMMYFUNCTION("""COMPUTED_VALUE"""),46195.69084635417)</f>
        <v>46195.69085</v>
      </c>
      <c r="B798" s="3" t="str">
        <f>IFERROR(__xludf.DUMMYFUNCTION("""COMPUTED_VALUE"""),"ANOBR0074")</f>
        <v>ANOBR0074</v>
      </c>
      <c r="C798" s="3" t="str">
        <f>IFERROR(__xludf.DUMMYFUNCTION("""COMPUTED_VALUE"""),"EJO")</f>
        <v>EJO</v>
      </c>
      <c r="D798" s="3" t="str">
        <f>IFERROR(__xludf.DUMMYFUNCTION("""COMPUTED_VALUE"""),"-")</f>
        <v>-</v>
      </c>
      <c r="E798" s="3" t="str">
        <f>IFERROR(__xludf.DUMMYFUNCTION("""COMPUTED_VALUE"""),"pipa FW LT 2")</f>
        <v>pipa FW LT 2</v>
      </c>
      <c r="F798" s="3" t="str">
        <f>IFERROR(__xludf.DUMMYFUNCTION("""COMPUTED_VALUE"""),"shock drat luar 1 inch ")</f>
        <v>shock drat luar 1 inch </v>
      </c>
      <c r="G798" s="3" t="str">
        <f>IFERROR(__xludf.DUMMYFUNCTION("""COMPUTED_VALUE"""),"shock drat luar 1 inch ")</f>
        <v>shock drat luar 1 inch </v>
      </c>
      <c r="H798" s="3" t="str">
        <f>IFERROR(__xludf.DUMMYFUNCTION("""COMPUTED_VALUE"""),"-")</f>
        <v>-</v>
      </c>
      <c r="I798" s="3">
        <f>IFERROR(__xludf.DUMMYFUNCTION("""COMPUTED_VALUE"""),4.0)</f>
        <v>4</v>
      </c>
      <c r="J798" s="3" t="str">
        <f>IFERROR(__xludf.DUMMYFUNCTION("""COMPUTED_VALUE"""),"pcs")</f>
        <v>pcs</v>
      </c>
      <c r="K798" s="3" t="str">
        <f>IFERROR(__xludf.DUMMYFUNCTION("""COMPUTED_VALUE"""),"-")</f>
        <v>-</v>
      </c>
      <c r="L798" s="3" t="str">
        <f>IFERROR(__xludf.DUMMYFUNCTION("""COMPUTED_VALUE"""),"kebutuhan penggantian pipa FW lt 2")</f>
        <v>kebutuhan penggantian pipa FW lt 2</v>
      </c>
      <c r="M798" s="3" t="str">
        <f>IFERROR(__xludf.DUMMYFUNCTION("""COMPUTED_VALUE"""),"Approve")</f>
        <v>Approve</v>
      </c>
      <c r="N798" s="3" t="str">
        <f>IFERROR(__xludf.DUMMYFUNCTION("""COMPUTED_VALUE"""),"Normal")</f>
        <v>Normal</v>
      </c>
      <c r="O798" s="3" t="str">
        <f>IFERROR(__xludf.DUMMYFUNCTION("""COMPUTED_VALUE"""),"Non Urgent")</f>
        <v>Non Urgent</v>
      </c>
    </row>
    <row r="799">
      <c r="A799" s="4">
        <f>IFERROR(__xludf.DUMMYFUNCTION("""COMPUTED_VALUE"""),46195.69084635417)</f>
        <v>46195.69085</v>
      </c>
      <c r="B799" s="3" t="str">
        <f>IFERROR(__xludf.DUMMYFUNCTION("""COMPUTED_VALUE"""),"ANOBR0075")</f>
        <v>ANOBR0075</v>
      </c>
      <c r="C799" s="3" t="str">
        <f>IFERROR(__xludf.DUMMYFUNCTION("""COMPUTED_VALUE"""),"EJO")</f>
        <v>EJO</v>
      </c>
      <c r="D799" s="3" t="str">
        <f>IFERROR(__xludf.DUMMYFUNCTION("""COMPUTED_VALUE"""),"-")</f>
        <v>-</v>
      </c>
      <c r="E799" s="3" t="str">
        <f>IFERROR(__xludf.DUMMYFUNCTION("""COMPUTED_VALUE"""),"pipa FW LT 2")</f>
        <v>pipa FW LT 2</v>
      </c>
      <c r="F799" s="3" t="str">
        <f>IFERROR(__xludf.DUMMYFUNCTION("""COMPUTED_VALUE"""),"shock drat luar ss 304 1 inch ")</f>
        <v>shock drat luar ss 304 1 inch </v>
      </c>
      <c r="G799" s="3" t="str">
        <f>IFERROR(__xludf.DUMMYFUNCTION("""COMPUTED_VALUE"""),"shock drat luar ss 304 1 inch ")</f>
        <v>shock drat luar ss 304 1 inch </v>
      </c>
      <c r="H799" s="3" t="str">
        <f>IFERROR(__xludf.DUMMYFUNCTION("""COMPUTED_VALUE"""),"-")</f>
        <v>-</v>
      </c>
      <c r="I799" s="3">
        <f>IFERROR(__xludf.DUMMYFUNCTION("""COMPUTED_VALUE"""),4.0)</f>
        <v>4</v>
      </c>
      <c r="J799" s="3" t="str">
        <f>IFERROR(__xludf.DUMMYFUNCTION("""COMPUTED_VALUE"""),"pcs")</f>
        <v>pcs</v>
      </c>
      <c r="K799" s="3" t="str">
        <f>IFERROR(__xludf.DUMMYFUNCTION("""COMPUTED_VALUE"""),"-")</f>
        <v>-</v>
      </c>
      <c r="L799" s="3" t="str">
        <f>IFERROR(__xludf.DUMMYFUNCTION("""COMPUTED_VALUE"""),"kebutuhan penggantian pipa FW lt 2")</f>
        <v>kebutuhan penggantian pipa FW lt 2</v>
      </c>
      <c r="M799" s="3" t="str">
        <f>IFERROR(__xludf.DUMMYFUNCTION("""COMPUTED_VALUE"""),"Approve")</f>
        <v>Approve</v>
      </c>
      <c r="N799" s="3" t="str">
        <f>IFERROR(__xludf.DUMMYFUNCTION("""COMPUTED_VALUE"""),"Normal")</f>
        <v>Normal</v>
      </c>
      <c r="O799" s="3" t="str">
        <f>IFERROR(__xludf.DUMMYFUNCTION("""COMPUTED_VALUE"""),"Non Urgent")</f>
        <v>Non Urgent</v>
      </c>
    </row>
    <row r="800">
      <c r="A800" s="4">
        <f>IFERROR(__xludf.DUMMYFUNCTION("""COMPUTED_VALUE"""),46195.69084635417)</f>
        <v>46195.69085</v>
      </c>
      <c r="B800" s="3" t="str">
        <f>IFERROR(__xludf.DUMMYFUNCTION("""COMPUTED_VALUE"""),"ANOBR0076")</f>
        <v>ANOBR0076</v>
      </c>
      <c r="C800" s="3" t="str">
        <f>IFERROR(__xludf.DUMMYFUNCTION("""COMPUTED_VALUE"""),"EJO")</f>
        <v>EJO</v>
      </c>
      <c r="D800" s="3" t="str">
        <f>IFERROR(__xludf.DUMMYFUNCTION("""COMPUTED_VALUE"""),"-")</f>
        <v>-</v>
      </c>
      <c r="E800" s="3" t="str">
        <f>IFERROR(__xludf.DUMMYFUNCTION("""COMPUTED_VALUE"""),"pipa FW LT 2")</f>
        <v>pipa FW LT 2</v>
      </c>
      <c r="F800" s="3" t="str">
        <f>IFERROR(__xludf.DUMMYFUNCTION("""COMPUTED_VALUE"""),"double nepple ss 304 1 inch ")</f>
        <v>double nepple ss 304 1 inch </v>
      </c>
      <c r="G800" s="3" t="str">
        <f>IFERROR(__xludf.DUMMYFUNCTION("""COMPUTED_VALUE"""),"double nepple ss 304 1 inch ")</f>
        <v>double nepple ss 304 1 inch </v>
      </c>
      <c r="H800" s="3" t="str">
        <f>IFERROR(__xludf.DUMMYFUNCTION("""COMPUTED_VALUE"""),"-")</f>
        <v>-</v>
      </c>
      <c r="I800" s="3">
        <f>IFERROR(__xludf.DUMMYFUNCTION("""COMPUTED_VALUE"""),4.0)</f>
        <v>4</v>
      </c>
      <c r="J800" s="3" t="str">
        <f>IFERROR(__xludf.DUMMYFUNCTION("""COMPUTED_VALUE"""),"pcs")</f>
        <v>pcs</v>
      </c>
      <c r="K800" s="3" t="str">
        <f>IFERROR(__xludf.DUMMYFUNCTION("""COMPUTED_VALUE"""),"-")</f>
        <v>-</v>
      </c>
      <c r="L800" s="3" t="str">
        <f>IFERROR(__xludf.DUMMYFUNCTION("""COMPUTED_VALUE"""),"kebutuhan penggantian pipa FW lt 2")</f>
        <v>kebutuhan penggantian pipa FW lt 2</v>
      </c>
      <c r="M800" s="3" t="str">
        <f>IFERROR(__xludf.DUMMYFUNCTION("""COMPUTED_VALUE"""),"Approve")</f>
        <v>Approve</v>
      </c>
      <c r="N800" s="3" t="str">
        <f>IFERROR(__xludf.DUMMYFUNCTION("""COMPUTED_VALUE"""),"Normal")</f>
        <v>Normal</v>
      </c>
      <c r="O800" s="3" t="str">
        <f>IFERROR(__xludf.DUMMYFUNCTION("""COMPUTED_VALUE"""),"Non Urgent")</f>
        <v>Non Urgent</v>
      </c>
    </row>
    <row r="801">
      <c r="A801" s="4">
        <f>IFERROR(__xludf.DUMMYFUNCTION("""COMPUTED_VALUE"""),46195.69084635417)</f>
        <v>46195.69085</v>
      </c>
      <c r="B801" s="3" t="str">
        <f>IFERROR(__xludf.DUMMYFUNCTION("""COMPUTED_VALUE"""),"ANOBR0077")</f>
        <v>ANOBR0077</v>
      </c>
      <c r="C801" s="3" t="str">
        <f>IFERROR(__xludf.DUMMYFUNCTION("""COMPUTED_VALUE"""),"EJO")</f>
        <v>EJO</v>
      </c>
      <c r="D801" s="3" t="str">
        <f>IFERROR(__xludf.DUMMYFUNCTION("""COMPUTED_VALUE"""),"-")</f>
        <v>-</v>
      </c>
      <c r="E801" s="3" t="str">
        <f>IFERROR(__xludf.DUMMYFUNCTION("""COMPUTED_VALUE"""),"pipa FW LT 2")</f>
        <v>pipa FW LT 2</v>
      </c>
      <c r="F801" s="3" t="str">
        <f>IFERROR(__xludf.DUMMYFUNCTION("""COMPUTED_VALUE"""),"shock drat dalem ss 304 1 inch ")</f>
        <v>shock drat dalem ss 304 1 inch </v>
      </c>
      <c r="G801" s="3" t="str">
        <f>IFERROR(__xludf.DUMMYFUNCTION("""COMPUTED_VALUE"""),"shock drat dalem ss 304 1 inch ")</f>
        <v>shock drat dalem ss 304 1 inch </v>
      </c>
      <c r="H801" s="3" t="str">
        <f>IFERROR(__xludf.DUMMYFUNCTION("""COMPUTED_VALUE"""),"-")</f>
        <v>-</v>
      </c>
      <c r="I801" s="3">
        <f>IFERROR(__xludf.DUMMYFUNCTION("""COMPUTED_VALUE"""),4.0)</f>
        <v>4</v>
      </c>
      <c r="J801" s="3" t="str">
        <f>IFERROR(__xludf.DUMMYFUNCTION("""COMPUTED_VALUE"""),"pcs")</f>
        <v>pcs</v>
      </c>
      <c r="K801" s="3" t="str">
        <f>IFERROR(__xludf.DUMMYFUNCTION("""COMPUTED_VALUE"""),"-")</f>
        <v>-</v>
      </c>
      <c r="L801" s="3" t="str">
        <f>IFERROR(__xludf.DUMMYFUNCTION("""COMPUTED_VALUE"""),"kebutuhan penggantian pipa FW lt 2")</f>
        <v>kebutuhan penggantian pipa FW lt 2</v>
      </c>
      <c r="M801" s="3" t="str">
        <f>IFERROR(__xludf.DUMMYFUNCTION("""COMPUTED_VALUE"""),"Approve")</f>
        <v>Approve</v>
      </c>
      <c r="N801" s="3" t="str">
        <f>IFERROR(__xludf.DUMMYFUNCTION("""COMPUTED_VALUE"""),"Normal")</f>
        <v>Normal</v>
      </c>
      <c r="O801" s="3" t="str">
        <f>IFERROR(__xludf.DUMMYFUNCTION("""COMPUTED_VALUE"""),"Non Urgent")</f>
        <v>Non Urgent</v>
      </c>
    </row>
    <row r="802">
      <c r="A802" s="4">
        <f>IFERROR(__xludf.DUMMYFUNCTION("""COMPUTED_VALUE"""),46195.70859394676)</f>
        <v>46195.70859</v>
      </c>
      <c r="B802" s="3" t="str">
        <f>IFERROR(__xludf.DUMMYFUNCTION("""COMPUTED_VALUE"""),"ANOBR0082")</f>
        <v>ANOBR0082</v>
      </c>
      <c r="C802" s="3" t="str">
        <f>IFERROR(__xludf.DUMMYFUNCTION("""COMPUTED_VALUE"""),"EJO")</f>
        <v>EJO</v>
      </c>
      <c r="D802" s="3" t="str">
        <f>IFERROR(__xludf.DUMMYFUNCTION("""COMPUTED_VALUE"""),"EJO/2026/06/045")</f>
        <v>EJO/2026/06/045</v>
      </c>
      <c r="E802" s="3" t="str">
        <f>IFERROR(__xludf.DUMMYFUNCTION("""COMPUTED_VALUE"""),"tabung N2 area luar")</f>
        <v>tabung N2 area luar</v>
      </c>
      <c r="F802" s="3" t="str">
        <f>IFERROR(__xludf.DUMMYFUNCTION("""COMPUTED_VALUE"""),"cat besi warna broken white")</f>
        <v>cat besi warna broken white</v>
      </c>
      <c r="G802" s="3" t="str">
        <f>IFERROR(__xludf.DUMMYFUNCTION("""COMPUTED_VALUE"""),"cat besi warna broken white ")</f>
        <v>cat besi warna broken white </v>
      </c>
      <c r="H802" s="3" t="str">
        <f>IFERROR(__xludf.DUMMYFUNCTION("""COMPUTED_VALUE"""),"-")</f>
        <v>-</v>
      </c>
      <c r="I802" s="3">
        <f>IFERROR(__xludf.DUMMYFUNCTION("""COMPUTED_VALUE"""),4.0)</f>
        <v>4</v>
      </c>
      <c r="J802" s="3" t="str">
        <f>IFERROR(__xludf.DUMMYFUNCTION("""COMPUTED_VALUE"""),"kaleng")</f>
        <v>kaleng</v>
      </c>
      <c r="K802" s="5" t="str">
        <f>IFERROR(__xludf.DUMMYFUNCTION("""COMPUTED_VALUE"""),"https://shopee.co.id/product/186890983/24319436830?gads_t_sig=gqRjZGVrxHCFomtpsTE0MjUxOnRzc19zZGtfa2V5omt20QABpGFsZ2_SAAAAZKNkZWvAomN0xEAAAAAMfaLqlfFS4JwQPCoOJZHE2YMfq1tWF61pnIIHqGuyOlpkjBotHu7Xpb0YRK1tULWVZdcpI_r9hw6jgE9CqmNpcGhlcnRleHTEcQAAAAywtGWZWQhq1"&amp;"wSpN8NvI6V5-IKOlJQTbvywX7M9zbtbmGbSXazj5s51Oq2OCVrPg3yTiyZekk8kT6owf1F6RCh4XlC65TuGSmE85lw94fw_DTqqGSD6aPYeJ5u2I5KZT6Ucv_tKVBi-AXhIbXRB&amp;gad_source=1&amp;gad_campaignid=23199775580&amp;gbraid=0AAAAADPpU81DeFPXrA4RrybjVGnG53k7m&amp;gclid=CjwKCAjwuuPRBhAnEiwA2Ji8enjJFhE"&amp;"O6vbh4dbhWLXVB3rZBrWZnzKCIXtVXuaQurNgV9mNYPWHrxoCWP8QAvD_BwE")</f>
        <v>https://shopee.co.id/product/186890983/24319436830?gads_t_sig=gqRjZGVrxHCFomtpsTE0MjUxOnRzc19zZGtfa2V5omt20QABpGFsZ2_SAAAAZKNkZWvAomN0xEAAAAAMfaLqlfFS4JwQPCoOJZHE2YMfq1tWF61pnIIHqGuyOlpkjBotHu7Xpb0YRK1tULWVZdcpI_r9hw6jgE9CqmNpcGhlcnRleHTEcQAAAAywtGWZWQhq1wSpN8NvI6V5-IKOlJQTbvywX7M9zbtbmGbSXazj5s51Oq2OCVrPg3yTiyZekk8kT6owf1F6RCh4XlC65TuGSmE85lw94fw_DTqqGSD6aPYeJ5u2I5KZT6Ucv_tKVBi-AXhIbXRB&amp;gad_source=1&amp;gad_campaignid=23199775580&amp;gbraid=0AAAAADPpU81DeFPXrA4RrybjVGnG53k7m&amp;gclid=CjwKCAjwuuPRBhAnEiwA2Ji8enjJFhEO6vbh4dbhWLXVB3rZBrWZnzKCIXtVXuaQurNgV9mNYPWHrxoCWP8QAvD_BwE</v>
      </c>
      <c r="L802" s="3" t="str">
        <f>IFERROR(__xludf.DUMMYFUNCTION("""COMPUTED_VALUE"""),"kebutuhan pengecatan tanki N2 ")</f>
        <v>kebutuhan pengecatan tanki N2 </v>
      </c>
      <c r="M802" s="3" t="str">
        <f>IFERROR(__xludf.DUMMYFUNCTION("""COMPUTED_VALUE"""),"Approve")</f>
        <v>Approve</v>
      </c>
      <c r="N802" s="3" t="str">
        <f>IFERROR(__xludf.DUMMYFUNCTION("""COMPUTED_VALUE"""),"Normal")</f>
        <v>Normal</v>
      </c>
      <c r="O802" s="3" t="str">
        <f>IFERROR(__xludf.DUMMYFUNCTION("""COMPUTED_VALUE"""),"Non Urgent")</f>
        <v>Non Urgent</v>
      </c>
    </row>
    <row r="803">
      <c r="A803" s="4">
        <f>IFERROR(__xludf.DUMMYFUNCTION("""COMPUTED_VALUE"""),46195.70929417824)</f>
        <v>46195.70929</v>
      </c>
      <c r="B803" s="3" t="str">
        <f>IFERROR(__xludf.DUMMYFUNCTION("""COMPUTED_VALUE"""),"ANOBR0083")</f>
        <v>ANOBR0083</v>
      </c>
      <c r="C803" s="3" t="str">
        <f>IFERROR(__xludf.DUMMYFUNCTION("""COMPUTED_VALUE"""),"EJO")</f>
        <v>EJO</v>
      </c>
      <c r="D803" s="3" t="str">
        <f>IFERROR(__xludf.DUMMYFUNCTION("""COMPUTED_VALUE"""),"EJO/2026/06/045")</f>
        <v>EJO/2026/06/045</v>
      </c>
      <c r="E803" s="3" t="str">
        <f>IFERROR(__xludf.DUMMYFUNCTION("""COMPUTED_VALUE"""),"tabung N2 area luar")</f>
        <v>tabung N2 area luar</v>
      </c>
      <c r="F803" s="3" t="str">
        <f>IFERROR(__xludf.DUMMYFUNCTION("""COMPUTED_VALUE"""),"tinner PU nippon")</f>
        <v>tinner PU nippon</v>
      </c>
      <c r="G803" s="3" t="str">
        <f>IFERROR(__xludf.DUMMYFUNCTION("""COMPUTED_VALUE"""),"tinner PU nippon")</f>
        <v>tinner PU nippon</v>
      </c>
      <c r="H803" s="3" t="str">
        <f>IFERROR(__xludf.DUMMYFUNCTION("""COMPUTED_VALUE"""),"-")</f>
        <v>-</v>
      </c>
      <c r="I803" s="3">
        <f>IFERROR(__xludf.DUMMYFUNCTION("""COMPUTED_VALUE"""),4.0)</f>
        <v>4</v>
      </c>
      <c r="J803" s="3" t="str">
        <f>IFERROR(__xludf.DUMMYFUNCTION("""COMPUTED_VALUE"""),"kaleng")</f>
        <v>kaleng</v>
      </c>
      <c r="K803" s="5" t="str">
        <f>IFERROR(__xludf.DUMMYFUNCTION("""COMPUTED_VALUE"""),"https://shopee.co.id/product/349565746/24002520360?gads_t_sig=gqRjZGVrxHCFomtpsTE0MjUxOnRzc19zZGtfa2V5omt20QABpGFsZ2_SAAAAZKNkZWvAomN0xEAAAAAMfaLqlfFS4JwQPCoOJZHE2YMfq1tWF61pnIIHqGuyOlpkjBotHu7Xpb0YRK1tULWVZdcpI_r9hw6jgE9CqmNpcGhlcnRleHTEcQAAAAzj5WhWlhcFB"&amp;"VhsEgP1EkGrNgcrWXxxd1wRS-MFQy9V82-gL_fhCX6D_2dIVPjuWPxO-uFsMWEqmsyh21Tu_u7CPaRpaJFXIanzMepAla9cl2SDcbyc6llMHdxEaNNxFmniImkmkw2N17RL39mc&amp;gad_source=1&amp;gad_campaignid=23631329745&amp;gbraid=0AAAAADPpU83TM1_6Pv4129Us1UY8CM7Mg&amp;gclid=CjwKCAjwuuPRBhAnEiwA2Ji8elrscF_"&amp;"gnzJ_0VIQwbDbQqe42rirw7HuYVWpO5h_eU8qqzntV817GBoClzgQAvD_BwE")</f>
        <v>https://shopee.co.id/product/349565746/24002520360?gads_t_sig=gqRjZGVrxHCFomtpsTE0MjUxOnRzc19zZGtfa2V5omt20QABpGFsZ2_SAAAAZKNkZWvAomN0xEAAAAAMfaLqlfFS4JwQPCoOJZHE2YMfq1tWF61pnIIHqGuyOlpkjBotHu7Xpb0YRK1tULWVZdcpI_r9hw6jgE9CqmNpcGhlcnRleHTEcQAAAAzj5WhWlhcFBVhsEgP1EkGrNgcrWXxxd1wRS-MFQy9V82-gL_fhCX6D_2dIVPjuWPxO-uFsMWEqmsyh21Tu_u7CPaRpaJFXIanzMepAla9cl2SDcbyc6llMHdxEaNNxFmniImkmkw2N17RL39mc&amp;gad_source=1&amp;gad_campaignid=23631329745&amp;gbraid=0AAAAADPpU83TM1_6Pv4129Us1UY8CM7Mg&amp;gclid=CjwKCAjwuuPRBhAnEiwA2Ji8elrscF_gnzJ_0VIQwbDbQqe42rirw7HuYVWpO5h_eU8qqzntV817GBoClzgQAvD_BwE</v>
      </c>
      <c r="L803" s="3" t="str">
        <f>IFERROR(__xludf.DUMMYFUNCTION("""COMPUTED_VALUE"""),"kebutuhan pengecatan tanki N2 ")</f>
        <v>kebutuhan pengecatan tanki N2 </v>
      </c>
      <c r="M803" s="3" t="str">
        <f>IFERROR(__xludf.DUMMYFUNCTION("""COMPUTED_VALUE"""),"Approve")</f>
        <v>Approve</v>
      </c>
      <c r="N803" s="3" t="str">
        <f>IFERROR(__xludf.DUMMYFUNCTION("""COMPUTED_VALUE"""),"Normal")</f>
        <v>Normal</v>
      </c>
      <c r="O803" s="3" t="str">
        <f>IFERROR(__xludf.DUMMYFUNCTION("""COMPUTED_VALUE"""),"Non Urgent")</f>
        <v>Non Urgent</v>
      </c>
    </row>
    <row r="804">
      <c r="A804" s="4">
        <f>IFERROR(__xludf.DUMMYFUNCTION("""COMPUTED_VALUE"""),46195.71158704861)</f>
        <v>46195.71159</v>
      </c>
      <c r="B804" s="3" t="str">
        <f>IFERROR(__xludf.DUMMYFUNCTION("""COMPUTED_VALUE"""),"ANOBR0078")</f>
        <v>ANOBR0078</v>
      </c>
      <c r="C804" s="3" t="str">
        <f>IFERROR(__xludf.DUMMYFUNCTION("""COMPUTED_VALUE"""),"Consumable")</f>
        <v>Consumable</v>
      </c>
      <c r="D804" s="3" t="str">
        <f>IFERROR(__xludf.DUMMYFUNCTION("""COMPUTED_VALUE"""),"-")</f>
        <v>-</v>
      </c>
      <c r="E804" s="3" t="str">
        <f>IFERROR(__xludf.DUMMYFUNCTION("""COMPUTED_VALUE"""),"mesin las")</f>
        <v>mesin las</v>
      </c>
      <c r="F804" s="3" t="str">
        <f>IFERROR(__xludf.DUMMYFUNCTION("""COMPUTED_VALUE"""),"tungsten 2 mm")</f>
        <v>tungsten 2 mm</v>
      </c>
      <c r="G804" s="3" t="str">
        <f>IFERROR(__xludf.DUMMYFUNCTION("""COMPUTED_VALUE"""),"tungsten 2 mm")</f>
        <v>tungsten 2 mm</v>
      </c>
      <c r="H804" s="3" t="str">
        <f>IFERROR(__xludf.DUMMYFUNCTION("""COMPUTED_VALUE"""),"-")</f>
        <v>-</v>
      </c>
      <c r="I804" s="3">
        <f>IFERROR(__xludf.DUMMYFUNCTION("""COMPUTED_VALUE"""),5.0)</f>
        <v>5</v>
      </c>
      <c r="J804" s="3" t="str">
        <f>IFERROR(__xludf.DUMMYFUNCTION("""COMPUTED_VALUE"""),"pcs")</f>
        <v>pcs</v>
      </c>
      <c r="K804" s="5" t="str">
        <f>IFERROR(__xludf.DUMMYFUNCTION("""COMPUTED_VALUE"""),"https://shopee.co.id/product/471479494/23169443681?gads_t_sig=gqRjZGVrxHCFomtpsTE0MjUxOnRzc19zZGtfa2V5omt20QABpGFsZ2_SAAAAZKNkZWvAomN0xEAAAAAMfaLqlfFS4JwQPCoOJZHE2YMfq1tWF61pnIIHqGuyOlpkjBotHu7Xpb0YRK1tULWVZdcpI_r9hw6jgE9CqmNpcGhlcnRleHTEcQAAAAy1GR2kNRudl"&amp;"wzbdb3C9oK5qeB8tYVTkirw4lR41CMyXDXlHCVAaR7mmLPoja9SnHUMJZ0PYbdZkBUIiM9LW5UzAgUDSOb2q9gIKffCdkuA2zswzaB35T8yANw3MPdlEF4g2RneT2odK-xHRUeG")</f>
        <v>https://shopee.co.id/product/471479494/23169443681?gads_t_sig=gqRjZGVrxHCFomtpsTE0MjUxOnRzc19zZGtfa2V5omt20QABpGFsZ2_SAAAAZKNkZWvAomN0xEAAAAAMfaLqlfFS4JwQPCoOJZHE2YMfq1tWF61pnIIHqGuyOlpkjBotHu7Xpb0YRK1tULWVZdcpI_r9hw6jgE9CqmNpcGhlcnRleHTEcQAAAAy1GR2kNRudlwzbdb3C9oK5qeB8tYVTkirw4lR41CMyXDXlHCVAaR7mmLPoja9SnHUMJZ0PYbdZkBUIiM9LW5UzAgUDSOb2q9gIKffCdkuA2zswzaB35T8yANw3MPdlEF4g2RneT2odK-xHRUeG</v>
      </c>
      <c r="L804" s="3" t="str">
        <f>IFERROR(__xludf.DUMMYFUNCTION("""COMPUTED_VALUE"""),"kebutuhan penggantian pipa FW lt 2")</f>
        <v>kebutuhan penggantian pipa FW lt 2</v>
      </c>
      <c r="M804" s="3" t="str">
        <f>IFERROR(__xludf.DUMMYFUNCTION("""COMPUTED_VALUE"""),"Approve")</f>
        <v>Approve</v>
      </c>
      <c r="N804" s="3" t="str">
        <f>IFERROR(__xludf.DUMMYFUNCTION("""COMPUTED_VALUE"""),"Normal")</f>
        <v>Normal</v>
      </c>
      <c r="O804" s="3" t="str">
        <f>IFERROR(__xludf.DUMMYFUNCTION("""COMPUTED_VALUE"""),"Non Urgent")</f>
        <v>Non Urgent</v>
      </c>
    </row>
    <row r="805">
      <c r="A805" s="4">
        <f>IFERROR(__xludf.DUMMYFUNCTION("""COMPUTED_VALUE"""),46195.71158704861)</f>
        <v>46195.71159</v>
      </c>
      <c r="B805" s="3" t="str">
        <f>IFERROR(__xludf.DUMMYFUNCTION("""COMPUTED_VALUE"""),"ANOBR0079")</f>
        <v>ANOBR0079</v>
      </c>
      <c r="C805" s="3" t="str">
        <f>IFERROR(__xludf.DUMMYFUNCTION("""COMPUTED_VALUE"""),"Consumable")</f>
        <v>Consumable</v>
      </c>
      <c r="D805" s="3" t="str">
        <f>IFERROR(__xludf.DUMMYFUNCTION("""COMPUTED_VALUE"""),"-")</f>
        <v>-</v>
      </c>
      <c r="E805" s="3" t="str">
        <f>IFERROR(__xludf.DUMMYFUNCTION("""COMPUTED_VALUE"""),"mesin las")</f>
        <v>mesin las</v>
      </c>
      <c r="F805" s="3" t="str">
        <f>IFERROR(__xludf.DUMMYFUNCTION("""COMPUTED_VALUE"""),"body collet 2 mm")</f>
        <v>body collet 2 mm</v>
      </c>
      <c r="G805" s="3" t="str">
        <f>IFERROR(__xludf.DUMMYFUNCTION("""COMPUTED_VALUE"""),"body collet 2 mm")</f>
        <v>body collet 2 mm</v>
      </c>
      <c r="H805" s="3" t="str">
        <f>IFERROR(__xludf.DUMMYFUNCTION("""COMPUTED_VALUE"""),"-")</f>
        <v>-</v>
      </c>
      <c r="I805" s="3">
        <f>IFERROR(__xludf.DUMMYFUNCTION("""COMPUTED_VALUE"""),4.0)</f>
        <v>4</v>
      </c>
      <c r="J805" s="3" t="str">
        <f>IFERROR(__xludf.DUMMYFUNCTION("""COMPUTED_VALUE"""),"pcs")</f>
        <v>pcs</v>
      </c>
      <c r="K805" s="5" t="str">
        <f>IFERROR(__xludf.DUMMYFUNCTION("""COMPUTED_VALUE"""),"https://shopee.co.id/product/772267197/29852444260?gads_t_sig=gqRjZGVrxHCFomtpsTE0MjUxOnRzc19zZGtfa2V5omt20QABpGFsZ2_SAAAAZKNkZWvAomN0xEAAAAAMfaLqlfFS4JwQPCoOJZHE2YMfq1tWF61pnIIHqGuyOlpkjBotHu7Xpb0YRK1tULWVZdcpI_r9hw6jgE9CqmNpcGhlcnRleHTEcQAAAAx0U4J4IkGcX"&amp;"k4ib0ib4LfBG82fWu9zNb1s2_a4h9dZ5GMvNEkhixtZSjW6EZZf9lWCTyfiPTIkbOr72X6mXR98wx13zrG9EHUHuRSJO7njZKzUX8ZcwKF02MtQdWztpJem7TWxK0r99-a78PhK&amp;gad_source=1&amp;gad_campaignid=23295573023&amp;gbraid=0AAAAADPpU83Xe_0MYaLimaPv78UF4qJo5&amp;gclid=CjwKCAjwuuPRBhAnEiwA2Ji8esk93AH"&amp;"wsPUT_fKGwzRthOhKVbdf2q9mHvM7-nlegLqzngnsQo7FVRoCCVUQAvD_BwE")</f>
        <v>https://shopee.co.id/product/772267197/29852444260?gads_t_sig=gqRjZGVrxHCFomtpsTE0MjUxOnRzc19zZGtfa2V5omt20QABpGFsZ2_SAAAAZKNkZWvAomN0xEAAAAAMfaLqlfFS4JwQPCoOJZHE2YMfq1tWF61pnIIHqGuyOlpkjBotHu7Xpb0YRK1tULWVZdcpI_r9hw6jgE9CqmNpcGhlcnRleHTEcQAAAAx0U4J4IkGcXk4ib0ib4LfBG82fWu9zNb1s2_a4h9dZ5GMvNEkhixtZSjW6EZZf9lWCTyfiPTIkbOr72X6mXR98wx13zrG9EHUHuRSJO7njZKzUX8ZcwKF02MtQdWztpJem7TWxK0r99-a78PhK&amp;gad_source=1&amp;gad_campaignid=23295573023&amp;gbraid=0AAAAADPpU83Xe_0MYaLimaPv78UF4qJo5&amp;gclid=CjwKCAjwuuPRBhAnEiwA2Ji8esk93AHwsPUT_fKGwzRthOhKVbdf2q9mHvM7-nlegLqzngnsQo7FVRoCCVUQAvD_BwE</v>
      </c>
      <c r="L805" s="3" t="str">
        <f>IFERROR(__xludf.DUMMYFUNCTION("""COMPUTED_VALUE"""),"kebutuhan penggantian pipa FW lt 2")</f>
        <v>kebutuhan penggantian pipa FW lt 2</v>
      </c>
      <c r="M805" s="3" t="str">
        <f>IFERROR(__xludf.DUMMYFUNCTION("""COMPUTED_VALUE"""),"Approve")</f>
        <v>Approve</v>
      </c>
      <c r="N805" s="3" t="str">
        <f>IFERROR(__xludf.DUMMYFUNCTION("""COMPUTED_VALUE"""),"Normal")</f>
        <v>Normal</v>
      </c>
      <c r="O805" s="3" t="str">
        <f>IFERROR(__xludf.DUMMYFUNCTION("""COMPUTED_VALUE"""),"Non Urgent")</f>
        <v>Non Urgent</v>
      </c>
    </row>
    <row r="806">
      <c r="A806" s="4">
        <f>IFERROR(__xludf.DUMMYFUNCTION("""COMPUTED_VALUE"""),46195.71158704861)</f>
        <v>46195.71159</v>
      </c>
      <c r="B806" s="3" t="str">
        <f>IFERROR(__xludf.DUMMYFUNCTION("""COMPUTED_VALUE"""),"ANOBR0080")</f>
        <v>ANOBR0080</v>
      </c>
      <c r="C806" s="3" t="str">
        <f>IFERROR(__xludf.DUMMYFUNCTION("""COMPUTED_VALUE"""),"Consumable")</f>
        <v>Consumable</v>
      </c>
      <c r="D806" s="3" t="str">
        <f>IFERROR(__xludf.DUMMYFUNCTION("""COMPUTED_VALUE"""),"-")</f>
        <v>-</v>
      </c>
      <c r="E806" s="3" t="str">
        <f>IFERROR(__xludf.DUMMYFUNCTION("""COMPUTED_VALUE"""),"mesin las")</f>
        <v>mesin las</v>
      </c>
      <c r="F806" s="3" t="str">
        <f>IFERROR(__xludf.DUMMYFUNCTION("""COMPUTED_VALUE"""),"keramik las argon no 6,7,8,9")</f>
        <v>keramik las argon no 6,7,8,9</v>
      </c>
      <c r="G806" s="3" t="str">
        <f>IFERROR(__xludf.DUMMYFUNCTION("""COMPUTED_VALUE"""),"keramik las argon no 4,6,7,8,10,12")</f>
        <v>keramik las argon no 4,6,7,8,10,12</v>
      </c>
      <c r="H806" s="3" t="str">
        <f>IFERROR(__xludf.DUMMYFUNCTION("""COMPUTED_VALUE"""),"-")</f>
        <v>-</v>
      </c>
      <c r="I806" s="3">
        <f>IFERROR(__xludf.DUMMYFUNCTION("""COMPUTED_VALUE"""),1.0)</f>
        <v>1</v>
      </c>
      <c r="J806" s="3" t="str">
        <f>IFERROR(__xludf.DUMMYFUNCTION("""COMPUTED_VALUE"""),"set")</f>
        <v>set</v>
      </c>
      <c r="K806" s="5" t="str">
        <f>IFERROR(__xludf.DUMMYFUNCTION("""COMPUTED_VALUE"""),"https://shopee.co.id/product/1027084448/18381558008?gads_t_sig=gqRjZGVrxHCFomtpsTE0MjUxOnRzc19zZGtfa2V5omt20QABpGFsZ2_SAAAAZKNkZWvAomN0xEAAAAAMfaLqlfFS4JwQPCoOJZHE2YMfq1tWF61pnIIHqGuyOlpkjBotHu7Xpb0YRK1tULWVZdcpI_r9hw6jgE9CqmNpcGhlcnRleHTEcwAAAAxDOu-TyQCk"&amp;"Oeb2YZn8t1O3neCDBJ7XQJaN9mJXkGjWLnBwRtIpsYHSwUQis-YaikctbI6GDep8HPW5FjXVnwAYkMW8VOWycgsRHAnVhpkZhWRUB50yoK7WK5uhjZFZjUvLkkCQUCONx2dWXf13Bkg&amp;gad_source=1&amp;gad_campaignid=23290582497&amp;gbraid=0AAAAADPpU80r4YM6rcpm8nv5aRAHbj3RS&amp;gclid=CjwKCAjwuuPRBhAnEiwA2Ji8em-"&amp;"c4tb24z5ZNw2OhyztyR2eiaJRkuyuVLeJB3kuZNepaR1R3e3GehoCwXgQAvD_BwE")</f>
        <v>https://shopee.co.id/product/1027084448/18381558008?gads_t_sig=gqRjZGVrxHCFomtpsTE0MjUxOnRzc19zZGtfa2V5omt20QABpGFsZ2_SAAAAZKNkZWvAomN0xEAAAAAMfaLqlfFS4JwQPCoOJZHE2YMfq1tWF61pnIIHqGuyOlpkjBotHu7Xpb0YRK1tULWVZdcpI_r9hw6jgE9CqmNpcGhlcnRleHTEcwAAAAxDOu-TyQCkOeb2YZn8t1O3neCDBJ7XQJaN9mJXkGjWLnBwRtIpsYHSwUQis-YaikctbI6GDep8HPW5FjXVnwAYkMW8VOWycgsRHAnVhpkZhWRUB50yoK7WK5uhjZFZjUvLkkCQUCONx2dWXf13Bkg&amp;gad_source=1&amp;gad_campaignid=23290582497&amp;gbraid=0AAAAADPpU80r4YM6rcpm8nv5aRAHbj3RS&amp;gclid=CjwKCAjwuuPRBhAnEiwA2Ji8em-c4tb24z5ZNw2OhyztyR2eiaJRkuyuVLeJB3kuZNepaR1R3e3GehoCwXgQAvD_BwE</v>
      </c>
      <c r="L806" s="3" t="str">
        <f>IFERROR(__xludf.DUMMYFUNCTION("""COMPUTED_VALUE"""),"kebutuhan penggantian pipa FW lt 2")</f>
        <v>kebutuhan penggantian pipa FW lt 2</v>
      </c>
      <c r="M806" s="3" t="str">
        <f>IFERROR(__xludf.DUMMYFUNCTION("""COMPUTED_VALUE"""),"Approve")</f>
        <v>Approve</v>
      </c>
      <c r="N806" s="3" t="str">
        <f>IFERROR(__xludf.DUMMYFUNCTION("""COMPUTED_VALUE"""),"Normal")</f>
        <v>Normal</v>
      </c>
      <c r="O806" s="3" t="str">
        <f>IFERROR(__xludf.DUMMYFUNCTION("""COMPUTED_VALUE"""),"Non Urgent")</f>
        <v>Non Urgent</v>
      </c>
    </row>
    <row r="807">
      <c r="A807" s="4">
        <f>IFERROR(__xludf.DUMMYFUNCTION("""COMPUTED_VALUE"""),46195.71158704861)</f>
        <v>46195.71159</v>
      </c>
      <c r="B807" s="3" t="str">
        <f>IFERROR(__xludf.DUMMYFUNCTION("""COMPUTED_VALUE"""),"ANOBR0081")</f>
        <v>ANOBR0081</v>
      </c>
      <c r="C807" s="3" t="str">
        <f>IFERROR(__xludf.DUMMYFUNCTION("""COMPUTED_VALUE"""),"Consumable")</f>
        <v>Consumable</v>
      </c>
      <c r="D807" s="3" t="str">
        <f>IFERROR(__xludf.DUMMYFUNCTION("""COMPUTED_VALUE"""),"-")</f>
        <v>-</v>
      </c>
      <c r="E807" s="3" t="str">
        <f>IFERROR(__xludf.DUMMYFUNCTION("""COMPUTED_VALUE"""),"mesin las")</f>
        <v>mesin las</v>
      </c>
      <c r="F807" s="3" t="str">
        <f>IFERROR(__xludf.DUMMYFUNCTION("""COMPUTED_VALUE"""),"collet 2 mm")</f>
        <v>collet 2 mm</v>
      </c>
      <c r="G807" s="3" t="str">
        <f>IFERROR(__xludf.DUMMYFUNCTION("""COMPUTED_VALUE"""),"collet las 2 mm")</f>
        <v>collet las 2 mm</v>
      </c>
      <c r="H807" s="3" t="str">
        <f>IFERROR(__xludf.DUMMYFUNCTION("""COMPUTED_VALUE"""),"-")</f>
        <v>-</v>
      </c>
      <c r="I807" s="3">
        <f>IFERROR(__xludf.DUMMYFUNCTION("""COMPUTED_VALUE"""),5.0)</f>
        <v>5</v>
      </c>
      <c r="J807" s="3" t="str">
        <f>IFERROR(__xludf.DUMMYFUNCTION("""COMPUTED_VALUE"""),"pcs")</f>
        <v>pcs</v>
      </c>
      <c r="K807" s="5" t="str">
        <f>IFERROR(__xludf.DUMMYFUNCTION("""COMPUTED_VALUE"""),"https://shopee.co.id/product/566669817/24319741045?gads_t_sig=gqRjZGVrxHCFomtpsTE0MjUxOnRzc19zZGtfa2V5omt20QABpGFsZ2_SAAAAZKNkZWvAomN0xEAAAAAMfaLqlfFS4JwQPCoOJZHE2YMfq1tWF61pnIIHqGuyOlpkjBotHu7Xpb0YRK1tULWVZdcpI_r9hw6jgE9CqmNpcGhlcnRleHTEcQAAAAzUjME4JEs-l"&amp;"mfgsZq7YjJPy8tpm9LEYCfxJ26uNLlW-Vk6hX7Iroa8NAND7BIAo-449pI209VhYmk8xcVNysWSblQN2TfKYb_NMgMHshwpw8bZbVjMhL-9lmDyyVYAxJqayIj3RIzSBtxudK9J&amp;gad_source=1&amp;gad_campaignid=23295573554&amp;gbraid=0AAAAADPpU82opQn-91GfoqKvYelpyjpi2&amp;gclid=CjwKCAjwuuPRBhAnEiwA2Ji8embfWMI"&amp;"QhKamlf_rDDAphJuU41kB7LdCZsjHkvzDW1SlT9O2tvAU0BoCQ78QAvD_BwE")</f>
        <v>https://shopee.co.id/product/566669817/24319741045?gads_t_sig=gqRjZGVrxHCFomtpsTE0MjUxOnRzc19zZGtfa2V5omt20QABpGFsZ2_SAAAAZKNkZWvAomN0xEAAAAAMfaLqlfFS4JwQPCoOJZHE2YMfq1tWF61pnIIHqGuyOlpkjBotHu7Xpb0YRK1tULWVZdcpI_r9hw6jgE9CqmNpcGhlcnRleHTEcQAAAAzUjME4JEs-lmfgsZq7YjJPy8tpm9LEYCfxJ26uNLlW-Vk6hX7Iroa8NAND7BIAo-449pI209VhYmk8xcVNysWSblQN2TfKYb_NMgMHshwpw8bZbVjMhL-9lmDyyVYAxJqayIj3RIzSBtxudK9J&amp;gad_source=1&amp;gad_campaignid=23295573554&amp;gbraid=0AAAAADPpU82opQn-91GfoqKvYelpyjpi2&amp;gclid=CjwKCAjwuuPRBhAnEiwA2Ji8embfWMIQhKamlf_rDDAphJuU41kB7LdCZsjHkvzDW1SlT9O2tvAU0BoCQ78QAvD_BwE</v>
      </c>
      <c r="L807" s="3" t="str">
        <f>IFERROR(__xludf.DUMMYFUNCTION("""COMPUTED_VALUE"""),"kebutuhan penggantian pipa FW lt 2")</f>
        <v>kebutuhan penggantian pipa FW lt 2</v>
      </c>
      <c r="M807" s="3" t="str">
        <f>IFERROR(__xludf.DUMMYFUNCTION("""COMPUTED_VALUE"""),"Approve")</f>
        <v>Approve</v>
      </c>
      <c r="N807" s="3" t="str">
        <f>IFERROR(__xludf.DUMMYFUNCTION("""COMPUTED_VALUE"""),"Normal")</f>
        <v>Normal</v>
      </c>
      <c r="O807" s="3" t="str">
        <f>IFERROR(__xludf.DUMMYFUNCTION("""COMPUTED_VALUE"""),"Non Urgent")</f>
        <v>Non Urgent</v>
      </c>
    </row>
    <row r="808">
      <c r="A808" s="4">
        <f>IFERROR(__xludf.DUMMYFUNCTION("""COMPUTED_VALUE"""),46195.73185994213)</f>
        <v>46195.73186</v>
      </c>
      <c r="B808" s="3" t="str">
        <f>IFERROR(__xludf.DUMMYFUNCTION("""COMPUTED_VALUE"""),"RIABR0170")</f>
        <v>RIABR0170</v>
      </c>
      <c r="C808" s="3" t="str">
        <f>IFERROR(__xludf.DUMMYFUNCTION("""COMPUTED_VALUE"""),"EJO")</f>
        <v>EJO</v>
      </c>
      <c r="D808" s="3" t="str">
        <f>IFERROR(__xludf.DUMMYFUNCTION("""COMPUTED_VALUE"""),"-")</f>
        <v>-</v>
      </c>
      <c r="E808" s="3" t="str">
        <f>IFERROR(__xludf.DUMMYFUNCTION("""COMPUTED_VALUE"""),"R Filling")</f>
        <v>R Filling</v>
      </c>
      <c r="F808" s="3" t="str">
        <f>IFERROR(__xludf.DUMMYFUNCTION("""COMPUTED_VALUE"""),"Lampu LED")</f>
        <v>Lampu LED</v>
      </c>
      <c r="G808" s="3" t="str">
        <f>IFERROR(__xludf.DUMMYFUNCTION("""COMPUTED_VALUE"""),"RC081V 1197 x 297 mm 30 Watt 6500K")</f>
        <v>RC081V 1197 x 297 mm 30 Watt 6500K</v>
      </c>
      <c r="H808" s="3" t="str">
        <f>IFERROR(__xludf.DUMMYFUNCTION("""COMPUTED_VALUE"""),"Phillips")</f>
        <v>Phillips</v>
      </c>
      <c r="I808" s="3">
        <f>IFERROR(__xludf.DUMMYFUNCTION("""COMPUTED_VALUE"""),3.0)</f>
        <v>3</v>
      </c>
      <c r="J808" s="3" t="str">
        <f>IFERROR(__xludf.DUMMYFUNCTION("""COMPUTED_VALUE"""),"Pcs")</f>
        <v>Pcs</v>
      </c>
      <c r="K808" s="5" t="str">
        <f>IFERROR(__xludf.DUMMYFUNCTION("""COMPUTED_VALUE"""),"https://www.tokopedia.com/led-lighting-store/philips-panel-light-rc081v-rc091v-led27s-28w-28-watt-smart-bright-panel-slim-led-30-x-120-cm-putih-6500k-2b93e?extParam=ivf%3Dfalse%26keyword%3Dphillips+rc081v%26search_id%3D202606220916346DA37DD3139AA4302A3E%2"&amp;"6src%3Dsearch&amp;t_id=1782119809201&amp;t_st=2&amp;t_pp=search_result&amp;t_efo=search_pure_goods_card&amp;t_ef=goods_search&amp;t_sm=&amp;t_spt=search_result")</f>
        <v>https://www.tokopedia.com/led-lighting-store/philips-panel-light-rc081v-rc091v-led27s-28w-28-watt-smart-bright-panel-slim-led-30-x-120-cm-putih-6500k-2b93e?extParam=ivf%3Dfalse%26keyword%3Dphillips+rc081v%26search_id%3D202606220916346DA37DD3139AA4302A3E%26src%3Dsearch&amp;t_id=1782119809201&amp;t_st=2&amp;t_pp=search_result&amp;t_efo=search_pure_goods_card&amp;t_ef=goods_search&amp;t_sm=&amp;t_spt=search_result</v>
      </c>
      <c r="L808" s="3" t="str">
        <f>IFERROR(__xludf.DUMMYFUNCTION("""COMPUTED_VALUE"""),"Buat Project New Filling")</f>
        <v>Buat Project New Filling</v>
      </c>
      <c r="M808" s="3" t="str">
        <f>IFERROR(__xludf.DUMMYFUNCTION("""COMPUTED_VALUE"""),"Approve")</f>
        <v>Approve</v>
      </c>
      <c r="N808" s="3" t="str">
        <f>IFERROR(__xludf.DUMMYFUNCTION("""COMPUTED_VALUE"""),"Normal")</f>
        <v>Normal</v>
      </c>
      <c r="O808" s="3" t="str">
        <f>IFERROR(__xludf.DUMMYFUNCTION("""COMPUTED_VALUE"""),"Non Urgent")</f>
        <v>Non Urgent</v>
      </c>
    </row>
    <row r="809">
      <c r="A809" s="4">
        <f>IFERROR(__xludf.DUMMYFUNCTION("""COMPUTED_VALUE"""),46195.73303443287)</f>
        <v>46195.73303</v>
      </c>
      <c r="B809" s="3" t="str">
        <f>IFERROR(__xludf.DUMMYFUNCTION("""COMPUTED_VALUE"""),"RIABR0171")</f>
        <v>RIABR0171</v>
      </c>
      <c r="C809" s="3" t="str">
        <f>IFERROR(__xludf.DUMMYFUNCTION("""COMPUTED_VALUE"""),"EJO")</f>
        <v>EJO</v>
      </c>
      <c r="D809" s="3" t="str">
        <f>IFERROR(__xludf.DUMMYFUNCTION("""COMPUTED_VALUE"""),"-")</f>
        <v>-</v>
      </c>
      <c r="E809" s="3" t="str">
        <f>IFERROR(__xludf.DUMMYFUNCTION("""COMPUTED_VALUE"""),"R Filling")</f>
        <v>R Filling</v>
      </c>
      <c r="F809" s="3" t="str">
        <f>IFERROR(__xludf.DUMMYFUNCTION("""COMPUTED_VALUE"""),"Kabel")</f>
        <v>Kabel</v>
      </c>
      <c r="G809" s="3" t="str">
        <f>IFERROR(__xludf.DUMMYFUNCTION("""COMPUTED_VALUE"""),"3 x 1.5 NYM")</f>
        <v>3 x 1.5 NYM</v>
      </c>
      <c r="H809" s="3" t="str">
        <f>IFERROR(__xludf.DUMMYFUNCTION("""COMPUTED_VALUE"""),"Supreme")</f>
        <v>Supreme</v>
      </c>
      <c r="I809" s="3">
        <f>IFERROR(__xludf.DUMMYFUNCTION("""COMPUTED_VALUE"""),50.0)</f>
        <v>50</v>
      </c>
      <c r="J809" s="3" t="str">
        <f>IFERROR(__xludf.DUMMYFUNCTION("""COMPUTED_VALUE"""),"Mtr")</f>
        <v>Mtr</v>
      </c>
      <c r="K809" s="5" t="str">
        <f>IFERROR(__xludf.DUMMYFUNCTION("""COMPUTED_VALUE"""),"https://www.tokopedia.com/supreme-cable/supreme-cable-kabel-listrik-inti-ganda-tembaga-murni-nym-3-x-1-5-mm-50m-1730795500675040326?extParam=ivf%3Dtrue%26keyword%3Dnym+supreme+3+x+1.5%26search_id%3D2026062210332200EC53C4682D3635EMMY%26src%3Dsearch&amp;t_id=17"&amp;"82124408184&amp;t_st=1&amp;t_pp=search_result&amp;t_efo=search_pure_goods_card&amp;t_ef=goods_search&amp;t_sm=&amp;t_spt=search_result")</f>
        <v>https://www.tokopedia.com/supreme-cable/supreme-cable-kabel-listrik-inti-ganda-tembaga-murni-nym-3-x-1-5-mm-50m-1730795500675040326?extParam=ivf%3Dtrue%26keyword%3Dnym+supreme+3+x+1.5%26search_id%3D2026062210332200EC53C4682D3635EMMY%26src%3Dsearch&amp;t_id=1782124408184&amp;t_st=1&amp;t_pp=search_result&amp;t_efo=search_pure_goods_card&amp;t_ef=goods_search&amp;t_sm=&amp;t_spt=search_result</v>
      </c>
      <c r="L809" s="3" t="str">
        <f>IFERROR(__xludf.DUMMYFUNCTION("""COMPUTED_VALUE"""),"Buat Project New Filling")</f>
        <v>Buat Project New Filling</v>
      </c>
      <c r="M809" s="3" t="str">
        <f>IFERROR(__xludf.DUMMYFUNCTION("""COMPUTED_VALUE"""),"Approve")</f>
        <v>Approve</v>
      </c>
      <c r="N809" s="3" t="str">
        <f>IFERROR(__xludf.DUMMYFUNCTION("""COMPUTED_VALUE"""),"Normal")</f>
        <v>Normal</v>
      </c>
      <c r="O809" s="3" t="str">
        <f>IFERROR(__xludf.DUMMYFUNCTION("""COMPUTED_VALUE"""),"Non Urgent")</f>
        <v>Non Urgent</v>
      </c>
    </row>
    <row r="810">
      <c r="A810" s="4">
        <f>IFERROR(__xludf.DUMMYFUNCTION("""COMPUTED_VALUE"""),46195.73358723379)</f>
        <v>46195.73359</v>
      </c>
      <c r="B810" s="3" t="str">
        <f>IFERROR(__xludf.DUMMYFUNCTION("""COMPUTED_VALUE"""),"RIABR0172")</f>
        <v>RIABR0172</v>
      </c>
      <c r="C810" s="3" t="str">
        <f>IFERROR(__xludf.DUMMYFUNCTION("""COMPUTED_VALUE"""),"EJO")</f>
        <v>EJO</v>
      </c>
      <c r="D810" s="3" t="str">
        <f>IFERROR(__xludf.DUMMYFUNCTION("""COMPUTED_VALUE"""),"-")</f>
        <v>-</v>
      </c>
      <c r="E810" s="3" t="str">
        <f>IFERROR(__xludf.DUMMYFUNCTION("""COMPUTED_VALUE"""),"R Filling")</f>
        <v>R Filling</v>
      </c>
      <c r="F810" s="3" t="str">
        <f>IFERROR(__xludf.DUMMYFUNCTION("""COMPUTED_VALUE"""),"Conduit")</f>
        <v>Conduit</v>
      </c>
      <c r="G810" s="3" t="str">
        <f>IFERROR(__xludf.DUMMYFUNCTION("""COMPUTED_VALUE"""),"Pipa Conduit 20 mm 2.9 m Putih")</f>
        <v>Pipa Conduit 20 mm 2.9 m Putih</v>
      </c>
      <c r="H810" s="3" t="str">
        <f>IFERROR(__xludf.DUMMYFUNCTION("""COMPUTED_VALUE"""),"Boss")</f>
        <v>Boss</v>
      </c>
      <c r="I810" s="3">
        <f>IFERROR(__xludf.DUMMYFUNCTION("""COMPUTED_VALUE"""),15.0)</f>
        <v>15</v>
      </c>
      <c r="J810" s="3" t="str">
        <f>IFERROR(__xludf.DUMMYFUNCTION("""COMPUTED_VALUE"""),"Btg")</f>
        <v>Btg</v>
      </c>
      <c r="K810" s="5" t="str">
        <f>IFERROR(__xludf.DUMMYFUNCTION("""COMPUTED_VALUE"""),"https://www.tokopedia.com/data-electric/boss-pipa-conduit-20-mm-2-9-m-putih-pvc-high-impact-standar-iec-61386-21-2002-melindungi-instalasi-kabel-listrik-dari-kerusakan-mekanis-1732469901559497880?extParam=ivf%3Dfalse%26keyword%3Dconduit+boss%26search_id%3"&amp;"D202606221019454F6FFE13A5D75B3A8V5H%26src%3Dsearch&amp;t_id=1782123611989&amp;t_st=1&amp;t_pp=search_result&amp;t_efo=search_pure_goods_card&amp;t_ef=goods_search&amp;t_sm=&amp;t_spt=search_result")</f>
        <v>https://www.tokopedia.com/data-electric/boss-pipa-conduit-20-mm-2-9-m-putih-pvc-high-impact-standar-iec-61386-21-2002-melindungi-instalasi-kabel-listrik-dari-kerusakan-mekanis-1732469901559497880?extParam=ivf%3Dfalse%26keyword%3Dconduit+boss%26search_id%3D202606221019454F6FFE13A5D75B3A8V5H%26src%3Dsearch&amp;t_id=1782123611989&amp;t_st=1&amp;t_pp=search_result&amp;t_efo=search_pure_goods_card&amp;t_ef=goods_search&amp;t_sm=&amp;t_spt=search_result</v>
      </c>
      <c r="L810" s="3" t="str">
        <f>IFERROR(__xludf.DUMMYFUNCTION("""COMPUTED_VALUE"""),"Buat Project New Filling")</f>
        <v>Buat Project New Filling</v>
      </c>
      <c r="M810" s="3" t="str">
        <f>IFERROR(__xludf.DUMMYFUNCTION("""COMPUTED_VALUE"""),"Approve")</f>
        <v>Approve</v>
      </c>
      <c r="N810" s="3" t="str">
        <f>IFERROR(__xludf.DUMMYFUNCTION("""COMPUTED_VALUE"""),"Normal")</f>
        <v>Normal</v>
      </c>
      <c r="O810" s="3" t="str">
        <f>IFERROR(__xludf.DUMMYFUNCTION("""COMPUTED_VALUE"""),"Non Urgent")</f>
        <v>Non Urgent</v>
      </c>
    </row>
    <row r="811">
      <c r="A811" s="4">
        <f>IFERROR(__xludf.DUMMYFUNCTION("""COMPUTED_VALUE"""),46195.73444259259)</f>
        <v>46195.73444</v>
      </c>
      <c r="B811" s="3" t="str">
        <f>IFERROR(__xludf.DUMMYFUNCTION("""COMPUTED_VALUE"""),"RIABR0173")</f>
        <v>RIABR0173</v>
      </c>
      <c r="C811" s="3" t="str">
        <f>IFERROR(__xludf.DUMMYFUNCTION("""COMPUTED_VALUE"""),"EJO")</f>
        <v>EJO</v>
      </c>
      <c r="D811" s="3" t="str">
        <f>IFERROR(__xludf.DUMMYFUNCTION("""COMPUTED_VALUE"""),"-")</f>
        <v>-</v>
      </c>
      <c r="E811" s="3" t="str">
        <f>IFERROR(__xludf.DUMMYFUNCTION("""COMPUTED_VALUE"""),"R Filling")</f>
        <v>R Filling</v>
      </c>
      <c r="F811" s="3" t="str">
        <f>IFERROR(__xludf.DUMMYFUNCTION("""COMPUTED_VALUE"""),"T Dus")</f>
        <v>T Dus</v>
      </c>
      <c r="G811" s="3" t="str">
        <f>IFERROR(__xludf.DUMMYFUNCTION("""COMPUTED_VALUE"""),"T dus cabang 3 Boss 20 MM")</f>
        <v>T dus cabang 3 Boss 20 MM</v>
      </c>
      <c r="H811" s="3" t="str">
        <f>IFERROR(__xludf.DUMMYFUNCTION("""COMPUTED_VALUE"""),"Boss")</f>
        <v>Boss</v>
      </c>
      <c r="I811" s="3">
        <f>IFERROR(__xludf.DUMMYFUNCTION("""COMPUTED_VALUE"""),10.0)</f>
        <v>10</v>
      </c>
      <c r="J811" s="3" t="str">
        <f>IFERROR(__xludf.DUMMYFUNCTION("""COMPUTED_VALUE"""),"Pcs")</f>
        <v>Pcs</v>
      </c>
      <c r="K811" s="5" t="str">
        <f>IFERROR(__xludf.DUMMYFUNCTION("""COMPUTED_VALUE"""),"https://www.tokopedia.com/suryaadil/t-dus-boss-cabang-3-conduit-sudah-termasuk-tutup-dan-baut?extParam=ivf%3Dfalse%26keyword%3Dt+dus+boss%26search_id%3D202606221021083DD48AB31D016F08AJJW%26src%3Dsearch&amp;t_id=1782123673219&amp;t_st=1&amp;t_pp=search_result&amp;t_efo=se"&amp;"arch_pure_goods_card&amp;t_ef=goods_search&amp;t_sm=&amp;t_spt=search_result")</f>
        <v>https://www.tokopedia.com/suryaadil/t-dus-boss-cabang-3-conduit-sudah-termasuk-tutup-dan-baut?extParam=ivf%3Dfalse%26keyword%3Dt+dus+boss%26search_id%3D202606221021083DD48AB31D016F08AJJW%26src%3Dsearch&amp;t_id=1782123673219&amp;t_st=1&amp;t_pp=search_result&amp;t_efo=search_pure_goods_card&amp;t_ef=goods_search&amp;t_sm=&amp;t_spt=search_result</v>
      </c>
      <c r="L811" s="3" t="str">
        <f>IFERROR(__xludf.DUMMYFUNCTION("""COMPUTED_VALUE"""),"Buat Project New Filling")</f>
        <v>Buat Project New Filling</v>
      </c>
      <c r="M811" s="3" t="str">
        <f>IFERROR(__xludf.DUMMYFUNCTION("""COMPUTED_VALUE"""),"Approve")</f>
        <v>Approve</v>
      </c>
      <c r="N811" s="3" t="str">
        <f>IFERROR(__xludf.DUMMYFUNCTION("""COMPUTED_VALUE"""),"Normal")</f>
        <v>Normal</v>
      </c>
      <c r="O811" s="3" t="str">
        <f>IFERROR(__xludf.DUMMYFUNCTION("""COMPUTED_VALUE"""),"Non Urgent")</f>
        <v>Non Urgent</v>
      </c>
    </row>
    <row r="812">
      <c r="A812" s="4">
        <f>IFERROR(__xludf.DUMMYFUNCTION("""COMPUTED_VALUE"""),46195.734954363434)</f>
        <v>46195.73495</v>
      </c>
      <c r="B812" s="3" t="str">
        <f>IFERROR(__xludf.DUMMYFUNCTION("""COMPUTED_VALUE"""),"RIABR0174")</f>
        <v>RIABR0174</v>
      </c>
      <c r="C812" s="3" t="str">
        <f>IFERROR(__xludf.DUMMYFUNCTION("""COMPUTED_VALUE"""),"EJO")</f>
        <v>EJO</v>
      </c>
      <c r="D812" s="3" t="str">
        <f>IFERROR(__xludf.DUMMYFUNCTION("""COMPUTED_VALUE"""),"-")</f>
        <v>-</v>
      </c>
      <c r="E812" s="3" t="str">
        <f>IFERROR(__xludf.DUMMYFUNCTION("""COMPUTED_VALUE"""),"R Filling")</f>
        <v>R Filling</v>
      </c>
      <c r="F812" s="3" t="str">
        <f>IFERROR(__xludf.DUMMYFUNCTION("""COMPUTED_VALUE"""),"Flexible Hose")</f>
        <v>Flexible Hose</v>
      </c>
      <c r="G812" s="3" t="str">
        <f>IFERROR(__xludf.DUMMYFUNCTION("""COMPUTED_VALUE"""),"Flexibel 20mm Merk Boss")</f>
        <v>Flexibel 20mm Merk Boss</v>
      </c>
      <c r="H812" s="3" t="str">
        <f>IFERROR(__xludf.DUMMYFUNCTION("""COMPUTED_VALUE"""),"Boss")</f>
        <v>Boss</v>
      </c>
      <c r="I812" s="3">
        <f>IFERROR(__xludf.DUMMYFUNCTION("""COMPUTED_VALUE"""),1.0)</f>
        <v>1</v>
      </c>
      <c r="J812" s="3" t="str">
        <f>IFERROR(__xludf.DUMMYFUNCTION("""COMPUTED_VALUE"""),"Roll")</f>
        <v>Roll</v>
      </c>
      <c r="K812" s="5" t="str">
        <f>IFERROR(__xludf.DUMMYFUNCTION("""COMPUTED_VALUE"""),"https://www.tokopedia.com/heningelectric/flexibel-20mm-merk-boss-per-1-meter?extParam=ivf%3Dfalse%26keyword%3Dflexible+hose+boss%26search_id%3D20260622102151C042F4DB68F2340ECRZL%26src%3Dsearch&amp;t_id=1782123716027&amp;t_st=1&amp;t_pp=search_result&amp;t_efo=search_pure"&amp;"_goods_card&amp;t_ef=goods_search&amp;t_sm=&amp;t_spt=search_result")</f>
        <v>https://www.tokopedia.com/heningelectric/flexibel-20mm-merk-boss-per-1-meter?extParam=ivf%3Dfalse%26keyword%3Dflexible+hose+boss%26search_id%3D20260622102151C042F4DB68F2340ECRZL%26src%3Dsearch&amp;t_id=1782123716027&amp;t_st=1&amp;t_pp=search_result&amp;t_efo=search_pure_goods_card&amp;t_ef=goods_search&amp;t_sm=&amp;t_spt=search_result</v>
      </c>
      <c r="L812" s="3" t="str">
        <f>IFERROR(__xludf.DUMMYFUNCTION("""COMPUTED_VALUE"""),"Buat Project New Filling")</f>
        <v>Buat Project New Filling</v>
      </c>
      <c r="M812" s="3" t="str">
        <f>IFERROR(__xludf.DUMMYFUNCTION("""COMPUTED_VALUE"""),"Approve")</f>
        <v>Approve</v>
      </c>
      <c r="N812" s="3" t="str">
        <f>IFERROR(__xludf.DUMMYFUNCTION("""COMPUTED_VALUE"""),"Normal")</f>
        <v>Normal</v>
      </c>
      <c r="O812" s="3" t="str">
        <f>IFERROR(__xludf.DUMMYFUNCTION("""COMPUTED_VALUE"""),"Non Urgent")</f>
        <v>Non Urgent</v>
      </c>
    </row>
    <row r="813">
      <c r="A813" s="4">
        <f>IFERROR(__xludf.DUMMYFUNCTION("""COMPUTED_VALUE"""),46195.73548400463)</f>
        <v>46195.73548</v>
      </c>
      <c r="B813" s="3" t="str">
        <f>IFERROR(__xludf.DUMMYFUNCTION("""COMPUTED_VALUE"""),"RIABR0175")</f>
        <v>RIABR0175</v>
      </c>
      <c r="C813" s="3" t="str">
        <f>IFERROR(__xludf.DUMMYFUNCTION("""COMPUTED_VALUE"""),"EJO")</f>
        <v>EJO</v>
      </c>
      <c r="D813" s="3" t="str">
        <f>IFERROR(__xludf.DUMMYFUNCTION("""COMPUTED_VALUE"""),"-")</f>
        <v>-</v>
      </c>
      <c r="E813" s="3" t="str">
        <f>IFERROR(__xludf.DUMMYFUNCTION("""COMPUTED_VALUE"""),"R Filling")</f>
        <v>R Filling</v>
      </c>
      <c r="F813" s="3" t="str">
        <f>IFERROR(__xludf.DUMMYFUNCTION("""COMPUTED_VALUE"""),"Stop Kontak Dinding")</f>
        <v>Stop Kontak Dinding</v>
      </c>
      <c r="G813" s="3" t="str">
        <f>IFERROR(__xludf.DUMMYFUNCTION("""COMPUTED_VALUE"""),"BROCO Stop Kontak Allegra (C151) - Putih")</f>
        <v>BROCO Stop Kontak Allegra (C151) - Putih</v>
      </c>
      <c r="H813" s="3" t="str">
        <f>IFERROR(__xludf.DUMMYFUNCTION("""COMPUTED_VALUE"""),"Broco")</f>
        <v>Broco</v>
      </c>
      <c r="I813" s="3">
        <f>IFERROR(__xludf.DUMMYFUNCTION("""COMPUTED_VALUE"""),2.0)</f>
        <v>2</v>
      </c>
      <c r="J813" s="3" t="str">
        <f>IFERROR(__xludf.DUMMYFUNCTION("""COMPUTED_VALUE"""),"Pcs")</f>
        <v>Pcs</v>
      </c>
      <c r="K813" s="5" t="str">
        <f>IFERROR(__xludf.DUMMYFUNCTION("""COMPUTED_VALUE"""),"https://www.tokopedia.com/broco-official/broco-stop-kontak-allegra-c151-1729881674917971001?extParam=ivf%3Dfalse%26keyword%3Dstop+kontak+dinding+broco%26search_id%3D202606221022483DD48AB31D016F32B4MR%26src%3Dsearch&amp;t_id=1782123802549&amp;t_st=1&amp;t_pp=search_re"&amp;"sult&amp;t_efo=search_pure_goods_card&amp;t_ef=goods_search&amp;t_sm=&amp;t_spt=search_result")</f>
        <v>https://www.tokopedia.com/broco-official/broco-stop-kontak-allegra-c151-1729881674917971001?extParam=ivf%3Dfalse%26keyword%3Dstop+kontak+dinding+broco%26search_id%3D202606221022483DD48AB31D016F32B4MR%26src%3Dsearch&amp;t_id=1782123802549&amp;t_st=1&amp;t_pp=search_result&amp;t_efo=search_pure_goods_card&amp;t_ef=goods_search&amp;t_sm=&amp;t_spt=search_result</v>
      </c>
      <c r="L813" s="3" t="str">
        <f>IFERROR(__xludf.DUMMYFUNCTION("""COMPUTED_VALUE"""),"Buat Project New Filling")</f>
        <v>Buat Project New Filling</v>
      </c>
      <c r="M813" s="3" t="str">
        <f>IFERROR(__xludf.DUMMYFUNCTION("""COMPUTED_VALUE"""),"Approve")</f>
        <v>Approve</v>
      </c>
      <c r="N813" s="3" t="str">
        <f>IFERROR(__xludf.DUMMYFUNCTION("""COMPUTED_VALUE"""),"Normal")</f>
        <v>Normal</v>
      </c>
      <c r="O813" s="3" t="str">
        <f>IFERROR(__xludf.DUMMYFUNCTION("""COMPUTED_VALUE"""),"Non Urgent")</f>
        <v>Non Urgent</v>
      </c>
    </row>
    <row r="814">
      <c r="A814" s="4">
        <f>IFERROR(__xludf.DUMMYFUNCTION("""COMPUTED_VALUE"""),46195.73599431713)</f>
        <v>46195.73599</v>
      </c>
      <c r="B814" s="3" t="str">
        <f>IFERROR(__xludf.DUMMYFUNCTION("""COMPUTED_VALUE"""),"RIABR0176")</f>
        <v>RIABR0176</v>
      </c>
      <c r="C814" s="3" t="str">
        <f>IFERROR(__xludf.DUMMYFUNCTION("""COMPUTED_VALUE"""),"EJO")</f>
        <v>EJO</v>
      </c>
      <c r="D814" s="3" t="str">
        <f>IFERROR(__xludf.DUMMYFUNCTION("""COMPUTED_VALUE"""),"-")</f>
        <v>-</v>
      </c>
      <c r="E814" s="3" t="str">
        <f>IFERROR(__xludf.DUMMYFUNCTION("""COMPUTED_VALUE"""),"R Filling")</f>
        <v>R Filling</v>
      </c>
      <c r="F814" s="3" t="str">
        <f>IFERROR(__xludf.DUMMYFUNCTION("""COMPUTED_VALUE"""),"Saklar")</f>
        <v>Saklar</v>
      </c>
      <c r="G814" s="3" t="str">
        <f>IFERROR(__xludf.DUMMYFUNCTION("""COMPUTED_VALUE"""),"SAKLAR 4 GANG SCHNEIDER")</f>
        <v>SAKLAR 4 GANG SCHNEIDER</v>
      </c>
      <c r="H814" s="3" t="str">
        <f>IFERROR(__xludf.DUMMYFUNCTION("""COMPUTED_VALUE"""),"Scheider")</f>
        <v>Scheider</v>
      </c>
      <c r="I814" s="3">
        <f>IFERROR(__xludf.DUMMYFUNCTION("""COMPUTED_VALUE"""),2.0)</f>
        <v>2</v>
      </c>
      <c r="J814" s="3" t="str">
        <f>IFERROR(__xludf.DUMMYFUNCTION("""COMPUTED_VALUE"""),"Pcs")</f>
        <v>Pcs</v>
      </c>
      <c r="K814" s="5" t="str">
        <f>IFERROR(__xludf.DUMMYFUNCTION("""COMPUTED_VALUE"""),"https://www.tokopedia.com/karel8989/saklar-4gang-4-gang-schneider-clypsal-classic-set-outbow-tempel?extParam=ivf%3Dfalse%26keyword%3Dsaklar+broco+4+tombol%26search_id%3D202606221027085B8ADD2A5D98B11C6WYU%26src%3Dsearch&amp;t_id=1782124036726&amp;t_st=1&amp;t_pp=searc"&amp;"h_result&amp;t_efo=search_pure_goods_card&amp;t_ef=goods_search&amp;t_sm=&amp;t_spt=search_result")</f>
        <v>https://www.tokopedia.com/karel8989/saklar-4gang-4-gang-schneider-clypsal-classic-set-outbow-tempel?extParam=ivf%3Dfalse%26keyword%3Dsaklar+broco+4+tombol%26search_id%3D202606221027085B8ADD2A5D98B11C6WYU%26src%3Dsearch&amp;t_id=1782124036726&amp;t_st=1&amp;t_pp=search_result&amp;t_efo=search_pure_goods_card&amp;t_ef=goods_search&amp;t_sm=&amp;t_spt=search_result</v>
      </c>
      <c r="L814" s="3" t="str">
        <f>IFERROR(__xludf.DUMMYFUNCTION("""COMPUTED_VALUE"""),"Buat Project New Filling")</f>
        <v>Buat Project New Filling</v>
      </c>
      <c r="M814" s="3" t="str">
        <f>IFERROR(__xludf.DUMMYFUNCTION("""COMPUTED_VALUE"""),"Approve")</f>
        <v>Approve</v>
      </c>
      <c r="N814" s="3" t="str">
        <f>IFERROR(__xludf.DUMMYFUNCTION("""COMPUTED_VALUE"""),"Normal")</f>
        <v>Normal</v>
      </c>
      <c r="O814" s="3" t="str">
        <f>IFERROR(__xludf.DUMMYFUNCTION("""COMPUTED_VALUE"""),"Non Urgent")</f>
        <v>Non Urgent</v>
      </c>
    </row>
    <row r="815">
      <c r="A815" s="4">
        <f>IFERROR(__xludf.DUMMYFUNCTION("""COMPUTED_VALUE"""),46195.73674716435)</f>
        <v>46195.73675</v>
      </c>
      <c r="B815" s="3" t="str">
        <f>IFERROR(__xludf.DUMMYFUNCTION("""COMPUTED_VALUE"""),"RIABR0177")</f>
        <v>RIABR0177</v>
      </c>
      <c r="C815" s="3" t="str">
        <f>IFERROR(__xludf.DUMMYFUNCTION("""COMPUTED_VALUE"""),"EJO")</f>
        <v>EJO</v>
      </c>
      <c r="D815" s="3" t="str">
        <f>IFERROR(__xludf.DUMMYFUNCTION("""COMPUTED_VALUE"""),"-")</f>
        <v>-</v>
      </c>
      <c r="E815" s="3" t="str">
        <f>IFERROR(__xludf.DUMMYFUNCTION("""COMPUTED_VALUE"""),"R Filling")</f>
        <v>R Filling</v>
      </c>
      <c r="F815" s="3" t="str">
        <f>IFERROR(__xludf.DUMMYFUNCTION("""COMPUTED_VALUE"""),"Elbow")</f>
        <v>Elbow</v>
      </c>
      <c r="G815" s="3" t="str">
        <f>IFERROR(__xludf.DUMMYFUNCTION("""COMPUTED_VALUE"""),"Elbow Pipa Listrik 20mm")</f>
        <v>Elbow Pipa Listrik 20mm</v>
      </c>
      <c r="H815" s="3" t="str">
        <f>IFERROR(__xludf.DUMMYFUNCTION("""COMPUTED_VALUE"""),"Boss")</f>
        <v>Boss</v>
      </c>
      <c r="I815" s="3">
        <f>IFERROR(__xludf.DUMMYFUNCTION("""COMPUTED_VALUE"""),20.0)</f>
        <v>20</v>
      </c>
      <c r="J815" s="3" t="str">
        <f>IFERROR(__xludf.DUMMYFUNCTION("""COMPUTED_VALUE"""),"Pcs")</f>
        <v>Pcs</v>
      </c>
      <c r="K815" s="5" t="str">
        <f>IFERROR(__xludf.DUMMYFUNCTION("""COMPUTED_VALUE"""),"https://www.tokopedia.com/sahabatlistrik-1/elbow-pipa-listrik-20mm-knee-pipa-conduit-20mm-boss-hitam-purih-1730927430286542137?extParam=ivf%3Dfalse%26keyword%3Delbow+conduit+20mm+boss%26search_id%3D2026062210295058238E9AE2DD303982NZ%26src%3Dsearch&amp;t_id=17"&amp;"82124198570&amp;t_st=1&amp;t_pp=search_result&amp;t_efo=search_pure_goods_card&amp;t_ef=goods_search&amp;t_sm=&amp;t_spt=search_result")</f>
        <v>https://www.tokopedia.com/sahabatlistrik-1/elbow-pipa-listrik-20mm-knee-pipa-conduit-20mm-boss-hitam-purih-1730927430286542137?extParam=ivf%3Dfalse%26keyword%3Delbow+conduit+20mm+boss%26search_id%3D2026062210295058238E9AE2DD303982NZ%26src%3Dsearch&amp;t_id=1782124198570&amp;t_st=1&amp;t_pp=search_result&amp;t_efo=search_pure_goods_card&amp;t_ef=goods_search&amp;t_sm=&amp;t_spt=search_result</v>
      </c>
      <c r="L815" s="3" t="str">
        <f>IFERROR(__xludf.DUMMYFUNCTION("""COMPUTED_VALUE"""),"Buat Project New Filling")</f>
        <v>Buat Project New Filling</v>
      </c>
      <c r="M815" s="3" t="str">
        <f>IFERROR(__xludf.DUMMYFUNCTION("""COMPUTED_VALUE"""),"Approve")</f>
        <v>Approve</v>
      </c>
      <c r="N815" s="3" t="str">
        <f>IFERROR(__xludf.DUMMYFUNCTION("""COMPUTED_VALUE"""),"Normal")</f>
        <v>Normal</v>
      </c>
      <c r="O815" s="3" t="str">
        <f>IFERROR(__xludf.DUMMYFUNCTION("""COMPUTED_VALUE"""),"Non Urgent")</f>
        <v>Non Urgent</v>
      </c>
    </row>
    <row r="816">
      <c r="A816" s="4">
        <f>IFERROR(__xludf.DUMMYFUNCTION("""COMPUTED_VALUE"""),46195.74012084491)</f>
        <v>46195.74012</v>
      </c>
      <c r="B816" s="3" t="str">
        <f>IFERROR(__xludf.DUMMYFUNCTION("""COMPUTED_VALUE"""),"RIABR0178")</f>
        <v>RIABR0178</v>
      </c>
      <c r="C816" s="3" t="str">
        <f>IFERROR(__xludf.DUMMYFUNCTION("""COMPUTED_VALUE"""),"EJO")</f>
        <v>EJO</v>
      </c>
      <c r="D816" s="3" t="str">
        <f>IFERROR(__xludf.DUMMYFUNCTION("""COMPUTED_VALUE"""),"EJO/2026/06/102")</f>
        <v>EJO/2026/06/102</v>
      </c>
      <c r="E816" s="3" t="str">
        <f>IFERROR(__xludf.DUMMYFUNCTION("""COMPUTED_VALUE"""),"P ASRS")</f>
        <v>P ASRS</v>
      </c>
      <c r="F816" s="3" t="str">
        <f>IFERROR(__xludf.DUMMYFUNCTION("""COMPUTED_VALUE"""),"Kunci Panel")</f>
        <v>Kunci Panel</v>
      </c>
      <c r="G816" s="3" t="str">
        <f>IFERROR(__xludf.DUMMYFUNCTION("""COMPUTED_VALUE"""),"Nama: Handle Pintu Kabinet dengan Kunci.
- Seri: MS490.
- Material: Nylon Kekuatan Tinggi.
- Warna Tersedia: Hitam dan Putih.
- Bentuk: Persegi Panjang dengan Sudut Lancip.")</f>
        <v>Nama: Handle Pintu Kabinet dengan Kunci.
- Seri: MS490.
- Material: Nylon Kekuatan Tinggi.
- Warna Tersedia: Hitam dan Putih.
- Bentuk: Persegi Panjang dengan Sudut Lancip.</v>
      </c>
      <c r="H816" s="3" t="str">
        <f>IFERROR(__xludf.DUMMYFUNCTION("""COMPUTED_VALUE"""),"Lokal")</f>
        <v>Lokal</v>
      </c>
      <c r="I816" s="3">
        <f>IFERROR(__xludf.DUMMYFUNCTION("""COMPUTED_VALUE"""),5.0)</f>
        <v>5</v>
      </c>
      <c r="J816" s="3" t="str">
        <f>IFERROR(__xludf.DUMMYFUNCTION("""COMPUTED_VALUE"""),"Pcs")</f>
        <v>Pcs</v>
      </c>
      <c r="K816" s="5" t="str">
        <f>IFERROR(__xludf.DUMMYFUNCTION("""COMPUTED_VALUE"""),"https://www.tokopedia.com/singa-henry/kunci-box-panel-listrik-push-lock-tipe-persegi-material-nylon-tahan-lama-anti-maling-untuk-industri-1733403265038255849?extParam=ivf%3Dfalse%26keyword%3Dkunci+panel+listrik%26search_id%3D202606220913438DD48D6A2E2CAD07"&amp;"BH1P%26src%3Dsearch&amp;t_id=1782119645314&amp;t_st=1&amp;t_pp=search_result&amp;t_efo=search_pure_goods_card&amp;t_ef=goods_search&amp;t_sm=&amp;t_spt=search_result")</f>
        <v>https://www.tokopedia.com/singa-henry/kunci-box-panel-listrik-push-lock-tipe-persegi-material-nylon-tahan-lama-anti-maling-untuk-industri-1733403265038255849?extParam=ivf%3Dfalse%26keyword%3Dkunci+panel+listrik%26search_id%3D202606220913438DD48D6A2E2CAD07BH1P%26src%3Dsearch&amp;t_id=1782119645314&amp;t_st=1&amp;t_pp=search_result&amp;t_efo=search_pure_goods_card&amp;t_ef=goods_search&amp;t_sm=&amp;t_spt=search_result</v>
      </c>
      <c r="L816" s="3" t="str">
        <f>IFERROR(__xludf.DUMMYFUNCTION("""COMPUTED_VALUE"""),"Untuk ganti kunci panel")</f>
        <v>Untuk ganti kunci panel</v>
      </c>
      <c r="M816" s="3" t="str">
        <f>IFERROR(__xludf.DUMMYFUNCTION("""COMPUTED_VALUE"""),"Approve")</f>
        <v>Approve</v>
      </c>
      <c r="N816" s="3" t="str">
        <f>IFERROR(__xludf.DUMMYFUNCTION("""COMPUTED_VALUE"""),"Normal")</f>
        <v>Normal</v>
      </c>
      <c r="O816" s="3" t="str">
        <f>IFERROR(__xludf.DUMMYFUNCTION("""COMPUTED_VALUE"""),"Non Urgent")</f>
        <v>Non Urgent</v>
      </c>
    </row>
    <row r="817">
      <c r="A817" s="4">
        <f>IFERROR(__xludf.DUMMYFUNCTION("""COMPUTED_VALUE"""),46195.88062890047)</f>
        <v>46195.88063</v>
      </c>
      <c r="B817" s="3" t="str">
        <f>IFERROR(__xludf.DUMMYFUNCTION("""COMPUTED_VALUE"""),"RIABR0179")</f>
        <v>RIABR0179</v>
      </c>
      <c r="C817" s="3" t="str">
        <f>IFERROR(__xludf.DUMMYFUNCTION("""COMPUTED_VALUE"""),"EJO")</f>
        <v>EJO</v>
      </c>
      <c r="D817" s="3" t="str">
        <f>IFERROR(__xludf.DUMMYFUNCTION("""COMPUTED_VALUE"""),"-")</f>
        <v>-</v>
      </c>
      <c r="E817" s="3" t="str">
        <f>IFERROR(__xludf.DUMMYFUNCTION("""COMPUTED_VALUE"""),"R Filling")</f>
        <v>R Filling</v>
      </c>
      <c r="F817" s="3" t="str">
        <f>IFERROR(__xludf.DUMMYFUNCTION("""COMPUTED_VALUE"""),"Saklar")</f>
        <v>Saklar</v>
      </c>
      <c r="G817" s="3" t="str">
        <f>IFERROR(__xludf.DUMMYFUNCTION("""COMPUTED_VALUE"""),"Schneider Electric S-Classic Saklar Lampu 3 Gang 1W - E33 1 2AR_WE_G3")</f>
        <v>Schneider Electric S-Classic Saklar Lampu 3 Gang 1W - E33 1 2AR_WE_G3</v>
      </c>
      <c r="H817" s="3" t="str">
        <f>IFERROR(__xludf.DUMMYFUNCTION("""COMPUTED_VALUE"""),"Schneider")</f>
        <v>Schneider</v>
      </c>
      <c r="I817" s="3">
        <f>IFERROR(__xludf.DUMMYFUNCTION("""COMPUTED_VALUE"""),1.0)</f>
        <v>1</v>
      </c>
      <c r="J817" s="3" t="str">
        <f>IFERROR(__xludf.DUMMYFUNCTION("""COMPUTED_VALUE"""),"Pcs")</f>
        <v>Pcs</v>
      </c>
      <c r="K817" s="5" t="str">
        <f>IFERROR(__xludf.DUMMYFUNCTION("""COMPUTED_VALUE"""),"https://www.tokopedia.com/harmonielectric/schneider-electric-s-classic-saklar-lampu-3-gang-1w-e33-1-2ar-we-g3?extParam=ivf%3Dfalse%26keyword%3Dsaklar+schneider+3+gang%26search_id%3D20260622140706371BCE7DC8381719EOWW%26src%3Dsearch&amp;t_id=1782137231036&amp;t_st="&amp;"1&amp;t_pp=search_result&amp;t_efo=search_pure_goods_card&amp;t_ef=goods_search&amp;t_sm=&amp;t_spt=search_result")</f>
        <v>https://www.tokopedia.com/harmonielectric/schneider-electric-s-classic-saklar-lampu-3-gang-1w-e33-1-2ar-we-g3?extParam=ivf%3Dfalse%26keyword%3Dsaklar+schneider+3+gang%26search_id%3D20260622140706371BCE7DC8381719EOWW%26src%3Dsearch&amp;t_id=1782137231036&amp;t_st=1&amp;t_pp=search_result&amp;t_efo=search_pure_goods_card&amp;t_ef=goods_search&amp;t_sm=&amp;t_spt=search_result</v>
      </c>
      <c r="L817" s="3" t="str">
        <f>IFERROR(__xludf.DUMMYFUNCTION("""COMPUTED_VALUE"""),"Buat Project New Filling")</f>
        <v>Buat Project New Filling</v>
      </c>
      <c r="M817" s="3" t="str">
        <f>IFERROR(__xludf.DUMMYFUNCTION("""COMPUTED_VALUE"""),"Approve")</f>
        <v>Approve</v>
      </c>
      <c r="N817" s="3" t="str">
        <f>IFERROR(__xludf.DUMMYFUNCTION("""COMPUTED_VALUE"""),"Normal")</f>
        <v>Normal</v>
      </c>
      <c r="O817" s="3" t="str">
        <f>IFERROR(__xludf.DUMMYFUNCTION("""COMPUTED_VALUE"""),"Non Urgent")</f>
        <v>Non Urgent</v>
      </c>
    </row>
    <row r="818">
      <c r="A818" s="4">
        <f>IFERROR(__xludf.DUMMYFUNCTION("""COMPUTED_VALUE"""),46196.26767609954)</f>
        <v>46196.26768</v>
      </c>
      <c r="B818" s="3" t="str">
        <f>IFERROR(__xludf.DUMMYFUNCTION("""COMPUTED_VALUE"""),"ROSBR0099")</f>
        <v>ROSBR0099</v>
      </c>
      <c r="C818" s="3" t="str">
        <f>IFERROR(__xludf.DUMMYFUNCTION("""COMPUTED_VALUE"""),"Critical Part")</f>
        <v>Critical Part</v>
      </c>
      <c r="D818" s="3" t="str">
        <f>IFERROR(__xludf.DUMMYFUNCTION("""COMPUTED_VALUE"""),"EJO/2026/06/085")</f>
        <v>EJO/2026/06/085</v>
      </c>
      <c r="E818" s="3" t="str">
        <f>IFERROR(__xludf.DUMMYFUNCTION("""COMPUTED_VALUE"""),"CLU")</f>
        <v>CLU</v>
      </c>
      <c r="F818" s="3" t="str">
        <f>IFERROR(__xludf.DUMMYFUNCTION("""COMPUTED_VALUE"""),"Limit Switch ")</f>
        <v>Limit Switch </v>
      </c>
      <c r="G818" s="3" t="str">
        <f>IFERROR(__xludf.DUMMYFUNCTION("""COMPUTED_VALUE"""),"Limit Switch CLU ULP
Schneider Electric LIMIT SWITCH HEAD-ZCKE65")</f>
        <v>Limit Switch CLU ULP
Schneider Electric LIMIT SWITCH HEAD-ZCKE65</v>
      </c>
      <c r="H818" s="3" t="str">
        <f>IFERROR(__xludf.DUMMYFUNCTION("""COMPUTED_VALUE"""),"Schneider")</f>
        <v>Schneider</v>
      </c>
      <c r="I818" s="3">
        <f>IFERROR(__xludf.DUMMYFUNCTION("""COMPUTED_VALUE"""),1.0)</f>
        <v>1</v>
      </c>
      <c r="J818" s="3" t="str">
        <f>IFERROR(__xludf.DUMMYFUNCTION("""COMPUTED_VALUE"""),"Pcs")</f>
        <v>Pcs</v>
      </c>
      <c r="K818" s="5" t="str">
        <f>IFERROR(__xludf.DUMMYFUNCTION("""COMPUTED_VALUE"""),"https://toco.id/listing/schneider-electric-limit-switch-head-zcke65?srsltid=AfmBOorkBEYohk8_P-kOz1LzRMAN6AZKfzX7ZxmTzIAIbb3slal-ZGVh")</f>
        <v>https://toco.id/listing/schneider-electric-limit-switch-head-zcke65?srsltid=AfmBOorkBEYohk8_P-kOz1LzRMAN6AZKfzX7ZxmTzIAIbb3slal-ZGVh</v>
      </c>
      <c r="L818" s="3" t="str">
        <f>IFERROR(__xludf.DUMMYFUNCTION("""COMPUTED_VALUE"""),"type 
ZCKE65")</f>
        <v>type 
ZCKE65</v>
      </c>
      <c r="M818" s="3" t="str">
        <f>IFERROR(__xludf.DUMMYFUNCTION("""COMPUTED_VALUE"""),"Waiting")</f>
        <v>Waiting</v>
      </c>
      <c r="N818" s="3" t="str">
        <f>IFERROR(__xludf.DUMMYFUNCTION("""COMPUTED_VALUE"""),"Waiting")</f>
        <v>Waiting</v>
      </c>
      <c r="O818" s="3" t="str">
        <f>IFERROR(__xludf.DUMMYFUNCTION("""COMPUTED_VALUE"""),"Non Urgent")</f>
        <v>Non Urgent</v>
      </c>
    </row>
    <row r="819">
      <c r="A819" s="4">
        <f>IFERROR(__xludf.DUMMYFUNCTION("""COMPUTED_VALUE"""),46196.27835744213)</f>
        <v>46196.27836</v>
      </c>
      <c r="B819" s="3" t="str">
        <f>IFERROR(__xludf.DUMMYFUNCTION("""COMPUTED_VALUE"""),"ROSBR0100")</f>
        <v>ROSBR0100</v>
      </c>
      <c r="C819" s="3" t="str">
        <f>IFERROR(__xludf.DUMMYFUNCTION("""COMPUTED_VALUE"""),"Critical Part")</f>
        <v>Critical Part</v>
      </c>
      <c r="D819" s="3" t="str">
        <f>IFERROR(__xludf.DUMMYFUNCTION("""COMPUTED_VALUE"""),"EJO/2026/06/085")</f>
        <v>EJO/2026/06/085</v>
      </c>
      <c r="E819" s="3" t="str">
        <f>IFERROR(__xludf.DUMMYFUNCTION("""COMPUTED_VALUE"""),"CLU")</f>
        <v>CLU</v>
      </c>
      <c r="F819" s="3" t="str">
        <f>IFERROR(__xludf.DUMMYFUNCTION("""COMPUTED_VALUE"""),"Body Switch")</f>
        <v>Body Switch</v>
      </c>
      <c r="G819" s="3" t="str">
        <f>IFERROR(__xludf.DUMMYFUNCTION("""COMPUTED_VALUE"""),"Type
ZCKJ1H29 Limit switch Telemecanique New
EN/ IEC 60947-5-1
Ui:500v Uimp:6kV
AC 15 240V 3A")</f>
        <v>Type
ZCKJ1H29 Limit switch Telemecanique New
EN/ IEC 60947-5-1
Ui:500v Uimp:6kV
AC 15 240V 3A</v>
      </c>
      <c r="H819" s="3" t="str">
        <f>IFERROR(__xludf.DUMMYFUNCTION("""COMPUTED_VALUE"""),"Telemecanique")</f>
        <v>Telemecanique</v>
      </c>
      <c r="I819" s="3">
        <f>IFERROR(__xludf.DUMMYFUNCTION("""COMPUTED_VALUE"""),1.0)</f>
        <v>1</v>
      </c>
      <c r="J819" s="3" t="str">
        <f>IFERROR(__xludf.DUMMYFUNCTION("""COMPUTED_VALUE"""),"pcs")</f>
        <v>pcs</v>
      </c>
      <c r="K819" s="5" t="str">
        <f>IFERROR(__xludf.DUMMYFUNCTION("""COMPUTED_VALUE"""),"https://www.tokopedia.com/archive-mfpteknik-1631/zckj1h29-limit-switch-telemecanique-new?t_id=1782171122044&amp;t_st=6&amp;t_pp=cart&amp;t_efo=cart&amp;t_ef=&amp;t_sm=&amp;t_spt=cart")</f>
        <v>https://www.tokopedia.com/archive-mfpteknik-1631/zckj1h29-limit-switch-telemecanique-new?t_id=1782171122044&amp;t_st=6&amp;t_pp=cart&amp;t_efo=cart&amp;t_ef=&amp;t_sm=&amp;t_spt=cart</v>
      </c>
      <c r="L819" s="3" t="str">
        <f>IFERROR(__xludf.DUMMYFUNCTION("""COMPUTED_VALUE"""),"Type
ZCKJ1H29 Limit switch Telemecanique New")</f>
        <v>Type
ZCKJ1H29 Limit switch Telemecanique New</v>
      </c>
      <c r="M819" s="3" t="str">
        <f>IFERROR(__xludf.DUMMYFUNCTION("""COMPUTED_VALUE"""),"Approve")</f>
        <v>Approve</v>
      </c>
      <c r="N819" s="3" t="str">
        <f>IFERROR(__xludf.DUMMYFUNCTION("""COMPUTED_VALUE"""),"Normal")</f>
        <v>Normal</v>
      </c>
      <c r="O819" s="3" t="str">
        <f>IFERROR(__xludf.DUMMYFUNCTION("""COMPUTED_VALUE"""),"Non Urgent")</f>
        <v>Non Urgent</v>
      </c>
    </row>
    <row r="820">
      <c r="A820" s="4">
        <f>IFERROR(__xludf.DUMMYFUNCTION("""COMPUTED_VALUE"""),46196.40780642361)</f>
        <v>46196.40781</v>
      </c>
      <c r="B820" s="3" t="str">
        <f>IFERROR(__xludf.DUMMYFUNCTION("""COMPUTED_VALUE"""),"ANOBR0084")</f>
        <v>ANOBR0084</v>
      </c>
      <c r="C820" s="3" t="str">
        <f>IFERROR(__xludf.DUMMYFUNCTION("""COMPUTED_VALUE"""),"Consumable")</f>
        <v>Consumable</v>
      </c>
      <c r="D820" s="3" t="str">
        <f>IFERROR(__xludf.DUMMYFUNCTION("""COMPUTED_VALUE"""),"-")</f>
        <v>-</v>
      </c>
      <c r="E820" s="3" t="str">
        <f>IFERROR(__xludf.DUMMYFUNCTION("""COMPUTED_VALUE"""),"workshop")</f>
        <v>workshop</v>
      </c>
      <c r="F820" s="3" t="str">
        <f>IFERROR(__xludf.DUMMYFUNCTION("""COMPUTED_VALUE"""),"tabung gas argon")</f>
        <v>tabung gas argon</v>
      </c>
      <c r="G820" s="3" t="str">
        <f>IFERROR(__xludf.DUMMYFUNCTION("""COMPUTED_VALUE"""),"tabung gas argon")</f>
        <v>tabung gas argon</v>
      </c>
      <c r="H820" s="3" t="str">
        <f>IFERROR(__xludf.DUMMYFUNCTION("""COMPUTED_VALUE"""),"-")</f>
        <v>-</v>
      </c>
      <c r="I820" s="3">
        <f>IFERROR(__xludf.DUMMYFUNCTION("""COMPUTED_VALUE"""),1.0)</f>
        <v>1</v>
      </c>
      <c r="J820" s="3" t="str">
        <f>IFERROR(__xludf.DUMMYFUNCTION("""COMPUTED_VALUE"""),"tabung")</f>
        <v>tabung</v>
      </c>
      <c r="K820" s="3" t="str">
        <f>IFERROR(__xludf.DUMMYFUNCTION("""COMPUTED_VALUE"""),"-")</f>
        <v>-</v>
      </c>
      <c r="L820" s="3" t="str">
        <f>IFERROR(__xludf.DUMMYFUNCTION("""COMPUTED_VALUE"""),"kebutuhan penggantian pipa FW lt 2")</f>
        <v>kebutuhan penggantian pipa FW lt 2</v>
      </c>
      <c r="M820" s="3" t="str">
        <f>IFERROR(__xludf.DUMMYFUNCTION("""COMPUTED_VALUE"""),"Approve")</f>
        <v>Approve</v>
      </c>
      <c r="N820" s="3" t="str">
        <f>IFERROR(__xludf.DUMMYFUNCTION("""COMPUTED_VALUE"""),"Normal")</f>
        <v>Normal</v>
      </c>
      <c r="O820" s="3" t="str">
        <f>IFERROR(__xludf.DUMMYFUNCTION("""COMPUTED_VALUE"""),"Non Urgent")</f>
        <v>Non Urgent</v>
      </c>
    </row>
    <row r="821">
      <c r="A821" s="4">
        <f>IFERROR(__xludf.DUMMYFUNCTION("""COMPUTED_VALUE"""),46196.7418049537)</f>
        <v>46196.7418</v>
      </c>
      <c r="B821" s="3" t="str">
        <f>IFERROR(__xludf.DUMMYFUNCTION("""COMPUTED_VALUE"""),"RIABR0180")</f>
        <v>RIABR0180</v>
      </c>
      <c r="C821" s="3" t="str">
        <f>IFERROR(__xludf.DUMMYFUNCTION("""COMPUTED_VALUE"""),"EJO")</f>
        <v>EJO</v>
      </c>
      <c r="D821" s="3" t="str">
        <f>IFERROR(__xludf.DUMMYFUNCTION("""COMPUTED_VALUE"""),"EJO/2026/06/155")</f>
        <v>EJO/2026/06/155</v>
      </c>
      <c r="E821" s="3" t="str">
        <f>IFERROR(__xludf.DUMMYFUNCTION("""COMPUTED_VALUE"""),"PC BMS")</f>
        <v>PC BMS</v>
      </c>
      <c r="F821" s="3" t="str">
        <f>IFERROR(__xludf.DUMMYFUNCTION("""COMPUTED_VALUE"""),"RAM")</f>
        <v>RAM</v>
      </c>
      <c r="G821" s="3" t="str">
        <f>IFERROR(__xludf.DUMMYFUNCTION("""COMPUTED_VALUE"""),"Samsung RAM 16 GB DDR5 PC5-4800B UDIMM M323R2GA3BB0-CQK0L")</f>
        <v>Samsung RAM 16 GB DDR5 PC5-4800B UDIMM M323R2GA3BB0-CQK0L</v>
      </c>
      <c r="H821" s="3" t="str">
        <f>IFERROR(__xludf.DUMMYFUNCTION("""COMPUTED_VALUE"""),"Samsung")</f>
        <v>Samsung</v>
      </c>
      <c r="I821" s="3">
        <f>IFERROR(__xludf.DUMMYFUNCTION("""COMPUTED_VALUE"""),2.0)</f>
        <v>2</v>
      </c>
      <c r="J821" s="3" t="str">
        <f>IFERROR(__xludf.DUMMYFUNCTION("""COMPUTED_VALUE"""),"Pcs")</f>
        <v>Pcs</v>
      </c>
      <c r="K821" s="5" t="str">
        <f>IFERROR(__xludf.DUMMYFUNCTION("""COMPUTED_VALUE"""),"https://www.blibli.com/p/ram-pc-samsung-ddr5-16gb-pc-38400-4800-mhz-longdimm-memory-pc5-1-1v/is--DAY-70061-00411-00001?pickupPointCode=PP-3493272")</f>
        <v>https://www.blibli.com/p/ram-pc-samsung-ddr5-16gb-pc-38400-4800-mhz-longdimm-memory-pc5-1-1v/is--DAY-70061-00411-00001?pickupPointCode=PP-3493272</v>
      </c>
      <c r="L821" s="3" t="str">
        <f>IFERROR(__xludf.DUMMYFUNCTION("""COMPUTED_VALUE"""),"Buat nambah ram pc bms osd")</f>
        <v>Buat nambah ram pc bms osd</v>
      </c>
      <c r="M821" s="3" t="str">
        <f>IFERROR(__xludf.DUMMYFUNCTION("""COMPUTED_VALUE"""),"Approve")</f>
        <v>Approve</v>
      </c>
      <c r="N821" s="3" t="str">
        <f>IFERROR(__xludf.DUMMYFUNCTION("""COMPUTED_VALUE"""),"Normal")</f>
        <v>Normal</v>
      </c>
      <c r="O821" s="3" t="str">
        <f>IFERROR(__xludf.DUMMYFUNCTION("""COMPUTED_VALUE"""),"Non Urgent")</f>
        <v>Non Urgent</v>
      </c>
    </row>
    <row r="822">
      <c r="A822" s="4">
        <f>IFERROR(__xludf.DUMMYFUNCTION("""COMPUTED_VALUE"""),46196.74315239583)</f>
        <v>46196.74315</v>
      </c>
      <c r="B822" s="3" t="str">
        <f>IFERROR(__xludf.DUMMYFUNCTION("""COMPUTED_VALUE"""),"RIABR0181")</f>
        <v>RIABR0181</v>
      </c>
      <c r="C822" s="3" t="str">
        <f>IFERROR(__xludf.DUMMYFUNCTION("""COMPUTED_VALUE"""),"EJO")</f>
        <v>EJO</v>
      </c>
      <c r="D822" s="3" t="str">
        <f>IFERROR(__xludf.DUMMYFUNCTION("""COMPUTED_VALUE"""),"EJO/2026/06/156")</f>
        <v>EJO/2026/06/156</v>
      </c>
      <c r="E822" s="3" t="str">
        <f>IFERROR(__xludf.DUMMYFUNCTION("""COMPUTED_VALUE"""),"PC EMS")</f>
        <v>PC EMS</v>
      </c>
      <c r="F822" s="3" t="str">
        <f>IFERROR(__xludf.DUMMYFUNCTION("""COMPUTED_VALUE"""),"RAM")</f>
        <v>RAM</v>
      </c>
      <c r="G822" s="3" t="str">
        <f>IFERROR(__xludf.DUMMYFUNCTION("""COMPUTED_VALUE"""),"Samsung RAM 16 GB DDR5 PC5-4800B UDIMM M323R2GA3BB0-CQK0L")</f>
        <v>Samsung RAM 16 GB DDR5 PC5-4800B UDIMM M323R2GA3BB0-CQK0L</v>
      </c>
      <c r="H822" s="3" t="str">
        <f>IFERROR(__xludf.DUMMYFUNCTION("""COMPUTED_VALUE"""),"Samsung")</f>
        <v>Samsung</v>
      </c>
      <c r="I822" s="3">
        <f>IFERROR(__xludf.DUMMYFUNCTION("""COMPUTED_VALUE"""),2.0)</f>
        <v>2</v>
      </c>
      <c r="J822" s="3" t="str">
        <f>IFERROR(__xludf.DUMMYFUNCTION("""COMPUTED_VALUE"""),"Pcs")</f>
        <v>Pcs</v>
      </c>
      <c r="K822" s="5" t="str">
        <f>IFERROR(__xludf.DUMMYFUNCTION("""COMPUTED_VALUE"""),"https://www.blibli.com/p/ram-pc-samsung-ddr5-16gb-pc-38400-4800-mhz-longdimm-memory-pc5-1-1v/is--DAY-70061-00411-00001?pickupPointCode=PP-3493272")</f>
        <v>https://www.blibli.com/p/ram-pc-samsung-ddr5-16gb-pc-38400-4800-mhz-longdimm-memory-pc5-1-1v/is--DAY-70061-00411-00001?pickupPointCode=PP-3493272</v>
      </c>
      <c r="L822" s="3" t="str">
        <f>IFERROR(__xludf.DUMMYFUNCTION("""COMPUTED_VALUE"""),"Buat nambah ram pc Ems osd")</f>
        <v>Buat nambah ram pc Ems osd</v>
      </c>
      <c r="M822" s="3" t="str">
        <f>IFERROR(__xludf.DUMMYFUNCTION("""COMPUTED_VALUE"""),"Approve")</f>
        <v>Approve</v>
      </c>
      <c r="N822" s="3" t="str">
        <f>IFERROR(__xludf.DUMMYFUNCTION("""COMPUTED_VALUE"""),"Normal")</f>
        <v>Normal</v>
      </c>
      <c r="O822" s="3" t="str">
        <f>IFERROR(__xludf.DUMMYFUNCTION("""COMPUTED_VALUE"""),"Non Urgent")</f>
        <v>Non Urgent</v>
      </c>
    </row>
    <row r="823">
      <c r="A823" s="4">
        <f>IFERROR(__xludf.DUMMYFUNCTION("""COMPUTED_VALUE"""),46197.16986032407)</f>
        <v>46197.16986</v>
      </c>
      <c r="B823" s="3" t="str">
        <f>IFERROR(__xludf.DUMMYFUNCTION("""COMPUTED_VALUE"""),"ROSBR0101")</f>
        <v>ROSBR0101</v>
      </c>
      <c r="C823" s="3" t="str">
        <f>IFERROR(__xludf.DUMMYFUNCTION("""COMPUTED_VALUE"""),"Critical Part")</f>
        <v>Critical Part</v>
      </c>
      <c r="D823" s="3" t="str">
        <f>IFERROR(__xludf.DUMMYFUNCTION("""COMPUTED_VALUE"""),"-")</f>
        <v>-</v>
      </c>
      <c r="E823" s="3" t="str">
        <f>IFERROR(__xludf.DUMMYFUNCTION("""COMPUTED_VALUE"""),"FD")</f>
        <v>FD</v>
      </c>
      <c r="F823" s="3" t="str">
        <f>IFERROR(__xludf.DUMMYFUNCTION("""COMPUTED_VALUE"""),"Intermediate Plate ")</f>
        <v>Intermediate Plate </v>
      </c>
      <c r="G823" s="3" t="str">
        <f>IFERROR(__xludf.DUMMYFUNCTION("""COMPUTED_VALUE"""),"Intermedate Plate Uk 10x 14 x 450 mm 
Machining Plate Mat'l SUS 304
Proses Milling
Profil Chamfer
Coating Teflon
Finishing")</f>
        <v>Intermedate Plate Uk 10x 14 x 450 mm 
Machining Plate Mat'l SUS 304
Proses Milling
Profil Chamfer
Coating Teflon
Finishing</v>
      </c>
      <c r="H823" s="3" t="str">
        <f>IFERROR(__xludf.DUMMYFUNCTION("""COMPUTED_VALUE"""),"Lokal ")</f>
        <v>Lokal </v>
      </c>
      <c r="I823" s="3">
        <f>IFERROR(__xludf.DUMMYFUNCTION("""COMPUTED_VALUE"""),1.0)</f>
        <v>1</v>
      </c>
      <c r="J823" s="3" t="str">
        <f>IFERROR(__xludf.DUMMYFUNCTION("""COMPUTED_VALUE"""),"set")</f>
        <v>set</v>
      </c>
      <c r="K823" s="5" t="str">
        <f>IFERROR(__xludf.DUMMYFUNCTION("""COMPUTED_VALUE"""),"https://drive.google.com/drive/folders/1Nxa-kITa5hGlsg9vl9Z78Bel2dfnwsH6?usp=drive_link")</f>
        <v>https://drive.google.com/drive/folders/1Nxa-kITa5hGlsg9vl9Z78Bel2dfnwsH6?usp=drive_link</v>
      </c>
      <c r="L823" s="3" t="str">
        <f>IFERROR(__xludf.DUMMYFUNCTION("""COMPUTED_VALUE"""),"-")</f>
        <v>-</v>
      </c>
      <c r="M823" s="3" t="str">
        <f>IFERROR(__xludf.DUMMYFUNCTION("""COMPUTED_VALUE"""),"Approve")</f>
        <v>Approve</v>
      </c>
      <c r="N823" s="3" t="str">
        <f>IFERROR(__xludf.DUMMYFUNCTION("""COMPUTED_VALUE"""),"Normal")</f>
        <v>Normal</v>
      </c>
      <c r="O823" s="3" t="str">
        <f>IFERROR(__xludf.DUMMYFUNCTION("""COMPUTED_VALUE"""),"Non Urgent")</f>
        <v>Non Urgent</v>
      </c>
    </row>
    <row r="824">
      <c r="A824" s="4">
        <f>IFERROR(__xludf.DUMMYFUNCTION("""COMPUTED_VALUE"""),46197.1709202662)</f>
        <v>46197.17092</v>
      </c>
      <c r="B824" s="3" t="str">
        <f>IFERROR(__xludf.DUMMYFUNCTION("""COMPUTED_VALUE"""),"ROSBR0102")</f>
        <v>ROSBR0102</v>
      </c>
      <c r="C824" s="3" t="str">
        <f>IFERROR(__xludf.DUMMYFUNCTION("""COMPUTED_VALUE"""),"Critical Part")</f>
        <v>Critical Part</v>
      </c>
      <c r="D824" s="3" t="str">
        <f>IFERROR(__xludf.DUMMYFUNCTION("""COMPUTED_VALUE"""),"-")</f>
        <v>-</v>
      </c>
      <c r="E824" s="3" t="str">
        <f>IFERROR(__xludf.DUMMYFUNCTION("""COMPUTED_VALUE"""),"FD")</f>
        <v>FD</v>
      </c>
      <c r="F824" s="3" t="str">
        <f>IFERROR(__xludf.DUMMYFUNCTION("""COMPUTED_VALUE"""),"Guide Shelf")</f>
        <v>Guide Shelf</v>
      </c>
      <c r="G824" s="3" t="str">
        <f>IFERROR(__xludf.DUMMYFUNCTION("""COMPUTED_VALUE"""),"Guide Shelf FD Uk 8x 11 x 1174 mm 
Specifikasi :
Machining Plate Mat'l SUS 304
Proses Milling
Profil Guide
Coating Teflon
Finishing")</f>
        <v>Guide Shelf FD Uk 8x 11 x 1174 mm 
Specifikasi :
Machining Plate Mat'l SUS 304
Proses Milling
Profil Guide
Coating Teflon
Finishing</v>
      </c>
      <c r="H824" s="3" t="str">
        <f>IFERROR(__xludf.DUMMYFUNCTION("""COMPUTED_VALUE"""),"Lokal ")</f>
        <v>Lokal </v>
      </c>
      <c r="I824" s="3">
        <f>IFERROR(__xludf.DUMMYFUNCTION("""COMPUTED_VALUE"""),1.0)</f>
        <v>1</v>
      </c>
      <c r="J824" s="3" t="str">
        <f>IFERROR(__xludf.DUMMYFUNCTION("""COMPUTED_VALUE"""),"set")</f>
        <v>set</v>
      </c>
      <c r="K824" s="5" t="str">
        <f>IFERROR(__xludf.DUMMYFUNCTION("""COMPUTED_VALUE"""),"https://drive.google.com/drive/folders/1O9PcD_WtRgHtv45UpQj399zB5hqNQcSI?usp=drive_link")</f>
        <v>https://drive.google.com/drive/folders/1O9PcD_WtRgHtv45UpQj399zB5hqNQcSI?usp=drive_link</v>
      </c>
      <c r="L824" s="3" t="str">
        <f>IFERROR(__xludf.DUMMYFUNCTION("""COMPUTED_VALUE"""),"-")</f>
        <v>-</v>
      </c>
      <c r="M824" s="3" t="str">
        <f>IFERROR(__xludf.DUMMYFUNCTION("""COMPUTED_VALUE"""),"Approve")</f>
        <v>Approve</v>
      </c>
      <c r="N824" s="3" t="str">
        <f>IFERROR(__xludf.DUMMYFUNCTION("""COMPUTED_VALUE"""),"Normal")</f>
        <v>Normal</v>
      </c>
      <c r="O824" s="3" t="str">
        <f>IFERROR(__xludf.DUMMYFUNCTION("""COMPUTED_VALUE"""),"Non Urgent")</f>
        <v>Non Urgent</v>
      </c>
    </row>
    <row r="825">
      <c r="A825" s="4">
        <f>IFERROR(__xludf.DUMMYFUNCTION("""COMPUTED_VALUE"""),46197.17181105324)</f>
        <v>46197.17181</v>
      </c>
      <c r="B825" s="3" t="str">
        <f>IFERROR(__xludf.DUMMYFUNCTION("""COMPUTED_VALUE"""),"ROSBR0103")</f>
        <v>ROSBR0103</v>
      </c>
      <c r="C825" s="3" t="str">
        <f>IFERROR(__xludf.DUMMYFUNCTION("""COMPUTED_VALUE"""),"Critical Part")</f>
        <v>Critical Part</v>
      </c>
      <c r="D825" s="3" t="str">
        <f>IFERROR(__xludf.DUMMYFUNCTION("""COMPUTED_VALUE"""),"-")</f>
        <v>-</v>
      </c>
      <c r="E825" s="3" t="str">
        <f>IFERROR(__xludf.DUMMYFUNCTION("""COMPUTED_VALUE"""),"Capping")</f>
        <v>Capping</v>
      </c>
      <c r="F825" s="3" t="str">
        <f>IFERROR(__xludf.DUMMYFUNCTION("""COMPUTED_VALUE"""),"Force Gauge")</f>
        <v>Force Gauge</v>
      </c>
      <c r="G825" s="3" t="str">
        <f>IFERROR(__xludf.DUMMYFUNCTION("""COMPUTED_VALUE"""),"Dudukan Force Gauge Uk 35x60 x 95mm 1 Pcs 
Specifikasi :
Machining Plate Mat'l SUS 304
Proses Laser Cutting
Profil Bending
Assembly Welding
Finishing")</f>
        <v>Dudukan Force Gauge Uk 35x60 x 95mm 1 Pcs 
Specifikasi :
Machining Plate Mat'l SUS 304
Proses Laser Cutting
Profil Bending
Assembly Welding
Finishing</v>
      </c>
      <c r="H825" s="3" t="str">
        <f>IFERROR(__xludf.DUMMYFUNCTION("""COMPUTED_VALUE"""),"Lokal ")</f>
        <v>Lokal </v>
      </c>
      <c r="I825" s="3">
        <f>IFERROR(__xludf.DUMMYFUNCTION("""COMPUTED_VALUE"""),1.0)</f>
        <v>1</v>
      </c>
      <c r="J825" s="3" t="str">
        <f>IFERROR(__xludf.DUMMYFUNCTION("""COMPUTED_VALUE"""),"set")</f>
        <v>set</v>
      </c>
      <c r="K825" s="5" t="str">
        <f>IFERROR(__xludf.DUMMYFUNCTION("""COMPUTED_VALUE"""),"https://drive.google.com/drive/folders/10COnVF0_mq8boGcgmQ3HP5u0BS7LtAPA?usp=drive_link")</f>
        <v>https://drive.google.com/drive/folders/10COnVF0_mq8boGcgmQ3HP5u0BS7LtAPA?usp=drive_link</v>
      </c>
      <c r="L825" s="3" t="str">
        <f>IFERROR(__xludf.DUMMYFUNCTION("""COMPUTED_VALUE"""),"-")</f>
        <v>-</v>
      </c>
      <c r="M825" s="3" t="str">
        <f>IFERROR(__xludf.DUMMYFUNCTION("""COMPUTED_VALUE"""),"Approve")</f>
        <v>Approve</v>
      </c>
      <c r="N825" s="3" t="str">
        <f>IFERROR(__xludf.DUMMYFUNCTION("""COMPUTED_VALUE"""),"Normal")</f>
        <v>Normal</v>
      </c>
      <c r="O825" s="3" t="str">
        <f>IFERROR(__xludf.DUMMYFUNCTION("""COMPUTED_VALUE"""),"Non Urgent")</f>
        <v>Non Urgent</v>
      </c>
    </row>
    <row r="826">
      <c r="A826" s="4">
        <f>IFERROR(__xludf.DUMMYFUNCTION("""COMPUTED_VALUE"""),46197.74471766204)</f>
        <v>46197.74472</v>
      </c>
      <c r="B826" s="3" t="str">
        <f>IFERROR(__xludf.DUMMYFUNCTION("""COMPUTED_VALUE"""),"RIABR0182")</f>
        <v>RIABR0182</v>
      </c>
      <c r="C826" s="3" t="str">
        <f>IFERROR(__xludf.DUMMYFUNCTION("""COMPUTED_VALUE"""),"EJO")</f>
        <v>EJO</v>
      </c>
      <c r="D826" s="3" t="str">
        <f>IFERROR(__xludf.DUMMYFUNCTION("""COMPUTED_VALUE"""),"-")</f>
        <v>-</v>
      </c>
      <c r="E826" s="3" t="str">
        <f>IFERROR(__xludf.DUMMYFUNCTION("""COMPUTED_VALUE"""),"Instalasi Grounding dan Penangkal Petir")</f>
        <v>Instalasi Grounding dan Penangkal Petir</v>
      </c>
      <c r="F826" s="3" t="str">
        <f>IFERROR(__xludf.DUMMYFUNCTION("""COMPUTED_VALUE"""),"Bak Kontrol Grounding")</f>
        <v>Bak Kontrol Grounding</v>
      </c>
      <c r="G826" s="3" t="str">
        <f>IFERROR(__xludf.DUMMYFUNCTION("""COMPUTED_VALUE"""),"bak kontrol grounding (earthing pit) PVC SWL5000
ukuran 300x300x200mm
ukuran busbar 3x25x23cm")</f>
        <v>bak kontrol grounding (earthing pit) PVC SWL5000
ukuran 300x300x200mm
ukuran busbar 3x25x23cm</v>
      </c>
      <c r="H826" s="3" t="str">
        <f>IFERROR(__xludf.DUMMYFUNCTION("""COMPUTED_VALUE"""),"Lokal")</f>
        <v>Lokal</v>
      </c>
      <c r="I826" s="3">
        <f>IFERROR(__xludf.DUMMYFUNCTION("""COMPUTED_VALUE"""),2.0)</f>
        <v>2</v>
      </c>
      <c r="J826" s="3" t="str">
        <f>IFERROR(__xludf.DUMMYFUNCTION("""COMPUTED_VALUE"""),"pcs")</f>
        <v>pcs</v>
      </c>
      <c r="K826" s="5" t="str">
        <f>IFERROR(__xludf.DUMMYFUNCTION("""COMPUTED_VALUE"""),"https://www.tokopedia.com/visiotekindonesia/bak-kontrol-grounding-set?extParam=ivf%3Dfalse%26keyword%3Dbox+control+grounding%26search_id%3D2026062410453918D8042386B79E19AXG6%26src%3Dsearch&amp;t_id=1782297688690&amp;t_st=7&amp;t_pp=search_result&amp;t_efo=search_pure_goo"&amp;"ds_card&amp;t_ef=goods_search&amp;t_sm=&amp;t_spt=search_result")</f>
        <v>https://www.tokopedia.com/visiotekindonesia/bak-kontrol-grounding-set?extParam=ivf%3Dfalse%26keyword%3Dbox+control+grounding%26search_id%3D2026062410453918D8042386B79E19AXG6%26src%3Dsearch&amp;t_id=1782297688690&amp;t_st=7&amp;t_pp=search_result&amp;t_efo=search_pure_goods_card&amp;t_ef=goods_search&amp;t_sm=&amp;t_spt=search_result</v>
      </c>
      <c r="L826" s="3" t="str">
        <f>IFERROR(__xludf.DUMMYFUNCTION("""COMPUTED_VALUE"""),"Buat ganti bak kontrol yang pecah")</f>
        <v>Buat ganti bak kontrol yang pecah</v>
      </c>
      <c r="M826" s="3" t="str">
        <f>IFERROR(__xludf.DUMMYFUNCTION("""COMPUTED_VALUE"""),"Reject")</f>
        <v>Reject</v>
      </c>
      <c r="N826" s="3" t="str">
        <f>IFERROR(__xludf.DUMMYFUNCTION("""COMPUTED_VALUE"""),"Normal")</f>
        <v>Normal</v>
      </c>
      <c r="O826" s="3" t="str">
        <f>IFERROR(__xludf.DUMMYFUNCTION("""COMPUTED_VALUE"""),"Non Urgent")</f>
        <v>Non Urgent</v>
      </c>
    </row>
    <row r="827">
      <c r="A827" s="4">
        <f>IFERROR(__xludf.DUMMYFUNCTION("""COMPUTED_VALUE"""),46197.840346562494)</f>
        <v>46197.84035</v>
      </c>
      <c r="B827" s="3" t="str">
        <f>IFERROR(__xludf.DUMMYFUNCTION("""COMPUTED_VALUE"""),"RIABR0183")</f>
        <v>RIABR0183</v>
      </c>
      <c r="C827" s="3" t="str">
        <f>IFERROR(__xludf.DUMMYFUNCTION("""COMPUTED_VALUE"""),"EJO")</f>
        <v>EJO</v>
      </c>
      <c r="D827" s="3" t="str">
        <f>IFERROR(__xludf.DUMMYFUNCTION("""COMPUTED_VALUE"""),"-")</f>
        <v>-</v>
      </c>
      <c r="E827" s="3" t="str">
        <f>IFERROR(__xludf.DUMMYFUNCTION("""COMPUTED_VALUE"""),"Instalasi Grounding dan Penangkal Petir")</f>
        <v>Instalasi Grounding dan Penangkal Petir</v>
      </c>
      <c r="F827" s="3" t="str">
        <f>IFERROR(__xludf.DUMMYFUNCTION("""COMPUTED_VALUE"""),"Bak Kontrol Grounding")</f>
        <v>Bak Kontrol Grounding</v>
      </c>
      <c r="G827" s="3" t="str">
        <f>IFERROR(__xludf.DUMMYFUNCTION("""COMPUTED_VALUE"""),"Detail Produk :
- Merk : FURSE
- Bahan : PVC
- Load rating : 5000 kg
- Berat : 1.80 kg
- Part no. PT205")</f>
        <v>Detail Produk :
- Merk : FURSE
- Bahan : PVC
- Load rating : 5000 kg
- Berat : 1.80 kg
- Part no. PT205</v>
      </c>
      <c r="H827" s="3" t="str">
        <f>IFERROR(__xludf.DUMMYFUNCTION("""COMPUTED_VALUE"""),"Furse")</f>
        <v>Furse</v>
      </c>
      <c r="I827" s="3">
        <f>IFERROR(__xludf.DUMMYFUNCTION("""COMPUTED_VALUE"""),2.0)</f>
        <v>2</v>
      </c>
      <c r="J827" s="3" t="str">
        <f>IFERROR(__xludf.DUMMYFUNCTION("""COMPUTED_VALUE"""),"Pcs")</f>
        <v>Pcs</v>
      </c>
      <c r="K827" s="5" t="str">
        <f>IFERROR(__xludf.DUMMYFUNCTION("""COMPUTED_VALUE"""),"https://www.tokopedia.com/wijaya-indotech-protection/box-control-earthing-pit-pvc-furse-pt205-1730921522349115376?t_id=1782306554623&amp;t_st=2&amp;t_pp=cart&amp;t_efo=cart&amp;t_ef=&amp;t_sm=&amp;t_spt=cart")</f>
        <v>https://www.tokopedia.com/wijaya-indotech-protection/box-control-earthing-pit-pvc-furse-pt205-1730921522349115376?t_id=1782306554623&amp;t_st=2&amp;t_pp=cart&amp;t_efo=cart&amp;t_ef=&amp;t_sm=&amp;t_spt=cart</v>
      </c>
      <c r="L827" s="3" t="str">
        <f>IFERROR(__xludf.DUMMYFUNCTION("""COMPUTED_VALUE"""),"Buat ganti bak kontrol yang pecah yang RIABR0182 reject aja diganti ini")</f>
        <v>Buat ganti bak kontrol yang pecah yang RIABR0182 reject aja diganti ini</v>
      </c>
      <c r="M827" s="3" t="str">
        <f>IFERROR(__xludf.DUMMYFUNCTION("""COMPUTED_VALUE"""),"Approve")</f>
        <v>Approve</v>
      </c>
      <c r="N827" s="3" t="str">
        <f>IFERROR(__xludf.DUMMYFUNCTION("""COMPUTED_VALUE"""),"Normal")</f>
        <v>Normal</v>
      </c>
      <c r="O827" s="3" t="str">
        <f>IFERROR(__xludf.DUMMYFUNCTION("""COMPUTED_VALUE"""),"Non Urgent")</f>
        <v>Non Urgent</v>
      </c>
    </row>
    <row r="828">
      <c r="A828" s="4">
        <f>IFERROR(__xludf.DUMMYFUNCTION("""COMPUTED_VALUE"""),46199.583685439815)</f>
        <v>46199.58369</v>
      </c>
      <c r="B828" s="3" t="str">
        <f>IFERROR(__xludf.DUMMYFUNCTION("""COMPUTED_VALUE"""),"WAPBR0005")</f>
        <v>WAPBR0005</v>
      </c>
      <c r="C828" s="3" t="str">
        <f>IFERROR(__xludf.DUMMYFUNCTION("""COMPUTED_VALUE"""),"EJO")</f>
        <v>EJO</v>
      </c>
      <c r="D828" s="3" t="str">
        <f>IFERROR(__xludf.DUMMYFUNCTION("""COMPUTED_VALUE"""),"EJO/2026/06/141")</f>
        <v>EJO/2026/06/141</v>
      </c>
      <c r="E828" s="3" t="str">
        <f>IFERROR(__xludf.DUMMYFUNCTION("""COMPUTED_VALUE"""),"WASHING")</f>
        <v>WASHING</v>
      </c>
      <c r="F828" s="3" t="str">
        <f>IFERROR(__xludf.DUMMYFUNCTION("""COMPUTED_VALUE"""),"semprotan angin")</f>
        <v>semprotan angin</v>
      </c>
      <c r="G828" s="3" t="str">
        <f>IFERROR(__xludf.DUMMYFUNCTION("""COMPUTED_VALUE"""),"air blow")</f>
        <v>air blow</v>
      </c>
      <c r="H828" s="3" t="str">
        <f>IFERROR(__xludf.DUMMYFUNCTION("""COMPUTED_VALUE"""),"ELLKA")</f>
        <v>ELLKA</v>
      </c>
      <c r="I828" s="3">
        <f>IFERROR(__xludf.DUMMYFUNCTION("""COMPUTED_VALUE"""),2.0)</f>
        <v>2</v>
      </c>
      <c r="J828" s="3" t="str">
        <f>IFERROR(__xludf.DUMMYFUNCTION("""COMPUTED_VALUE"""),"pcs")</f>
        <v>pcs</v>
      </c>
      <c r="K828" s="5" t="str">
        <f>IFERROR(__xludf.DUMMYFUNCTION("""COMPUTED_VALUE"""),"https://www.lazada.co.id/products/promo-alat-semprotan-angin-kompresor-tekiro-air-duster-coupler-semprotan-debu-i6877018660-s13029000059.html?")</f>
        <v>https://www.lazada.co.id/products/promo-alat-semprotan-angin-kompresor-tekiro-air-duster-coupler-semprotan-debu-i6877018660-s13029000059.html?</v>
      </c>
      <c r="L828" s="3" t="str">
        <f>IFERROR(__xludf.DUMMYFUNCTION("""COMPUTED_VALUE"""),"-")</f>
        <v>-</v>
      </c>
      <c r="M828" s="3" t="str">
        <f>IFERROR(__xludf.DUMMYFUNCTION("""COMPUTED_VALUE"""),"Approve")</f>
        <v>Approve</v>
      </c>
      <c r="N828" s="3" t="str">
        <f>IFERROR(__xludf.DUMMYFUNCTION("""COMPUTED_VALUE"""),"Normal")</f>
        <v>Normal</v>
      </c>
      <c r="O828" s="3" t="str">
        <f>IFERROR(__xludf.DUMMYFUNCTION("""COMPUTED_VALUE"""),"Non Urgent")</f>
        <v>Non Urgent</v>
      </c>
    </row>
    <row r="829">
      <c r="A829" s="4">
        <f>IFERROR(__xludf.DUMMYFUNCTION("""COMPUTED_VALUE"""),46202.5593405324)</f>
        <v>46202.55934</v>
      </c>
      <c r="B829" s="3" t="str">
        <f>IFERROR(__xludf.DUMMYFUNCTION("""COMPUTED_VALUE"""),"WAPBR0007")</f>
        <v>WAPBR0007</v>
      </c>
      <c r="C829" s="3" t="str">
        <f>IFERROR(__xludf.DUMMYFUNCTION("""COMPUTED_VALUE"""),"EJO")</f>
        <v>EJO</v>
      </c>
      <c r="D829" s="3" t="str">
        <f>IFERROR(__xludf.DUMMYFUNCTION("""COMPUTED_VALUE"""),"lampu chamber tablet")</f>
        <v>lampu chamber tablet</v>
      </c>
      <c r="E829" s="3" t="str">
        <f>IFERROR(__xludf.DUMMYFUNCTION("""COMPUTED_VALUE"""),"Tableting")</f>
        <v>Tableting</v>
      </c>
      <c r="F829" s="3" t="str">
        <f>IFERROR(__xludf.DUMMYFUNCTION("""COMPUTED_VALUE"""),"lampu chamber")</f>
        <v>lampu chamber</v>
      </c>
      <c r="G829" s="3" t="str">
        <f>IFERROR(__xludf.DUMMYFUNCTION("""COMPUTED_VALUE"""),"LED 3Watt dan 5Watt")</f>
        <v>LED 3Watt dan 5Watt</v>
      </c>
      <c r="H829" s="3" t="str">
        <f>IFERROR(__xludf.DUMMYFUNCTION("""COMPUTED_VALUE"""),"custom")</f>
        <v>custom</v>
      </c>
      <c r="I829" s="3">
        <f>IFERROR(__xludf.DUMMYFUNCTION("""COMPUTED_VALUE"""),4.0)</f>
        <v>4</v>
      </c>
      <c r="J829" s="3" t="str">
        <f>IFERROR(__xludf.DUMMYFUNCTION("""COMPUTED_VALUE"""),"pcs")</f>
        <v>pcs</v>
      </c>
      <c r="K829" s="5" t="str">
        <f>IFERROR(__xludf.DUMMYFUNCTION("""COMPUTED_VALUE"""),"https://shopee.co.id/LED-hpl-bulat-seri-3-titik-32mm-real-pick-1watt-3watt-5watt-putih-merah-hijau-biru-kuning-fullspectrum-pink-ice-blue-ion-blue-ultraviolet-royal-blue-i.168243818.23686807983")</f>
        <v>https://shopee.co.id/LED-hpl-bulat-seri-3-titik-32mm-real-pick-1watt-3watt-5watt-putih-merah-hijau-biru-kuning-fullspectrum-pink-ice-blue-ion-blue-ultraviolet-royal-blue-i.168243818.23686807983</v>
      </c>
      <c r="L829" s="3" t="str">
        <f>IFERROR(__xludf.DUMMYFUNCTION("""COMPUTED_VALUE"""),"-")</f>
        <v>-</v>
      </c>
      <c r="M829" s="3" t="str">
        <f>IFERROR(__xludf.DUMMYFUNCTION("""COMPUTED_VALUE"""),"Waiting")</f>
        <v>Waiting</v>
      </c>
      <c r="N829" s="3" t="str">
        <f>IFERROR(__xludf.DUMMYFUNCTION("""COMPUTED_VALUE"""),"Waiting")</f>
        <v>Waiting</v>
      </c>
      <c r="O829" s="3" t="str">
        <f>IFERROR(__xludf.DUMMYFUNCTION("""COMPUTED_VALUE"""),"Non Urgent")</f>
        <v>Non Urgent</v>
      </c>
    </row>
    <row r="830">
      <c r="A830" s="4">
        <f>IFERROR(__xludf.DUMMYFUNCTION("""COMPUTED_VALUE"""),46202.559652731485)</f>
        <v>46202.55965</v>
      </c>
      <c r="B830" s="3" t="str">
        <f>IFERROR(__xludf.DUMMYFUNCTION("""COMPUTED_VALUE"""),"WAPBR0006")</f>
        <v>WAPBR0006</v>
      </c>
      <c r="C830" s="3" t="str">
        <f>IFERROR(__xludf.DUMMYFUNCTION("""COMPUTED_VALUE"""),"EJO")</f>
        <v>EJO</v>
      </c>
      <c r="D830" s="3" t="str">
        <f>IFERROR(__xludf.DUMMYFUNCTION("""COMPUTED_VALUE"""),"lampu indikator merah pada mesin tablet")</f>
        <v>lampu indikator merah pada mesin tablet</v>
      </c>
      <c r="E830" s="3" t="str">
        <f>IFERROR(__xludf.DUMMYFUNCTION("""COMPUTED_VALUE"""),"Tableting")</f>
        <v>Tableting</v>
      </c>
      <c r="F830" s="3" t="str">
        <f>IFERROR(__xludf.DUMMYFUNCTION("""COMPUTED_VALUE"""),"lampu ")</f>
        <v>lampu </v>
      </c>
      <c r="G830" s="3" t="str">
        <f>IFERROR(__xludf.DUMMYFUNCTION("""COMPUTED_VALUE"""),"24V C5W")</f>
        <v>24V C5W</v>
      </c>
      <c r="H830" s="3" t="str">
        <f>IFERROR(__xludf.DUMMYFUNCTION("""COMPUTED_VALUE"""),"OSRAM")</f>
        <v>OSRAM</v>
      </c>
      <c r="I830" s="3">
        <f>IFERROR(__xludf.DUMMYFUNCTION("""COMPUTED_VALUE"""),4.0)</f>
        <v>4</v>
      </c>
      <c r="J830" s="3" t="str">
        <f>IFERROR(__xludf.DUMMYFUNCTION("""COMPUTED_VALUE"""),"pcs")</f>
        <v>pcs</v>
      </c>
      <c r="K830" s="5" t="str">
        <f>IFERROR(__xludf.DUMMYFUNCTION("""COMPUTED_VALUE"""),"https://www.osram.com/ecat/ORIGINAL%20-%20FESTOON-Signal%20lamps-Truck%20lighting-Automotive/com/en/GPS01_1057117/ZMP_61080/")</f>
        <v>https://www.osram.com/ecat/ORIGINAL%20-%20FESTOON-Signal%20lamps-Truck%20lighting-Automotive/com/en/GPS01_1057117/ZMP_61080/</v>
      </c>
      <c r="L830" s="3" t="str">
        <f>IFERROR(__xludf.DUMMYFUNCTION("""COMPUTED_VALUE"""),"- ")</f>
        <v>- </v>
      </c>
      <c r="M830" s="3" t="str">
        <f>IFERROR(__xludf.DUMMYFUNCTION("""COMPUTED_VALUE"""),"Approve")</f>
        <v>Approve</v>
      </c>
      <c r="N830" s="3" t="str">
        <f>IFERROR(__xludf.DUMMYFUNCTION("""COMPUTED_VALUE"""),"Normal")</f>
        <v>Normal</v>
      </c>
      <c r="O830" s="3" t="str">
        <f>IFERROR(__xludf.DUMMYFUNCTION("""COMPUTED_VALUE"""),"Non Urgent")</f>
        <v>Non Urgent</v>
      </c>
    </row>
    <row r="831">
      <c r="A831" s="4">
        <f>IFERROR(__xludf.DUMMYFUNCTION("""COMPUTED_VALUE"""),46202.637834444446)</f>
        <v>46202.63783</v>
      </c>
      <c r="B831" s="3" t="str">
        <f>IFERROR(__xludf.DUMMYFUNCTION("""COMPUTED_VALUE"""),"KFFBR0022")</f>
        <v>KFFBR0022</v>
      </c>
      <c r="C831" s="3" t="str">
        <f>IFERROR(__xludf.DUMMYFUNCTION("""COMPUTED_VALUE"""),"Critical Part")</f>
        <v>Critical Part</v>
      </c>
      <c r="D831" s="3" t="str">
        <f>IFERROR(__xludf.DUMMYFUNCTION("""COMPUTED_VALUE"""),"No Ejo")</f>
        <v>No Ejo</v>
      </c>
      <c r="E831" s="3" t="str">
        <f>IFERROR(__xludf.DUMMYFUNCTION("""COMPUTED_VALUE"""),"CARTONING")</f>
        <v>CARTONING</v>
      </c>
      <c r="F831" s="3" t="str">
        <f>IFERROR(__xludf.DUMMYFUNCTION("""COMPUTED_VALUE"""),"stock")</f>
        <v>stock</v>
      </c>
      <c r="G831" s="3" t="str">
        <f>IFERROR(__xludf.DUMMYFUNCTION("""COMPUTED_VALUE"""),"SMC D-C73C Sensor SMC D-C73C Reed Switch D-C73C")</f>
        <v>SMC D-C73C Sensor SMC D-C73C Reed Switch D-C73C</v>
      </c>
      <c r="H831" s="3" t="str">
        <f>IFERROR(__xludf.DUMMYFUNCTION("""COMPUTED_VALUE"""),"SMC")</f>
        <v>SMC</v>
      </c>
      <c r="I831" s="3">
        <f>IFERROR(__xludf.DUMMYFUNCTION("""COMPUTED_VALUE"""),4.0)</f>
        <v>4</v>
      </c>
      <c r="J831" s="3" t="str">
        <f>IFERROR(__xludf.DUMMYFUNCTION("""COMPUTED_VALUE"""),"pcs")</f>
        <v>pcs</v>
      </c>
      <c r="K831" s="5" t="str">
        <f>IFERROR(__xludf.DUMMYFUNCTION("""COMPUTED_VALUE"""),"https://tk.tokopedia.com/ZSCUB7Eb8/")</f>
        <v>https://tk.tokopedia.com/ZSCUB7Eb8/</v>
      </c>
      <c r="L831" s="3" t="str">
        <f>IFERROR(__xludf.DUMMYFUNCTION("""COMPUTED_VALUE"""),"TIDAK ADA STOCK, URGENTLY ")</f>
        <v>TIDAK ADA STOCK, URGENTLY </v>
      </c>
      <c r="M831" s="3" t="str">
        <f>IFERROR(__xludf.DUMMYFUNCTION("""COMPUTED_VALUE"""),"Waiting")</f>
        <v>Waiting</v>
      </c>
      <c r="N831" s="3" t="str">
        <f>IFERROR(__xludf.DUMMYFUNCTION("""COMPUTED_VALUE"""),"Waiting")</f>
        <v>Waiting</v>
      </c>
      <c r="O831" s="3" t="str">
        <f>IFERROR(__xludf.DUMMYFUNCTION("""COMPUTED_VALUE"""),"Non Urgent")</f>
        <v>Non Urgent</v>
      </c>
    </row>
    <row r="832">
      <c r="A832" s="4">
        <f>IFERROR(__xludf.DUMMYFUNCTION("""COMPUTED_VALUE"""),46202.65666340278)</f>
        <v>46202.65666</v>
      </c>
      <c r="B832" s="3" t="str">
        <f>IFERROR(__xludf.DUMMYFUNCTION("""COMPUTED_VALUE"""),"SFHBR0063")</f>
        <v>SFHBR0063</v>
      </c>
      <c r="C832" s="3" t="str">
        <f>IFERROR(__xludf.DUMMYFUNCTION("""COMPUTED_VALUE"""),"EJO")</f>
        <v>EJO</v>
      </c>
      <c r="D832" s="3" t="str">
        <f>IFERROR(__xludf.DUMMYFUNCTION("""COMPUTED_VALUE"""),"EJO/2026/06/113")</f>
        <v>EJO/2026/06/113</v>
      </c>
      <c r="E832" s="3" t="str">
        <f>IFERROR(__xludf.DUMMYFUNCTION("""COMPUTED_VALUE"""),"lantai 2")</f>
        <v>lantai 2</v>
      </c>
      <c r="F832" s="3" t="str">
        <f>IFERROR(__xludf.DUMMYFUNCTION("""COMPUTED_VALUE"""),"SANDBLAST / GLASS FILM / STICKER KACA ES / CUTTING STICKER POLOS 215 Merk RUISITU. TInggi sandblast 122 cm Harga tertera adalah untuk ukuran 122cm x 50meter/ 1ROLL")</f>
        <v>SANDBLAST / GLASS FILM / STICKER KACA ES / CUTTING STICKER POLOS 215 Merk RUISITU. TInggi sandblast 122 cm Harga tertera adalah untuk ukuran 122cm x 50meter/ 1ROLL</v>
      </c>
      <c r="G832" s="3" t="str">
        <f>IFERROR(__xludf.DUMMYFUNCTION("""COMPUTED_VALUE"""),"SANDBLAST / GLASS FILM / STICKER KACA ES / CUTTING STICKER POLOS 215 . TInggi sandblast 122 cm Harga tertera adalah untuk ukuran 122cm x 50meter/ 1ROLL")</f>
        <v>SANDBLAST / GLASS FILM / STICKER KACA ES / CUTTING STICKER POLOS 215 . TInggi sandblast 122 cm Harga tertera adalah untuk ukuran 122cm x 50meter/ 1ROLL</v>
      </c>
      <c r="H832" s="3" t="str">
        <f>IFERROR(__xludf.DUMMYFUNCTION("""COMPUTED_VALUE"""),"Ruisitu")</f>
        <v>Ruisitu</v>
      </c>
      <c r="I832" s="3">
        <f>IFERROR(__xludf.DUMMYFUNCTION("""COMPUTED_VALUE"""),6.0)</f>
        <v>6</v>
      </c>
      <c r="J832" s="3" t="str">
        <f>IFERROR(__xludf.DUMMYFUNCTION("""COMPUTED_VALUE"""),"Roll")</f>
        <v>Roll</v>
      </c>
      <c r="K832" s="5" t="str">
        <f>IFERROR(__xludf.DUMMYFUNCTION("""COMPUTED_VALUE"""),"https://tk.tokopedia.com/ZSCUU7Y4T/")</f>
        <v>https://tk.tokopedia.com/ZSCUU7Y4T/</v>
      </c>
      <c r="L832" s="3" t="str">
        <f>IFERROR(__xludf.DUMMYFUNCTION("""COMPUTED_VALUE"""),"Pemasangan kaca fil pada windor , door diarea sparepart pro")</f>
        <v>Pemasangan kaca fil pada windor , door diarea sparepart pro</v>
      </c>
      <c r="M832" s="3" t="str">
        <f>IFERROR(__xludf.DUMMYFUNCTION("""COMPUTED_VALUE"""),"Approve")</f>
        <v>Approve</v>
      </c>
      <c r="N832" s="3" t="str">
        <f>IFERROR(__xludf.DUMMYFUNCTION("""COMPUTED_VALUE"""),"Normal")</f>
        <v>Normal</v>
      </c>
      <c r="O832" s="3" t="str">
        <f>IFERROR(__xludf.DUMMYFUNCTION("""COMPUTED_VALUE"""),"Non Urgent")</f>
        <v>Non Urgent</v>
      </c>
    </row>
    <row r="833">
      <c r="A833" s="4">
        <f>IFERROR(__xludf.DUMMYFUNCTION("""COMPUTED_VALUE"""),46202.664054583336)</f>
        <v>46202.66405</v>
      </c>
      <c r="B833" s="3" t="str">
        <f>IFERROR(__xludf.DUMMYFUNCTION("""COMPUTED_VALUE"""),"SFHBR0064")</f>
        <v>SFHBR0064</v>
      </c>
      <c r="C833" s="3" t="str">
        <f>IFERROR(__xludf.DUMMYFUNCTION("""COMPUTED_VALUE"""),"EJO")</f>
        <v>EJO</v>
      </c>
      <c r="D833" s="3" t="str">
        <f>IFERROR(__xludf.DUMMYFUNCTION("""COMPUTED_VALUE"""),"EJO/2026/06/113")</f>
        <v>EJO/2026/06/113</v>
      </c>
      <c r="E833" s="3" t="str">
        <f>IFERROR(__xludf.DUMMYFUNCTION("""COMPUTED_VALUE"""),"lantai 2")</f>
        <v>lantai 2</v>
      </c>
      <c r="F833" s="3" t="str">
        <f>IFERROR(__xludf.DUMMYFUNCTION("""COMPUTED_VALUE"""),"Rakel Kape Sticker Hijau  SDK 01 Alat Bantu Pasang Sticker Super D Gagang Panjang - SDK 0")</f>
        <v>Rakel Kape Sticker Hijau  SDK 01 Alat Bantu Pasang Sticker Super D Gagang Panjang - SDK 0</v>
      </c>
      <c r="G833" s="3" t="str">
        <f>IFERROR(__xludf.DUMMYFUNCTION("""COMPUTED_VALUE"""),"Rakel Kape Sticker Hijau  SDK 01 Alat Bantu Pasang Sticker Super D Gagang Panjang - SDK 0")</f>
        <v>Rakel Kape Sticker Hijau  SDK 01 Alat Bantu Pasang Sticker Super D Gagang Panjang - SDK 0</v>
      </c>
      <c r="H833" s="3" t="str">
        <f>IFERROR(__xludf.DUMMYFUNCTION("""COMPUTED_VALUE"""),"kirin")</f>
        <v>kirin</v>
      </c>
      <c r="I833" s="3">
        <f>IFERROR(__xludf.DUMMYFUNCTION("""COMPUTED_VALUE"""),5.0)</f>
        <v>5</v>
      </c>
      <c r="J833" s="3" t="str">
        <f>IFERROR(__xludf.DUMMYFUNCTION("""COMPUTED_VALUE"""),"pcs")</f>
        <v>pcs</v>
      </c>
      <c r="K833" s="5" t="str">
        <f>IFERROR(__xludf.DUMMYFUNCTION("""COMPUTED_VALUE"""),"https://tk.tokopedia.com/ZSCUfnQtM/")</f>
        <v>https://tk.tokopedia.com/ZSCUfnQtM/</v>
      </c>
      <c r="L833" s="3" t="str">
        <f>IFERROR(__xludf.DUMMYFUNCTION("""COMPUTED_VALUE"""),"alat bantu buat masang kaca film")</f>
        <v>alat bantu buat masang kaca film</v>
      </c>
      <c r="M833" s="3" t="str">
        <f>IFERROR(__xludf.DUMMYFUNCTION("""COMPUTED_VALUE"""),"Approve")</f>
        <v>Approve</v>
      </c>
      <c r="N833" s="3" t="str">
        <f>IFERROR(__xludf.DUMMYFUNCTION("""COMPUTED_VALUE"""),"Normal")</f>
        <v>Normal</v>
      </c>
      <c r="O833" s="3" t="str">
        <f>IFERROR(__xludf.DUMMYFUNCTION("""COMPUTED_VALUE"""),"Non Urgent")</f>
        <v>Non Urgent</v>
      </c>
    </row>
    <row r="834">
      <c r="A834" s="4">
        <f>IFERROR(__xludf.DUMMYFUNCTION("""COMPUTED_VALUE"""),46202.87510517361)</f>
        <v>46202.87511</v>
      </c>
      <c r="B834" s="3" t="str">
        <f>IFERROR(__xludf.DUMMYFUNCTION("""COMPUTED_VALUE"""),"SFHBR0065")</f>
        <v>SFHBR0065</v>
      </c>
      <c r="C834" s="3" t="str">
        <f>IFERROR(__xludf.DUMMYFUNCTION("""COMPUTED_VALUE"""),"EJO")</f>
        <v>EJO</v>
      </c>
      <c r="D834" s="3" t="str">
        <f>IFERROR(__xludf.DUMMYFUNCTION("""COMPUTED_VALUE"""),"EJO/2026/06/039")</f>
        <v>EJO/2026/06/039</v>
      </c>
      <c r="E834" s="3" t="str">
        <f>IFERROR(__xludf.DUMMYFUNCTION("""COMPUTED_VALUE"""),"lanati 1")</f>
        <v>lanati 1</v>
      </c>
      <c r="F834" s="3" t="str">
        <f>IFERROR(__xludf.DUMMYFUNCTION("""COMPUTED_VALUE"""),"LAMPU RC081V PHILIPS LED38S 30W SMARTBRIGHT SLIM PANEL WARNA PUTIH 6500k")</f>
        <v>LAMPU RC081V PHILIPS LED38S 30W SMARTBRIGHT SLIM PANEL WARNA PUTIH 6500k</v>
      </c>
      <c r="G834" s="3" t="str">
        <f>IFERROR(__xludf.DUMMYFUNCTION("""COMPUTED_VALUE"""),"LAMPU RC081V PHILIPS LED38S 30W SMARTBRIGHT SLIM PANEL 1197x297mm WARNA PUTIH 6500k")</f>
        <v>LAMPU RC081V PHILIPS LED38S 30W SMARTBRIGHT SLIM PANEL 1197x297mm WARNA PUTIH 6500k</v>
      </c>
      <c r="H834" s="3" t="str">
        <f>IFERROR(__xludf.DUMMYFUNCTION("""COMPUTED_VALUE"""),"philips")</f>
        <v>philips</v>
      </c>
      <c r="I834" s="3">
        <f>IFERROR(__xludf.DUMMYFUNCTION("""COMPUTED_VALUE"""),30.0)</f>
        <v>30</v>
      </c>
      <c r="J834" s="3" t="str">
        <f>IFERROR(__xludf.DUMMYFUNCTION("""COMPUTED_VALUE"""),"pcs")</f>
        <v>pcs</v>
      </c>
      <c r="K834" s="5" t="str">
        <f>IFERROR(__xludf.DUMMYFUNCTION("""COMPUTED_VALUE"""),"https://shopee.co.id/product/1164439416/42173786388?gads_t_sig=gqRjZGVrxHCFomtpsTE0MjUxOnRzc19zZGtfa2V5omt20QABpGFsZ2_SAAAAZKNkZWvAomN0xEAAAAAMfaLqlfFS4JwQPCoOJZHE2YMfq1tWF61pnIIHqGuyOlpkjBotHu7Xpb0YRK1tULWVZdcpI_r9hw6jgE9CqmNpcGhlcnRleHTEcwAAAAztSCWnnhPo"&amp;"mMujj0wlJ7ZPXivWmK59zHkyC_dyqvi2MgdmUtFQppIcW-tH_uuYcgrBzJ")</f>
        <v>https://shopee.co.id/product/1164439416/42173786388?gads_t_sig=gqRjZGVrxHCFomtpsTE0MjUxOnRzc19zZGtfa2V5omt20QABpGFsZ2_SAAAAZKNkZWvAomN0xEAAAAAMfaLqlfFS4JwQPCoOJZHE2YMfq1tWF61pnIIHqGuyOlpkjBotHu7Xpb0YRK1tULWVZdcpI_r9hw6jgE9CqmNpcGhlcnRleHTEcwAAAAztSCWnnhPomMujj0wlJ7ZPXivWmK59zHkyC_dyqvi2MgdmUtFQppIcW-tH_uuYcgrBzJ</v>
      </c>
      <c r="L834" s="3" t="str">
        <f>IFERROR(__xludf.DUMMYFUNCTION("""COMPUTED_VALUE"""),"buat stock lampu area OSD")</f>
        <v>buat stock lampu area OSD</v>
      </c>
      <c r="M834" s="3" t="str">
        <f>IFERROR(__xludf.DUMMYFUNCTION("""COMPUTED_VALUE"""),"Approve")</f>
        <v>Approve</v>
      </c>
      <c r="N834" s="3" t="str">
        <f>IFERROR(__xludf.DUMMYFUNCTION("""COMPUTED_VALUE"""),"Normal")</f>
        <v>Normal</v>
      </c>
      <c r="O834" s="3" t="str">
        <f>IFERROR(__xludf.DUMMYFUNCTION("""COMPUTED_VALUE"""),"Non Urgent")</f>
        <v>Non Urgent</v>
      </c>
    </row>
    <row r="835">
      <c r="A835" s="4">
        <f>IFERROR(__xludf.DUMMYFUNCTION("""COMPUTED_VALUE"""),46202.96402361111)</f>
        <v>46202.96402</v>
      </c>
      <c r="B835" s="3" t="str">
        <f>IFERROR(__xludf.DUMMYFUNCTION("""COMPUTED_VALUE"""),"MRNBR0111")</f>
        <v>MRNBR0111</v>
      </c>
      <c r="C835" s="3" t="str">
        <f>IFERROR(__xludf.DUMMYFUNCTION("""COMPUTED_VALUE"""),"EJO")</f>
        <v>EJO</v>
      </c>
      <c r="D835" s="3" t="str">
        <f>IFERROR(__xludf.DUMMYFUNCTION("""COMPUTED_VALUE"""),"EJO/2025/08/205")</f>
        <v>EJO/2025/08/205</v>
      </c>
      <c r="E835" s="3" t="str">
        <f>IFERROR(__xludf.DUMMYFUNCTION("""COMPUTED_VALUE"""),"Lampu di IPC")</f>
        <v>Lampu di IPC</v>
      </c>
      <c r="F835" s="3" t="str">
        <f>IFERROR(__xludf.DUMMYFUNCTION("""COMPUTED_VALUE"""),"Kap Lampu CPOB")</f>
        <v>Kap Lampu CPOB</v>
      </c>
      <c r="G835" s="3" t="str">
        <f>IFERROR(__xludf.DUMMYFUNCTION("""COMPUTED_VALUE"""),"Lampu CPOB bukaan Bawah uk. 120x30 tebal 7cm")</f>
        <v>Lampu CPOB bukaan Bawah uk. 120x30 tebal 7cm</v>
      </c>
      <c r="H835" s="3" t="str">
        <f>IFERROR(__xludf.DUMMYFUNCTION("""COMPUTED_VALUE"""),"Amidef")</f>
        <v>Amidef</v>
      </c>
      <c r="I835" s="3">
        <f>IFERROR(__xludf.DUMMYFUNCTION("""COMPUTED_VALUE"""),5.0)</f>
        <v>5</v>
      </c>
      <c r="J835" s="3" t="str">
        <f>IFERROR(__xludf.DUMMYFUNCTION("""COMPUTED_VALUE"""),"unit")</f>
        <v>unit</v>
      </c>
      <c r="K835" s="5" t="str">
        <f>IFERROR(__xludf.DUMMYFUNCTION("""COMPUTED_VALUE"""),"https://acrobat.adobe.com/id/urn:aaid:sc:AP:ed51335f-ae92-4988-ac94-fda62b428eec")</f>
        <v>https://acrobat.adobe.com/id/urn:aaid:sc:AP:ed51335f-ae92-4988-ac94-fda62b428eec</v>
      </c>
      <c r="L835" s="3" t="str">
        <f>IFERROR(__xludf.DUMMYFUNCTION("""COMPUTED_VALUE"""),"di penawaran Item no 1")</f>
        <v>di penawaran Item no 1</v>
      </c>
      <c r="M835" s="3" t="str">
        <f>IFERROR(__xludf.DUMMYFUNCTION("""COMPUTED_VALUE"""),"Approve")</f>
        <v>Approve</v>
      </c>
      <c r="N835" s="3" t="str">
        <f>IFERROR(__xludf.DUMMYFUNCTION("""COMPUTED_VALUE"""),"Normal")</f>
        <v>Normal</v>
      </c>
      <c r="O835" s="3" t="str">
        <f>IFERROR(__xludf.DUMMYFUNCTION("""COMPUTED_VALUE"""),"Non Urgent")</f>
        <v>Non Urgent</v>
      </c>
    </row>
    <row r="836">
      <c r="A836" s="4">
        <f>IFERROR(__xludf.DUMMYFUNCTION("""COMPUTED_VALUE"""),46202.9660377662)</f>
        <v>46202.96604</v>
      </c>
      <c r="B836" s="3" t="str">
        <f>IFERROR(__xludf.DUMMYFUNCTION("""COMPUTED_VALUE"""),"MRNBR0112")</f>
        <v>MRNBR0112</v>
      </c>
      <c r="C836" s="3" t="str">
        <f>IFERROR(__xludf.DUMMYFUNCTION("""COMPUTED_VALUE"""),"EJO")</f>
        <v>EJO</v>
      </c>
      <c r="D836" s="3" t="str">
        <f>IFERROR(__xludf.DUMMYFUNCTION("""COMPUTED_VALUE"""),"EJO/2025/08/205")</f>
        <v>EJO/2025/08/205</v>
      </c>
      <c r="E836" s="3" t="str">
        <f>IFERROR(__xludf.DUMMYFUNCTION("""COMPUTED_VALUE"""),"Lampu di IPC")</f>
        <v>Lampu di IPC</v>
      </c>
      <c r="F836" s="3" t="str">
        <f>IFERROR(__xludf.DUMMYFUNCTION("""COMPUTED_VALUE"""),"Kap Lampu CPOB")</f>
        <v>Kap Lampu CPOB</v>
      </c>
      <c r="G836" s="3" t="str">
        <f>IFERROR(__xludf.DUMMYFUNCTION("""COMPUTED_VALUE"""),"Lampu CPOB bukaan Bawah uk. 60x30 tebal 7cm")</f>
        <v>Lampu CPOB bukaan Bawah uk. 60x30 tebal 7cm</v>
      </c>
      <c r="H836" s="3" t="str">
        <f>IFERROR(__xludf.DUMMYFUNCTION("""COMPUTED_VALUE"""),"Amidef")</f>
        <v>Amidef</v>
      </c>
      <c r="I836" s="3">
        <f>IFERROR(__xludf.DUMMYFUNCTION("""COMPUTED_VALUE"""),5.0)</f>
        <v>5</v>
      </c>
      <c r="J836" s="3" t="str">
        <f>IFERROR(__xludf.DUMMYFUNCTION("""COMPUTED_VALUE"""),"unit")</f>
        <v>unit</v>
      </c>
      <c r="K836" s="5" t="str">
        <f>IFERROR(__xludf.DUMMYFUNCTION("""COMPUTED_VALUE"""),"https://acrobat.adobe.com/id/urn:aaid:sc:AP:ed51335f-ae92-4988-ac94-fda62b428eec")</f>
        <v>https://acrobat.adobe.com/id/urn:aaid:sc:AP:ed51335f-ae92-4988-ac94-fda62b428eec</v>
      </c>
      <c r="L836" s="3" t="str">
        <f>IFERROR(__xludf.DUMMYFUNCTION("""COMPUTED_VALUE"""),"di penawaran Item no 3")</f>
        <v>di penawaran Item no 3</v>
      </c>
      <c r="M836" s="3" t="str">
        <f>IFERROR(__xludf.DUMMYFUNCTION("""COMPUTED_VALUE"""),"Approve")</f>
        <v>Approve</v>
      </c>
      <c r="N836" s="3" t="str">
        <f>IFERROR(__xludf.DUMMYFUNCTION("""COMPUTED_VALUE"""),"Normal")</f>
        <v>Normal</v>
      </c>
      <c r="O836" s="3" t="str">
        <f>IFERROR(__xludf.DUMMYFUNCTION("""COMPUTED_VALUE"""),"Non Urgent")</f>
        <v>Non Urgent</v>
      </c>
    </row>
    <row r="837">
      <c r="A837" s="4">
        <f>IFERROR(__xludf.DUMMYFUNCTION("""COMPUTED_VALUE"""),46202.96609714121)</f>
        <v>46202.9661</v>
      </c>
      <c r="B837" s="3" t="str">
        <f>IFERROR(__xludf.DUMMYFUNCTION("""COMPUTED_VALUE"""),"MRNBR0113")</f>
        <v>MRNBR0113</v>
      </c>
      <c r="C837" s="3" t="str">
        <f>IFERROR(__xludf.DUMMYFUNCTION("""COMPUTED_VALUE"""),"EJO")</f>
        <v>EJO</v>
      </c>
      <c r="D837" s="3" t="str">
        <f>IFERROR(__xludf.DUMMYFUNCTION("""COMPUTED_VALUE"""),"EJO/2025/08/205")</f>
        <v>EJO/2025/08/205</v>
      </c>
      <c r="E837" s="3" t="str">
        <f>IFERROR(__xludf.DUMMYFUNCTION("""COMPUTED_VALUE"""),"Lampu di IPC")</f>
        <v>Lampu di IPC</v>
      </c>
      <c r="F837" s="3" t="str">
        <f>IFERROR(__xludf.DUMMYFUNCTION("""COMPUTED_VALUE"""),"Kap Lampu CPOB")</f>
        <v>Kap Lampu CPOB</v>
      </c>
      <c r="G837" s="3" t="str">
        <f>IFERROR(__xludf.DUMMYFUNCTION("""COMPUTED_VALUE"""),"Lampu CPOB bukaan atas uk. 120x45 tebal 7cm")</f>
        <v>Lampu CPOB bukaan atas uk. 120x45 tebal 7cm</v>
      </c>
      <c r="H837" s="3" t="str">
        <f>IFERROR(__xludf.DUMMYFUNCTION("""COMPUTED_VALUE"""),"Amidef")</f>
        <v>Amidef</v>
      </c>
      <c r="I837" s="3">
        <f>IFERROR(__xludf.DUMMYFUNCTION("""COMPUTED_VALUE"""),2.0)</f>
        <v>2</v>
      </c>
      <c r="J837" s="3" t="str">
        <f>IFERROR(__xludf.DUMMYFUNCTION("""COMPUTED_VALUE"""),"unit")</f>
        <v>unit</v>
      </c>
      <c r="K837" s="5" t="str">
        <f>IFERROR(__xludf.DUMMYFUNCTION("""COMPUTED_VALUE"""),"https://acrobat.adobe.com/id/urn:aaid:sc:AP:ed51335f-ae92-4988-ac94-fda62b428eec")</f>
        <v>https://acrobat.adobe.com/id/urn:aaid:sc:AP:ed51335f-ae92-4988-ac94-fda62b428eec</v>
      </c>
      <c r="L837" s="3" t="str">
        <f>IFERROR(__xludf.DUMMYFUNCTION("""COMPUTED_VALUE"""),"di penawaran Item no 2")</f>
        <v>di penawaran Item no 2</v>
      </c>
      <c r="M837" s="3" t="str">
        <f>IFERROR(__xludf.DUMMYFUNCTION("""COMPUTED_VALUE"""),"Waiting")</f>
        <v>Waiting</v>
      </c>
      <c r="N837" s="3" t="str">
        <f>IFERROR(__xludf.DUMMYFUNCTION("""COMPUTED_VALUE"""),"Waiting")</f>
        <v>Waiting</v>
      </c>
      <c r="O837" s="3" t="str">
        <f>IFERROR(__xludf.DUMMYFUNCTION("""COMPUTED_VALUE"""),"Non Urgent")</f>
        <v>Non Urgent</v>
      </c>
    </row>
    <row r="838">
      <c r="A838" s="4">
        <f>IFERROR(__xludf.DUMMYFUNCTION("""COMPUTED_VALUE"""),46205.618953564815)</f>
        <v>46205.61895</v>
      </c>
      <c r="B838" s="3" t="str">
        <f>IFERROR(__xludf.DUMMYFUNCTION("""COMPUTED_VALUE"""),"RIABR0184")</f>
        <v>RIABR0184</v>
      </c>
      <c r="C838" s="3" t="str">
        <f>IFERROR(__xludf.DUMMYFUNCTION("""COMPUTED_VALUE"""),"EJO")</f>
        <v>EJO</v>
      </c>
      <c r="D838" s="3" t="str">
        <f>IFERROR(__xludf.DUMMYFUNCTION("""COMPUTED_VALUE"""),"EJO/2026/05/026")</f>
        <v>EJO/2026/05/026</v>
      </c>
      <c r="E838" s="3" t="str">
        <f>IFERROR(__xludf.DUMMYFUNCTION("""COMPUTED_VALUE"""),"Alarm System Pintu Emergency")</f>
        <v>Alarm System Pintu Emergency</v>
      </c>
      <c r="F838" s="3" t="str">
        <f>IFERROR(__xludf.DUMMYFUNCTION("""COMPUTED_VALUE"""),"Box Panel")</f>
        <v>Box Panel</v>
      </c>
      <c r="G838" s="3" t="str">
        <f>IFERROR(__xludf.DUMMYFUNCTION("""COMPUTED_VALUE"""),"Box Panel Outdoor
o Nama Produk : Box Panel Topi ½ Outdoor
o Tinggi Produk : 20 Cm
o Lebar Produk : 17 Cm
o Tebal Produk : 12 Cm
o Kunci : Bulat
o Jenis Pintu : Dalam
o Engsel Pintu : Las
o Plat : 1 mm
o Finishing Cat : Powder Coating
o Warna : "&amp;"Cream")</f>
        <v>Box Panel Outdoor
o Nama Produk : Box Panel Topi ½ Outdoor
o Tinggi Produk : 20 Cm
o Lebar Produk : 17 Cm
o Tebal Produk : 12 Cm
o Kunci : Bulat
o Jenis Pintu : Dalam
o Engsel Pintu : Las
o Plat : 1 mm
o Finishing Cat : Powder Coating
o Warna : Cream</v>
      </c>
      <c r="H838" s="3" t="str">
        <f>IFERROR(__xludf.DUMMYFUNCTION("""COMPUTED_VALUE"""),"Lokal")</f>
        <v>Lokal</v>
      </c>
      <c r="I838" s="3">
        <f>IFERROR(__xludf.DUMMYFUNCTION("""COMPUTED_VALUE"""),3.0)</f>
        <v>3</v>
      </c>
      <c r="J838" s="3" t="str">
        <f>IFERROR(__xludf.DUMMYFUNCTION("""COMPUTED_VALUE"""),"Pcs")</f>
        <v>Pcs</v>
      </c>
      <c r="K838" s="5" t="str">
        <f>IFERROR(__xludf.DUMMYFUNCTION("""COMPUTED_VALUE"""),"https://www.tokopedia.com/sinar-terang-elektrik-os/box-panel-topi-outdoor-powder-coating-20-x-17-x-12-cm-pintu-dalam?extParam=ivf%3Dfalse%26keyword%3Dpanel+outdoor%26search_id%3D20260702074924A666587AFDA6E811DXDK%26src%3Dsearch&amp;t_id=1782978614250&amp;t_st=1&amp;t"&amp;"_pp=search_result&amp;t_efo=search_pure_goods_card&amp;t_ef=goods_search&amp;t_sm=&amp;t_spt=search_result")</f>
        <v>https://www.tokopedia.com/sinar-terang-elektrik-os/box-panel-topi-outdoor-powder-coating-20-x-17-x-12-cm-pintu-dalam?extParam=ivf%3Dfalse%26keyword%3Dpanel+outdoor%26search_id%3D20260702074924A666587AFDA6E811DXDK%26src%3Dsearch&amp;t_id=1782978614250&amp;t_st=1&amp;t_pp=search_result&amp;t_efo=search_pure_goods_card&amp;t_ef=goods_search&amp;t_sm=&amp;t_spt=search_result</v>
      </c>
      <c r="L838" s="3" t="str">
        <f>IFERROR(__xludf.DUMMYFUNCTION("""COMPUTED_VALUE"""),"Buat ganti panel rusak di pintu emergency warehouse")</f>
        <v>Buat ganti panel rusak di pintu emergency warehouse</v>
      </c>
      <c r="M838" s="3" t="str">
        <f>IFERROR(__xludf.DUMMYFUNCTION("""COMPUTED_VALUE"""),"Approve")</f>
        <v>Approve</v>
      </c>
      <c r="N838" s="3" t="str">
        <f>IFERROR(__xludf.DUMMYFUNCTION("""COMPUTED_VALUE"""),"Normal")</f>
        <v>Normal</v>
      </c>
      <c r="O838" s="3" t="str">
        <f>IFERROR(__xludf.DUMMYFUNCTION("""COMPUTED_VALUE"""),"Non Urgent")</f>
        <v>Non Urgent</v>
      </c>
    </row>
    <row r="839">
      <c r="A839" s="4">
        <f>IFERROR(__xludf.DUMMYFUNCTION("""COMPUTED_VALUE"""),46205.80132663194)</f>
        <v>46205.80133</v>
      </c>
      <c r="B839" s="3" t="str">
        <f>IFERROR(__xludf.DUMMYFUNCTION("""COMPUTED_VALUE"""),"MRNBR0114")</f>
        <v>MRNBR0114</v>
      </c>
      <c r="C839" s="3" t="str">
        <f>IFERROR(__xludf.DUMMYFUNCTION("""COMPUTED_VALUE"""),"EJO")</f>
        <v>EJO</v>
      </c>
      <c r="D839" s="3" t="str">
        <f>IFERROR(__xludf.DUMMYFUNCTION("""COMPUTED_VALUE"""),"EJO/2026/06/166")</f>
        <v>EJO/2026/06/166</v>
      </c>
      <c r="E839" s="3" t="str">
        <f>IFERROR(__xludf.DUMMYFUNCTION("""COMPUTED_VALUE"""),"Hand dryer")</f>
        <v>Hand dryer</v>
      </c>
      <c r="F839" s="3" t="str">
        <f>IFERROR(__xludf.DUMMYFUNCTION("""COMPUTED_VALUE"""),"Hand dryer")</f>
        <v>Hand dryer</v>
      </c>
      <c r="G839" s="3" t="str">
        <f>IFERROR(__xludf.DUMMYFUNCTION("""COMPUTED_VALUE"""),"Hand dryer toto hd4000c")</f>
        <v>Hand dryer toto hd4000c</v>
      </c>
      <c r="H839" s="3" t="str">
        <f>IFERROR(__xludf.DUMMYFUNCTION("""COMPUTED_VALUE"""),"toto")</f>
        <v>toto</v>
      </c>
      <c r="I839" s="3">
        <f>IFERROR(__xludf.DUMMYFUNCTION("""COMPUTED_VALUE"""),1.0)</f>
        <v>1</v>
      </c>
      <c r="J839" s="3" t="str">
        <f>IFERROR(__xludf.DUMMYFUNCTION("""COMPUTED_VALUE"""),"unit")</f>
        <v>unit</v>
      </c>
      <c r="K839" s="5" t="str">
        <f>IFERROR(__xludf.DUMMYFUNCTION("""COMPUTED_VALUE"""),"https://www.tokopedia.com/arsanitary-1/hand-dryer-toto-hd-4000-c-pengering-tangan-toto-hd4000c-clean-dry-toto?utm_source=google&amp;utm_medium=organic&amp;utm_campaign=pdp")</f>
        <v>https://www.tokopedia.com/arsanitary-1/hand-dryer-toto-hd-4000-c-pengering-tangan-toto-hd4000c-clean-dry-toto?utm_source=google&amp;utm_medium=organic&amp;utm_campaign=pdp</v>
      </c>
      <c r="L839" s="3" t="str">
        <f>IFERROR(__xludf.DUMMYFUNCTION("""COMPUTED_VALUE"""),"untuk toilet QA")</f>
        <v>untuk toilet QA</v>
      </c>
      <c r="M839" s="3" t="str">
        <f>IFERROR(__xludf.DUMMYFUNCTION("""COMPUTED_VALUE"""),"Waiting")</f>
        <v>Waiting</v>
      </c>
      <c r="N839" s="3" t="str">
        <f>IFERROR(__xludf.DUMMYFUNCTION("""COMPUTED_VALUE"""),"Waiting")</f>
        <v>Waiting</v>
      </c>
      <c r="O839" s="3" t="str">
        <f>IFERROR(__xludf.DUMMYFUNCTION("""COMPUTED_VALUE"""),"Non Urgent")</f>
        <v>Non Urgent</v>
      </c>
    </row>
    <row r="840">
      <c r="A840" s="4">
        <f>IFERROR(__xludf.DUMMYFUNCTION("""COMPUTED_VALUE"""),46208.66826355324)</f>
        <v>46208.66826</v>
      </c>
      <c r="B840" s="3" t="str">
        <f>IFERROR(__xludf.DUMMYFUNCTION("""COMPUTED_VALUE"""),"RIABR0185")</f>
        <v>RIABR0185</v>
      </c>
      <c r="C840" s="3" t="str">
        <f>IFERROR(__xludf.DUMMYFUNCTION("""COMPUTED_VALUE"""),"EJO")</f>
        <v>EJO</v>
      </c>
      <c r="D840" s="3" t="str">
        <f>IFERROR(__xludf.DUMMYFUNCTION("""COMPUTED_VALUE"""),"EJO/2026/06/084")</f>
        <v>EJO/2026/06/084</v>
      </c>
      <c r="E840" s="3" t="str">
        <f>IFERROR(__xludf.DUMMYFUNCTION("""COMPUTED_VALUE"""),"WICC")</f>
        <v>WICC</v>
      </c>
      <c r="F840" s="3" t="str">
        <f>IFERROR(__xludf.DUMMYFUNCTION("""COMPUTED_VALUE"""),"Update Software")</f>
        <v>Update Software</v>
      </c>
      <c r="G840" s="3" t="str">
        <f>IFERROR(__xludf.DUMMYFUNCTION("""COMPUTED_VALUE"""),"SOFTWARE-FUJI SCS-1.3 LITE-LICENSE
ASSY-- (308/08/13-14 &amp; 309/08/13-14)")</f>
        <v>SOFTWARE-FUJI SCS-1.3 LITE-LICENSE
ASSY-- (308/08/13-14 &amp; 309/08/13-14)</v>
      </c>
      <c r="H840" s="3" t="str">
        <f>IFERROR(__xludf.DUMMYFUNCTION("""COMPUTED_VALUE"""),"Thermolab")</f>
        <v>Thermolab</v>
      </c>
      <c r="I840" s="3">
        <f>IFERROR(__xludf.DUMMYFUNCTION("""COMPUTED_VALUE"""),1.0)</f>
        <v>1</v>
      </c>
      <c r="J840" s="3" t="str">
        <f>IFERROR(__xludf.DUMMYFUNCTION("""COMPUTED_VALUE"""),"NOS")</f>
        <v>NOS</v>
      </c>
      <c r="K840" s="3" t="str">
        <f>IFERROR(__xludf.DUMMYFUNCTION("""COMPUTED_VALUE"""),"PT FONKO INTERNATIONAL PHARMACEUTICALS EXP-SPR-QT-77.pdf")</f>
        <v>PT FONKO INTERNATIONAL PHARMACEUTICALS EXP-SPR-QT-77.pdf</v>
      </c>
      <c r="L840" s="3" t="str">
        <f>IFERROR(__xludf.DUMMYFUNCTION("""COMPUTED_VALUE"""),"Update software WICC")</f>
        <v>Update software WICC</v>
      </c>
      <c r="M840" s="3" t="str">
        <f>IFERROR(__xludf.DUMMYFUNCTION("""COMPUTED_VALUE"""),"Approve")</f>
        <v>Approve</v>
      </c>
      <c r="N840" s="3" t="str">
        <f>IFERROR(__xludf.DUMMYFUNCTION("""COMPUTED_VALUE"""),"Normal")</f>
        <v>Normal</v>
      </c>
      <c r="O840" s="3" t="str">
        <f>IFERROR(__xludf.DUMMYFUNCTION("""COMPUTED_VALUE"""),"Non Urgent")</f>
        <v>Non Urgent</v>
      </c>
    </row>
    <row r="841">
      <c r="A841" s="4">
        <f>IFERROR(__xludf.DUMMYFUNCTION("""COMPUTED_VALUE"""),46211.62897138889)</f>
        <v>46211.62897</v>
      </c>
      <c r="B841" s="3" t="str">
        <f>IFERROR(__xludf.DUMMYFUNCTION("""COMPUTED_VALUE"""),"ANOBR0085")</f>
        <v>ANOBR0085</v>
      </c>
      <c r="C841" s="3" t="str">
        <f>IFERROR(__xludf.DUMMYFUNCTION("""COMPUTED_VALUE"""),"Consumable")</f>
        <v>Consumable</v>
      </c>
      <c r="D841" s="3" t="str">
        <f>IFERROR(__xludf.DUMMYFUNCTION("""COMPUTED_VALUE"""),"-")</f>
        <v>-</v>
      </c>
      <c r="E841" s="3" t="str">
        <f>IFERROR(__xludf.DUMMYFUNCTION("""COMPUTED_VALUE"""),"Forklift")</f>
        <v>Forklift</v>
      </c>
      <c r="F841" s="3" t="str">
        <f>IFERROR(__xludf.DUMMYFUNCTION("""COMPUTED_VALUE"""),"lithium grease ")</f>
        <v>lithium grease </v>
      </c>
      <c r="G841" s="3" t="str">
        <f>IFERROR(__xludf.DUMMYFUNCTION("""COMPUTED_VALUE"""),"lithium grease untuk rante, gear, bearing")</f>
        <v>lithium grease untuk rante, gear, bearing</v>
      </c>
      <c r="H841" s="3" t="str">
        <f>IFERROR(__xludf.DUMMYFUNCTION("""COMPUTED_VALUE"""),"lithium")</f>
        <v>lithium</v>
      </c>
      <c r="I841" s="3">
        <f>IFERROR(__xludf.DUMMYFUNCTION("""COMPUTED_VALUE"""),3.0)</f>
        <v>3</v>
      </c>
      <c r="J841" s="3" t="str">
        <f>IFERROR(__xludf.DUMMYFUNCTION("""COMPUTED_VALUE"""),"botol")</f>
        <v>botol</v>
      </c>
      <c r="K841" s="5" t="str">
        <f>IFERROR(__xludf.DUMMYFUNCTION("""COMPUTED_VALUE"""),"https://shopee.co.id/BURGARI-Lithium-Grease-Spray-Gemuk-Cair-500ML-Pelumas-Bearing-Engsel-dan-Alat-Penggerak-Lainnya-i.28051792.26718462866")</f>
        <v>https://shopee.co.id/BURGARI-Lithium-Grease-Spray-Gemuk-Cair-500ML-Pelumas-Bearing-Engsel-dan-Alat-Penggerak-Lainnya-i.28051792.26718462866</v>
      </c>
      <c r="L841" s="3" t="str">
        <f>IFERROR(__xludf.DUMMYFUNCTION("""COMPUTED_VALUE"""),"kebutuhan grease rantai bearing forklift ")</f>
        <v>kebutuhan grease rantai bearing forklift </v>
      </c>
      <c r="M841" s="3" t="str">
        <f>IFERROR(__xludf.DUMMYFUNCTION("""COMPUTED_VALUE"""),"Approve")</f>
        <v>Approve</v>
      </c>
      <c r="N841" s="3" t="str">
        <f>IFERROR(__xludf.DUMMYFUNCTION("""COMPUTED_VALUE"""),"Normal")</f>
        <v>Normal</v>
      </c>
      <c r="O841" s="3" t="str">
        <f>IFERROR(__xludf.DUMMYFUNCTION("""COMPUTED_VALUE"""),"Non Urgent")</f>
        <v>Non Urgent</v>
      </c>
    </row>
    <row r="842">
      <c r="A842" s="4">
        <f>IFERROR(__xludf.DUMMYFUNCTION("""COMPUTED_VALUE"""),46213.63296321759)</f>
        <v>46213.63296</v>
      </c>
      <c r="B842" s="3" t="str">
        <f>IFERROR(__xludf.DUMMYFUNCTION("""COMPUTED_VALUE"""),"BDUBR0019")</f>
        <v>BDUBR0019</v>
      </c>
      <c r="C842" s="3" t="str">
        <f>IFERROR(__xludf.DUMMYFUNCTION("""COMPUTED_VALUE"""),"MIn Stok")</f>
        <v>MIn Stok</v>
      </c>
      <c r="D842" s="3" t="str">
        <f>IFERROR(__xludf.DUMMYFUNCTION("""COMPUTED_VALUE"""),"-")</f>
        <v>-</v>
      </c>
      <c r="E842" s="3" t="str">
        <f>IFERROR(__xludf.DUMMYFUNCTION("""COMPUTED_VALUE"""),"CLU")</f>
        <v>CLU</v>
      </c>
      <c r="F842" s="3" t="str">
        <f>IFERROR(__xludf.DUMMYFUNCTION("""COMPUTED_VALUE"""),"Kabel Grounding 1x10mm")</f>
        <v>Kabel Grounding 1x10mm</v>
      </c>
      <c r="G842" s="3" t="str">
        <f>IFERROR(__xludf.DUMMYFUNCTION("""COMPUTED_VALUE"""),"NYA 1x10mm2 ")</f>
        <v>NYA 1x10mm2 </v>
      </c>
      <c r="H842" s="3" t="str">
        <f>IFERROR(__xludf.DUMMYFUNCTION("""COMPUTED_VALUE"""),"Supreme")</f>
        <v>Supreme</v>
      </c>
      <c r="I842" s="3">
        <f>IFERROR(__xludf.DUMMYFUNCTION("""COMPUTED_VALUE"""),100.0)</f>
        <v>100</v>
      </c>
      <c r="J842" s="3" t="str">
        <f>IFERROR(__xludf.DUMMYFUNCTION("""COMPUTED_VALUE"""),"Meter")</f>
        <v>Meter</v>
      </c>
      <c r="K842" s="5" t="str">
        <f>IFERROR(__xludf.DUMMYFUNCTION("""COMPUTED_VALUE"""),"https://www.tokopedia.com/sahabatlistrik-1/kabel-supreme-nya-1x10-100m?t_id=1783670943971&amp;t_st=2&amp;t_pp=cart&amp;t_efo=cart&amp;t_ef=&amp;t_sm=&amp;t_spt=cart")</f>
        <v>https://www.tokopedia.com/sahabatlistrik-1/kabel-supreme-nya-1x10-100m?t_id=1783670943971&amp;t_st=2&amp;t_pp=cart&amp;t_efo=cart&amp;t_ef=&amp;t_sm=&amp;t_spt=cart</v>
      </c>
      <c r="L842" s="3" t="str">
        <f>IFERROR(__xludf.DUMMYFUNCTION("""COMPUTED_VALUE"""),"Untuk kabel grounding CLU FD2")</f>
        <v>Untuk kabel grounding CLU FD2</v>
      </c>
      <c r="M842" s="3" t="str">
        <f>IFERROR(__xludf.DUMMYFUNCTION("""COMPUTED_VALUE"""),"Waiting")</f>
        <v>Waiting</v>
      </c>
      <c r="N842" s="3" t="str">
        <f>IFERROR(__xludf.DUMMYFUNCTION("""COMPUTED_VALUE"""),"Waiting")</f>
        <v>Waiting</v>
      </c>
      <c r="O842" s="3" t="str">
        <f>IFERROR(__xludf.DUMMYFUNCTION("""COMPUTED_VALUE"""),"Non Urgent")</f>
        <v>Non Urgent</v>
      </c>
    </row>
    <row r="843">
      <c r="A843" s="4">
        <f>IFERROR(__xludf.DUMMYFUNCTION("""COMPUTED_VALUE"""),46213.63326872685)</f>
        <v>46213.63327</v>
      </c>
      <c r="B843" s="3" t="str">
        <f>IFERROR(__xludf.DUMMYFUNCTION("""COMPUTED_VALUE"""),"BDUBR0020")</f>
        <v>BDUBR0020</v>
      </c>
      <c r="C843" s="3" t="str">
        <f>IFERROR(__xludf.DUMMYFUNCTION("""COMPUTED_VALUE"""),"MIn Stok")</f>
        <v>MIn Stok</v>
      </c>
      <c r="D843" s="3" t="str">
        <f>IFERROR(__xludf.DUMMYFUNCTION("""COMPUTED_VALUE"""),"-")</f>
        <v>-</v>
      </c>
      <c r="E843" s="3" t="str">
        <f>IFERROR(__xludf.DUMMYFUNCTION("""COMPUTED_VALUE"""),"CRABS")</f>
        <v>CRABS</v>
      </c>
      <c r="F843" s="3" t="str">
        <f>IFERROR(__xludf.DUMMYFUNCTION("""COMPUTED_VALUE"""),"Kabel NYY 5x10mm")</f>
        <v>Kabel NYY 5x10mm</v>
      </c>
      <c r="G843" s="3" t="str">
        <f>IFERROR(__xludf.DUMMYFUNCTION("""COMPUTED_VALUE"""),"NYY 5x10mm2")</f>
        <v>NYY 5x10mm2</v>
      </c>
      <c r="H843" s="3" t="str">
        <f>IFERROR(__xludf.DUMMYFUNCTION("""COMPUTED_VALUE"""),"Supreme")</f>
        <v>Supreme</v>
      </c>
      <c r="I843" s="3">
        <f>IFERROR(__xludf.DUMMYFUNCTION("""COMPUTED_VALUE"""),50.0)</f>
        <v>50</v>
      </c>
      <c r="J843" s="3" t="str">
        <f>IFERROR(__xludf.DUMMYFUNCTION("""COMPUTED_VALUE"""),"Meter")</f>
        <v>Meter</v>
      </c>
      <c r="K843" s="5" t="str">
        <f>IFERROR(__xludf.DUMMYFUNCTION("""COMPUTED_VALUE"""),"https://www.tokopedia.com/cv-knox-bright-future/kabel-nyy-5x10mm-5x10-power-kabel-supreme-metal-sni-4b?t_id=1783670943971&amp;t_st=2&amp;t_pp=cart&amp;t_efo=cart&amp;t_ef=&amp;t_sm=&amp;t_spt=cart")</f>
        <v>https://www.tokopedia.com/cv-knox-bright-future/kabel-nyy-5x10mm-5x10-power-kabel-supreme-metal-sni-4b?t_id=1783670943971&amp;t_st=2&amp;t_pp=cart&amp;t_efo=cart&amp;t_ef=&amp;t_sm=&amp;t_spt=cart</v>
      </c>
      <c r="L843" s="3" t="str">
        <f>IFERROR(__xludf.DUMMYFUNCTION("""COMPUTED_VALUE"""),"Untuk kabel Power New CRABS")</f>
        <v>Untuk kabel Power New CRABS</v>
      </c>
      <c r="M843" s="3" t="str">
        <f>IFERROR(__xludf.DUMMYFUNCTION("""COMPUTED_VALUE"""),"Waiting")</f>
        <v>Waiting</v>
      </c>
      <c r="N843" s="3" t="str">
        <f>IFERROR(__xludf.DUMMYFUNCTION("""COMPUTED_VALUE"""),"Waiting")</f>
        <v>Waiting</v>
      </c>
      <c r="O843" s="3" t="str">
        <f>IFERROR(__xludf.DUMMYFUNCTION("""COMPUTED_VALUE"""),"Non Urgent")</f>
        <v>Non Urgent</v>
      </c>
    </row>
    <row r="844">
      <c r="A844" s="4">
        <f>IFERROR(__xludf.DUMMYFUNCTION("""COMPUTED_VALUE"""),46213.63460129629)</f>
        <v>46213.6346</v>
      </c>
      <c r="B844" s="3" t="str">
        <f>IFERROR(__xludf.DUMMYFUNCTION("""COMPUTED_VALUE"""),"BDUBR0021")</f>
        <v>BDUBR0021</v>
      </c>
      <c r="C844" s="3" t="str">
        <f>IFERROR(__xludf.DUMMYFUNCTION("""COMPUTED_VALUE"""),"MIn Stok")</f>
        <v>MIn Stok</v>
      </c>
      <c r="D844" s="3" t="str">
        <f>IFERROR(__xludf.DUMMYFUNCTION("""COMPUTED_VALUE"""),"-")</f>
        <v>-</v>
      </c>
      <c r="E844" s="3" t="str">
        <f>IFERROR(__xludf.DUMMYFUNCTION("""COMPUTED_VALUE"""),"General")</f>
        <v>General</v>
      </c>
      <c r="F844" s="3" t="str">
        <f>IFERROR(__xludf.DUMMYFUNCTION("""COMPUTED_VALUE"""),"Flexible Conduit")</f>
        <v>Flexible Conduit</v>
      </c>
      <c r="G844" s="3" t="str">
        <f>IFERROR(__xludf.DUMMYFUNCTION("""COMPUTED_VALUE"""),"flexible conduit 1 1/2""")</f>
        <v>flexible conduit 1 1/2"</v>
      </c>
      <c r="H844" s="3" t="str">
        <f>IFERROR(__xludf.DUMMYFUNCTION("""COMPUTED_VALUE"""),"-")</f>
        <v>-</v>
      </c>
      <c r="I844" s="3">
        <f>IFERROR(__xludf.DUMMYFUNCTION("""COMPUTED_VALUE"""),25.0)</f>
        <v>25</v>
      </c>
      <c r="J844" s="3" t="str">
        <f>IFERROR(__xludf.DUMMYFUNCTION("""COMPUTED_VALUE"""),"Meter")</f>
        <v>Meter</v>
      </c>
      <c r="K844" s="5" t="str">
        <f>IFERROR(__xludf.DUMMYFUNCTION("""COMPUTED_VALUE"""),"https://www.tokopedia.com/pbelectric/flexible-metal-conduit-1-1-2-inch-flexible-conduit-1-1-2-meteran?t_id=1783670943971&amp;t_st=2&amp;t_pp=cart&amp;t_efo=cart&amp;t_ef=&amp;t_sm=&amp;t_spt=cart")</f>
        <v>https://www.tokopedia.com/pbelectric/flexible-metal-conduit-1-1-2-inch-flexible-conduit-1-1-2-meteran?t_id=1783670943971&amp;t_st=2&amp;t_pp=cart&amp;t_efo=cart&amp;t_ef=&amp;t_sm=&amp;t_spt=cart</v>
      </c>
      <c r="L844" s="3" t="str">
        <f>IFERROR(__xludf.DUMMYFUNCTION("""COMPUTED_VALUE"""),"Untuk pelindung kabel power CRABS dan CLU")</f>
        <v>Untuk pelindung kabel power CRABS dan CLU</v>
      </c>
      <c r="M844" s="3" t="str">
        <f>IFERROR(__xludf.DUMMYFUNCTION("""COMPUTED_VALUE"""),"Approve")</f>
        <v>Approve</v>
      </c>
      <c r="N844" s="3" t="str">
        <f>IFERROR(__xludf.DUMMYFUNCTION("""COMPUTED_VALUE"""),"Normal")</f>
        <v>Normal</v>
      </c>
      <c r="O844" s="3" t="str">
        <f>IFERROR(__xludf.DUMMYFUNCTION("""COMPUTED_VALUE"""),"Non Urgent")</f>
        <v>Non Urgent</v>
      </c>
    </row>
    <row r="845">
      <c r="A845" s="4">
        <f>IFERROR(__xludf.DUMMYFUNCTION("""COMPUTED_VALUE"""),46213.637206817126)</f>
        <v>46213.63721</v>
      </c>
      <c r="B845" s="3" t="str">
        <f>IFERROR(__xludf.DUMMYFUNCTION("""COMPUTED_VALUE"""),"BDUBR0022")</f>
        <v>BDUBR0022</v>
      </c>
      <c r="C845" s="3" t="str">
        <f>IFERROR(__xludf.DUMMYFUNCTION("""COMPUTED_VALUE"""),"MIn Stok")</f>
        <v>MIn Stok</v>
      </c>
      <c r="D845" s="3" t="str">
        <f>IFERROR(__xludf.DUMMYFUNCTION("""COMPUTED_VALUE"""),"-")</f>
        <v>-</v>
      </c>
      <c r="E845" s="3" t="str">
        <f>IFERROR(__xludf.DUMMYFUNCTION("""COMPUTED_VALUE"""),"General")</f>
        <v>General</v>
      </c>
      <c r="F845" s="3" t="str">
        <f>IFERROR(__xludf.DUMMYFUNCTION("""COMPUTED_VALUE"""),"Skun Ferules")</f>
        <v>Skun Ferules</v>
      </c>
      <c r="G845" s="3" t="str">
        <f>IFERROR(__xludf.DUMMYFUNCTION("""COMPUTED_VALUE"""),"skun ferules E10-12 (Merah)")</f>
        <v>skun ferules E10-12 (Merah)</v>
      </c>
      <c r="H845" s="3" t="str">
        <f>IFERROR(__xludf.DUMMYFUNCTION("""COMPUTED_VALUE"""),"-")</f>
        <v>-</v>
      </c>
      <c r="I845" s="3">
        <f>IFERROR(__xludf.DUMMYFUNCTION("""COMPUTED_VALUE"""),1.0)</f>
        <v>1</v>
      </c>
      <c r="J845" s="3" t="str">
        <f>IFERROR(__xludf.DUMMYFUNCTION("""COMPUTED_VALUE"""),"Pack")</f>
        <v>Pack</v>
      </c>
      <c r="K845" s="5" t="str">
        <f>IFERROR(__xludf.DUMMYFUNCTION("""COMPUTED_VALUE"""),"https://www.tokopedia.com/archive-firstelectric/skun-kabel-ferules-ferulles-10mm-10-mm-e1012-e10-12-e-1012-e-10-12-e-1012-e-10-12-tersedia-warna-merah-kuning-hitam-biru-hijau-coklat-abu-abu-putih-ivory-dll-1731067975323584162?t_id=1783670943971&amp;t_st=2&amp;t_p"&amp;"p=cart&amp;t_efo=cart&amp;t_ef=&amp;t_sm=&amp;t_spt=cart")</f>
        <v>https://www.tokopedia.com/archive-firstelectric/skun-kabel-ferules-ferulles-10mm-10-mm-e1012-e10-12-e-1012-e-10-12-e-1012-e-10-12-tersedia-warna-merah-kuning-hitam-biru-hijau-coklat-abu-abu-putih-ivory-dll-1731067975323584162?t_id=1783670943971&amp;t_st=2&amp;t_pp=cart&amp;t_efo=cart&amp;t_ef=&amp;t_sm=&amp;t_spt=cart</v>
      </c>
      <c r="L845" s="3" t="str">
        <f>IFERROR(__xludf.DUMMYFUNCTION("""COMPUTED_VALUE"""),"skun untuk kabel power CLU dan Crabs")</f>
        <v>skun untuk kabel power CLU dan Crabs</v>
      </c>
      <c r="M845" s="3" t="str">
        <f>IFERROR(__xludf.DUMMYFUNCTION("""COMPUTED_VALUE"""),"Approve")</f>
        <v>Approve</v>
      </c>
      <c r="N845" s="3" t="str">
        <f>IFERROR(__xludf.DUMMYFUNCTION("""COMPUTED_VALUE"""),"Normal")</f>
        <v>Normal</v>
      </c>
      <c r="O845" s="3" t="str">
        <f>IFERROR(__xludf.DUMMYFUNCTION("""COMPUTED_VALUE"""),"Non Urgent")</f>
        <v>Non Urgent</v>
      </c>
    </row>
    <row r="846">
      <c r="A846" s="4">
        <f>IFERROR(__xludf.DUMMYFUNCTION("""COMPUTED_VALUE"""),46213.639044537034)</f>
        <v>46213.63904</v>
      </c>
      <c r="B846" s="3" t="str">
        <f>IFERROR(__xludf.DUMMYFUNCTION("""COMPUTED_VALUE"""),"BDUBR0023")</f>
        <v>BDUBR0023</v>
      </c>
      <c r="C846" s="3" t="str">
        <f>IFERROR(__xludf.DUMMYFUNCTION("""COMPUTED_VALUE"""),"MIn Stok")</f>
        <v>MIn Stok</v>
      </c>
      <c r="D846" s="3" t="str">
        <f>IFERROR(__xludf.DUMMYFUNCTION("""COMPUTED_VALUE"""),"-")</f>
        <v>-</v>
      </c>
      <c r="E846" s="3" t="str">
        <f>IFERROR(__xludf.DUMMYFUNCTION("""COMPUTED_VALUE"""),"General")</f>
        <v>General</v>
      </c>
      <c r="F846" s="3" t="str">
        <f>IFERROR(__xludf.DUMMYFUNCTION("""COMPUTED_VALUE"""),"Skun Ferules")</f>
        <v>Skun Ferules</v>
      </c>
      <c r="G846" s="3" t="str">
        <f>IFERROR(__xludf.DUMMYFUNCTION("""COMPUTED_VALUE"""),"skun ferules E10-12 (Kuning)")</f>
        <v>skun ferules E10-12 (Kuning)</v>
      </c>
      <c r="H846" s="3" t="str">
        <f>IFERROR(__xludf.DUMMYFUNCTION("""COMPUTED_VALUE"""),"-")</f>
        <v>-</v>
      </c>
      <c r="I846" s="3">
        <f>IFERROR(__xludf.DUMMYFUNCTION("""COMPUTED_VALUE"""),1.0)</f>
        <v>1</v>
      </c>
      <c r="J846" s="3" t="str">
        <f>IFERROR(__xludf.DUMMYFUNCTION("""COMPUTED_VALUE"""),"Pack")</f>
        <v>Pack</v>
      </c>
      <c r="K846" s="5" t="str">
        <f>IFERROR(__xludf.DUMMYFUNCTION("""COMPUTED_VALUE"""),"https://www.tokopedia.com/archive-firstelectric/skun-kabel-ferules-ferulles-10mm-10-mm-e1012-e10-12-e-1012-e-10-12-e-1012-e-10-12-tersedia-warna-merah-kuning-hitam-biru-hijau-coklat-abu-abu-putih-ivory-dll-1731067975323584162?t_id=1783670943971&amp;t_st=2&amp;t_p"&amp;"p=cart&amp;t_efo=cart&amp;t_ef=&amp;t_sm=&amp;t_spt=cart")</f>
        <v>https://www.tokopedia.com/archive-firstelectric/skun-kabel-ferules-ferulles-10mm-10-mm-e1012-e10-12-e-1012-e-10-12-e-1012-e-10-12-tersedia-warna-merah-kuning-hitam-biru-hijau-coklat-abu-abu-putih-ivory-dll-1731067975323584162?t_id=1783670943971&amp;t_st=2&amp;t_pp=cart&amp;t_efo=cart&amp;t_ef=&amp;t_sm=&amp;t_spt=cart</v>
      </c>
      <c r="L846" s="3" t="str">
        <f>IFERROR(__xludf.DUMMYFUNCTION("""COMPUTED_VALUE"""),"skun untuk kabel power CLU dan Crabs")</f>
        <v>skun untuk kabel power CLU dan Crabs</v>
      </c>
      <c r="M846" s="3" t="str">
        <f>IFERROR(__xludf.DUMMYFUNCTION("""COMPUTED_VALUE"""),"Approve")</f>
        <v>Approve</v>
      </c>
      <c r="N846" s="3" t="str">
        <f>IFERROR(__xludf.DUMMYFUNCTION("""COMPUTED_VALUE"""),"Normal")</f>
        <v>Normal</v>
      </c>
      <c r="O846" s="3" t="str">
        <f>IFERROR(__xludf.DUMMYFUNCTION("""COMPUTED_VALUE"""),"Non Urgent")</f>
        <v>Non Urgent</v>
      </c>
    </row>
    <row r="847">
      <c r="A847" s="4">
        <f>IFERROR(__xludf.DUMMYFUNCTION("""COMPUTED_VALUE"""),46213.639052893515)</f>
        <v>46213.63905</v>
      </c>
      <c r="B847" s="3" t="str">
        <f>IFERROR(__xludf.DUMMYFUNCTION("""COMPUTED_VALUE"""),"BDUBR0024")</f>
        <v>BDUBR0024</v>
      </c>
      <c r="C847" s="3" t="str">
        <f>IFERROR(__xludf.DUMMYFUNCTION("""COMPUTED_VALUE"""),"MIn Stok")</f>
        <v>MIn Stok</v>
      </c>
      <c r="D847" s="3" t="str">
        <f>IFERROR(__xludf.DUMMYFUNCTION("""COMPUTED_VALUE"""),"-")</f>
        <v>-</v>
      </c>
      <c r="E847" s="3" t="str">
        <f>IFERROR(__xludf.DUMMYFUNCTION("""COMPUTED_VALUE"""),"General")</f>
        <v>General</v>
      </c>
      <c r="F847" s="3" t="str">
        <f>IFERROR(__xludf.DUMMYFUNCTION("""COMPUTED_VALUE"""),"Skun Ferules")</f>
        <v>Skun Ferules</v>
      </c>
      <c r="G847" s="3" t="str">
        <f>IFERROR(__xludf.DUMMYFUNCTION("""COMPUTED_VALUE"""),"skun ferules E10-12 (hitam)")</f>
        <v>skun ferules E10-12 (hitam)</v>
      </c>
      <c r="H847" s="3" t="str">
        <f>IFERROR(__xludf.DUMMYFUNCTION("""COMPUTED_VALUE"""),"-")</f>
        <v>-</v>
      </c>
      <c r="I847" s="3">
        <f>IFERROR(__xludf.DUMMYFUNCTION("""COMPUTED_VALUE"""),1.0)</f>
        <v>1</v>
      </c>
      <c r="J847" s="3" t="str">
        <f>IFERROR(__xludf.DUMMYFUNCTION("""COMPUTED_VALUE"""),"Pack")</f>
        <v>Pack</v>
      </c>
      <c r="K847" s="5" t="str">
        <f>IFERROR(__xludf.DUMMYFUNCTION("""COMPUTED_VALUE"""),"https://www.tokopedia.com/archive-firstelectric/skun-kabel-ferules-ferulles-10mm-10-mm-e1012-e10-12-e-1012-e-10-12-e-1012-e-10-12-tersedia-warna-merah-kuning-hitam-biru-hijau-coklat-abu-abu-putih-ivory-dll-1731067975323584162?t_id=1783670943971&amp;t_st=2&amp;t_p"&amp;"p=cart&amp;t_efo=cart&amp;t_ef=&amp;t_sm=&amp;t_spt=cart")</f>
        <v>https://www.tokopedia.com/archive-firstelectric/skun-kabel-ferules-ferulles-10mm-10-mm-e1012-e10-12-e-1012-e-10-12-e-1012-e-10-12-tersedia-warna-merah-kuning-hitam-biru-hijau-coklat-abu-abu-putih-ivory-dll-1731067975323584162?t_id=1783670943971&amp;t_st=2&amp;t_pp=cart&amp;t_efo=cart&amp;t_ef=&amp;t_sm=&amp;t_spt=cart</v>
      </c>
      <c r="L847" s="3" t="str">
        <f>IFERROR(__xludf.DUMMYFUNCTION("""COMPUTED_VALUE"""),"skun untuk kabel power CLU dan Crabs")</f>
        <v>skun untuk kabel power CLU dan Crabs</v>
      </c>
      <c r="M847" s="3" t="str">
        <f>IFERROR(__xludf.DUMMYFUNCTION("""COMPUTED_VALUE"""),"Waiting")</f>
        <v>Waiting</v>
      </c>
      <c r="N847" s="3" t="str">
        <f>IFERROR(__xludf.DUMMYFUNCTION("""COMPUTED_VALUE"""),"Waiting")</f>
        <v>Waiting</v>
      </c>
      <c r="O847" s="3" t="str">
        <f>IFERROR(__xludf.DUMMYFUNCTION("""COMPUTED_VALUE"""),"Non Urgent")</f>
        <v>Non Urgent</v>
      </c>
    </row>
    <row r="848">
      <c r="A848" s="4">
        <f>IFERROR(__xludf.DUMMYFUNCTION("""COMPUTED_VALUE"""),46213.639357106484)</f>
        <v>46213.63936</v>
      </c>
      <c r="B848" s="3" t="str">
        <f>IFERROR(__xludf.DUMMYFUNCTION("""COMPUTED_VALUE"""),"BDUBR0025")</f>
        <v>BDUBR0025</v>
      </c>
      <c r="C848" s="3" t="str">
        <f>IFERROR(__xludf.DUMMYFUNCTION("""COMPUTED_VALUE"""),"MIn Stok")</f>
        <v>MIn Stok</v>
      </c>
      <c r="D848" s="3" t="str">
        <f>IFERROR(__xludf.DUMMYFUNCTION("""COMPUTED_VALUE"""),"-")</f>
        <v>-</v>
      </c>
      <c r="E848" s="3" t="str">
        <f>IFERROR(__xludf.DUMMYFUNCTION("""COMPUTED_VALUE"""),"General")</f>
        <v>General</v>
      </c>
      <c r="F848" s="3" t="str">
        <f>IFERROR(__xludf.DUMMYFUNCTION("""COMPUTED_VALUE"""),"Skun kabel O")</f>
        <v>Skun kabel O</v>
      </c>
      <c r="G848" s="3" t="str">
        <f>IFERROR(__xludf.DUMMYFUNCTION("""COMPUTED_VALUE"""),"Skun kabel SC10-8")</f>
        <v>Skun kabel SC10-8</v>
      </c>
      <c r="H848" s="3" t="str">
        <f>IFERROR(__xludf.DUMMYFUNCTION("""COMPUTED_VALUE"""),"-")</f>
        <v>-</v>
      </c>
      <c r="I848" s="3">
        <f>IFERROR(__xludf.DUMMYFUNCTION("""COMPUTED_VALUE"""),1.0)</f>
        <v>1</v>
      </c>
      <c r="J848" s="3" t="str">
        <f>IFERROR(__xludf.DUMMYFUNCTION("""COMPUTED_VALUE"""),"Pack")</f>
        <v>Pack</v>
      </c>
      <c r="K848" s="5" t="str">
        <f>IFERROR(__xludf.DUMMYFUNCTION("""COMPUTED_VALUE"""),"https://www.tokopedia.com/kaleaelektrindo/skun-kabel-sc-10-8-type-10mm-lubang-baut-8mm-scun-cable-lug-premium-bahan-tembaga-lapis-alumunium-warna-doff-silver-1731556745946367006?t_id=1783670943971&amp;t_st=2&amp;t_pp=cart&amp;t_efo=cart&amp;t_ef=&amp;t_sm=&amp;t_spt=cart")</f>
        <v>https://www.tokopedia.com/kaleaelektrindo/skun-kabel-sc-10-8-type-10mm-lubang-baut-8mm-scun-cable-lug-premium-bahan-tembaga-lapis-alumunium-warna-doff-silver-1731556745946367006?t_id=1783670943971&amp;t_st=2&amp;t_pp=cart&amp;t_efo=cart&amp;t_ef=&amp;t_sm=&amp;t_spt=cart</v>
      </c>
      <c r="L848" s="3" t="str">
        <f>IFERROR(__xludf.DUMMYFUNCTION("""COMPUTED_VALUE"""),"skun unutk kabel grounding dan neutrak oada oanel power untuk CRABS dan CLU")</f>
        <v>skun unutk kabel grounding dan neutrak oada oanel power untuk CRABS dan CLU</v>
      </c>
      <c r="M848" s="3" t="str">
        <f>IFERROR(__xludf.DUMMYFUNCTION("""COMPUTED_VALUE"""),"Approve")</f>
        <v>Approve</v>
      </c>
      <c r="N848" s="3" t="str">
        <f>IFERROR(__xludf.DUMMYFUNCTION("""COMPUTED_VALUE"""),"Normal")</f>
        <v>Normal</v>
      </c>
      <c r="O848" s="3" t="str">
        <f>IFERROR(__xludf.DUMMYFUNCTION("""COMPUTED_VALUE"""),"Non Urgent")</f>
        <v>Non Urgent</v>
      </c>
    </row>
    <row r="849">
      <c r="A849" s="4">
        <f>IFERROR(__xludf.DUMMYFUNCTION("""COMPUTED_VALUE"""),46213.640617835656)</f>
        <v>46213.64062</v>
      </c>
      <c r="B849" s="3" t="str">
        <f>IFERROR(__xludf.DUMMYFUNCTION("""COMPUTED_VALUE"""),"BDUBR0026")</f>
        <v>BDUBR0026</v>
      </c>
      <c r="C849" s="3" t="str">
        <f>IFERROR(__xludf.DUMMYFUNCTION("""COMPUTED_VALUE"""),"MIn Stok")</f>
        <v>MIn Stok</v>
      </c>
      <c r="D849" s="3" t="str">
        <f>IFERROR(__xludf.DUMMYFUNCTION("""COMPUTED_VALUE"""),"-")</f>
        <v>-</v>
      </c>
      <c r="E849" s="3" t="str">
        <f>IFERROR(__xludf.DUMMYFUNCTION("""COMPUTED_VALUE"""),"General")</f>
        <v>General</v>
      </c>
      <c r="F849" s="3" t="str">
        <f>IFERROR(__xludf.DUMMYFUNCTION("""COMPUTED_VALUE"""),"Solasi Listrik")</f>
        <v>Solasi Listrik</v>
      </c>
      <c r="G849" s="3" t="str">
        <f>IFERROR(__xludf.DUMMYFUNCTION("""COMPUTED_VALUE"""),"Solasi Listrik (Biru)")</f>
        <v>Solasi Listrik (Biru)</v>
      </c>
      <c r="H849" s="3" t="str">
        <f>IFERROR(__xludf.DUMMYFUNCTION("""COMPUTED_VALUE"""),"Nitto")</f>
        <v>Nitto</v>
      </c>
      <c r="I849" s="3">
        <f>IFERROR(__xludf.DUMMYFUNCTION("""COMPUTED_VALUE"""),1.0)</f>
        <v>1</v>
      </c>
      <c r="J849" s="3" t="str">
        <f>IFERROR(__xludf.DUMMYFUNCTION("""COMPUTED_VALUE"""),"pcs")</f>
        <v>pcs</v>
      </c>
      <c r="K849" s="5" t="str">
        <f>IFERROR(__xludf.DUMMYFUNCTION("""COMPUTED_VALUE"""),"https://www.tokopedia.com/market-isolasi/solasi-listrik-nitto-2107-merah-kuning-hijau-biru-grosir-biru?t_id=1783670943971&amp;t_st=2&amp;t_pp=cart&amp;t_efo=cart&amp;t_ef=&amp;t_sm=&amp;t_spt=cart")</f>
        <v>https://www.tokopedia.com/market-isolasi/solasi-listrik-nitto-2107-merah-kuning-hijau-biru-grosir-biru?t_id=1783670943971&amp;t_st=2&amp;t_pp=cart&amp;t_efo=cart&amp;t_ef=&amp;t_sm=&amp;t_spt=cart</v>
      </c>
      <c r="L849" s="3" t="str">
        <f>IFERROR(__xludf.DUMMYFUNCTION("""COMPUTED_VALUE"""),"Untuk keperluan solasi kabel pada panel power")</f>
        <v>Untuk keperluan solasi kabel pada panel power</v>
      </c>
      <c r="M849" s="3" t="str">
        <f>IFERROR(__xludf.DUMMYFUNCTION("""COMPUTED_VALUE"""),"Approve")</f>
        <v>Approve</v>
      </c>
      <c r="N849" s="3" t="str">
        <f>IFERROR(__xludf.DUMMYFUNCTION("""COMPUTED_VALUE"""),"Normal")</f>
        <v>Normal</v>
      </c>
      <c r="O849" s="3" t="str">
        <f>IFERROR(__xludf.DUMMYFUNCTION("""COMPUTED_VALUE"""),"Non Urgent")</f>
        <v>Non Urgent</v>
      </c>
    </row>
    <row r="850">
      <c r="A850" s="4">
        <f>IFERROR(__xludf.DUMMYFUNCTION("""COMPUTED_VALUE"""),46213.64062341436)</f>
        <v>46213.64062</v>
      </c>
      <c r="B850" s="3" t="str">
        <f>IFERROR(__xludf.DUMMYFUNCTION("""COMPUTED_VALUE"""),"BDUBR0027")</f>
        <v>BDUBR0027</v>
      </c>
      <c r="C850" s="3" t="str">
        <f>IFERROR(__xludf.DUMMYFUNCTION("""COMPUTED_VALUE"""),"MIn Stok")</f>
        <v>MIn Stok</v>
      </c>
      <c r="D850" s="3" t="str">
        <f>IFERROR(__xludf.DUMMYFUNCTION("""COMPUTED_VALUE"""),"-")</f>
        <v>-</v>
      </c>
      <c r="E850" s="3" t="str">
        <f>IFERROR(__xludf.DUMMYFUNCTION("""COMPUTED_VALUE"""),"General")</f>
        <v>General</v>
      </c>
      <c r="F850" s="3" t="str">
        <f>IFERROR(__xludf.DUMMYFUNCTION("""COMPUTED_VALUE"""),"Solasi Listrik")</f>
        <v>Solasi Listrik</v>
      </c>
      <c r="G850" s="3" t="str">
        <f>IFERROR(__xludf.DUMMYFUNCTION("""COMPUTED_VALUE"""),"Solasi Listrik (HIjau)")</f>
        <v>Solasi Listrik (HIjau)</v>
      </c>
      <c r="H850" s="3" t="str">
        <f>IFERROR(__xludf.DUMMYFUNCTION("""COMPUTED_VALUE"""),"Nitto")</f>
        <v>Nitto</v>
      </c>
      <c r="I850" s="3">
        <f>IFERROR(__xludf.DUMMYFUNCTION("""COMPUTED_VALUE"""),1.0)</f>
        <v>1</v>
      </c>
      <c r="J850" s="3" t="str">
        <f>IFERROR(__xludf.DUMMYFUNCTION("""COMPUTED_VALUE"""),"pcs")</f>
        <v>pcs</v>
      </c>
      <c r="K850" s="5" t="str">
        <f>IFERROR(__xludf.DUMMYFUNCTION("""COMPUTED_VALUE"""),"https://www.tokopedia.com/market-isolasi/solasi-listrik-nitto-2107-merah-kuning-hijau-biru-grosir-biru?t_id=1783670943971&amp;t_st=2&amp;t_pp=cart&amp;t_efo=cart&amp;t_ef=&amp;t_sm=&amp;t_spt=cart")</f>
        <v>https://www.tokopedia.com/market-isolasi/solasi-listrik-nitto-2107-merah-kuning-hijau-biru-grosir-biru?t_id=1783670943971&amp;t_st=2&amp;t_pp=cart&amp;t_efo=cart&amp;t_ef=&amp;t_sm=&amp;t_spt=cart</v>
      </c>
      <c r="L850" s="3" t="str">
        <f>IFERROR(__xludf.DUMMYFUNCTION("""COMPUTED_VALUE"""),"Untuk keperluan solasi kabel pada panel power")</f>
        <v>Untuk keperluan solasi kabel pada panel power</v>
      </c>
      <c r="M850" s="3" t="str">
        <f>IFERROR(__xludf.DUMMYFUNCTION("""COMPUTED_VALUE"""),"Waiting")</f>
        <v>Waiting</v>
      </c>
      <c r="N850" s="3" t="str">
        <f>IFERROR(__xludf.DUMMYFUNCTION("""COMPUTED_VALUE"""),"Waiting")</f>
        <v>Waiting</v>
      </c>
      <c r="O850" s="3" t="str">
        <f>IFERROR(__xludf.DUMMYFUNCTION("""COMPUTED_VALUE"""),"Non Urgent")</f>
        <v>Non Urgent</v>
      </c>
    </row>
    <row r="851">
      <c r="A851" s="4">
        <f>IFERROR(__xludf.DUMMYFUNCTION("""COMPUTED_VALUE"""),46213.643535497686)</f>
        <v>46213.64354</v>
      </c>
      <c r="B851" s="3" t="str">
        <f>IFERROR(__xludf.DUMMYFUNCTION("""COMPUTED_VALUE"""),"BDUBR0028")</f>
        <v>BDUBR0028</v>
      </c>
      <c r="C851" s="3" t="str">
        <f>IFERROR(__xludf.DUMMYFUNCTION("""COMPUTED_VALUE"""),"MIn Stok")</f>
        <v>MIn Stok</v>
      </c>
      <c r="D851" s="3" t="str">
        <f>IFERROR(__xludf.DUMMYFUNCTION("""COMPUTED_VALUE"""),"-")</f>
        <v>-</v>
      </c>
      <c r="E851" s="3" t="str">
        <f>IFERROR(__xludf.DUMMYFUNCTION("""COMPUTED_VALUE"""),"General")</f>
        <v>General</v>
      </c>
      <c r="F851" s="3" t="str">
        <f>IFERROR(__xludf.DUMMYFUNCTION("""COMPUTED_VALUE"""),"Kabel Ties Stainless Steel 4,6 x 400")</f>
        <v>Kabel Ties Stainless Steel 4,6 x 400</v>
      </c>
      <c r="G851" s="3" t="str">
        <f>IFERROR(__xludf.DUMMYFUNCTION("""COMPUTED_VALUE"""),"Kabel Ties Stainless Steel 4,6 x 400")</f>
        <v>Kabel Ties Stainless Steel 4,6 x 400</v>
      </c>
      <c r="H851" s="3" t="str">
        <f>IFERROR(__xludf.DUMMYFUNCTION("""COMPUTED_VALUE"""),"-")</f>
        <v>-</v>
      </c>
      <c r="I851" s="3">
        <f>IFERROR(__xludf.DUMMYFUNCTION("""COMPUTED_VALUE"""),1.0)</f>
        <v>1</v>
      </c>
      <c r="J851" s="3" t="str">
        <f>IFERROR(__xludf.DUMMYFUNCTION("""COMPUTED_VALUE"""),"Pack")</f>
        <v>Pack</v>
      </c>
      <c r="K851" s="5" t="str">
        <f>IFERROR(__xludf.DUMMYFUNCTION("""COMPUTED_VALUE"""),"https://www.tokopedia.com/burung-terbang2/100pcs-kabel-ties-stainless-steel-cable-ties-kabel-tis-besi-ss304-30-40cm-1730927980585780746?extParam=ivf%3Dfalse%26keyword%3Dkabel+ties+stainless%26search_id%3D20260710082457B83AAC23B9528726FA0G%26src%3Dsearch&amp;t"&amp;"_id=1783670943971&amp;t_st=3&amp;t_pp=search_result&amp;t_efo=search_pure_goods_card&amp;t_ef=goods_search&amp;t_sm=&amp;t_spt=search_result")</f>
        <v>https://www.tokopedia.com/burung-terbang2/100pcs-kabel-ties-stainless-steel-cable-ties-kabel-tis-besi-ss304-30-40cm-1730927980585780746?extParam=ivf%3Dfalse%26keyword%3Dkabel+ties+stainless%26search_id%3D20260710082457B83AAC23B9528726FA0G%26src%3Dsearch&amp;t_id=1783670943971&amp;t_st=3&amp;t_pp=search_result&amp;t_efo=search_pure_goods_card&amp;t_ef=goods_search&amp;t_sm=&amp;t_spt=search_result</v>
      </c>
      <c r="L851" s="3" t="str">
        <f>IFERROR(__xludf.DUMMYFUNCTION("""COMPUTED_VALUE"""),"Untuk perapihan kabel")</f>
        <v>Untuk perapihan kabel</v>
      </c>
      <c r="M851" s="3" t="str">
        <f>IFERROR(__xludf.DUMMYFUNCTION("""COMPUTED_VALUE"""),"Approve")</f>
        <v>Approve</v>
      </c>
      <c r="N851" s="3" t="str">
        <f>IFERROR(__xludf.DUMMYFUNCTION("""COMPUTED_VALUE"""),"Normal")</f>
        <v>Normal</v>
      </c>
      <c r="O851" s="3" t="str">
        <f>IFERROR(__xludf.DUMMYFUNCTION("""COMPUTED_VALUE"""),"Non Urgent")</f>
        <v>Non Urgent</v>
      </c>
    </row>
    <row r="852">
      <c r="A852" s="4">
        <f>IFERROR(__xludf.DUMMYFUNCTION("""COMPUTED_VALUE"""),46213.64776771991)</f>
        <v>46213.64777</v>
      </c>
      <c r="B852" s="3" t="str">
        <f>IFERROR(__xludf.DUMMYFUNCTION("""COMPUTED_VALUE"""),"BDUBR0029")</f>
        <v>BDUBR0029</v>
      </c>
      <c r="C852" s="3" t="str">
        <f>IFERROR(__xludf.DUMMYFUNCTION("""COMPUTED_VALUE"""),"MIn Stok")</f>
        <v>MIn Stok</v>
      </c>
      <c r="D852" s="3" t="str">
        <f>IFERROR(__xludf.DUMMYFUNCTION("""COMPUTED_VALUE"""),"-")</f>
        <v>-</v>
      </c>
      <c r="E852" s="3" t="str">
        <f>IFERROR(__xludf.DUMMYFUNCTION("""COMPUTED_VALUE"""),"General")</f>
        <v>General</v>
      </c>
      <c r="F852" s="3" t="str">
        <f>IFERROR(__xludf.DUMMYFUNCTION("""COMPUTED_VALUE"""),"Tang Skun Ferrules")</f>
        <v>Tang Skun Ferrules</v>
      </c>
      <c r="G852" s="3" t="str">
        <f>IFERROR(__xludf.DUMMYFUNCTION("""COMPUTED_VALUE"""),"Tang skun Ferrules 0,08 - 16mm2")</f>
        <v>Tang skun Ferrules 0,08 - 16mm2</v>
      </c>
      <c r="H852" s="3" t="str">
        <f>IFERROR(__xludf.DUMMYFUNCTION("""COMPUTED_VALUE"""),"-")</f>
        <v>-</v>
      </c>
      <c r="I852" s="3">
        <f>IFERROR(__xludf.DUMMYFUNCTION("""COMPUTED_VALUE"""),1.0)</f>
        <v>1</v>
      </c>
      <c r="J852" s="3" t="str">
        <f>IFERROR(__xludf.DUMMYFUNCTION("""COMPUTED_VALUE"""),"pcs")</f>
        <v>pcs</v>
      </c>
      <c r="K852" s="5" t="str">
        <f>IFERROR(__xludf.DUMMYFUNCTION("""COMPUTED_VALUE"""),"https://www.tokopedia.com/electricalhome/tang-press-skun-ferrules-hsc9-16-4a-0-08-16mm2-segi-4?extParam=ivf%3Dfalse%26keyword%3Dtang+skun+ferulles+0.08-16mm%26search_id%3D20260710082948A49E9411D64FF5392FWZ%26src%3Dsearch&amp;t_id=1783670943971&amp;t_st=9&amp;t_pp=sea"&amp;"rch_result&amp;t_efo=search_pure_goods_card&amp;t_ef=goods_search&amp;t_sm=&amp;t_spt=search_result")</f>
        <v>https://www.tokopedia.com/electricalhome/tang-press-skun-ferrules-hsc9-16-4a-0-08-16mm2-segi-4?extParam=ivf%3Dfalse%26keyword%3Dtang+skun+ferulles+0.08-16mm%26search_id%3D20260710082948A49E9411D64FF5392FWZ%26src%3Dsearch&amp;t_id=1783670943971&amp;t_st=9&amp;t_pp=search_result&amp;t_efo=search_pure_goods_card&amp;t_ef=goods_search&amp;t_sm=&amp;t_spt=search_result</v>
      </c>
      <c r="L852" s="3" t="str">
        <f>IFERROR(__xludf.DUMMYFUNCTION("""COMPUTED_VALUE"""),"Tang Skun Ferrules untuk project power panel")</f>
        <v>Tang Skun Ferrules untuk project power panel</v>
      </c>
      <c r="M852" s="3" t="str">
        <f>IFERROR(__xludf.DUMMYFUNCTION("""COMPUTED_VALUE"""),"Approve")</f>
        <v>Approve</v>
      </c>
      <c r="N852" s="3" t="str">
        <f>IFERROR(__xludf.DUMMYFUNCTION("""COMPUTED_VALUE"""),"Normal")</f>
        <v>Normal</v>
      </c>
      <c r="O852" s="3" t="str">
        <f>IFERROR(__xludf.DUMMYFUNCTION("""COMPUTED_VALUE"""),"Non Urgent")</f>
        <v>Non Urgent</v>
      </c>
    </row>
    <row r="853">
      <c r="A853" s="4">
        <f>IFERROR(__xludf.DUMMYFUNCTION("""COMPUTED_VALUE"""),46216.69089414352)</f>
        <v>46216.69089</v>
      </c>
      <c r="B853" s="3" t="str">
        <f>IFERROR(__xludf.DUMMYFUNCTION("""COMPUTED_VALUE"""),"ANOBR0086")</f>
        <v>ANOBR0086</v>
      </c>
      <c r="C853" s="3" t="str">
        <f>IFERROR(__xludf.DUMMYFUNCTION("""COMPUTED_VALUE"""),"Consumable")</f>
        <v>Consumable</v>
      </c>
      <c r="D853" s="3" t="str">
        <f>IFERROR(__xludf.DUMMYFUNCTION("""COMPUTED_VALUE"""),"-")</f>
        <v>-</v>
      </c>
      <c r="E853" s="3" t="str">
        <f>IFERROR(__xludf.DUMMYFUNCTION("""COMPUTED_VALUE"""),"Flange jalur steam")</f>
        <v>Flange jalur steam</v>
      </c>
      <c r="F853" s="3" t="str">
        <f>IFERROR(__xludf.DUMMYFUNCTION("""COMPUTED_VALUE"""),"gasket klingerseal tebal 3 mm")</f>
        <v>gasket klingerseal tebal 3 mm</v>
      </c>
      <c r="G853" s="3" t="str">
        <f>IFERROR(__xludf.DUMMYFUNCTION("""COMPUTED_VALUE"""),"gasket klingerseal tebal 3 mm 1 lembar")</f>
        <v>gasket klingerseal tebal 3 mm 1 lembar</v>
      </c>
      <c r="H853" s="3" t="str">
        <f>IFERROR(__xludf.DUMMYFUNCTION("""COMPUTED_VALUE"""),"-")</f>
        <v>-</v>
      </c>
      <c r="I853" s="3">
        <f>IFERROR(__xludf.DUMMYFUNCTION("""COMPUTED_VALUE"""),1.0)</f>
        <v>1</v>
      </c>
      <c r="J853" s="3" t="str">
        <f>IFERROR(__xludf.DUMMYFUNCTION("""COMPUTED_VALUE"""),"lembar")</f>
        <v>lembar</v>
      </c>
      <c r="K853" s="3" t="str">
        <f>IFERROR(__xludf.DUMMYFUNCTION("""COMPUTED_VALUE"""),"-")</f>
        <v>-</v>
      </c>
      <c r="L853" s="3" t="str">
        <f>IFERROR(__xludf.DUMMYFUNCTION("""COMPUTED_VALUE"""),"kebutuhan penggantian gasket gasket jalur steam")</f>
        <v>kebutuhan penggantian gasket gasket jalur steam</v>
      </c>
      <c r="M853" s="3" t="str">
        <f>IFERROR(__xludf.DUMMYFUNCTION("""COMPUTED_VALUE"""),"Approve")</f>
        <v>Approve</v>
      </c>
      <c r="N853" s="3" t="str">
        <f>IFERROR(__xludf.DUMMYFUNCTION("""COMPUTED_VALUE"""),"Normal")</f>
        <v>Normal</v>
      </c>
      <c r="O853" s="3" t="str">
        <f>IFERROR(__xludf.DUMMYFUNCTION("""COMPUTED_VALUE"""),"Non Urgent")</f>
        <v>Non Urgent</v>
      </c>
    </row>
    <row r="854">
      <c r="A854" s="4">
        <f>IFERROR(__xludf.DUMMYFUNCTION("""COMPUTED_VALUE"""),46216.69106164352)</f>
        <v>46216.69106</v>
      </c>
      <c r="B854" s="3" t="str">
        <f>IFERROR(__xludf.DUMMYFUNCTION("""COMPUTED_VALUE"""),"ANOBR0087")</f>
        <v>ANOBR0087</v>
      </c>
      <c r="C854" s="3" t="str">
        <f>IFERROR(__xludf.DUMMYFUNCTION("""COMPUTED_VALUE"""),"EJO")</f>
        <v>EJO</v>
      </c>
      <c r="D854" s="3" t="str">
        <f>IFERROR(__xludf.DUMMYFUNCTION("""COMPUTED_VALUE"""),"EJO/2026/07/021")</f>
        <v>EJO/2026/07/021</v>
      </c>
      <c r="E854" s="3" t="str">
        <f>IFERROR(__xludf.DUMMYFUNCTION("""COMPUTED_VALUE"""),"Utility OSD lt2")</f>
        <v>Utility OSD lt2</v>
      </c>
      <c r="F854" s="3" t="str">
        <f>IFERROR(__xludf.DUMMYFUNCTION("""COMPUTED_VALUE"""),"siku L 4X4 CM stenliss")</f>
        <v>siku L 4X4 CM stenliss</v>
      </c>
      <c r="G854" s="3" t="str">
        <f>IFERROR(__xludf.DUMMYFUNCTION("""COMPUTED_VALUE"""),"siku L 4X4 CM stenliss 4 batang")</f>
        <v>siku L 4X4 CM stenliss 4 batang</v>
      </c>
      <c r="H854" s="3" t="str">
        <f>IFERROR(__xludf.DUMMYFUNCTION("""COMPUTED_VALUE"""),"-")</f>
        <v>-</v>
      </c>
      <c r="I854" s="3">
        <f>IFERROR(__xludf.DUMMYFUNCTION("""COMPUTED_VALUE"""),4.0)</f>
        <v>4</v>
      </c>
      <c r="J854" s="3" t="str">
        <f>IFERROR(__xludf.DUMMYFUNCTION("""COMPUTED_VALUE"""),"batang")</f>
        <v>batang</v>
      </c>
      <c r="K854" s="3" t="str">
        <f>IFERROR(__xludf.DUMMYFUNCTION("""COMPUTED_VALUE"""),"-")</f>
        <v>-</v>
      </c>
      <c r="L854" s="3" t="str">
        <f>IFERROR(__xludf.DUMMYFUNCTION("""COMPUTED_VALUE"""),"kebutuhan pembuatan rangka penutup ")</f>
        <v>kebutuhan pembuatan rangka penutup </v>
      </c>
      <c r="M854" s="3" t="str">
        <f>IFERROR(__xludf.DUMMYFUNCTION("""COMPUTED_VALUE"""),"Approve")</f>
        <v>Approve</v>
      </c>
      <c r="N854" s="3" t="str">
        <f>IFERROR(__xludf.DUMMYFUNCTION("""COMPUTED_VALUE"""),"Normal")</f>
        <v>Normal</v>
      </c>
      <c r="O854" s="3" t="str">
        <f>IFERROR(__xludf.DUMMYFUNCTION("""COMPUTED_VALUE"""),"Non Urgent")</f>
        <v>Non Urgent</v>
      </c>
    </row>
    <row r="855">
      <c r="A855" s="4">
        <f>IFERROR(__xludf.DUMMYFUNCTION("""COMPUTED_VALUE"""),46219.856405844905)</f>
        <v>46219.85641</v>
      </c>
      <c r="B855" s="3" t="str">
        <f>IFERROR(__xludf.DUMMYFUNCTION("""COMPUTED_VALUE"""),"NDSBR0061")</f>
        <v>NDSBR0061</v>
      </c>
      <c r="C855" s="3" t="str">
        <f>IFERROR(__xludf.DUMMYFUNCTION("""COMPUTED_VALUE"""),"Consumable")</f>
        <v>Consumable</v>
      </c>
      <c r="D855" s="3" t="str">
        <f>IFERROR(__xludf.DUMMYFUNCTION("""COMPUTED_VALUE"""),"-")</f>
        <v>-</v>
      </c>
      <c r="E855" s="3" t="str">
        <f>IFERROR(__xludf.DUMMYFUNCTION("""COMPUTED_VALUE"""),"Autoclave Preparation Lab")</f>
        <v>Autoclave Preparation Lab</v>
      </c>
      <c r="F855" s="3" t="str">
        <f>IFERROR(__xludf.DUMMYFUNCTION("""COMPUTED_VALUE"""),"Body Valve + Coil")</f>
        <v>Body Valve + Coil</v>
      </c>
      <c r="G855" s="3" t="str">
        <f>IFERROR(__xludf.DUMMYFUNCTION("""COMPUTED_VALUE"""),"Sirai L177V07")</f>
        <v>Sirai L177V07</v>
      </c>
      <c r="H855" s="3" t="str">
        <f>IFERROR(__xludf.DUMMYFUNCTION("""COMPUTED_VALUE"""),"Sirai")</f>
        <v>Sirai</v>
      </c>
      <c r="I855" s="3">
        <f>IFERROR(__xludf.DUMMYFUNCTION("""COMPUTED_VALUE"""),2.0)</f>
        <v>2</v>
      </c>
      <c r="J855" s="3" t="str">
        <f>IFERROR(__xludf.DUMMYFUNCTION("""COMPUTED_VALUE"""),"PCS")</f>
        <v>PCS</v>
      </c>
      <c r="K855" s="3" t="str">
        <f>IFERROR(__xludf.DUMMYFUNCTION("""COMPUTED_VALUE"""),"-")</f>
        <v>-</v>
      </c>
      <c r="L855" s="3" t="str">
        <f>IFERROR(__xludf.DUMMYFUNCTION("""COMPUTED_VALUE"""),"-")</f>
        <v>-</v>
      </c>
      <c r="M855" s="3" t="str">
        <f>IFERROR(__xludf.DUMMYFUNCTION("""COMPUTED_VALUE"""),"Approve")</f>
        <v>Approve</v>
      </c>
      <c r="N855" s="3" t="str">
        <f>IFERROR(__xludf.DUMMYFUNCTION("""COMPUTED_VALUE"""),"Normal")</f>
        <v>Normal</v>
      </c>
      <c r="O855" s="3" t="str">
        <f>IFERROR(__xludf.DUMMYFUNCTION("""COMPUTED_VALUE"""),"Non Urgent")</f>
        <v>Non Urgent</v>
      </c>
    </row>
    <row r="856">
      <c r="A856" s="4">
        <f>IFERROR(__xludf.DUMMYFUNCTION("""COMPUTED_VALUE"""),46219.97362769675)</f>
        <v>46219.97363</v>
      </c>
      <c r="B856" s="3" t="str">
        <f>IFERROR(__xludf.DUMMYFUNCTION("""COMPUTED_VALUE"""),"MRNBR0115")</f>
        <v>MRNBR0115</v>
      </c>
      <c r="C856" s="3" t="str">
        <f>IFERROR(__xludf.DUMMYFUNCTION("""COMPUTED_VALUE"""),"EJO")</f>
        <v>EJO</v>
      </c>
      <c r="D856" s="3" t="str">
        <f>IFERROR(__xludf.DUMMYFUNCTION("""COMPUTED_VALUE"""),"EJO/2025/10/160")</f>
        <v>EJO/2025/10/160</v>
      </c>
      <c r="E856" s="3" t="str">
        <f>IFERROR(__xludf.DUMMYFUNCTION("""COMPUTED_VALUE"""),"AHU")</f>
        <v>AHU</v>
      </c>
      <c r="F856" s="3" t="str">
        <f>IFERROR(__xludf.DUMMYFUNCTION("""COMPUTED_VALUE"""),"Jet cleaner")</f>
        <v>Jet cleaner</v>
      </c>
      <c r="G856" s="3" t="str">
        <f>IFERROR(__xludf.DUMMYFUNCTION("""COMPUTED_VALUE"""),"Jet Cleaner - High Pressure Washer Bosch AdvancedAquatak 140")</f>
        <v>Jet Cleaner - High Pressure Washer Bosch AdvancedAquatak 140</v>
      </c>
      <c r="H856" s="3" t="str">
        <f>IFERROR(__xludf.DUMMYFUNCTION("""COMPUTED_VALUE"""),"bosch")</f>
        <v>bosch</v>
      </c>
      <c r="I856" s="3">
        <f>IFERROR(__xludf.DUMMYFUNCTION("""COMPUTED_VALUE"""),1.0)</f>
        <v>1</v>
      </c>
      <c r="J856" s="3" t="str">
        <f>IFERROR(__xludf.DUMMYFUNCTION("""COMPUTED_VALUE"""),"unit")</f>
        <v>unit</v>
      </c>
      <c r="K856" s="5" t="str">
        <f>IFERROR(__xludf.DUMMYFUNCTION("""COMPUTED_VALUE"""),"https://shopee.co.id/Mesin-Cuci-Mobil-Motor-Jet-Cleaner-High-Pressure-Washer-Bosch-AdvancedAquatak-140-i.4055609.2801924739")</f>
        <v>https://shopee.co.id/Mesin-Cuci-Mobil-Motor-Jet-Cleaner-High-Pressure-Washer-Bosch-AdvancedAquatak-140-i.4055609.2801924739</v>
      </c>
      <c r="L856" s="3" t="str">
        <f>IFERROR(__xludf.DUMMYFUNCTION("""COMPUTED_VALUE"""),"Untuk PM AHU dan cleaning")</f>
        <v>Untuk PM AHU dan cleaning</v>
      </c>
      <c r="M856" s="3" t="str">
        <f>IFERROR(__xludf.DUMMYFUNCTION("""COMPUTED_VALUE"""),"Approve")</f>
        <v>Approve</v>
      </c>
      <c r="N856" s="3" t="str">
        <f>IFERROR(__xludf.DUMMYFUNCTION("""COMPUTED_VALUE"""),"Normal")</f>
        <v>Normal</v>
      </c>
      <c r="O856" s="3" t="str">
        <f>IFERROR(__xludf.DUMMYFUNCTION("""COMPUTED_VALUE"""),"Non Urgent")</f>
        <v>Non Urgent</v>
      </c>
    </row>
    <row r="857">
      <c r="A857" s="4">
        <f>IFERROR(__xludf.DUMMYFUNCTION("""COMPUTED_VALUE"""),46219.99041074075)</f>
        <v>46219.99041</v>
      </c>
      <c r="B857" s="3" t="str">
        <f>IFERROR(__xludf.DUMMYFUNCTION("""COMPUTED_VALUE"""),"MRNBR0116")</f>
        <v>MRNBR0116</v>
      </c>
      <c r="C857" s="3" t="str">
        <f>IFERROR(__xludf.DUMMYFUNCTION("""COMPUTED_VALUE"""),"EJO")</f>
        <v>EJO</v>
      </c>
      <c r="D857" s="3" t="str">
        <f>IFERROR(__xludf.DUMMYFUNCTION("""COMPUTED_VALUE"""),"EJO/2025/04/105")</f>
        <v>EJO/2025/04/105</v>
      </c>
      <c r="E857" s="3" t="str">
        <f>IFERROR(__xludf.DUMMYFUNCTION("""COMPUTED_VALUE"""),"OSD")</f>
        <v>OSD</v>
      </c>
      <c r="F857" s="3" t="str">
        <f>IFERROR(__xludf.DUMMYFUNCTION("""COMPUTED_VALUE"""),"Epoxy lantai")</f>
        <v>Epoxy lantai</v>
      </c>
      <c r="G857" s="3" t="str">
        <f>IFERROR(__xludf.DUMMYFUNCTION("""COMPUTED_VALUE"""),"Flowseal uv satin 2mm")</f>
        <v>Flowseal uv satin 2mm</v>
      </c>
      <c r="H857" s="3" t="str">
        <f>IFERROR(__xludf.DUMMYFUNCTION("""COMPUTED_VALUE"""),"Flowcrete")</f>
        <v>Flowcrete</v>
      </c>
      <c r="I857" s="3">
        <f>IFERROR(__xludf.DUMMYFUNCTION("""COMPUTED_VALUE"""),1.0)</f>
        <v>1</v>
      </c>
      <c r="J857" s="3" t="str">
        <f>IFERROR(__xludf.DUMMYFUNCTION("""COMPUTED_VALUE"""),"paket")</f>
        <v>paket</v>
      </c>
      <c r="K857" s="5" t="str">
        <f>IFERROR(__xludf.DUMMYFUNCTION("""COMPUTED_VALUE"""),"https://www.flowcreteasia.com/our-products/systems/flowseal-uv-satin/")</f>
        <v>https://www.flowcreteasia.com/our-products/systems/flowseal-uv-satin/</v>
      </c>
      <c r="L857" s="3" t="str">
        <f>IFERROR(__xludf.DUMMYFUNCTION("""COMPUTED_VALUE"""),"Coba dari tata belinya")</f>
        <v>Coba dari tata belinya</v>
      </c>
      <c r="M857" s="3" t="str">
        <f>IFERROR(__xludf.DUMMYFUNCTION("""COMPUTED_VALUE"""),"Approve")</f>
        <v>Approve</v>
      </c>
      <c r="N857" s="3" t="str">
        <f>IFERROR(__xludf.DUMMYFUNCTION("""COMPUTED_VALUE"""),"Normal")</f>
        <v>Normal</v>
      </c>
      <c r="O857" s="3" t="str">
        <f>IFERROR(__xludf.DUMMYFUNCTION("""COMPUTED_VALUE"""),"Non Urgent")</f>
        <v>Non Urgent</v>
      </c>
    </row>
    <row r="858">
      <c r="A858" s="4">
        <f>IFERROR(__xludf.DUMMYFUNCTION("""COMPUTED_VALUE"""),46225.512710532406)</f>
        <v>46225.51271</v>
      </c>
      <c r="B858" s="3" t="str">
        <f>IFERROR(__xludf.DUMMYFUNCTION("""COMPUTED_VALUE"""),"ANOBR0088")</f>
        <v>ANOBR0088</v>
      </c>
      <c r="C858" s="3" t="str">
        <f>IFERROR(__xludf.DUMMYFUNCTION("""COMPUTED_VALUE"""),"EJO")</f>
        <v>EJO</v>
      </c>
      <c r="D858" s="3" t="str">
        <f>IFERROR(__xludf.DUMMYFUNCTION("""COMPUTED_VALUE"""),"-")</f>
        <v>-</v>
      </c>
      <c r="E858" s="3" t="str">
        <f>IFERROR(__xludf.DUMMYFUNCTION("""COMPUTED_VALUE"""),"pipa supply FW Utility OSD lt2")</f>
        <v>pipa supply FW Utility OSD lt2</v>
      </c>
      <c r="F858" s="3" t="str">
        <f>IFERROR(__xludf.DUMMYFUNCTION("""COMPUTED_VALUE"""),"pressure gauge")</f>
        <v>pressure gauge</v>
      </c>
      <c r="G858" s="3" t="str">
        <f>IFERROR(__xludf.DUMMYFUNCTION("""COMPUTED_VALUE"""),"pressure gauge 4"" 0-6 bar stenlis ulir 1/2""")</f>
        <v>pressure gauge 4" 0-6 bar stenlis ulir 1/2"</v>
      </c>
      <c r="H858" s="3" t="str">
        <f>IFERROR(__xludf.DUMMYFUNCTION("""COMPUTED_VALUE"""),"-")</f>
        <v>-</v>
      </c>
      <c r="I858" s="3">
        <f>IFERROR(__xludf.DUMMYFUNCTION("""COMPUTED_VALUE"""),3.0)</f>
        <v>3</v>
      </c>
      <c r="J858" s="3" t="str">
        <f>IFERROR(__xludf.DUMMYFUNCTION("""COMPUTED_VALUE"""),"pcs")</f>
        <v>pcs</v>
      </c>
      <c r="K858" s="5" t="str">
        <f>IFERROR(__xludf.DUMMYFUNCTION("""COMPUTED_VALUE"""),"https://www.tokopedia.com/nusanjadi/pressure-gauge-full-stainless-4-0-6-bar?utm_source=whatsapp&amp;utm_medium=share&amp;utm_campaign=pdp-a0oti72t90ig-464314487-0")</f>
        <v>https://www.tokopedia.com/nusanjadi/pressure-gauge-full-stainless-4-0-6-bar?utm_source=whatsapp&amp;utm_medium=share&amp;utm_campaign=pdp-a0oti72t90ig-464314487-0</v>
      </c>
      <c r="L858" s="3" t="str">
        <f>IFERROR(__xludf.DUMMYFUNCTION("""COMPUTED_VALUE"""),"kebutuhan penambahan pressure gauge pada jalur FW")</f>
        <v>kebutuhan penambahan pressure gauge pada jalur FW</v>
      </c>
      <c r="M858" s="3" t="str">
        <f>IFERROR(__xludf.DUMMYFUNCTION("""COMPUTED_VALUE"""),"Approve")</f>
        <v>Approve</v>
      </c>
      <c r="N858" s="3" t="str">
        <f>IFERROR(__xludf.DUMMYFUNCTION("""COMPUTED_VALUE"""),"Normal")</f>
        <v>Normal</v>
      </c>
      <c r="O858" s="3" t="str">
        <f>IFERROR(__xludf.DUMMYFUNCTION("""COMPUTED_VALUE"""),"Non Urgent")</f>
        <v>Non Urgent</v>
      </c>
    </row>
    <row r="859">
      <c r="A859" s="4">
        <f>IFERROR(__xludf.DUMMYFUNCTION("""COMPUTED_VALUE"""),46225.69845759259)</f>
        <v>46225.69846</v>
      </c>
      <c r="B859" s="3" t="str">
        <f>IFERROR(__xludf.DUMMYFUNCTION("""COMPUTED_VALUE"""),"MRNBR0117")</f>
        <v>MRNBR0117</v>
      </c>
      <c r="C859" s="3" t="str">
        <f>IFERROR(__xludf.DUMMYFUNCTION("""COMPUTED_VALUE"""),"EJO")</f>
        <v>EJO</v>
      </c>
      <c r="D859" s="3" t="str">
        <f>IFERROR(__xludf.DUMMYFUNCTION("""COMPUTED_VALUE"""),"EJO/2026/05/120")</f>
        <v>EJO/2026/05/120</v>
      </c>
      <c r="E859" s="3" t="str">
        <f>IFERROR(__xludf.DUMMYFUNCTION("""COMPUTED_VALUE"""),"Pipe rack")</f>
        <v>Pipe rack</v>
      </c>
      <c r="F859" s="3" t="str">
        <f>IFERROR(__xludf.DUMMYFUNCTION("""COMPUTED_VALUE"""),"Shock drat luar pvc")</f>
        <v>Shock drat luar pvc</v>
      </c>
      <c r="G859" s="3" t="str">
        <f>IFERROR(__xludf.DUMMYFUNCTION("""COMPUTED_VALUE"""),"Shock drat luar pvc 2,5 inch pvc ")</f>
        <v>Shock drat luar pvc 2,5 inch pvc </v>
      </c>
      <c r="H859" s="3" t="str">
        <f>IFERROR(__xludf.DUMMYFUNCTION("""COMPUTED_VALUE"""),"Rucika")</f>
        <v>Rucika</v>
      </c>
      <c r="I859" s="3">
        <f>IFERROR(__xludf.DUMMYFUNCTION("""COMPUTED_VALUE"""),4.0)</f>
        <v>4</v>
      </c>
      <c r="J859" s="3" t="str">
        <f>IFERROR(__xludf.DUMMYFUNCTION("""COMPUTED_VALUE"""),"pcs")</f>
        <v>pcs</v>
      </c>
      <c r="K859" s="5" t="str">
        <f>IFERROR(__xludf.DUMMYFUNCTION("""COMPUTED_VALUE"""),"https://www.tokopedia.com/indosolarpower/sdd-sock-drat-dalam-pvc-rucika-aw-2-2-5-2-5-21-2-inch-faucet-socket-sdl-2-inch?utm_source=google&amp;utm_medium=organic&amp;utm_campaign=pdp")</f>
        <v>https://www.tokopedia.com/indosolarpower/sdd-sock-drat-dalam-pvc-rucika-aw-2-2-5-2-5-21-2-inch-faucet-socket-sdl-2-inch?utm_source=google&amp;utm_medium=organic&amp;utm_campaign=pdp</v>
      </c>
      <c r="L859" s="3" t="str">
        <f>IFERROR(__xludf.DUMMYFUNCTION("""COMPUTED_VALUE"""),"untuk pipa bocor fresh water")</f>
        <v>untuk pipa bocor fresh water</v>
      </c>
      <c r="M859" s="3" t="str">
        <f>IFERROR(__xludf.DUMMYFUNCTION("""COMPUTED_VALUE"""),"Approve")</f>
        <v>Approve</v>
      </c>
      <c r="N859" s="3" t="str">
        <f>IFERROR(__xludf.DUMMYFUNCTION("""COMPUTED_VALUE"""),"Normal")</f>
        <v>Normal</v>
      </c>
      <c r="O859" s="3" t="str">
        <f>IFERROR(__xludf.DUMMYFUNCTION("""COMPUTED_VALUE"""),"Non Urgent")</f>
        <v>Non Urgent</v>
      </c>
    </row>
    <row r="860">
      <c r="A860" s="4">
        <f>IFERROR(__xludf.DUMMYFUNCTION("""COMPUTED_VALUE"""),46225.73613229167)</f>
        <v>46225.73613</v>
      </c>
      <c r="B860" s="3" t="str">
        <f>IFERROR(__xludf.DUMMYFUNCTION("""COMPUTED_VALUE"""),"MRNBR0118")</f>
        <v>MRNBR0118</v>
      </c>
      <c r="C860" s="3" t="str">
        <f>IFERROR(__xludf.DUMMYFUNCTION("""COMPUTED_VALUE"""),"EJO")</f>
        <v>EJO</v>
      </c>
      <c r="D860" s="3" t="str">
        <f>IFERROR(__xludf.DUMMYFUNCTION("""COMPUTED_VALUE"""),"EJO/2026/04/062")</f>
        <v>EJO/2026/04/062</v>
      </c>
      <c r="E860" s="3" t="str">
        <f>IFERROR(__xludf.DUMMYFUNCTION("""COMPUTED_VALUE"""),"Mixing")</f>
        <v>Mixing</v>
      </c>
      <c r="F860" s="3" t="str">
        <f>IFERROR(__xludf.DUMMYFUNCTION("""COMPUTED_VALUE"""),"Epoxy lantai mixing")</f>
        <v>Epoxy lantai mixing</v>
      </c>
      <c r="G860" s="3" t="str">
        <f>IFERROR(__xludf.DUMMYFUNCTION("""COMPUTED_VALUE"""),"Flowshield quartz t= 2mm ligh blue")</f>
        <v>Flowshield quartz t= 2mm ligh blue</v>
      </c>
      <c r="H860" s="3" t="str">
        <f>IFERROR(__xludf.DUMMYFUNCTION("""COMPUTED_VALUE"""),"flowcrete")</f>
        <v>flowcrete</v>
      </c>
      <c r="I860" s="3">
        <f>IFERROR(__xludf.DUMMYFUNCTION("""COMPUTED_VALUE"""),1.0)</f>
        <v>1</v>
      </c>
      <c r="J860" s="3" t="str">
        <f>IFERROR(__xludf.DUMMYFUNCTION("""COMPUTED_VALUE"""),"set")</f>
        <v>set</v>
      </c>
      <c r="K860" s="5" t="str">
        <f>IFERROR(__xludf.DUMMYFUNCTION("""COMPUTED_VALUE"""),"https://www.flowcreteasia.com/our-products/systems/flowshield-quartz/")</f>
        <v>https://www.flowcreteasia.com/our-products/systems/flowshield-quartz/</v>
      </c>
      <c r="L860" s="3" t="str">
        <f>IFERROR(__xludf.DUMMYFUNCTION("""COMPUTED_VALUE"""),"untuk lantai ruang mixing")</f>
        <v>untuk lantai ruang mixing</v>
      </c>
      <c r="M860" s="3" t="str">
        <f>IFERROR(__xludf.DUMMYFUNCTION("""COMPUTED_VALUE"""),"Waiting")</f>
        <v>Waiting</v>
      </c>
      <c r="N860" s="3" t="str">
        <f>IFERROR(__xludf.DUMMYFUNCTION("""COMPUTED_VALUE"""),"Waiting")</f>
        <v>Waiting</v>
      </c>
      <c r="O860" s="3" t="str">
        <f>IFERROR(__xludf.DUMMYFUNCTION("""COMPUTED_VALUE"""),"Non Urgent")</f>
        <v>Non Urgent</v>
      </c>
    </row>
    <row r="861">
      <c r="A861" s="4">
        <f>IFERROR(__xludf.DUMMYFUNCTION("""COMPUTED_VALUE"""),46230.4345216088)</f>
        <v>46230.43452</v>
      </c>
      <c r="B861" s="3" t="str">
        <f>IFERROR(__xludf.DUMMYFUNCTION("""COMPUTED_VALUE"""),"WAPBR0008")</f>
        <v>WAPBR0008</v>
      </c>
      <c r="C861" s="3" t="str">
        <f>IFERROR(__xludf.DUMMYFUNCTION("""COMPUTED_VALUE"""),"Consumable")</f>
        <v>Consumable</v>
      </c>
      <c r="D861" s="3" t="str">
        <f>IFERROR(__xludf.DUMMYFUNCTION("""COMPUTED_VALUE"""),"-")</f>
        <v>-</v>
      </c>
      <c r="E861" s="3" t="str">
        <f>IFERROR(__xludf.DUMMYFUNCTION("""COMPUTED_VALUE"""),"Tools workshop")</f>
        <v>Tools workshop</v>
      </c>
      <c r="F861" s="3" t="str">
        <f>IFERROR(__xludf.DUMMYFUNCTION("""COMPUTED_VALUE"""),"penggaris siku")</f>
        <v>penggaris siku</v>
      </c>
      <c r="G861" s="3" t="str">
        <f>IFERROR(__xludf.DUMMYFUNCTION("""COMPUTED_VALUE"""),"panjang 30 cm")</f>
        <v>panjang 30 cm</v>
      </c>
      <c r="H861" s="3" t="str">
        <f>IFERROR(__xludf.DUMMYFUNCTION("""COMPUTED_VALUE"""),"Krisbow")</f>
        <v>Krisbow</v>
      </c>
      <c r="I861" s="3">
        <f>IFERROR(__xludf.DUMMYFUNCTION("""COMPUTED_VALUE"""),1.0)</f>
        <v>1</v>
      </c>
      <c r="J861" s="3" t="str">
        <f>IFERROR(__xludf.DUMMYFUNCTION("""COMPUTED_VALUE"""),"pcs")</f>
        <v>pcs</v>
      </c>
      <c r="K861" s="5" t="str">
        <f>IFERROR(__xludf.DUMMYFUNCTION("""COMPUTED_VALUE"""),"https://www.tokopedia.com/borolo/krisbow-penggaris-siku-besi-30-cm?utm_source=google&amp;utm_medium=organic&amp;utm_campaign=pdp")</f>
        <v>https://www.tokopedia.com/borolo/krisbow-penggaris-siku-besi-30-cm?utm_source=google&amp;utm_medium=organic&amp;utm_campaign=pdp</v>
      </c>
      <c r="L861" s="3" t="str">
        <f>IFERROR(__xludf.DUMMYFUNCTION("""COMPUTED_VALUE"""),"-")</f>
        <v>-</v>
      </c>
      <c r="M861" s="3" t="str">
        <f>IFERROR(__xludf.DUMMYFUNCTION("""COMPUTED_VALUE"""),"Approve")</f>
        <v>Approve</v>
      </c>
      <c r="N861" s="3" t="str">
        <f>IFERROR(__xludf.DUMMYFUNCTION("""COMPUTED_VALUE"""),"Normal")</f>
        <v>Normal</v>
      </c>
      <c r="O861" s="3" t="str">
        <f>IFERROR(__xludf.DUMMYFUNCTION("""COMPUTED_VALUE"""),"Non Urgent")</f>
        <v>Non Urgent</v>
      </c>
    </row>
    <row r="862">
      <c r="A862" s="4">
        <f>IFERROR(__xludf.DUMMYFUNCTION("""COMPUTED_VALUE"""),46230.44091995371)</f>
        <v>46230.44092</v>
      </c>
      <c r="B862" s="3" t="str">
        <f>IFERROR(__xludf.DUMMYFUNCTION("""COMPUTED_VALUE"""),"WAPBR0009")</f>
        <v>WAPBR0009</v>
      </c>
      <c r="C862" s="3" t="str">
        <f>IFERROR(__xludf.DUMMYFUNCTION("""COMPUTED_VALUE"""),"Consumable")</f>
        <v>Consumable</v>
      </c>
      <c r="D862" s="3" t="str">
        <f>IFERROR(__xludf.DUMMYFUNCTION("""COMPUTED_VALUE"""),"-")</f>
        <v>-</v>
      </c>
      <c r="E862" s="3" t="str">
        <f>IFERROR(__xludf.DUMMYFUNCTION("""COMPUTED_VALUE"""),"Tools workshop")</f>
        <v>Tools workshop</v>
      </c>
      <c r="F862" s="3" t="str">
        <f>IFERROR(__xludf.DUMMYFUNCTION("""COMPUTED_VALUE"""),"C clamp")</f>
        <v>C clamp</v>
      </c>
      <c r="G862" s="3" t="str">
        <f>IFERROR(__xludf.DUMMYFUNCTION("""COMPUTED_VALUE"""),"ukuran 4 inch")</f>
        <v>ukuran 4 inch</v>
      </c>
      <c r="H862" s="3" t="str">
        <f>IFERROR(__xludf.DUMMYFUNCTION("""COMPUTED_VALUE"""),"Eastman atau laimya")</f>
        <v>Eastman atau laimya</v>
      </c>
      <c r="I862" s="3">
        <f>IFERROR(__xludf.DUMMYFUNCTION("""COMPUTED_VALUE"""),3.0)</f>
        <v>3</v>
      </c>
      <c r="J862" s="3" t="str">
        <f>IFERROR(__xludf.DUMMYFUNCTION("""COMPUTED_VALUE"""),"pcs")</f>
        <v>pcs</v>
      </c>
      <c r="K862" s="5" t="str">
        <f>IFERROR(__xludf.DUMMYFUNCTION("""COMPUTED_VALUE"""),"https://share.google/v83YhsjAC8QZAvRKT")</f>
        <v>https://share.google/v83YhsjAC8QZAvRKT</v>
      </c>
      <c r="L862" s="3" t="str">
        <f>IFERROR(__xludf.DUMMYFUNCTION("""COMPUTED_VALUE"""),"-")</f>
        <v>-</v>
      </c>
      <c r="M862" s="3" t="str">
        <f>IFERROR(__xludf.DUMMYFUNCTION("""COMPUTED_VALUE"""),"Approve")</f>
        <v>Approve</v>
      </c>
      <c r="N862" s="3" t="str">
        <f>IFERROR(__xludf.DUMMYFUNCTION("""COMPUTED_VALUE"""),"Normal")</f>
        <v>Normal</v>
      </c>
      <c r="O862" s="3" t="str">
        <f>IFERROR(__xludf.DUMMYFUNCTION("""COMPUTED_VALUE"""),"Non Urgent")</f>
        <v>Non Urgent</v>
      </c>
    </row>
    <row r="863">
      <c r="A863" s="4">
        <f>IFERROR(__xludf.DUMMYFUNCTION("""COMPUTED_VALUE"""),46238.179122442125)</f>
        <v>46238.17912</v>
      </c>
      <c r="B863" s="3" t="str">
        <f>IFERROR(__xludf.DUMMYFUNCTION("""COMPUTED_VALUE"""),"MRNBR0119")</f>
        <v>MRNBR0119</v>
      </c>
      <c r="C863" s="3" t="str">
        <f>IFERROR(__xludf.DUMMYFUNCTION("""COMPUTED_VALUE"""),"EJO")</f>
        <v>EJO</v>
      </c>
      <c r="D863" s="3" t="str">
        <f>IFERROR(__xludf.DUMMYFUNCTION("""COMPUTED_VALUE"""),"EJO/2026/07/021")</f>
        <v>EJO/2026/07/021</v>
      </c>
      <c r="E863" s="3" t="str">
        <f>IFERROR(__xludf.DUMMYFUNCTION("""COMPUTED_VALUE"""),"Toilet eng")</f>
        <v>Toilet eng</v>
      </c>
      <c r="F863" s="3" t="str">
        <f>IFERROR(__xludf.DUMMYFUNCTION("""COMPUTED_VALUE"""),"reducer pvc")</f>
        <v>reducer pvc</v>
      </c>
      <c r="G863" s="3" t="str">
        <f>IFERROR(__xludf.DUMMYFUNCTION("""COMPUTED_VALUE"""),"reducer pvc 1 1/4 x 1 inch")</f>
        <v>reducer pvc 1 1/4 x 1 inch</v>
      </c>
      <c r="H863" s="3" t="str">
        <f>IFERROR(__xludf.DUMMYFUNCTION("""COMPUTED_VALUE"""),"rucika")</f>
        <v>rucika</v>
      </c>
      <c r="I863" s="3">
        <f>IFERROR(__xludf.DUMMYFUNCTION("""COMPUTED_VALUE"""),5.0)</f>
        <v>5</v>
      </c>
      <c r="J863" s="3" t="str">
        <f>IFERROR(__xludf.DUMMYFUNCTION("""COMPUTED_VALUE"""),"pcs")</f>
        <v>pcs</v>
      </c>
      <c r="K863" s="3" t="str">
        <f>IFERROR(__xludf.DUMMYFUNCTION("""COMPUTED_VALUE"""),"-")</f>
        <v>-</v>
      </c>
      <c r="L863" s="3" t="str">
        <f>IFERROR(__xludf.DUMMYFUNCTION("""COMPUTED_VALUE"""),"untuk toilet")</f>
        <v>untuk toilet</v>
      </c>
      <c r="M863" s="3" t="str">
        <f>IFERROR(__xludf.DUMMYFUNCTION("""COMPUTED_VALUE"""),"Approve")</f>
        <v>Approve</v>
      </c>
      <c r="N863" s="3" t="str">
        <f>IFERROR(__xludf.DUMMYFUNCTION("""COMPUTED_VALUE"""),"Normal")</f>
        <v>Normal</v>
      </c>
      <c r="O863" s="3" t="str">
        <f>IFERROR(__xludf.DUMMYFUNCTION("""COMPUTED_VALUE"""),"Non Urgent")</f>
        <v>Non Urgent</v>
      </c>
    </row>
    <row r="864">
      <c r="A864" s="4">
        <f>IFERROR(__xludf.DUMMYFUNCTION("""COMPUTED_VALUE"""),46241.74749289352)</f>
        <v>46241.74749</v>
      </c>
      <c r="B864" s="3" t="str">
        <f>IFERROR(__xludf.DUMMYFUNCTION("""COMPUTED_VALUE"""),"KFFBR0023")</f>
        <v>KFFBR0023</v>
      </c>
      <c r="C864" s="3" t="str">
        <f>IFERROR(__xludf.DUMMYFUNCTION("""COMPUTED_VALUE"""),"EJO")</f>
        <v>EJO</v>
      </c>
      <c r="D864" s="3" t="str">
        <f>IFERROR(__xludf.DUMMYFUNCTION("""COMPUTED_VALUE"""),"EJO/2026/08/151")</f>
        <v>EJO/2026/08/151</v>
      </c>
      <c r="E864" s="3" t="str">
        <f>IFERROR(__xludf.DUMMYFUNCTION("""COMPUTED_VALUE"""),"TABLETING")</f>
        <v>TABLETING</v>
      </c>
      <c r="F864" s="3" t="str">
        <f>IFERROR(__xludf.DUMMYFUNCTION("""COMPUTED_VALUE"""),"stock ")</f>
        <v>stock </v>
      </c>
      <c r="G864" s="3" t="str">
        <f>IFERROR(__xludf.DUMMYFUNCTION("""COMPUTED_VALUE"""),"capasitiv proximity sensor, diameter 30 x 4 mm PNP NC Series d30, switching output, flush mounting,, BCS003C
BCS D30T401-POC15C-EP02")</f>
        <v>capasitiv proximity sensor, diameter 30 x 4 mm PNP NC Series d30, switching output, flush mounting,, BCS003C
BCS D30T401-POC15C-EP02</v>
      </c>
      <c r="H864" s="3" t="str">
        <f>IFERROR(__xludf.DUMMYFUNCTION("""COMPUTED_VALUE"""),"BALLUF")</f>
        <v>BALLUF</v>
      </c>
      <c r="I864" s="3">
        <f>IFERROR(__xludf.DUMMYFUNCTION("""COMPUTED_VALUE"""),4.0)</f>
        <v>4</v>
      </c>
      <c r="J864" s="3" t="str">
        <f>IFERROR(__xludf.DUMMYFUNCTION("""COMPUTED_VALUE"""),"PCS")</f>
        <v>PCS</v>
      </c>
      <c r="K864" s="5" t="str">
        <f>IFERROR(__xludf.DUMMYFUNCTION("""COMPUTED_VALUE"""),"https://www.balluff.com/en-ca/products/BCS003C")</f>
        <v>https://www.balluff.com/en-ca/products/BCS003C</v>
      </c>
      <c r="L864" s="3" t="str">
        <f>IFERROR(__xludf.DUMMYFUNCTION("""COMPUTED_VALUE"""),"TIDAK ADA STOCK, URGENTLY ")</f>
        <v>TIDAK ADA STOCK, URGENTLY </v>
      </c>
      <c r="M864" s="3" t="str">
        <f>IFERROR(__xludf.DUMMYFUNCTION("""COMPUTED_VALUE"""),"Waiting")</f>
        <v>Waiting</v>
      </c>
      <c r="N864" s="3" t="str">
        <f>IFERROR(__xludf.DUMMYFUNCTION("""COMPUTED_VALUE"""),"Waiting")</f>
        <v>Waiting</v>
      </c>
      <c r="O864" s="3" t="str">
        <f>IFERROR(__xludf.DUMMYFUNCTION("""COMPUTED_VALUE"""),"Non Urgent")</f>
        <v>Non Urgent</v>
      </c>
    </row>
    <row r="865">
      <c r="A865" s="4">
        <f>IFERROR(__xludf.DUMMYFUNCTION("""COMPUTED_VALUE"""),46245.70786825231)</f>
        <v>46245.70787</v>
      </c>
      <c r="B865" s="3" t="str">
        <f>IFERROR(__xludf.DUMMYFUNCTION("""COMPUTED_VALUE"""),"SFHBR0066")</f>
        <v>SFHBR0066</v>
      </c>
      <c r="C865" s="3" t="str">
        <f>IFERROR(__xludf.DUMMYFUNCTION("""COMPUTED_VALUE"""),"Consumable")</f>
        <v>Consumable</v>
      </c>
      <c r="D865" s="3" t="str">
        <f>IFERROR(__xludf.DUMMYFUNCTION("""COMPUTED_VALUE"""),"-")</f>
        <v>-</v>
      </c>
      <c r="E865" s="3" t="str">
        <f>IFERROR(__xludf.DUMMYFUNCTION("""COMPUTED_VALUE"""),"lantai 2")</f>
        <v>lantai 2</v>
      </c>
      <c r="F865" s="3" t="str">
        <f>IFERROR(__xludf.DUMMYFUNCTION("""COMPUTED_VALUE"""),"sakelar  3 titik clipsal e33/1/2AR c-classic")</f>
        <v>sakelar  3 titik clipsal e33/1/2AR c-classic</v>
      </c>
      <c r="G865" s="3" t="str">
        <f>IFERROR(__xludf.DUMMYFUNCTION("""COMPUTED_VALUE"""),"sakelar triple clipsal e33/1/2AR c-classic")</f>
        <v>sakelar triple clipsal e33/1/2AR c-classic</v>
      </c>
      <c r="H865" s="3" t="str">
        <f>IFERROR(__xludf.DUMMYFUNCTION("""COMPUTED_VALUE"""),"clipsal")</f>
        <v>clipsal</v>
      </c>
      <c r="I865" s="3"/>
      <c r="J865" s="3" t="str">
        <f>IFERROR(__xludf.DUMMYFUNCTION("""COMPUTED_VALUE"""),"pcs")</f>
        <v>pcs</v>
      </c>
      <c r="K865" s="5" t="str">
        <f>IFERROR(__xludf.DUMMYFUNCTION("""COMPUTED_VALUE"""),"https://tk.tokopedia.com/ZS4ckGHeg/")</f>
        <v>https://tk.tokopedia.com/ZS4ckGHeg/</v>
      </c>
      <c r="L865" s="3" t="str">
        <f>IFERROR(__xludf.DUMMYFUNCTION("""COMPUTED_VALUE"""),"-")</f>
        <v>-</v>
      </c>
      <c r="M865" s="3" t="str">
        <f>IFERROR(__xludf.DUMMYFUNCTION("""COMPUTED_VALUE"""),"Approve")</f>
        <v>Approve</v>
      </c>
      <c r="N865" s="3" t="str">
        <f>IFERROR(__xludf.DUMMYFUNCTION("""COMPUTED_VALUE"""),"Normal")</f>
        <v>Normal</v>
      </c>
      <c r="O865" s="3" t="str">
        <f>IFERROR(__xludf.DUMMYFUNCTION("""COMPUTED_VALUE"""),"Non Urgent")</f>
        <v>Non Urgent</v>
      </c>
    </row>
    <row r="866">
      <c r="A866" s="4">
        <f>IFERROR(__xludf.DUMMYFUNCTION("""COMPUTED_VALUE"""),46246.36689553241)</f>
        <v>46246.3669</v>
      </c>
      <c r="B866" s="3" t="str">
        <f>IFERROR(__xludf.DUMMYFUNCTION("""COMPUTED_VALUE"""),"BDUBR0030")</f>
        <v>BDUBR0030</v>
      </c>
      <c r="C866" s="3" t="str">
        <f>IFERROR(__xludf.DUMMYFUNCTION("""COMPUTED_VALUE"""),"MIn Stok")</f>
        <v>MIn Stok</v>
      </c>
      <c r="D866" s="3" t="str">
        <f>IFERROR(__xludf.DUMMYFUNCTION("""COMPUTED_VALUE"""),"-")</f>
        <v>-</v>
      </c>
      <c r="E866" s="3" t="str">
        <f>IFERROR(__xludf.DUMMYFUNCTION("""COMPUTED_VALUE"""),"CLU")</f>
        <v>CLU</v>
      </c>
      <c r="F866" s="3" t="str">
        <f>IFERROR(__xludf.DUMMYFUNCTION("""COMPUTED_VALUE"""),"Kabel Grounding 1x4 mm")</f>
        <v>Kabel Grounding 1x4 mm</v>
      </c>
      <c r="G866" s="3" t="str">
        <f>IFERROR(__xludf.DUMMYFUNCTION("""COMPUTED_VALUE"""),"Kabel grounding NYAF 1x4mm")</f>
        <v>Kabel grounding NYAF 1x4mm</v>
      </c>
      <c r="H866" s="3" t="str">
        <f>IFERROR(__xludf.DUMMYFUNCTION("""COMPUTED_VALUE"""),"Supreme")</f>
        <v>Supreme</v>
      </c>
      <c r="I866" s="3">
        <f>IFERROR(__xludf.DUMMYFUNCTION("""COMPUTED_VALUE"""),100.0)</f>
        <v>100</v>
      </c>
      <c r="J866" s="3" t="str">
        <f>IFERROR(__xludf.DUMMYFUNCTION("""COMPUTED_VALUE"""),"meter")</f>
        <v>meter</v>
      </c>
      <c r="K866" s="5" t="str">
        <f>IFERROR(__xludf.DUMMYFUNCTION("""COMPUTED_VALUE"""),"https://www.tokopedia.com/pt-sinar-abadi/nyaf-supreme-cable-1x-4-mm-6mm-10-mm-16-mm-25-mm-35-mm-50-mm-serabut-grounding-kabel-kuning-hijau-meteran-1731586037795030867?extParam=ivf%3Dfalse%26keyword%3Dgrounding+1x4%26search_id%3D20260812014614F504DBF83E6F6"&amp;"E1ABSE1%26src%3Dsearch&amp;t_id=1786499266395&amp;t_st=1&amp;t_pp=search_result&amp;t_efo=search_pure_goods_card&amp;t_ef=goods_search&amp;t_sm=&amp;t_spt=search_result")</f>
        <v>https://www.tokopedia.com/pt-sinar-abadi/nyaf-supreme-cable-1x-4-mm-6mm-10-mm-16-mm-25-mm-35-mm-50-mm-serabut-grounding-kabel-kuning-hijau-meteran-1731586037795030867?extParam=ivf%3Dfalse%26keyword%3Dgrounding+1x4%26search_id%3D20260812014614F504DBF83E6F6E1ABSE1%26src%3Dsearch&amp;t_id=1786499266395&amp;t_st=1&amp;t_pp=search_result&amp;t_efo=search_pure_goods_card&amp;t_ef=goods_search&amp;t_sm=&amp;t_spt=search_result</v>
      </c>
      <c r="L866" s="3" t="str">
        <f>IFERROR(__xludf.DUMMYFUNCTION("""COMPUTED_VALUE"""),"digunakan untuk pergantian kabel grounding CLU yang kurang panjang (W0135.01 &amp; W0012.03)")</f>
        <v>digunakan untuk pergantian kabel grounding CLU yang kurang panjang (W0135.01 &amp; W0012.03)</v>
      </c>
      <c r="M866" s="3" t="str">
        <f>IFERROR(__xludf.DUMMYFUNCTION("""COMPUTED_VALUE"""),"Approve")</f>
        <v>Approve</v>
      </c>
      <c r="N866" s="3" t="str">
        <f>IFERROR(__xludf.DUMMYFUNCTION("""COMPUTED_VALUE"""),"Normal")</f>
        <v>Normal</v>
      </c>
      <c r="O866" s="3" t="str">
        <f>IFERROR(__xludf.DUMMYFUNCTION("""COMPUTED_VALUE"""),"Non Urgent")</f>
        <v>Non Urgent</v>
      </c>
    </row>
    <row r="867">
      <c r="A867" s="4">
        <f>IFERROR(__xludf.DUMMYFUNCTION("""COMPUTED_VALUE"""),46246.37252444445)</f>
        <v>46246.37252</v>
      </c>
      <c r="B867" s="3" t="str">
        <f>IFERROR(__xludf.DUMMYFUNCTION("""COMPUTED_VALUE"""),"BDUBR0031")</f>
        <v>BDUBR0031</v>
      </c>
      <c r="C867" s="3" t="str">
        <f>IFERROR(__xludf.DUMMYFUNCTION("""COMPUTED_VALUE"""),"MIn Stok")</f>
        <v>MIn Stok</v>
      </c>
      <c r="D867" s="3" t="str">
        <f>IFERROR(__xludf.DUMMYFUNCTION("""COMPUTED_VALUE"""),"-")</f>
        <v>-</v>
      </c>
      <c r="E867" s="3" t="str">
        <f>IFERROR(__xludf.DUMMYFUNCTION("""COMPUTED_VALUE"""),"CLU")</f>
        <v>CLU</v>
      </c>
      <c r="F867" s="3" t="str">
        <f>IFERROR(__xludf.DUMMYFUNCTION("""COMPUTED_VALUE"""),"Kabel Kontrol Emergency Stop")</f>
        <v>Kabel Kontrol Emergency Stop</v>
      </c>
      <c r="G867" s="3" t="str">
        <f>IFERROR(__xludf.DUMMYFUNCTION("""COMPUTED_VALUE"""),"Kabel 4x1 mm")</f>
        <v>Kabel 4x1 mm</v>
      </c>
      <c r="H867" s="3" t="str">
        <f>IFERROR(__xludf.DUMMYFUNCTION("""COMPUTED_VALUE"""),"Delta")</f>
        <v>Delta</v>
      </c>
      <c r="I867" s="3">
        <f>IFERROR(__xludf.DUMMYFUNCTION("""COMPUTED_VALUE"""),30.0)</f>
        <v>30</v>
      </c>
      <c r="J867" s="3" t="str">
        <f>IFERROR(__xludf.DUMMYFUNCTION("""COMPUTED_VALUE"""),"Meter")</f>
        <v>Meter</v>
      </c>
      <c r="K867" s="5" t="str">
        <f>IFERROR(__xludf.DUMMYFUNCTION("""COMPUTED_VALUE"""),"https://www.tokopedia.com/kanglistrik/kabel-control-4x1mm-kabel-ysly-4x1-0mm-kabel-control-ysly-4x1-0mm?extParam=ivf%3Dfalse%26keyword%3Dkabel+control+4x1+%26search_id%3D20260812015546F504DBF83E6F6E365J04%26src%3Dsearch&amp;t_id=1786499266395&amp;t_st=3&amp;t_pp=sear"&amp;"ch_result&amp;t_efo=search_pure_goods_card&amp;t_ef=goods_search&amp;t_sm=&amp;t_spt=search_result")</f>
        <v>https://www.tokopedia.com/kanglistrik/kabel-control-4x1mm-kabel-ysly-4x1-0mm-kabel-control-ysly-4x1-0mm?extParam=ivf%3Dfalse%26keyword%3Dkabel+control+4x1+%26search_id%3D20260812015546F504DBF83E6F6E365J04%26src%3Dsearch&amp;t_id=1786499266395&amp;t_st=3&amp;t_pp=search_result&amp;t_efo=search_pure_goods_card&amp;t_ef=goods_search&amp;t_sm=&amp;t_spt=search_result</v>
      </c>
      <c r="L867" s="3" t="str">
        <f>IFERROR(__xludf.DUMMYFUNCTION("""COMPUTED_VALUE"""),"Digunakan untuk pergantian kabel (w0120.11)")</f>
        <v>Digunakan untuk pergantian kabel (w0120.11)</v>
      </c>
      <c r="M867" s="3" t="str">
        <f>IFERROR(__xludf.DUMMYFUNCTION("""COMPUTED_VALUE"""),"Waiting")</f>
        <v>Waiting</v>
      </c>
      <c r="N867" s="3" t="str">
        <f>IFERROR(__xludf.DUMMYFUNCTION("""COMPUTED_VALUE"""),"Waiting")</f>
        <v>Waiting</v>
      </c>
      <c r="O867" s="3" t="str">
        <f>IFERROR(__xludf.DUMMYFUNCTION("""COMPUTED_VALUE"""),"Non Urgent")</f>
        <v>Non Urgent</v>
      </c>
    </row>
    <row r="868">
      <c r="A868" s="4">
        <f>IFERROR(__xludf.DUMMYFUNCTION("""COMPUTED_VALUE"""),46255.87117518519)</f>
        <v>46255.87118</v>
      </c>
      <c r="B868" s="3" t="str">
        <f>IFERROR(__xludf.DUMMYFUNCTION("""COMPUTED_VALUE"""),"SFHBR0067")</f>
        <v>SFHBR0067</v>
      </c>
      <c r="C868" s="3" t="str">
        <f>IFERROR(__xludf.DUMMYFUNCTION("""COMPUTED_VALUE"""),"Consumable")</f>
        <v>Consumable</v>
      </c>
      <c r="D868" s="3" t="str">
        <f>IFERROR(__xludf.DUMMYFUNCTION("""COMPUTED_VALUE"""),"-")</f>
        <v>-</v>
      </c>
      <c r="E868" s="3" t="str">
        <f>IFERROR(__xludf.DUMMYFUNCTION("""COMPUTED_VALUE"""),"lantai 2")</f>
        <v>lantai 2</v>
      </c>
      <c r="F868" s="3" t="str">
        <f>IFERROR(__xludf.DUMMYFUNCTION("""COMPUTED_VALUE"""),"Bracket Roda Caster Troli Troly Heavy Duty 5 Inch Rem+Putar Bracket")</f>
        <v>Bracket Roda Caster Troli Troly Heavy Duty 5 Inch Rem+Putar Bracket</v>
      </c>
      <c r="G868" s="3" t="str">
        <f>IFERROR(__xludf.DUMMYFUNCTION("""COMPUTED_VALUE"""),"Bracket Roda Caster Troli Troly Heavy Duty 5 Inch Rem+Putar Bracket")</f>
        <v>Bracket Roda Caster Troli Troly Heavy Duty 5 Inch Rem+Putar Bracket</v>
      </c>
      <c r="H868" s="3" t="str">
        <f>IFERROR(__xludf.DUMMYFUNCTION("""COMPUTED_VALUE""")," PU HEAVY DUTY")</f>
        <v> PU HEAVY DUTY</v>
      </c>
      <c r="I868" s="3">
        <f>IFERROR(__xludf.DUMMYFUNCTION("""COMPUTED_VALUE"""),2.0)</f>
        <v>2</v>
      </c>
      <c r="J868" s="3" t="str">
        <f>IFERROR(__xludf.DUMMYFUNCTION("""COMPUTED_VALUE"""),"pcs")</f>
        <v>pcs</v>
      </c>
      <c r="K868" s="5" t="str">
        <f>IFERROR(__xludf.DUMMYFUNCTION("""COMPUTED_VALUE"""),"https://tk.tokopedia.com/ZSVfKK8LE/")</f>
        <v>https://tk.tokopedia.com/ZSVfKK8LE/</v>
      </c>
      <c r="L868" s="3" t="str">
        <f>IFERROR(__xludf.DUMMYFUNCTION("""COMPUTED_VALUE"""),"-")</f>
        <v>-</v>
      </c>
      <c r="M868" s="3" t="str">
        <f>IFERROR(__xludf.DUMMYFUNCTION("""COMPUTED_VALUE"""),"Approve")</f>
        <v>Approve</v>
      </c>
      <c r="N868" s="3" t="str">
        <f>IFERROR(__xludf.DUMMYFUNCTION("""COMPUTED_VALUE"""),"Normal")</f>
        <v>Normal</v>
      </c>
      <c r="O868" s="3" t="str">
        <f>IFERROR(__xludf.DUMMYFUNCTION("""COMPUTED_VALUE"""),"Non Urgent")</f>
        <v>Non Urgent</v>
      </c>
    </row>
    <row r="869">
      <c r="A869" s="4">
        <f>IFERROR(__xludf.DUMMYFUNCTION("""COMPUTED_VALUE"""),46260.88324940972)</f>
        <v>46260.88325</v>
      </c>
      <c r="B869" s="3" t="str">
        <f>IFERROR(__xludf.DUMMYFUNCTION("""COMPUTED_VALUE"""),"NDSBR0062")</f>
        <v>NDSBR0062</v>
      </c>
      <c r="C869" s="3" t="str">
        <f>IFERROR(__xludf.DUMMYFUNCTION("""COMPUTED_VALUE"""),"Consumable")</f>
        <v>Consumable</v>
      </c>
      <c r="D869" s="3" t="str">
        <f>IFERROR(__xludf.DUMMYFUNCTION("""COMPUTED_VALUE"""),"-")</f>
        <v>-</v>
      </c>
      <c r="E869" s="3" t="str">
        <f>IFERROR(__xludf.DUMMYFUNCTION("""COMPUTED_VALUE"""),"Oven Micro")</f>
        <v>Oven Micro</v>
      </c>
      <c r="F869" s="3" t="str">
        <f>IFERROR(__xludf.DUMMYFUNCTION("""COMPUTED_VALUE"""),"Kabel Heat temp ")</f>
        <v>Kabel Heat temp </v>
      </c>
      <c r="G869" s="3" t="str">
        <f>IFERROR(__xludf.DUMMYFUNCTION("""COMPUTED_VALUE"""),"suhu 500 derajat celcius")</f>
        <v>suhu 500 derajat celcius</v>
      </c>
      <c r="H869" s="3" t="str">
        <f>IFERROR(__xludf.DUMMYFUNCTION("""COMPUTED_VALUE"""),"-")</f>
        <v>-</v>
      </c>
      <c r="I869" s="3">
        <f>IFERROR(__xludf.DUMMYFUNCTION("""COMPUTED_VALUE"""),1.0)</f>
        <v>1</v>
      </c>
      <c r="J869" s="3" t="str">
        <f>IFERROR(__xludf.DUMMYFUNCTION("""COMPUTED_VALUE"""),"roll")</f>
        <v>roll</v>
      </c>
      <c r="K869" s="5" t="str">
        <f>IFERROR(__xludf.DUMMYFUNCTION("""COMPUTED_VALUE"""),"https://www.tokopedia.com/toolsindoanugerah/kabel-high-temperature-l-kabel-nikel-4-mm-1731965122413102124?extParam=ivf%3Dfalse%26keyword%3Dkabel+heat+temp+4+mm+suhu+500+derajat%26search_id%3D20260826091821C203D8A151612A2007RN%26src%3Dsearch&amp;t_id=178773555"&amp;"4063&amp;t_st=5&amp;t_pp=search_result&amp;t_efo=search_pure_goods_card&amp;t_ef=goods_search&amp;t_sm=&amp;t_spt=search_result")</f>
        <v>https://www.tokopedia.com/toolsindoanugerah/kabel-high-temperature-l-kabel-nikel-4-mm-1731965122413102124?extParam=ivf%3Dfalse%26keyword%3Dkabel+heat+temp+4+mm+suhu+500+derajat%26search_id%3D20260826091821C203D8A151612A2007RN%26src%3Dsearch&amp;t_id=1787735554063&amp;t_st=5&amp;t_pp=search_result&amp;t_efo=search_pure_goods_card&amp;t_ef=goods_search&amp;t_sm=&amp;t_spt=search_result</v>
      </c>
      <c r="L869" s="3" t="str">
        <f>IFERROR(__xludf.DUMMYFUNCTION("""COMPUTED_VALUE"""),"100 meter")</f>
        <v>100 meter</v>
      </c>
      <c r="M869" s="3" t="str">
        <f>IFERROR(__xludf.DUMMYFUNCTION("""COMPUTED_VALUE"""),"Waiting")</f>
        <v>Waiting</v>
      </c>
      <c r="N869" s="3" t="str">
        <f>IFERROR(__xludf.DUMMYFUNCTION("""COMPUTED_VALUE"""),"Waiting")</f>
        <v>Waiting</v>
      </c>
      <c r="O869" s="3" t="str">
        <f>IFERROR(__xludf.DUMMYFUNCTION("""COMPUTED_VALUE"""),"Non Urgent")</f>
        <v>Non Urgent</v>
      </c>
    </row>
    <row r="870">
      <c r="A870" s="4">
        <f>IFERROR(__xludf.DUMMYFUNCTION("""COMPUTED_VALUE"""),46262.82985425926)</f>
        <v>46262.82985</v>
      </c>
      <c r="B870" s="3" t="str">
        <f>IFERROR(__xludf.DUMMYFUNCTION("""COMPUTED_VALUE"""),"SFHBR0068")</f>
        <v>SFHBR0068</v>
      </c>
      <c r="C870" s="3" t="str">
        <f>IFERROR(__xludf.DUMMYFUNCTION("""COMPUTED_VALUE"""),"EJO")</f>
        <v>EJO</v>
      </c>
      <c r="D870" s="3" t="str">
        <f>IFERROR(__xludf.DUMMYFUNCTION("""COMPUTED_VALUE"""),"EJO/2026/08/083")</f>
        <v>EJO/2026/08/083</v>
      </c>
      <c r="E870" s="3" t="str">
        <f>IFERROR(__xludf.DUMMYFUNCTION("""COMPUTED_VALUE"""),"lantai 2")</f>
        <v>lantai 2</v>
      </c>
      <c r="F870" s="3" t="str">
        <f>IFERROR(__xludf.DUMMYFUNCTION("""COMPUTED_VALUE"""),"AC DAIKIN 1PK NUSANTARA SERIES FTC-25YV14 FREON R32")</f>
        <v>AC DAIKIN 1PK NUSANTARA SERIES FTC-25YV14 FREON R32</v>
      </c>
      <c r="G870" s="3" t="str">
        <f>IFERROR(__xludf.DUMMYFUNCTION("""COMPUTED_VALUE"""),"AC DAIKIN 1PK NUSANTARA SERIES FTC-25YV14 FREON R32 SERI TERBARU/DAIKIN AC 1 PK NEW SERIES BERGARANSI RESMI - AC 1PK + ALAT2 INSTALASI")</f>
        <v>AC DAIKIN 1PK NUSANTARA SERIES FTC-25YV14 FREON R32 SERI TERBARU/DAIKIN AC 1 PK NEW SERIES BERGARANSI RESMI - AC 1PK + ALAT2 INSTALASI</v>
      </c>
      <c r="H870" s="3" t="str">
        <f>IFERROR(__xludf.DUMMYFUNCTION("""COMPUTED_VALUE"""),"Daikin")</f>
        <v>Daikin</v>
      </c>
      <c r="I870" s="3">
        <f>IFERROR(__xludf.DUMMYFUNCTION("""COMPUTED_VALUE"""),1.0)</f>
        <v>1</v>
      </c>
      <c r="J870" s="3" t="str">
        <f>IFERROR(__xludf.DUMMYFUNCTION("""COMPUTED_VALUE"""),"set")</f>
        <v>set</v>
      </c>
      <c r="K870" s="5" t="str">
        <f>IFERROR(__xludf.DUMMYFUNCTION("""COMPUTED_VALUE"""),"https://tk.tokopedia.com/ZSVG2mkRK/")</f>
        <v>https://tk.tokopedia.com/ZSVG2mkRK/</v>
      </c>
      <c r="L870" s="3" t="str">
        <f>IFERROR(__xludf.DUMMYFUNCTION("""COMPUTED_VALUE"""),"-")</f>
        <v>-</v>
      </c>
      <c r="M870" s="3" t="str">
        <f>IFERROR(__xludf.DUMMYFUNCTION("""COMPUTED_VALUE"""),"Waiting")</f>
        <v>Waiting</v>
      </c>
      <c r="N870" s="3" t="str">
        <f>IFERROR(__xludf.DUMMYFUNCTION("""COMPUTED_VALUE"""),"Waiting")</f>
        <v>Waiting</v>
      </c>
      <c r="O870" s="3" t="str">
        <f>IFERROR(__xludf.DUMMYFUNCTION("""COMPUTED_VALUE"""),"Non Urgent")</f>
        <v>Non Urgent</v>
      </c>
    </row>
    <row r="871">
      <c r="A871" s="4">
        <f>IFERROR(__xludf.DUMMYFUNCTION("""COMPUTED_VALUE"""),46262.8331515162)</f>
        <v>46262.83315</v>
      </c>
      <c r="B871" s="3" t="str">
        <f>IFERROR(__xludf.DUMMYFUNCTION("""COMPUTED_VALUE"""),"SFHBR0069")</f>
        <v>SFHBR0069</v>
      </c>
      <c r="C871" s="3" t="str">
        <f>IFERROR(__xludf.DUMMYFUNCTION("""COMPUTED_VALUE"""),"EJO")</f>
        <v>EJO</v>
      </c>
      <c r="D871" s="3" t="str">
        <f>IFERROR(__xludf.DUMMYFUNCTION("""COMPUTED_VALUE"""),"EJO/2026/08/083")</f>
        <v>EJO/2026/08/083</v>
      </c>
      <c r="E871" s="3" t="str">
        <f>IFERROR(__xludf.DUMMYFUNCTION("""COMPUTED_VALUE"""),"lantai 2")</f>
        <v>lantai 2</v>
      </c>
      <c r="F871" s="3" t="str">
        <f>IFERROR(__xludf.DUMMYFUNCTION("""COMPUTED_VALUE"""),"Daikin Pipa AC DSP 1/4 + 3/8 Per Meter AC 0,5 - 1 PK Ketebalan 0,76 mm + 0,81 mm Insulasi 8 mm")</f>
        <v>Daikin Pipa AC DSP 1/4 + 3/8 Per Meter AC 0,5 - 1 PK Ketebalan 0,76 mm + 0,81 mm Insulasi 8 mm</v>
      </c>
      <c r="G871" s="3" t="str">
        <f>IFERROR(__xludf.DUMMYFUNCTION("""COMPUTED_VALUE"""),"Daikin Pipa AC DSP 1/4 + 3/8 Per Meter AC 0,5 - 1 PK Ketebalan 0,76 mm + 0,81 mm Insulasi 8 mm")</f>
        <v>Daikin Pipa AC DSP 1/4 + 3/8 Per Meter AC 0,5 - 1 PK Ketebalan 0,76 mm + 0,81 mm Insulasi 8 mm</v>
      </c>
      <c r="H871" s="3" t="str">
        <f>IFERROR(__xludf.DUMMYFUNCTION("""COMPUTED_VALUE"""),"Daikin")</f>
        <v>Daikin</v>
      </c>
      <c r="I871" s="3">
        <f>IFERROR(__xludf.DUMMYFUNCTION("""COMPUTED_VALUE"""),7.0)</f>
        <v>7</v>
      </c>
      <c r="J871" s="3" t="str">
        <f>IFERROR(__xludf.DUMMYFUNCTION("""COMPUTED_VALUE"""),"meter")</f>
        <v>meter</v>
      </c>
      <c r="K871" s="5" t="str">
        <f>IFERROR(__xludf.DUMMYFUNCTION("""COMPUTED_VALUE"""),"https://tk.tokopedia.com/ZSVGMyjTm/")</f>
        <v>https://tk.tokopedia.com/ZSVGMyjTm/</v>
      </c>
      <c r="L871" s="3" t="str">
        <f>IFERROR(__xludf.DUMMYFUNCTION("""COMPUTED_VALUE"""),"-")</f>
        <v>-</v>
      </c>
      <c r="M871" s="3" t="str">
        <f>IFERROR(__xludf.DUMMYFUNCTION("""COMPUTED_VALUE"""),"Waiting")</f>
        <v>Waiting</v>
      </c>
      <c r="N871" s="3" t="str">
        <f>IFERROR(__xludf.DUMMYFUNCTION("""COMPUTED_VALUE"""),"Waiting")</f>
        <v>Waiting</v>
      </c>
      <c r="O871" s="3" t="str">
        <f>IFERROR(__xludf.DUMMYFUNCTION("""COMPUTED_VALUE"""),"Non Urgent")</f>
        <v>Non Urgent</v>
      </c>
    </row>
    <row r="872">
      <c r="A872" s="4">
        <f>IFERROR(__xludf.DUMMYFUNCTION("""COMPUTED_VALUE"""),46266.94058243056)</f>
        <v>46266.94058</v>
      </c>
      <c r="B872" s="3" t="str">
        <f>IFERROR(__xludf.DUMMYFUNCTION("""COMPUTED_VALUE"""),"MRNBR0120")</f>
        <v>MRNBR0120</v>
      </c>
      <c r="C872" s="3" t="str">
        <f>IFERROR(__xludf.DUMMYFUNCTION("""COMPUTED_VALUE"""),"EJO")</f>
        <v>EJO</v>
      </c>
      <c r="D872" s="3" t="str">
        <f>IFERROR(__xludf.DUMMYFUNCTION("""COMPUTED_VALUE"""),"EJO/2026/07/081")</f>
        <v>EJO/2026/07/081</v>
      </c>
      <c r="E872" s="3" t="str">
        <f>IFERROR(__xludf.DUMMYFUNCTION("""COMPUTED_VALUE"""),"AC warehouse")</f>
        <v>AC warehouse</v>
      </c>
      <c r="F872" s="3" t="str">
        <f>IFERROR(__xludf.DUMMYFUNCTION("""COMPUTED_VALUE"""),"Compressor AC split")</f>
        <v>Compressor AC split</v>
      </c>
      <c r="G872" s="3" t="str">
        <f>IFERROR(__xludf.DUMMYFUNCTION("""COMPUTED_VALUE"""),"Compressor 1 pk R22")</f>
        <v>Compressor 1 pk R22</v>
      </c>
      <c r="H872" s="3" t="str">
        <f>IFERROR(__xludf.DUMMYFUNCTION("""COMPUTED_VALUE"""),"NA")</f>
        <v>NA</v>
      </c>
      <c r="I872" s="3">
        <f>IFERROR(__xludf.DUMMYFUNCTION("""COMPUTED_VALUE"""),1.0)</f>
        <v>1</v>
      </c>
      <c r="J872" s="3" t="str">
        <f>IFERROR(__xludf.DUMMYFUNCTION("""COMPUTED_VALUE"""),"pcs")</f>
        <v>pcs</v>
      </c>
      <c r="K872" s="5" t="str">
        <f>IFERROR(__xludf.DUMMYFUNCTION("""COMPUTED_VALUE"""),"https://www.tokopedia.com/marina-cool/kompresor-ac-samsung-r22-r410a-r32-ur-ug-ub-series-ukuran-0-5-0-75-1-1-5-2-pk-hp-original-rotary-compressor-baru-1733712930893301180?extParam=ivf%3Dfalse%26keyword%3Dkompressor+ac+1+pk+r22%26search_id%3D20260901153550"&amp;"40008B9A5380FC0F7OCQ%26src%3Dsearch&amp;t_id=1788276965375&amp;t_st=1&amp;t_pp=search_result&amp;t_efo=search_pure_goods_card&amp;t_ef=goods_search&amp;t_sm=&amp;t_spt=search_result")</f>
        <v>https://www.tokopedia.com/marina-cool/kompresor-ac-samsung-r22-r410a-r32-ur-ug-ub-series-ukuran-0-5-0-75-1-1-5-2-pk-hp-original-rotary-compressor-baru-1733712930893301180?extParam=ivf%3Dfalse%26keyword%3Dkompressor+ac+1+pk+r22%26search_id%3D2026090115355040008B9A5380FC0F7OCQ%26src%3Dsearch&amp;t_id=1788276965375&amp;t_st=1&amp;t_pp=search_result&amp;t_efo=search_pure_goods_card&amp;t_ef=goods_search&amp;t_sm=&amp;t_spt=search_result</v>
      </c>
      <c r="L872" s="3" t="str">
        <f>IFERROR(__xludf.DUMMYFUNCTION("""COMPUTED_VALUE"""),"untuk office warehouse")</f>
        <v>untuk office warehouse</v>
      </c>
      <c r="M872" s="3" t="str">
        <f>IFERROR(__xludf.DUMMYFUNCTION("""COMPUTED_VALUE"""),"Approve")</f>
        <v>Approve</v>
      </c>
      <c r="N872" s="3" t="str">
        <f>IFERROR(__xludf.DUMMYFUNCTION("""COMPUTED_VALUE"""),"Normal")</f>
        <v>Normal</v>
      </c>
      <c r="O872" s="3" t="str">
        <f>IFERROR(__xludf.DUMMYFUNCTION("""COMPUTED_VALUE"""),"Non Urgent")</f>
        <v>Non Urgent</v>
      </c>
    </row>
    <row r="873">
      <c r="A873" s="4">
        <f>IFERROR(__xludf.DUMMYFUNCTION("""COMPUTED_VALUE"""),46267.3408574537)</f>
        <v>46267.34086</v>
      </c>
      <c r="B873" s="3" t="str">
        <f>IFERROR(__xludf.DUMMYFUNCTION("""COMPUTED_VALUE"""),"WAPBR0010")</f>
        <v>WAPBR0010</v>
      </c>
      <c r="C873" s="3" t="str">
        <f>IFERROR(__xludf.DUMMYFUNCTION("""COMPUTED_VALUE"""),"Consumable")</f>
        <v>Consumable</v>
      </c>
      <c r="D873" s="3" t="str">
        <f>IFERROR(__xludf.DUMMYFUNCTION("""COMPUTED_VALUE"""),"-")</f>
        <v>-</v>
      </c>
      <c r="E873" s="3" t="str">
        <f>IFERROR(__xludf.DUMMYFUNCTION("""COMPUTED_VALUE"""),"utility")</f>
        <v>utility</v>
      </c>
      <c r="F873" s="3" t="str">
        <f>IFERROR(__xludf.DUMMYFUNCTION("""COMPUTED_VALUE"""),"MCB 3 pole")</f>
        <v>MCB 3 pole</v>
      </c>
      <c r="G873" s="3" t="str">
        <f>IFERROR(__xludf.DUMMYFUNCTION("""COMPUTED_VALUE"""),"16 A 3 pole")</f>
        <v>16 A 3 pole</v>
      </c>
      <c r="H873" s="3" t="str">
        <f>IFERROR(__xludf.DUMMYFUNCTION("""COMPUTED_VALUE"""),"Schneider")</f>
        <v>Schneider</v>
      </c>
      <c r="I873" s="3">
        <f>IFERROR(__xludf.DUMMYFUNCTION("""COMPUTED_VALUE"""),2.0)</f>
        <v>2</v>
      </c>
      <c r="J873" s="3" t="str">
        <f>IFERROR(__xludf.DUMMYFUNCTION("""COMPUTED_VALUE"""),"pcs")</f>
        <v>pcs</v>
      </c>
      <c r="K873" s="5" t="str">
        <f>IFERROR(__xludf.DUMMYFUNCTION("""COMPUTED_VALUE"""),"https://www.tokopedia.com/sahabatjayabglcr/schneider-electric-mcb-merk-schneider-16a-3phase-perangkat-pengaman-arus-listrik-3-fase-16-ampere-1731704042080077491?utm_source=google&amp;utm_medium=organic&amp;utm_campaign=pdp")</f>
        <v>https://www.tokopedia.com/sahabatjayabglcr/schneider-electric-mcb-merk-schneider-16a-3phase-perangkat-pengaman-arus-listrik-3-fase-16-ampere-1731704042080077491?utm_source=google&amp;utm_medium=organic&amp;utm_campaign=pdp</v>
      </c>
      <c r="L873" s="3" t="str">
        <f>IFERROR(__xludf.DUMMYFUNCTION("""COMPUTED_VALUE"""),"-")</f>
        <v>-</v>
      </c>
      <c r="M873" s="3" t="str">
        <f>IFERROR(__xludf.DUMMYFUNCTION("""COMPUTED_VALUE"""),"Reject")</f>
        <v>Reject</v>
      </c>
      <c r="N873" s="3" t="str">
        <f>IFERROR(__xludf.DUMMYFUNCTION("""COMPUTED_VALUE"""),"Normal")</f>
        <v>Normal</v>
      </c>
      <c r="O873" s="3" t="str">
        <f>IFERROR(__xludf.DUMMYFUNCTION("""COMPUTED_VALUE"""),"Non Urgent")</f>
        <v>Non Urgent</v>
      </c>
    </row>
    <row r="874">
      <c r="A874" s="4">
        <f>IFERROR(__xludf.DUMMYFUNCTION("""COMPUTED_VALUE"""),46268.6534249537)</f>
        <v>46268.65342</v>
      </c>
      <c r="B874" s="3" t="str">
        <f>IFERROR(__xludf.DUMMYFUNCTION("""COMPUTED_VALUE"""),"KFFBR0024")</f>
        <v>KFFBR0024</v>
      </c>
      <c r="C874" s="3" t="str">
        <f>IFERROR(__xludf.DUMMYFUNCTION("""COMPUTED_VALUE"""),"Consumable")</f>
        <v>Consumable</v>
      </c>
      <c r="D874" s="3" t="str">
        <f>IFERROR(__xludf.DUMMYFUNCTION("""COMPUTED_VALUE"""),"no ejo")</f>
        <v>no ejo</v>
      </c>
      <c r="E874" s="3" t="str">
        <f>IFERROR(__xludf.DUMMYFUNCTION("""COMPUTED_VALUE"""),"Workshop")</f>
        <v>Workshop</v>
      </c>
      <c r="F874" s="3" t="str">
        <f>IFERROR(__xludf.DUMMYFUNCTION("""COMPUTED_VALUE"""),"stock")</f>
        <v>stock</v>
      </c>
      <c r="G874" s="3" t="str">
        <f>IFERROR(__xludf.DUMMYFUNCTION("""COMPUTED_VALUE"""),"Clamp ferrule 1 set
Material stainless steel 304 ukuran 1-1/2 ")</f>
        <v>Clamp ferrule 1 set
Material stainless steel 304 ukuran 1-1/2 </v>
      </c>
      <c r="H874" s="3" t="str">
        <f>IFERROR(__xludf.DUMMYFUNCTION("""COMPUTED_VALUE"""),"Universal ")</f>
        <v>Universal </v>
      </c>
      <c r="I874" s="3">
        <f>IFERROR(__xludf.DUMMYFUNCTION("""COMPUTED_VALUE"""),4.0)</f>
        <v>4</v>
      </c>
      <c r="J874" s="3" t="str">
        <f>IFERROR(__xludf.DUMMYFUNCTION("""COMPUTED_VALUE"""),"PCS")</f>
        <v>PCS</v>
      </c>
      <c r="K874" s="5" t="str">
        <f>IFERROR(__xludf.DUMMYFUNCTION("""COMPUTED_VALUE"""),"https://tk.tokopedia.com/ZSqJwAUoH/")</f>
        <v>https://tk.tokopedia.com/ZSqJwAUoH/</v>
      </c>
      <c r="L874" s="3" t="str">
        <f>IFERROR(__xludf.DUMMYFUNCTION("""COMPUTED_VALUE"""),"TIDAK ADA STOCK, URGENTLY ")</f>
        <v>TIDAK ADA STOCK, URGENTLY </v>
      </c>
      <c r="M874" s="3" t="str">
        <f>IFERROR(__xludf.DUMMYFUNCTION("""COMPUTED_VALUE"""),"Waiting")</f>
        <v>Waiting</v>
      </c>
      <c r="N874" s="3" t="str">
        <f>IFERROR(__xludf.DUMMYFUNCTION("""COMPUTED_VALUE"""),"Waiting")</f>
        <v>Waiting</v>
      </c>
      <c r="O874" s="3" t="str">
        <f>IFERROR(__xludf.DUMMYFUNCTION("""COMPUTED_VALUE"""),"Non Urgent")</f>
        <v>Non Urgent</v>
      </c>
    </row>
    <row r="875">
      <c r="A875" s="4">
        <f>IFERROR(__xludf.DUMMYFUNCTION("""COMPUTED_VALUE"""),46268.66749460648)</f>
        <v>46268.66749</v>
      </c>
      <c r="B875" s="3" t="str">
        <f>IFERROR(__xludf.DUMMYFUNCTION("""COMPUTED_VALUE"""),"NDSBR0063")</f>
        <v>NDSBR0063</v>
      </c>
      <c r="C875" s="3" t="str">
        <f>IFERROR(__xludf.DUMMYFUNCTION("""COMPUTED_VALUE"""),"Consumable")</f>
        <v>Consumable</v>
      </c>
      <c r="D875" s="3" t="str">
        <f>IFERROR(__xludf.DUMMYFUNCTION("""COMPUTED_VALUE"""),"-")</f>
        <v>-</v>
      </c>
      <c r="E875" s="3" t="str">
        <f>IFERROR(__xludf.DUMMYFUNCTION("""COMPUTED_VALUE"""),"All mesin")</f>
        <v>All mesin</v>
      </c>
      <c r="F875" s="3" t="str">
        <f>IFERROR(__xludf.DUMMYFUNCTION("""COMPUTED_VALUE"""),"Cover Tombol Emergency ")</f>
        <v>Cover Tombol Emergency </v>
      </c>
      <c r="G875" s="3" t="str">
        <f>IFERROR(__xludf.DUMMYFUNCTION("""COMPUTED_VALUE"""),"D 55 P60")</f>
        <v>D 55 P60</v>
      </c>
      <c r="H875" s="3" t="str">
        <f>IFERROR(__xludf.DUMMYFUNCTION("""COMPUTED_VALUE"""),"-")</f>
        <v>-</v>
      </c>
      <c r="I875" s="3">
        <f>IFERROR(__xludf.DUMMYFUNCTION("""COMPUTED_VALUE"""),10.0)</f>
        <v>10</v>
      </c>
      <c r="J875" s="3" t="str">
        <f>IFERROR(__xludf.DUMMYFUNCTION("""COMPUTED_VALUE"""),"Pcs")</f>
        <v>Pcs</v>
      </c>
      <c r="K875" s="5" t="str">
        <f>IFERROR(__xludf.DUMMYFUNCTION("""COMPUTED_VALUE"""),"https://shopee.co.id/COVER-PELINDUNG-TRANSPARAN-PUSH-BUTTON-PROTECTION-COVER-UNTUK-PUSH-BUTTON-22mm-i.1219139067.42980978507?extraParams=%7B%22display_model_id%22%3A315938423654%2C%22model_selection_logic%22%3A3%7D")</f>
        <v>https://shopee.co.id/COVER-PELINDUNG-TRANSPARAN-PUSH-BUTTON-PROTECTION-COVER-UNTUK-PUSH-BUTTON-22mm-i.1219139067.42980978507?extraParams=%7B%22display_model_id%22%3A315938423654%2C%22model_selection_logic%22%3A3%7D</v>
      </c>
      <c r="L875" s="3" t="str">
        <f>IFERROR(__xludf.DUMMYFUNCTION("""COMPUTED_VALUE"""),"tinggi 60mm Diameter 55mm")</f>
        <v>tinggi 60mm Diameter 55mm</v>
      </c>
      <c r="M875" s="3" t="str">
        <f>IFERROR(__xludf.DUMMYFUNCTION("""COMPUTED_VALUE"""),"Approve")</f>
        <v>Approve</v>
      </c>
      <c r="N875" s="3" t="str">
        <f>IFERROR(__xludf.DUMMYFUNCTION("""COMPUTED_VALUE"""),"Normal")</f>
        <v>Normal</v>
      </c>
      <c r="O875" s="3" t="str">
        <f>IFERROR(__xludf.DUMMYFUNCTION("""COMPUTED_VALUE"""),"Non Urgent")</f>
        <v>Non Urgent</v>
      </c>
    </row>
    <row r="876">
      <c r="A876" s="4">
        <f>IFERROR(__xludf.DUMMYFUNCTION("""COMPUTED_VALUE"""),46273.51879041667)</f>
        <v>46273.51879</v>
      </c>
      <c r="B876" s="3" t="str">
        <f>IFERROR(__xludf.DUMMYFUNCTION("""COMPUTED_VALUE"""),"NDSBR0064")</f>
        <v>NDSBR0064</v>
      </c>
      <c r="C876" s="3" t="str">
        <f>IFERROR(__xludf.DUMMYFUNCTION("""COMPUTED_VALUE"""),"EJO")</f>
        <v>EJO</v>
      </c>
      <c r="D876" s="3" t="str">
        <f>IFERROR(__xludf.DUMMYFUNCTION("""COMPUTED_VALUE"""),"-")</f>
        <v>-</v>
      </c>
      <c r="E876" s="3" t="str">
        <f>IFERROR(__xludf.DUMMYFUNCTION("""COMPUTED_VALUE"""),"Granulasi")</f>
        <v>Granulasi</v>
      </c>
      <c r="F876" s="3" t="str">
        <f>IFERROR(__xludf.DUMMYFUNCTION("""COMPUTED_VALUE"""),"Bushing Valve")</f>
        <v>Bushing Valve</v>
      </c>
      <c r="G876" s="3" t="str">
        <f>IFERROR(__xludf.DUMMYFUNCTION("""COMPUTED_VALUE"""),"Sesuai Gambar dan Penawaran")</f>
        <v>Sesuai Gambar dan Penawaran</v>
      </c>
      <c r="H876" s="3" t="str">
        <f>IFERROR(__xludf.DUMMYFUNCTION("""COMPUTED_VALUE"""),"-")</f>
        <v>-</v>
      </c>
      <c r="I876" s="3">
        <f>IFERROR(__xludf.DUMMYFUNCTION("""COMPUTED_VALUE"""),1.0)</f>
        <v>1</v>
      </c>
      <c r="J876" s="3" t="str">
        <f>IFERROR(__xludf.DUMMYFUNCTION("""COMPUTED_VALUE"""),"Pcs")</f>
        <v>Pcs</v>
      </c>
      <c r="K876" s="5" t="str">
        <f>IFERROR(__xludf.DUMMYFUNCTION("""COMPUTED_VALUE"""),"https://drive.google.com/drive/folders/160KpJZM6QoiglK61KDbWzISYbRF0ynC1?usp=sharing")</f>
        <v>https://drive.google.com/drive/folders/160KpJZM6QoiglK61KDbWzISYbRF0ynC1?usp=sharing</v>
      </c>
      <c r="L876" s="3" t="str">
        <f>IFERROR(__xludf.DUMMYFUNCTION("""COMPUTED_VALUE"""),"-")</f>
        <v>-</v>
      </c>
      <c r="M876" s="3" t="str">
        <f>IFERROR(__xludf.DUMMYFUNCTION("""COMPUTED_VALUE"""),"Waiting")</f>
        <v>Waiting</v>
      </c>
      <c r="N876" s="3" t="str">
        <f>IFERROR(__xludf.DUMMYFUNCTION("""COMPUTED_VALUE"""),"Waiting")</f>
        <v>Waiting</v>
      </c>
      <c r="O876" s="3" t="str">
        <f>IFERROR(__xludf.DUMMYFUNCTION("""COMPUTED_VALUE"""),"Non Urgent")</f>
        <v>Non Urgent</v>
      </c>
    </row>
    <row r="877">
      <c r="A877" s="4">
        <f>IFERROR(__xludf.DUMMYFUNCTION("""COMPUTED_VALUE"""),46274.5643337037)</f>
        <v>46274.56433</v>
      </c>
      <c r="B877" s="3" t="str">
        <f>IFERROR(__xludf.DUMMYFUNCTION("""COMPUTED_VALUE"""),"WAPBR0011")</f>
        <v>WAPBR0011</v>
      </c>
      <c r="C877" s="3" t="str">
        <f>IFERROR(__xludf.DUMMYFUNCTION("""COMPUTED_VALUE"""),"EJO")</f>
        <v>EJO</v>
      </c>
      <c r="D877" s="3" t="str">
        <f>IFERROR(__xludf.DUMMYFUNCTION("""COMPUTED_VALUE"""),"-")</f>
        <v>-</v>
      </c>
      <c r="E877" s="3" t="str">
        <f>IFERROR(__xludf.DUMMYFUNCTION("""COMPUTED_VALUE"""),"utility")</f>
        <v>utility</v>
      </c>
      <c r="F877" s="3" t="str">
        <f>IFERROR(__xludf.DUMMYFUNCTION("""COMPUTED_VALUE"""),"load switch ON/off")</f>
        <v>load switch ON/off</v>
      </c>
      <c r="G877" s="3" t="str">
        <f>IFERROR(__xludf.DUMMYFUNCTION("""COMPUTED_VALUE"""),"25A 600Vac")</f>
        <v>25A 600Vac</v>
      </c>
      <c r="H877" s="3" t="str">
        <f>IFERROR(__xludf.DUMMYFUNCTION("""COMPUTED_VALUE"""),"kraus &amp; naimer")</f>
        <v>kraus &amp; naimer</v>
      </c>
      <c r="I877" s="3">
        <f>IFERROR(__xludf.DUMMYFUNCTION("""COMPUTED_VALUE"""),2.0)</f>
        <v>2</v>
      </c>
      <c r="J877" s="3" t="str">
        <f>IFERROR(__xludf.DUMMYFUNCTION("""COMPUTED_VALUE"""),"pcs")</f>
        <v>pcs</v>
      </c>
      <c r="K877" s="5" t="str">
        <f>IFERROR(__xludf.DUMMYFUNCTION("""COMPUTED_VALUE"""),"https://www.monotaro.id/s039467300.html")</f>
        <v>https://www.monotaro.id/s039467300.html</v>
      </c>
      <c r="L877" s="3" t="str">
        <f>IFERROR(__xludf.DUMMYFUNCTION("""COMPUTED_VALUE"""),"-")</f>
        <v>-</v>
      </c>
      <c r="M877" s="3" t="str">
        <f>IFERROR(__xludf.DUMMYFUNCTION("""COMPUTED_VALUE"""),"Waiting")</f>
        <v>Waiting</v>
      </c>
      <c r="N877" s="3" t="str">
        <f>IFERROR(__xludf.DUMMYFUNCTION("""COMPUTED_VALUE"""),"Waiting")</f>
        <v>Waiting</v>
      </c>
      <c r="O877" s="3" t="str">
        <f>IFERROR(__xludf.DUMMYFUNCTION("""COMPUTED_VALUE"""),"Non Urgent")</f>
        <v>Non Urgent</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L15"/>
    <hyperlink r:id="rId16" ref="K16"/>
    <hyperlink r:id="rId17" ref="L16"/>
    <hyperlink r:id="rId18" ref="K17"/>
    <hyperlink r:id="rId19" ref="K18"/>
    <hyperlink r:id="rId20" ref="K19"/>
    <hyperlink r:id="rId21" ref="K20"/>
    <hyperlink r:id="rId22" ref="L20"/>
    <hyperlink r:id="rId23" ref="K21"/>
    <hyperlink r:id="rId24" ref="K22"/>
    <hyperlink r:id="rId25" ref="K23"/>
    <hyperlink r:id="rId26" ref="K24"/>
    <hyperlink r:id="rId27" ref="K25"/>
    <hyperlink r:id="rId28" ref="K26"/>
    <hyperlink r:id="rId29" ref="K27"/>
    <hyperlink r:id="rId30" ref="K28"/>
    <hyperlink r:id="rId31" ref="K29"/>
    <hyperlink r:id="rId32" ref="K30"/>
    <hyperlink r:id="rId33" ref="K31"/>
    <hyperlink r:id="rId34" ref="K32"/>
    <hyperlink r:id="rId35" ref="K33"/>
    <hyperlink r:id="rId36" ref="K34"/>
    <hyperlink r:id="rId37" ref="K35"/>
    <hyperlink r:id="rId38" ref="K36"/>
    <hyperlink r:id="rId39" ref="K37"/>
    <hyperlink r:id="rId40" ref="K38"/>
    <hyperlink r:id="rId41" ref="K39"/>
    <hyperlink r:id="rId42" ref="K40"/>
    <hyperlink r:id="rId43" ref="K41"/>
    <hyperlink r:id="rId44" ref="K42"/>
    <hyperlink r:id="rId45" ref="K43"/>
    <hyperlink r:id="rId46" ref="K44"/>
    <hyperlink r:id="rId47" ref="K45"/>
    <hyperlink r:id="rId48" ref="K46"/>
    <hyperlink r:id="rId49" ref="K47"/>
    <hyperlink r:id="rId50" ref="K48"/>
    <hyperlink r:id="rId51" ref="K49"/>
    <hyperlink r:id="rId52" ref="K50"/>
    <hyperlink r:id="rId53" ref="K51"/>
    <hyperlink r:id="rId54" ref="K52"/>
    <hyperlink r:id="rId55" ref="K53"/>
    <hyperlink r:id="rId56" ref="K54"/>
    <hyperlink r:id="rId57" ref="K55"/>
    <hyperlink r:id="rId58" ref="K56"/>
    <hyperlink r:id="rId59" ref="K57"/>
    <hyperlink r:id="rId60" ref="K58"/>
    <hyperlink r:id="rId61" ref="K60"/>
    <hyperlink r:id="rId62" ref="K61"/>
    <hyperlink r:id="rId63" ref="K62"/>
    <hyperlink r:id="rId64" ref="K63"/>
    <hyperlink r:id="rId65" ref="K64"/>
    <hyperlink r:id="rId66" ref="K65"/>
    <hyperlink r:id="rId67" ref="K66"/>
    <hyperlink r:id="rId68" ref="K67"/>
    <hyperlink r:id="rId69" ref="K68"/>
    <hyperlink r:id="rId70" ref="K70"/>
    <hyperlink r:id="rId71" ref="K71"/>
    <hyperlink r:id="rId72" ref="K72"/>
    <hyperlink r:id="rId73" ref="K73"/>
    <hyperlink r:id="rId74" ref="K74"/>
    <hyperlink r:id="rId75" ref="K75"/>
    <hyperlink r:id="rId76" ref="K76"/>
    <hyperlink r:id="rId77" ref="K77"/>
    <hyperlink r:id="rId78" ref="K78"/>
    <hyperlink r:id="rId79" ref="K81"/>
    <hyperlink r:id="rId80" ref="K84"/>
    <hyperlink r:id="rId81" ref="K85"/>
    <hyperlink r:id="rId82" ref="K86"/>
    <hyperlink r:id="rId83" ref="K87"/>
    <hyperlink r:id="rId84" ref="K88"/>
    <hyperlink r:id="rId85" ref="K89"/>
    <hyperlink r:id="rId86" ref="K90"/>
    <hyperlink r:id="rId87" ref="K91"/>
    <hyperlink r:id="rId88" ref="K92"/>
    <hyperlink r:id="rId89" ref="K93"/>
    <hyperlink r:id="rId90" ref="K94"/>
    <hyperlink r:id="rId91" ref="K95"/>
    <hyperlink r:id="rId92" ref="K101"/>
    <hyperlink r:id="rId93" ref="K102"/>
    <hyperlink r:id="rId94" ref="K103"/>
    <hyperlink r:id="rId95" ref="K104"/>
    <hyperlink r:id="rId96" ref="K105"/>
    <hyperlink r:id="rId97" ref="K106"/>
    <hyperlink r:id="rId98" ref="K107"/>
    <hyperlink r:id="rId99" ref="K108"/>
    <hyperlink r:id="rId100" ref="K109"/>
    <hyperlink r:id="rId101" ref="K110"/>
    <hyperlink r:id="rId102" ref="K111"/>
    <hyperlink r:id="rId103" ref="K112"/>
    <hyperlink r:id="rId104" ref="K113"/>
    <hyperlink r:id="rId105" ref="K114"/>
    <hyperlink r:id="rId106" ref="K115"/>
    <hyperlink r:id="rId107" ref="K116"/>
    <hyperlink r:id="rId108" ref="K117"/>
    <hyperlink r:id="rId109" ref="K118"/>
    <hyperlink r:id="rId110" ref="L118"/>
    <hyperlink r:id="rId111" ref="K119"/>
    <hyperlink r:id="rId112" ref="L119"/>
    <hyperlink r:id="rId113" ref="K121"/>
    <hyperlink r:id="rId114" ref="L121"/>
    <hyperlink r:id="rId115" ref="K122"/>
    <hyperlink r:id="rId116" ref="K123"/>
    <hyperlink r:id="rId117" ref="K124"/>
    <hyperlink r:id="rId118" ref="K125"/>
    <hyperlink r:id="rId119" ref="K126"/>
    <hyperlink r:id="rId120" ref="K128"/>
    <hyperlink r:id="rId121" ref="K129"/>
    <hyperlink r:id="rId122" ref="K130"/>
    <hyperlink r:id="rId123" ref="K131"/>
    <hyperlink r:id="rId124" ref="K132"/>
    <hyperlink r:id="rId125" ref="K133"/>
    <hyperlink r:id="rId126" ref="K134"/>
    <hyperlink r:id="rId127" ref="K135"/>
    <hyperlink r:id="rId128" ref="K136"/>
    <hyperlink r:id="rId129" ref="K137"/>
    <hyperlink r:id="rId130" ref="K138"/>
    <hyperlink r:id="rId131" ref="K139"/>
    <hyperlink r:id="rId132" ref="K141"/>
    <hyperlink r:id="rId133" ref="K146"/>
    <hyperlink r:id="rId134" ref="K147"/>
    <hyperlink r:id="rId135" ref="K148"/>
    <hyperlink r:id="rId136" ref="K149"/>
    <hyperlink r:id="rId137" ref="K150"/>
    <hyperlink r:id="rId138" ref="K151"/>
    <hyperlink r:id="rId139" ref="K152"/>
    <hyperlink r:id="rId140" ref="K153"/>
    <hyperlink r:id="rId141" ref="K154"/>
    <hyperlink r:id="rId142" ref="L154"/>
    <hyperlink r:id="rId143" ref="K155"/>
    <hyperlink r:id="rId144" ref="K156"/>
    <hyperlink r:id="rId145" ref="K157"/>
    <hyperlink r:id="rId146" ref="K158"/>
    <hyperlink r:id="rId147" ref="K159"/>
    <hyperlink r:id="rId148" ref="K160"/>
    <hyperlink r:id="rId149" ref="K161"/>
    <hyperlink r:id="rId150" ref="L162"/>
    <hyperlink r:id="rId151" ref="K164"/>
    <hyperlink r:id="rId152" ref="K165"/>
    <hyperlink r:id="rId153" ref="K166"/>
    <hyperlink r:id="rId154" ref="K167"/>
    <hyperlink r:id="rId155" ref="K168"/>
    <hyperlink r:id="rId156" ref="K169"/>
    <hyperlink r:id="rId157" ref="L169"/>
    <hyperlink r:id="rId158" ref="K172"/>
    <hyperlink r:id="rId159" ref="K173"/>
    <hyperlink r:id="rId160" ref="K174"/>
    <hyperlink r:id="rId161" ref="K175"/>
    <hyperlink r:id="rId162" ref="K176"/>
    <hyperlink r:id="rId163" ref="K177"/>
    <hyperlink r:id="rId164" ref="K178"/>
    <hyperlink r:id="rId165" ref="K179"/>
    <hyperlink r:id="rId166" ref="K180"/>
    <hyperlink r:id="rId167" ref="K181"/>
    <hyperlink r:id="rId168" ref="K182"/>
    <hyperlink r:id="rId169" ref="K184"/>
    <hyperlink r:id="rId170" ref="L185"/>
    <hyperlink r:id="rId171" ref="K186"/>
    <hyperlink r:id="rId172" ref="K189"/>
    <hyperlink r:id="rId173" ref="K191"/>
    <hyperlink r:id="rId174" ref="K192"/>
    <hyperlink r:id="rId175" ref="K193"/>
    <hyperlink r:id="rId176" ref="K194"/>
    <hyperlink r:id="rId177" ref="K195"/>
    <hyperlink r:id="rId178" ref="K196"/>
    <hyperlink r:id="rId179" ref="K197"/>
    <hyperlink r:id="rId180" ref="K198"/>
    <hyperlink r:id="rId181" ref="K199"/>
    <hyperlink r:id="rId182" ref="K200"/>
    <hyperlink r:id="rId183" ref="K201"/>
    <hyperlink r:id="rId184" ref="K202"/>
    <hyperlink r:id="rId185" ref="K203"/>
    <hyperlink r:id="rId186" ref="K204"/>
    <hyperlink r:id="rId187" ref="K205"/>
    <hyperlink r:id="rId188" ref="K206"/>
    <hyperlink r:id="rId189" ref="K207"/>
    <hyperlink r:id="rId190" ref="K209"/>
    <hyperlink r:id="rId191" ref="K216"/>
    <hyperlink r:id="rId192" ref="K218"/>
    <hyperlink r:id="rId193" ref="K219"/>
    <hyperlink r:id="rId194" ref="K220"/>
    <hyperlink r:id="rId195" ref="K221"/>
    <hyperlink r:id="rId196" ref="K222"/>
    <hyperlink r:id="rId197" ref="K223"/>
    <hyperlink r:id="rId198" ref="K224"/>
    <hyperlink r:id="rId199" ref="K225"/>
    <hyperlink r:id="rId200" ref="K226"/>
    <hyperlink r:id="rId201" ref="K227"/>
    <hyperlink r:id="rId202" ref="K228"/>
    <hyperlink r:id="rId203" ref="K229"/>
    <hyperlink r:id="rId204" ref="K230"/>
    <hyperlink r:id="rId205" ref="K231"/>
    <hyperlink r:id="rId206" ref="K232"/>
    <hyperlink r:id="rId207" ref="K233"/>
    <hyperlink r:id="rId208" ref="K234"/>
    <hyperlink r:id="rId209" ref="K239"/>
    <hyperlink r:id="rId210" ref="K242"/>
    <hyperlink r:id="rId211" ref="K243"/>
    <hyperlink r:id="rId212" ref="K246"/>
    <hyperlink r:id="rId213" ref="K247"/>
    <hyperlink r:id="rId214" ref="K248"/>
    <hyperlink r:id="rId215" ref="K249"/>
    <hyperlink r:id="rId216" ref="K250"/>
    <hyperlink r:id="rId217" ref="K251"/>
    <hyperlink r:id="rId218" ref="K252"/>
    <hyperlink r:id="rId219" ref="K253"/>
    <hyperlink r:id="rId220" ref="K254"/>
    <hyperlink r:id="rId221" ref="K255"/>
    <hyperlink r:id="rId222" ref="K256"/>
    <hyperlink r:id="rId223" ref="K257"/>
    <hyperlink r:id="rId224" ref="K258"/>
    <hyperlink r:id="rId225" ref="K259"/>
    <hyperlink r:id="rId226" ref="K260"/>
    <hyperlink r:id="rId227" ref="K261"/>
    <hyperlink r:id="rId228" ref="K262"/>
    <hyperlink r:id="rId229" ref="K263"/>
    <hyperlink r:id="rId230" ref="K264"/>
    <hyperlink r:id="rId231" ref="K265"/>
    <hyperlink r:id="rId232" ref="K266"/>
    <hyperlink r:id="rId233" ref="K267"/>
    <hyperlink r:id="rId234" ref="K268"/>
    <hyperlink r:id="rId235" ref="K269"/>
    <hyperlink r:id="rId236" ref="K270"/>
    <hyperlink r:id="rId237" ref="K271"/>
    <hyperlink r:id="rId238" ref="K272"/>
    <hyperlink r:id="rId239" ref="K273"/>
    <hyperlink r:id="rId240" ref="K274"/>
    <hyperlink r:id="rId241" ref="K275"/>
    <hyperlink r:id="rId242" ref="K276"/>
    <hyperlink r:id="rId243" ref="K279"/>
    <hyperlink r:id="rId244" ref="K280"/>
    <hyperlink r:id="rId245" ref="K281"/>
    <hyperlink r:id="rId246" ref="K289"/>
    <hyperlink r:id="rId247" ref="K290"/>
    <hyperlink r:id="rId248" ref="K291"/>
    <hyperlink r:id="rId249" ref="K292"/>
    <hyperlink r:id="rId250" ref="K293"/>
    <hyperlink r:id="rId251" ref="K294"/>
    <hyperlink r:id="rId252" ref="K295"/>
    <hyperlink r:id="rId253" ref="K296"/>
    <hyperlink r:id="rId254" ref="K297"/>
    <hyperlink r:id="rId255" ref="K299"/>
    <hyperlink r:id="rId256" ref="K300"/>
    <hyperlink r:id="rId257" ref="K301"/>
    <hyperlink r:id="rId258" ref="K302"/>
    <hyperlink r:id="rId259" ref="K303"/>
    <hyperlink r:id="rId260" ref="K304"/>
    <hyperlink r:id="rId261" ref="K305"/>
    <hyperlink r:id="rId262" ref="K306"/>
    <hyperlink r:id="rId263" ref="K307"/>
    <hyperlink r:id="rId264" ref="K308"/>
    <hyperlink r:id="rId265" ref="K309"/>
    <hyperlink r:id="rId266" ref="K310"/>
    <hyperlink r:id="rId267" ref="K311"/>
    <hyperlink r:id="rId268" ref="K312"/>
    <hyperlink r:id="rId269" ref="K313"/>
    <hyperlink r:id="rId270" ref="K314"/>
    <hyperlink r:id="rId271" ref="K315"/>
    <hyperlink r:id="rId272" ref="K316"/>
    <hyperlink r:id="rId273" ref="K317"/>
    <hyperlink r:id="rId274" ref="K318"/>
    <hyperlink r:id="rId275" ref="K319"/>
    <hyperlink r:id="rId276" ref="K320"/>
    <hyperlink r:id="rId277" ref="K321"/>
    <hyperlink r:id="rId278" ref="K322"/>
    <hyperlink r:id="rId279" ref="K323"/>
    <hyperlink r:id="rId280" ref="K324"/>
    <hyperlink r:id="rId281" ref="K325"/>
    <hyperlink r:id="rId282" ref="K326"/>
    <hyperlink r:id="rId283" ref="K327"/>
    <hyperlink r:id="rId284" ref="K328"/>
    <hyperlink r:id="rId285" ref="K329"/>
    <hyperlink r:id="rId286" ref="K330"/>
    <hyperlink r:id="rId287" ref="K331"/>
    <hyperlink r:id="rId288" ref="K332"/>
    <hyperlink r:id="rId289" ref="K333"/>
    <hyperlink r:id="rId290" ref="K334"/>
    <hyperlink r:id="rId291" ref="K335"/>
    <hyperlink r:id="rId292" ref="K336"/>
    <hyperlink r:id="rId293" ref="K337"/>
    <hyperlink r:id="rId294" ref="K338"/>
    <hyperlink r:id="rId295" ref="K339"/>
    <hyperlink r:id="rId296" ref="K340"/>
    <hyperlink r:id="rId297" ref="K341"/>
    <hyperlink r:id="rId298" ref="K343"/>
    <hyperlink r:id="rId299" ref="K344"/>
    <hyperlink r:id="rId300" ref="K345"/>
    <hyperlink r:id="rId301" ref="K346"/>
    <hyperlink r:id="rId302" ref="K347"/>
    <hyperlink r:id="rId303" ref="K348"/>
    <hyperlink r:id="rId304" ref="K349"/>
    <hyperlink r:id="rId305" ref="K350"/>
    <hyperlink r:id="rId306" ref="K351"/>
    <hyperlink r:id="rId307" ref="K352"/>
    <hyperlink r:id="rId308" ref="K353"/>
    <hyperlink r:id="rId309" ref="K354"/>
    <hyperlink r:id="rId310" ref="K355"/>
    <hyperlink r:id="rId311" ref="K356"/>
    <hyperlink r:id="rId312" ref="K357"/>
    <hyperlink r:id="rId313" ref="K358"/>
    <hyperlink r:id="rId314" ref="K359"/>
    <hyperlink r:id="rId315" ref="K360"/>
    <hyperlink r:id="rId316" ref="K361"/>
    <hyperlink r:id="rId317" ref="K362"/>
    <hyperlink r:id="rId318" ref="K363"/>
    <hyperlink r:id="rId319" ref="K364"/>
    <hyperlink r:id="rId320" ref="K365"/>
    <hyperlink r:id="rId321" ref="K367"/>
    <hyperlink r:id="rId322" ref="K368"/>
    <hyperlink r:id="rId323" ref="K369"/>
    <hyperlink r:id="rId324" ref="K370"/>
    <hyperlink r:id="rId325" ref="K371"/>
    <hyperlink r:id="rId326" ref="K372"/>
    <hyperlink r:id="rId327" ref="K373"/>
    <hyperlink r:id="rId328" ref="K374"/>
    <hyperlink r:id="rId329" ref="K375"/>
    <hyperlink r:id="rId330" ref="K376"/>
    <hyperlink r:id="rId331" ref="K377"/>
    <hyperlink r:id="rId332" ref="K378"/>
    <hyperlink r:id="rId333" ref="K379"/>
    <hyperlink r:id="rId334" ref="K380"/>
    <hyperlink r:id="rId335" ref="K381"/>
    <hyperlink r:id="rId336" ref="K382"/>
    <hyperlink r:id="rId337" ref="K383"/>
    <hyperlink r:id="rId338" ref="K384"/>
    <hyperlink r:id="rId339" ref="K385"/>
    <hyperlink r:id="rId340" ref="K386"/>
    <hyperlink r:id="rId341" ref="K387"/>
    <hyperlink r:id="rId342" ref="K388"/>
    <hyperlink r:id="rId343" ref="K389"/>
    <hyperlink r:id="rId344" ref="K390"/>
    <hyperlink r:id="rId345" ref="K391"/>
    <hyperlink r:id="rId346" ref="K392"/>
    <hyperlink r:id="rId347" ref="K393"/>
    <hyperlink r:id="rId348" ref="K394"/>
    <hyperlink r:id="rId349" ref="K395"/>
    <hyperlink r:id="rId350" ref="K396"/>
    <hyperlink r:id="rId351" ref="K398"/>
    <hyperlink r:id="rId352" ref="K399"/>
    <hyperlink r:id="rId353" ref="K400"/>
    <hyperlink r:id="rId354" ref="K401"/>
    <hyperlink r:id="rId355" ref="K402"/>
    <hyperlink r:id="rId356" ref="K412"/>
    <hyperlink r:id="rId357" ref="K419"/>
    <hyperlink r:id="rId358" ref="K420"/>
    <hyperlink r:id="rId359" ref="K421"/>
    <hyperlink r:id="rId360" ref="K422"/>
    <hyperlink r:id="rId361" ref="K423"/>
    <hyperlink r:id="rId362" ref="K424"/>
    <hyperlink r:id="rId363" ref="K425"/>
    <hyperlink r:id="rId364" ref="K426"/>
    <hyperlink r:id="rId365" ref="K427"/>
    <hyperlink r:id="rId366" ref="K428"/>
    <hyperlink r:id="rId367" ref="K433"/>
    <hyperlink r:id="rId368" ref="L433"/>
    <hyperlink r:id="rId369" ref="K434"/>
    <hyperlink r:id="rId370" ref="K435"/>
    <hyperlink r:id="rId371" ref="K436"/>
    <hyperlink r:id="rId372" ref="K437"/>
    <hyperlink r:id="rId373" ref="K438"/>
    <hyperlink r:id="rId374" ref="K439"/>
    <hyperlink r:id="rId375" ref="K440"/>
    <hyperlink r:id="rId376" ref="K441"/>
    <hyperlink r:id="rId377" ref="K443"/>
    <hyperlink r:id="rId378" ref="K444"/>
    <hyperlink r:id="rId379" ref="K445"/>
    <hyperlink r:id="rId380" ref="K446"/>
    <hyperlink r:id="rId381" ref="L446"/>
    <hyperlink r:id="rId382" ref="K447"/>
    <hyperlink r:id="rId383" ref="L447"/>
    <hyperlink r:id="rId384" ref="K448"/>
    <hyperlink r:id="rId385" ref="L448"/>
    <hyperlink r:id="rId386" ref="K449"/>
    <hyperlink r:id="rId387" ref="K450"/>
    <hyperlink r:id="rId388" ref="K451"/>
    <hyperlink r:id="rId389" ref="K454"/>
    <hyperlink r:id="rId390" ref="L454"/>
    <hyperlink r:id="rId391" ref="K455"/>
    <hyperlink r:id="rId392" ref="K456"/>
    <hyperlink r:id="rId393" ref="K457"/>
    <hyperlink r:id="rId394" ref="K458"/>
    <hyperlink r:id="rId395" ref="K459"/>
    <hyperlink r:id="rId396" ref="K461"/>
    <hyperlink r:id="rId397" ref="K463"/>
    <hyperlink r:id="rId398" ref="K464"/>
    <hyperlink r:id="rId399" ref="K466"/>
    <hyperlink r:id="rId400" ref="K467"/>
    <hyperlink r:id="rId401" ref="K468"/>
    <hyperlink r:id="rId402" ref="K469"/>
    <hyperlink r:id="rId403" ref="K472"/>
    <hyperlink r:id="rId404" ref="K473"/>
    <hyperlink r:id="rId405" ref="K474"/>
    <hyperlink r:id="rId406" ref="K475"/>
    <hyperlink r:id="rId407" ref="K476"/>
    <hyperlink r:id="rId408" ref="K477"/>
    <hyperlink r:id="rId409" ref="K478"/>
    <hyperlink r:id="rId410" ref="K479"/>
    <hyperlink r:id="rId411" ref="K480"/>
    <hyperlink r:id="rId412" ref="K481"/>
    <hyperlink r:id="rId413" ref="K482"/>
    <hyperlink r:id="rId414" ref="K483"/>
    <hyperlink r:id="rId415" ref="K484"/>
    <hyperlink r:id="rId416" ref="K485"/>
    <hyperlink r:id="rId417" ref="K486"/>
    <hyperlink r:id="rId418" ref="K487"/>
    <hyperlink r:id="rId419" ref="K488"/>
    <hyperlink r:id="rId420" ref="K489"/>
    <hyperlink r:id="rId421" ref="K490"/>
    <hyperlink r:id="rId422" ref="K491"/>
    <hyperlink r:id="rId423" ref="K492"/>
    <hyperlink r:id="rId424" ref="K493"/>
    <hyperlink r:id="rId425" ref="K494"/>
    <hyperlink r:id="rId426" ref="K496"/>
    <hyperlink r:id="rId427" ref="K497"/>
    <hyperlink r:id="rId428" ref="K498"/>
    <hyperlink r:id="rId429" ref="K500"/>
    <hyperlink r:id="rId430" ref="K501"/>
    <hyperlink r:id="rId431" ref="K502"/>
    <hyperlink r:id="rId432" ref="K503"/>
    <hyperlink r:id="rId433" ref="K504"/>
    <hyperlink r:id="rId434" ref="K505"/>
    <hyperlink r:id="rId435" ref="K506"/>
    <hyperlink r:id="rId436" ref="K507"/>
    <hyperlink r:id="rId437" ref="K508"/>
    <hyperlink r:id="rId438" ref="K509"/>
    <hyperlink r:id="rId439" ref="K510"/>
    <hyperlink r:id="rId440" ref="K511"/>
    <hyperlink r:id="rId441" ref="K512"/>
    <hyperlink r:id="rId442" ref="K513"/>
    <hyperlink r:id="rId443" ref="K514"/>
    <hyperlink r:id="rId444" ref="K515"/>
    <hyperlink r:id="rId445" ref="K516"/>
    <hyperlink r:id="rId446" ref="K518"/>
    <hyperlink r:id="rId447" ref="K520"/>
    <hyperlink r:id="rId448" ref="K521"/>
    <hyperlink r:id="rId449" ref="K522"/>
    <hyperlink r:id="rId450" ref="K523"/>
    <hyperlink r:id="rId451" ref="K524"/>
    <hyperlink r:id="rId452" ref="K525"/>
    <hyperlink r:id="rId453" ref="K526"/>
    <hyperlink r:id="rId454" location="vhid=rKAph7mQY51eKM&amp;vssid=mosaic" ref="K527"/>
    <hyperlink r:id="rId455" ref="K528"/>
    <hyperlink r:id="rId456" ref="K530"/>
    <hyperlink r:id="rId457" ref="K531"/>
    <hyperlink r:id="rId458" ref="K532"/>
    <hyperlink r:id="rId459" ref="K533"/>
    <hyperlink r:id="rId460" ref="K534"/>
    <hyperlink r:id="rId461" ref="K535"/>
    <hyperlink r:id="rId462" ref="K536"/>
    <hyperlink r:id="rId463" ref="K537"/>
    <hyperlink r:id="rId464" ref="K538"/>
    <hyperlink r:id="rId465" ref="K539"/>
    <hyperlink r:id="rId466" ref="K541"/>
    <hyperlink r:id="rId467" ref="K545"/>
    <hyperlink r:id="rId468" ref="K546"/>
    <hyperlink r:id="rId469" ref="K549"/>
    <hyperlink r:id="rId470" ref="K550"/>
    <hyperlink r:id="rId471" ref="K551"/>
    <hyperlink r:id="rId472" ref="K552"/>
    <hyperlink r:id="rId473" ref="K553"/>
    <hyperlink r:id="rId474" ref="K554"/>
    <hyperlink r:id="rId475" ref="K555"/>
    <hyperlink r:id="rId476" ref="K556"/>
    <hyperlink r:id="rId477" ref="K557"/>
    <hyperlink r:id="rId478" ref="K558"/>
    <hyperlink r:id="rId479" ref="K559"/>
    <hyperlink r:id="rId480" ref="K560"/>
    <hyperlink r:id="rId481" ref="K561"/>
    <hyperlink r:id="rId482" ref="K563"/>
    <hyperlink r:id="rId483" ref="L563"/>
    <hyperlink r:id="rId484" ref="K565"/>
    <hyperlink r:id="rId485" ref="K566"/>
    <hyperlink r:id="rId486" ref="K567"/>
    <hyperlink r:id="rId487" ref="K568"/>
    <hyperlink r:id="rId488" ref="K569"/>
    <hyperlink r:id="rId489" ref="K570"/>
    <hyperlink r:id="rId490" ref="K571"/>
    <hyperlink r:id="rId491" ref="K572"/>
    <hyperlink r:id="rId492" ref="K573"/>
    <hyperlink r:id="rId493" ref="K576"/>
    <hyperlink r:id="rId494" ref="K577"/>
    <hyperlink r:id="rId495" ref="K578"/>
    <hyperlink r:id="rId496" ref="K579"/>
    <hyperlink r:id="rId497" ref="K580"/>
    <hyperlink r:id="rId498" ref="K581"/>
    <hyperlink r:id="rId499" ref="K582"/>
    <hyperlink r:id="rId500" ref="K583"/>
    <hyperlink r:id="rId501" ref="K584"/>
    <hyperlink r:id="rId502" ref="K585"/>
    <hyperlink r:id="rId503" ref="K586"/>
    <hyperlink r:id="rId504" ref="K587"/>
    <hyperlink r:id="rId505" ref="K588"/>
    <hyperlink r:id="rId506" ref="K589"/>
    <hyperlink r:id="rId507" ref="K590"/>
    <hyperlink r:id="rId508" ref="K591"/>
    <hyperlink r:id="rId509" ref="K592"/>
    <hyperlink r:id="rId510" ref="K593"/>
    <hyperlink r:id="rId511" ref="K595"/>
    <hyperlink r:id="rId512" ref="K598"/>
    <hyperlink r:id="rId513" ref="K599"/>
    <hyperlink r:id="rId514" ref="K600"/>
    <hyperlink r:id="rId515" ref="K601"/>
    <hyperlink r:id="rId516" ref="K602"/>
    <hyperlink r:id="rId517" ref="K603"/>
    <hyperlink r:id="rId518" ref="K604"/>
    <hyperlink r:id="rId519" ref="K605"/>
    <hyperlink r:id="rId520" ref="K606"/>
    <hyperlink r:id="rId521" ref="K609"/>
    <hyperlink r:id="rId522" ref="K610"/>
    <hyperlink r:id="rId523" ref="K611"/>
    <hyperlink r:id="rId524" ref="K612"/>
    <hyperlink r:id="rId525" ref="K613"/>
    <hyperlink r:id="rId526" ref="K615"/>
    <hyperlink r:id="rId527" ref="K616"/>
    <hyperlink r:id="rId528" ref="K617"/>
    <hyperlink r:id="rId529" ref="K618"/>
    <hyperlink r:id="rId530" ref="K619"/>
    <hyperlink r:id="rId531" ref="K620"/>
    <hyperlink r:id="rId532" ref="K621"/>
    <hyperlink r:id="rId533" ref="K622"/>
    <hyperlink r:id="rId534" ref="K625"/>
    <hyperlink r:id="rId535" ref="K626"/>
    <hyperlink r:id="rId536" ref="K627"/>
    <hyperlink r:id="rId537" ref="K628"/>
    <hyperlink r:id="rId538" ref="K646"/>
    <hyperlink r:id="rId539" ref="K647"/>
    <hyperlink r:id="rId540" ref="K648"/>
    <hyperlink r:id="rId541" ref="K655"/>
    <hyperlink r:id="rId542" ref="K656"/>
    <hyperlink r:id="rId543" ref="K657"/>
    <hyperlink r:id="rId544" ref="K658"/>
    <hyperlink r:id="rId545" ref="K659"/>
    <hyperlink r:id="rId546" ref="L659"/>
    <hyperlink r:id="rId547" ref="K660"/>
    <hyperlink r:id="rId548" ref="K661"/>
    <hyperlink r:id="rId549" ref="K662"/>
    <hyperlink r:id="rId550" ref="K663"/>
    <hyperlink r:id="rId551" ref="K664"/>
    <hyperlink r:id="rId552" ref="K665"/>
    <hyperlink r:id="rId553" ref="K666"/>
    <hyperlink r:id="rId554" ref="K667"/>
    <hyperlink r:id="rId555" ref="K668"/>
    <hyperlink r:id="rId556" ref="K670"/>
    <hyperlink r:id="rId557" ref="K672"/>
    <hyperlink r:id="rId558" ref="K673"/>
    <hyperlink r:id="rId559" ref="K674"/>
    <hyperlink r:id="rId560" ref="K675"/>
    <hyperlink r:id="rId561" ref="K676"/>
    <hyperlink r:id="rId562" ref="K677"/>
    <hyperlink r:id="rId563" ref="K678"/>
    <hyperlink r:id="rId564" ref="K679"/>
    <hyperlink r:id="rId565" ref="K680"/>
    <hyperlink r:id="rId566" ref="K681"/>
    <hyperlink r:id="rId567" ref="K682"/>
    <hyperlink r:id="rId568" ref="L682"/>
    <hyperlink r:id="rId569" ref="K683"/>
    <hyperlink r:id="rId570" ref="K684"/>
    <hyperlink r:id="rId571" ref="K685"/>
    <hyperlink r:id="rId572" ref="K686"/>
    <hyperlink r:id="rId573" ref="K687"/>
    <hyperlink r:id="rId574" ref="K688"/>
    <hyperlink r:id="rId575" ref="K689"/>
    <hyperlink r:id="rId576" ref="K690"/>
    <hyperlink r:id="rId577" ref="K692"/>
    <hyperlink r:id="rId578" ref="K693"/>
    <hyperlink r:id="rId579" ref="K694"/>
    <hyperlink r:id="rId580" ref="K695"/>
    <hyperlink r:id="rId581" ref="K696"/>
    <hyperlink r:id="rId582" ref="K697"/>
    <hyperlink r:id="rId583" ref="K699"/>
    <hyperlink r:id="rId584" ref="K700"/>
    <hyperlink r:id="rId585" ref="K701"/>
    <hyperlink r:id="rId586" ref="K702"/>
    <hyperlink r:id="rId587" ref="K703"/>
    <hyperlink r:id="rId588" ref="K704"/>
    <hyperlink r:id="rId589" ref="K706"/>
    <hyperlink r:id="rId590" ref="K707"/>
    <hyperlink r:id="rId591" ref="K708"/>
    <hyperlink r:id="rId592" ref="K709"/>
    <hyperlink r:id="rId593" ref="K710"/>
    <hyperlink r:id="rId594" ref="K711"/>
    <hyperlink r:id="rId595" ref="K712"/>
    <hyperlink r:id="rId596" ref="K713"/>
    <hyperlink r:id="rId597" ref="K714"/>
    <hyperlink r:id="rId598" ref="K715"/>
    <hyperlink r:id="rId599" ref="K716"/>
    <hyperlink r:id="rId600" ref="K717"/>
    <hyperlink r:id="rId601" ref="K718"/>
    <hyperlink r:id="rId602" ref="K719"/>
    <hyperlink r:id="rId603" ref="K720"/>
    <hyperlink r:id="rId604" ref="K721"/>
    <hyperlink r:id="rId605" ref="K722"/>
    <hyperlink r:id="rId606" ref="K723"/>
    <hyperlink r:id="rId607" ref="K724"/>
    <hyperlink r:id="rId608" ref="K725"/>
    <hyperlink r:id="rId609" ref="K726"/>
    <hyperlink r:id="rId610" ref="K727"/>
    <hyperlink r:id="rId611" ref="K729"/>
    <hyperlink r:id="rId612" ref="K730"/>
    <hyperlink r:id="rId613" ref="K731"/>
    <hyperlink r:id="rId614" ref="K732"/>
    <hyperlink r:id="rId615" ref="K733"/>
    <hyperlink r:id="rId616" ref="K736"/>
    <hyperlink r:id="rId617" ref="K740"/>
    <hyperlink r:id="rId618" ref="K741"/>
    <hyperlink r:id="rId619" ref="K742"/>
    <hyperlink r:id="rId620" ref="K743"/>
    <hyperlink r:id="rId621" ref="K744"/>
    <hyperlink r:id="rId622" ref="K745"/>
    <hyperlink r:id="rId623" ref="K746"/>
    <hyperlink r:id="rId624" ref="K747"/>
    <hyperlink r:id="rId625" ref="K748"/>
    <hyperlink r:id="rId626" ref="K749"/>
    <hyperlink r:id="rId627" ref="K750"/>
    <hyperlink r:id="rId628" ref="K751"/>
    <hyperlink r:id="rId629" ref="K752"/>
    <hyperlink r:id="rId630" ref="K753"/>
    <hyperlink r:id="rId631" ref="K754"/>
    <hyperlink r:id="rId632" ref="K755"/>
    <hyperlink r:id="rId633" ref="K756"/>
    <hyperlink r:id="rId634" ref="K757"/>
    <hyperlink r:id="rId635" ref="K758"/>
    <hyperlink r:id="rId636" ref="K759"/>
    <hyperlink r:id="rId637" ref="K760"/>
    <hyperlink r:id="rId638" ref="K761"/>
    <hyperlink r:id="rId639" ref="K762"/>
    <hyperlink r:id="rId640" ref="K763"/>
    <hyperlink r:id="rId641" ref="K765"/>
    <hyperlink r:id="rId642" ref="K766"/>
    <hyperlink r:id="rId643" ref="K767"/>
    <hyperlink r:id="rId644" ref="K768"/>
    <hyperlink r:id="rId645" ref="K769"/>
    <hyperlink r:id="rId646" ref="K770"/>
    <hyperlink r:id="rId647" ref="K771"/>
    <hyperlink r:id="rId648" ref="K772"/>
    <hyperlink r:id="rId649" ref="K773"/>
    <hyperlink r:id="rId650" ref="K774"/>
    <hyperlink r:id="rId651" ref="K775"/>
    <hyperlink r:id="rId652" ref="K776"/>
    <hyperlink r:id="rId653" ref="K777"/>
    <hyperlink r:id="rId654" ref="K780"/>
    <hyperlink r:id="rId655" ref="K781"/>
    <hyperlink r:id="rId656" ref="K782"/>
    <hyperlink r:id="rId657" ref="K783"/>
    <hyperlink r:id="rId658" ref="K784"/>
    <hyperlink r:id="rId659" ref="K785"/>
    <hyperlink r:id="rId660" ref="K786"/>
    <hyperlink r:id="rId661" ref="K802"/>
    <hyperlink r:id="rId662" ref="K803"/>
    <hyperlink r:id="rId663" ref="K804"/>
    <hyperlink r:id="rId664" ref="K805"/>
    <hyperlink r:id="rId665" ref="K806"/>
    <hyperlink r:id="rId666" ref="K807"/>
    <hyperlink r:id="rId667" ref="K808"/>
    <hyperlink r:id="rId668" ref="K809"/>
    <hyperlink r:id="rId669" ref="K810"/>
    <hyperlink r:id="rId670" ref="K811"/>
    <hyperlink r:id="rId671" ref="K812"/>
    <hyperlink r:id="rId672" ref="K813"/>
    <hyperlink r:id="rId673" ref="K814"/>
    <hyperlink r:id="rId674" ref="K815"/>
    <hyperlink r:id="rId675" ref="K816"/>
    <hyperlink r:id="rId676" ref="K817"/>
    <hyperlink r:id="rId677" ref="K818"/>
    <hyperlink r:id="rId678" ref="K819"/>
    <hyperlink r:id="rId679" ref="K821"/>
    <hyperlink r:id="rId680" ref="K822"/>
    <hyperlink r:id="rId681" ref="K823"/>
    <hyperlink r:id="rId682" ref="K824"/>
    <hyperlink r:id="rId683" ref="K825"/>
    <hyperlink r:id="rId684" ref="K826"/>
    <hyperlink r:id="rId685" ref="K827"/>
    <hyperlink r:id="rId686" ref="K828"/>
    <hyperlink r:id="rId687" ref="K829"/>
    <hyperlink r:id="rId688" ref="K830"/>
    <hyperlink r:id="rId689" ref="K831"/>
    <hyperlink r:id="rId690" ref="K832"/>
    <hyperlink r:id="rId691" ref="K833"/>
    <hyperlink r:id="rId692" ref="K834"/>
    <hyperlink r:id="rId693" ref="K835"/>
    <hyperlink r:id="rId694" ref="K836"/>
    <hyperlink r:id="rId695" ref="K837"/>
    <hyperlink r:id="rId696" ref="K838"/>
    <hyperlink r:id="rId697" ref="K839"/>
    <hyperlink r:id="rId698" ref="K841"/>
    <hyperlink r:id="rId699" ref="K842"/>
    <hyperlink r:id="rId700" ref="K843"/>
    <hyperlink r:id="rId701" ref="K844"/>
    <hyperlink r:id="rId702" ref="K845"/>
    <hyperlink r:id="rId703" ref="K846"/>
    <hyperlink r:id="rId704" ref="K847"/>
    <hyperlink r:id="rId705" ref="K848"/>
    <hyperlink r:id="rId706" ref="K849"/>
    <hyperlink r:id="rId707" ref="K850"/>
    <hyperlink r:id="rId708" ref="K851"/>
    <hyperlink r:id="rId709" ref="K852"/>
    <hyperlink r:id="rId710" ref="K856"/>
    <hyperlink r:id="rId711" ref="K857"/>
    <hyperlink r:id="rId712" ref="K858"/>
    <hyperlink r:id="rId713" ref="K859"/>
    <hyperlink r:id="rId714" ref="K860"/>
    <hyperlink r:id="rId715" ref="K861"/>
    <hyperlink r:id="rId716" ref="K862"/>
    <hyperlink r:id="rId717" ref="K864"/>
    <hyperlink r:id="rId718" ref="K865"/>
    <hyperlink r:id="rId719" ref="K866"/>
    <hyperlink r:id="rId720" ref="K867"/>
    <hyperlink r:id="rId721" ref="K868"/>
    <hyperlink r:id="rId722" ref="K869"/>
    <hyperlink r:id="rId723" ref="K870"/>
    <hyperlink r:id="rId724" ref="K871"/>
    <hyperlink r:id="rId725" ref="K872"/>
    <hyperlink r:id="rId726" ref="K873"/>
    <hyperlink r:id="rId727" ref="K874"/>
    <hyperlink r:id="rId728" ref="K875"/>
    <hyperlink r:id="rId729" ref="K876"/>
    <hyperlink r:id="rId730" ref="K877"/>
  </hyperlinks>
  <drawing r:id="rId7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4.88"/>
    <col customWidth="1" min="3" max="3" width="14.0"/>
    <col customWidth="1" min="4" max="4" width="9.88"/>
    <col customWidth="1" min="5" max="5" width="19.0"/>
    <col customWidth="1" min="6" max="6" width="3.75"/>
    <col customWidth="1" min="7" max="7" width="4.63"/>
    <col customWidth="1" min="8" max="8" width="17.88"/>
    <col customWidth="1" min="9" max="9" width="4.75"/>
    <col customWidth="1" min="10" max="10" width="17.63"/>
    <col customWidth="1" min="11" max="11" width="7.75"/>
    <col customWidth="1" min="12" max="12" width="11.88"/>
    <col customWidth="1" min="13" max="13" width="17.63"/>
    <col customWidth="1" min="14" max="14" width="7.75"/>
    <col customWidth="1" min="15" max="15" width="11.88"/>
  </cols>
  <sheetData>
    <row r="1">
      <c r="A1" s="1" t="s">
        <v>0</v>
      </c>
      <c r="B1" s="1" t="s">
        <v>1</v>
      </c>
      <c r="C1" s="1" t="s">
        <v>3</v>
      </c>
      <c r="D1" s="1" t="s">
        <v>4</v>
      </c>
      <c r="E1" s="1" t="s">
        <v>14</v>
      </c>
      <c r="F1" s="1" t="s">
        <v>6</v>
      </c>
      <c r="G1" s="1" t="s">
        <v>7</v>
      </c>
      <c r="H1" s="1" t="s">
        <v>16</v>
      </c>
      <c r="I1" s="1" t="s">
        <v>8</v>
      </c>
      <c r="J1" s="1" t="s">
        <v>10</v>
      </c>
      <c r="K1" s="1" t="s">
        <v>11</v>
      </c>
      <c r="L1" s="1" t="s">
        <v>12</v>
      </c>
      <c r="M1" s="1"/>
      <c r="N1" s="1"/>
      <c r="O1" s="1"/>
      <c r="P1" s="2"/>
      <c r="Q1" s="2"/>
      <c r="R1" s="2"/>
      <c r="S1" s="2"/>
      <c r="T1" s="2"/>
      <c r="U1" s="2"/>
      <c r="V1" s="2"/>
      <c r="W1" s="2"/>
      <c r="X1" s="2"/>
      <c r="Y1" s="2"/>
      <c r="Z1" s="2"/>
    </row>
    <row r="2">
      <c r="A2" s="4">
        <f>IFERROR(__xludf.DUMMYFUNCTION("if(isna(QUERY({IMPORTRANGE(""1cQjqA9e_ROK_DL6lhwLlY--XdPO9xNC43VbfdVxxWsE"",""Jasa!B2:M"");IMPORTRANGE(""1z0nfI7RRQosYkqwM9LryCqReZEv89IqX7saa3TwWdVc"",""Jasa!B2:M"");IMPORTRANGE(""1YudYBN9S2lChWfS_pkwKtR9lFC12LcgIj6RggVc2iFo"", ""Jasa!B2:M""); IMPORTRANG"&amp;"E(""1eINJ6HsAv5BvWrtwtk13CXExduMoD_WkrMSKy3LJlCM"", ""Jasa!B2:M"");importrange(""1OeurbDSDkvtHP1YfNsN7uf9Bh_zQ0fKnU6JJvS-fUmk"",""Jasa!B2:M"");importrange(""1o_G3OiybOBm1PhEKlTlMmcfRpd7w0N2lsKOv_Q-iB_c"",""Jasa!B2:M"");importrange(""1EHW0nnlfros-DP7FeVO8w"&amp;"dSGjz_E0M22VyvMVuQAb4Y"",""Jasa!B2:M"");importrange(""1NvtqqkLL5FCQ2wJLsbulp8Yl05UgqaMnYHMx6xAbRuM"",""Jasa!B2:M"");importrange(""1lLIK3NQUx_vn2Or3MY4mnuTooWiDsfTuxQZJcuiZ_PU"",""Jasa!B2:M"");importrange(""18DIWpGrQi5sH3iEsnKXxiVF3WHvl5gqUy2R8lI2oPnk"","""&amp;"Jasa!B2:M"");importrange(""1JYjxtMhJvmfzKBh16HDiTo1lpJaIJdusWLOMRTcWyG8"",""Jasa!B2:M"");importrange(""1pWfC8L9aOX-jH40t_eDbTYyag0jSXu2kttrNRmUoGyg"",""Jasa!B2:M"");importrange(""1R9Rwojmbt4YrHUeqVzIgXbY7DagAvEb1-RzGUjJpMV8"",""Jasa!B2:M"");importrange("""&amp;"1J4sZpKQpEWWldTKvmaqG1RUM6HH3juujFam5dK-MJ2I"",""Jasa!B2:M"");importrange(""1E4F_drOMHfl9nmGdjuVVKsBj4LihHj_ug7mzoCiv_yw"",""Jasa!B2:M"");importrange(""1nCi_wyNHV1dHm6H1xxgptdUxG-Va9z6VEv44geRfT3s"",""Jasa!B2:M"")}, ""SELECT * WHERE Col1 IS NOT NULL ORDER"&amp;" BY Col1 ASC"")),"""",QUERY({IMPORTRANGE(""1cQjqA9e_ROK_DL6lhwLlY--XdPO9xNC43VbfdVxxWsE"",""Jasa!B2:M"");IMPORTRANGE(""1z0nfI7RRQosYkqwM9LryCqReZEv89IqX7saa3TwWdVc"",""Jasa!B2:M"");IMPORTRANGE(""1YudYBN9S2lChWfS_pkwKtR9lFC12LcgIj6RggVc2iFo"", ""Jasa!B2:M"&amp;"""); IMPORTRANGE(""1eINJ6HsAv5BvWrtwtk13CXExduMoD_WkrMSKy3LJlCM"", ""Jasa!B2:M"");importrange(""1OeurbDSDkvtHP1YfNsN7uf9Bh_zQ0fKnU6JJvS-fUmk"",""Jasa!B2:M"");importrange(""1o_G3OiybOBm1PhEKlTlMmcfRpd7w0N2lsKOv_Q-iB_c"",""Jasa!B2:M"");importrange(""1EHW0nn"&amp;"lfros-DP7FeVO8wdSGjz_E0M22VyvMVuQAb4Y"",""Jasa!B2:M"");importrange(""1NvtqqkLL5FCQ2wJLsbulp8Yl05UgqaMnYHMx6xAbRuM"",""Jasa!B2:M"");importrange(""1lLIK3NQUx_vn2Or3MY4mnuTooWiDsfTuxQZJcuiZ_PU"",""Jasa!B2:M"");importrange(""18DIWpGrQi5sH3iEsnKXxiVF3WHvl5gqUy"&amp;"2R8lI2oPnk"",""Jasa!B2:M"");importrange(""1JYjxtMhJvmfzKBh16HDiTo1lpJaIJdusWLOMRTcWyG8"",""Jasa!B2:M"");importrange(""1pWfC8L9aOX-jH40t_eDbTYyag0jSXu2kttrNRmUoGyg"",""Jasa!B2:M"");importrange(""1R9Rwojmbt4YrHUeqVzIgXbY7DagAvEb1-RzGUjJpMV8"",""Jasa!B2:M"")"&amp;";importrange(""1J4sZpKQpEWWldTKvmaqG1RUM6HH3juujFam5dK-MJ2I"",""Jasa!B2:M"");importrange(""1E4F_drOMHfl9nmGdjuVVKsBj4LihHj_ug7mzoCiv_yw"",""Jasa!B2:M"");importrange(""1nCi_wyNHV1dHm6H1xxgptdUxG-Va9z6VEv44geRfT3s"",""Jasa!B2:M"")}, ""SELECT * WHERE Col1 IS"&amp;" NOT NULL ORDER BY Col1 ASC""))"),45691.67471396991)</f>
        <v>45691.67471</v>
      </c>
      <c r="B2" s="3" t="str">
        <f>IFERROR(__xludf.DUMMYFUNCTION("""COMPUTED_VALUE"""),"MRNJA0001")</f>
        <v>MRNJA0001</v>
      </c>
      <c r="C2" s="3" t="str">
        <f>IFERROR(__xludf.DUMMYFUNCTION("""COMPUTED_VALUE"""),"EJO/2025/02/01")</f>
        <v>EJO/2025/02/01</v>
      </c>
      <c r="D2" s="3" t="str">
        <f>IFERROR(__xludf.DUMMYFUNCTION("""COMPUTED_VALUE"""),"toilet engineering")</f>
        <v>toilet engineering</v>
      </c>
      <c r="E2" s="3" t="str">
        <f>IFERROR(__xludf.DUMMYFUNCTION("""COMPUTED_VALUE"""),"Ada rembesan di mezzanine dibawah toilet jongkok eng")</f>
        <v>Ada rembesan di mezzanine dibawah toilet jongkok eng</v>
      </c>
      <c r="F2" s="3">
        <f>IFERROR(__xludf.DUMMYFUNCTION("""COMPUTED_VALUE"""),1.0)</f>
        <v>1</v>
      </c>
      <c r="G2" s="3" t="str">
        <f>IFERROR(__xludf.DUMMYFUNCTION("""COMPUTED_VALUE"""),"unit")</f>
        <v>unit</v>
      </c>
      <c r="H2" s="5" t="str">
        <f>IFERROR(__xludf.DUMMYFUNCTION("""COMPUTED_VALUE"""),"https://drive.google.com/file/d/1wIF5uYg_ikBSnjz3RrtfzdQgxrxJIxrJ/view?usp=drive_link")</f>
        <v>https://drive.google.com/file/d/1wIF5uYg_ikBSnjz3RrtfzdQgxrxJIxrJ/view?usp=drive_link</v>
      </c>
      <c r="I2" s="3" t="str">
        <f>IFERROR(__xludf.DUMMYFUNCTION("""COMPUTED_VALUE"""),"penawaran wira karya")</f>
        <v>penawaran wira karya</v>
      </c>
      <c r="J2" s="3" t="str">
        <f>IFERROR(__xludf.DUMMYFUNCTION("""COMPUTED_VALUE"""),"Reject")</f>
        <v>Reject</v>
      </c>
      <c r="K2" s="3" t="str">
        <f>IFERROR(__xludf.DUMMYFUNCTION("""COMPUTED_VALUE"""),"Normal")</f>
        <v>Normal</v>
      </c>
      <c r="L2" s="3" t="str">
        <f>IFERROR(__xludf.DUMMYFUNCTION("""COMPUTED_VALUE"""),"Non Urgent")</f>
        <v>Non Urgent</v>
      </c>
    </row>
    <row r="3">
      <c r="A3" s="4">
        <f>IFERROR(__xludf.DUMMYFUNCTION("""COMPUTED_VALUE"""),45691.67735269676)</f>
        <v>45691.67735</v>
      </c>
      <c r="B3" s="3" t="str">
        <f>IFERROR(__xludf.DUMMYFUNCTION("""COMPUTED_VALUE"""),"MRNJA0002")</f>
        <v>MRNJA0002</v>
      </c>
      <c r="C3" s="3" t="str">
        <f>IFERROR(__xludf.DUMMYFUNCTION("""COMPUTED_VALUE"""),"EJO/2024/11/72")</f>
        <v>EJO/2024/11/72</v>
      </c>
      <c r="D3" s="3" t="str">
        <f>IFERROR(__xludf.DUMMYFUNCTION("""COMPUTED_VALUE"""),"toilet wanita")</f>
        <v>toilet wanita</v>
      </c>
      <c r="E3" s="3" t="str">
        <f>IFERROR(__xludf.DUMMYFUNCTION("""COMPUTED_VALUE"""),"Shower Bocor toilet pria processing")</f>
        <v>Shower Bocor toilet pria processing</v>
      </c>
      <c r="F3" s="3">
        <f>IFERROR(__xludf.DUMMYFUNCTION("""COMPUTED_VALUE"""),1.0)</f>
        <v>1</v>
      </c>
      <c r="G3" s="3" t="str">
        <f>IFERROR(__xludf.DUMMYFUNCTION("""COMPUTED_VALUE"""),"unit")</f>
        <v>unit</v>
      </c>
      <c r="H3" s="5" t="str">
        <f>IFERROR(__xludf.DUMMYFUNCTION("""COMPUTED_VALUE"""),"https://drive.google.com/file/d/1wIF5uYg_ikBSnjz3RrtfzdQgxrxJIxrJ/view?usp=drive_link")</f>
        <v>https://drive.google.com/file/d/1wIF5uYg_ikBSnjz3RrtfzdQgxrxJIxrJ/view?usp=drive_link</v>
      </c>
      <c r="I3" s="3" t="str">
        <f>IFERROR(__xludf.DUMMYFUNCTION("""COMPUTED_VALUE"""),"penawaran wira karya")</f>
        <v>penawaran wira karya</v>
      </c>
      <c r="J3" s="3" t="str">
        <f>IFERROR(__xludf.DUMMYFUNCTION("""COMPUTED_VALUE"""),"Reject")</f>
        <v>Reject</v>
      </c>
      <c r="K3" s="3" t="str">
        <f>IFERROR(__xludf.DUMMYFUNCTION("""COMPUTED_VALUE"""),"Normal")</f>
        <v>Normal</v>
      </c>
      <c r="L3" s="3" t="str">
        <f>IFERROR(__xludf.DUMMYFUNCTION("""COMPUTED_VALUE"""),"Non Urgent")</f>
        <v>Non Urgent</v>
      </c>
    </row>
    <row r="4">
      <c r="A4" s="4">
        <f>IFERROR(__xludf.DUMMYFUNCTION("""COMPUTED_VALUE"""),45698.64258170139)</f>
        <v>45698.64258</v>
      </c>
      <c r="B4" s="3" t="str">
        <f>IFERROR(__xludf.DUMMYFUNCTION("""COMPUTED_VALUE"""),"SFHJA0001")</f>
        <v>SFHJA0001</v>
      </c>
      <c r="C4" s="3" t="str">
        <f>IFERROR(__xludf.DUMMYFUNCTION("""COMPUTED_VALUE"""),"EJO/2025/01/13")</f>
        <v>EJO/2025/01/13</v>
      </c>
      <c r="D4" s="3" t="str">
        <f>IFERROR(__xludf.DUMMYFUNCTION("""COMPUTED_VALUE"""),"AHU ruang fresh air")</f>
        <v>AHU ruang fresh air</v>
      </c>
      <c r="E4" s="3" t="str">
        <f>IFERROR(__xludf.DUMMYFUNCTION("""COMPUTED_VALUE"""),"pemasangan mesh protector")</f>
        <v>pemasangan mesh protector</v>
      </c>
      <c r="F4" s="3">
        <f>IFERROR(__xludf.DUMMYFUNCTION("""COMPUTED_VALUE"""),1.0)</f>
        <v>1</v>
      </c>
      <c r="G4" s="3" t="str">
        <f>IFERROR(__xludf.DUMMYFUNCTION("""COMPUTED_VALUE"""),"Lot")</f>
        <v>Lot</v>
      </c>
      <c r="H4" s="3" t="str">
        <f>IFERROR(__xludf.DUMMYFUNCTION("""COMPUTED_VALUE"""),"135. Ganti Mesh Protector Ruang Fresh Air.pdf")</f>
        <v>135. Ganti Mesh Protector Ruang Fresh Air.pdf</v>
      </c>
      <c r="I4" s="3" t="str">
        <f>IFERROR(__xludf.DUMMYFUNCTION("""COMPUTED_VALUE"""),"-")</f>
        <v>-</v>
      </c>
      <c r="J4" s="3" t="str">
        <f>IFERROR(__xludf.DUMMYFUNCTION("""COMPUTED_VALUE"""),"Approve")</f>
        <v>Approve</v>
      </c>
      <c r="K4" s="3" t="str">
        <f>IFERROR(__xludf.DUMMYFUNCTION("""COMPUTED_VALUE"""),"Normal")</f>
        <v>Normal</v>
      </c>
      <c r="L4" s="3" t="str">
        <f>IFERROR(__xludf.DUMMYFUNCTION("""COMPUTED_VALUE"""),"Non Urgent")</f>
        <v>Non Urgent</v>
      </c>
    </row>
    <row r="5">
      <c r="A5" s="4">
        <f>IFERROR(__xludf.DUMMYFUNCTION("""COMPUTED_VALUE"""),45707.39772519676)</f>
        <v>45707.39773</v>
      </c>
      <c r="B5" s="3" t="str">
        <f>IFERROR(__xludf.DUMMYFUNCTION("""COMPUTED_VALUE"""),"SFHJA0002")</f>
        <v>SFHJA0002</v>
      </c>
      <c r="C5" s="3" t="str">
        <f>IFERROR(__xludf.DUMMYFUNCTION("""COMPUTED_VALUE"""),"EJO/2025/02/131")</f>
        <v>EJO/2025/02/131</v>
      </c>
      <c r="D5" s="3" t="str">
        <f>IFERROR(__xludf.DUMMYFUNCTION("""COMPUTED_VALUE"""),"WICC FGRM")</f>
        <v>WICC FGRM</v>
      </c>
      <c r="E5" s="3" t="str">
        <f>IFERROR(__xludf.DUMMYFUNCTION("""COMPUTED_VALUE"""),"pembuatan PLAT SS buat di sensor FGRM")</f>
        <v>pembuatan PLAT SS buat di sensor FGRM</v>
      </c>
      <c r="F5" s="3">
        <f>IFERROR(__xludf.DUMMYFUNCTION("""COMPUTED_VALUE"""),16.0)</f>
        <v>16</v>
      </c>
      <c r="G5" s="3" t="str">
        <f>IFERROR(__xludf.DUMMYFUNCTION("""COMPUTED_VALUE"""),"pcs")</f>
        <v>pcs</v>
      </c>
      <c r="H5" s="3" t="str">
        <f>IFERROR(__xludf.DUMMYFUNCTION("""COMPUTED_VALUE"""),"138. Pembuatan plat nama.pdf")</f>
        <v>138. Pembuatan plat nama.pdf</v>
      </c>
      <c r="I5" s="3" t="str">
        <f>IFERROR(__xludf.DUMMYFUNCTION("""COMPUTED_VALUE"""),"-")</f>
        <v>-</v>
      </c>
      <c r="J5" s="3" t="str">
        <f>IFERROR(__xludf.DUMMYFUNCTION("""COMPUTED_VALUE"""),"Approve")</f>
        <v>Approve</v>
      </c>
      <c r="K5" s="3" t="str">
        <f>IFERROR(__xludf.DUMMYFUNCTION("""COMPUTED_VALUE"""),"Urgent")</f>
        <v>Urgent</v>
      </c>
      <c r="L5" s="3" t="str">
        <f>IFERROR(__xludf.DUMMYFUNCTION("""COMPUTED_VALUE"""),"Reject")</f>
        <v>Reject</v>
      </c>
    </row>
    <row r="6">
      <c r="A6" s="4">
        <f>IFERROR(__xludf.DUMMYFUNCTION("""COMPUTED_VALUE"""),45711.723965405086)</f>
        <v>45711.72397</v>
      </c>
      <c r="B6" s="3" t="str">
        <f>IFERROR(__xludf.DUMMYFUNCTION("""COMPUTED_VALUE"""),"MRNJA0003")</f>
        <v>MRNJA0003</v>
      </c>
      <c r="C6" s="3" t="str">
        <f>IFERROR(__xludf.DUMMYFUNCTION("""COMPUTED_VALUE"""),"EJO/2024/12/153")</f>
        <v>EJO/2024/12/153</v>
      </c>
      <c r="D6" s="3" t="str">
        <f>IFERROR(__xludf.DUMMYFUNCTION("""COMPUTED_VALUE"""),"WWTP")</f>
        <v>WWTP</v>
      </c>
      <c r="E6" s="3" t="str">
        <f>IFERROR(__xludf.DUMMYFUNCTION("""COMPUTED_VALUE"""),"Pompa untuk transfer NAOCL")</f>
        <v>Pompa untuk transfer NAOCL</v>
      </c>
      <c r="F6" s="3">
        <f>IFERROR(__xludf.DUMMYFUNCTION("""COMPUTED_VALUE"""),1.0)</f>
        <v>1</v>
      </c>
      <c r="G6" s="3" t="str">
        <f>IFERROR(__xludf.DUMMYFUNCTION("""COMPUTED_VALUE"""),"unit")</f>
        <v>unit</v>
      </c>
      <c r="H6" s="5" t="str">
        <f>IFERROR(__xludf.DUMMYFUNCTION("""COMPUTED_VALUE"""),"https://drive.google.com/file/d/1GnfQFhJYJjSVRaCiKynCvKYvQx7efO1F/view?usp=drive_link")</f>
        <v>https://drive.google.com/file/d/1GnfQFhJYJjSVRaCiKynCvKYvQx7efO1F/view?usp=drive_link</v>
      </c>
      <c r="I6" s="3" t="str">
        <f>IFERROR(__xludf.DUMMYFUNCTION("""COMPUTED_VALUE"""),"Penawaran perbaikan pompa flux")</f>
        <v>Penawaran perbaikan pompa flux</v>
      </c>
      <c r="J6" s="3" t="str">
        <f>IFERROR(__xludf.DUMMYFUNCTION("""COMPUTED_VALUE"""),"Reject")</f>
        <v>Reject</v>
      </c>
      <c r="K6" s="3" t="str">
        <f>IFERROR(__xludf.DUMMYFUNCTION("""COMPUTED_VALUE"""),"Normal")</f>
        <v>Normal</v>
      </c>
      <c r="L6" s="3" t="str">
        <f>IFERROR(__xludf.DUMMYFUNCTION("""COMPUTED_VALUE"""),"Non Urgent")</f>
        <v>Non Urgent</v>
      </c>
    </row>
    <row r="7">
      <c r="A7" s="4">
        <f>IFERROR(__xludf.DUMMYFUNCTION("""COMPUTED_VALUE"""),45723.661761180556)</f>
        <v>45723.66176</v>
      </c>
      <c r="B7" s="3" t="str">
        <f>IFERROR(__xludf.DUMMYFUNCTION("""COMPUTED_VALUE"""),"MRNJA0004")</f>
        <v>MRNJA0004</v>
      </c>
      <c r="C7" s="3" t="str">
        <f>IFERROR(__xludf.DUMMYFUNCTION("""COMPUTED_VALUE"""),"EJO/2024/12/153")</f>
        <v>EJO/2024/12/153</v>
      </c>
      <c r="D7" s="3" t="str">
        <f>IFERROR(__xludf.DUMMYFUNCTION("""COMPUTED_VALUE"""),"WWTP")</f>
        <v>WWTP</v>
      </c>
      <c r="E7" s="3" t="str">
        <f>IFERROR(__xludf.DUMMYFUNCTION("""COMPUTED_VALUE"""),"Pompa untuk fill up NAOCL ke tanki")</f>
        <v>Pompa untuk fill up NAOCL ke tanki</v>
      </c>
      <c r="F7" s="3">
        <f>IFERROR(__xludf.DUMMYFUNCTION("""COMPUTED_VALUE"""),1.0)</f>
        <v>1</v>
      </c>
      <c r="G7" s="3" t="str">
        <f>IFERROR(__xludf.DUMMYFUNCTION("""COMPUTED_VALUE"""),"unit")</f>
        <v>unit</v>
      </c>
      <c r="H7" s="5" t="str">
        <f>IFERROR(__xludf.DUMMYFUNCTION("""COMPUTED_VALUE"""),"https://drive.google.com/file/d/1GnfQFhJYJjSVRaCiKynCvKYvQx7efO1F/view?usp=drive_link")</f>
        <v>https://drive.google.com/file/d/1GnfQFhJYJjSVRaCiKynCvKYvQx7efO1F/view?usp=drive_link</v>
      </c>
      <c r="I7" s="3" t="str">
        <f>IFERROR(__xludf.DUMMYFUNCTION("""COMPUTED_VALUE"""),"penawaran (REJECT BY MFH KARENA BUKAN JASA)")</f>
        <v>penawaran (REJECT BY MFH KARENA BUKAN JASA)</v>
      </c>
      <c r="J7" s="3" t="str">
        <f>IFERROR(__xludf.DUMMYFUNCTION("""COMPUTED_VALUE"""),"Reject")</f>
        <v>Reject</v>
      </c>
      <c r="K7" s="3" t="str">
        <f>IFERROR(__xludf.DUMMYFUNCTION("""COMPUTED_VALUE"""),"Normal")</f>
        <v>Normal</v>
      </c>
      <c r="L7" s="3" t="str">
        <f>IFERROR(__xludf.DUMMYFUNCTION("""COMPUTED_VALUE"""),"Non Urgent")</f>
        <v>Non Urgent</v>
      </c>
    </row>
    <row r="8">
      <c r="A8" s="4">
        <f>IFERROR(__xludf.DUMMYFUNCTION("""COMPUTED_VALUE"""),45723.69347403935)</f>
        <v>45723.69347</v>
      </c>
      <c r="B8" s="3" t="str">
        <f>IFERROR(__xludf.DUMMYFUNCTION("""COMPUTED_VALUE"""),"RIAJA0001")</f>
        <v>RIAJA0001</v>
      </c>
      <c r="C8" s="3" t="str">
        <f>IFERROR(__xludf.DUMMYFUNCTION("""COMPUTED_VALUE"""),"EJO/2025/03/86")</f>
        <v>EJO/2025/03/86</v>
      </c>
      <c r="D8" s="3" t="str">
        <f>IFERROR(__xludf.DUMMYFUNCTION("""COMPUTED_VALUE"""),"PSG")</f>
        <v>PSG</v>
      </c>
      <c r="E8" s="3" t="str">
        <f>IFERROR(__xludf.DUMMYFUNCTION("""COMPUTED_VALUE"""),"Scalling kolom PSG")</f>
        <v>Scalling kolom PSG</v>
      </c>
      <c r="F8" s="3">
        <f>IFERROR(__xludf.DUMMYFUNCTION("""COMPUTED_VALUE"""),1.0)</f>
        <v>1</v>
      </c>
      <c r="G8" s="3" t="str">
        <f>IFERROR(__xludf.DUMMYFUNCTION("""COMPUTED_VALUE"""),"Set")</f>
        <v>Set</v>
      </c>
      <c r="H8" s="5" t="str">
        <f>IFERROR(__xludf.DUMMYFUNCTION("""COMPUTED_VALUE"""),"https://drive.google.com/drive/folders/1PmXhE0uaWBmdrU38AYtA6RWQzZeilTrR?usp=sharing")</f>
        <v>https://drive.google.com/drive/folders/1PmXhE0uaWBmdrU38AYtA6RWQzZeilTrR?usp=sharing</v>
      </c>
      <c r="I8" s="3" t="str">
        <f>IFERROR(__xludf.DUMMYFUNCTION("""COMPUTED_VALUE"""),"Terdapat 2 penawaran sebagai pembanding ")</f>
        <v>Terdapat 2 penawaran sebagai pembanding </v>
      </c>
      <c r="J8" s="3" t="str">
        <f>IFERROR(__xludf.DUMMYFUNCTION("""COMPUTED_VALUE"""),"Approve")</f>
        <v>Approve</v>
      </c>
      <c r="K8" s="3" t="str">
        <f>IFERROR(__xludf.DUMMYFUNCTION("""COMPUTED_VALUE"""),"Normal")</f>
        <v>Normal</v>
      </c>
      <c r="L8" s="3" t="str">
        <f>IFERROR(__xludf.DUMMYFUNCTION("""COMPUTED_VALUE"""),"Non Urgent")</f>
        <v>Non Urgent</v>
      </c>
    </row>
    <row r="9">
      <c r="A9" s="4">
        <f>IFERROR(__xludf.DUMMYFUNCTION("""COMPUTED_VALUE"""),45736.479356793985)</f>
        <v>45736.47936</v>
      </c>
      <c r="B9" s="3" t="str">
        <f>IFERROR(__xludf.DUMMYFUNCTION("""COMPUTED_VALUE"""),"MRNJA0005")</f>
        <v>MRNJA0005</v>
      </c>
      <c r="C9" s="3" t="str">
        <f>IFERROR(__xludf.DUMMYFUNCTION("""COMPUTED_VALUE"""),"EJO/2025/01/120")</f>
        <v>EJO/2025/01/120</v>
      </c>
      <c r="D9" s="3" t="str">
        <f>IFERROR(__xludf.DUMMYFUNCTION("""COMPUTED_VALUE"""),"WWTP")</f>
        <v>WWTP</v>
      </c>
      <c r="E9" s="3" t="str">
        <f>IFERROR(__xludf.DUMMYFUNCTION("""COMPUTED_VALUE"""),"motor gerbox reactor 1 dan 2")</f>
        <v>motor gerbox reactor 1 dan 2</v>
      </c>
      <c r="F9" s="3">
        <f>IFERROR(__xludf.DUMMYFUNCTION("""COMPUTED_VALUE"""),2.0)</f>
        <v>2</v>
      </c>
      <c r="G9" s="3" t="str">
        <f>IFERROR(__xludf.DUMMYFUNCTION("""COMPUTED_VALUE"""),"unit")</f>
        <v>unit</v>
      </c>
      <c r="H9" s="5" t="str">
        <f>IFERROR(__xludf.DUMMYFUNCTION("""COMPUTED_VALUE"""),"https://drive.google.com/file/d/1PoK6rvQCa2eQpbqSFg0-H5tR3hvDLFlm/view?usp=drivesdk")</f>
        <v>https://drive.google.com/file/d/1PoK6rvQCa2eQpbqSFg0-H5tR3hvDLFlm/view?usp=drivesdk</v>
      </c>
      <c r="I9" s="3" t="str">
        <f>IFERROR(__xludf.DUMMYFUNCTION("""COMPUTED_VALUE"""),"di penawaran ada pilihan mau pake motor merek mareli atau motovario.tinggal pilih lebih murah merek mareli")</f>
        <v>di penawaran ada pilihan mau pake motor merek mareli atau motovario.tinggal pilih lebih murah merek mareli</v>
      </c>
      <c r="J9" s="3" t="str">
        <f>IFERROR(__xludf.DUMMYFUNCTION("""COMPUTED_VALUE"""),"Reject")</f>
        <v>Reject</v>
      </c>
      <c r="K9" s="3" t="str">
        <f>IFERROR(__xludf.DUMMYFUNCTION("""COMPUTED_VALUE"""),"Normal")</f>
        <v>Normal</v>
      </c>
      <c r="L9" s="3" t="str">
        <f>IFERROR(__xludf.DUMMYFUNCTION("""COMPUTED_VALUE"""),"Non Urgent")</f>
        <v>Non Urgent</v>
      </c>
    </row>
    <row r="10">
      <c r="A10" s="4">
        <f>IFERROR(__xludf.DUMMYFUNCTION("""COMPUTED_VALUE"""),45736.47960859953)</f>
        <v>45736.47961</v>
      </c>
      <c r="B10" s="3" t="str">
        <f>IFERROR(__xludf.DUMMYFUNCTION("""COMPUTED_VALUE"""),"MRNJA0006")</f>
        <v>MRNJA0006</v>
      </c>
      <c r="C10" s="3" t="str">
        <f>IFERROR(__xludf.DUMMYFUNCTION("""COMPUTED_VALUE"""),"EJO/2025/01/120")</f>
        <v>EJO/2025/01/120</v>
      </c>
      <c r="D10" s="3" t="str">
        <f>IFERROR(__xludf.DUMMYFUNCTION("""COMPUTED_VALUE"""),"WWTP")</f>
        <v>WWTP</v>
      </c>
      <c r="E10" s="3" t="str">
        <f>IFERROR(__xludf.DUMMYFUNCTION("""COMPUTED_VALUE"""),"motor gearbox mixer smbs")</f>
        <v>motor gearbox mixer smbs</v>
      </c>
      <c r="F10" s="3">
        <f>IFERROR(__xludf.DUMMYFUNCTION("""COMPUTED_VALUE"""),1.0)</f>
        <v>1</v>
      </c>
      <c r="G10" s="3" t="str">
        <f>IFERROR(__xludf.DUMMYFUNCTION("""COMPUTED_VALUE"""),"unit")</f>
        <v>unit</v>
      </c>
      <c r="H10" s="5" t="str">
        <f>IFERROR(__xludf.DUMMYFUNCTION("""COMPUTED_VALUE"""),"https://drive.google.com/file/d/1PpX9Nr3AuNZa_uGCDWC56pPlRQN3fZJf/view?usp=drivesdk")</f>
        <v>https://drive.google.com/file/d/1PpX9Nr3AuNZa_uGCDWC56pPlRQN3fZJf/view?usp=drivesdk</v>
      </c>
      <c r="I10" s="3" t="str">
        <f>IFERROR(__xludf.DUMMYFUNCTION("""COMPUTED_VALUE"""),"da pilihan mau pake motor merek mareli atau motovario.tinggal pilih. lebih murah merek mareli")</f>
        <v>da pilihan mau pake motor merek mareli atau motovario.tinggal pilih. lebih murah merek mareli</v>
      </c>
      <c r="J10" s="3" t="str">
        <f>IFERROR(__xludf.DUMMYFUNCTION("""COMPUTED_VALUE"""),"Reject")</f>
        <v>Reject</v>
      </c>
      <c r="K10" s="3" t="str">
        <f>IFERROR(__xludf.DUMMYFUNCTION("""COMPUTED_VALUE"""),"Normal")</f>
        <v>Normal</v>
      </c>
      <c r="L10" s="3" t="str">
        <f>IFERROR(__xludf.DUMMYFUNCTION("""COMPUTED_VALUE"""),"Non Urgent")</f>
        <v>Non Urgent</v>
      </c>
    </row>
    <row r="11">
      <c r="A11" s="4">
        <f>IFERROR(__xludf.DUMMYFUNCTION("""COMPUTED_VALUE"""),45755.25540655093)</f>
        <v>45755.25541</v>
      </c>
      <c r="B11" s="3" t="str">
        <f>IFERROR(__xludf.DUMMYFUNCTION("""COMPUTED_VALUE"""),"MFHJA0001")</f>
        <v>MFHJA0001</v>
      </c>
      <c r="C11" s="3" t="str">
        <f>IFERROR(__xludf.DUMMYFUNCTION("""COMPUTED_VALUE"""),"-")</f>
        <v>-</v>
      </c>
      <c r="D11" s="3" t="str">
        <f>IFERROR(__xludf.DUMMYFUNCTION("""COMPUTED_VALUE"""),"Tunnel")</f>
        <v>Tunnel</v>
      </c>
      <c r="E11" s="3" t="str">
        <f>IFERROR(__xludf.DUMMYFUNCTION("""COMPUTED_VALUE"""),"Rewinding Motor dan Fan")</f>
        <v>Rewinding Motor dan Fan</v>
      </c>
      <c r="F11" s="3">
        <f>IFERROR(__xludf.DUMMYFUNCTION("""COMPUTED_VALUE"""),1.0)</f>
        <v>1</v>
      </c>
      <c r="G11" s="3" t="str">
        <f>IFERROR(__xludf.DUMMYFUNCTION("""COMPUTED_VALUE"""),"Lot")</f>
        <v>Lot</v>
      </c>
      <c r="H11" s="3" t="str">
        <f>IFERROR(__xludf.DUMMYFUNCTION("""COMPUTED_VALUE"""),"PR 121702323")</f>
        <v>PR 121702323</v>
      </c>
      <c r="I11" s="3" t="str">
        <f>IFERROR(__xludf.DUMMYFUNCTION("""COMPUTED_VALUE"""),"-")</f>
        <v>-</v>
      </c>
      <c r="J11" s="3" t="str">
        <f>IFERROR(__xludf.DUMMYFUNCTION("""COMPUTED_VALUE"""),"Approve")</f>
        <v>Approve</v>
      </c>
      <c r="K11" s="3" t="str">
        <f>IFERROR(__xludf.DUMMYFUNCTION("""COMPUTED_VALUE"""),"Normal")</f>
        <v>Normal</v>
      </c>
      <c r="L11" s="3" t="str">
        <f>IFERROR(__xludf.DUMMYFUNCTION("""COMPUTED_VALUE"""),"Non Urgent")</f>
        <v>Non Urgent</v>
      </c>
    </row>
    <row r="12">
      <c r="A12" s="4">
        <f>IFERROR(__xludf.DUMMYFUNCTION("""COMPUTED_VALUE"""),45755.32267778935)</f>
        <v>45755.32268</v>
      </c>
      <c r="B12" s="3" t="str">
        <f>IFERROR(__xludf.DUMMYFUNCTION("""COMPUTED_VALUE"""),"MFHJA0002")</f>
        <v>MFHJA0002</v>
      </c>
      <c r="C12" s="3" t="str">
        <f>IFERROR(__xludf.DUMMYFUNCTION("""COMPUTED_VALUE"""),"-")</f>
        <v>-</v>
      </c>
      <c r="D12" s="3" t="str">
        <f>IFERROR(__xludf.DUMMYFUNCTION("""COMPUTED_VALUE"""),"Chamber")</f>
        <v>Chamber</v>
      </c>
      <c r="E12" s="3" t="str">
        <f>IFERROR(__xludf.DUMMYFUNCTION("""COMPUTED_VALUE"""),"Bobok dinding akses chamber masuk")</f>
        <v>Bobok dinding akses chamber masuk</v>
      </c>
      <c r="F12" s="3">
        <f>IFERROR(__xludf.DUMMYFUNCTION("""COMPUTED_VALUE"""),1.0)</f>
        <v>1</v>
      </c>
      <c r="G12" s="3" t="str">
        <f>IFERROR(__xludf.DUMMYFUNCTION("""COMPUTED_VALUE"""),"Lot")</f>
        <v>Lot</v>
      </c>
      <c r="H12" s="3" t="str">
        <f>IFERROR(__xludf.DUMMYFUNCTION("""COMPUTED_VALUE"""),"PR 121702382")</f>
        <v>PR 121702382</v>
      </c>
      <c r="I12" s="3" t="str">
        <f>IFERROR(__xludf.DUMMYFUNCTION("""COMPUTED_VALUE"""),"-")</f>
        <v>-</v>
      </c>
      <c r="J12" s="3" t="str">
        <f>IFERROR(__xludf.DUMMYFUNCTION("""COMPUTED_VALUE"""),"Approve")</f>
        <v>Approve</v>
      </c>
      <c r="K12" s="3" t="str">
        <f>IFERROR(__xludf.DUMMYFUNCTION("""COMPUTED_VALUE"""),"Normal")</f>
        <v>Normal</v>
      </c>
      <c r="L12" s="3" t="str">
        <f>IFERROR(__xludf.DUMMYFUNCTION("""COMPUTED_VALUE"""),"Non Urgent")</f>
        <v>Non Urgent</v>
      </c>
    </row>
    <row r="13">
      <c r="A13" s="4">
        <f>IFERROR(__xludf.DUMMYFUNCTION("""COMPUTED_VALUE"""),45755.329314421295)</f>
        <v>45755.32931</v>
      </c>
      <c r="B13" s="3" t="str">
        <f>IFERROR(__xludf.DUMMYFUNCTION("""COMPUTED_VALUE"""),"MFHJA0003")</f>
        <v>MFHJA0003</v>
      </c>
      <c r="C13" s="3" t="str">
        <f>IFERROR(__xludf.DUMMYFUNCTION("""COMPUTED_VALUE"""),"-")</f>
        <v>-</v>
      </c>
      <c r="D13" s="3" t="str">
        <f>IFERROR(__xludf.DUMMYFUNCTION("""COMPUTED_VALUE"""),"Kulkas GEA")</f>
        <v>Kulkas GEA</v>
      </c>
      <c r="E13" s="3" t="str">
        <f>IFERROR(__xludf.DUMMYFUNCTION("""COMPUTED_VALUE"""),"Repair Kulkas GEA")</f>
        <v>Repair Kulkas GEA</v>
      </c>
      <c r="F13" s="3">
        <f>IFERROR(__xludf.DUMMYFUNCTION("""COMPUTED_VALUE"""),1.0)</f>
        <v>1</v>
      </c>
      <c r="G13" s="3" t="str">
        <f>IFERROR(__xludf.DUMMYFUNCTION("""COMPUTED_VALUE"""),"Lot")</f>
        <v>Lot</v>
      </c>
      <c r="H13" s="3" t="str">
        <f>IFERROR(__xludf.DUMMYFUNCTION("""COMPUTED_VALUE"""),"PR 121702439")</f>
        <v>PR 121702439</v>
      </c>
      <c r="I13" s="3" t="str">
        <f>IFERROR(__xludf.DUMMYFUNCTION("""COMPUTED_VALUE"""),"-")</f>
        <v>-</v>
      </c>
      <c r="J13" s="3" t="str">
        <f>IFERROR(__xludf.DUMMYFUNCTION("""COMPUTED_VALUE"""),"Approve")</f>
        <v>Approve</v>
      </c>
      <c r="K13" s="3" t="str">
        <f>IFERROR(__xludf.DUMMYFUNCTION("""COMPUTED_VALUE"""),"Normal")</f>
        <v>Normal</v>
      </c>
      <c r="L13" s="3" t="str">
        <f>IFERROR(__xludf.DUMMYFUNCTION("""COMPUTED_VALUE"""),"Non Urgent")</f>
        <v>Non Urgent</v>
      </c>
    </row>
    <row r="14">
      <c r="A14" s="4">
        <f>IFERROR(__xludf.DUMMYFUNCTION("""COMPUTED_VALUE"""),45755.39125409722)</f>
        <v>45755.39125</v>
      </c>
      <c r="B14" s="3" t="str">
        <f>IFERROR(__xludf.DUMMYFUNCTION("""COMPUTED_VALUE"""),"MFHJA0004")</f>
        <v>MFHJA0004</v>
      </c>
      <c r="C14" s="3" t="str">
        <f>IFERROR(__xludf.DUMMYFUNCTION("""COMPUTED_VALUE"""),"-")</f>
        <v>-</v>
      </c>
      <c r="D14" s="3" t="str">
        <f>IFERROR(__xludf.DUMMYFUNCTION("""COMPUTED_VALUE"""),"Velo")</f>
        <v>Velo</v>
      </c>
      <c r="E14" s="3" t="str">
        <f>IFERROR(__xludf.DUMMYFUNCTION("""COMPUTED_VALUE"""),"Perbaikan dan repair Velo")</f>
        <v>Perbaikan dan repair Velo</v>
      </c>
      <c r="F14" s="3">
        <f>IFERROR(__xludf.DUMMYFUNCTION("""COMPUTED_VALUE"""),1.0)</f>
        <v>1</v>
      </c>
      <c r="G14" s="3" t="str">
        <f>IFERROR(__xludf.DUMMYFUNCTION("""COMPUTED_VALUE"""),"Lot")</f>
        <v>Lot</v>
      </c>
      <c r="H14" s="3" t="str">
        <f>IFERROR(__xludf.DUMMYFUNCTION("""COMPUTED_VALUE"""),"PR 121702444")</f>
        <v>PR 121702444</v>
      </c>
      <c r="I14" s="3" t="str">
        <f>IFERROR(__xludf.DUMMYFUNCTION("""COMPUTED_VALUE"""),"-")</f>
        <v>-</v>
      </c>
      <c r="J14" s="3" t="str">
        <f>IFERROR(__xludf.DUMMYFUNCTION("""COMPUTED_VALUE"""),"Approve")</f>
        <v>Approve</v>
      </c>
      <c r="K14" s="3" t="str">
        <f>IFERROR(__xludf.DUMMYFUNCTION("""COMPUTED_VALUE"""),"Normal")</f>
        <v>Normal</v>
      </c>
      <c r="L14" s="3" t="str">
        <f>IFERROR(__xludf.DUMMYFUNCTION("""COMPUTED_VALUE"""),"Non Urgent")</f>
        <v>Non Urgent</v>
      </c>
    </row>
    <row r="15">
      <c r="A15" s="4">
        <f>IFERROR(__xludf.DUMMYFUNCTION("""COMPUTED_VALUE"""),45755.40082490741)</f>
        <v>45755.40082</v>
      </c>
      <c r="B15" s="3" t="str">
        <f>IFERROR(__xludf.DUMMYFUNCTION("""COMPUTED_VALUE"""),"MFHJA0005")</f>
        <v>MFHJA0005</v>
      </c>
      <c r="C15" s="3" t="str">
        <f>IFERROR(__xludf.DUMMYFUNCTION("""COMPUTED_VALUE"""),"-")</f>
        <v>-</v>
      </c>
      <c r="D15" s="3" t="str">
        <f>IFERROR(__xludf.DUMMYFUNCTION("""COMPUTED_VALUE"""),"FD")</f>
        <v>FD</v>
      </c>
      <c r="E15" s="3" t="str">
        <f>IFERROR(__xludf.DUMMYFUNCTION("""COMPUTED_VALUE"""),"Pembuatan Tee Reducer untuk Sampling")</f>
        <v>Pembuatan Tee Reducer untuk Sampling</v>
      </c>
      <c r="F15" s="3">
        <f>IFERROR(__xludf.DUMMYFUNCTION("""COMPUTED_VALUE"""),1.0)</f>
        <v>1</v>
      </c>
      <c r="G15" s="3" t="str">
        <f>IFERROR(__xludf.DUMMYFUNCTION("""COMPUTED_VALUE"""),"Lot")</f>
        <v>Lot</v>
      </c>
      <c r="H15" s="3" t="str">
        <f>IFERROR(__xludf.DUMMYFUNCTION("""COMPUTED_VALUE"""),"PR 121702474")</f>
        <v>PR 121702474</v>
      </c>
      <c r="I15" s="3" t="str">
        <f>IFERROR(__xludf.DUMMYFUNCTION("""COMPUTED_VALUE"""),"-")</f>
        <v>-</v>
      </c>
      <c r="J15" s="3" t="str">
        <f>IFERROR(__xludf.DUMMYFUNCTION("""COMPUTED_VALUE"""),"Approve")</f>
        <v>Approve</v>
      </c>
      <c r="K15" s="3" t="str">
        <f>IFERROR(__xludf.DUMMYFUNCTION("""COMPUTED_VALUE"""),"Normal")</f>
        <v>Normal</v>
      </c>
      <c r="L15" s="3" t="str">
        <f>IFERROR(__xludf.DUMMYFUNCTION("""COMPUTED_VALUE"""),"Non Urgent")</f>
        <v>Non Urgent</v>
      </c>
    </row>
    <row r="16">
      <c r="A16" s="4">
        <f>IFERROR(__xludf.DUMMYFUNCTION("""COMPUTED_VALUE"""),45755.44509273148)</f>
        <v>45755.44509</v>
      </c>
      <c r="B16" s="3" t="str">
        <f>IFERROR(__xludf.DUMMYFUNCTION("""COMPUTED_VALUE"""),"MFHJA0006")</f>
        <v>MFHJA0006</v>
      </c>
      <c r="C16" s="3" t="str">
        <f>IFERROR(__xludf.DUMMYFUNCTION("""COMPUTED_VALUE"""),"-")</f>
        <v>-</v>
      </c>
      <c r="D16" s="3" t="str">
        <f>IFERROR(__xludf.DUMMYFUNCTION("""COMPUTED_VALUE"""),"BoD")</f>
        <v>BoD</v>
      </c>
      <c r="E16" s="3" t="str">
        <f>IFERROR(__xludf.DUMMYFUNCTION("""COMPUTED_VALUE"""),"Perbaikan Kompresor BoD")</f>
        <v>Perbaikan Kompresor BoD</v>
      </c>
      <c r="F16" s="3">
        <f>IFERROR(__xludf.DUMMYFUNCTION("""COMPUTED_VALUE"""),1.0)</f>
        <v>1</v>
      </c>
      <c r="G16" s="3" t="str">
        <f>IFERROR(__xludf.DUMMYFUNCTION("""COMPUTED_VALUE"""),"Lot")</f>
        <v>Lot</v>
      </c>
      <c r="H16" s="3" t="str">
        <f>IFERROR(__xludf.DUMMYFUNCTION("""COMPUTED_VALUE"""),"PR 121702501")</f>
        <v>PR 121702501</v>
      </c>
      <c r="I16" s="3" t="str">
        <f>IFERROR(__xludf.DUMMYFUNCTION("""COMPUTED_VALUE"""),"-")</f>
        <v>-</v>
      </c>
      <c r="J16" s="3" t="str">
        <f>IFERROR(__xludf.DUMMYFUNCTION("""COMPUTED_VALUE"""),"Approve")</f>
        <v>Approve</v>
      </c>
      <c r="K16" s="3" t="str">
        <f>IFERROR(__xludf.DUMMYFUNCTION("""COMPUTED_VALUE"""),"Normal")</f>
        <v>Normal</v>
      </c>
      <c r="L16" s="3" t="str">
        <f>IFERROR(__xludf.DUMMYFUNCTION("""COMPUTED_VALUE"""),"Non Urgent")</f>
        <v>Non Urgent</v>
      </c>
    </row>
    <row r="17">
      <c r="A17" s="4">
        <f>IFERROR(__xludf.DUMMYFUNCTION("""COMPUTED_VALUE"""),45755.44680806713)</f>
        <v>45755.44681</v>
      </c>
      <c r="B17" s="3" t="str">
        <f>IFERROR(__xludf.DUMMYFUNCTION("""COMPUTED_VALUE"""),"MFHJA0007")</f>
        <v>MFHJA0007</v>
      </c>
      <c r="C17" s="3" t="str">
        <f>IFERROR(__xludf.DUMMYFUNCTION("""COMPUTED_VALUE"""),"-")</f>
        <v>-</v>
      </c>
      <c r="D17" s="3" t="str">
        <f>IFERROR(__xludf.DUMMYFUNCTION("""COMPUTED_VALUE"""),"Capping")</f>
        <v>Capping</v>
      </c>
      <c r="E17" s="3" t="str">
        <f>IFERROR(__xludf.DUMMYFUNCTION("""COMPUTED_VALUE"""),"Modiufikasi Caps Chute")</f>
        <v>Modiufikasi Caps Chute</v>
      </c>
      <c r="F17" s="3">
        <f>IFERROR(__xludf.DUMMYFUNCTION("""COMPUTED_VALUE"""),1.0)</f>
        <v>1</v>
      </c>
      <c r="G17" s="3" t="str">
        <f>IFERROR(__xludf.DUMMYFUNCTION("""COMPUTED_VALUE"""),"Lot")</f>
        <v>Lot</v>
      </c>
      <c r="H17" s="3" t="str">
        <f>IFERROR(__xludf.DUMMYFUNCTION("""COMPUTED_VALUE"""),"PR 121702552")</f>
        <v>PR 121702552</v>
      </c>
      <c r="I17" s="3" t="str">
        <f>IFERROR(__xludf.DUMMYFUNCTION("""COMPUTED_VALUE"""),"-")</f>
        <v>-</v>
      </c>
      <c r="J17" s="3" t="str">
        <f>IFERROR(__xludf.DUMMYFUNCTION("""COMPUTED_VALUE"""),"Approve")</f>
        <v>Approve</v>
      </c>
      <c r="K17" s="3" t="str">
        <f>IFERROR(__xludf.DUMMYFUNCTION("""COMPUTED_VALUE"""),"Normal")</f>
        <v>Normal</v>
      </c>
      <c r="L17" s="3" t="str">
        <f>IFERROR(__xludf.DUMMYFUNCTION("""COMPUTED_VALUE"""),"Non Urgent")</f>
        <v>Non Urgent</v>
      </c>
    </row>
    <row r="18">
      <c r="A18" s="4">
        <f>IFERROR(__xludf.DUMMYFUNCTION("""COMPUTED_VALUE"""),45756.230366331016)</f>
        <v>45756.23037</v>
      </c>
      <c r="B18" s="3" t="str">
        <f>IFERROR(__xludf.DUMMYFUNCTION("""COMPUTED_VALUE"""),"MFHJA0008")</f>
        <v>MFHJA0008</v>
      </c>
      <c r="C18" s="3" t="str">
        <f>IFERROR(__xludf.DUMMYFUNCTION("""COMPUTED_VALUE"""),"-")</f>
        <v>-</v>
      </c>
      <c r="D18" s="3" t="str">
        <f>IFERROR(__xludf.DUMMYFUNCTION("""COMPUTED_VALUE"""),"FD")</f>
        <v>FD</v>
      </c>
      <c r="E18" s="3" t="str">
        <f>IFERROR(__xludf.DUMMYFUNCTION("""COMPUTED_VALUE"""),"Remote Vacuum FD")</f>
        <v>Remote Vacuum FD</v>
      </c>
      <c r="F18" s="3">
        <f>IFERROR(__xludf.DUMMYFUNCTION("""COMPUTED_VALUE"""),1.0)</f>
        <v>1</v>
      </c>
      <c r="G18" s="3" t="str">
        <f>IFERROR(__xludf.DUMMYFUNCTION("""COMPUTED_VALUE"""),"Lot")</f>
        <v>Lot</v>
      </c>
      <c r="H18" s="3" t="str">
        <f>IFERROR(__xludf.DUMMYFUNCTION("""COMPUTED_VALUE"""),"Email Pak Kris")</f>
        <v>Email Pak Kris</v>
      </c>
      <c r="I18" s="3" t="str">
        <f>IFERROR(__xludf.DUMMYFUNCTION("""COMPUTED_VALUE"""),"-")</f>
        <v>-</v>
      </c>
      <c r="J18" s="3" t="str">
        <f>IFERROR(__xludf.DUMMYFUNCTION("""COMPUTED_VALUE"""),"Approve")</f>
        <v>Approve</v>
      </c>
      <c r="K18" s="3" t="str">
        <f>IFERROR(__xludf.DUMMYFUNCTION("""COMPUTED_VALUE"""),"Normal")</f>
        <v>Normal</v>
      </c>
      <c r="L18" s="3" t="str">
        <f>IFERROR(__xludf.DUMMYFUNCTION("""COMPUTED_VALUE"""),"Non Urgent")</f>
        <v>Non Urgent</v>
      </c>
    </row>
    <row r="19">
      <c r="A19" s="4">
        <f>IFERROR(__xludf.DUMMYFUNCTION("""COMPUTED_VALUE"""),45756.23275263889)</f>
        <v>45756.23275</v>
      </c>
      <c r="B19" s="3" t="str">
        <f>IFERROR(__xludf.DUMMYFUNCTION("""COMPUTED_VALUE"""),"MFHJA0009")</f>
        <v>MFHJA0009</v>
      </c>
      <c r="C19" s="3" t="str">
        <f>IFERROR(__xludf.DUMMYFUNCTION("""COMPUTED_VALUE"""),"EJO/2025/04/133")</f>
        <v>EJO/2025/04/133</v>
      </c>
      <c r="D19" s="3" t="str">
        <f>IFERROR(__xludf.DUMMYFUNCTION("""COMPUTED_VALUE"""),"Building")</f>
        <v>Building</v>
      </c>
      <c r="E19" s="3" t="str">
        <f>IFERROR(__xludf.DUMMYFUNCTION("""COMPUTED_VALUE"""),"Pengecekan Panel BAS")</f>
        <v>Pengecekan Panel BAS</v>
      </c>
      <c r="F19" s="3">
        <f>IFERROR(__xludf.DUMMYFUNCTION("""COMPUTED_VALUE"""),1.0)</f>
        <v>1</v>
      </c>
      <c r="G19" s="3" t="str">
        <f>IFERROR(__xludf.DUMMYFUNCTION("""COMPUTED_VALUE"""),"Lot")</f>
        <v>Lot</v>
      </c>
      <c r="H19" s="3" t="str">
        <f>IFERROR(__xludf.DUMMYFUNCTION("""COMPUTED_VALUE"""),"WA Reza")</f>
        <v>WA Reza</v>
      </c>
      <c r="I19" s="3" t="str">
        <f>IFERROR(__xludf.DUMMYFUNCTION("""COMPUTED_VALUE"""),"-")</f>
        <v>-</v>
      </c>
      <c r="J19" s="3" t="str">
        <f>IFERROR(__xludf.DUMMYFUNCTION("""COMPUTED_VALUE"""),"Approve")</f>
        <v>Approve</v>
      </c>
      <c r="K19" s="3" t="str">
        <f>IFERROR(__xludf.DUMMYFUNCTION("""COMPUTED_VALUE"""),"Normal")</f>
        <v>Normal</v>
      </c>
      <c r="L19" s="3" t="str">
        <f>IFERROR(__xludf.DUMMYFUNCTION("""COMPUTED_VALUE"""),"Non Urgent")</f>
        <v>Non Urgent</v>
      </c>
    </row>
    <row r="20">
      <c r="A20" s="4">
        <f>IFERROR(__xludf.DUMMYFUNCTION("""COMPUTED_VALUE"""),45763.68544725695)</f>
        <v>45763.68545</v>
      </c>
      <c r="B20" s="3" t="str">
        <f>IFERROR(__xludf.DUMMYFUNCTION("""COMPUTED_VALUE"""),"RIAJA0002")</f>
        <v>RIAJA0002</v>
      </c>
      <c r="C20" s="3" t="str">
        <f>IFERROR(__xludf.DUMMYFUNCTION("""COMPUTED_VALUE"""),"EJO/2025/03/45")</f>
        <v>EJO/2025/03/45</v>
      </c>
      <c r="D20" s="3" t="str">
        <f>IFERROR(__xludf.DUMMYFUNCTION("""COMPUTED_VALUE"""),"TOC PW SKID")</f>
        <v>TOC PW SKID</v>
      </c>
      <c r="E20" s="3" t="str">
        <f>IFERROR(__xludf.DUMMYFUNCTION("""COMPUTED_VALUE"""),"Repair Pompa TOC PW SKID")</f>
        <v>Repair Pompa TOC PW SKID</v>
      </c>
      <c r="F20" s="3">
        <f>IFERROR(__xludf.DUMMYFUNCTION("""COMPUTED_VALUE"""),1.0)</f>
        <v>1</v>
      </c>
      <c r="G20" s="3" t="str">
        <f>IFERROR(__xludf.DUMMYFUNCTION("""COMPUTED_VALUE"""),"Set")</f>
        <v>Set</v>
      </c>
      <c r="H20" s="3" t="str">
        <f>IFERROR(__xludf.DUMMYFUNCTION("""COMPUTED_VALUE"""),"Sale Quotation - PT. FONKO INTERNATIONAL PHARMACEUTICALS - SQ_2025_03_00748.pdf")</f>
        <v>Sale Quotation - PT. FONKO INTERNATIONAL PHARMACEUTICALS - SQ_2025_03_00748.pdf</v>
      </c>
      <c r="I20" s="3" t="str">
        <f>IFERROR(__xludf.DUMMYFUNCTION("""COMPUTED_VALUE"""),"Jasa perbaikan pompa TOC PW SKID")</f>
        <v>Jasa perbaikan pompa TOC PW SKID</v>
      </c>
      <c r="J20" s="3" t="str">
        <f>IFERROR(__xludf.DUMMYFUNCTION("""COMPUTED_VALUE"""),"Approve")</f>
        <v>Approve</v>
      </c>
      <c r="K20" s="3" t="str">
        <f>IFERROR(__xludf.DUMMYFUNCTION("""COMPUTED_VALUE"""),"Normal")</f>
        <v>Normal</v>
      </c>
      <c r="L20" s="3" t="str">
        <f>IFERROR(__xludf.DUMMYFUNCTION("""COMPUTED_VALUE"""),"Non Urgent")</f>
        <v>Non Urgent</v>
      </c>
    </row>
    <row r="21">
      <c r="A21" s="4">
        <f>IFERROR(__xludf.DUMMYFUNCTION("""COMPUTED_VALUE"""),45764.683287789354)</f>
        <v>45764.68329</v>
      </c>
      <c r="B21" s="3" t="str">
        <f>IFERROR(__xludf.DUMMYFUNCTION("""COMPUTED_VALUE"""),"INNJA0001")</f>
        <v>INNJA0001</v>
      </c>
      <c r="C21" s="3" t="str">
        <f>IFERROR(__xludf.DUMMYFUNCTION("""COMPUTED_VALUE"""),"EJO/2025/04/65")</f>
        <v>EJO/2025/04/65</v>
      </c>
      <c r="D21" s="3" t="str">
        <f>IFERROR(__xludf.DUMMYFUNCTION("""COMPUTED_VALUE"""),"Capping")</f>
        <v>Capping</v>
      </c>
      <c r="E21" s="3" t="str">
        <f>IFERROR(__xludf.DUMMYFUNCTION("""COMPUTED_VALUE"""),"Service motor conveyor infeed capping ")</f>
        <v>Service motor conveyor infeed capping </v>
      </c>
      <c r="F21" s="3">
        <f>IFERROR(__xludf.DUMMYFUNCTION("""COMPUTED_VALUE"""),1.0)</f>
        <v>1</v>
      </c>
      <c r="G21" s="3" t="str">
        <f>IFERROR(__xludf.DUMMYFUNCTION("""COMPUTED_VALUE"""),"unit")</f>
        <v>unit</v>
      </c>
      <c r="H21" s="5" t="str">
        <f>IFERROR(__xludf.DUMMYFUNCTION("""COMPUTED_VALUE"""),"https://drive.google.com/file/d/1eB1GBhClpSB3KQLD6ILfdPLUY2GlFT6I/view?usp=drive_link")</f>
        <v>https://drive.google.com/file/d/1eB1GBhClpSB3KQLD6ILfdPLUY2GlFT6I/view?usp=drive_link</v>
      </c>
      <c r="I21" s="3" t="str">
        <f>IFERROR(__xludf.DUMMYFUNCTION("""COMPUTED_VALUE"""),"Sesuai penawaran")</f>
        <v>Sesuai penawaran</v>
      </c>
      <c r="J21" s="3" t="str">
        <f>IFERROR(__xludf.DUMMYFUNCTION("""COMPUTED_VALUE"""),"Approve")</f>
        <v>Approve</v>
      </c>
      <c r="K21" s="3" t="str">
        <f>IFERROR(__xludf.DUMMYFUNCTION("""COMPUTED_VALUE"""),"Normal")</f>
        <v>Normal</v>
      </c>
      <c r="L21" s="3" t="str">
        <f>IFERROR(__xludf.DUMMYFUNCTION("""COMPUTED_VALUE"""),"Non Urgent")</f>
        <v>Non Urgent</v>
      </c>
    </row>
    <row r="22">
      <c r="A22" s="4">
        <f>IFERROR(__xludf.DUMMYFUNCTION("""COMPUTED_VALUE"""),45771.367909305554)</f>
        <v>45771.36791</v>
      </c>
      <c r="B22" s="3" t="str">
        <f>IFERROR(__xludf.DUMMYFUNCTION("""COMPUTED_VALUE"""),"INNJA0002")</f>
        <v>INNJA0002</v>
      </c>
      <c r="C22" s="3" t="str">
        <f>IFERROR(__xludf.DUMMYFUNCTION("""COMPUTED_VALUE"""),"EJO/2025/03/151")</f>
        <v>EJO/2025/03/151</v>
      </c>
      <c r="D22" s="3" t="str">
        <f>IFERROR(__xludf.DUMMYFUNCTION("""COMPUTED_VALUE"""),"Sartocheck")</f>
        <v>Sartocheck</v>
      </c>
      <c r="E22" s="3" t="str">
        <f>IFERROR(__xludf.DUMMYFUNCTION("""COMPUTED_VALUE"""),"Service power Supply")</f>
        <v>Service power Supply</v>
      </c>
      <c r="F22" s="3">
        <f>IFERROR(__xludf.DUMMYFUNCTION("""COMPUTED_VALUE"""),1.0)</f>
        <v>1</v>
      </c>
      <c r="G22" s="3" t="str">
        <f>IFERROR(__xludf.DUMMYFUNCTION("""COMPUTED_VALUE"""),"unit")</f>
        <v>unit</v>
      </c>
      <c r="H22" s="5" t="str">
        <f>IFERROR(__xludf.DUMMYFUNCTION("""COMPUTED_VALUE"""),"https://drive.google.com/file/d/1-h2TDtuzkLxo8sO3ozwve8eKzVgbFJdE/view?usp=drive_link")</f>
        <v>https://drive.google.com/file/d/1-h2TDtuzkLxo8sO3ozwve8eKzVgbFJdE/view?usp=drive_link</v>
      </c>
      <c r="I22" s="3" t="str">
        <f>IFERROR(__xludf.DUMMYFUNCTION("""COMPUTED_VALUE"""),"Sesuai penawaran")</f>
        <v>Sesuai penawaran</v>
      </c>
      <c r="J22" s="3" t="str">
        <f>IFERROR(__xludf.DUMMYFUNCTION("""COMPUTED_VALUE"""),"Approve")</f>
        <v>Approve</v>
      </c>
      <c r="K22" s="3" t="str">
        <f>IFERROR(__xludf.DUMMYFUNCTION("""COMPUTED_VALUE"""),"Normal")</f>
        <v>Normal</v>
      </c>
      <c r="L22" s="3" t="str">
        <f>IFERROR(__xludf.DUMMYFUNCTION("""COMPUTED_VALUE"""),"Non Urgent")</f>
        <v>Non Urgent</v>
      </c>
    </row>
    <row r="23">
      <c r="A23" s="4">
        <f>IFERROR(__xludf.DUMMYFUNCTION("""COMPUTED_VALUE"""),45775.56210447917)</f>
        <v>45775.5621</v>
      </c>
      <c r="B23" s="3" t="str">
        <f>IFERROR(__xludf.DUMMYFUNCTION("""COMPUTED_VALUE"""),"MOBJA0001")</f>
        <v>MOBJA0001</v>
      </c>
      <c r="C23" s="3" t="str">
        <f>IFERROR(__xludf.DUMMYFUNCTION("""COMPUTED_VALUE"""),"EJO/2025/03/134")</f>
        <v>EJO/2025/03/134</v>
      </c>
      <c r="D23" s="3" t="str">
        <f>IFERROR(__xludf.DUMMYFUNCTION("""COMPUTED_VALUE"""),"AHU D1-1, EF D1-4/5, AHU F3-4")</f>
        <v>AHU D1-1, EF D1-4/5, AHU F3-4</v>
      </c>
      <c r="E23" s="3" t="str">
        <f>IFERROR(__xludf.DUMMYFUNCTION("""COMPUTED_VALUE"""),"Ganti BIBO")</f>
        <v>Ganti BIBO</v>
      </c>
      <c r="F23" s="3">
        <f>IFERROR(__xludf.DUMMYFUNCTION("""COMPUTED_VALUE"""),3.0)</f>
        <v>3</v>
      </c>
      <c r="G23" s="3" t="str">
        <f>IFERROR(__xludf.DUMMYFUNCTION("""COMPUTED_VALUE"""),"Lot")</f>
        <v>Lot</v>
      </c>
      <c r="H23" s="5" t="str">
        <f>IFERROR(__xludf.DUMMYFUNCTION("""COMPUTED_VALUE"""),"https://drive.google.com/file/d/1lD1mSPrETOmvLPnS_AL655OtiMI78mW8/view?usp=sharing")</f>
        <v>https://drive.google.com/file/d/1lD1mSPrETOmvLPnS_AL655OtiMI78mW8/view?usp=sharing</v>
      </c>
      <c r="I23" s="3" t="str">
        <f>IFERROR(__xludf.DUMMYFUNCTION("""COMPUTED_VALUE"""),"Penawaran untuk ganti BIBO")</f>
        <v>Penawaran untuk ganti BIBO</v>
      </c>
      <c r="J23" s="3" t="str">
        <f>IFERROR(__xludf.DUMMYFUNCTION("""COMPUTED_VALUE"""),"Approve")</f>
        <v>Approve</v>
      </c>
      <c r="K23" s="3" t="str">
        <f>IFERROR(__xludf.DUMMYFUNCTION("""COMPUTED_VALUE"""),"Normal")</f>
        <v>Normal</v>
      </c>
      <c r="L23" s="3" t="str">
        <f>IFERROR(__xludf.DUMMYFUNCTION("""COMPUTED_VALUE"""),"Non Urgent")</f>
        <v>Non Urgent</v>
      </c>
    </row>
    <row r="24">
      <c r="A24" s="4">
        <f>IFERROR(__xludf.DUMMYFUNCTION("""COMPUTED_VALUE"""),45789.866367291674)</f>
        <v>45789.86637</v>
      </c>
      <c r="B24" s="3" t="str">
        <f>IFERROR(__xludf.DUMMYFUNCTION("""COMPUTED_VALUE"""),"MFHJA0010")</f>
        <v>MFHJA0010</v>
      </c>
      <c r="C24" s="3" t="str">
        <f>IFERROR(__xludf.DUMMYFUNCTION("""COMPUTED_VALUE"""),"-")</f>
        <v>-</v>
      </c>
      <c r="D24" s="3" t="str">
        <f>IFERROR(__xludf.DUMMYFUNCTION("""COMPUTED_VALUE"""),"Building")</f>
        <v>Building</v>
      </c>
      <c r="E24" s="3" t="str">
        <f>IFERROR(__xludf.DUMMYFUNCTION("""COMPUTED_VALUE"""),"Perapihan kabel di ruangh server")</f>
        <v>Perapihan kabel di ruangh server</v>
      </c>
      <c r="F24" s="3">
        <f>IFERROR(__xludf.DUMMYFUNCTION("""COMPUTED_VALUE"""),1.0)</f>
        <v>1</v>
      </c>
      <c r="G24" s="3" t="str">
        <f>IFERROR(__xludf.DUMMYFUNCTION("""COMPUTED_VALUE"""),"Lot")</f>
        <v>Lot</v>
      </c>
      <c r="H24" s="3" t="str">
        <f>IFERROR(__xludf.DUMMYFUNCTION("""COMPUTED_VALUE"""),"Email Pak Kris")</f>
        <v>Email Pak Kris</v>
      </c>
      <c r="I24" s="3" t="str">
        <f>IFERROR(__xludf.DUMMYFUNCTION("""COMPUTED_VALUE"""),"2210 S-60002-0 121702647 - APPROVED")</f>
        <v>2210 S-60002-0 121702647 - APPROVED</v>
      </c>
      <c r="J24" s="3" t="str">
        <f>IFERROR(__xludf.DUMMYFUNCTION("""COMPUTED_VALUE"""),"Approve")</f>
        <v>Approve</v>
      </c>
      <c r="K24" s="3" t="str">
        <f>IFERROR(__xludf.DUMMYFUNCTION("""COMPUTED_VALUE"""),"Normal")</f>
        <v>Normal</v>
      </c>
      <c r="L24" s="3" t="str">
        <f>IFERROR(__xludf.DUMMYFUNCTION("""COMPUTED_VALUE"""),"Non Urgent")</f>
        <v>Non Urgent</v>
      </c>
    </row>
    <row r="25">
      <c r="A25" s="4">
        <f>IFERROR(__xludf.DUMMYFUNCTION("""COMPUTED_VALUE"""),45790.868463391205)</f>
        <v>45790.86846</v>
      </c>
      <c r="B25" s="3" t="str">
        <f>IFERROR(__xludf.DUMMYFUNCTION("""COMPUTED_VALUE"""),"MFHJA0011")</f>
        <v>MFHJA0011</v>
      </c>
      <c r="C25" s="3" t="str">
        <f>IFERROR(__xludf.DUMMYFUNCTION("""COMPUTED_VALUE"""),"-")</f>
        <v>-</v>
      </c>
      <c r="D25" s="3" t="str">
        <f>IFERROR(__xludf.DUMMYFUNCTION("""COMPUTED_VALUE"""),"Building")</f>
        <v>Building</v>
      </c>
      <c r="E25" s="3" t="str">
        <f>IFERROR(__xludf.DUMMYFUNCTION("""COMPUTED_VALUE"""),"Perbaikan Board Control Dump Waiter")</f>
        <v>Perbaikan Board Control Dump Waiter</v>
      </c>
      <c r="F25" s="3">
        <f>IFERROR(__xludf.DUMMYFUNCTION("""COMPUTED_VALUE"""),1.0)</f>
        <v>1</v>
      </c>
      <c r="G25" s="3" t="str">
        <f>IFERROR(__xludf.DUMMYFUNCTION("""COMPUTED_VALUE"""),"Lot")</f>
        <v>Lot</v>
      </c>
      <c r="H25" s="3" t="str">
        <f>IFERROR(__xludf.DUMMYFUNCTION("""COMPUTED_VALUE"""),"Supplier")</f>
        <v>Supplier</v>
      </c>
      <c r="I25" s="3" t="str">
        <f>IFERROR(__xludf.DUMMYFUNCTION("""COMPUTED_VALUE"""),"2278 S-60002-00 121702731 - APPROVED")</f>
        <v>2278 S-60002-00 121702731 - APPROVED</v>
      </c>
      <c r="J25" s="3" t="str">
        <f>IFERROR(__xludf.DUMMYFUNCTION("""COMPUTED_VALUE"""),"Approve")</f>
        <v>Approve</v>
      </c>
      <c r="K25" s="3" t="str">
        <f>IFERROR(__xludf.DUMMYFUNCTION("""COMPUTED_VALUE"""),"Normal")</f>
        <v>Normal</v>
      </c>
      <c r="L25" s="3" t="str">
        <f>IFERROR(__xludf.DUMMYFUNCTION("""COMPUTED_VALUE"""),"Non Urgent")</f>
        <v>Non Urgent</v>
      </c>
    </row>
    <row r="26">
      <c r="A26" s="4">
        <f>IFERROR(__xludf.DUMMYFUNCTION("""COMPUTED_VALUE"""),45790.87151596064)</f>
        <v>45790.87152</v>
      </c>
      <c r="B26" s="3" t="str">
        <f>IFERROR(__xludf.DUMMYFUNCTION("""COMPUTED_VALUE"""),"MFHJA0012")</f>
        <v>MFHJA0012</v>
      </c>
      <c r="C26" s="3" t="str">
        <f>IFERROR(__xludf.DUMMYFUNCTION("""COMPUTED_VALUE"""),"-")</f>
        <v>-</v>
      </c>
      <c r="D26" s="3" t="str">
        <f>IFERROR(__xludf.DUMMYFUNCTION("""COMPUTED_VALUE"""),"Building")</f>
        <v>Building</v>
      </c>
      <c r="E26" s="3" t="str">
        <f>IFERROR(__xludf.DUMMYFUNCTION("""COMPUTED_VALUE"""),"Perkuatan Pondasi N2")</f>
        <v>Perkuatan Pondasi N2</v>
      </c>
      <c r="F26" s="3">
        <f>IFERROR(__xludf.DUMMYFUNCTION("""COMPUTED_VALUE"""),1.0)</f>
        <v>1</v>
      </c>
      <c r="G26" s="3" t="str">
        <f>IFERROR(__xludf.DUMMYFUNCTION("""COMPUTED_VALUE"""),"Lot")</f>
        <v>Lot</v>
      </c>
      <c r="H26" s="3" t="str">
        <f>IFERROR(__xludf.DUMMYFUNCTION("""COMPUTED_VALUE"""),"Email Pak Kris")</f>
        <v>Email Pak Kris</v>
      </c>
      <c r="I26" s="3" t="str">
        <f>IFERROR(__xludf.DUMMYFUNCTION("""COMPUTED_VALUE"""),"2279 Q-90000-00 121702732 - APPROVED")</f>
        <v>2279 Q-90000-00 121702732 - APPROVED</v>
      </c>
      <c r="J26" s="3" t="str">
        <f>IFERROR(__xludf.DUMMYFUNCTION("""COMPUTED_VALUE"""),"Approve")</f>
        <v>Approve</v>
      </c>
      <c r="K26" s="3" t="str">
        <f>IFERROR(__xludf.DUMMYFUNCTION("""COMPUTED_VALUE"""),"Normal")</f>
        <v>Normal</v>
      </c>
      <c r="L26" s="3" t="str">
        <f>IFERROR(__xludf.DUMMYFUNCTION("""COMPUTED_VALUE"""),"Non Urgent")</f>
        <v>Non Urgent</v>
      </c>
    </row>
    <row r="27">
      <c r="A27" s="4">
        <f>IFERROR(__xludf.DUMMYFUNCTION("""COMPUTED_VALUE"""),45797.51181383101)</f>
        <v>45797.51181</v>
      </c>
      <c r="B27" s="3" t="str">
        <f>IFERROR(__xludf.DUMMYFUNCTION("""COMPUTED_VALUE"""),"INNJA0003")</f>
        <v>INNJA0003</v>
      </c>
      <c r="C27" s="3" t="str">
        <f>IFERROR(__xludf.DUMMYFUNCTION("""COMPUTED_VALUE"""),"EJO/2025/04/137")</f>
        <v>EJO/2025/04/137</v>
      </c>
      <c r="D27" s="3" t="str">
        <f>IFERROR(__xludf.DUMMYFUNCTION("""COMPUTED_VALUE"""),"Newtronic")</f>
        <v>Newtronic</v>
      </c>
      <c r="E27" s="3" t="str">
        <f>IFERROR(__xludf.DUMMYFUNCTION("""COMPUTED_VALUE"""),"Perbaikan data base newtronic ( report tidak bisa di ambil dan comunication fail)")</f>
        <v>Perbaikan data base newtronic ( report tidak bisa di ambil dan comunication fail)</v>
      </c>
      <c r="F27" s="3">
        <f>IFERROR(__xludf.DUMMYFUNCTION("""COMPUTED_VALUE"""),1.0)</f>
        <v>1</v>
      </c>
      <c r="G27" s="3" t="str">
        <f>IFERROR(__xludf.DUMMYFUNCTION("""COMPUTED_VALUE"""),"Lot")</f>
        <v>Lot</v>
      </c>
      <c r="H27" s="5" t="str">
        <f>IFERROR(__xludf.DUMMYFUNCTION("""COMPUTED_VALUE"""),"https://drive.google.com/file/d/1C9xRrPXc3CBDEByqX4kB4uzRq--AoThb/view?usp=drive_link")</f>
        <v>https://drive.google.com/file/d/1C9xRrPXc3CBDEByqX4kB4uzRq--AoThb/view?usp=drive_link</v>
      </c>
      <c r="I27" s="3" t="str">
        <f>IFERROR(__xludf.DUMMYFUNCTION("""COMPUTED_VALUE"""),"Sesuai penawaran")</f>
        <v>Sesuai penawaran</v>
      </c>
      <c r="J27" s="3" t="str">
        <f>IFERROR(__xludf.DUMMYFUNCTION("""COMPUTED_VALUE"""),"Approve")</f>
        <v>Approve</v>
      </c>
      <c r="K27" s="3" t="str">
        <f>IFERROR(__xludf.DUMMYFUNCTION("""COMPUTED_VALUE"""),"Normal")</f>
        <v>Normal</v>
      </c>
      <c r="L27" s="3" t="str">
        <f>IFERROR(__xludf.DUMMYFUNCTION("""COMPUTED_VALUE"""),"Non Urgent")</f>
        <v>Non Urgent</v>
      </c>
    </row>
    <row r="28">
      <c r="A28" s="4">
        <f>IFERROR(__xludf.DUMMYFUNCTION("""COMPUTED_VALUE"""),45802.5505862963)</f>
        <v>45802.55059</v>
      </c>
      <c r="B28" s="3" t="str">
        <f>IFERROR(__xludf.DUMMYFUNCTION("""COMPUTED_VALUE"""),"MFHJA0013")</f>
        <v>MFHJA0013</v>
      </c>
      <c r="C28" s="3" t="str">
        <f>IFERROR(__xludf.DUMMYFUNCTION("""COMPUTED_VALUE"""),"-")</f>
        <v>-</v>
      </c>
      <c r="D28" s="3" t="str">
        <f>IFERROR(__xludf.DUMMYFUNCTION("""COMPUTED_VALUE"""),"Mesin(After liat PR)")</f>
        <v>Mesin(After liat PR)</v>
      </c>
      <c r="E28" s="3" t="str">
        <f>IFERROR(__xludf.DUMMYFUNCTION("""COMPUTED_VALUE"""),"Perbaikan Kompresor GEA")</f>
        <v>Perbaikan Kompresor GEA</v>
      </c>
      <c r="F28" s="3">
        <f>IFERROR(__xludf.DUMMYFUNCTION("""COMPUTED_VALUE"""),1.0)</f>
        <v>1</v>
      </c>
      <c r="G28" s="3" t="str">
        <f>IFERROR(__xludf.DUMMYFUNCTION("""COMPUTED_VALUE"""),"Lot")</f>
        <v>Lot</v>
      </c>
      <c r="H28" s="3" t="str">
        <f>IFERROR(__xludf.DUMMYFUNCTION("""COMPUTED_VALUE"""),"-")</f>
        <v>-</v>
      </c>
      <c r="I28" s="3" t="str">
        <f>IFERROR(__xludf.DUMMYFUNCTION("""COMPUTED_VALUE"""),"2024 S-60050-00 1217024739")</f>
        <v>2024 S-60050-00 1217024739</v>
      </c>
      <c r="J28" s="3" t="str">
        <f>IFERROR(__xludf.DUMMYFUNCTION("""COMPUTED_VALUE"""),"Waiting")</f>
        <v>Waiting</v>
      </c>
      <c r="K28" s="3" t="str">
        <f>IFERROR(__xludf.DUMMYFUNCTION("""COMPUTED_VALUE"""),"Waiting")</f>
        <v>Waiting</v>
      </c>
      <c r="L28" s="3" t="str">
        <f>IFERROR(__xludf.DUMMYFUNCTION("""COMPUTED_VALUE"""),"Non Urgent")</f>
        <v>Non Urgent</v>
      </c>
    </row>
    <row r="29">
      <c r="A29" s="4">
        <f>IFERROR(__xludf.DUMMYFUNCTION("""COMPUTED_VALUE"""),45802.56572881944)</f>
        <v>45802.56573</v>
      </c>
      <c r="B29" s="3" t="str">
        <f>IFERROR(__xludf.DUMMYFUNCTION("""COMPUTED_VALUE"""),"MFHJA0014")</f>
        <v>MFHJA0014</v>
      </c>
      <c r="C29" s="3" t="str">
        <f>IFERROR(__xludf.DUMMYFUNCTION("""COMPUTED_VALUE"""),"-")</f>
        <v>-</v>
      </c>
      <c r="D29" s="3" t="str">
        <f>IFERROR(__xludf.DUMMYFUNCTION("""COMPUTED_VALUE"""),"Lab")</f>
        <v>Lab</v>
      </c>
      <c r="E29" s="3" t="str">
        <f>IFERROR(__xludf.DUMMYFUNCTION("""COMPUTED_VALUE"""),"Rewinding Exhaust")</f>
        <v>Rewinding Exhaust</v>
      </c>
      <c r="F29" s="3">
        <f>IFERROR(__xludf.DUMMYFUNCTION("""COMPUTED_VALUE"""),1.0)</f>
        <v>1</v>
      </c>
      <c r="G29" s="3" t="str">
        <f>IFERROR(__xludf.DUMMYFUNCTION("""COMPUTED_VALUE"""),"Lot")</f>
        <v>Lot</v>
      </c>
      <c r="H29" s="3" t="str">
        <f>IFERROR(__xludf.DUMMYFUNCTION("""COMPUTED_VALUE"""),"-")</f>
        <v>-</v>
      </c>
      <c r="I29" s="3" t="str">
        <f>IFERROR(__xludf.DUMMYFUNCTION("""COMPUTED_VALUE"""),"2137 121702565 - APPROVED")</f>
        <v>2137 121702565 - APPROVED</v>
      </c>
      <c r="J29" s="3" t="str">
        <f>IFERROR(__xludf.DUMMYFUNCTION("""COMPUTED_VALUE"""),"Approve")</f>
        <v>Approve</v>
      </c>
      <c r="K29" s="3" t="str">
        <f>IFERROR(__xludf.DUMMYFUNCTION("""COMPUTED_VALUE"""),"Normal")</f>
        <v>Normal</v>
      </c>
      <c r="L29" s="3" t="str">
        <f>IFERROR(__xludf.DUMMYFUNCTION("""COMPUTED_VALUE"""),"Non Urgent")</f>
        <v>Non Urgent</v>
      </c>
    </row>
    <row r="30">
      <c r="A30" s="4">
        <f>IFERROR(__xludf.DUMMYFUNCTION("""COMPUTED_VALUE"""),45802.59963862268)</f>
        <v>45802.59964</v>
      </c>
      <c r="B30" s="3" t="str">
        <f>IFERROR(__xludf.DUMMYFUNCTION("""COMPUTED_VALUE"""),"MFHJA0015")</f>
        <v>MFHJA0015</v>
      </c>
      <c r="C30" s="3" t="str">
        <f>IFERROR(__xludf.DUMMYFUNCTION("""COMPUTED_VALUE"""),"-")</f>
        <v>-</v>
      </c>
      <c r="D30" s="3" t="str">
        <f>IFERROR(__xludf.DUMMYFUNCTION("""COMPUTED_VALUE"""),"Building")</f>
        <v>Building</v>
      </c>
      <c r="E30" s="3" t="str">
        <f>IFERROR(__xludf.DUMMYFUNCTION("""COMPUTED_VALUE"""),"Jendela Anti Embun")</f>
        <v>Jendela Anti Embun</v>
      </c>
      <c r="F30" s="3">
        <f>IFERROR(__xludf.DUMMYFUNCTION("""COMPUTED_VALUE"""),1.0)</f>
        <v>1</v>
      </c>
      <c r="G30" s="3" t="str">
        <f>IFERROR(__xludf.DUMMYFUNCTION("""COMPUTED_VALUE"""),"Lot")</f>
        <v>Lot</v>
      </c>
      <c r="H30" s="3" t="str">
        <f>IFERROR(__xludf.DUMMYFUNCTION("""COMPUTED_VALUE"""),"WA Mas Reza")</f>
        <v>WA Mas Reza</v>
      </c>
      <c r="I30" s="3" t="str">
        <f>IFERROR(__xludf.DUMMYFUNCTION("""COMPUTED_VALUE"""),"2266 Q-90000-00 121702706 - APPROVED")</f>
        <v>2266 Q-90000-00 121702706 - APPROVED</v>
      </c>
      <c r="J30" s="3" t="str">
        <f>IFERROR(__xludf.DUMMYFUNCTION("""COMPUTED_VALUE"""),"Approve")</f>
        <v>Approve</v>
      </c>
      <c r="K30" s="3" t="str">
        <f>IFERROR(__xludf.DUMMYFUNCTION("""COMPUTED_VALUE"""),"Normal")</f>
        <v>Normal</v>
      </c>
      <c r="L30" s="3" t="str">
        <f>IFERROR(__xludf.DUMMYFUNCTION("""COMPUTED_VALUE"""),"Non Urgent")</f>
        <v>Non Urgent</v>
      </c>
    </row>
    <row r="31">
      <c r="A31" s="4">
        <f>IFERROR(__xludf.DUMMYFUNCTION("""COMPUTED_VALUE"""),45802.603660671295)</f>
        <v>45802.60366</v>
      </c>
      <c r="B31" s="3" t="str">
        <f>IFERROR(__xludf.DUMMYFUNCTION("""COMPUTED_VALUE"""),"MFHJA0016")</f>
        <v>MFHJA0016</v>
      </c>
      <c r="C31" s="3" t="str">
        <f>IFERROR(__xludf.DUMMYFUNCTION("""COMPUTED_VALUE"""),"-")</f>
        <v>-</v>
      </c>
      <c r="D31" s="3" t="str">
        <f>IFERROR(__xludf.DUMMYFUNCTION("""COMPUTED_VALUE"""),"BAS")</f>
        <v>BAS</v>
      </c>
      <c r="E31" s="3" t="str">
        <f>IFERROR(__xludf.DUMMYFUNCTION("""COMPUTED_VALUE"""),"Re Termination dan Re Program BAS")</f>
        <v>Re Termination dan Re Program BAS</v>
      </c>
      <c r="F31" s="3">
        <f>IFERROR(__xludf.DUMMYFUNCTION("""COMPUTED_VALUE"""),1.0)</f>
        <v>1</v>
      </c>
      <c r="G31" s="3" t="str">
        <f>IFERROR(__xludf.DUMMYFUNCTION("""COMPUTED_VALUE"""),"Lot")</f>
        <v>Lot</v>
      </c>
      <c r="H31" s="3" t="str">
        <f>IFERROR(__xludf.DUMMYFUNCTION("""COMPUTED_VALUE"""),"WA Mas Reza")</f>
        <v>WA Mas Reza</v>
      </c>
      <c r="I31" s="3" t="str">
        <f>IFERROR(__xludf.DUMMYFUNCTION("""COMPUTED_VALUE"""),"2280 S-60002-00 121702736 - APPROVED")</f>
        <v>2280 S-60002-00 121702736 - APPROVED</v>
      </c>
      <c r="J31" s="3" t="str">
        <f>IFERROR(__xludf.DUMMYFUNCTION("""COMPUTED_VALUE"""),"Approve")</f>
        <v>Approve</v>
      </c>
      <c r="K31" s="3" t="str">
        <f>IFERROR(__xludf.DUMMYFUNCTION("""COMPUTED_VALUE"""),"Normal")</f>
        <v>Normal</v>
      </c>
      <c r="L31" s="3" t="str">
        <f>IFERROR(__xludf.DUMMYFUNCTION("""COMPUTED_VALUE"""),"Non Urgent")</f>
        <v>Non Urgent</v>
      </c>
    </row>
    <row r="32">
      <c r="A32" s="4">
        <f>IFERROR(__xludf.DUMMYFUNCTION("""COMPUTED_VALUE"""),45832.73882817129)</f>
        <v>45832.73883</v>
      </c>
      <c r="B32" s="3" t="str">
        <f>IFERROR(__xludf.DUMMYFUNCTION("""COMPUTED_VALUE"""),"RIAJA0003")</f>
        <v>RIAJA0003</v>
      </c>
      <c r="C32" s="3" t="str">
        <f>IFERROR(__xludf.DUMMYFUNCTION("""COMPUTED_VALUE"""),"EJO/2025/06/180")</f>
        <v>EJO/2025/06/180</v>
      </c>
      <c r="D32" s="3" t="str">
        <f>IFERROR(__xludf.DUMMYFUNCTION("""COMPUTED_VALUE"""),"Hot Water")</f>
        <v>Hot Water</v>
      </c>
      <c r="E32" s="3" t="str">
        <f>IFERROR(__xludf.DUMMYFUNCTION("""COMPUTED_VALUE"""),"Sambung jalur hot water ahu d13 d14 serta pengerjaan pipa kondensat WFIG")</f>
        <v>Sambung jalur hot water ahu d13 d14 serta pengerjaan pipa kondensat WFIG</v>
      </c>
      <c r="F32" s="3">
        <f>IFERROR(__xludf.DUMMYFUNCTION("""COMPUTED_VALUE"""),1.0)</f>
        <v>1</v>
      </c>
      <c r="G32" s="3" t="str">
        <f>IFERROR(__xludf.DUMMYFUNCTION("""COMPUTED_VALUE"""),"Set")</f>
        <v>Set</v>
      </c>
      <c r="H32" s="3" t="str">
        <f>IFERROR(__xludf.DUMMYFUNCTION("""COMPUTED_VALUE"""),"PH - 0066 PT. Fonko International Pharmaceutical Rev. 01.pdf")</f>
        <v>PH - 0066 PT. Fonko International Pharmaceutical Rev. 01.pdf</v>
      </c>
      <c r="I32" s="3" t="str">
        <f>IFERROR(__xludf.DUMMYFUNCTION("""COMPUTED_VALUE"""),"Jasa perbaikan pipa hot water ke ahu d13 dan d14")</f>
        <v>Jasa perbaikan pipa hot water ke ahu d13 dan d14</v>
      </c>
      <c r="J32" s="3" t="str">
        <f>IFERROR(__xludf.DUMMYFUNCTION("""COMPUTED_VALUE"""),"Reject")</f>
        <v>Reject</v>
      </c>
      <c r="K32" s="3" t="str">
        <f>IFERROR(__xludf.DUMMYFUNCTION("""COMPUTED_VALUE"""),"Normal")</f>
        <v>Normal</v>
      </c>
      <c r="L32" s="3" t="str">
        <f>IFERROR(__xludf.DUMMYFUNCTION("""COMPUTED_VALUE"""),"Non Urgent")</f>
        <v>Non Urgent</v>
      </c>
    </row>
    <row r="33">
      <c r="A33" s="4">
        <f>IFERROR(__xludf.DUMMYFUNCTION("""COMPUTED_VALUE"""),45834.879656550926)</f>
        <v>45834.87966</v>
      </c>
      <c r="B33" s="3" t="str">
        <f>IFERROR(__xludf.DUMMYFUNCTION("""COMPUTED_VALUE"""),"MFHJA0017")</f>
        <v>MFHJA0017</v>
      </c>
      <c r="C33" s="3" t="str">
        <f>IFERROR(__xludf.DUMMYFUNCTION("""COMPUTED_VALUE"""),"-")</f>
        <v>-</v>
      </c>
      <c r="D33" s="3" t="str">
        <f>IFERROR(__xludf.DUMMYFUNCTION("""COMPUTED_VALUE"""),"Washbay")</f>
        <v>Washbay</v>
      </c>
      <c r="E33" s="3" t="str">
        <f>IFERROR(__xludf.DUMMYFUNCTION("""COMPUTED_VALUE"""),"Additional Project to TATA")</f>
        <v>Additional Project to TATA</v>
      </c>
      <c r="F33" s="3">
        <f>IFERROR(__xludf.DUMMYFUNCTION("""COMPUTED_VALUE"""),1.0)</f>
        <v>1</v>
      </c>
      <c r="G33" s="3" t="str">
        <f>IFERROR(__xludf.DUMMYFUNCTION("""COMPUTED_VALUE"""),"Lot")</f>
        <v>Lot</v>
      </c>
      <c r="H33" s="3" t="str">
        <f>IFERROR(__xludf.DUMMYFUNCTION("""COMPUTED_VALUE"""),"Email mas Umar")</f>
        <v>Email mas Umar</v>
      </c>
      <c r="I33" s="3" t="str">
        <f>IFERROR(__xludf.DUMMYFUNCTION("""COMPUTED_VALUE"""),"2340 121702796")</f>
        <v>2340 121702796</v>
      </c>
      <c r="J33" s="3" t="str">
        <f>IFERROR(__xludf.DUMMYFUNCTION("""COMPUTED_VALUE"""),"Approve")</f>
        <v>Approve</v>
      </c>
      <c r="K33" s="3" t="str">
        <f>IFERROR(__xludf.DUMMYFUNCTION("""COMPUTED_VALUE"""),"Normal")</f>
        <v>Normal</v>
      </c>
      <c r="L33" s="3" t="str">
        <f>IFERROR(__xludf.DUMMYFUNCTION("""COMPUTED_VALUE"""),"Non Urgent")</f>
        <v>Non Urgent</v>
      </c>
    </row>
    <row r="34">
      <c r="A34" s="4">
        <f>IFERROR(__xludf.DUMMYFUNCTION("""COMPUTED_VALUE"""),45834.8840340625)</f>
        <v>45834.88403</v>
      </c>
      <c r="B34" s="3" t="str">
        <f>IFERROR(__xludf.DUMMYFUNCTION("""COMPUTED_VALUE"""),"MFHJA0018")</f>
        <v>MFHJA0018</v>
      </c>
      <c r="C34" s="3" t="str">
        <f>IFERROR(__xludf.DUMMYFUNCTION("""COMPUTED_VALUE"""),"-")</f>
        <v>-</v>
      </c>
      <c r="D34" s="3" t="str">
        <f>IFERROR(__xludf.DUMMYFUNCTION("""COMPUTED_VALUE"""),"Beamex")</f>
        <v>Beamex</v>
      </c>
      <c r="E34" s="3" t="str">
        <f>IFERROR(__xludf.DUMMYFUNCTION("""COMPUTED_VALUE"""),"Perbaikan Beamex")</f>
        <v>Perbaikan Beamex</v>
      </c>
      <c r="F34" s="3">
        <f>IFERROR(__xludf.DUMMYFUNCTION("""COMPUTED_VALUE"""),1.0)</f>
        <v>1</v>
      </c>
      <c r="G34" s="3" t="str">
        <f>IFERROR(__xludf.DUMMYFUNCTION("""COMPUTED_VALUE"""),"Lot")</f>
        <v>Lot</v>
      </c>
      <c r="H34" s="3" t="str">
        <f>IFERROR(__xludf.DUMMYFUNCTION("""COMPUTED_VALUE"""),"Email mas Umar")</f>
        <v>Email mas Umar</v>
      </c>
      <c r="I34" s="3" t="str">
        <f>IFERROR(__xludf.DUMMYFUNCTION("""COMPUTED_VALUE"""),"2303 121702765")</f>
        <v>2303 121702765</v>
      </c>
      <c r="J34" s="3" t="str">
        <f>IFERROR(__xludf.DUMMYFUNCTION("""COMPUTED_VALUE"""),"Approve")</f>
        <v>Approve</v>
      </c>
      <c r="K34" s="3" t="str">
        <f>IFERROR(__xludf.DUMMYFUNCTION("""COMPUTED_VALUE"""),"Normal")</f>
        <v>Normal</v>
      </c>
      <c r="L34" s="3" t="str">
        <f>IFERROR(__xludf.DUMMYFUNCTION("""COMPUTED_VALUE"""),"Non Urgent")</f>
        <v>Non Urgent</v>
      </c>
    </row>
    <row r="35">
      <c r="A35" s="4">
        <f>IFERROR(__xludf.DUMMYFUNCTION("""COMPUTED_VALUE"""),45834.88460204861)</f>
        <v>45834.8846</v>
      </c>
      <c r="B35" s="3" t="str">
        <f>IFERROR(__xludf.DUMMYFUNCTION("""COMPUTED_VALUE"""),"MFHJA0019")</f>
        <v>MFHJA0019</v>
      </c>
      <c r="C35" s="3" t="str">
        <f>IFERROR(__xludf.DUMMYFUNCTION("""COMPUTED_VALUE"""),"-")</f>
        <v>-</v>
      </c>
      <c r="D35" s="3" t="str">
        <f>IFERROR(__xludf.DUMMYFUNCTION("""COMPUTED_VALUE"""),"API Room")</f>
        <v>API Room</v>
      </c>
      <c r="E35" s="3" t="str">
        <f>IFERROR(__xludf.DUMMYFUNCTION("""COMPUTED_VALUE"""),"Lepas Jendela")</f>
        <v>Lepas Jendela</v>
      </c>
      <c r="F35" s="3">
        <f>IFERROR(__xludf.DUMMYFUNCTION("""COMPUTED_VALUE"""),1.0)</f>
        <v>1</v>
      </c>
      <c r="G35" s="3" t="str">
        <f>IFERROR(__xludf.DUMMYFUNCTION("""COMPUTED_VALUE"""),"Lot")</f>
        <v>Lot</v>
      </c>
      <c r="H35" s="3" t="str">
        <f>IFERROR(__xludf.DUMMYFUNCTION("""COMPUTED_VALUE"""),"Email Mas Reza")</f>
        <v>Email Mas Reza</v>
      </c>
      <c r="I35" s="3" t="str">
        <f>IFERROR(__xludf.DUMMYFUNCTION("""COMPUTED_VALUE"""),"2341 121702797")</f>
        <v>2341 121702797</v>
      </c>
      <c r="J35" s="3" t="str">
        <f>IFERROR(__xludf.DUMMYFUNCTION("""COMPUTED_VALUE"""),"Reject")</f>
        <v>Reject</v>
      </c>
      <c r="K35" s="3" t="str">
        <f>IFERROR(__xludf.DUMMYFUNCTION("""COMPUTED_VALUE"""),"Normal")</f>
        <v>Normal</v>
      </c>
      <c r="L35" s="3" t="str">
        <f>IFERROR(__xludf.DUMMYFUNCTION("""COMPUTED_VALUE"""),"Non Urgent")</f>
        <v>Non Urgent</v>
      </c>
    </row>
    <row r="36">
      <c r="A36" s="4">
        <f>IFERROR(__xludf.DUMMYFUNCTION("""COMPUTED_VALUE"""),45834.88849694444)</f>
        <v>45834.8885</v>
      </c>
      <c r="B36" s="3" t="str">
        <f>IFERROR(__xludf.DUMMYFUNCTION("""COMPUTED_VALUE"""),"MFHJA0020")</f>
        <v>MFHJA0020</v>
      </c>
      <c r="C36" s="3" t="str">
        <f>IFERROR(__xludf.DUMMYFUNCTION("""COMPUTED_VALUE"""),"-")</f>
        <v>-</v>
      </c>
      <c r="D36" s="3" t="str">
        <f>IFERROR(__xludf.DUMMYFUNCTION("""COMPUTED_VALUE"""),"Forklift")</f>
        <v>Forklift</v>
      </c>
      <c r="E36" s="3" t="str">
        <f>IFERROR(__xludf.DUMMYFUNCTION("""COMPUTED_VALUE"""),"Pengecekan Tombol Emergency")</f>
        <v>Pengecekan Tombol Emergency</v>
      </c>
      <c r="F36" s="3">
        <f>IFERROR(__xludf.DUMMYFUNCTION("""COMPUTED_VALUE"""),1.0)</f>
        <v>1</v>
      </c>
      <c r="G36" s="3" t="str">
        <f>IFERROR(__xludf.DUMMYFUNCTION("""COMPUTED_VALUE"""),"Lot")</f>
        <v>Lot</v>
      </c>
      <c r="H36" s="3" t="str">
        <f>IFERROR(__xludf.DUMMYFUNCTION("""COMPUTED_VALUE"""),"Email Mas Ken")</f>
        <v>Email Mas Ken</v>
      </c>
      <c r="I36" s="3" t="str">
        <f>IFERROR(__xludf.DUMMYFUNCTION("""COMPUTED_VALUE"""),"2358 121702824")</f>
        <v>2358 121702824</v>
      </c>
      <c r="J36" s="3" t="str">
        <f>IFERROR(__xludf.DUMMYFUNCTION("""COMPUTED_VALUE"""),"Approve")</f>
        <v>Approve</v>
      </c>
      <c r="K36" s="3" t="str">
        <f>IFERROR(__xludf.DUMMYFUNCTION("""COMPUTED_VALUE"""),"Normal")</f>
        <v>Normal</v>
      </c>
      <c r="L36" s="3" t="str">
        <f>IFERROR(__xludf.DUMMYFUNCTION("""COMPUTED_VALUE"""),"Non Urgent")</f>
        <v>Non Urgent</v>
      </c>
    </row>
    <row r="37">
      <c r="A37" s="4">
        <f>IFERROR(__xludf.DUMMYFUNCTION("""COMPUTED_VALUE"""),45834.88907025463)</f>
        <v>45834.88907</v>
      </c>
      <c r="B37" s="3" t="str">
        <f>IFERROR(__xludf.DUMMYFUNCTION("""COMPUTED_VALUE"""),"MFHJA0021")</f>
        <v>MFHJA0021</v>
      </c>
      <c r="C37" s="3" t="str">
        <f>IFERROR(__xludf.DUMMYFUNCTION("""COMPUTED_VALUE"""),"-")</f>
        <v>-</v>
      </c>
      <c r="D37" s="3" t="str">
        <f>IFERROR(__xludf.DUMMYFUNCTION("""COMPUTED_VALUE"""),"WWTP")</f>
        <v>WWTP</v>
      </c>
      <c r="E37" s="3" t="str">
        <f>IFERROR(__xludf.DUMMYFUNCTION("""COMPUTED_VALUE"""),"Perbaikan Pompa Air Hujan")</f>
        <v>Perbaikan Pompa Air Hujan</v>
      </c>
      <c r="F37" s="3">
        <f>IFERROR(__xludf.DUMMYFUNCTION("""COMPUTED_VALUE"""),1.0)</f>
        <v>1</v>
      </c>
      <c r="G37" s="3" t="str">
        <f>IFERROR(__xludf.DUMMYFUNCTION("""COMPUTED_VALUE"""),"Lot")</f>
        <v>Lot</v>
      </c>
      <c r="H37" s="3" t="str">
        <f>IFERROR(__xludf.DUMMYFUNCTION("""COMPUTED_VALUE"""),"-")</f>
        <v>-</v>
      </c>
      <c r="I37" s="3" t="str">
        <f>IFERROR(__xludf.DUMMYFUNCTION("""COMPUTED_VALUE"""),"2359 121702825")</f>
        <v>2359 121702825</v>
      </c>
      <c r="J37" s="3" t="str">
        <f>IFERROR(__xludf.DUMMYFUNCTION("""COMPUTED_VALUE"""),"Approve")</f>
        <v>Approve</v>
      </c>
      <c r="K37" s="3" t="str">
        <f>IFERROR(__xludf.DUMMYFUNCTION("""COMPUTED_VALUE"""),"Normal")</f>
        <v>Normal</v>
      </c>
      <c r="L37" s="3" t="str">
        <f>IFERROR(__xludf.DUMMYFUNCTION("""COMPUTED_VALUE"""),"Non Urgent")</f>
        <v>Non Urgent</v>
      </c>
    </row>
    <row r="38">
      <c r="A38" s="4">
        <f>IFERROR(__xludf.DUMMYFUNCTION("""COMPUTED_VALUE"""),45834.8906853125)</f>
        <v>45834.89069</v>
      </c>
      <c r="B38" s="3" t="str">
        <f>IFERROR(__xludf.DUMMYFUNCTION("""COMPUTED_VALUE"""),"MFHJA0022")</f>
        <v>MFHJA0022</v>
      </c>
      <c r="C38" s="3" t="str">
        <f>IFERROR(__xludf.DUMMYFUNCTION("""COMPUTED_VALUE"""),"-")</f>
        <v>-</v>
      </c>
      <c r="D38" s="3" t="str">
        <f>IFERROR(__xludf.DUMMYFUNCTION("""COMPUTED_VALUE"""),"Lift")</f>
        <v>Lift</v>
      </c>
      <c r="E38" s="3" t="str">
        <f>IFERROR(__xludf.DUMMYFUNCTION("""COMPUTED_VALUE"""),"Perbaikan Lift")</f>
        <v>Perbaikan Lift</v>
      </c>
      <c r="F38" s="3">
        <f>IFERROR(__xludf.DUMMYFUNCTION("""COMPUTED_VALUE"""),1.0)</f>
        <v>1</v>
      </c>
      <c r="G38" s="3" t="str">
        <f>IFERROR(__xludf.DUMMYFUNCTION("""COMPUTED_VALUE"""),"Lot")</f>
        <v>Lot</v>
      </c>
      <c r="H38" s="3" t="str">
        <f>IFERROR(__xludf.DUMMYFUNCTION("""COMPUTED_VALUE"""),"Email Mas Ken")</f>
        <v>Email Mas Ken</v>
      </c>
      <c r="I38" s="3" t="str">
        <f>IFERROR(__xludf.DUMMYFUNCTION("""COMPUTED_VALUE"""),"2365 121702833")</f>
        <v>2365 121702833</v>
      </c>
      <c r="J38" s="3" t="str">
        <f>IFERROR(__xludf.DUMMYFUNCTION("""COMPUTED_VALUE"""),"Approve")</f>
        <v>Approve</v>
      </c>
      <c r="K38" s="3" t="str">
        <f>IFERROR(__xludf.DUMMYFUNCTION("""COMPUTED_VALUE"""),"Normal")</f>
        <v>Normal</v>
      </c>
      <c r="L38" s="3" t="str">
        <f>IFERROR(__xludf.DUMMYFUNCTION("""COMPUTED_VALUE"""),"Non Urgent")</f>
        <v>Non Urgent</v>
      </c>
    </row>
    <row r="39">
      <c r="A39" s="4">
        <f>IFERROR(__xludf.DUMMYFUNCTION("""COMPUTED_VALUE"""),45834.89232247685)</f>
        <v>45834.89232</v>
      </c>
      <c r="B39" s="3" t="str">
        <f>IFERROR(__xludf.DUMMYFUNCTION("""COMPUTED_VALUE"""),"MFHJA0023")</f>
        <v>MFHJA0023</v>
      </c>
      <c r="C39" s="3" t="str">
        <f>IFERROR(__xludf.DUMMYFUNCTION("""COMPUTED_VALUE"""),"-")</f>
        <v>-</v>
      </c>
      <c r="D39" s="3" t="str">
        <f>IFERROR(__xludf.DUMMYFUNCTION("""COMPUTED_VALUE"""),"Meja Inspeksi")</f>
        <v>Meja Inspeksi</v>
      </c>
      <c r="E39" s="3" t="str">
        <f>IFERROR(__xludf.DUMMYFUNCTION("""COMPUTED_VALUE"""),"Modifikasi 1 Meja Inspeksi")</f>
        <v>Modifikasi 1 Meja Inspeksi</v>
      </c>
      <c r="F39" s="3">
        <f>IFERROR(__xludf.DUMMYFUNCTION("""COMPUTED_VALUE"""),1.0)</f>
        <v>1</v>
      </c>
      <c r="G39" s="3" t="str">
        <f>IFERROR(__xludf.DUMMYFUNCTION("""COMPUTED_VALUE"""),"Lot")</f>
        <v>Lot</v>
      </c>
      <c r="H39" s="3" t="str">
        <f>IFERROR(__xludf.DUMMYFUNCTION("""COMPUTED_VALUE"""),"Email Mas Umar")</f>
        <v>Email Mas Umar</v>
      </c>
      <c r="I39" s="3" t="str">
        <f>IFERROR(__xludf.DUMMYFUNCTION("""COMPUTED_VALUE"""),"2376 121702835")</f>
        <v>2376 121702835</v>
      </c>
      <c r="J39" s="3" t="str">
        <f>IFERROR(__xludf.DUMMYFUNCTION("""COMPUTED_VALUE"""),"Approve")</f>
        <v>Approve</v>
      </c>
      <c r="K39" s="3" t="str">
        <f>IFERROR(__xludf.DUMMYFUNCTION("""COMPUTED_VALUE"""),"Normal")</f>
        <v>Normal</v>
      </c>
      <c r="L39" s="3" t="str">
        <f>IFERROR(__xludf.DUMMYFUNCTION("""COMPUTED_VALUE"""),"Non Urgent")</f>
        <v>Non Urgent</v>
      </c>
    </row>
    <row r="40">
      <c r="A40" s="4">
        <f>IFERROR(__xludf.DUMMYFUNCTION("""COMPUTED_VALUE"""),45856.61809269676)</f>
        <v>45856.61809</v>
      </c>
      <c r="B40" s="3" t="str">
        <f>IFERROR(__xludf.DUMMYFUNCTION("""COMPUTED_VALUE"""),"MRNJA0007")</f>
        <v>MRNJA0007</v>
      </c>
      <c r="C40" s="3" t="str">
        <f>IFERROR(__xludf.DUMMYFUNCTION("""COMPUTED_VALUE"""),"EJO/2025/02/01")</f>
        <v>EJO/2025/02/01</v>
      </c>
      <c r="D40" s="3" t="str">
        <f>IFERROR(__xludf.DUMMYFUNCTION("""COMPUTED_VALUE"""),"Semua toilet")</f>
        <v>Semua toilet</v>
      </c>
      <c r="E40" s="3" t="str">
        <f>IFERROR(__xludf.DUMMYFUNCTION("""COMPUTED_VALUE"""),"Ada rembesan di mezzanine dibawah toilet jongkok eng")</f>
        <v>Ada rembesan di mezzanine dibawah toilet jongkok eng</v>
      </c>
      <c r="F40" s="3">
        <f>IFERROR(__xludf.DUMMYFUNCTION("""COMPUTED_VALUE"""),15.0)</f>
        <v>15</v>
      </c>
      <c r="G40" s="3" t="str">
        <f>IFERROR(__xludf.DUMMYFUNCTION("""COMPUTED_VALUE"""),"unit")</f>
        <v>unit</v>
      </c>
      <c r="H40" s="5" t="str">
        <f>IFERROR(__xludf.DUMMYFUNCTION("""COMPUTED_VALUE"""),"https://drive.google.com/file/d/1npVDC5zUOvm8AJ9vWLki31zmfZYo7zaC/view?usp=drive_link")</f>
        <v>https://drive.google.com/file/d/1npVDC5zUOvm8AJ9vWLki31zmfZYo7zaC/view?usp=drive_link</v>
      </c>
      <c r="I40" s="3" t="str">
        <f>IFERROR(__xludf.DUMMYFUNCTION("""COMPUTED_VALUE"""),"penawaran wira karya")</f>
        <v>penawaran wira karya</v>
      </c>
      <c r="J40" s="3" t="str">
        <f>IFERROR(__xludf.DUMMYFUNCTION("""COMPUTED_VALUE"""),"Reject")</f>
        <v>Reject</v>
      </c>
      <c r="K40" s="3" t="str">
        <f>IFERROR(__xludf.DUMMYFUNCTION("""COMPUTED_VALUE"""),"Normal")</f>
        <v>Normal</v>
      </c>
      <c r="L40" s="3" t="str">
        <f>IFERROR(__xludf.DUMMYFUNCTION("""COMPUTED_VALUE"""),"Non Urgent")</f>
        <v>Non Urgent</v>
      </c>
    </row>
    <row r="41">
      <c r="A41" s="4">
        <f>IFERROR(__xludf.DUMMYFUNCTION("""COMPUTED_VALUE"""),45860.863942337965)</f>
        <v>45860.86394</v>
      </c>
      <c r="B41" s="3" t="str">
        <f>IFERROR(__xludf.DUMMYFUNCTION("""COMPUTED_VALUE"""),"MRNJA0008")</f>
        <v>MRNJA0008</v>
      </c>
      <c r="C41" s="3" t="str">
        <f>IFERROR(__xludf.DUMMYFUNCTION("""COMPUTED_VALUE"""),"EJO/2025/02/02")</f>
        <v>EJO/2025/02/02</v>
      </c>
      <c r="D41" s="3" t="str">
        <f>IFERROR(__xludf.DUMMYFUNCTION("""COMPUTED_VALUE"""),"Toilet lantai 2")</f>
        <v>Toilet lantai 2</v>
      </c>
      <c r="E41" s="3" t="str">
        <f>IFERROR(__xludf.DUMMYFUNCTION("""COMPUTED_VALUE"""),"Ada rembesan di mezzanine dibawah toilet jongkok eng")</f>
        <v>Ada rembesan di mezzanine dibawah toilet jongkok eng</v>
      </c>
      <c r="F41" s="3">
        <f>IFERROR(__xludf.DUMMYFUNCTION("""COMPUTED_VALUE"""),1.0)</f>
        <v>1</v>
      </c>
      <c r="G41" s="3" t="str">
        <f>IFERROR(__xludf.DUMMYFUNCTION("""COMPUTED_VALUE"""),"lot")</f>
        <v>lot</v>
      </c>
      <c r="H41" s="5" t="str">
        <f>IFERROR(__xludf.DUMMYFUNCTION("""COMPUTED_VALUE"""),"https://drive.google.com/drive/folders/17mXglJ9K1YwOmSbaJqgh19jaVjU8Mwj1?usp=drive_link")</f>
        <v>https://drive.google.com/drive/folders/17mXglJ9K1YwOmSbaJqgh19jaVjU8Mwj1?usp=drive_link</v>
      </c>
      <c r="I41" s="3" t="str">
        <f>IFERROR(__xludf.DUMMYFUNCTION("""COMPUTED_VALUE"""),"penawaran wira karya (APPROVED BY MFH, KARENA SUDAH DI BUAT PR TERLEBIH DAHULU)")</f>
        <v>penawaran wira karya (APPROVED BY MFH, KARENA SUDAH DI BUAT PR TERLEBIH DAHULU)</v>
      </c>
      <c r="J41" s="3" t="str">
        <f>IFERROR(__xludf.DUMMYFUNCTION("""COMPUTED_VALUE"""),"Approve")</f>
        <v>Approve</v>
      </c>
      <c r="K41" s="3" t="str">
        <f>IFERROR(__xludf.DUMMYFUNCTION("""COMPUTED_VALUE"""),"Normal")</f>
        <v>Normal</v>
      </c>
      <c r="L41" s="3" t="str">
        <f>IFERROR(__xludf.DUMMYFUNCTION("""COMPUTED_VALUE"""),"Non Urgent")</f>
        <v>Non Urgent</v>
      </c>
    </row>
    <row r="42">
      <c r="A42" s="4">
        <f>IFERROR(__xludf.DUMMYFUNCTION("""COMPUTED_VALUE"""),45865.629318935185)</f>
        <v>45865.62932</v>
      </c>
      <c r="B42" s="3" t="str">
        <f>IFERROR(__xludf.DUMMYFUNCTION("""COMPUTED_VALUE"""),"MFHJA0024")</f>
        <v>MFHJA0024</v>
      </c>
      <c r="C42" s="3" t="str">
        <f>IFERROR(__xludf.DUMMYFUNCTION("""COMPUTED_VALUE"""),"-")</f>
        <v>-</v>
      </c>
      <c r="D42" s="3" t="str">
        <f>IFERROR(__xludf.DUMMYFUNCTION("""COMPUTED_VALUE"""),"FD")</f>
        <v>FD</v>
      </c>
      <c r="E42" s="3" t="str">
        <f>IFERROR(__xludf.DUMMYFUNCTION("""COMPUTED_VALUE"""),"Remote FD 1 Jun")</f>
        <v>Remote FD 1 Jun</v>
      </c>
      <c r="F42" s="3">
        <f>IFERROR(__xludf.DUMMYFUNCTION("""COMPUTED_VALUE"""),1.0)</f>
        <v>1</v>
      </c>
      <c r="G42" s="3" t="str">
        <f>IFERROR(__xludf.DUMMYFUNCTION("""COMPUTED_VALUE"""),"Lot")</f>
        <v>Lot</v>
      </c>
      <c r="H42" s="3" t="str">
        <f>IFERROR(__xludf.DUMMYFUNCTION("""COMPUTED_VALUE"""),"Email Mas Umar")</f>
        <v>Email Mas Umar</v>
      </c>
      <c r="I42" s="3" t="str">
        <f>IFERROR(__xludf.DUMMYFUNCTION("""COMPUTED_VALUE"""),"2452 121702900 S-60050-00")</f>
        <v>2452 121702900 S-60050-00</v>
      </c>
      <c r="J42" s="3" t="str">
        <f>IFERROR(__xludf.DUMMYFUNCTION("""COMPUTED_VALUE"""),"Approve")</f>
        <v>Approve</v>
      </c>
      <c r="K42" s="3" t="str">
        <f>IFERROR(__xludf.DUMMYFUNCTION("""COMPUTED_VALUE"""),"Normal")</f>
        <v>Normal</v>
      </c>
      <c r="L42" s="3" t="str">
        <f>IFERROR(__xludf.DUMMYFUNCTION("""COMPUTED_VALUE"""),"Non Urgent")</f>
        <v>Non Urgent</v>
      </c>
    </row>
    <row r="43">
      <c r="A43" s="4">
        <f>IFERROR(__xludf.DUMMYFUNCTION("""COMPUTED_VALUE"""),45865.630015891205)</f>
        <v>45865.63002</v>
      </c>
      <c r="B43" s="3" t="str">
        <f>IFERROR(__xludf.DUMMYFUNCTION("""COMPUTED_VALUE"""),"MFHJA0025")</f>
        <v>MFHJA0025</v>
      </c>
      <c r="C43" s="3" t="str">
        <f>IFERROR(__xludf.DUMMYFUNCTION("""COMPUTED_VALUE"""),"-")</f>
        <v>-</v>
      </c>
      <c r="D43" s="3" t="str">
        <f>IFERROR(__xludf.DUMMYFUNCTION("""COMPUTED_VALUE"""),"Washing")</f>
        <v>Washing</v>
      </c>
      <c r="E43" s="3" t="str">
        <f>IFERROR(__xludf.DUMMYFUNCTION("""COMPUTED_VALUE"""),"Perbaikan Needle")</f>
        <v>Perbaikan Needle</v>
      </c>
      <c r="F43" s="3">
        <f>IFERROR(__xludf.DUMMYFUNCTION("""COMPUTED_VALUE"""),1.0)</f>
        <v>1</v>
      </c>
      <c r="G43" s="3" t="str">
        <f>IFERROR(__xludf.DUMMYFUNCTION("""COMPUTED_VALUE"""),"Lot")</f>
        <v>Lot</v>
      </c>
      <c r="H43" s="3" t="str">
        <f>IFERROR(__xludf.DUMMYFUNCTION("""COMPUTED_VALUE"""),"WA Mas Umar")</f>
        <v>WA Mas Umar</v>
      </c>
      <c r="I43" s="3" t="str">
        <f>IFERROR(__xludf.DUMMYFUNCTION("""COMPUTED_VALUE"""),"2507 121702941 S-60050-00")</f>
        <v>2507 121702941 S-60050-00</v>
      </c>
      <c r="J43" s="3" t="str">
        <f>IFERROR(__xludf.DUMMYFUNCTION("""COMPUTED_VALUE"""),"Approve")</f>
        <v>Approve</v>
      </c>
      <c r="K43" s="3" t="str">
        <f>IFERROR(__xludf.DUMMYFUNCTION("""COMPUTED_VALUE"""),"Normal")</f>
        <v>Normal</v>
      </c>
      <c r="L43" s="3" t="str">
        <f>IFERROR(__xludf.DUMMYFUNCTION("""COMPUTED_VALUE"""),"Non Urgent")</f>
        <v>Non Urgent</v>
      </c>
    </row>
    <row r="44">
      <c r="A44" s="4">
        <f>IFERROR(__xludf.DUMMYFUNCTION("""COMPUTED_VALUE"""),45865.63041311343)</f>
        <v>45865.63041</v>
      </c>
      <c r="B44" s="3" t="str">
        <f>IFERROR(__xludf.DUMMYFUNCTION("""COMPUTED_VALUE"""),"MFHJA0026")</f>
        <v>MFHJA0026</v>
      </c>
      <c r="C44" s="3" t="str">
        <f>IFERROR(__xludf.DUMMYFUNCTION("""COMPUTED_VALUE"""),"-")</f>
        <v>-</v>
      </c>
      <c r="D44" s="3" t="str">
        <f>IFERROR(__xludf.DUMMYFUNCTION("""COMPUTED_VALUE"""),"EDM")</f>
        <v>EDM</v>
      </c>
      <c r="E44" s="3" t="str">
        <f>IFERROR(__xludf.DUMMYFUNCTION("""COMPUTED_VALUE"""),"Perbaikan Needle")</f>
        <v>Perbaikan Needle</v>
      </c>
      <c r="F44" s="3">
        <f>IFERROR(__xludf.DUMMYFUNCTION("""COMPUTED_VALUE"""),1.0)</f>
        <v>1</v>
      </c>
      <c r="G44" s="3" t="str">
        <f>IFERROR(__xludf.DUMMYFUNCTION("""COMPUTED_VALUE"""),"Lot")</f>
        <v>Lot</v>
      </c>
      <c r="H44" s="3" t="str">
        <f>IFERROR(__xludf.DUMMYFUNCTION("""COMPUTED_VALUE"""),"WA Mas Umar")</f>
        <v>WA Mas Umar</v>
      </c>
      <c r="I44" s="3" t="str">
        <f>IFERROR(__xludf.DUMMYFUNCTION("""COMPUTED_VALUE"""),"2507 121702941 S-60050-00")</f>
        <v>2507 121702941 S-60050-00</v>
      </c>
      <c r="J44" s="3" t="str">
        <f>IFERROR(__xludf.DUMMYFUNCTION("""COMPUTED_VALUE"""),"Approve")</f>
        <v>Approve</v>
      </c>
      <c r="K44" s="3" t="str">
        <f>IFERROR(__xludf.DUMMYFUNCTION("""COMPUTED_VALUE"""),"Normal")</f>
        <v>Normal</v>
      </c>
      <c r="L44" s="3" t="str">
        <f>IFERROR(__xludf.DUMMYFUNCTION("""COMPUTED_VALUE"""),"Non Urgent")</f>
        <v>Non Urgent</v>
      </c>
    </row>
    <row r="45">
      <c r="A45" s="4">
        <f>IFERROR(__xludf.DUMMYFUNCTION("""COMPUTED_VALUE"""),45865.63127168982)</f>
        <v>45865.63127</v>
      </c>
      <c r="B45" s="3" t="str">
        <f>IFERROR(__xludf.DUMMYFUNCTION("""COMPUTED_VALUE"""),"MFHJA0027")</f>
        <v>MFHJA0027</v>
      </c>
      <c r="C45" s="3" t="str">
        <f>IFERROR(__xludf.DUMMYFUNCTION("""COMPUTED_VALUE"""),"-")</f>
        <v>-</v>
      </c>
      <c r="D45" s="3" t="str">
        <f>IFERROR(__xludf.DUMMYFUNCTION("""COMPUTED_VALUE"""),"AHU")</f>
        <v>AHU</v>
      </c>
      <c r="E45" s="3" t="str">
        <f>IFERROR(__xludf.DUMMYFUNCTION("""COMPUTED_VALUE"""),"Perbaikan Display Regin")</f>
        <v>Perbaikan Display Regin</v>
      </c>
      <c r="F45" s="3">
        <f>IFERROR(__xludf.DUMMYFUNCTION("""COMPUTED_VALUE"""),1.0)</f>
        <v>1</v>
      </c>
      <c r="G45" s="3" t="str">
        <f>IFERROR(__xludf.DUMMYFUNCTION("""COMPUTED_VALUE"""),"Lot")</f>
        <v>Lot</v>
      </c>
      <c r="H45" s="3" t="str">
        <f>IFERROR(__xludf.DUMMYFUNCTION("""COMPUTED_VALUE"""),"WA Supplier")</f>
        <v>WA Supplier</v>
      </c>
      <c r="I45" s="3" t="str">
        <f>IFERROR(__xludf.DUMMYFUNCTION("""COMPUTED_VALUE"""),"2552 121702977 S-60002-00")</f>
        <v>2552 121702977 S-60002-00</v>
      </c>
      <c r="J45" s="3" t="str">
        <f>IFERROR(__xludf.DUMMYFUNCTION("""COMPUTED_VALUE"""),"Approve")</f>
        <v>Approve</v>
      </c>
      <c r="K45" s="3" t="str">
        <f>IFERROR(__xludf.DUMMYFUNCTION("""COMPUTED_VALUE"""),"Normal")</f>
        <v>Normal</v>
      </c>
      <c r="L45" s="3" t="str">
        <f>IFERROR(__xludf.DUMMYFUNCTION("""COMPUTED_VALUE"""),"Non Urgent")</f>
        <v>Non Urgent</v>
      </c>
    </row>
    <row r="46">
      <c r="A46" s="4">
        <f>IFERROR(__xludf.DUMMYFUNCTION("""COMPUTED_VALUE"""),45865.631567777775)</f>
        <v>45865.63157</v>
      </c>
      <c r="B46" s="3" t="str">
        <f>IFERROR(__xludf.DUMMYFUNCTION("""COMPUTED_VALUE"""),"MFHJA0028")</f>
        <v>MFHJA0028</v>
      </c>
      <c r="C46" s="3" t="str">
        <f>IFERROR(__xludf.DUMMYFUNCTION("""COMPUTED_VALUE"""),"-")</f>
        <v>-</v>
      </c>
      <c r="D46" s="3" t="str">
        <f>IFERROR(__xludf.DUMMYFUNCTION("""COMPUTED_VALUE"""),"Instrumen")</f>
        <v>Instrumen</v>
      </c>
      <c r="E46" s="3" t="str">
        <f>IFERROR(__xludf.DUMMYFUNCTION("""COMPUTED_VALUE"""),"Perbaikan Mainboard Photometer")</f>
        <v>Perbaikan Mainboard Photometer</v>
      </c>
      <c r="F46" s="3">
        <f>IFERROR(__xludf.DUMMYFUNCTION("""COMPUTED_VALUE"""),1.0)</f>
        <v>1</v>
      </c>
      <c r="G46" s="3" t="str">
        <f>IFERROR(__xludf.DUMMYFUNCTION("""COMPUTED_VALUE"""),"Lot")</f>
        <v>Lot</v>
      </c>
      <c r="H46" s="3" t="str">
        <f>IFERROR(__xludf.DUMMYFUNCTION("""COMPUTED_VALUE"""),"WA Supplier")</f>
        <v>WA Supplier</v>
      </c>
      <c r="I46" s="3" t="str">
        <f>IFERROR(__xludf.DUMMYFUNCTION("""COMPUTED_VALUE"""),"2553 121702977 S-60002-00")</f>
        <v>2553 121702977 S-60002-00</v>
      </c>
      <c r="J46" s="3" t="str">
        <f>IFERROR(__xludf.DUMMYFUNCTION("""COMPUTED_VALUE"""),"Approve")</f>
        <v>Approve</v>
      </c>
      <c r="K46" s="3" t="str">
        <f>IFERROR(__xludf.DUMMYFUNCTION("""COMPUTED_VALUE"""),"Normal")</f>
        <v>Normal</v>
      </c>
      <c r="L46" s="3" t="str">
        <f>IFERROR(__xludf.DUMMYFUNCTION("""COMPUTED_VALUE"""),"Non Urgent")</f>
        <v>Non Urgent</v>
      </c>
    </row>
    <row r="47">
      <c r="A47" s="4">
        <f>IFERROR(__xludf.DUMMYFUNCTION("""COMPUTED_VALUE"""),45865.63220241898)</f>
        <v>45865.6322</v>
      </c>
      <c r="B47" s="3" t="str">
        <f>IFERROR(__xludf.DUMMYFUNCTION("""COMPUTED_VALUE"""),"MFHJA0029")</f>
        <v>MFHJA0029</v>
      </c>
      <c r="C47" s="3" t="str">
        <f>IFERROR(__xludf.DUMMYFUNCTION("""COMPUTED_VALUE"""),"-")</f>
        <v>-</v>
      </c>
      <c r="D47" s="3" t="str">
        <f>IFERROR(__xludf.DUMMYFUNCTION("""COMPUTED_VALUE"""),"UPS")</f>
        <v>UPS</v>
      </c>
      <c r="E47" s="3" t="str">
        <f>IFERROR(__xludf.DUMMYFUNCTION("""COMPUTED_VALUE"""),"Perbaikan Main Board UPS")</f>
        <v>Perbaikan Main Board UPS</v>
      </c>
      <c r="F47" s="3">
        <f>IFERROR(__xludf.DUMMYFUNCTION("""COMPUTED_VALUE"""),1.0)</f>
        <v>1</v>
      </c>
      <c r="G47" s="3" t="str">
        <f>IFERROR(__xludf.DUMMYFUNCTION("""COMPUTED_VALUE"""),"Lot")</f>
        <v>Lot</v>
      </c>
      <c r="H47" s="3" t="str">
        <f>IFERROR(__xludf.DUMMYFUNCTION("""COMPUTED_VALUE"""),"WA Supplier")</f>
        <v>WA Supplier</v>
      </c>
      <c r="I47" s="3" t="str">
        <f>IFERROR(__xludf.DUMMYFUNCTION("""COMPUTED_VALUE"""),"2554 121702977 S-60002-00")</f>
        <v>2554 121702977 S-60002-00</v>
      </c>
      <c r="J47" s="3" t="str">
        <f>IFERROR(__xludf.DUMMYFUNCTION("""COMPUTED_VALUE"""),"Approve")</f>
        <v>Approve</v>
      </c>
      <c r="K47" s="3" t="str">
        <f>IFERROR(__xludf.DUMMYFUNCTION("""COMPUTED_VALUE"""),"Normal")</f>
        <v>Normal</v>
      </c>
      <c r="L47" s="3" t="str">
        <f>IFERROR(__xludf.DUMMYFUNCTION("""COMPUTED_VALUE"""),"Non Urgent")</f>
        <v>Non Urgent</v>
      </c>
    </row>
    <row r="48">
      <c r="A48" s="4">
        <f>IFERROR(__xludf.DUMMYFUNCTION("""COMPUTED_VALUE"""),45865.63757422454)</f>
        <v>45865.63757</v>
      </c>
      <c r="B48" s="3" t="str">
        <f>IFERROR(__xludf.DUMMYFUNCTION("""COMPUTED_VALUE"""),"MFHJA0030")</f>
        <v>MFHJA0030</v>
      </c>
      <c r="C48" s="3" t="str">
        <f>IFERROR(__xludf.DUMMYFUNCTION("""COMPUTED_VALUE"""),"-")</f>
        <v>-</v>
      </c>
      <c r="D48" s="3" t="str">
        <f>IFERROR(__xludf.DUMMYFUNCTION("""COMPUTED_VALUE"""),"Lab")</f>
        <v>Lab</v>
      </c>
      <c r="E48" s="3" t="str">
        <f>IFERROR(__xludf.DUMMYFUNCTION("""COMPUTED_VALUE"""),"Perbaikan Motor Fumehood")</f>
        <v>Perbaikan Motor Fumehood</v>
      </c>
      <c r="F48" s="3">
        <f>IFERROR(__xludf.DUMMYFUNCTION("""COMPUTED_VALUE"""),1.0)</f>
        <v>1</v>
      </c>
      <c r="G48" s="3" t="str">
        <f>IFERROR(__xludf.DUMMYFUNCTION("""COMPUTED_VALUE"""),"Lot")</f>
        <v>Lot</v>
      </c>
      <c r="H48" s="3" t="str">
        <f>IFERROR(__xludf.DUMMYFUNCTION("""COMPUTED_VALUE"""),"WA Supplier")</f>
        <v>WA Supplier</v>
      </c>
      <c r="I48" s="3" t="str">
        <f>IFERROR(__xludf.DUMMYFUNCTION("""COMPUTED_VALUE"""),"2519 121702947 T-20002-00")</f>
        <v>2519 121702947 T-20002-00</v>
      </c>
      <c r="J48" s="3" t="str">
        <f>IFERROR(__xludf.DUMMYFUNCTION("""COMPUTED_VALUE"""),"Approve")</f>
        <v>Approve</v>
      </c>
      <c r="K48" s="3" t="str">
        <f>IFERROR(__xludf.DUMMYFUNCTION("""COMPUTED_VALUE"""),"Normal")</f>
        <v>Normal</v>
      </c>
      <c r="L48" s="3" t="str">
        <f>IFERROR(__xludf.DUMMYFUNCTION("""COMPUTED_VALUE"""),"Non Urgent")</f>
        <v>Non Urgent</v>
      </c>
    </row>
    <row r="49">
      <c r="A49" s="4">
        <f>IFERROR(__xludf.DUMMYFUNCTION("""COMPUTED_VALUE"""),45865.64315780093)</f>
        <v>45865.64316</v>
      </c>
      <c r="B49" s="3" t="str">
        <f>IFERROR(__xludf.DUMMYFUNCTION("""COMPUTED_VALUE"""),"MFHJA0031")</f>
        <v>MFHJA0031</v>
      </c>
      <c r="C49" s="3" t="str">
        <f>IFERROR(__xludf.DUMMYFUNCTION("""COMPUTED_VALUE"""),"-")</f>
        <v>-</v>
      </c>
      <c r="D49" s="3" t="str">
        <f>IFERROR(__xludf.DUMMYFUNCTION("""COMPUTED_VALUE"""),"Lab")</f>
        <v>Lab</v>
      </c>
      <c r="E49" s="3" t="str">
        <f>IFERROR(__xludf.DUMMYFUNCTION("""COMPUTED_VALUE"""),"Pembuatan Desolution Tester")</f>
        <v>Pembuatan Desolution Tester</v>
      </c>
      <c r="F49" s="3">
        <f>IFERROR(__xludf.DUMMYFUNCTION("""COMPUTED_VALUE"""),1.0)</f>
        <v>1</v>
      </c>
      <c r="G49" s="3" t="str">
        <f>IFERROR(__xludf.DUMMYFUNCTION("""COMPUTED_VALUE"""),"Lot")</f>
        <v>Lot</v>
      </c>
      <c r="H49" s="3" t="str">
        <f>IFERROR(__xludf.DUMMYFUNCTION("""COMPUTED_VALUE"""),"WA Mas Umar")</f>
        <v>WA Mas Umar</v>
      </c>
      <c r="I49" s="3" t="str">
        <f>IFERROR(__xludf.DUMMYFUNCTION("""COMPUTED_VALUE"""),"2580 121703019 T-20002-00")</f>
        <v>2580 121703019 T-20002-00</v>
      </c>
      <c r="J49" s="3" t="str">
        <f>IFERROR(__xludf.DUMMYFUNCTION("""COMPUTED_VALUE"""),"Approve")</f>
        <v>Approve</v>
      </c>
      <c r="K49" s="3" t="str">
        <f>IFERROR(__xludf.DUMMYFUNCTION("""COMPUTED_VALUE"""),"Normal")</f>
        <v>Normal</v>
      </c>
      <c r="L49" s="3" t="str">
        <f>IFERROR(__xludf.DUMMYFUNCTION("""COMPUTED_VALUE"""),"Non Urgent")</f>
        <v>Non Urgent</v>
      </c>
    </row>
    <row r="50">
      <c r="A50" s="4">
        <f>IFERROR(__xludf.DUMMYFUNCTION("""COMPUTED_VALUE"""),45868.37231552083)</f>
        <v>45868.37232</v>
      </c>
      <c r="B50" s="3" t="str">
        <f>IFERROR(__xludf.DUMMYFUNCTION("""COMPUTED_VALUE"""),"MRNJA0009")</f>
        <v>MRNJA0009</v>
      </c>
      <c r="C50" s="3" t="str">
        <f>IFERROR(__xludf.DUMMYFUNCTION("""COMPUTED_VALUE"""),"EJO/2025/01/119")</f>
        <v>EJO/2025/01/119</v>
      </c>
      <c r="D50" s="3" t="str">
        <f>IFERROR(__xludf.DUMMYFUNCTION("""COMPUTED_VALUE"""),"Warehouse")</f>
        <v>Warehouse</v>
      </c>
      <c r="E50" s="3" t="str">
        <f>IFERROR(__xludf.DUMMYFUNCTION("""COMPUTED_VALUE"""),"Sutter door rusak")</f>
        <v>Sutter door rusak</v>
      </c>
      <c r="F50" s="3">
        <f>IFERROR(__xludf.DUMMYFUNCTION("""COMPUTED_VALUE"""),1.0)</f>
        <v>1</v>
      </c>
      <c r="G50" s="3" t="str">
        <f>IFERROR(__xludf.DUMMYFUNCTION("""COMPUTED_VALUE"""),"lot")</f>
        <v>lot</v>
      </c>
      <c r="H50" s="5" t="str">
        <f>IFERROR(__xludf.DUMMYFUNCTION("""COMPUTED_VALUE"""),"https://drive.google.com/file/d/1LoODjj6kphgkZ98SaZaUvvgZWiw-_AFu/view?usp=drive_link")</f>
        <v>https://drive.google.com/file/d/1LoODjj6kphgkZ98SaZaUvvgZWiw-_AFu/view?usp=drive_link</v>
      </c>
      <c r="I50" s="3" t="str">
        <f>IFERROR(__xludf.DUMMYFUNCTION("""COMPUTED_VALUE"""),"Penawaran suter door")</f>
        <v>Penawaran suter door</v>
      </c>
      <c r="J50" s="3" t="str">
        <f>IFERROR(__xludf.DUMMYFUNCTION("""COMPUTED_VALUE"""),"Approve")</f>
        <v>Approve</v>
      </c>
      <c r="K50" s="3" t="str">
        <f>IFERROR(__xludf.DUMMYFUNCTION("""COMPUTED_VALUE"""),"Normal")</f>
        <v>Normal</v>
      </c>
      <c r="L50" s="3" t="str">
        <f>IFERROR(__xludf.DUMMYFUNCTION("""COMPUTED_VALUE"""),"Non Urgent")</f>
        <v>Non Urgent</v>
      </c>
    </row>
    <row r="51">
      <c r="A51" s="4">
        <f>IFERROR(__xludf.DUMMYFUNCTION("""COMPUTED_VALUE"""),45884.57668288195)</f>
        <v>45884.57668</v>
      </c>
      <c r="B51" s="3" t="str">
        <f>IFERROR(__xludf.DUMMYFUNCTION("""COMPUTED_VALUE"""),"INNJA0004")</f>
        <v>INNJA0004</v>
      </c>
      <c r="C51" s="3" t="str">
        <f>IFERROR(__xludf.DUMMYFUNCTION("""COMPUTED_VALUE"""),"EJO/2025/08/190")</f>
        <v>EJO/2025/08/190</v>
      </c>
      <c r="D51" s="3" t="str">
        <f>IFERROR(__xludf.DUMMYFUNCTION("""COMPUTED_VALUE"""),"Dry Lab")</f>
        <v>Dry Lab</v>
      </c>
      <c r="E51" s="3" t="str">
        <f>IFERROR(__xludf.DUMMYFUNCTION("""COMPUTED_VALUE"""),"Perbaikan Weterbath")</f>
        <v>Perbaikan Weterbath</v>
      </c>
      <c r="F51" s="3">
        <f>IFERROR(__xludf.DUMMYFUNCTION("""COMPUTED_VALUE"""),1.0)</f>
        <v>1</v>
      </c>
      <c r="G51" s="3" t="str">
        <f>IFERROR(__xludf.DUMMYFUNCTION("""COMPUTED_VALUE"""),"Lot")</f>
        <v>Lot</v>
      </c>
      <c r="H51" s="5" t="str">
        <f>IFERROR(__xludf.DUMMYFUNCTION("""COMPUTED_VALUE"""),"https://drive.google.com/file/d/1F2uqlJFYcJigpqNY7BEjQLnMRBY9xb6E/view?usp=drive_link")</f>
        <v>https://drive.google.com/file/d/1F2uqlJFYcJigpqNY7BEjQLnMRBY9xb6E/view?usp=drive_link</v>
      </c>
      <c r="I51" s="3" t="str">
        <f>IFERROR(__xludf.DUMMYFUNCTION("""COMPUTED_VALUE"""),"Sesuai penwaran")</f>
        <v>Sesuai penwaran</v>
      </c>
      <c r="J51" s="3" t="str">
        <f>IFERROR(__xludf.DUMMYFUNCTION("""COMPUTED_VALUE"""),"Approve")</f>
        <v>Approve</v>
      </c>
      <c r="K51" s="3" t="str">
        <f>IFERROR(__xludf.DUMMYFUNCTION("""COMPUTED_VALUE"""),"Normal")</f>
        <v>Normal</v>
      </c>
      <c r="L51" s="3" t="str">
        <f>IFERROR(__xludf.DUMMYFUNCTION("""COMPUTED_VALUE"""),"Non Urgent")</f>
        <v>Non Urgent</v>
      </c>
    </row>
    <row r="52">
      <c r="A52" s="4">
        <f>IFERROR(__xludf.DUMMYFUNCTION("""COMPUTED_VALUE"""),45910.93376961805)</f>
        <v>45910.93377</v>
      </c>
      <c r="B52" s="3" t="str">
        <f>IFERROR(__xludf.DUMMYFUNCTION("""COMPUTED_VALUE"""),"MFHJA0032")</f>
        <v>MFHJA0032</v>
      </c>
      <c r="C52" s="3" t="str">
        <f>IFERROR(__xludf.DUMMYFUNCTION("""COMPUTED_VALUE"""),"-")</f>
        <v>-</v>
      </c>
      <c r="D52" s="3" t="str">
        <f>IFERROR(__xludf.DUMMYFUNCTION("""COMPUTED_VALUE"""),"Lab")</f>
        <v>Lab</v>
      </c>
      <c r="E52" s="3" t="str">
        <f>IFERROR(__xludf.DUMMYFUNCTION("""COMPUTED_VALUE"""),"Perbaikan Kompresor CC Retain Sample")</f>
        <v>Perbaikan Kompresor CC Retain Sample</v>
      </c>
      <c r="F52" s="3">
        <f>IFERROR(__xludf.DUMMYFUNCTION("""COMPUTED_VALUE"""),1.0)</f>
        <v>1</v>
      </c>
      <c r="G52" s="3" t="str">
        <f>IFERROR(__xludf.DUMMYFUNCTION("""COMPUTED_VALUE"""),"Lot")</f>
        <v>Lot</v>
      </c>
      <c r="H52" s="3" t="str">
        <f>IFERROR(__xludf.DUMMYFUNCTION("""COMPUTED_VALUE"""),"Email Mas Umar")</f>
        <v>Email Mas Umar</v>
      </c>
      <c r="I52" s="3" t="str">
        <f>IFERROR(__xludf.DUMMYFUNCTION("""COMPUTED_VALUE"""),"2586 121703029 S-6050-00")</f>
        <v>2586 121703029 S-6050-00</v>
      </c>
      <c r="J52" s="3" t="str">
        <f>IFERROR(__xludf.DUMMYFUNCTION("""COMPUTED_VALUE"""),"Approve")</f>
        <v>Approve</v>
      </c>
      <c r="K52" s="3" t="str">
        <f>IFERROR(__xludf.DUMMYFUNCTION("""COMPUTED_VALUE"""),"Normal")</f>
        <v>Normal</v>
      </c>
      <c r="L52" s="3" t="str">
        <f>IFERROR(__xludf.DUMMYFUNCTION("""COMPUTED_VALUE"""),"Non Urgent")</f>
        <v>Non Urgent</v>
      </c>
    </row>
    <row r="53">
      <c r="A53" s="4">
        <f>IFERROR(__xludf.DUMMYFUNCTION("""COMPUTED_VALUE"""),45910.93439554398)</f>
        <v>45910.9344</v>
      </c>
      <c r="B53" s="3" t="str">
        <f>IFERROR(__xludf.DUMMYFUNCTION("""COMPUTED_VALUE"""),"MFHJA0033")</f>
        <v>MFHJA0033</v>
      </c>
      <c r="C53" s="3" t="str">
        <f>IFERROR(__xludf.DUMMYFUNCTION("""COMPUTED_VALUE"""),"-")</f>
        <v>-</v>
      </c>
      <c r="D53" s="3" t="str">
        <f>IFERROR(__xludf.DUMMYFUNCTION("""COMPUTED_VALUE"""),"Washing")</f>
        <v>Washing</v>
      </c>
      <c r="E53" s="3" t="str">
        <f>IFERROR(__xludf.DUMMYFUNCTION("""COMPUTED_VALUE"""),"Perbaikan Needle Washing")</f>
        <v>Perbaikan Needle Washing</v>
      </c>
      <c r="F53" s="3">
        <f>IFERROR(__xludf.DUMMYFUNCTION("""COMPUTED_VALUE"""),1.0)</f>
        <v>1</v>
      </c>
      <c r="G53" s="3" t="str">
        <f>IFERROR(__xludf.DUMMYFUNCTION("""COMPUTED_VALUE"""),"Lot")</f>
        <v>Lot</v>
      </c>
      <c r="H53" s="3" t="str">
        <f>IFERROR(__xludf.DUMMYFUNCTION("""COMPUTED_VALUE"""),"Email Mas Irwan")</f>
        <v>Email Mas Irwan</v>
      </c>
      <c r="I53" s="3" t="str">
        <f>IFERROR(__xludf.DUMMYFUNCTION("""COMPUTED_VALUE"""),"2593 121703036 S-60050-00")</f>
        <v>2593 121703036 S-60050-00</v>
      </c>
      <c r="J53" s="3" t="str">
        <f>IFERROR(__xludf.DUMMYFUNCTION("""COMPUTED_VALUE"""),"Approve")</f>
        <v>Approve</v>
      </c>
      <c r="K53" s="3" t="str">
        <f>IFERROR(__xludf.DUMMYFUNCTION("""COMPUTED_VALUE"""),"Normal")</f>
        <v>Normal</v>
      </c>
      <c r="L53" s="3" t="str">
        <f>IFERROR(__xludf.DUMMYFUNCTION("""COMPUTED_VALUE"""),"Non Urgent")</f>
        <v>Non Urgent</v>
      </c>
    </row>
    <row r="54">
      <c r="A54" s="4">
        <f>IFERROR(__xludf.DUMMYFUNCTION("""COMPUTED_VALUE"""),45921.4442130324)</f>
        <v>45921.44421</v>
      </c>
      <c r="B54" s="3" t="str">
        <f>IFERROR(__xludf.DUMMYFUNCTION("""COMPUTED_VALUE"""),"MFHJA0034")</f>
        <v>MFHJA0034</v>
      </c>
      <c r="C54" s="3" t="str">
        <f>IFERROR(__xludf.DUMMYFUNCTION("""COMPUTED_VALUE"""),"-")</f>
        <v>-</v>
      </c>
      <c r="D54" s="3" t="str">
        <f>IFERROR(__xludf.DUMMYFUNCTION("""COMPUTED_VALUE"""),"Mixing")</f>
        <v>Mixing</v>
      </c>
      <c r="E54" s="3" t="str">
        <f>IFERROR(__xludf.DUMMYFUNCTION("""COMPUTED_VALUE"""),"Perbaikan PC Mixing")</f>
        <v>Perbaikan PC Mixing</v>
      </c>
      <c r="F54" s="3">
        <f>IFERROR(__xludf.DUMMYFUNCTION("""COMPUTED_VALUE"""),1.0)</f>
        <v>1</v>
      </c>
      <c r="G54" s="3" t="str">
        <f>IFERROR(__xludf.DUMMYFUNCTION("""COMPUTED_VALUE"""),"Lot")</f>
        <v>Lot</v>
      </c>
      <c r="H54" s="3" t="str">
        <f>IFERROR(__xludf.DUMMYFUNCTION("""COMPUTED_VALUE"""),"Email Mas Umar")</f>
        <v>Email Mas Umar</v>
      </c>
      <c r="I54" s="3" t="str">
        <f>IFERROR(__xludf.DUMMYFUNCTION("""COMPUTED_VALUE"""),"2672 121703099 S-60002-00")</f>
        <v>2672 121703099 S-60002-00</v>
      </c>
      <c r="J54" s="3" t="str">
        <f>IFERROR(__xludf.DUMMYFUNCTION("""COMPUTED_VALUE"""),"Approve")</f>
        <v>Approve</v>
      </c>
      <c r="K54" s="3" t="str">
        <f>IFERROR(__xludf.DUMMYFUNCTION("""COMPUTED_VALUE"""),"Normal")</f>
        <v>Normal</v>
      </c>
      <c r="L54" s="3" t="str">
        <f>IFERROR(__xludf.DUMMYFUNCTION("""COMPUTED_VALUE"""),"Non Urgent")</f>
        <v>Non Urgent</v>
      </c>
    </row>
    <row r="55">
      <c r="A55" s="4">
        <f>IFERROR(__xludf.DUMMYFUNCTION("""COMPUTED_VALUE"""),45921.445608078706)</f>
        <v>45921.44561</v>
      </c>
      <c r="B55" s="3" t="str">
        <f>IFERROR(__xludf.DUMMYFUNCTION("""COMPUTED_VALUE"""),"MFHJA0035")</f>
        <v>MFHJA0035</v>
      </c>
      <c r="C55" s="3" t="str">
        <f>IFERROR(__xludf.DUMMYFUNCTION("""COMPUTED_VALUE"""),"-")</f>
        <v>-</v>
      </c>
      <c r="D55" s="3" t="str">
        <f>IFERROR(__xludf.DUMMYFUNCTION("""COMPUTED_VALUE"""),"FD")</f>
        <v>FD</v>
      </c>
      <c r="E55" s="3" t="str">
        <f>IFERROR(__xludf.DUMMYFUNCTION("""COMPUTED_VALUE"""),"Tabungan Remote FD")</f>
        <v>Tabungan Remote FD</v>
      </c>
      <c r="F55" s="3">
        <f>IFERROR(__xludf.DUMMYFUNCTION("""COMPUTED_VALUE"""),1.0)</f>
        <v>1</v>
      </c>
      <c r="G55" s="3" t="str">
        <f>IFERROR(__xludf.DUMMYFUNCTION("""COMPUTED_VALUE"""),"Lot")</f>
        <v>Lot</v>
      </c>
      <c r="H55" s="3" t="str">
        <f>IFERROR(__xludf.DUMMYFUNCTION("""COMPUTED_VALUE"""),"Email Mas Umar")</f>
        <v>Email Mas Umar</v>
      </c>
      <c r="I55" s="3" t="str">
        <f>IFERROR(__xludf.DUMMYFUNCTION("""COMPUTED_VALUE"""),"2675 121703104 S-60050-00")</f>
        <v>2675 121703104 S-60050-00</v>
      </c>
      <c r="J55" s="3" t="str">
        <f>IFERROR(__xludf.DUMMYFUNCTION("""COMPUTED_VALUE"""),"Approve")</f>
        <v>Approve</v>
      </c>
      <c r="K55" s="3" t="str">
        <f>IFERROR(__xludf.DUMMYFUNCTION("""COMPUTED_VALUE"""),"Normal")</f>
        <v>Normal</v>
      </c>
      <c r="L55" s="3" t="str">
        <f>IFERROR(__xludf.DUMMYFUNCTION("""COMPUTED_VALUE"""),"Non Urgent")</f>
        <v>Non Urgent</v>
      </c>
    </row>
    <row r="56">
      <c r="A56" s="4">
        <f>IFERROR(__xludf.DUMMYFUNCTION("""COMPUTED_VALUE"""),45921.44886924769)</f>
        <v>45921.44887</v>
      </c>
      <c r="B56" s="3" t="str">
        <f>IFERROR(__xludf.DUMMYFUNCTION("""COMPUTED_VALUE"""),"MFHJA0036")</f>
        <v>MFHJA0036</v>
      </c>
      <c r="C56" s="3" t="str">
        <f>IFERROR(__xludf.DUMMYFUNCTION("""COMPUTED_VALUE"""),"-")</f>
        <v>-</v>
      </c>
      <c r="D56" s="3" t="str">
        <f>IFERROR(__xludf.DUMMYFUNCTION("""COMPUTED_VALUE"""),"Washing")</f>
        <v>Washing</v>
      </c>
      <c r="E56" s="3" t="str">
        <f>IFERROR(__xludf.DUMMYFUNCTION("""COMPUTED_VALUE"""),"Backup Data Harddisk Mesin")</f>
        <v>Backup Data Harddisk Mesin</v>
      </c>
      <c r="F56" s="3">
        <f>IFERROR(__xludf.DUMMYFUNCTION("""COMPUTED_VALUE"""),1.0)</f>
        <v>1</v>
      </c>
      <c r="G56" s="3" t="str">
        <f>IFERROR(__xludf.DUMMYFUNCTION("""COMPUTED_VALUE"""),"Lot")</f>
        <v>Lot</v>
      </c>
      <c r="H56" s="3" t="str">
        <f>IFERROR(__xludf.DUMMYFUNCTION("""COMPUTED_VALUE"""),"Email Mas Umar")</f>
        <v>Email Mas Umar</v>
      </c>
      <c r="I56" s="3" t="str">
        <f>IFERROR(__xludf.DUMMYFUNCTION("""COMPUTED_VALUE"""),"2682 121703116 S-60050-00")</f>
        <v>2682 121703116 S-60050-00</v>
      </c>
      <c r="J56" s="3" t="str">
        <f>IFERROR(__xludf.DUMMYFUNCTION("""COMPUTED_VALUE"""),"Reject")</f>
        <v>Reject</v>
      </c>
      <c r="K56" s="3" t="str">
        <f>IFERROR(__xludf.DUMMYFUNCTION("""COMPUTED_VALUE"""),"Normal")</f>
        <v>Normal</v>
      </c>
      <c r="L56" s="3" t="str">
        <f>IFERROR(__xludf.DUMMYFUNCTION("""COMPUTED_VALUE"""),"Non Urgent")</f>
        <v>Non Urgent</v>
      </c>
    </row>
    <row r="57">
      <c r="A57" s="4">
        <f>IFERROR(__xludf.DUMMYFUNCTION("""COMPUTED_VALUE"""),45921.45370528936)</f>
        <v>45921.45371</v>
      </c>
      <c r="B57" s="3" t="str">
        <f>IFERROR(__xludf.DUMMYFUNCTION("""COMPUTED_VALUE"""),"MFHJA0037")</f>
        <v>MFHJA0037</v>
      </c>
      <c r="C57" s="3" t="str">
        <f>IFERROR(__xludf.DUMMYFUNCTION("""COMPUTED_VALUE"""),"-")</f>
        <v>-</v>
      </c>
      <c r="D57" s="3" t="str">
        <f>IFERROR(__xludf.DUMMYFUNCTION("""COMPUTED_VALUE"""),"AHU")</f>
        <v>AHU</v>
      </c>
      <c r="E57" s="3" t="str">
        <f>IFERROR(__xludf.DUMMYFUNCTION("""COMPUTED_VALUE"""),"Penggantian Bibo")</f>
        <v>Penggantian Bibo</v>
      </c>
      <c r="F57" s="3">
        <f>IFERROR(__xludf.DUMMYFUNCTION("""COMPUTED_VALUE"""),1.0)</f>
        <v>1</v>
      </c>
      <c r="G57" s="3" t="str">
        <f>IFERROR(__xludf.DUMMYFUNCTION("""COMPUTED_VALUE"""),"Lot")</f>
        <v>Lot</v>
      </c>
      <c r="H57" s="3" t="str">
        <f>IFERROR(__xludf.DUMMYFUNCTION("""COMPUTED_VALUE"""),"WA Mas Ken")</f>
        <v>WA Mas Ken</v>
      </c>
      <c r="I57" s="3" t="str">
        <f>IFERROR(__xludf.DUMMYFUNCTION("""COMPUTED_VALUE"""),"2696 121703131 S-60002-00")</f>
        <v>2696 121703131 S-60002-00</v>
      </c>
      <c r="J57" s="3" t="str">
        <f>IFERROR(__xludf.DUMMYFUNCTION("""COMPUTED_VALUE"""),"Approve")</f>
        <v>Approve</v>
      </c>
      <c r="K57" s="3" t="str">
        <f>IFERROR(__xludf.DUMMYFUNCTION("""COMPUTED_VALUE"""),"Normal")</f>
        <v>Normal</v>
      </c>
      <c r="L57" s="3" t="str">
        <f>IFERROR(__xludf.DUMMYFUNCTION("""COMPUTED_VALUE"""),"Non Urgent")</f>
        <v>Non Urgent</v>
      </c>
    </row>
    <row r="58">
      <c r="A58" s="4">
        <f>IFERROR(__xludf.DUMMYFUNCTION("""COMPUTED_VALUE"""),45921.45562086806)</f>
        <v>45921.45562</v>
      </c>
      <c r="B58" s="3" t="str">
        <f>IFERROR(__xludf.DUMMYFUNCTION("""COMPUTED_VALUE"""),"MFHJA0038")</f>
        <v>MFHJA0038</v>
      </c>
      <c r="C58" s="3" t="str">
        <f>IFERROR(__xludf.DUMMYFUNCTION("""COMPUTED_VALUE"""),"-")</f>
        <v>-</v>
      </c>
      <c r="D58" s="3" t="str">
        <f>IFERROR(__xludf.DUMMYFUNCTION("""COMPUTED_VALUE"""),"Forklift")</f>
        <v>Forklift</v>
      </c>
      <c r="E58" s="3" t="str">
        <f>IFERROR(__xludf.DUMMYFUNCTION("""COMPUTED_VALUE"""),"Pergantian Forklift")</f>
        <v>Pergantian Forklift</v>
      </c>
      <c r="F58" s="3">
        <f>IFERROR(__xludf.DUMMYFUNCTION("""COMPUTED_VALUE"""),1.0)</f>
        <v>1</v>
      </c>
      <c r="G58" s="3" t="str">
        <f>IFERROR(__xludf.DUMMYFUNCTION("""COMPUTED_VALUE"""),"Lot")</f>
        <v>Lot</v>
      </c>
      <c r="H58" s="3" t="str">
        <f>IFERROR(__xludf.DUMMYFUNCTION("""COMPUTED_VALUE"""),"WA Mas Ken")</f>
        <v>WA Mas Ken</v>
      </c>
      <c r="I58" s="3" t="str">
        <f>IFERROR(__xludf.DUMMYFUNCTION("""COMPUTED_VALUE"""),"2705 121703139 S-60002-00")</f>
        <v>2705 121703139 S-60002-00</v>
      </c>
      <c r="J58" s="3" t="str">
        <f>IFERROR(__xludf.DUMMYFUNCTION("""COMPUTED_VALUE"""),"Approve")</f>
        <v>Approve</v>
      </c>
      <c r="K58" s="3" t="str">
        <f>IFERROR(__xludf.DUMMYFUNCTION("""COMPUTED_VALUE"""),"Normal")</f>
        <v>Normal</v>
      </c>
      <c r="L58" s="3" t="str">
        <f>IFERROR(__xludf.DUMMYFUNCTION("""COMPUTED_VALUE"""),"Non Urgent")</f>
        <v>Non Urgent</v>
      </c>
    </row>
    <row r="59">
      <c r="A59" s="4">
        <f>IFERROR(__xludf.DUMMYFUNCTION("""COMPUTED_VALUE"""),45921.45977744213)</f>
        <v>45921.45978</v>
      </c>
      <c r="B59" s="3" t="str">
        <f>IFERROR(__xludf.DUMMYFUNCTION("""COMPUTED_VALUE"""),"MFHJA0039")</f>
        <v>MFHJA0039</v>
      </c>
      <c r="C59" s="3" t="str">
        <f>IFERROR(__xludf.DUMMYFUNCTION("""COMPUTED_VALUE"""),"-")</f>
        <v>-</v>
      </c>
      <c r="D59" s="3" t="str">
        <f>IFERROR(__xludf.DUMMYFUNCTION("""COMPUTED_VALUE"""),"HPLC")</f>
        <v>HPLC</v>
      </c>
      <c r="E59" s="3" t="str">
        <f>IFERROR(__xludf.DUMMYFUNCTION("""COMPUTED_VALUE"""),"TAP 4 Unit")</f>
        <v>TAP 4 Unit</v>
      </c>
      <c r="F59" s="3">
        <f>IFERROR(__xludf.DUMMYFUNCTION("""COMPUTED_VALUE"""),1.0)</f>
        <v>1</v>
      </c>
      <c r="G59" s="3" t="str">
        <f>IFERROR(__xludf.DUMMYFUNCTION("""COMPUTED_VALUE"""),"Lot")</f>
        <v>Lot</v>
      </c>
      <c r="H59" s="3" t="str">
        <f>IFERROR(__xludf.DUMMYFUNCTION("""COMPUTED_VALUE"""),"WA Pak Kris")</f>
        <v>WA Pak Kris</v>
      </c>
      <c r="I59" s="3" t="str">
        <f>IFERROR(__xludf.DUMMYFUNCTION("""COMPUTED_VALUE"""),"2735 121703161 T-20002-00")</f>
        <v>2735 121703161 T-20002-00</v>
      </c>
      <c r="J59" s="3" t="str">
        <f>IFERROR(__xludf.DUMMYFUNCTION("""COMPUTED_VALUE"""),"Approve")</f>
        <v>Approve</v>
      </c>
      <c r="K59" s="3" t="str">
        <f>IFERROR(__xludf.DUMMYFUNCTION("""COMPUTED_VALUE"""),"Normal")</f>
        <v>Normal</v>
      </c>
      <c r="L59" s="3" t="str">
        <f>IFERROR(__xludf.DUMMYFUNCTION("""COMPUTED_VALUE"""),"Non Urgent")</f>
        <v>Non Urgent</v>
      </c>
    </row>
    <row r="60">
      <c r="A60" s="4">
        <f>IFERROR(__xludf.DUMMYFUNCTION("""COMPUTED_VALUE"""),45921.46395667824)</f>
        <v>45921.46396</v>
      </c>
      <c r="B60" s="3" t="str">
        <f>IFERROR(__xludf.DUMMYFUNCTION("""COMPUTED_VALUE"""),"MFHJA0040")</f>
        <v>MFHJA0040</v>
      </c>
      <c r="C60" s="3" t="str">
        <f>IFERROR(__xludf.DUMMYFUNCTION("""COMPUTED_VALUE"""),"-")</f>
        <v>-</v>
      </c>
      <c r="D60" s="3" t="str">
        <f>IFERROR(__xludf.DUMMYFUNCTION("""COMPUTED_VALUE"""),"Tunnel")</f>
        <v>Tunnel</v>
      </c>
      <c r="E60" s="3" t="str">
        <f>IFERROR(__xludf.DUMMYFUNCTION("""COMPUTED_VALUE"""),"training Recorder Tunnel")</f>
        <v>training Recorder Tunnel</v>
      </c>
      <c r="F60" s="3">
        <f>IFERROR(__xludf.DUMMYFUNCTION("""COMPUTED_VALUE"""),1.0)</f>
        <v>1</v>
      </c>
      <c r="G60" s="3" t="str">
        <f>IFERROR(__xludf.DUMMYFUNCTION("""COMPUTED_VALUE"""),"Lot")</f>
        <v>Lot</v>
      </c>
      <c r="H60" s="3" t="str">
        <f>IFERROR(__xludf.DUMMYFUNCTION("""COMPUTED_VALUE"""),"WA Mas Umar")</f>
        <v>WA Mas Umar</v>
      </c>
      <c r="I60" s="3" t="str">
        <f>IFERROR(__xludf.DUMMYFUNCTION("""COMPUTED_VALUE"""),"2772 121703213 S-60050-00")</f>
        <v>2772 121703213 S-60050-00</v>
      </c>
      <c r="J60" s="3" t="str">
        <f>IFERROR(__xludf.DUMMYFUNCTION("""COMPUTED_VALUE"""),"Approve")</f>
        <v>Approve</v>
      </c>
      <c r="K60" s="3" t="str">
        <f>IFERROR(__xludf.DUMMYFUNCTION("""COMPUTED_VALUE"""),"Normal")</f>
        <v>Normal</v>
      </c>
      <c r="L60" s="3" t="str">
        <f>IFERROR(__xludf.DUMMYFUNCTION("""COMPUTED_VALUE"""),"Non Urgent")</f>
        <v>Non Urgent</v>
      </c>
    </row>
    <row r="61">
      <c r="A61" s="4">
        <f>IFERROR(__xludf.DUMMYFUNCTION("""COMPUTED_VALUE"""),45951.90277759259)</f>
        <v>45951.90278</v>
      </c>
      <c r="B61" s="3" t="str">
        <f>IFERROR(__xludf.DUMMYFUNCTION("""COMPUTED_VALUE"""),"SFHJA0003")</f>
        <v>SFHJA0003</v>
      </c>
      <c r="C61" s="3" t="str">
        <f>IFERROR(__xludf.DUMMYFUNCTION("""COMPUTED_VALUE"""),"EJO/2025/07/152")</f>
        <v>EJO/2025/07/152</v>
      </c>
      <c r="D61" s="3" t="str">
        <f>IFERROR(__xludf.DUMMYFUNCTION("""COMPUTED_VALUE"""),"Tangga produksi")</f>
        <v>Tangga produksi</v>
      </c>
      <c r="E61" s="3" t="str">
        <f>IFERROR(__xludf.DUMMYFUNCTION("""COMPUTED_VALUE"""),"pergantian glasbox yang pecah dan perbaikan nat yang retak retak")</f>
        <v>pergantian glasbox yang pecah dan perbaikan nat yang retak retak</v>
      </c>
      <c r="F61" s="3">
        <f>IFERROR(__xludf.DUMMYFUNCTION("""COMPUTED_VALUE"""),1.0)</f>
        <v>1</v>
      </c>
      <c r="G61" s="3" t="str">
        <f>IFERROR(__xludf.DUMMYFUNCTION("""COMPUTED_VALUE"""),"lot")</f>
        <v>lot</v>
      </c>
      <c r="H61" s="5" t="str">
        <f>IFERROR(__xludf.DUMMYFUNCTION("""COMPUTED_VALUE"""),"https://drive.google.com/file/d/1l2c2oU_b7292Cr-xT5s7bgAGFfToWAfO/view?usp=drive_link")</f>
        <v>https://drive.google.com/file/d/1l2c2oU_b7292Cr-xT5s7bgAGFfToWAfO/view?usp=drive_link</v>
      </c>
      <c r="I61" s="3" t="str">
        <f>IFERROR(__xludf.DUMMYFUNCTION("""COMPUTED_VALUE"""),"-")</f>
        <v>-</v>
      </c>
      <c r="J61" s="3" t="str">
        <f>IFERROR(__xludf.DUMMYFUNCTION("""COMPUTED_VALUE"""),"Approve")</f>
        <v>Approve</v>
      </c>
      <c r="K61" s="3" t="str">
        <f>IFERROR(__xludf.DUMMYFUNCTION("""COMPUTED_VALUE"""),"Normal")</f>
        <v>Normal</v>
      </c>
      <c r="L61" s="3" t="str">
        <f>IFERROR(__xludf.DUMMYFUNCTION("""COMPUTED_VALUE"""),"Non Urgent")</f>
        <v>Non Urgent</v>
      </c>
    </row>
    <row r="62">
      <c r="A62" s="4">
        <f>IFERROR(__xludf.DUMMYFUNCTION("""COMPUTED_VALUE"""),45958.82183883102)</f>
        <v>45958.82184</v>
      </c>
      <c r="B62" s="3" t="str">
        <f>IFERROR(__xludf.DUMMYFUNCTION("""COMPUTED_VALUE"""),"INNJA0005")</f>
        <v>INNJA0005</v>
      </c>
      <c r="C62" s="3" t="str">
        <f>IFERROR(__xludf.DUMMYFUNCTION("""COMPUTED_VALUE"""),"NA")</f>
        <v>NA</v>
      </c>
      <c r="D62" s="3" t="str">
        <f>IFERROR(__xludf.DUMMYFUNCTION("""COMPUTED_VALUE"""),"Crabs")</f>
        <v>Crabs</v>
      </c>
      <c r="E62" s="3" t="str">
        <f>IFERROR(__xludf.DUMMYFUNCTION("""COMPUTED_VALUE"""),"Rescreening Membrane 60 micron CR2")</f>
        <v>Rescreening Membrane 60 micron CR2</v>
      </c>
      <c r="F62" s="3">
        <f>IFERROR(__xludf.DUMMYFUNCTION("""COMPUTED_VALUE"""),1.0)</f>
        <v>1</v>
      </c>
      <c r="G62" s="3" t="str">
        <f>IFERROR(__xludf.DUMMYFUNCTION("""COMPUTED_VALUE"""),"Unit")</f>
        <v>Unit</v>
      </c>
      <c r="H62" s="5" t="str">
        <f>IFERROR(__xludf.DUMMYFUNCTION("""COMPUTED_VALUE"""),"https://drive.google.com/file/d/1oX43wMBjJNBYOeMUKOS6Yy3FR5Z_zgfj/view?usp=drive_link")</f>
        <v>https://drive.google.com/file/d/1oX43wMBjJNBYOeMUKOS6Yy3FR5Z_zgfj/view?usp=drive_link</v>
      </c>
      <c r="I62" s="3" t="str">
        <f>IFERROR(__xludf.DUMMYFUNCTION("""COMPUTED_VALUE"""),"Sesuai penwaran")</f>
        <v>Sesuai penwaran</v>
      </c>
      <c r="J62" s="3" t="str">
        <f>IFERROR(__xludf.DUMMYFUNCTION("""COMPUTED_VALUE"""),"Approve")</f>
        <v>Approve</v>
      </c>
      <c r="K62" s="3" t="str">
        <f>IFERROR(__xludf.DUMMYFUNCTION("""COMPUTED_VALUE"""),"Normal")</f>
        <v>Normal</v>
      </c>
      <c r="L62" s="3" t="str">
        <f>IFERROR(__xludf.DUMMYFUNCTION("""COMPUTED_VALUE"""),"Non Urgent")</f>
        <v>Non Urgent</v>
      </c>
    </row>
    <row r="63">
      <c r="A63" s="4">
        <f>IFERROR(__xludf.DUMMYFUNCTION("""COMPUTED_VALUE"""),46034.81376619213)</f>
        <v>46034.81377</v>
      </c>
      <c r="B63" s="3" t="str">
        <f>IFERROR(__xludf.DUMMYFUNCTION("""COMPUTED_VALUE"""),"RIAJA0004")</f>
        <v>RIAJA0004</v>
      </c>
      <c r="C63" s="3" t="str">
        <f>IFERROR(__xludf.DUMMYFUNCTION("""COMPUTED_VALUE"""),"EJO/2026/01/03")</f>
        <v>EJO/2026/01/03</v>
      </c>
      <c r="D63" s="3" t="str">
        <f>IFERROR(__xludf.DUMMYFUNCTION("""COMPUTED_VALUE"""),"Panel Distribusi")</f>
        <v>Panel Distribusi</v>
      </c>
      <c r="E63" s="3" t="str">
        <f>IFERROR(__xludf.DUMMYFUNCTION("""COMPUTED_VALUE"""),"Jasa Power Meter")</f>
        <v>Jasa Power Meter</v>
      </c>
      <c r="F63" s="3">
        <f>IFERROR(__xludf.DUMMYFUNCTION("""COMPUTED_VALUE"""),1.0)</f>
        <v>1</v>
      </c>
      <c r="G63" s="3" t="str">
        <f>IFERROR(__xludf.DUMMYFUNCTION("""COMPUTED_VALUE"""),"Set")</f>
        <v>Set</v>
      </c>
      <c r="H63" s="3" t="str">
        <f>IFERROR(__xludf.DUMMYFUNCTION("""COMPUTED_VALUE"""),"POWER METER DATA POOLING VIA RS485.pdf")</f>
        <v>POWER METER DATA POOLING VIA RS485.pdf</v>
      </c>
      <c r="I63" s="3" t="str">
        <f>IFERROR(__xludf.DUMMYFUNCTION("""COMPUTED_VALUE"""),"Upgrade Power Meter")</f>
        <v>Upgrade Power Meter</v>
      </c>
      <c r="J63" s="3" t="str">
        <f>IFERROR(__xludf.DUMMYFUNCTION("""COMPUTED_VALUE"""),"Approve")</f>
        <v>Approve</v>
      </c>
      <c r="K63" s="3" t="str">
        <f>IFERROR(__xludf.DUMMYFUNCTION("""COMPUTED_VALUE"""),"Normal")</f>
        <v>Normal</v>
      </c>
      <c r="L63" s="3" t="str">
        <f>IFERROR(__xludf.DUMMYFUNCTION("""COMPUTED_VALUE"""),"Non Urgent")</f>
        <v>Non Urgent</v>
      </c>
    </row>
    <row r="64">
      <c r="A64" s="4">
        <f>IFERROR(__xludf.DUMMYFUNCTION("""COMPUTED_VALUE"""),46047.86533876158)</f>
        <v>46047.86534</v>
      </c>
      <c r="B64" s="3" t="str">
        <f>IFERROR(__xludf.DUMMYFUNCTION("""COMPUTED_VALUE"""),"MFHJA0041")</f>
        <v>MFHJA0041</v>
      </c>
      <c r="C64" s="3" t="str">
        <f>IFERROR(__xludf.DUMMYFUNCTION("""COMPUTED_VALUE"""),"-")</f>
        <v>-</v>
      </c>
      <c r="D64" s="3" t="str">
        <f>IFERROR(__xludf.DUMMYFUNCTION("""COMPUTED_VALUE"""),"Tools")</f>
        <v>Tools</v>
      </c>
      <c r="E64" s="3" t="str">
        <f>IFERROR(__xludf.DUMMYFUNCTION("""COMPUTED_VALUE"""),"Perbaikan Minicapt")</f>
        <v>Perbaikan Minicapt</v>
      </c>
      <c r="F64" s="3">
        <f>IFERROR(__xludf.DUMMYFUNCTION("""COMPUTED_VALUE"""),1.0)</f>
        <v>1</v>
      </c>
      <c r="G64" s="3" t="str">
        <f>IFERROR(__xludf.DUMMYFUNCTION("""COMPUTED_VALUE"""),"Lot")</f>
        <v>Lot</v>
      </c>
      <c r="H64" s="3" t="str">
        <f>IFERROR(__xludf.DUMMYFUNCTION("""COMPUTED_VALUE"""),"WA Mas Umar")</f>
        <v>WA Mas Umar</v>
      </c>
      <c r="I64" s="3" t="str">
        <f>IFERROR(__xludf.DUMMYFUNCTION("""COMPUTED_VALUE"""),"2958 121703339 - APPROVED S-60050-00")</f>
        <v>2958 121703339 - APPROVED S-60050-00</v>
      </c>
      <c r="J64" s="3" t="str">
        <f>IFERROR(__xludf.DUMMYFUNCTION("""COMPUTED_VALUE"""),"Approve")</f>
        <v>Approve</v>
      </c>
      <c r="K64" s="3" t="str">
        <f>IFERROR(__xludf.DUMMYFUNCTION("""COMPUTED_VALUE"""),"Normal")</f>
        <v>Normal</v>
      </c>
      <c r="L64" s="3" t="str">
        <f>IFERROR(__xludf.DUMMYFUNCTION("""COMPUTED_VALUE"""),"Non Urgent")</f>
        <v>Non Urgent</v>
      </c>
    </row>
    <row r="65">
      <c r="A65" s="4">
        <f>IFERROR(__xludf.DUMMYFUNCTION("""COMPUTED_VALUE"""),46047.866203715275)</f>
        <v>46047.8662</v>
      </c>
      <c r="B65" s="3" t="str">
        <f>IFERROR(__xludf.DUMMYFUNCTION("""COMPUTED_VALUE"""),"MFHJA0042")</f>
        <v>MFHJA0042</v>
      </c>
      <c r="C65" s="3" t="str">
        <f>IFERROR(__xludf.DUMMYFUNCTION("""COMPUTED_VALUE"""),"-")</f>
        <v>-</v>
      </c>
      <c r="D65" s="3" t="str">
        <f>IFERROR(__xludf.DUMMYFUNCTION("""COMPUTED_VALUE"""),"Tools")</f>
        <v>Tools</v>
      </c>
      <c r="E65" s="3" t="str">
        <f>IFERROR(__xludf.DUMMYFUNCTION("""COMPUTED_VALUE"""),"Perbaikan Heating Plate")</f>
        <v>Perbaikan Heating Plate</v>
      </c>
      <c r="F65" s="3">
        <f>IFERROR(__xludf.DUMMYFUNCTION("""COMPUTED_VALUE"""),1.0)</f>
        <v>1</v>
      </c>
      <c r="G65" s="3" t="str">
        <f>IFERROR(__xludf.DUMMYFUNCTION("""COMPUTED_VALUE"""),"Lot")</f>
        <v>Lot</v>
      </c>
      <c r="H65" s="3" t="str">
        <f>IFERROR(__xludf.DUMMYFUNCTION("""COMPUTED_VALUE"""),"WA Mas Irwan")</f>
        <v>WA Mas Irwan</v>
      </c>
      <c r="I65" s="3" t="str">
        <f>IFERROR(__xludf.DUMMYFUNCTION("""COMPUTED_VALUE"""),"3277 121703696 - APPROVED S-60050-00")</f>
        <v>3277 121703696 - APPROVED S-60050-00</v>
      </c>
      <c r="J65" s="3" t="str">
        <f>IFERROR(__xludf.DUMMYFUNCTION("""COMPUTED_VALUE"""),"Approve")</f>
        <v>Approve</v>
      </c>
      <c r="K65" s="3" t="str">
        <f>IFERROR(__xludf.DUMMYFUNCTION("""COMPUTED_VALUE"""),"Normal")</f>
        <v>Normal</v>
      </c>
      <c r="L65" s="3" t="str">
        <f>IFERROR(__xludf.DUMMYFUNCTION("""COMPUTED_VALUE"""),"Non Urgent")</f>
        <v>Non Urgent</v>
      </c>
    </row>
    <row r="66">
      <c r="A66" s="4">
        <f>IFERROR(__xludf.DUMMYFUNCTION("""COMPUTED_VALUE"""),46063.97471949075)</f>
        <v>46063.97472</v>
      </c>
      <c r="B66" s="3" t="str">
        <f>IFERROR(__xludf.DUMMYFUNCTION("""COMPUTED_VALUE"""),"RIAJA0005")</f>
        <v>RIAJA0005</v>
      </c>
      <c r="C66" s="3" t="str">
        <f>IFERROR(__xludf.DUMMYFUNCTION("""COMPUTED_VALUE"""),"EJO/2025/04/105")</f>
        <v>EJO/2025/04/105</v>
      </c>
      <c r="D66" s="3" t="str">
        <f>IFERROR(__xludf.DUMMYFUNCTION("""COMPUTED_VALUE"""),"OSD")</f>
        <v>OSD</v>
      </c>
      <c r="E66" s="3" t="str">
        <f>IFERROR(__xludf.DUMMYFUNCTION("""COMPUTED_VALUE"""),"Epoxy Ulang")</f>
        <v>Epoxy Ulang</v>
      </c>
      <c r="F66" s="3">
        <f>IFERROR(__xludf.DUMMYFUNCTION("""COMPUTED_VALUE"""),1.0)</f>
        <v>1</v>
      </c>
      <c r="G66" s="3" t="str">
        <f>IFERROR(__xludf.DUMMYFUNCTION("""COMPUTED_VALUE"""),"Set")</f>
        <v>Set</v>
      </c>
      <c r="H66" s="3" t="str">
        <f>IFERROR(__xludf.DUMMYFUNCTION("""COMPUTED_VALUE"""),"FIP_002_PNW-A_2026.pdf")</f>
        <v>FIP_002_PNW-A_2026.pdf</v>
      </c>
      <c r="I66" s="3" t="str">
        <f>IFERROR(__xludf.DUMMYFUNCTION("""COMPUTED_VALUE"""),"Untuk Epoxy ulang")</f>
        <v>Untuk Epoxy ulang</v>
      </c>
      <c r="J66" s="3" t="str">
        <f>IFERROR(__xludf.DUMMYFUNCTION("""COMPUTED_VALUE"""),"Reject")</f>
        <v>Reject</v>
      </c>
      <c r="K66" s="3" t="str">
        <f>IFERROR(__xludf.DUMMYFUNCTION("""COMPUTED_VALUE"""),"Normal")</f>
        <v>Normal</v>
      </c>
      <c r="L66" s="3" t="str">
        <f>IFERROR(__xludf.DUMMYFUNCTION("""COMPUTED_VALUE"""),"Non Urgent")</f>
        <v>Non Urgent</v>
      </c>
    </row>
    <row r="67">
      <c r="A67" s="4">
        <f>IFERROR(__xludf.DUMMYFUNCTION("""COMPUTED_VALUE"""),46068.67842951389)</f>
        <v>46068.67843</v>
      </c>
      <c r="B67" s="3" t="str">
        <f>IFERROR(__xludf.DUMMYFUNCTION("""COMPUTED_VALUE"""),"RIAJA0006")</f>
        <v>RIAJA0006</v>
      </c>
      <c r="C67" s="3" t="str">
        <f>IFERROR(__xludf.DUMMYFUNCTION("""COMPUTED_VALUE"""),"EJO/2025/04/105")</f>
        <v>EJO/2025/04/105</v>
      </c>
      <c r="D67" s="3" t="str">
        <f>IFERROR(__xludf.DUMMYFUNCTION("""COMPUTED_VALUE"""),"OSD")</f>
        <v>OSD</v>
      </c>
      <c r="E67" s="3" t="str">
        <f>IFERROR(__xludf.DUMMYFUNCTION("""COMPUTED_VALUE"""),"Recoating Flowcrete FlowSeal UV Satin Ash Grey
250 micron (4.2 m2)")</f>
        <v>Recoating Flowcrete FlowSeal UV Satin Ash Grey
250 micron (4.2 m2)</v>
      </c>
      <c r="F67" s="3">
        <f>IFERROR(__xludf.DUMMYFUNCTION("""COMPUTED_VALUE"""),1.0)</f>
        <v>1</v>
      </c>
      <c r="G67" s="3" t="str">
        <f>IFERROR(__xludf.DUMMYFUNCTION("""COMPUTED_VALUE"""),"ls")</f>
        <v>ls</v>
      </c>
      <c r="H67" s="3" t="str">
        <f>IFERROR(__xludf.DUMMYFUNCTION("""COMPUTED_VALUE"""),"FIP_002_PNW-A_2026.pdf")</f>
        <v>FIP_002_PNW-A_2026.pdf</v>
      </c>
      <c r="I67" s="3" t="str">
        <f>IFERROR(__xludf.DUMMYFUNCTION("""COMPUTED_VALUE"""),"Untuk Epoxy ulang")</f>
        <v>Untuk Epoxy ulang</v>
      </c>
      <c r="J67" s="3" t="str">
        <f>IFERROR(__xludf.DUMMYFUNCTION("""COMPUTED_VALUE"""),"Approve")</f>
        <v>Approve</v>
      </c>
      <c r="K67" s="3" t="str">
        <f>IFERROR(__xludf.DUMMYFUNCTION("""COMPUTED_VALUE"""),"Normal")</f>
        <v>Normal</v>
      </c>
      <c r="L67" s="3" t="str">
        <f>IFERROR(__xludf.DUMMYFUNCTION("""COMPUTED_VALUE"""),"Non Urgent")</f>
        <v>Non Urgent</v>
      </c>
    </row>
    <row r="68">
      <c r="A68" s="4">
        <f>IFERROR(__xludf.DUMMYFUNCTION("""COMPUTED_VALUE"""),46068.679214826385)</f>
        <v>46068.67921</v>
      </c>
      <c r="B68" s="3" t="str">
        <f>IFERROR(__xludf.DUMMYFUNCTION("""COMPUTED_VALUE"""),"RIAJA0007")</f>
        <v>RIAJA0007</v>
      </c>
      <c r="C68" s="3" t="str">
        <f>IFERROR(__xludf.DUMMYFUNCTION("""COMPUTED_VALUE"""),"EJO/2025/04/105")</f>
        <v>EJO/2025/04/105</v>
      </c>
      <c r="D68" s="3" t="str">
        <f>IFERROR(__xludf.DUMMYFUNCTION("""COMPUTED_VALUE"""),"OSD")</f>
        <v>OSD</v>
      </c>
      <c r="E68" s="3" t="str">
        <f>IFERROR(__xludf.DUMMYFUNCTION("""COMPUTED_VALUE"""),"Coating curving R5 (2 m)")</f>
        <v>Coating curving R5 (2 m)</v>
      </c>
      <c r="F68" s="3">
        <f>IFERROR(__xludf.DUMMYFUNCTION("""COMPUTED_VALUE"""),1.0)</f>
        <v>1</v>
      </c>
      <c r="G68" s="3" t="str">
        <f>IFERROR(__xludf.DUMMYFUNCTION("""COMPUTED_VALUE"""),"ls")</f>
        <v>ls</v>
      </c>
      <c r="H68" s="3" t="str">
        <f>IFERROR(__xludf.DUMMYFUNCTION("""COMPUTED_VALUE"""),"FIP_002_PNW-A_2026.pdf")</f>
        <v>FIP_002_PNW-A_2026.pdf</v>
      </c>
      <c r="I68" s="3" t="str">
        <f>IFERROR(__xludf.DUMMYFUNCTION("""COMPUTED_VALUE"""),"Untuk Epoxy ulang")</f>
        <v>Untuk Epoxy ulang</v>
      </c>
      <c r="J68" s="3" t="str">
        <f>IFERROR(__xludf.DUMMYFUNCTION("""COMPUTED_VALUE"""),"Approve")</f>
        <v>Approve</v>
      </c>
      <c r="K68" s="3" t="str">
        <f>IFERROR(__xludf.DUMMYFUNCTION("""COMPUTED_VALUE"""),"Normal")</f>
        <v>Normal</v>
      </c>
      <c r="L68" s="3" t="str">
        <f>IFERROR(__xludf.DUMMYFUNCTION("""COMPUTED_VALUE"""),"Non Urgent")</f>
        <v>Non Urgent</v>
      </c>
    </row>
    <row r="69">
      <c r="A69" s="4">
        <f>IFERROR(__xludf.DUMMYFUNCTION("""COMPUTED_VALUE"""),46068.67987681713)</f>
        <v>46068.67988</v>
      </c>
      <c r="B69" s="3" t="str">
        <f>IFERROR(__xludf.DUMMYFUNCTION("""COMPUTED_VALUE"""),"RIAJA0008")</f>
        <v>RIAJA0008</v>
      </c>
      <c r="C69" s="3" t="str">
        <f>IFERROR(__xludf.DUMMYFUNCTION("""COMPUTED_VALUE"""),"EJO")</f>
        <v>EJO</v>
      </c>
      <c r="D69" s="3" t="str">
        <f>IFERROR(__xludf.DUMMYFUNCTION("""COMPUTED_VALUE"""),"Blister OSD")</f>
        <v>Blister OSD</v>
      </c>
      <c r="E69" s="3" t="str">
        <f>IFERROR(__xludf.DUMMYFUNCTION("""COMPUTED_VALUE"""),"Recoating spot-spot Flowcrete FlowSeal UV Satin Ash
Grey 250 micron (plus mortar area coak) (1 m2)")</f>
        <v>Recoating spot-spot Flowcrete FlowSeal UV Satin Ash
Grey 250 micron (plus mortar area coak) (1 m2)</v>
      </c>
      <c r="F69" s="3">
        <f>IFERROR(__xludf.DUMMYFUNCTION("""COMPUTED_VALUE"""),1.0)</f>
        <v>1</v>
      </c>
      <c r="G69" s="3" t="str">
        <f>IFERROR(__xludf.DUMMYFUNCTION("""COMPUTED_VALUE"""),"ls")</f>
        <v>ls</v>
      </c>
      <c r="H69" s="3" t="str">
        <f>IFERROR(__xludf.DUMMYFUNCTION("""COMPUTED_VALUE"""),"FIP_002_PNW-A_2026.pdf")</f>
        <v>FIP_002_PNW-A_2026.pdf</v>
      </c>
      <c r="I69" s="3" t="str">
        <f>IFERROR(__xludf.DUMMYFUNCTION("""COMPUTED_VALUE"""),"Untuk Epoxy ulang")</f>
        <v>Untuk Epoxy ulang</v>
      </c>
      <c r="J69" s="3" t="str">
        <f>IFERROR(__xludf.DUMMYFUNCTION("""COMPUTED_VALUE"""),"Approve")</f>
        <v>Approve</v>
      </c>
      <c r="K69" s="3" t="str">
        <f>IFERROR(__xludf.DUMMYFUNCTION("""COMPUTED_VALUE"""),"Normal")</f>
        <v>Normal</v>
      </c>
      <c r="L69" s="3" t="str">
        <f>IFERROR(__xludf.DUMMYFUNCTION("""COMPUTED_VALUE"""),"Non Urgent")</f>
        <v>Non Urgent</v>
      </c>
    </row>
    <row r="70">
      <c r="A70" s="4">
        <f>IFERROR(__xludf.DUMMYFUNCTION("""COMPUTED_VALUE"""),46068.680233784726)</f>
        <v>46068.68023</v>
      </c>
      <c r="B70" s="3" t="str">
        <f>IFERROR(__xludf.DUMMYFUNCTION("""COMPUTED_VALUE"""),"RIAJA0009")</f>
        <v>RIAJA0009</v>
      </c>
      <c r="C70" s="3" t="str">
        <f>IFERROR(__xludf.DUMMYFUNCTION("""COMPUTED_VALUE"""),"EJO")</f>
        <v>EJO</v>
      </c>
      <c r="D70" s="3" t="str">
        <f>IFERROR(__xludf.DUMMYFUNCTION("""COMPUTED_VALUE"""),"Sampling Packaging")</f>
        <v>Sampling Packaging</v>
      </c>
      <c r="E70" s="3" t="str">
        <f>IFERROR(__xludf.DUMMYFUNCTION("""COMPUTED_VALUE"""),"Recoating Flowcrete FlowSeal UV Satin Coklat 250
micron")</f>
        <v>Recoating Flowcrete FlowSeal UV Satin Coklat 250
micron</v>
      </c>
      <c r="F70" s="3">
        <f>IFERROR(__xludf.DUMMYFUNCTION("""COMPUTED_VALUE"""),1.0)</f>
        <v>1</v>
      </c>
      <c r="G70" s="3" t="str">
        <f>IFERROR(__xludf.DUMMYFUNCTION("""COMPUTED_VALUE"""),"ls")</f>
        <v>ls</v>
      </c>
      <c r="H70" s="3" t="str">
        <f>IFERROR(__xludf.DUMMYFUNCTION("""COMPUTED_VALUE"""),"FIP_002_PNW-A_2026.pdf")</f>
        <v>FIP_002_PNW-A_2026.pdf</v>
      </c>
      <c r="I70" s="3" t="str">
        <f>IFERROR(__xludf.DUMMYFUNCTION("""COMPUTED_VALUE"""),"Untuk Epoxy ulang")</f>
        <v>Untuk Epoxy ulang</v>
      </c>
      <c r="J70" s="3" t="str">
        <f>IFERROR(__xludf.DUMMYFUNCTION("""COMPUTED_VALUE"""),"Approve")</f>
        <v>Approve</v>
      </c>
      <c r="K70" s="3" t="str">
        <f>IFERROR(__xludf.DUMMYFUNCTION("""COMPUTED_VALUE"""),"Normal")</f>
        <v>Normal</v>
      </c>
      <c r="L70" s="3" t="str">
        <f>IFERROR(__xludf.DUMMYFUNCTION("""COMPUTED_VALUE"""),"Non Urgent")</f>
        <v>Non Urgent</v>
      </c>
    </row>
    <row r="71">
      <c r="A71" s="4">
        <f>IFERROR(__xludf.DUMMYFUNCTION("""COMPUTED_VALUE"""),46068.68083392361)</f>
        <v>46068.68083</v>
      </c>
      <c r="B71" s="3" t="str">
        <f>IFERROR(__xludf.DUMMYFUNCTION("""COMPUTED_VALUE"""),"RIAJA0010")</f>
        <v>RIAJA0010</v>
      </c>
      <c r="C71" s="3" t="str">
        <f>IFERROR(__xludf.DUMMYFUNCTION("""COMPUTED_VALUE"""),"EJO")</f>
        <v>EJO</v>
      </c>
      <c r="D71" s="3" t="str">
        <f>IFERROR(__xludf.DUMMYFUNCTION("""COMPUTED_VALUE"""),"Equalisasi WWTP")</f>
        <v>Equalisasi WWTP</v>
      </c>
      <c r="E71" s="3" t="str">
        <f>IFERROR(__xludf.DUMMYFUNCTION("""COMPUTED_VALUE"""),"Waterproofing coating Sikagard 7000 CR")</f>
        <v>Waterproofing coating Sikagard 7000 CR</v>
      </c>
      <c r="F71" s="3">
        <f>IFERROR(__xludf.DUMMYFUNCTION("""COMPUTED_VALUE"""),95.0)</f>
        <v>95</v>
      </c>
      <c r="G71" s="3" t="str">
        <f>IFERROR(__xludf.DUMMYFUNCTION("""COMPUTED_VALUE"""),"m2")</f>
        <v>m2</v>
      </c>
      <c r="H71" s="3" t="str">
        <f>IFERROR(__xludf.DUMMYFUNCTION("""COMPUTED_VALUE"""),"FIP_002_PNW-A_2026.pdf")</f>
        <v>FIP_002_PNW-A_2026.pdf</v>
      </c>
      <c r="I71" s="3" t="str">
        <f>IFERROR(__xludf.DUMMYFUNCTION("""COMPUTED_VALUE"""),"Untuk Epoxy ulang")</f>
        <v>Untuk Epoxy ulang</v>
      </c>
      <c r="J71" s="3" t="str">
        <f>IFERROR(__xludf.DUMMYFUNCTION("""COMPUTED_VALUE"""),"Approve")</f>
        <v>Approve</v>
      </c>
      <c r="K71" s="3" t="str">
        <f>IFERROR(__xludf.DUMMYFUNCTION("""COMPUTED_VALUE"""),"Normal")</f>
        <v>Normal</v>
      </c>
      <c r="L71" s="3" t="str">
        <f>IFERROR(__xludf.DUMMYFUNCTION("""COMPUTED_VALUE"""),"Non Urgent")</f>
        <v>Non Urgent</v>
      </c>
    </row>
    <row r="72">
      <c r="A72" s="4">
        <f>IFERROR(__xludf.DUMMYFUNCTION("""COMPUTED_VALUE"""),46068.68149923611)</f>
        <v>46068.6815</v>
      </c>
      <c r="B72" s="3" t="str">
        <f>IFERROR(__xludf.DUMMYFUNCTION("""COMPUTED_VALUE"""),"RIAJA0011")</f>
        <v>RIAJA0011</v>
      </c>
      <c r="C72" s="3" t="str">
        <f>IFERROR(__xludf.DUMMYFUNCTION("""COMPUTED_VALUE"""),"EJO")</f>
        <v>EJO</v>
      </c>
      <c r="D72" s="3" t="str">
        <f>IFERROR(__xludf.DUMMYFUNCTION("""COMPUTED_VALUE"""),"Equalisasi WWTP")</f>
        <v>Equalisasi WWTP</v>
      </c>
      <c r="E72" s="3" t="str">
        <f>IFERROR(__xludf.DUMMYFUNCTION("""COMPUTED_VALUE"""),"Kupas aci eksisting")</f>
        <v>Kupas aci eksisting</v>
      </c>
      <c r="F72" s="3">
        <f>IFERROR(__xludf.DUMMYFUNCTION("""COMPUTED_VALUE"""),95.0)</f>
        <v>95</v>
      </c>
      <c r="G72" s="3" t="str">
        <f>IFERROR(__xludf.DUMMYFUNCTION("""COMPUTED_VALUE"""),"m3")</f>
        <v>m3</v>
      </c>
      <c r="H72" s="3" t="str">
        <f>IFERROR(__xludf.DUMMYFUNCTION("""COMPUTED_VALUE"""),"FIP_002_PNW-A_2026.pdf")</f>
        <v>FIP_002_PNW-A_2026.pdf</v>
      </c>
      <c r="I72" s="3" t="str">
        <f>IFERROR(__xludf.DUMMYFUNCTION("""COMPUTED_VALUE"""),"Untuk Epoxy ulang")</f>
        <v>Untuk Epoxy ulang</v>
      </c>
      <c r="J72" s="3" t="str">
        <f>IFERROR(__xludf.DUMMYFUNCTION("""COMPUTED_VALUE"""),"Approve")</f>
        <v>Approve</v>
      </c>
      <c r="K72" s="3" t="str">
        <f>IFERROR(__xludf.DUMMYFUNCTION("""COMPUTED_VALUE"""),"Normal")</f>
        <v>Normal</v>
      </c>
      <c r="L72" s="3" t="str">
        <f>IFERROR(__xludf.DUMMYFUNCTION("""COMPUTED_VALUE"""),"Non Urgent")</f>
        <v>Non Urgent</v>
      </c>
    </row>
    <row r="73">
      <c r="A73" s="4">
        <f>IFERROR(__xludf.DUMMYFUNCTION("""COMPUTED_VALUE"""),46068.68217659722)</f>
        <v>46068.68218</v>
      </c>
      <c r="B73" s="3" t="str">
        <f>IFERROR(__xludf.DUMMYFUNCTION("""COMPUTED_VALUE"""),"RIAJA0012")</f>
        <v>RIAJA0012</v>
      </c>
      <c r="C73" s="3" t="str">
        <f>IFERROR(__xludf.DUMMYFUNCTION("""COMPUTED_VALUE"""),"EJO/2026/01/145")</f>
        <v>EJO/2026/01/145</v>
      </c>
      <c r="D73" s="3" t="str">
        <f>IFERROR(__xludf.DUMMYFUNCTION("""COMPUTED_VALUE"""),"Condensate WWTP")</f>
        <v>Condensate WWTP</v>
      </c>
      <c r="E73" s="3" t="str">
        <f>IFERROR(__xludf.DUMMYFUNCTION("""COMPUTED_VALUE"""),"Injeksi Polyurethane")</f>
        <v>Injeksi Polyurethane</v>
      </c>
      <c r="F73" s="3">
        <f>IFERROR(__xludf.DUMMYFUNCTION("""COMPUTED_VALUE"""),50.0)</f>
        <v>50</v>
      </c>
      <c r="G73" s="3" t="str">
        <f>IFERROR(__xludf.DUMMYFUNCTION("""COMPUTED_VALUE"""),"titik")</f>
        <v>titik</v>
      </c>
      <c r="H73" s="3" t="str">
        <f>IFERROR(__xludf.DUMMYFUNCTION("""COMPUTED_VALUE"""),"FIP_002_PNW-A_2026.pdf")</f>
        <v>FIP_002_PNW-A_2026.pdf</v>
      </c>
      <c r="I73" s="3" t="str">
        <f>IFERROR(__xludf.DUMMYFUNCTION("""COMPUTED_VALUE"""),"Untuk Epoxy ulang")</f>
        <v>Untuk Epoxy ulang</v>
      </c>
      <c r="J73" s="3" t="str">
        <f>IFERROR(__xludf.DUMMYFUNCTION("""COMPUTED_VALUE"""),"Approve")</f>
        <v>Approve</v>
      </c>
      <c r="K73" s="3" t="str">
        <f>IFERROR(__xludf.DUMMYFUNCTION("""COMPUTED_VALUE"""),"Normal")</f>
        <v>Normal</v>
      </c>
      <c r="L73" s="3" t="str">
        <f>IFERROR(__xludf.DUMMYFUNCTION("""COMPUTED_VALUE"""),"Non Urgent")</f>
        <v>Non Urgent</v>
      </c>
    </row>
    <row r="74">
      <c r="A74" s="4">
        <f>IFERROR(__xludf.DUMMYFUNCTION("""COMPUTED_VALUE"""),46068.6828222338)</f>
        <v>46068.68282</v>
      </c>
      <c r="B74" s="3" t="str">
        <f>IFERROR(__xludf.DUMMYFUNCTION("""COMPUTED_VALUE"""),"RIAJA0013")</f>
        <v>RIAJA0013</v>
      </c>
      <c r="C74" s="3" t="str">
        <f>IFERROR(__xludf.DUMMYFUNCTION("""COMPUTED_VALUE"""),"EJO")</f>
        <v>EJO</v>
      </c>
      <c r="D74" s="3" t="str">
        <f>IFERROR(__xludf.DUMMYFUNCTION("""COMPUTED_VALUE"""),"Produksi &amp; WWTP")</f>
        <v>Produksi &amp; WWTP</v>
      </c>
      <c r="E74" s="3" t="str">
        <f>IFERROR(__xludf.DUMMYFUNCTION("""COMPUTED_VALUE"""),"Preliminaries, APD Safety, dll, Mobilisasi &amp; Demobilisasi, Akomodasi")</f>
        <v>Preliminaries, APD Safety, dll, Mobilisasi &amp; Demobilisasi, Akomodasi</v>
      </c>
      <c r="F74" s="3">
        <f>IFERROR(__xludf.DUMMYFUNCTION("""COMPUTED_VALUE"""),3.0)</f>
        <v>3</v>
      </c>
      <c r="G74" s="3" t="str">
        <f>IFERROR(__xludf.DUMMYFUNCTION("""COMPUTED_VALUE"""),"ls")</f>
        <v>ls</v>
      </c>
      <c r="H74" s="3" t="str">
        <f>IFERROR(__xludf.DUMMYFUNCTION("""COMPUTED_VALUE"""),"FIP_002_PNW-A_2026.pdf")</f>
        <v>FIP_002_PNW-A_2026.pdf</v>
      </c>
      <c r="I74" s="3" t="str">
        <f>IFERROR(__xludf.DUMMYFUNCTION("""COMPUTED_VALUE"""),"Untuk jasa saja")</f>
        <v>Untuk jasa saja</v>
      </c>
      <c r="J74" s="3" t="str">
        <f>IFERROR(__xludf.DUMMYFUNCTION("""COMPUTED_VALUE"""),"Approve")</f>
        <v>Approve</v>
      </c>
      <c r="K74" s="3" t="str">
        <f>IFERROR(__xludf.DUMMYFUNCTION("""COMPUTED_VALUE"""),"Normal")</f>
        <v>Normal</v>
      </c>
      <c r="L74" s="3" t="str">
        <f>IFERROR(__xludf.DUMMYFUNCTION("""COMPUTED_VALUE"""),"Non Urgent")</f>
        <v>Non Urgent</v>
      </c>
    </row>
    <row r="75">
      <c r="A75" s="4">
        <f>IFERROR(__xludf.DUMMYFUNCTION("""COMPUTED_VALUE"""),46148.390813275466)</f>
        <v>46148.39081</v>
      </c>
      <c r="B75" s="3" t="str">
        <f>IFERROR(__xludf.DUMMYFUNCTION("""COMPUTED_VALUE"""),"MOBJA0002")</f>
        <v>MOBJA0002</v>
      </c>
      <c r="C75" s="3" t="str">
        <f>IFERROR(__xludf.DUMMYFUNCTION("""COMPUTED_VALUE"""),"EJO/2025/05/131")</f>
        <v>EJO/2025/05/131</v>
      </c>
      <c r="D75" s="3" t="str">
        <f>IFERROR(__xludf.DUMMYFUNCTION("""COMPUTED_VALUE"""),"OSD")</f>
        <v>OSD</v>
      </c>
      <c r="E75" s="3" t="str">
        <f>IFERROR(__xludf.DUMMYFUNCTION("""COMPUTED_VALUE"""),"Penambahan Sampling Point SW dan PW OSD")</f>
        <v>Penambahan Sampling Point SW dan PW OSD</v>
      </c>
      <c r="F75" s="3">
        <f>IFERROR(__xludf.DUMMYFUNCTION("""COMPUTED_VALUE"""),1.0)</f>
        <v>1</v>
      </c>
      <c r="G75" s="3" t="str">
        <f>IFERROR(__xludf.DUMMYFUNCTION("""COMPUTED_VALUE"""),"Lot")</f>
        <v>Lot</v>
      </c>
      <c r="H75" s="5" t="str">
        <f>IFERROR(__xludf.DUMMYFUNCTION("""COMPUTED_VALUE"""),"https://drive.google.com/file/d/1TA5KXsYDwldehCjQSgN1HlpDQx3DRxdO/view?usp=drive_link")</f>
        <v>https://drive.google.com/file/d/1TA5KXsYDwldehCjQSgN1HlpDQx3DRxdO/view?usp=drive_link</v>
      </c>
      <c r="I75" s="3" t="str">
        <f>IFERROR(__xludf.DUMMYFUNCTION("""COMPUTED_VALUE"""),"Penawaran Penambahan Sampling Point (Urgent) (REJECT BY MFH KARENA DI REJECT PA KRIS)")</f>
        <v>Penawaran Penambahan Sampling Point (Urgent) (REJECT BY MFH KARENA DI REJECT PA KRIS)</v>
      </c>
      <c r="J75" s="3" t="str">
        <f>IFERROR(__xludf.DUMMYFUNCTION("""COMPUTED_VALUE"""),"Reject")</f>
        <v>Reject</v>
      </c>
      <c r="K75" s="3" t="str">
        <f>IFERROR(__xludf.DUMMYFUNCTION("""COMPUTED_VALUE"""),"Normal")</f>
        <v>Normal</v>
      </c>
      <c r="L75" s="3" t="str">
        <f>IFERROR(__xludf.DUMMYFUNCTION("""COMPUTED_VALUE"""),"Non Urgent")</f>
        <v>Non Urgent</v>
      </c>
    </row>
    <row r="76">
      <c r="A76" s="4">
        <f>IFERROR(__xludf.DUMMYFUNCTION("""COMPUTED_VALUE"""),46149.50501613426)</f>
        <v>46149.50502</v>
      </c>
      <c r="B76" s="3" t="str">
        <f>IFERROR(__xludf.DUMMYFUNCTION("""COMPUTED_VALUE"""),"MOBJA0003")</f>
        <v>MOBJA0003</v>
      </c>
      <c r="C76" s="3" t="str">
        <f>IFERROR(__xludf.DUMMYFUNCTION("""COMPUTED_VALUE"""),"EJO/2026/05/053")</f>
        <v>EJO/2026/05/053</v>
      </c>
      <c r="D76" s="3" t="str">
        <f>IFERROR(__xludf.DUMMYFUNCTION("""COMPUTED_VALUE"""),"Gorong-gorong air hujan")</f>
        <v>Gorong-gorong air hujan</v>
      </c>
      <c r="E76" s="3" t="str">
        <f>IFERROR(__xludf.DUMMYFUNCTION("""COMPUTED_VALUE"""),"Pembuatan manhole 3 titik")</f>
        <v>Pembuatan manhole 3 titik</v>
      </c>
      <c r="F76" s="3">
        <f>IFERROR(__xludf.DUMMYFUNCTION("""COMPUTED_VALUE"""),1.0)</f>
        <v>1</v>
      </c>
      <c r="G76" s="3" t="str">
        <f>IFERROR(__xludf.DUMMYFUNCTION("""COMPUTED_VALUE"""),"Lot")</f>
        <v>Lot</v>
      </c>
      <c r="H76" s="5" t="str">
        <f>IFERROR(__xludf.DUMMYFUNCTION("""COMPUTED_VALUE"""),"https://drive.google.com/file/d/1SA89R59JGjMhdB9AK0FbmYrYm_oaSO71/view?usp=sharing")</f>
        <v>https://drive.google.com/file/d/1SA89R59JGjMhdB9AK0FbmYrYm_oaSO71/view?usp=sharing</v>
      </c>
      <c r="I76" s="3" t="str">
        <f>IFERROR(__xludf.DUMMYFUNCTION("""COMPUTED_VALUE"""),"Penawaran Penambahan manhole (Urgent) (REJECT BY MFH KARENA DI REJECT PAK KRIS)")</f>
        <v>Penawaran Penambahan manhole (Urgent) (REJECT BY MFH KARENA DI REJECT PAK KRIS)</v>
      </c>
      <c r="J76" s="3" t="str">
        <f>IFERROR(__xludf.DUMMYFUNCTION("""COMPUTED_VALUE"""),"Reject")</f>
        <v>Reject</v>
      </c>
      <c r="K76" s="3" t="str">
        <f>IFERROR(__xludf.DUMMYFUNCTION("""COMPUTED_VALUE"""),"Normal")</f>
        <v>Normal</v>
      </c>
      <c r="L76" s="3" t="str">
        <f>IFERROR(__xludf.DUMMYFUNCTION("""COMPUTED_VALUE"""),"Non Urgent")</f>
        <v>Non Urgent</v>
      </c>
    </row>
    <row r="77">
      <c r="A77" s="4">
        <f>IFERROR(__xludf.DUMMYFUNCTION("""COMPUTED_VALUE"""),46150.471878553246)</f>
        <v>46150.47188</v>
      </c>
      <c r="B77" s="3" t="str">
        <f>IFERROR(__xludf.DUMMYFUNCTION("""COMPUTED_VALUE"""),"MOBJA0004")</f>
        <v>MOBJA0004</v>
      </c>
      <c r="C77" s="3" t="str">
        <f>IFERROR(__xludf.DUMMYFUNCTION("""COMPUTED_VALUE"""),"EJO/2026/04/022")</f>
        <v>EJO/2026/04/022</v>
      </c>
      <c r="D77" s="3" t="str">
        <f>IFERROR(__xludf.DUMMYFUNCTION("""COMPUTED_VALUE"""),"PSG")</f>
        <v>PSG</v>
      </c>
      <c r="E77" s="3" t="str">
        <f>IFERROR(__xludf.DUMMYFUNCTION("""COMPUTED_VALUE"""),"Mainline condensate PSG Bocor")</f>
        <v>Mainline condensate PSG Bocor</v>
      </c>
      <c r="F77" s="3">
        <f>IFERROR(__xludf.DUMMYFUNCTION("""COMPUTED_VALUE"""),1.0)</f>
        <v>1</v>
      </c>
      <c r="G77" s="3" t="str">
        <f>IFERROR(__xludf.DUMMYFUNCTION("""COMPUTED_VALUE"""),"Lot")</f>
        <v>Lot</v>
      </c>
      <c r="H77" s="5" t="str">
        <f>IFERROR(__xludf.DUMMYFUNCTION("""COMPUTED_VALUE"""),"https://drive.google.com/file/d/1uAXqbtWz6Y-hfUlLHPwk3RfX5j593lI6/view?usp=sharing")</f>
        <v>https://drive.google.com/file/d/1uAXqbtWz6Y-hfUlLHPwk3RfX5j593lI6/view?usp=sharing</v>
      </c>
      <c r="I77" s="3" t="str">
        <f>IFERROR(__xludf.DUMMYFUNCTION("""COMPUTED_VALUE"""),"Penawaran Penggantian Mainline Condensate Pipe PSG (Urgent)")</f>
        <v>Penawaran Penggantian Mainline Condensate Pipe PSG (Urgent)</v>
      </c>
      <c r="J77" s="3" t="str">
        <f>IFERROR(__xludf.DUMMYFUNCTION("""COMPUTED_VALUE"""),"Approve")</f>
        <v>Approve</v>
      </c>
      <c r="K77" s="3" t="str">
        <f>IFERROR(__xludf.DUMMYFUNCTION("""COMPUTED_VALUE"""),"Normal")</f>
        <v>Normal</v>
      </c>
      <c r="L77" s="3" t="str">
        <f>IFERROR(__xludf.DUMMYFUNCTION("""COMPUTED_VALUE"""),"Non Urgent")</f>
        <v>Non Urgent</v>
      </c>
    </row>
    <row r="78">
      <c r="A78" s="4">
        <f>IFERROR(__xludf.DUMMYFUNCTION("""COMPUTED_VALUE"""),46181.14574168982)</f>
        <v>46181.14574</v>
      </c>
      <c r="B78" s="3" t="str">
        <f>IFERROR(__xludf.DUMMYFUNCTION("""COMPUTED_VALUE"""),"RIAJA0014")</f>
        <v>RIAJA0014</v>
      </c>
      <c r="C78" s="3" t="str">
        <f>IFERROR(__xludf.DUMMYFUNCTION("""COMPUTED_VALUE"""),"EJO")</f>
        <v>EJO</v>
      </c>
      <c r="D78" s="3" t="str">
        <f>IFERROR(__xludf.DUMMYFUNCTION("""COMPUTED_VALUE"""),"Virdi")</f>
        <v>Virdi</v>
      </c>
      <c r="E78" s="3" t="str">
        <f>IFERROR(__xludf.DUMMYFUNCTION("""COMPUTED_VALUE"""),"Perbaikan Board
Tapping Absen")</f>
        <v>Perbaikan Board
Tapping Absen</v>
      </c>
      <c r="F78" s="3">
        <f>IFERROR(__xludf.DUMMYFUNCTION("""COMPUTED_VALUE"""),1.0)</f>
        <v>1</v>
      </c>
      <c r="G78" s="3" t="str">
        <f>IFERROR(__xludf.DUMMYFUNCTION("""COMPUTED_VALUE"""),"Set")</f>
        <v>Set</v>
      </c>
      <c r="H78" s="3" t="str">
        <f>IFERROR(__xludf.DUMMYFUNCTION("""COMPUTED_VALUE"""),"Penawaran 0536-VI-2026 (Fonko-Perbaikan Board Tapping Absen).pdf")</f>
        <v>Penawaran 0536-VI-2026 (Fonko-Perbaikan Board Tapping Absen).pdf</v>
      </c>
      <c r="I78" s="3" t="str">
        <f>IFERROR(__xludf.DUMMYFUNCTION("""COMPUTED_VALUE"""),"Repair Virdi")</f>
        <v>Repair Virdi</v>
      </c>
      <c r="J78" s="3" t="str">
        <f>IFERROR(__xludf.DUMMYFUNCTION("""COMPUTED_VALUE"""),"Approve")</f>
        <v>Approve</v>
      </c>
      <c r="K78" s="3" t="str">
        <f>IFERROR(__xludf.DUMMYFUNCTION("""COMPUTED_VALUE"""),"Normal")</f>
        <v>Normal</v>
      </c>
      <c r="L78" s="3" t="str">
        <f>IFERROR(__xludf.DUMMYFUNCTION("""COMPUTED_VALUE"""),"Non Urgent")</f>
        <v>Non Urgent</v>
      </c>
    </row>
    <row r="79">
      <c r="A79" s="4">
        <f>IFERROR(__xludf.DUMMYFUNCTION("""COMPUTED_VALUE"""),46181.14625178241)</f>
        <v>46181.14625</v>
      </c>
      <c r="B79" s="3" t="str">
        <f>IFERROR(__xludf.DUMMYFUNCTION("""COMPUTED_VALUE"""),"RIAJA0015")</f>
        <v>RIAJA0015</v>
      </c>
      <c r="C79" s="3" t="str">
        <f>IFERROR(__xludf.DUMMYFUNCTION("""COMPUTED_VALUE"""),"EJO")</f>
        <v>EJO</v>
      </c>
      <c r="D79" s="3" t="str">
        <f>IFERROR(__xludf.DUMMYFUNCTION("""COMPUTED_VALUE"""),"WICC FGRM")</f>
        <v>WICC FGRM</v>
      </c>
      <c r="E79" s="3" t="str">
        <f>IFERROR(__xludf.DUMMYFUNCTION("""COMPUTED_VALUE"""),"Perbaikan Board Power")</f>
        <v>Perbaikan Board Power</v>
      </c>
      <c r="F79" s="3">
        <f>IFERROR(__xludf.DUMMYFUNCTION("""COMPUTED_VALUE"""),1.0)</f>
        <v>1</v>
      </c>
      <c r="G79" s="3" t="str">
        <f>IFERROR(__xludf.DUMMYFUNCTION("""COMPUTED_VALUE"""),"Set")</f>
        <v>Set</v>
      </c>
      <c r="H79" s="3" t="str">
        <f>IFERROR(__xludf.DUMMYFUNCTION("""COMPUTED_VALUE"""),"Penawaran 0536-VI-2026 (Fonko-Perbaikan Board Tapping Absen).pdf")</f>
        <v>Penawaran 0536-VI-2026 (Fonko-Perbaikan Board Tapping Absen).pdf</v>
      </c>
      <c r="I79" s="3" t="str">
        <f>IFERROR(__xludf.DUMMYFUNCTION("""COMPUTED_VALUE"""),"Repair Board Power WICC FGRM")</f>
        <v>Repair Board Power WICC FGRM</v>
      </c>
      <c r="J79" s="3" t="str">
        <f>IFERROR(__xludf.DUMMYFUNCTION("""COMPUTED_VALUE"""),"Approve")</f>
        <v>Approve</v>
      </c>
      <c r="K79" s="3" t="str">
        <f>IFERROR(__xludf.DUMMYFUNCTION("""COMPUTED_VALUE"""),"Normal")</f>
        <v>Normal</v>
      </c>
      <c r="L79" s="3" t="str">
        <f>IFERROR(__xludf.DUMMYFUNCTION("""COMPUTED_VALUE"""),"Non Urgent")</f>
        <v>Non Urgent</v>
      </c>
    </row>
    <row r="80">
      <c r="A80" s="4">
        <f>IFERROR(__xludf.DUMMYFUNCTION("""COMPUTED_VALUE"""),46256.06071520833)</f>
        <v>46256.06072</v>
      </c>
      <c r="B80" s="3" t="str">
        <f>IFERROR(__xludf.DUMMYFUNCTION("""COMPUTED_VALUE"""),"AAAJA0001")</f>
        <v>AAAJA0001</v>
      </c>
      <c r="C80" s="3" t="str">
        <f>IFERROR(__xludf.DUMMYFUNCTION("""COMPUTED_VALUE"""),"EJO/2025/01/138")</f>
        <v>EJO/2025/01/138</v>
      </c>
      <c r="D80" s="3" t="str">
        <f>IFERROR(__xludf.DUMMYFUNCTION("""COMPUTED_VALUE"""),"Cytotoxic Cabinet bio test micro lab")</f>
        <v>Cytotoxic Cabinet bio test micro lab</v>
      </c>
      <c r="E80" s="3" t="str">
        <f>IFERROR(__xludf.DUMMYFUNCTION("""COMPUTED_VALUE"""),"Pembelian HEPA Filter dan jasa pemasangan")</f>
        <v>Pembelian HEPA Filter dan jasa pemasangan</v>
      </c>
      <c r="F80" s="3">
        <f>IFERROR(__xludf.DUMMYFUNCTION("""COMPUTED_VALUE"""),6.0)</f>
        <v>6</v>
      </c>
      <c r="G80" s="3" t="str">
        <f>IFERROR(__xludf.DUMMYFUNCTION("""COMPUTED_VALUE"""),"Pcs")</f>
        <v>Pcs</v>
      </c>
      <c r="H80" s="5" t="str">
        <f>IFERROR(__xludf.DUMMYFUNCTION("""COMPUTED_VALUE"""),"https://drive.google.com/drive/folders/1GuJq1W6y1ezFtGSc6yqEoeh1yR5IOfgz")</f>
        <v>https://drive.google.com/drive/folders/1GuJq1W6y1ezFtGSc6yqEoeh1yR5IOfgz</v>
      </c>
      <c r="I80" s="3" t="str">
        <f>IFERROR(__xludf.DUMMYFUNCTION("""COMPUTED_VALUE"""),"Part dan jasa pemasangan")</f>
        <v>Part dan jasa pemasangan</v>
      </c>
      <c r="J80" s="3" t="str">
        <f>IFERROR(__xludf.DUMMYFUNCTION("""COMPUTED_VALUE"""),"Approve")</f>
        <v>Approve</v>
      </c>
      <c r="K80" s="3" t="str">
        <f>IFERROR(__xludf.DUMMYFUNCTION("""COMPUTED_VALUE"""),"Normal")</f>
        <v>Normal</v>
      </c>
      <c r="L80" s="3" t="str">
        <f>IFERROR(__xludf.DUMMYFUNCTION("""COMPUTED_VALUE"""),"Non Urgent")</f>
        <v>Non Urgent</v>
      </c>
    </row>
    <row r="81">
      <c r="A81" s="4">
        <f>IFERROR(__xludf.DUMMYFUNCTION("""COMPUTED_VALUE"""),46256.06071520833)</f>
        <v>46256.06072</v>
      </c>
      <c r="B81" s="3" t="str">
        <f>IFERROR(__xludf.DUMMYFUNCTION("""COMPUTED_VALUE"""),"AAAJA0002")</f>
        <v>AAAJA0002</v>
      </c>
      <c r="C81" s="3" t="str">
        <f>IFERROR(__xludf.DUMMYFUNCTION("""COMPUTED_VALUE"""),"EJO/2025/01/138")</f>
        <v>EJO/2025/01/138</v>
      </c>
      <c r="D81" s="3" t="str">
        <f>IFERROR(__xludf.DUMMYFUNCTION("""COMPUTED_VALUE"""),"Cytotoxic Cabinet Total count micro lab")</f>
        <v>Cytotoxic Cabinet Total count micro lab</v>
      </c>
      <c r="E81" s="3" t="str">
        <f>IFERROR(__xludf.DUMMYFUNCTION("""COMPUTED_VALUE"""),"HEPA filter dan pasang")</f>
        <v>HEPA filter dan pasang</v>
      </c>
      <c r="F81" s="3">
        <f>IFERROR(__xludf.DUMMYFUNCTION("""COMPUTED_VALUE"""),9.0)</f>
        <v>9</v>
      </c>
      <c r="G81" s="3" t="str">
        <f>IFERROR(__xludf.DUMMYFUNCTION("""COMPUTED_VALUE"""),"Pcs")</f>
        <v>Pcs</v>
      </c>
      <c r="H81" s="5" t="str">
        <f>IFERROR(__xludf.DUMMYFUNCTION("""COMPUTED_VALUE"""),"https://drive.google.com/drive/folders/1GuJq1W6y1ezFtGSc6yqEoeh1yR5IOfgz")</f>
        <v>https://drive.google.com/drive/folders/1GuJq1W6y1ezFtGSc6yqEoeh1yR5IOfgz</v>
      </c>
      <c r="I81" s="3" t="str">
        <f>IFERROR(__xludf.DUMMYFUNCTION("""COMPUTED_VALUE"""),"Beli part dan pemasangan")</f>
        <v>Beli part dan pemasangan</v>
      </c>
      <c r="J81" s="3" t="str">
        <f>IFERROR(__xludf.DUMMYFUNCTION("""COMPUTED_VALUE"""),"Approve")</f>
        <v>Approve</v>
      </c>
      <c r="K81" s="3" t="str">
        <f>IFERROR(__xludf.DUMMYFUNCTION("""COMPUTED_VALUE"""),"Normal")</f>
        <v>Normal</v>
      </c>
      <c r="L81" s="3" t="str">
        <f>IFERROR(__xludf.DUMMYFUNCTION("""COMPUTED_VALUE"""),"Non Urgent")</f>
        <v>Non Urgent</v>
      </c>
    </row>
    <row r="82">
      <c r="A82" s="4">
        <f>IFERROR(__xludf.DUMMYFUNCTION("""COMPUTED_VALUE"""),46256.06071520833)</f>
        <v>46256.06072</v>
      </c>
      <c r="B82" s="3" t="str">
        <f>IFERROR(__xludf.DUMMYFUNCTION("""COMPUTED_VALUE"""),"AAAJA0003")</f>
        <v>AAAJA0003</v>
      </c>
      <c r="C82" s="3" t="str">
        <f>IFERROR(__xludf.DUMMYFUNCTION("""COMPUTED_VALUE"""),"EJO/2025/01/138")</f>
        <v>EJO/2025/01/138</v>
      </c>
      <c r="D82" s="3" t="str">
        <f>IFERROR(__xludf.DUMMYFUNCTION("""COMPUTED_VALUE"""),"Cytotoxic Cabinet Containment Lab")</f>
        <v>Cytotoxic Cabinet Containment Lab</v>
      </c>
      <c r="E82" s="3" t="str">
        <f>IFERROR(__xludf.DUMMYFUNCTION("""COMPUTED_VALUE"""),"HEPA filter dan pasang")</f>
        <v>HEPA filter dan pasang</v>
      </c>
      <c r="F82" s="3">
        <f>IFERROR(__xludf.DUMMYFUNCTION("""COMPUTED_VALUE"""),9.0)</f>
        <v>9</v>
      </c>
      <c r="G82" s="3" t="str">
        <f>IFERROR(__xludf.DUMMYFUNCTION("""COMPUTED_VALUE"""),"Pcs")</f>
        <v>Pcs</v>
      </c>
      <c r="H82" s="5" t="str">
        <f>IFERROR(__xludf.DUMMYFUNCTION("""COMPUTED_VALUE"""),"https://drive.google.com/drive/folders/1GuJq1W6y1ezFtGSc6yqEoeh1yR5IOfgz")</f>
        <v>https://drive.google.com/drive/folders/1GuJq1W6y1ezFtGSc6yqEoeh1yR5IOfgz</v>
      </c>
      <c r="I82" s="3" t="str">
        <f>IFERROR(__xludf.DUMMYFUNCTION("""COMPUTED_VALUE"""),"Beli part dan pemasangan")</f>
        <v>Beli part dan pemasangan</v>
      </c>
      <c r="J82" s="3" t="str">
        <f>IFERROR(__xludf.DUMMYFUNCTION("""COMPUTED_VALUE"""),"Approve")</f>
        <v>Approve</v>
      </c>
      <c r="K82" s="3" t="str">
        <f>IFERROR(__xludf.DUMMYFUNCTION("""COMPUTED_VALUE"""),"Normal")</f>
        <v>Normal</v>
      </c>
      <c r="L82" s="3" t="str">
        <f>IFERROR(__xludf.DUMMYFUNCTION("""COMPUTED_VALUE"""),"Non Urgent")</f>
        <v>Non Urgent</v>
      </c>
    </row>
  </sheetData>
  <hyperlinks>
    <hyperlink r:id="rId1" ref="H2"/>
    <hyperlink r:id="rId2" ref="H3"/>
    <hyperlink r:id="rId3" ref="H6"/>
    <hyperlink r:id="rId4" ref="H7"/>
    <hyperlink r:id="rId5" ref="H8"/>
    <hyperlink r:id="rId6" ref="H9"/>
    <hyperlink r:id="rId7" ref="H10"/>
    <hyperlink r:id="rId8" ref="H21"/>
    <hyperlink r:id="rId9" ref="H22"/>
    <hyperlink r:id="rId10" ref="H23"/>
    <hyperlink r:id="rId11" ref="H27"/>
    <hyperlink r:id="rId12" ref="H40"/>
    <hyperlink r:id="rId13" ref="H41"/>
    <hyperlink r:id="rId14" ref="H50"/>
    <hyperlink r:id="rId15" ref="H51"/>
    <hyperlink r:id="rId16" ref="H61"/>
    <hyperlink r:id="rId17" ref="H62"/>
    <hyperlink r:id="rId18" ref="H75"/>
    <hyperlink r:id="rId19" ref="H76"/>
    <hyperlink r:id="rId20" ref="H77"/>
    <hyperlink r:id="rId21" ref="H80"/>
    <hyperlink r:id="rId22" ref="H81"/>
    <hyperlink r:id="rId23" ref="H82"/>
  </hyperlinks>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v>
      </c>
      <c r="E1" s="3" t="s">
        <v>4</v>
      </c>
      <c r="F1" s="3" t="s">
        <v>5</v>
      </c>
      <c r="G1" s="3" t="s">
        <v>6</v>
      </c>
      <c r="H1" s="3" t="s">
        <v>7</v>
      </c>
      <c r="I1" s="3" t="s">
        <v>8</v>
      </c>
      <c r="J1" s="3" t="s">
        <v>9</v>
      </c>
      <c r="K1" s="3" t="s">
        <v>10</v>
      </c>
      <c r="L1" s="3" t="s">
        <v>11</v>
      </c>
      <c r="M1" s="3" t="s">
        <v>12</v>
      </c>
      <c r="N1" s="3" t="str">
        <f>IFERROR(__xludf.DUMMYFUNCTION("ArrayFormula(IF(LEN(M:M),if(ROW(M:M)=1,""Tanggal Approved"",vlookup(B:B,importrange(""1pu4PTNY0DwxqnxT6B1IOshB45EM_Ul3WONUVl73rw4Y"",""Salinan Gform!B:F""),5,0)),))"),"Tanggal Approved")</f>
        <v>Tanggal Approved</v>
      </c>
    </row>
    <row r="2">
      <c r="A2" s="4">
        <f>IFERROR(__xludf.DUMMYFUNCTION("if(isna(filter('All RO BQ'!A:M,'All RO BQ'!K:K=""Approve"",'All RO BQ'!L:L=""Normal"")),"""",filter('All RO BQ'!A:M,'All RO BQ'!K:K=""Approve"",'All RO BQ'!L:L=""Normal""))"),45678.67302818287)</f>
        <v>45678.67303</v>
      </c>
      <c r="B2" s="3" t="str">
        <f>IFERROR(__xludf.DUMMYFUNCTION("""COMPUTED_VALUE"""),"SFHRO0002")</f>
        <v>SFHRO0002</v>
      </c>
      <c r="C2" s="3" t="str">
        <f>IFERROR(__xludf.DUMMYFUNCTION("""COMPUTED_VALUE"""),"MIn Stok")</f>
        <v>MIn Stok</v>
      </c>
      <c r="D2" s="3" t="str">
        <f>IFERROR(__xludf.DUMMYFUNCTION("""COMPUTED_VALUE"""),"-")</f>
        <v>-</v>
      </c>
      <c r="E2" s="3" t="str">
        <f>IFERROR(__xludf.DUMMYFUNCTION("""COMPUTED_VALUE"""),"lantai 2")</f>
        <v>lantai 2</v>
      </c>
      <c r="F2" s="3" t="str">
        <f>IFERROR(__xludf.DUMMYFUNCTION("""COMPUTED_VALUE"""),"Door Seal Karet Penutup Bawah Pintu Abu 2,5 cm x 1 M; ; ;")</f>
        <v>Door Seal Karet Penutup Bawah Pintu Abu 2,5 cm x 1 M; ; ;</v>
      </c>
      <c r="G2" s="3">
        <f>IFERROR(__xludf.DUMMYFUNCTION("""COMPUTED_VALUE"""),10.0)</f>
        <v>10</v>
      </c>
      <c r="H2" s="3" t="str">
        <f>IFERROR(__xludf.DUMMYFUNCTION("""COMPUTED_VALUE"""),"m")</f>
        <v>m</v>
      </c>
      <c r="I2" s="3" t="str">
        <f>IFERROR(__xludf.DUMMYFUNCTION("""COMPUTED_VALUE"""),"-")</f>
        <v>-</v>
      </c>
      <c r="J2" s="3" t="str">
        <f>IFERROR(__xludf.DUMMYFUNCTION("""COMPUTED_VALUE"""),"Q-10984-00")</f>
        <v>Q-10984-00</v>
      </c>
      <c r="K2" s="3" t="str">
        <f>IFERROR(__xludf.DUMMYFUNCTION("""COMPUTED_VALUE"""),"Approve")</f>
        <v>Approve</v>
      </c>
      <c r="L2" s="3" t="str">
        <f>IFERROR(__xludf.DUMMYFUNCTION("""COMPUTED_VALUE"""),"Normal")</f>
        <v>Normal</v>
      </c>
      <c r="M2" s="3" t="str">
        <f>IFERROR(__xludf.DUMMYFUNCTION("""COMPUTED_VALUE"""),"Non Urgent")</f>
        <v>Non Urgent</v>
      </c>
      <c r="N2" s="3">
        <f>IFERROR(__xludf.DUMMYFUNCTION("""COMPUTED_VALUE"""),45679.395960891205)</f>
        <v>45679.39596</v>
      </c>
    </row>
    <row r="3">
      <c r="A3" s="4">
        <f>IFERROR(__xludf.DUMMYFUNCTION("""COMPUTED_VALUE"""),45679.47850109954)</f>
        <v>45679.4785</v>
      </c>
      <c r="B3" s="3" t="str">
        <f>IFERROR(__xludf.DUMMYFUNCTION("""COMPUTED_VALUE"""),"MOBRO0001")</f>
        <v>MOBRO0001</v>
      </c>
      <c r="C3" s="3" t="str">
        <f>IFERROR(__xludf.DUMMYFUNCTION("""COMPUTED_VALUE"""),"Consumable")</f>
        <v>Consumable</v>
      </c>
      <c r="D3" s="3" t="str">
        <f>IFERROR(__xludf.DUMMYFUNCTION("""COMPUTED_VALUE"""),"-")</f>
        <v>-</v>
      </c>
      <c r="E3" s="3" t="str">
        <f>IFERROR(__xludf.DUMMYFUNCTION("""COMPUTED_VALUE"""),"Building")</f>
        <v>Building</v>
      </c>
      <c r="F3" s="3" t="str">
        <f>IFERROR(__xludf.DUMMYFUNCTION("""COMPUTED_VALUE"""),"General - Elbow PVC 90 AW 1/2inch; Rucika; -; 1 Pc")</f>
        <v>General - Elbow PVC 90 AW 1/2inch; Rucika; -; 1 Pc</v>
      </c>
      <c r="G3" s="3">
        <f>IFERROR(__xludf.DUMMYFUNCTION("""COMPUTED_VALUE"""),5.0)</f>
        <v>5</v>
      </c>
      <c r="H3" s="3" t="str">
        <f>IFERROR(__xludf.DUMMYFUNCTION("""COMPUTED_VALUE"""),"Pcs")</f>
        <v>Pcs</v>
      </c>
      <c r="I3" s="3" t="str">
        <f>IFERROR(__xludf.DUMMYFUNCTION("""COMPUTED_VALUE"""),"-")</f>
        <v>-</v>
      </c>
      <c r="J3" s="3" t="str">
        <f>IFERROR(__xludf.DUMMYFUNCTION("""COMPUTED_VALUE"""),"P-10859-00")</f>
        <v>P-10859-00</v>
      </c>
      <c r="K3" s="3" t="str">
        <f>IFERROR(__xludf.DUMMYFUNCTION("""COMPUTED_VALUE"""),"Approve")</f>
        <v>Approve</v>
      </c>
      <c r="L3" s="3" t="str">
        <f>IFERROR(__xludf.DUMMYFUNCTION("""COMPUTED_VALUE"""),"Normal")</f>
        <v>Normal</v>
      </c>
      <c r="M3" s="3" t="str">
        <f>IFERROR(__xludf.DUMMYFUNCTION("""COMPUTED_VALUE"""),"Non Urgent")</f>
        <v>Non Urgent</v>
      </c>
      <c r="N3" s="3">
        <f>IFERROR(__xludf.DUMMYFUNCTION("""COMPUTED_VALUE"""),45682.45505209491)</f>
        <v>45682.45505</v>
      </c>
    </row>
    <row r="4">
      <c r="A4" s="4">
        <f>IFERROR(__xludf.DUMMYFUNCTION("""COMPUTED_VALUE"""),45679.47935678241)</f>
        <v>45679.47936</v>
      </c>
      <c r="B4" s="3" t="str">
        <f>IFERROR(__xludf.DUMMYFUNCTION("""COMPUTED_VALUE"""),"MOBRO0002")</f>
        <v>MOBRO0002</v>
      </c>
      <c r="C4" s="3" t="str">
        <f>IFERROR(__xludf.DUMMYFUNCTION("""COMPUTED_VALUE"""),"Consumable")</f>
        <v>Consumable</v>
      </c>
      <c r="D4" s="3" t="str">
        <f>IFERROR(__xludf.DUMMYFUNCTION("""COMPUTED_VALUE"""),"-")</f>
        <v>-</v>
      </c>
      <c r="E4" s="3" t="str">
        <f>IFERROR(__xludf.DUMMYFUNCTION("""COMPUTED_VALUE"""),"Building")</f>
        <v>Building</v>
      </c>
      <c r="F4" s="3" t="str">
        <f>IFERROR(__xludf.DUMMYFUNCTION("""COMPUTED_VALUE"""),"Fitting PVC - Elbow PVC 3/4""")</f>
        <v>Fitting PVC - Elbow PVC 3/4"</v>
      </c>
      <c r="G4" s="3">
        <f>IFERROR(__xludf.DUMMYFUNCTION("""COMPUTED_VALUE"""),5.0)</f>
        <v>5</v>
      </c>
      <c r="H4" s="3" t="str">
        <f>IFERROR(__xludf.DUMMYFUNCTION("""COMPUTED_VALUE"""),"Pcs")</f>
        <v>Pcs</v>
      </c>
      <c r="I4" s="3" t="str">
        <f>IFERROR(__xludf.DUMMYFUNCTION("""COMPUTED_VALUE"""),"-")</f>
        <v>-</v>
      </c>
      <c r="J4" s="3" t="str">
        <f>IFERROR(__xludf.DUMMYFUNCTION("""COMPUTED_VALUE"""),"P-10865-00")</f>
        <v>P-10865-00</v>
      </c>
      <c r="K4" s="3" t="str">
        <f>IFERROR(__xludf.DUMMYFUNCTION("""COMPUTED_VALUE"""),"Approve")</f>
        <v>Approve</v>
      </c>
      <c r="L4" s="3" t="str">
        <f>IFERROR(__xludf.DUMMYFUNCTION("""COMPUTED_VALUE"""),"Normal")</f>
        <v>Normal</v>
      </c>
      <c r="M4" s="3" t="str">
        <f>IFERROR(__xludf.DUMMYFUNCTION("""COMPUTED_VALUE"""),"Non Urgent")</f>
        <v>Non Urgent</v>
      </c>
      <c r="N4" s="3">
        <f>IFERROR(__xludf.DUMMYFUNCTION("""COMPUTED_VALUE"""),45682.45523871528)</f>
        <v>45682.45524</v>
      </c>
    </row>
    <row r="5">
      <c r="A5" s="4">
        <f>IFERROR(__xludf.DUMMYFUNCTION("""COMPUTED_VALUE"""),45679.47991846065)</f>
        <v>45679.47992</v>
      </c>
      <c r="B5" s="3" t="str">
        <f>IFERROR(__xludf.DUMMYFUNCTION("""COMPUTED_VALUE"""),"MOBRO0003")</f>
        <v>MOBRO0003</v>
      </c>
      <c r="C5" s="3" t="str">
        <f>IFERROR(__xludf.DUMMYFUNCTION("""COMPUTED_VALUE"""),"Consumable")</f>
        <v>Consumable</v>
      </c>
      <c r="D5" s="3" t="str">
        <f>IFERROR(__xludf.DUMMYFUNCTION("""COMPUTED_VALUE"""),"-")</f>
        <v>-</v>
      </c>
      <c r="E5" s="3" t="str">
        <f>IFERROR(__xludf.DUMMYFUNCTION("""COMPUTED_VALUE"""),"Building")</f>
        <v>Building</v>
      </c>
      <c r="F5" s="3" t="str">
        <f>IFERROR(__xludf.DUMMYFUNCTION("""COMPUTED_VALUE"""),"Fitting PVC - Elbow PVC 1""")</f>
        <v>Fitting PVC - Elbow PVC 1"</v>
      </c>
      <c r="G5" s="3">
        <f>IFERROR(__xludf.DUMMYFUNCTION("""COMPUTED_VALUE"""),5.0)</f>
        <v>5</v>
      </c>
      <c r="H5" s="3" t="str">
        <f>IFERROR(__xludf.DUMMYFUNCTION("""COMPUTED_VALUE"""),"Pcs")</f>
        <v>Pcs</v>
      </c>
      <c r="I5" s="3" t="str">
        <f>IFERROR(__xludf.DUMMYFUNCTION("""COMPUTED_VALUE"""),"-")</f>
        <v>-</v>
      </c>
      <c r="J5" s="3" t="str">
        <f>IFERROR(__xludf.DUMMYFUNCTION("""COMPUTED_VALUE"""),"P-10860-00")</f>
        <v>P-10860-00</v>
      </c>
      <c r="K5" s="3" t="str">
        <f>IFERROR(__xludf.DUMMYFUNCTION("""COMPUTED_VALUE"""),"Approve")</f>
        <v>Approve</v>
      </c>
      <c r="L5" s="3" t="str">
        <f>IFERROR(__xludf.DUMMYFUNCTION("""COMPUTED_VALUE"""),"Normal")</f>
        <v>Normal</v>
      </c>
      <c r="M5" s="3" t="str">
        <f>IFERROR(__xludf.DUMMYFUNCTION("""COMPUTED_VALUE"""),"Non Urgent")</f>
        <v>Non Urgent</v>
      </c>
      <c r="N5" s="3">
        <f>IFERROR(__xludf.DUMMYFUNCTION("""COMPUTED_VALUE"""),45682.45538417824)</f>
        <v>45682.45538</v>
      </c>
    </row>
    <row r="6">
      <c r="A6" s="4">
        <f>IFERROR(__xludf.DUMMYFUNCTION("""COMPUTED_VALUE"""),45679.48062346065)</f>
        <v>45679.48062</v>
      </c>
      <c r="B6" s="3" t="str">
        <f>IFERROR(__xludf.DUMMYFUNCTION("""COMPUTED_VALUE"""),"MOBRO0004")</f>
        <v>MOBRO0004</v>
      </c>
      <c r="C6" s="3" t="str">
        <f>IFERROR(__xludf.DUMMYFUNCTION("""COMPUTED_VALUE"""),"Consumable")</f>
        <v>Consumable</v>
      </c>
      <c r="D6" s="3" t="str">
        <f>IFERROR(__xludf.DUMMYFUNCTION("""COMPUTED_VALUE"""),"-")</f>
        <v>-</v>
      </c>
      <c r="E6" s="3" t="str">
        <f>IFERROR(__xludf.DUMMYFUNCTION("""COMPUTED_VALUE"""),"Bulding")</f>
        <v>Bulding</v>
      </c>
      <c r="F6" s="3" t="str">
        <f>IFERROR(__xludf.DUMMYFUNCTION("""COMPUTED_VALUE"""),"Fitting PVC - Elbow PVC 1 1/4""")</f>
        <v>Fitting PVC - Elbow PVC 1 1/4"</v>
      </c>
      <c r="G6" s="3">
        <f>IFERROR(__xludf.DUMMYFUNCTION("""COMPUTED_VALUE"""),5.0)</f>
        <v>5</v>
      </c>
      <c r="H6" s="3" t="str">
        <f>IFERROR(__xludf.DUMMYFUNCTION("""COMPUTED_VALUE"""),"Pcs")</f>
        <v>Pcs</v>
      </c>
      <c r="I6" s="3" t="str">
        <f>IFERROR(__xludf.DUMMYFUNCTION("""COMPUTED_VALUE"""),"-")</f>
        <v>-</v>
      </c>
      <c r="J6" s="3" t="str">
        <f>IFERROR(__xludf.DUMMYFUNCTION("""COMPUTED_VALUE"""),"P-10858-00")</f>
        <v>P-10858-00</v>
      </c>
      <c r="K6" s="3" t="str">
        <f>IFERROR(__xludf.DUMMYFUNCTION("""COMPUTED_VALUE"""),"Approve")</f>
        <v>Approve</v>
      </c>
      <c r="L6" s="3" t="str">
        <f>IFERROR(__xludf.DUMMYFUNCTION("""COMPUTED_VALUE"""),"Normal")</f>
        <v>Normal</v>
      </c>
      <c r="M6" s="3" t="str">
        <f>IFERROR(__xludf.DUMMYFUNCTION("""COMPUTED_VALUE"""),"Non Urgent")</f>
        <v>Non Urgent</v>
      </c>
      <c r="N6" s="3">
        <f>IFERROR(__xludf.DUMMYFUNCTION("""COMPUTED_VALUE"""),45682.45565002315)</f>
        <v>45682.45565</v>
      </c>
    </row>
    <row r="7">
      <c r="A7" s="4">
        <f>IFERROR(__xludf.DUMMYFUNCTION("""COMPUTED_VALUE"""),45679.481238009255)</f>
        <v>45679.48124</v>
      </c>
      <c r="B7" s="3" t="str">
        <f>IFERROR(__xludf.DUMMYFUNCTION("""COMPUTED_VALUE"""),"MOBRO0005")</f>
        <v>MOBRO0005</v>
      </c>
      <c r="C7" s="3" t="str">
        <f>IFERROR(__xludf.DUMMYFUNCTION("""COMPUTED_VALUE"""),"Consumable")</f>
        <v>Consumable</v>
      </c>
      <c r="D7" s="3" t="str">
        <f>IFERROR(__xludf.DUMMYFUNCTION("""COMPUTED_VALUE"""),"-")</f>
        <v>-</v>
      </c>
      <c r="E7" s="3" t="str">
        <f>IFERROR(__xludf.DUMMYFUNCTION("""COMPUTED_VALUE"""),"Building")</f>
        <v>Building</v>
      </c>
      <c r="F7" s="3" t="str">
        <f>IFERROR(__xludf.DUMMYFUNCTION("""COMPUTED_VALUE"""),"General - Elbow PVC 90 AW 1 1/2inch; Rucika; -; 1 Pc")</f>
        <v>General - Elbow PVC 90 AW 1 1/2inch; Rucika; -; 1 Pc</v>
      </c>
      <c r="G7" s="3">
        <f>IFERROR(__xludf.DUMMYFUNCTION("""COMPUTED_VALUE"""),5.0)</f>
        <v>5</v>
      </c>
      <c r="H7" s="3" t="str">
        <f>IFERROR(__xludf.DUMMYFUNCTION("""COMPUTED_VALUE"""),"Pcs")</f>
        <v>Pcs</v>
      </c>
      <c r="I7" s="3" t="str">
        <f>IFERROR(__xludf.DUMMYFUNCTION("""COMPUTED_VALUE"""),"-")</f>
        <v>-</v>
      </c>
      <c r="J7" s="3" t="str">
        <f>IFERROR(__xludf.DUMMYFUNCTION("""COMPUTED_VALUE"""),"P-10857-00")</f>
        <v>P-10857-00</v>
      </c>
      <c r="K7" s="3" t="str">
        <f>IFERROR(__xludf.DUMMYFUNCTION("""COMPUTED_VALUE"""),"Approve")</f>
        <v>Approve</v>
      </c>
      <c r="L7" s="3" t="str">
        <f>IFERROR(__xludf.DUMMYFUNCTION("""COMPUTED_VALUE"""),"Normal")</f>
        <v>Normal</v>
      </c>
      <c r="M7" s="3" t="str">
        <f>IFERROR(__xludf.DUMMYFUNCTION("""COMPUTED_VALUE"""),"Non Urgent")</f>
        <v>Non Urgent</v>
      </c>
      <c r="N7" s="3">
        <f>IFERROR(__xludf.DUMMYFUNCTION("""COMPUTED_VALUE"""),45682.455831203704)</f>
        <v>45682.45583</v>
      </c>
    </row>
    <row r="8">
      <c r="A8" s="4">
        <f>IFERROR(__xludf.DUMMYFUNCTION("""COMPUTED_VALUE"""),45679.48156423611)</f>
        <v>45679.48156</v>
      </c>
      <c r="B8" s="3" t="str">
        <f>IFERROR(__xludf.DUMMYFUNCTION("""COMPUTED_VALUE"""),"MOBRO0006")</f>
        <v>MOBRO0006</v>
      </c>
      <c r="C8" s="3" t="str">
        <f>IFERROR(__xludf.DUMMYFUNCTION("""COMPUTED_VALUE"""),"Consumable")</f>
        <v>Consumable</v>
      </c>
      <c r="D8" s="3" t="str">
        <f>IFERROR(__xludf.DUMMYFUNCTION("""COMPUTED_VALUE"""),"-")</f>
        <v>-</v>
      </c>
      <c r="E8" s="3" t="str">
        <f>IFERROR(__xludf.DUMMYFUNCTION("""COMPUTED_VALUE"""),"Building")</f>
        <v>Building</v>
      </c>
      <c r="F8" s="3" t="str">
        <f>IFERROR(__xludf.DUMMYFUNCTION("""COMPUTED_VALUE"""),"Fitting PVC - Elbow PVC 2""")</f>
        <v>Fitting PVC - Elbow PVC 2"</v>
      </c>
      <c r="G8" s="3">
        <f>IFERROR(__xludf.DUMMYFUNCTION("""COMPUTED_VALUE"""),5.0)</f>
        <v>5</v>
      </c>
      <c r="H8" s="3" t="str">
        <f>IFERROR(__xludf.DUMMYFUNCTION("""COMPUTED_VALUE"""),"Pcs")</f>
        <v>Pcs</v>
      </c>
      <c r="I8" s="3" t="str">
        <f>IFERROR(__xludf.DUMMYFUNCTION("""COMPUTED_VALUE"""),"-")</f>
        <v>-</v>
      </c>
      <c r="J8" s="3" t="str">
        <f>IFERROR(__xludf.DUMMYFUNCTION("""COMPUTED_VALUE"""),"P-10863-00")</f>
        <v>P-10863-00</v>
      </c>
      <c r="K8" s="3" t="str">
        <f>IFERROR(__xludf.DUMMYFUNCTION("""COMPUTED_VALUE"""),"Approve")</f>
        <v>Approve</v>
      </c>
      <c r="L8" s="3" t="str">
        <f>IFERROR(__xludf.DUMMYFUNCTION("""COMPUTED_VALUE"""),"Normal")</f>
        <v>Normal</v>
      </c>
      <c r="M8" s="3" t="str">
        <f>IFERROR(__xludf.DUMMYFUNCTION("""COMPUTED_VALUE"""),"Non Urgent")</f>
        <v>Non Urgent</v>
      </c>
      <c r="N8" s="3">
        <f>IFERROR(__xludf.DUMMYFUNCTION("""COMPUTED_VALUE"""),45682.45599736111)</f>
        <v>45682.456</v>
      </c>
    </row>
    <row r="9">
      <c r="A9" s="4">
        <f>IFERROR(__xludf.DUMMYFUNCTION("""COMPUTED_VALUE"""),45679.481986597224)</f>
        <v>45679.48199</v>
      </c>
      <c r="B9" s="3" t="str">
        <f>IFERROR(__xludf.DUMMYFUNCTION("""COMPUTED_VALUE"""),"MOBRO0007")</f>
        <v>MOBRO0007</v>
      </c>
      <c r="C9" s="3" t="str">
        <f>IFERROR(__xludf.DUMMYFUNCTION("""COMPUTED_VALUE"""),"Consumable")</f>
        <v>Consumable</v>
      </c>
      <c r="D9" s="3" t="str">
        <f>IFERROR(__xludf.DUMMYFUNCTION("""COMPUTED_VALUE"""),"-")</f>
        <v>-</v>
      </c>
      <c r="E9" s="3" t="str">
        <f>IFERROR(__xludf.DUMMYFUNCTION("""COMPUTED_VALUE"""),"Building")</f>
        <v>Building</v>
      </c>
      <c r="F9" s="3" t="str">
        <f>IFERROR(__xludf.DUMMYFUNCTION("""COMPUTED_VALUE"""),"Fitting PVC - Elbow PVC 2 1/2""")</f>
        <v>Fitting PVC - Elbow PVC 2 1/2"</v>
      </c>
      <c r="G9" s="3">
        <f>IFERROR(__xludf.DUMMYFUNCTION("""COMPUTED_VALUE"""),5.0)</f>
        <v>5</v>
      </c>
      <c r="H9" s="3" t="str">
        <f>IFERROR(__xludf.DUMMYFUNCTION("""COMPUTED_VALUE"""),"Pcs")</f>
        <v>Pcs</v>
      </c>
      <c r="I9" s="3" t="str">
        <f>IFERROR(__xludf.DUMMYFUNCTION("""COMPUTED_VALUE"""),"-")</f>
        <v>-</v>
      </c>
      <c r="J9" s="3" t="str">
        <f>IFERROR(__xludf.DUMMYFUNCTION("""COMPUTED_VALUE"""),"P-10862-00")</f>
        <v>P-10862-00</v>
      </c>
      <c r="K9" s="3" t="str">
        <f>IFERROR(__xludf.DUMMYFUNCTION("""COMPUTED_VALUE"""),"Approve")</f>
        <v>Approve</v>
      </c>
      <c r="L9" s="3" t="str">
        <f>IFERROR(__xludf.DUMMYFUNCTION("""COMPUTED_VALUE"""),"Normal")</f>
        <v>Normal</v>
      </c>
      <c r="M9" s="3" t="str">
        <f>IFERROR(__xludf.DUMMYFUNCTION("""COMPUTED_VALUE"""),"Non Urgent")</f>
        <v>Non Urgent</v>
      </c>
      <c r="N9" s="3">
        <f>IFERROR(__xludf.DUMMYFUNCTION("""COMPUTED_VALUE"""),45682.456679525465)</f>
        <v>45682.45668</v>
      </c>
    </row>
    <row r="10">
      <c r="A10" s="4">
        <f>IFERROR(__xludf.DUMMYFUNCTION("""COMPUTED_VALUE"""),45679.48238184028)</f>
        <v>45679.48238</v>
      </c>
      <c r="B10" s="3" t="str">
        <f>IFERROR(__xludf.DUMMYFUNCTION("""COMPUTED_VALUE"""),"MOBRO0008")</f>
        <v>MOBRO0008</v>
      </c>
      <c r="C10" s="3" t="str">
        <f>IFERROR(__xludf.DUMMYFUNCTION("""COMPUTED_VALUE"""),"Consumable")</f>
        <v>Consumable</v>
      </c>
      <c r="D10" s="3" t="str">
        <f>IFERROR(__xludf.DUMMYFUNCTION("""COMPUTED_VALUE"""),"-")</f>
        <v>-</v>
      </c>
      <c r="E10" s="3" t="str">
        <f>IFERROR(__xludf.DUMMYFUNCTION("""COMPUTED_VALUE"""),"Building")</f>
        <v>Building</v>
      </c>
      <c r="F10" s="3" t="str">
        <f>IFERROR(__xludf.DUMMYFUNCTION("""COMPUTED_VALUE"""),"General - Socket, PVC, 1/2""; No Brand; -; 1 pcs")</f>
        <v>General - Socket, PVC, 1/2"; No Brand; -; 1 pcs</v>
      </c>
      <c r="G10" s="3">
        <f>IFERROR(__xludf.DUMMYFUNCTION("""COMPUTED_VALUE"""),4.0)</f>
        <v>4</v>
      </c>
      <c r="H10" s="3" t="str">
        <f>IFERROR(__xludf.DUMMYFUNCTION("""COMPUTED_VALUE"""),"Pcs")</f>
        <v>Pcs</v>
      </c>
      <c r="I10" s="3" t="str">
        <f>IFERROR(__xludf.DUMMYFUNCTION("""COMPUTED_VALUE"""),"-")</f>
        <v>-</v>
      </c>
      <c r="J10" s="3" t="str">
        <f>IFERROR(__xludf.DUMMYFUNCTION("""COMPUTED_VALUE"""),"P-10895-00")</f>
        <v>P-10895-00</v>
      </c>
      <c r="K10" s="3" t="str">
        <f>IFERROR(__xludf.DUMMYFUNCTION("""COMPUTED_VALUE"""),"Approve")</f>
        <v>Approve</v>
      </c>
      <c r="L10" s="3" t="str">
        <f>IFERROR(__xludf.DUMMYFUNCTION("""COMPUTED_VALUE"""),"Normal")</f>
        <v>Normal</v>
      </c>
      <c r="M10" s="3" t="str">
        <f>IFERROR(__xludf.DUMMYFUNCTION("""COMPUTED_VALUE"""),"Non Urgent")</f>
        <v>Non Urgent</v>
      </c>
      <c r="N10" s="3">
        <f>IFERROR(__xludf.DUMMYFUNCTION("""COMPUTED_VALUE"""),45682.456819618055)</f>
        <v>45682.45682</v>
      </c>
    </row>
    <row r="11">
      <c r="A11" s="4">
        <f>IFERROR(__xludf.DUMMYFUNCTION("""COMPUTED_VALUE"""),45679.48338646991)</f>
        <v>45679.48339</v>
      </c>
      <c r="B11" s="3" t="str">
        <f>IFERROR(__xludf.DUMMYFUNCTION("""COMPUTED_VALUE"""),"MOBRO0009")</f>
        <v>MOBRO0009</v>
      </c>
      <c r="C11" s="3" t="str">
        <f>IFERROR(__xludf.DUMMYFUNCTION("""COMPUTED_VALUE"""),"Consumable")</f>
        <v>Consumable</v>
      </c>
      <c r="D11" s="3" t="str">
        <f>IFERROR(__xludf.DUMMYFUNCTION("""COMPUTED_VALUE"""),"-")</f>
        <v>-</v>
      </c>
      <c r="E11" s="3" t="str">
        <f>IFERROR(__xludf.DUMMYFUNCTION("""COMPUTED_VALUE"""),"Building")</f>
        <v>Building</v>
      </c>
      <c r="F11" s="3" t="str">
        <f>IFERROR(__xludf.DUMMYFUNCTION("""COMPUTED_VALUE"""),"General - Socket, PVC, 3/4""; Rucika; -; 1 pcs")</f>
        <v>General - Socket, PVC, 3/4"; Rucika; -; 1 pcs</v>
      </c>
      <c r="G11" s="3">
        <f>IFERROR(__xludf.DUMMYFUNCTION("""COMPUTED_VALUE"""),4.0)</f>
        <v>4</v>
      </c>
      <c r="H11" s="3" t="str">
        <f>IFERROR(__xludf.DUMMYFUNCTION("""COMPUTED_VALUE"""),"Pcs")</f>
        <v>Pcs</v>
      </c>
      <c r="I11" s="3" t="str">
        <f>IFERROR(__xludf.DUMMYFUNCTION("""COMPUTED_VALUE"""),"-")</f>
        <v>-</v>
      </c>
      <c r="J11" s="3" t="str">
        <f>IFERROR(__xludf.DUMMYFUNCTION("""COMPUTED_VALUE"""),"P-10899-00")</f>
        <v>P-10899-00</v>
      </c>
      <c r="K11" s="3" t="str">
        <f>IFERROR(__xludf.DUMMYFUNCTION("""COMPUTED_VALUE"""),"Approve")</f>
        <v>Approve</v>
      </c>
      <c r="L11" s="3" t="str">
        <f>IFERROR(__xludf.DUMMYFUNCTION("""COMPUTED_VALUE"""),"Normal")</f>
        <v>Normal</v>
      </c>
      <c r="M11" s="3" t="str">
        <f>IFERROR(__xludf.DUMMYFUNCTION("""COMPUTED_VALUE"""),"Non Urgent")</f>
        <v>Non Urgent</v>
      </c>
      <c r="N11" s="3">
        <f>IFERROR(__xludf.DUMMYFUNCTION("""COMPUTED_VALUE"""),45682.45694318287)</f>
        <v>45682.45694</v>
      </c>
    </row>
    <row r="12">
      <c r="A12" s="4">
        <f>IFERROR(__xludf.DUMMYFUNCTION("""COMPUTED_VALUE"""),45679.484258136574)</f>
        <v>45679.48426</v>
      </c>
      <c r="B12" s="3" t="str">
        <f>IFERROR(__xludf.DUMMYFUNCTION("""COMPUTED_VALUE"""),"MOBRO0010")</f>
        <v>MOBRO0010</v>
      </c>
      <c r="C12" s="3" t="str">
        <f>IFERROR(__xludf.DUMMYFUNCTION("""COMPUTED_VALUE"""),"Consumable")</f>
        <v>Consumable</v>
      </c>
      <c r="D12" s="3" t="str">
        <f>IFERROR(__xludf.DUMMYFUNCTION("""COMPUTED_VALUE"""),"-")</f>
        <v>-</v>
      </c>
      <c r="E12" s="3" t="str">
        <f>IFERROR(__xludf.DUMMYFUNCTION("""COMPUTED_VALUE"""),"Building")</f>
        <v>Building</v>
      </c>
      <c r="F12" s="3" t="str">
        <f>IFERROR(__xludf.DUMMYFUNCTION("""COMPUTED_VALUE"""),"Fitting PVC - Sock PVC 1""")</f>
        <v>Fitting PVC - Sock PVC 1"</v>
      </c>
      <c r="G12" s="3">
        <f>IFERROR(__xludf.DUMMYFUNCTION("""COMPUTED_VALUE"""),4.0)</f>
        <v>4</v>
      </c>
      <c r="H12" s="3" t="str">
        <f>IFERROR(__xludf.DUMMYFUNCTION("""COMPUTED_VALUE"""),"Pcs")</f>
        <v>Pcs</v>
      </c>
      <c r="I12" s="3" t="str">
        <f>IFERROR(__xludf.DUMMYFUNCTION("""COMPUTED_VALUE"""),"-")</f>
        <v>-</v>
      </c>
      <c r="J12" s="3" t="str">
        <f>IFERROR(__xludf.DUMMYFUNCTION("""COMPUTED_VALUE"""),"P-10897-00")</f>
        <v>P-10897-00</v>
      </c>
      <c r="K12" s="3" t="str">
        <f>IFERROR(__xludf.DUMMYFUNCTION("""COMPUTED_VALUE"""),"Approve")</f>
        <v>Approve</v>
      </c>
      <c r="L12" s="3" t="str">
        <f>IFERROR(__xludf.DUMMYFUNCTION("""COMPUTED_VALUE"""),"Normal")</f>
        <v>Normal</v>
      </c>
      <c r="M12" s="3" t="str">
        <f>IFERROR(__xludf.DUMMYFUNCTION("""COMPUTED_VALUE"""),"Non Urgent")</f>
        <v>Non Urgent</v>
      </c>
      <c r="N12" s="3">
        <f>IFERROR(__xludf.DUMMYFUNCTION("""COMPUTED_VALUE"""),45682.457068171294)</f>
        <v>45682.45707</v>
      </c>
    </row>
    <row r="13">
      <c r="A13" s="4">
        <f>IFERROR(__xludf.DUMMYFUNCTION("""COMPUTED_VALUE"""),45679.48484324074)</f>
        <v>45679.48484</v>
      </c>
      <c r="B13" s="3" t="str">
        <f>IFERROR(__xludf.DUMMYFUNCTION("""COMPUTED_VALUE"""),"MOBRO0011")</f>
        <v>MOBRO0011</v>
      </c>
      <c r="C13" s="3" t="str">
        <f>IFERROR(__xludf.DUMMYFUNCTION("""COMPUTED_VALUE"""),"Consumable")</f>
        <v>Consumable</v>
      </c>
      <c r="D13" s="3" t="str">
        <f>IFERROR(__xludf.DUMMYFUNCTION("""COMPUTED_VALUE"""),"-")</f>
        <v>-</v>
      </c>
      <c r="E13" s="3" t="str">
        <f>IFERROR(__xludf.DUMMYFUNCTION("""COMPUTED_VALUE"""),"Building")</f>
        <v>Building</v>
      </c>
      <c r="F13" s="3" t="str">
        <f>IFERROR(__xludf.DUMMYFUNCTION("""COMPUTED_VALUE"""),"Fitting PVC - Sock PVC 2""")</f>
        <v>Fitting PVC - Sock PVC 2"</v>
      </c>
      <c r="G13" s="3">
        <f>IFERROR(__xludf.DUMMYFUNCTION("""COMPUTED_VALUE"""),4.0)</f>
        <v>4</v>
      </c>
      <c r="H13" s="3" t="str">
        <f>IFERROR(__xludf.DUMMYFUNCTION("""COMPUTED_VALUE"""),"PCS")</f>
        <v>PCS</v>
      </c>
      <c r="I13" s="3" t="str">
        <f>IFERROR(__xludf.DUMMYFUNCTION("""COMPUTED_VALUE"""),"-")</f>
        <v>-</v>
      </c>
      <c r="J13" s="3" t="str">
        <f>IFERROR(__xludf.DUMMYFUNCTION("""COMPUTED_VALUE"""),"P-10898-00")</f>
        <v>P-10898-00</v>
      </c>
      <c r="K13" s="3" t="str">
        <f>IFERROR(__xludf.DUMMYFUNCTION("""COMPUTED_VALUE"""),"Approve")</f>
        <v>Approve</v>
      </c>
      <c r="L13" s="3" t="str">
        <f>IFERROR(__xludf.DUMMYFUNCTION("""COMPUTED_VALUE"""),"Normal")</f>
        <v>Normal</v>
      </c>
      <c r="M13" s="3" t="str">
        <f>IFERROR(__xludf.DUMMYFUNCTION("""COMPUTED_VALUE"""),"Non Urgent")</f>
        <v>Non Urgent</v>
      </c>
      <c r="N13" s="3">
        <f>IFERROR(__xludf.DUMMYFUNCTION("""COMPUTED_VALUE"""),45682.4571980787)</f>
        <v>45682.4572</v>
      </c>
    </row>
    <row r="14">
      <c r="A14" s="4">
        <f>IFERROR(__xludf.DUMMYFUNCTION("""COMPUTED_VALUE"""),45679.48616252314)</f>
        <v>45679.48616</v>
      </c>
      <c r="B14" s="3" t="str">
        <f>IFERROR(__xludf.DUMMYFUNCTION("""COMPUTED_VALUE"""),"MOBRO0012")</f>
        <v>MOBRO0012</v>
      </c>
      <c r="C14" s="3" t="str">
        <f>IFERROR(__xludf.DUMMYFUNCTION("""COMPUTED_VALUE"""),"Consumable")</f>
        <v>Consumable</v>
      </c>
      <c r="D14" s="3" t="str">
        <f>IFERROR(__xludf.DUMMYFUNCTION("""COMPUTED_VALUE"""),"-")</f>
        <v>-</v>
      </c>
      <c r="E14" s="3" t="str">
        <f>IFERROR(__xludf.DUMMYFUNCTION("""COMPUTED_VALUE"""),"Building")</f>
        <v>Building</v>
      </c>
      <c r="F14" s="3" t="str">
        <f>IFERROR(__xludf.DUMMYFUNCTION("""COMPUTED_VALUE"""),"Fitting PVC - Tee PVC 1"" Rucika AW")</f>
        <v>Fitting PVC - Tee PVC 1" Rucika AW</v>
      </c>
      <c r="G14" s="3">
        <f>IFERROR(__xludf.DUMMYFUNCTION("""COMPUTED_VALUE"""),4.0)</f>
        <v>4</v>
      </c>
      <c r="H14" s="3" t="str">
        <f>IFERROR(__xludf.DUMMYFUNCTION("""COMPUTED_VALUE"""),"Pcs")</f>
        <v>Pcs</v>
      </c>
      <c r="I14" s="3" t="str">
        <f>IFERROR(__xludf.DUMMYFUNCTION("""COMPUTED_VALUE"""),"-")</f>
        <v>-</v>
      </c>
      <c r="J14" s="3" t="str">
        <f>IFERROR(__xludf.DUMMYFUNCTION("""COMPUTED_VALUE"""),"P-10906-00")</f>
        <v>P-10906-00</v>
      </c>
      <c r="K14" s="3" t="str">
        <f>IFERROR(__xludf.DUMMYFUNCTION("""COMPUTED_VALUE"""),"Approve")</f>
        <v>Approve</v>
      </c>
      <c r="L14" s="3" t="str">
        <f>IFERROR(__xludf.DUMMYFUNCTION("""COMPUTED_VALUE"""),"Normal")</f>
        <v>Normal</v>
      </c>
      <c r="M14" s="3" t="str">
        <f>IFERROR(__xludf.DUMMYFUNCTION("""COMPUTED_VALUE"""),"Non Urgent")</f>
        <v>Non Urgent</v>
      </c>
      <c r="N14" s="3">
        <f>IFERROR(__xludf.DUMMYFUNCTION("""COMPUTED_VALUE"""),45682.457324953706)</f>
        <v>45682.45732</v>
      </c>
    </row>
    <row r="15">
      <c r="A15" s="4">
        <f>IFERROR(__xludf.DUMMYFUNCTION("""COMPUTED_VALUE"""),45679.49535489584)</f>
        <v>45679.49535</v>
      </c>
      <c r="B15" s="3" t="str">
        <f>IFERROR(__xludf.DUMMYFUNCTION("""COMPUTED_VALUE"""),"MOBRO0013")</f>
        <v>MOBRO0013</v>
      </c>
      <c r="C15" s="3" t="str">
        <f>IFERROR(__xludf.DUMMYFUNCTION("""COMPUTED_VALUE"""),"Consumable")</f>
        <v>Consumable</v>
      </c>
      <c r="D15" s="3" t="str">
        <f>IFERROR(__xludf.DUMMYFUNCTION("""COMPUTED_VALUE"""),"EJO/01/123")</f>
        <v>EJO/01/123</v>
      </c>
      <c r="E15" s="3" t="str">
        <f>IFERROR(__xludf.DUMMYFUNCTION("""COMPUTED_VALUE"""),"Ruang Gas QC")</f>
        <v>Ruang Gas QC</v>
      </c>
      <c r="F15" s="3" t="str">
        <f>IFERROR(__xludf.DUMMYFUNCTION("""COMPUTED_VALUE"""),"Regulator Hydrogen 96A-10M Morris; ; ;")</f>
        <v>Regulator Hydrogen 96A-10M Morris; ; ;</v>
      </c>
      <c r="G15" s="3">
        <f>IFERROR(__xludf.DUMMYFUNCTION("""COMPUTED_VALUE"""),1.0)</f>
        <v>1</v>
      </c>
      <c r="H15" s="3" t="str">
        <f>IFERROR(__xludf.DUMMYFUNCTION("""COMPUTED_VALUE"""),"Pcs")</f>
        <v>Pcs</v>
      </c>
      <c r="I15" s="3" t="str">
        <f>IFERROR(__xludf.DUMMYFUNCTION("""COMPUTED_VALUE"""),"-")</f>
        <v>-</v>
      </c>
      <c r="J15" s="3" t="str">
        <f>IFERROR(__xludf.DUMMYFUNCTION("""COMPUTED_VALUE"""),"P-13598-00")</f>
        <v>P-13598-00</v>
      </c>
      <c r="K15" s="3" t="str">
        <f>IFERROR(__xludf.DUMMYFUNCTION("""COMPUTED_VALUE"""),"Approve")</f>
        <v>Approve</v>
      </c>
      <c r="L15" s="3" t="str">
        <f>IFERROR(__xludf.DUMMYFUNCTION("""COMPUTED_VALUE"""),"Normal")</f>
        <v>Normal</v>
      </c>
      <c r="M15" s="3" t="str">
        <f>IFERROR(__xludf.DUMMYFUNCTION("""COMPUTED_VALUE"""),"Non Urgent")</f>
        <v>Non Urgent</v>
      </c>
      <c r="N15" s="3">
        <f>IFERROR(__xludf.DUMMYFUNCTION("""COMPUTED_VALUE"""),45682.45991875)</f>
        <v>45682.45992</v>
      </c>
    </row>
    <row r="16">
      <c r="A16" s="4">
        <f>IFERROR(__xludf.DUMMYFUNCTION("""COMPUTED_VALUE"""),45679.50538865741)</f>
        <v>45679.50539</v>
      </c>
      <c r="B16" s="3" t="str">
        <f>IFERROR(__xludf.DUMMYFUNCTION("""COMPUTED_VALUE"""),"MOBRO0014")</f>
        <v>MOBRO0014</v>
      </c>
      <c r="C16" s="3" t="str">
        <f>IFERROR(__xludf.DUMMYFUNCTION("""COMPUTED_VALUE"""),"Consumable")</f>
        <v>Consumable</v>
      </c>
      <c r="D16" s="3" t="str">
        <f>IFERROR(__xludf.DUMMYFUNCTION("""COMPUTED_VALUE"""),"-")</f>
        <v>-</v>
      </c>
      <c r="E16" s="3" t="str">
        <f>IFERROR(__xludf.DUMMYFUNCTION("""COMPUTED_VALUE"""),"Ruang Gas QC")</f>
        <v>Ruang Gas QC</v>
      </c>
      <c r="F16" s="3" t="str">
        <f>IFERROR(__xludf.DUMMYFUNCTION("""COMPUTED_VALUE"""),"Regulator Nitrogen ( N2 )  YAMATO P/N : -  pc")</f>
        <v>Regulator Nitrogen ( N2 )  YAMATO P/N : -  pc</v>
      </c>
      <c r="G16" s="3">
        <f>IFERROR(__xludf.DUMMYFUNCTION("""COMPUTED_VALUE"""),1.0)</f>
        <v>1</v>
      </c>
      <c r="H16" s="3" t="str">
        <f>IFERROR(__xludf.DUMMYFUNCTION("""COMPUTED_VALUE"""),"Pcs")</f>
        <v>Pcs</v>
      </c>
      <c r="I16" s="3" t="str">
        <f>IFERROR(__xludf.DUMMYFUNCTION("""COMPUTED_VALUE"""),"-")</f>
        <v>-</v>
      </c>
      <c r="J16" s="3" t="str">
        <f>IFERROR(__xludf.DUMMYFUNCTION("""COMPUTED_VALUE"""),"O-16334-00")</f>
        <v>O-16334-00</v>
      </c>
      <c r="K16" s="3" t="str">
        <f>IFERROR(__xludf.DUMMYFUNCTION("""COMPUTED_VALUE"""),"Approve")</f>
        <v>Approve</v>
      </c>
      <c r="L16" s="3" t="str">
        <f>IFERROR(__xludf.DUMMYFUNCTION("""COMPUTED_VALUE"""),"Normal")</f>
        <v>Normal</v>
      </c>
      <c r="M16" s="3" t="str">
        <f>IFERROR(__xludf.DUMMYFUNCTION("""COMPUTED_VALUE"""),"Non Urgent")</f>
        <v>Non Urgent</v>
      </c>
      <c r="N16" s="3">
        <f>IFERROR(__xludf.DUMMYFUNCTION("""COMPUTED_VALUE"""),45682.46004101852)</f>
        <v>45682.46004</v>
      </c>
    </row>
    <row r="17">
      <c r="A17" s="4">
        <f>IFERROR(__xludf.DUMMYFUNCTION("""COMPUTED_VALUE"""),45679.50815523148)</f>
        <v>45679.50816</v>
      </c>
      <c r="B17" s="3" t="str">
        <f>IFERROR(__xludf.DUMMYFUNCTION("""COMPUTED_VALUE"""),"MOBRO0015")</f>
        <v>MOBRO0015</v>
      </c>
      <c r="C17" s="3" t="str">
        <f>IFERROR(__xludf.DUMMYFUNCTION("""COMPUTED_VALUE"""),"Consumable")</f>
        <v>Consumable</v>
      </c>
      <c r="D17" s="3" t="str">
        <f>IFERROR(__xludf.DUMMYFUNCTION("""COMPUTED_VALUE"""),"-")</f>
        <v>-</v>
      </c>
      <c r="E17" s="3" t="str">
        <f>IFERROR(__xludf.DUMMYFUNCTION("""COMPUTED_VALUE"""),"Building")</f>
        <v>Building</v>
      </c>
      <c r="F17" s="3" t="str">
        <f>IFERROR(__xludf.DUMMYFUNCTION("""COMPUTED_VALUE"""),"General - Reducer, PVC, 1"" x 1/2""; Rucika; -; 1 pcs")</f>
        <v>General - Reducer, PVC, 1" x 1/2"; Rucika; -; 1 pcs</v>
      </c>
      <c r="G17" s="3">
        <f>IFERROR(__xludf.DUMMYFUNCTION("""COMPUTED_VALUE"""),4.0)</f>
        <v>4</v>
      </c>
      <c r="H17" s="3" t="str">
        <f>IFERROR(__xludf.DUMMYFUNCTION("""COMPUTED_VALUE"""),"Pcs")</f>
        <v>Pcs</v>
      </c>
      <c r="I17" s="3" t="str">
        <f>IFERROR(__xludf.DUMMYFUNCTION("""COMPUTED_VALUE"""),"-")</f>
        <v>-</v>
      </c>
      <c r="J17" s="3" t="str">
        <f>IFERROR(__xludf.DUMMYFUNCTION("""COMPUTED_VALUE"""),"P-10874-00")</f>
        <v>P-10874-00</v>
      </c>
      <c r="K17" s="3" t="str">
        <f>IFERROR(__xludf.DUMMYFUNCTION("""COMPUTED_VALUE"""),"Approve")</f>
        <v>Approve</v>
      </c>
      <c r="L17" s="3" t="str">
        <f>IFERROR(__xludf.DUMMYFUNCTION("""COMPUTED_VALUE"""),"Normal")</f>
        <v>Normal</v>
      </c>
      <c r="M17" s="3" t="str">
        <f>IFERROR(__xludf.DUMMYFUNCTION("""COMPUTED_VALUE"""),"Non Urgent")</f>
        <v>Non Urgent</v>
      </c>
      <c r="N17" s="3">
        <f>IFERROR(__xludf.DUMMYFUNCTION("""COMPUTED_VALUE"""),45682.46607689815)</f>
        <v>45682.46608</v>
      </c>
    </row>
    <row r="18">
      <c r="A18" s="4">
        <f>IFERROR(__xludf.DUMMYFUNCTION("""COMPUTED_VALUE"""),45680.38341931713)</f>
        <v>45680.38342</v>
      </c>
      <c r="B18" s="3" t="str">
        <f>IFERROR(__xludf.DUMMYFUNCTION("""COMPUTED_VALUE"""),"MOBRO0016")</f>
        <v>MOBRO0016</v>
      </c>
      <c r="C18" s="3" t="str">
        <f>IFERROR(__xludf.DUMMYFUNCTION("""COMPUTED_VALUE"""),"Consumable")</f>
        <v>Consumable</v>
      </c>
      <c r="D18" s="3" t="str">
        <f>IFERROR(__xludf.DUMMYFUNCTION("""COMPUTED_VALUE"""),"-")</f>
        <v>-</v>
      </c>
      <c r="E18" s="3" t="str">
        <f>IFERROR(__xludf.DUMMYFUNCTION("""COMPUTED_VALUE"""),"Building")</f>
        <v>Building</v>
      </c>
      <c r="F18" s="3" t="str">
        <f>IFERROR(__xludf.DUMMYFUNCTION("""COMPUTED_VALUE"""),"PVC - Dop 1 inch; ; ;")</f>
        <v>PVC - Dop 1 inch; ; ;</v>
      </c>
      <c r="G18" s="3">
        <f>IFERROR(__xludf.DUMMYFUNCTION("""COMPUTED_VALUE"""),4.0)</f>
        <v>4</v>
      </c>
      <c r="H18" s="3" t="str">
        <f>IFERROR(__xludf.DUMMYFUNCTION("""COMPUTED_VALUE"""),"Pcs")</f>
        <v>Pcs</v>
      </c>
      <c r="I18" s="3" t="str">
        <f>IFERROR(__xludf.DUMMYFUNCTION("""COMPUTED_VALUE"""),"-")</f>
        <v>-</v>
      </c>
      <c r="J18" s="3" t="str">
        <f>IFERROR(__xludf.DUMMYFUNCTION("""COMPUTED_VALUE"""),"P-14960-00")</f>
        <v>P-14960-00</v>
      </c>
      <c r="K18" s="3" t="str">
        <f>IFERROR(__xludf.DUMMYFUNCTION("""COMPUTED_VALUE"""),"Approve")</f>
        <v>Approve</v>
      </c>
      <c r="L18" s="3" t="str">
        <f>IFERROR(__xludf.DUMMYFUNCTION("""COMPUTED_VALUE"""),"Normal")</f>
        <v>Normal</v>
      </c>
      <c r="M18" s="3" t="str">
        <f>IFERROR(__xludf.DUMMYFUNCTION("""COMPUTED_VALUE"""),"Non Urgent")</f>
        <v>Non Urgent</v>
      </c>
      <c r="N18" s="3">
        <f>IFERROR(__xludf.DUMMYFUNCTION("""COMPUTED_VALUE"""),45682.46622954861)</f>
        <v>45682.46623</v>
      </c>
    </row>
    <row r="19">
      <c r="A19" s="4">
        <f>IFERROR(__xludf.DUMMYFUNCTION("""COMPUTED_VALUE"""),45688.279736620374)</f>
        <v>45688.27974</v>
      </c>
      <c r="B19" s="3" t="str">
        <f>IFERROR(__xludf.DUMMYFUNCTION("""COMPUTED_VALUE"""),"RIARO0001")</f>
        <v>RIARO0001</v>
      </c>
      <c r="C19" s="3" t="str">
        <f>IFERROR(__xludf.DUMMYFUNCTION("""COMPUTED_VALUE"""),"EJO")</f>
        <v>EJO</v>
      </c>
      <c r="D19" s="3" t="str">
        <f>IFERROR(__xludf.DUMMYFUNCTION("""COMPUTED_VALUE"""),"EJO/2025/01/69")</f>
        <v>EJO/2025/01/69</v>
      </c>
      <c r="E19" s="3" t="str">
        <f>IFERROR(__xludf.DUMMYFUNCTION("""COMPUTED_VALUE"""),"AHU F31")</f>
        <v>AHU F31</v>
      </c>
      <c r="F19" s="3" t="str">
        <f>IFERROR(__xludf.DUMMYFUNCTION("""COMPUTED_VALUE"""),"HVAC - Pressure Flow Control MF PFC Ver.3 24 VAC/VDC 0 - 100 Pa Micatrone; ; ;")</f>
        <v>HVAC - Pressure Flow Control MF PFC Ver.3 24 VAC/VDC 0 - 100 Pa Micatrone; ; ;</v>
      </c>
      <c r="G19" s="3">
        <f>IFERROR(__xludf.DUMMYFUNCTION("""COMPUTED_VALUE"""),1.0)</f>
        <v>1</v>
      </c>
      <c r="H19" s="3" t="str">
        <f>IFERROR(__xludf.DUMMYFUNCTION("""COMPUTED_VALUE"""),"Pcs")</f>
        <v>Pcs</v>
      </c>
      <c r="I19" s="3" t="str">
        <f>IFERROR(__xludf.DUMMYFUNCTION("""COMPUTED_VALUE"""),"LCD Micatrone Vignet")</f>
        <v>LCD Micatrone Vignet</v>
      </c>
      <c r="J19" s="3" t="str">
        <f>IFERROR(__xludf.DUMMYFUNCTION("""COMPUTED_VALUE"""),"P-52369-00")</f>
        <v>P-52369-00</v>
      </c>
      <c r="K19" s="3" t="str">
        <f>IFERROR(__xludf.DUMMYFUNCTION("""COMPUTED_VALUE"""),"Approve")</f>
        <v>Approve</v>
      </c>
      <c r="L19" s="3" t="str">
        <f>IFERROR(__xludf.DUMMYFUNCTION("""COMPUTED_VALUE"""),"Normal")</f>
        <v>Normal</v>
      </c>
      <c r="M19" s="3" t="str">
        <f>IFERROR(__xludf.DUMMYFUNCTION("""COMPUTED_VALUE"""),"Non Urgent")</f>
        <v>Non Urgent</v>
      </c>
      <c r="N19" s="3">
        <f>IFERROR(__xludf.DUMMYFUNCTION("""COMPUTED_VALUE"""),45688.93968822916)</f>
        <v>45688.93969</v>
      </c>
    </row>
    <row r="20">
      <c r="A20" s="4">
        <f>IFERROR(__xludf.DUMMYFUNCTION("""COMPUTED_VALUE"""),45688.280334166666)</f>
        <v>45688.28033</v>
      </c>
      <c r="B20" s="3" t="str">
        <f>IFERROR(__xludf.DUMMYFUNCTION("""COMPUTED_VALUE"""),"RIARO0002")</f>
        <v>RIARO0002</v>
      </c>
      <c r="C20" s="3" t="str">
        <f>IFERROR(__xludf.DUMMYFUNCTION("""COMPUTED_VALUE"""),"EJO")</f>
        <v>EJO</v>
      </c>
      <c r="D20" s="3" t="str">
        <f>IFERROR(__xludf.DUMMYFUNCTION("""COMPUTED_VALUE"""),"EJO/2025/01/69")</f>
        <v>EJO/2025/01/69</v>
      </c>
      <c r="E20" s="3" t="str">
        <f>IFERROR(__xludf.DUMMYFUNCTION("""COMPUTED_VALUE"""),"AHU F32")</f>
        <v>AHU F32</v>
      </c>
      <c r="F20" s="3" t="str">
        <f>IFERROR(__xludf.DUMMYFUNCTION("""COMPUTED_VALUE"""),"HVAC - Pressure Flow Control MF PFC Ver.3 24 VAC/VDC 0 - 100 Pa Micatrone; ; ;")</f>
        <v>HVAC - Pressure Flow Control MF PFC Ver.3 24 VAC/VDC 0 - 100 Pa Micatrone; ; ;</v>
      </c>
      <c r="G20" s="3">
        <f>IFERROR(__xludf.DUMMYFUNCTION("""COMPUTED_VALUE"""),1.0)</f>
        <v>1</v>
      </c>
      <c r="H20" s="3" t="str">
        <f>IFERROR(__xludf.DUMMYFUNCTION("""COMPUTED_VALUE"""),"Pcs")</f>
        <v>Pcs</v>
      </c>
      <c r="I20" s="3" t="str">
        <f>IFERROR(__xludf.DUMMYFUNCTION("""COMPUTED_VALUE"""),"LCD Micatrone Vignet")</f>
        <v>LCD Micatrone Vignet</v>
      </c>
      <c r="J20" s="3" t="str">
        <f>IFERROR(__xludf.DUMMYFUNCTION("""COMPUTED_VALUE"""),"P-52369-00")</f>
        <v>P-52369-00</v>
      </c>
      <c r="K20" s="3" t="str">
        <f>IFERROR(__xludf.DUMMYFUNCTION("""COMPUTED_VALUE"""),"Approve")</f>
        <v>Approve</v>
      </c>
      <c r="L20" s="3" t="str">
        <f>IFERROR(__xludf.DUMMYFUNCTION("""COMPUTED_VALUE"""),"Normal")</f>
        <v>Normal</v>
      </c>
      <c r="M20" s="3" t="str">
        <f>IFERROR(__xludf.DUMMYFUNCTION("""COMPUTED_VALUE"""),"Non Urgent")</f>
        <v>Non Urgent</v>
      </c>
      <c r="N20" s="3">
        <f>IFERROR(__xludf.DUMMYFUNCTION("""COMPUTED_VALUE"""),45688.94002701389)</f>
        <v>45688.94003</v>
      </c>
    </row>
    <row r="21">
      <c r="A21" s="4">
        <f>IFERROR(__xludf.DUMMYFUNCTION("""COMPUTED_VALUE"""),45691.57719454861)</f>
        <v>45691.57719</v>
      </c>
      <c r="B21" s="3" t="str">
        <f>IFERROR(__xludf.DUMMYFUNCTION("""COMPUTED_VALUE"""),"MOBRO0017")</f>
        <v>MOBRO0017</v>
      </c>
      <c r="C21" s="3" t="str">
        <f>IFERROR(__xludf.DUMMYFUNCTION("""COMPUTED_VALUE"""),"EJO")</f>
        <v>EJO</v>
      </c>
      <c r="D21" s="3" t="str">
        <f>IFERROR(__xludf.DUMMYFUNCTION("""COMPUTED_VALUE"""),"EJO/2025/01/50")</f>
        <v>EJO/2025/01/50</v>
      </c>
      <c r="E21" s="3" t="str">
        <f>IFERROR(__xludf.DUMMYFUNCTION("""COMPUTED_VALUE"""),"AHU F3-6")</f>
        <v>AHU F3-6</v>
      </c>
      <c r="F21" s="3" t="str">
        <f>IFERROR(__xludf.DUMMYFUNCTION("""COMPUTED_VALUE"""),"HVAC - Pressure Flow Control MF PFC Ver.3 24 VAC/VDC 0 - 100 Pa Micatrone; ; ;")</f>
        <v>HVAC - Pressure Flow Control MF PFC Ver.3 24 VAC/VDC 0 - 100 Pa Micatrone; ; ;</v>
      </c>
      <c r="G21" s="3">
        <f>IFERROR(__xludf.DUMMYFUNCTION("""COMPUTED_VALUE"""),2.0)</f>
        <v>2</v>
      </c>
      <c r="H21" s="3" t="str">
        <f>IFERROR(__xludf.DUMMYFUNCTION("""COMPUTED_VALUE"""),"Pcs")</f>
        <v>Pcs</v>
      </c>
      <c r="I21" s="3" t="str">
        <f>IFERROR(__xludf.DUMMYFUNCTION("""COMPUTED_VALUE"""),"-")</f>
        <v>-</v>
      </c>
      <c r="J21" s="3" t="str">
        <f>IFERROR(__xludf.DUMMYFUNCTION("""COMPUTED_VALUE"""),"P-52369-00")</f>
        <v>P-52369-00</v>
      </c>
      <c r="K21" s="3" t="str">
        <f>IFERROR(__xludf.DUMMYFUNCTION("""COMPUTED_VALUE"""),"Approve")</f>
        <v>Approve</v>
      </c>
      <c r="L21" s="3" t="str">
        <f>IFERROR(__xludf.DUMMYFUNCTION("""COMPUTED_VALUE"""),"Normal")</f>
        <v>Normal</v>
      </c>
      <c r="M21" s="3" t="str">
        <f>IFERROR(__xludf.DUMMYFUNCTION("""COMPUTED_VALUE"""),"Non Urgent")</f>
        <v>Non Urgent</v>
      </c>
      <c r="N21" s="3">
        <f>IFERROR(__xludf.DUMMYFUNCTION("""COMPUTED_VALUE"""),45692.389934363426)</f>
        <v>45692.38993</v>
      </c>
    </row>
    <row r="22">
      <c r="A22" s="4">
        <f>IFERROR(__xludf.DUMMYFUNCTION("""COMPUTED_VALUE"""),45691.67420321759)</f>
        <v>45691.6742</v>
      </c>
      <c r="B22" s="3" t="str">
        <f>IFERROR(__xludf.DUMMYFUNCTION("""COMPUTED_VALUE"""),"MOBRO0020")</f>
        <v>MOBRO0020</v>
      </c>
      <c r="C22" s="3" t="str">
        <f>IFERROR(__xludf.DUMMYFUNCTION("""COMPUTED_VALUE"""),"Consumable")</f>
        <v>Consumable</v>
      </c>
      <c r="D22" s="3" t="str">
        <f>IFERROR(__xludf.DUMMYFUNCTION("""COMPUTED_VALUE"""),"-")</f>
        <v>-</v>
      </c>
      <c r="E22" s="3" t="str">
        <f>IFERROR(__xludf.DUMMYFUNCTION("""COMPUTED_VALUE"""),"Plumbing")</f>
        <v>Plumbing</v>
      </c>
      <c r="F22" s="3" t="str">
        <f>IFERROR(__xludf.DUMMYFUNCTION("""COMPUTED_VALUE"""),"RUCIKA - Pipa PVC AW dia 1 inch Warna Abu-Abu")</f>
        <v>RUCIKA - Pipa PVC AW dia 1 inch Warna Abu-Abu</v>
      </c>
      <c r="G22" s="3">
        <f>IFERROR(__xludf.DUMMYFUNCTION("""COMPUTED_VALUE"""),5.0)</f>
        <v>5</v>
      </c>
      <c r="H22" s="3" t="str">
        <f>IFERROR(__xludf.DUMMYFUNCTION("""COMPUTED_VALUE"""),"Pcs")</f>
        <v>Pcs</v>
      </c>
      <c r="I22" s="3" t="str">
        <f>IFERROR(__xludf.DUMMYFUNCTION("""COMPUTED_VALUE"""),"-")</f>
        <v>-</v>
      </c>
      <c r="J22" s="3" t="str">
        <f>IFERROR(__xludf.DUMMYFUNCTION("""COMPUTED_VALUE"""),"P-12749-00")</f>
        <v>P-12749-00</v>
      </c>
      <c r="K22" s="3" t="str">
        <f>IFERROR(__xludf.DUMMYFUNCTION("""COMPUTED_VALUE"""),"Approve")</f>
        <v>Approve</v>
      </c>
      <c r="L22" s="3" t="str">
        <f>IFERROR(__xludf.DUMMYFUNCTION("""COMPUTED_VALUE"""),"Normal")</f>
        <v>Normal</v>
      </c>
      <c r="M22" s="3" t="str">
        <f>IFERROR(__xludf.DUMMYFUNCTION("""COMPUTED_VALUE"""),"Non Urgent")</f>
        <v>Non Urgent</v>
      </c>
      <c r="N22" s="3">
        <f>IFERROR(__xludf.DUMMYFUNCTION("""COMPUTED_VALUE"""),45692.396353171294)</f>
        <v>45692.39635</v>
      </c>
    </row>
    <row r="23">
      <c r="A23" s="4">
        <f>IFERROR(__xludf.DUMMYFUNCTION("""COMPUTED_VALUE"""),45691.6794790625)</f>
        <v>45691.67948</v>
      </c>
      <c r="B23" s="3" t="str">
        <f>IFERROR(__xludf.DUMMYFUNCTION("""COMPUTED_VALUE"""),"MOBRO0021")</f>
        <v>MOBRO0021</v>
      </c>
      <c r="C23" s="3" t="str">
        <f>IFERROR(__xludf.DUMMYFUNCTION("""COMPUTED_VALUE"""),"Consumable")</f>
        <v>Consumable</v>
      </c>
      <c r="D23" s="3" t="str">
        <f>IFERROR(__xludf.DUMMYFUNCTION("""COMPUTED_VALUE"""),"-")</f>
        <v>-</v>
      </c>
      <c r="E23" s="3" t="str">
        <f>IFERROR(__xludf.DUMMYFUNCTION("""COMPUTED_VALUE"""),"Plumbing")</f>
        <v>Plumbing</v>
      </c>
      <c r="F23" s="3" t="str">
        <f>IFERROR(__xludf.DUMMYFUNCTION("""COMPUTED_VALUE"""),"RUCIKA - Pipa PVC aw dia 1/2 inch Warna Abu-Abu")</f>
        <v>RUCIKA - Pipa PVC aw dia 1/2 inch Warna Abu-Abu</v>
      </c>
      <c r="G23" s="3">
        <f>IFERROR(__xludf.DUMMYFUNCTION("""COMPUTED_VALUE"""),5.0)</f>
        <v>5</v>
      </c>
      <c r="H23" s="3" t="str">
        <f>IFERROR(__xludf.DUMMYFUNCTION("""COMPUTED_VALUE"""),"Pcs")</f>
        <v>Pcs</v>
      </c>
      <c r="I23" s="3" t="str">
        <f>IFERROR(__xludf.DUMMYFUNCTION("""COMPUTED_VALUE"""),"-")</f>
        <v>-</v>
      </c>
      <c r="J23" s="3" t="str">
        <f>IFERROR(__xludf.DUMMYFUNCTION("""COMPUTED_VALUE"""),"P-12750-00")</f>
        <v>P-12750-00</v>
      </c>
      <c r="K23" s="3" t="str">
        <f>IFERROR(__xludf.DUMMYFUNCTION("""COMPUTED_VALUE"""),"Approve")</f>
        <v>Approve</v>
      </c>
      <c r="L23" s="3" t="str">
        <f>IFERROR(__xludf.DUMMYFUNCTION("""COMPUTED_VALUE"""),"Normal")</f>
        <v>Normal</v>
      </c>
      <c r="M23" s="3" t="str">
        <f>IFERROR(__xludf.DUMMYFUNCTION("""COMPUTED_VALUE"""),"Non Urgent")</f>
        <v>Non Urgent</v>
      </c>
      <c r="N23" s="3">
        <f>IFERROR(__xludf.DUMMYFUNCTION("""COMPUTED_VALUE"""),45692.3967227199)</f>
        <v>45692.39672</v>
      </c>
    </row>
    <row r="24">
      <c r="A24" s="4">
        <f>IFERROR(__xludf.DUMMYFUNCTION("""COMPUTED_VALUE"""),45691.67974535879)</f>
        <v>45691.67975</v>
      </c>
      <c r="B24" s="3" t="str">
        <f>IFERROR(__xludf.DUMMYFUNCTION("""COMPUTED_VALUE"""),"MOBRO0022")</f>
        <v>MOBRO0022</v>
      </c>
      <c r="C24" s="3" t="str">
        <f>IFERROR(__xludf.DUMMYFUNCTION("""COMPUTED_VALUE"""),"Consumable")</f>
        <v>Consumable</v>
      </c>
      <c r="D24" s="3" t="str">
        <f>IFERROR(__xludf.DUMMYFUNCTION("""COMPUTED_VALUE"""),"-")</f>
        <v>-</v>
      </c>
      <c r="E24" s="3" t="str">
        <f>IFERROR(__xludf.DUMMYFUNCTION("""COMPUTED_VALUE"""),"Plumbing")</f>
        <v>Plumbing</v>
      </c>
      <c r="F24" s="3" t="str">
        <f>IFERROR(__xludf.DUMMYFUNCTION("""COMPUTED_VALUE"""),"RUCIKA - Pipa PVC AW dia 3/4inch")</f>
        <v>RUCIKA - Pipa PVC AW dia 3/4inch</v>
      </c>
      <c r="G24" s="3">
        <f>IFERROR(__xludf.DUMMYFUNCTION("""COMPUTED_VALUE"""),5.0)</f>
        <v>5</v>
      </c>
      <c r="H24" s="3" t="str">
        <f>IFERROR(__xludf.DUMMYFUNCTION("""COMPUTED_VALUE"""),"Pcs")</f>
        <v>Pcs</v>
      </c>
      <c r="I24" s="3" t="str">
        <f>IFERROR(__xludf.DUMMYFUNCTION("""COMPUTED_VALUE"""),"-")</f>
        <v>-</v>
      </c>
      <c r="J24" s="3" t="str">
        <f>IFERROR(__xludf.DUMMYFUNCTION("""COMPUTED_VALUE"""),"P-12747-00")</f>
        <v>P-12747-00</v>
      </c>
      <c r="K24" s="3" t="str">
        <f>IFERROR(__xludf.DUMMYFUNCTION("""COMPUTED_VALUE"""),"Approve")</f>
        <v>Approve</v>
      </c>
      <c r="L24" s="3" t="str">
        <f>IFERROR(__xludf.DUMMYFUNCTION("""COMPUTED_VALUE"""),"Normal")</f>
        <v>Normal</v>
      </c>
      <c r="M24" s="3" t="str">
        <f>IFERROR(__xludf.DUMMYFUNCTION("""COMPUTED_VALUE"""),"Non Urgent")</f>
        <v>Non Urgent</v>
      </c>
      <c r="N24" s="3">
        <f>IFERROR(__xludf.DUMMYFUNCTION("""COMPUTED_VALUE"""),45692.39708385417)</f>
        <v>45692.39708</v>
      </c>
    </row>
    <row r="25">
      <c r="A25" s="4">
        <f>IFERROR(__xludf.DUMMYFUNCTION("""COMPUTED_VALUE"""),45692.454085289355)</f>
        <v>45692.45409</v>
      </c>
      <c r="B25" s="3" t="str">
        <f>IFERROR(__xludf.DUMMYFUNCTION("""COMPUTED_VALUE"""),"RIARO0008")</f>
        <v>RIARO0008</v>
      </c>
      <c r="C25" s="3" t="str">
        <f>IFERROR(__xludf.DUMMYFUNCTION("""COMPUTED_VALUE"""),"EJO")</f>
        <v>EJO</v>
      </c>
      <c r="D25" s="3" t="str">
        <f>IFERROR(__xludf.DUMMYFUNCTION("""COMPUTED_VALUE"""),"EJO/2025/01/34")</f>
        <v>EJO/2025/01/34</v>
      </c>
      <c r="E25" s="3" t="str">
        <f>IFERROR(__xludf.DUMMYFUNCTION("""COMPUTED_VALUE"""),"Hot Water")</f>
        <v>Hot Water</v>
      </c>
      <c r="F25" s="3" t="str">
        <f>IFERROR(__xludf.DUMMYFUNCTION("""COMPUTED_VALUE"""),"General - Exhaust Fan Panel 240VAC; TW; -; 1 pc")</f>
        <v>General - Exhaust Fan Panel 240VAC; TW; -; 1 pc</v>
      </c>
      <c r="G25" s="3">
        <f>IFERROR(__xludf.DUMMYFUNCTION("""COMPUTED_VALUE"""),2.0)</f>
        <v>2</v>
      </c>
      <c r="H25" s="3" t="str">
        <f>IFERROR(__xludf.DUMMYFUNCTION("""COMPUTED_VALUE"""),"Pcs")</f>
        <v>Pcs</v>
      </c>
      <c r="I25" s="3" t="str">
        <f>IFERROR(__xludf.DUMMYFUNCTION("""COMPUTED_VALUE"""),"EJO Improvement")</f>
        <v>EJO Improvement</v>
      </c>
      <c r="J25" s="3" t="str">
        <f>IFERROR(__xludf.DUMMYFUNCTION("""COMPUTED_VALUE"""),"P-51891-00")</f>
        <v>P-51891-00</v>
      </c>
      <c r="K25" s="3" t="str">
        <f>IFERROR(__xludf.DUMMYFUNCTION("""COMPUTED_VALUE"""),"Approve")</f>
        <v>Approve</v>
      </c>
      <c r="L25" s="3" t="str">
        <f>IFERROR(__xludf.DUMMYFUNCTION("""COMPUTED_VALUE"""),"Normal")</f>
        <v>Normal</v>
      </c>
      <c r="M25" s="3" t="str">
        <f>IFERROR(__xludf.DUMMYFUNCTION("""COMPUTED_VALUE"""),"Non Urgent")</f>
        <v>Non Urgent</v>
      </c>
      <c r="N25" s="3">
        <f>IFERROR(__xludf.DUMMYFUNCTION("""COMPUTED_VALUE"""),45694.61051193287)</f>
        <v>45694.61051</v>
      </c>
    </row>
    <row r="26">
      <c r="A26" s="4">
        <f>IFERROR(__xludf.DUMMYFUNCTION("""COMPUTED_VALUE"""),45692.585179340276)</f>
        <v>45692.58518</v>
      </c>
      <c r="B26" s="3" t="str">
        <f>IFERROR(__xludf.DUMMYFUNCTION("""COMPUTED_VALUE"""),"RIARO0010")</f>
        <v>RIARO0010</v>
      </c>
      <c r="C26" s="3" t="str">
        <f>IFERROR(__xludf.DUMMYFUNCTION("""COMPUTED_VALUE"""),"EJO")</f>
        <v>EJO</v>
      </c>
      <c r="D26" s="3" t="str">
        <f>IFERROR(__xludf.DUMMYFUNCTION("""COMPUTED_VALUE"""),"EJO/2025/02/25")</f>
        <v>EJO/2025/02/25</v>
      </c>
      <c r="E26" s="3" t="str">
        <f>IFERROR(__xludf.DUMMYFUNCTION("""COMPUTED_VALUE"""),"PWG")</f>
        <v>PWG</v>
      </c>
      <c r="F26" s="3" t="str">
        <f>IFERROR(__xludf.DUMMYFUNCTION("""COMPUTED_VALUE"""),"General - External Cable 5 Wire for Dosing Pump Analogue 4-20mA; Prominent; BT4B 0708 PVT 2000UA011A00YP; 1 pc")</f>
        <v>General - External Cable 5 Wire for Dosing Pump Analogue 4-20mA; Prominent; BT4B 0708 PVT 2000UA011A00YP; 1 pc</v>
      </c>
      <c r="G26" s="3">
        <f>IFERROR(__xludf.DUMMYFUNCTION("""COMPUTED_VALUE"""),2.0)</f>
        <v>2</v>
      </c>
      <c r="H26" s="3" t="str">
        <f>IFERROR(__xludf.DUMMYFUNCTION("""COMPUTED_VALUE"""),"Pcs")</f>
        <v>Pcs</v>
      </c>
      <c r="I26" s="3" t="str">
        <f>IFERROR(__xludf.DUMMYFUNCTION("""COMPUTED_VALUE"""),"Pompa SMBS rusak, satunya buat spare")</f>
        <v>Pompa SMBS rusak, satunya buat spare</v>
      </c>
      <c r="J26" s="3" t="str">
        <f>IFERROR(__xludf.DUMMYFUNCTION("""COMPUTED_VALUE"""),"P-53404-00")</f>
        <v>P-53404-00</v>
      </c>
      <c r="K26" s="3" t="str">
        <f>IFERROR(__xludf.DUMMYFUNCTION("""COMPUTED_VALUE"""),"Approve")</f>
        <v>Approve</v>
      </c>
      <c r="L26" s="3" t="str">
        <f>IFERROR(__xludf.DUMMYFUNCTION("""COMPUTED_VALUE"""),"Normal")</f>
        <v>Normal</v>
      </c>
      <c r="M26" s="3" t="str">
        <f>IFERROR(__xludf.DUMMYFUNCTION("""COMPUTED_VALUE"""),"Non Urgent")</f>
        <v>Non Urgent</v>
      </c>
      <c r="N26" s="3">
        <f>IFERROR(__xludf.DUMMYFUNCTION("""COMPUTED_VALUE"""),45694.74487995371)</f>
        <v>45694.74488</v>
      </c>
    </row>
    <row r="27">
      <c r="A27" s="4">
        <f>IFERROR(__xludf.DUMMYFUNCTION("""COMPUTED_VALUE"""),45692.58546775463)</f>
        <v>45692.58547</v>
      </c>
      <c r="B27" s="3" t="str">
        <f>IFERROR(__xludf.DUMMYFUNCTION("""COMPUTED_VALUE"""),"RIARO0011")</f>
        <v>RIARO0011</v>
      </c>
      <c r="C27" s="3" t="str">
        <f>IFERROR(__xludf.DUMMYFUNCTION("""COMPUTED_VALUE"""),"EJO")</f>
        <v>EJO</v>
      </c>
      <c r="D27" s="3" t="str">
        <f>IFERROR(__xludf.DUMMYFUNCTION("""COMPUTED_VALUE"""),"EJO/2025/02/25")</f>
        <v>EJO/2025/02/25</v>
      </c>
      <c r="E27" s="3" t="str">
        <f>IFERROR(__xludf.DUMMYFUNCTION("""COMPUTED_VALUE"""),"PWG")</f>
        <v>PWG</v>
      </c>
      <c r="F27" s="3" t="str">
        <f>IFERROR(__xludf.DUMMYFUNCTION("""COMPUTED_VALUE"""),"Doshing Pump BT4B Merk Prominent; ; ;")</f>
        <v>Doshing Pump BT4B Merk Prominent; ; ;</v>
      </c>
      <c r="G27" s="3">
        <f>IFERROR(__xludf.DUMMYFUNCTION("""COMPUTED_VALUE"""),2.0)</f>
        <v>2</v>
      </c>
      <c r="H27" s="3" t="str">
        <f>IFERROR(__xludf.DUMMYFUNCTION("""COMPUTED_VALUE"""),"Pcs")</f>
        <v>Pcs</v>
      </c>
      <c r="I27" s="3" t="str">
        <f>IFERROR(__xludf.DUMMYFUNCTION("""COMPUTED_VALUE"""),"Pompa SMBS rusak, satunya buat spare")</f>
        <v>Pompa SMBS rusak, satunya buat spare</v>
      </c>
      <c r="J27" s="3" t="str">
        <f>IFERROR(__xludf.DUMMYFUNCTION("""COMPUTED_VALUE"""),"P-52844-00")</f>
        <v>P-52844-00</v>
      </c>
      <c r="K27" s="3" t="str">
        <f>IFERROR(__xludf.DUMMYFUNCTION("""COMPUTED_VALUE"""),"Approve")</f>
        <v>Approve</v>
      </c>
      <c r="L27" s="3" t="str">
        <f>IFERROR(__xludf.DUMMYFUNCTION("""COMPUTED_VALUE"""),"Normal")</f>
        <v>Normal</v>
      </c>
      <c r="M27" s="3" t="str">
        <f>IFERROR(__xludf.DUMMYFUNCTION("""COMPUTED_VALUE"""),"Non Urgent")</f>
        <v>Non Urgent</v>
      </c>
      <c r="N27" s="3">
        <f>IFERROR(__xludf.DUMMYFUNCTION("""COMPUTED_VALUE"""),45694.7452875)</f>
        <v>45694.74529</v>
      </c>
    </row>
    <row r="28">
      <c r="A28" s="4">
        <f>IFERROR(__xludf.DUMMYFUNCTION("""COMPUTED_VALUE"""),45693.39191435185)</f>
        <v>45693.39191</v>
      </c>
      <c r="B28" s="3" t="str">
        <f>IFERROR(__xludf.DUMMYFUNCTION("""COMPUTED_VALUE"""),"ANORO0001")</f>
        <v>ANORO0001</v>
      </c>
      <c r="C28" s="3" t="str">
        <f>IFERROR(__xludf.DUMMYFUNCTION("""COMPUTED_VALUE"""),"EJO")</f>
        <v>EJO</v>
      </c>
      <c r="D28" s="3" t="str">
        <f>IFERROR(__xludf.DUMMYFUNCTION("""COMPUTED_VALUE"""),"EJO/2025/01/137")</f>
        <v>EJO/2025/01/137</v>
      </c>
      <c r="E28" s="3" t="str">
        <f>IFERROR(__xludf.DUMMYFUNCTION("""COMPUTED_VALUE"""),"Lab micro")</f>
        <v>Lab micro</v>
      </c>
      <c r="F28" s="3" t="str">
        <f>IFERROR(__xludf.DUMMYFUNCTION("""COMPUTED_VALUE"""),"Trolly - Roda ABUS 4inch (100 x 27mm), Without Brake; No Brand; -; 1 pc")</f>
        <v>Trolly - Roda ABUS 4inch (100 x 27mm), Without Brake; No Brand; -; 1 pc</v>
      </c>
      <c r="G28" s="3">
        <f>IFERROR(__xludf.DUMMYFUNCTION("""COMPUTED_VALUE"""),5.0)</f>
        <v>5</v>
      </c>
      <c r="H28" s="3" t="str">
        <f>IFERROR(__xludf.DUMMYFUNCTION("""COMPUTED_VALUE"""),"pcs")</f>
        <v>pcs</v>
      </c>
      <c r="I28" s="3" t="str">
        <f>IFERROR(__xludf.DUMMYFUNCTION("""COMPUTED_VALUE"""),"-")</f>
        <v>-</v>
      </c>
      <c r="J28" s="3" t="str">
        <f>IFERROR(__xludf.DUMMYFUNCTION("""COMPUTED_VALUE"""),"P-11356-00")</f>
        <v>P-11356-00</v>
      </c>
      <c r="K28" s="3" t="str">
        <f>IFERROR(__xludf.DUMMYFUNCTION("""COMPUTED_VALUE"""),"Approve")</f>
        <v>Approve</v>
      </c>
      <c r="L28" s="3" t="str">
        <f>IFERROR(__xludf.DUMMYFUNCTION("""COMPUTED_VALUE"""),"Normal")</f>
        <v>Normal</v>
      </c>
      <c r="M28" s="3" t="str">
        <f>IFERROR(__xludf.DUMMYFUNCTION("""COMPUTED_VALUE"""),"Non Urgent")</f>
        <v>Non Urgent</v>
      </c>
      <c r="N28" s="3">
        <f>IFERROR(__xludf.DUMMYFUNCTION("""COMPUTED_VALUE"""),45698.382479733795)</f>
        <v>45698.38248</v>
      </c>
    </row>
    <row r="29">
      <c r="A29" s="4">
        <f>IFERROR(__xludf.DUMMYFUNCTION("""COMPUTED_VALUE"""),45693.71919592593)</f>
        <v>45693.7192</v>
      </c>
      <c r="B29" s="3" t="str">
        <f>IFERROR(__xludf.DUMMYFUNCTION("""COMPUTED_VALUE"""),"MRNRO0001")</f>
        <v>MRNRO0001</v>
      </c>
      <c r="C29" s="3" t="str">
        <f>IFERROR(__xludf.DUMMYFUNCTION("""COMPUTED_VALUE"""),"EJO")</f>
        <v>EJO</v>
      </c>
      <c r="D29" s="3" t="str">
        <f>IFERROR(__xludf.DUMMYFUNCTION("""COMPUTED_VALUE"""),"EJO/2025/01/23")</f>
        <v>EJO/2025/01/23</v>
      </c>
      <c r="E29" s="3" t="str">
        <f>IFERROR(__xludf.DUMMYFUNCTION("""COMPUTED_VALUE"""),"CC baru di stability")</f>
        <v>CC baru di stability</v>
      </c>
      <c r="F29" s="3" t="str">
        <f>IFERROR(__xludf.DUMMYFUNCTION("""COMPUTED_VALUE"""),"RUCIKA - Pipa PVC aw dia 1/2 inch Warna Abu-Abu")</f>
        <v>RUCIKA - Pipa PVC aw dia 1/2 inch Warna Abu-Abu</v>
      </c>
      <c r="G29" s="3">
        <f>IFERROR(__xludf.DUMMYFUNCTION("""COMPUTED_VALUE"""),4.0)</f>
        <v>4</v>
      </c>
      <c r="H29" s="3" t="str">
        <f>IFERROR(__xludf.DUMMYFUNCTION("""COMPUTED_VALUE"""),"btg")</f>
        <v>btg</v>
      </c>
      <c r="I29" s="3" t="str">
        <f>IFERROR(__xludf.DUMMYFUNCTION("""COMPUTED_VALUE"""),"Requst RMA cc baru")</f>
        <v>Requst RMA cc baru</v>
      </c>
      <c r="J29" s="3" t="str">
        <f>IFERROR(__xludf.DUMMYFUNCTION("""COMPUTED_VALUE"""),"P-12750-00")</f>
        <v>P-12750-00</v>
      </c>
      <c r="K29" s="3" t="str">
        <f>IFERROR(__xludf.DUMMYFUNCTION("""COMPUTED_VALUE"""),"Approve")</f>
        <v>Approve</v>
      </c>
      <c r="L29" s="3" t="str">
        <f>IFERROR(__xludf.DUMMYFUNCTION("""COMPUTED_VALUE"""),"Normal")</f>
        <v>Normal</v>
      </c>
      <c r="M29" s="3" t="str">
        <f>IFERROR(__xludf.DUMMYFUNCTION("""COMPUTED_VALUE"""),"Non Urgent")</f>
        <v>Non Urgent</v>
      </c>
      <c r="N29" s="3">
        <f>IFERROR(__xludf.DUMMYFUNCTION("""COMPUTED_VALUE"""),45694.74675329861)</f>
        <v>45694.74675</v>
      </c>
    </row>
    <row r="30">
      <c r="A30" s="4">
        <f>IFERROR(__xludf.DUMMYFUNCTION("""COMPUTED_VALUE"""),45693.722962534725)</f>
        <v>45693.72296</v>
      </c>
      <c r="B30" s="3" t="str">
        <f>IFERROR(__xludf.DUMMYFUNCTION("""COMPUTED_VALUE"""),"MRNRO0002")</f>
        <v>MRNRO0002</v>
      </c>
      <c r="C30" s="3" t="str">
        <f>IFERROR(__xludf.DUMMYFUNCTION("""COMPUTED_VALUE"""),"EJO")</f>
        <v>EJO</v>
      </c>
      <c r="D30" s="3" t="str">
        <f>IFERROR(__xludf.DUMMYFUNCTION("""COMPUTED_VALUE"""),"EJO/2025/01/23")</f>
        <v>EJO/2025/01/23</v>
      </c>
      <c r="E30" s="3" t="str">
        <f>IFERROR(__xludf.DUMMYFUNCTION("""COMPUTED_VALUE"""),"CC baru di stability")</f>
        <v>CC baru di stability</v>
      </c>
      <c r="F30" s="3" t="str">
        <f>IFERROR(__xludf.DUMMYFUNCTION("""COMPUTED_VALUE"""),"Cable Duct Round Putih 35 x 10 mm; ; ;")</f>
        <v>Cable Duct Round Putih 35 x 10 mm; ; ;</v>
      </c>
      <c r="G30" s="3">
        <f>IFERROR(__xludf.DUMMYFUNCTION("""COMPUTED_VALUE"""),2.0)</f>
        <v>2</v>
      </c>
      <c r="H30" s="3" t="str">
        <f>IFERROR(__xludf.DUMMYFUNCTION("""COMPUTED_VALUE"""),"btg")</f>
        <v>btg</v>
      </c>
      <c r="I30" s="3" t="str">
        <f>IFERROR(__xludf.DUMMYFUNCTION("""COMPUTED_VALUE"""),"Requst RMA cc baru")</f>
        <v>Requst RMA cc baru</v>
      </c>
      <c r="J30" s="3" t="str">
        <f>IFERROR(__xludf.DUMMYFUNCTION("""COMPUTED_VALUE"""),"P-13735-00")</f>
        <v>P-13735-00</v>
      </c>
      <c r="K30" s="3" t="str">
        <f>IFERROR(__xludf.DUMMYFUNCTION("""COMPUTED_VALUE"""),"Approve")</f>
        <v>Approve</v>
      </c>
      <c r="L30" s="3" t="str">
        <f>IFERROR(__xludf.DUMMYFUNCTION("""COMPUTED_VALUE"""),"Normal")</f>
        <v>Normal</v>
      </c>
      <c r="M30" s="3" t="str">
        <f>IFERROR(__xludf.DUMMYFUNCTION("""COMPUTED_VALUE"""),"Non Urgent")</f>
        <v>Non Urgent</v>
      </c>
      <c r="N30" s="3">
        <f>IFERROR(__xludf.DUMMYFUNCTION("""COMPUTED_VALUE"""),45694.746936192125)</f>
        <v>45694.74694</v>
      </c>
    </row>
    <row r="31">
      <c r="A31" s="4">
        <f>IFERROR(__xludf.DUMMYFUNCTION("""COMPUTED_VALUE"""),45693.722962534725)</f>
        <v>45693.72296</v>
      </c>
      <c r="B31" s="3" t="str">
        <f>IFERROR(__xludf.DUMMYFUNCTION("""COMPUTED_VALUE"""),"MRNRO0003")</f>
        <v>MRNRO0003</v>
      </c>
      <c r="C31" s="3" t="str">
        <f>IFERROR(__xludf.DUMMYFUNCTION("""COMPUTED_VALUE"""),"EJO")</f>
        <v>EJO</v>
      </c>
      <c r="D31" s="3" t="str">
        <f>IFERROR(__xludf.DUMMYFUNCTION("""COMPUTED_VALUE"""),"EJO/2025/01/23")</f>
        <v>EJO/2025/01/23</v>
      </c>
      <c r="E31" s="3" t="str">
        <f>IFERROR(__xludf.DUMMYFUNCTION("""COMPUTED_VALUE"""),"CC baru di stability")</f>
        <v>CC baru di stability</v>
      </c>
      <c r="F31" s="3" t="str">
        <f>IFERROR(__xludf.DUMMYFUNCTION("""COMPUTED_VALUE"""),"General - Elbow PVC 90 AW 1/2inch; Rucika; -; 1 Pc")</f>
        <v>General - Elbow PVC 90 AW 1/2inch; Rucika; -; 1 Pc</v>
      </c>
      <c r="G31" s="3">
        <f>IFERROR(__xludf.DUMMYFUNCTION("""COMPUTED_VALUE"""),6.0)</f>
        <v>6</v>
      </c>
      <c r="H31" s="3" t="str">
        <f>IFERROR(__xludf.DUMMYFUNCTION("""COMPUTED_VALUE"""),"pcs")</f>
        <v>pcs</v>
      </c>
      <c r="I31" s="3" t="str">
        <f>IFERROR(__xludf.DUMMYFUNCTION("""COMPUTED_VALUE"""),"Requst RMA cc baru")</f>
        <v>Requst RMA cc baru</v>
      </c>
      <c r="J31" s="3" t="str">
        <f>IFERROR(__xludf.DUMMYFUNCTION("""COMPUTED_VALUE"""),"P-10859-00")</f>
        <v>P-10859-00</v>
      </c>
      <c r="K31" s="3" t="str">
        <f>IFERROR(__xludf.DUMMYFUNCTION("""COMPUTED_VALUE"""),"Approve")</f>
        <v>Approve</v>
      </c>
      <c r="L31" s="3" t="str">
        <f>IFERROR(__xludf.DUMMYFUNCTION("""COMPUTED_VALUE"""),"Normal")</f>
        <v>Normal</v>
      </c>
      <c r="M31" s="3" t="str">
        <f>IFERROR(__xludf.DUMMYFUNCTION("""COMPUTED_VALUE"""),"Non Urgent")</f>
        <v>Non Urgent</v>
      </c>
      <c r="N31" s="3">
        <f>IFERROR(__xludf.DUMMYFUNCTION("""COMPUTED_VALUE"""),45694.747144849534)</f>
        <v>45694.74714</v>
      </c>
    </row>
    <row r="32">
      <c r="A32" s="4">
        <f>IFERROR(__xludf.DUMMYFUNCTION("""COMPUTED_VALUE"""),45693.722962534725)</f>
        <v>45693.72296</v>
      </c>
      <c r="B32" s="3" t="str">
        <f>IFERROR(__xludf.DUMMYFUNCTION("""COMPUTED_VALUE"""),"MRNRO0004")</f>
        <v>MRNRO0004</v>
      </c>
      <c r="C32" s="3" t="str">
        <f>IFERROR(__xludf.DUMMYFUNCTION("""COMPUTED_VALUE"""),"EJO")</f>
        <v>EJO</v>
      </c>
      <c r="D32" s="3" t="str">
        <f>IFERROR(__xludf.DUMMYFUNCTION("""COMPUTED_VALUE"""),"EJO/2025/01/23")</f>
        <v>EJO/2025/01/23</v>
      </c>
      <c r="E32" s="3" t="str">
        <f>IFERROR(__xludf.DUMMYFUNCTION("""COMPUTED_VALUE"""),"CC baru di stability")</f>
        <v>CC baru di stability</v>
      </c>
      <c r="F32" s="3" t="str">
        <f>IFERROR(__xludf.DUMMYFUNCTION("""COMPUTED_VALUE"""),"Water Mur PVC dia 1/2inch")</f>
        <v>Water Mur PVC dia 1/2inch</v>
      </c>
      <c r="G32" s="3">
        <f>IFERROR(__xludf.DUMMYFUNCTION("""COMPUTED_VALUE"""),3.0)</f>
        <v>3</v>
      </c>
      <c r="H32" s="3" t="str">
        <f>IFERROR(__xludf.DUMMYFUNCTION("""COMPUTED_VALUE"""),"pcs")</f>
        <v>pcs</v>
      </c>
      <c r="I32" s="3" t="str">
        <f>IFERROR(__xludf.DUMMYFUNCTION("""COMPUTED_VALUE"""),"Requst RMA cc baru")</f>
        <v>Requst RMA cc baru</v>
      </c>
      <c r="J32" s="3" t="str">
        <f>IFERROR(__xludf.DUMMYFUNCTION("""COMPUTED_VALUE"""),"P-12943-00")</f>
        <v>P-12943-00</v>
      </c>
      <c r="K32" s="3" t="str">
        <f>IFERROR(__xludf.DUMMYFUNCTION("""COMPUTED_VALUE"""),"Approve")</f>
        <v>Approve</v>
      </c>
      <c r="L32" s="3" t="str">
        <f>IFERROR(__xludf.DUMMYFUNCTION("""COMPUTED_VALUE"""),"Normal")</f>
        <v>Normal</v>
      </c>
      <c r="M32" s="3" t="str">
        <f>IFERROR(__xludf.DUMMYFUNCTION("""COMPUTED_VALUE"""),"Non Urgent")</f>
        <v>Non Urgent</v>
      </c>
      <c r="N32" s="3">
        <f>IFERROR(__xludf.DUMMYFUNCTION("""COMPUTED_VALUE"""),45694.74732289352)</f>
        <v>45694.74732</v>
      </c>
    </row>
    <row r="33">
      <c r="A33" s="4">
        <f>IFERROR(__xludf.DUMMYFUNCTION("""COMPUTED_VALUE"""),45693.722962534725)</f>
        <v>45693.72296</v>
      </c>
      <c r="B33" s="3" t="str">
        <f>IFERROR(__xludf.DUMMYFUNCTION("""COMPUTED_VALUE"""),"MRNRO0005")</f>
        <v>MRNRO0005</v>
      </c>
      <c r="C33" s="3" t="str">
        <f>IFERROR(__xludf.DUMMYFUNCTION("""COMPUTED_VALUE"""),"EJO")</f>
        <v>EJO</v>
      </c>
      <c r="D33" s="3" t="str">
        <f>IFERROR(__xludf.DUMMYFUNCTION("""COMPUTED_VALUE"""),"EJO/2025/01/23")</f>
        <v>EJO/2025/01/23</v>
      </c>
      <c r="E33" s="3" t="str">
        <f>IFERROR(__xludf.DUMMYFUNCTION("""COMPUTED_VALUE"""),"CC baru di stability")</f>
        <v>CC baru di stability</v>
      </c>
      <c r="F33" s="3" t="str">
        <f>IFERROR(__xludf.DUMMYFUNCTION("""COMPUTED_VALUE"""),"Tee PVC AW General - Tee PVC AW dia 1/2inch X 1/2inch; Rucika; -; 1 pcs")</f>
        <v>Tee PVC AW General - Tee PVC AW dia 1/2inch X 1/2inch; Rucika; -; 1 pcs</v>
      </c>
      <c r="G33" s="3">
        <f>IFERROR(__xludf.DUMMYFUNCTION("""COMPUTED_VALUE"""),2.0)</f>
        <v>2</v>
      </c>
      <c r="H33" s="3" t="str">
        <f>IFERROR(__xludf.DUMMYFUNCTION("""COMPUTED_VALUE"""),"pcs")</f>
        <v>pcs</v>
      </c>
      <c r="I33" s="3" t="str">
        <f>IFERROR(__xludf.DUMMYFUNCTION("""COMPUTED_VALUE"""),"Requst RMA cc baru")</f>
        <v>Requst RMA cc baru</v>
      </c>
      <c r="J33" s="3" t="str">
        <f>IFERROR(__xludf.DUMMYFUNCTION("""COMPUTED_VALUE"""),"P-12883-00")</f>
        <v>P-12883-00</v>
      </c>
      <c r="K33" s="3" t="str">
        <f>IFERROR(__xludf.DUMMYFUNCTION("""COMPUTED_VALUE"""),"Approve")</f>
        <v>Approve</v>
      </c>
      <c r="L33" s="3" t="str">
        <f>IFERROR(__xludf.DUMMYFUNCTION("""COMPUTED_VALUE"""),"Normal")</f>
        <v>Normal</v>
      </c>
      <c r="M33" s="3" t="str">
        <f>IFERROR(__xludf.DUMMYFUNCTION("""COMPUTED_VALUE"""),"Non Urgent")</f>
        <v>Non Urgent</v>
      </c>
      <c r="N33" s="3">
        <f>IFERROR(__xludf.DUMMYFUNCTION("""COMPUTED_VALUE"""),45694.747519745375)</f>
        <v>45694.74752</v>
      </c>
    </row>
    <row r="34">
      <c r="A34" s="4">
        <f>IFERROR(__xludf.DUMMYFUNCTION("""COMPUTED_VALUE"""),45693.722962534725)</f>
        <v>45693.72296</v>
      </c>
      <c r="B34" s="3" t="str">
        <f>IFERROR(__xludf.DUMMYFUNCTION("""COMPUTED_VALUE"""),"MRNRO0006")</f>
        <v>MRNRO0006</v>
      </c>
      <c r="C34" s="3" t="str">
        <f>IFERROR(__xludf.DUMMYFUNCTION("""COMPUTED_VALUE"""),"EJO")</f>
        <v>EJO</v>
      </c>
      <c r="D34" s="3" t="str">
        <f>IFERROR(__xludf.DUMMYFUNCTION("""COMPUTED_VALUE"""),"EJO/2025/01/23")</f>
        <v>EJO/2025/01/23</v>
      </c>
      <c r="E34" s="3" t="str">
        <f>IFERROR(__xludf.DUMMYFUNCTION("""COMPUTED_VALUE"""),"CC baru di stability")</f>
        <v>CC baru di stability</v>
      </c>
      <c r="F34" s="3" t="str">
        <f>IFERROR(__xludf.DUMMYFUNCTION("""COMPUTED_VALUE"""),"Hollow Baja Ringan 4x4cm, Tebal 0.5mm, Panjang 4m; ; ;")</f>
        <v>Hollow Baja Ringan 4x4cm, Tebal 0.5mm, Panjang 4m; ; ;</v>
      </c>
      <c r="G34" s="3">
        <f>IFERROR(__xludf.DUMMYFUNCTION("""COMPUTED_VALUE"""),3.0)</f>
        <v>3</v>
      </c>
      <c r="H34" s="3" t="str">
        <f>IFERROR(__xludf.DUMMYFUNCTION("""COMPUTED_VALUE"""),"btg")</f>
        <v>btg</v>
      </c>
      <c r="I34" s="3" t="str">
        <f>IFERROR(__xludf.DUMMYFUNCTION("""COMPUTED_VALUE"""),"Requst RMA cc baru")</f>
        <v>Requst RMA cc baru</v>
      </c>
      <c r="J34" s="3" t="str">
        <f>IFERROR(__xludf.DUMMYFUNCTION("""COMPUTED_VALUE"""),"Q-10750-00")</f>
        <v>Q-10750-00</v>
      </c>
      <c r="K34" s="3" t="str">
        <f>IFERROR(__xludf.DUMMYFUNCTION("""COMPUTED_VALUE"""),"Approve")</f>
        <v>Approve</v>
      </c>
      <c r="L34" s="3" t="str">
        <f>IFERROR(__xludf.DUMMYFUNCTION("""COMPUTED_VALUE"""),"Normal")</f>
        <v>Normal</v>
      </c>
      <c r="M34" s="3" t="str">
        <f>IFERROR(__xludf.DUMMYFUNCTION("""COMPUTED_VALUE"""),"Non Urgent")</f>
        <v>Non Urgent</v>
      </c>
      <c r="N34" s="3">
        <f>IFERROR(__xludf.DUMMYFUNCTION("""COMPUTED_VALUE"""),45694.74771689815)</f>
        <v>45694.74772</v>
      </c>
    </row>
    <row r="35">
      <c r="A35" s="4">
        <f>IFERROR(__xludf.DUMMYFUNCTION("""COMPUTED_VALUE"""),45693.722962534725)</f>
        <v>45693.72296</v>
      </c>
      <c r="B35" s="3" t="str">
        <f>IFERROR(__xludf.DUMMYFUNCTION("""COMPUTED_VALUE"""),"MRNRO0007")</f>
        <v>MRNRO0007</v>
      </c>
      <c r="C35" s="3" t="str">
        <f>IFERROR(__xludf.DUMMYFUNCTION("""COMPUTED_VALUE"""),"EJO")</f>
        <v>EJO</v>
      </c>
      <c r="D35" s="3" t="str">
        <f>IFERROR(__xludf.DUMMYFUNCTION("""COMPUTED_VALUE"""),"EJO/2025/01/23")</f>
        <v>EJO/2025/01/23</v>
      </c>
      <c r="E35" s="3" t="str">
        <f>IFERROR(__xludf.DUMMYFUNCTION("""COMPUTED_VALUE"""),"CC baru di stability")</f>
        <v>CC baru di stability</v>
      </c>
      <c r="F35" s="3" t="str">
        <f>IFERROR(__xludf.DUMMYFUNCTION("""COMPUTED_VALUE"""),"Skrup Baja Hitam;No Brand;;pack size per pack")</f>
        <v>Skrup Baja Hitam;No Brand;;pack size per pack</v>
      </c>
      <c r="G35" s="3">
        <f>IFERROR(__xludf.DUMMYFUNCTION("""COMPUTED_VALUE"""),1.0)</f>
        <v>1</v>
      </c>
      <c r="H35" s="3" t="str">
        <f>IFERROR(__xludf.DUMMYFUNCTION("""COMPUTED_VALUE"""),"pack")</f>
        <v>pack</v>
      </c>
      <c r="I35" s="3" t="str">
        <f>IFERROR(__xludf.DUMMYFUNCTION("""COMPUTED_VALUE"""),"Requst RMA cc baru")</f>
        <v>Requst RMA cc baru</v>
      </c>
      <c r="J35" s="3" t="str">
        <f>IFERROR(__xludf.DUMMYFUNCTION("""COMPUTED_VALUE"""),"Q-10900-00")</f>
        <v>Q-10900-00</v>
      </c>
      <c r="K35" s="3" t="str">
        <f>IFERROR(__xludf.DUMMYFUNCTION("""COMPUTED_VALUE"""),"Approve")</f>
        <v>Approve</v>
      </c>
      <c r="L35" s="3" t="str">
        <f>IFERROR(__xludf.DUMMYFUNCTION("""COMPUTED_VALUE"""),"Normal")</f>
        <v>Normal</v>
      </c>
      <c r="M35" s="3" t="str">
        <f>IFERROR(__xludf.DUMMYFUNCTION("""COMPUTED_VALUE"""),"Non Urgent")</f>
        <v>Non Urgent</v>
      </c>
      <c r="N35" s="3">
        <f>IFERROR(__xludf.DUMMYFUNCTION("""COMPUTED_VALUE"""),45694.74814009259)</f>
        <v>45694.74814</v>
      </c>
    </row>
    <row r="36">
      <c r="A36" s="4">
        <f>IFERROR(__xludf.DUMMYFUNCTION("""COMPUTED_VALUE"""),45693.72360567129)</f>
        <v>45693.72361</v>
      </c>
      <c r="B36" s="3" t="str">
        <f>IFERROR(__xludf.DUMMYFUNCTION("""COMPUTED_VALUE"""),"MRNRO0008")</f>
        <v>MRNRO0008</v>
      </c>
      <c r="C36" s="3" t="str">
        <f>IFERROR(__xludf.DUMMYFUNCTION("""COMPUTED_VALUE"""),"MIn Stok")</f>
        <v>MIn Stok</v>
      </c>
      <c r="D36" s="3" t="str">
        <f>IFERROR(__xludf.DUMMYFUNCTION("""COMPUTED_VALUE"""),"EJO/2025/01/28")</f>
        <v>EJO/2025/01/28</v>
      </c>
      <c r="E36" s="3" t="str">
        <f>IFERROR(__xludf.DUMMYFUNCTION("""COMPUTED_VALUE"""),"Building")</f>
        <v>Building</v>
      </c>
      <c r="F36" s="3" t="str">
        <f>IFERROR(__xludf.DUMMYFUNCTION("""COMPUTED_VALUE"""),"Compound / Kompon Gypsum;No Brand;;pack size 20 kg per pck")</f>
        <v>Compound / Kompon Gypsum;No Brand;;pack size 20 kg per pck</v>
      </c>
      <c r="G36" s="3">
        <f>IFERROR(__xludf.DUMMYFUNCTION("""COMPUTED_VALUE"""),5.0)</f>
        <v>5</v>
      </c>
      <c r="H36" s="3" t="str">
        <f>IFERROR(__xludf.DUMMYFUNCTION("""COMPUTED_VALUE"""),"sack")</f>
        <v>sack</v>
      </c>
      <c r="I36" s="3" t="str">
        <f>IFERROR(__xludf.DUMMYFUNCTION("""COMPUTED_VALUE"""),"stok tinggal 1")</f>
        <v>stok tinggal 1</v>
      </c>
      <c r="J36" s="3" t="str">
        <f>IFERROR(__xludf.DUMMYFUNCTION("""COMPUTED_VALUE"""),"Q-10302-00")</f>
        <v>Q-10302-00</v>
      </c>
      <c r="K36" s="3" t="str">
        <f>IFERROR(__xludf.DUMMYFUNCTION("""COMPUTED_VALUE"""),"Approve")</f>
        <v>Approve</v>
      </c>
      <c r="L36" s="3" t="str">
        <f>IFERROR(__xludf.DUMMYFUNCTION("""COMPUTED_VALUE"""),"Normal")</f>
        <v>Normal</v>
      </c>
      <c r="M36" s="3" t="str">
        <f>IFERROR(__xludf.DUMMYFUNCTION("""COMPUTED_VALUE"""),"Non Urgent")</f>
        <v>Non Urgent</v>
      </c>
      <c r="N36" s="3">
        <f>IFERROR(__xludf.DUMMYFUNCTION("""COMPUTED_VALUE"""),45694.748360196754)</f>
        <v>45694.74836</v>
      </c>
    </row>
    <row r="37">
      <c r="A37" s="4">
        <f>IFERROR(__xludf.DUMMYFUNCTION("""COMPUTED_VALUE"""),45693.72575957176)</f>
        <v>45693.72576</v>
      </c>
      <c r="B37" s="3" t="str">
        <f>IFERROR(__xludf.DUMMYFUNCTION("""COMPUTED_VALUE"""),"MRNRO0009")</f>
        <v>MRNRO0009</v>
      </c>
      <c r="C37" s="3" t="str">
        <f>IFERROR(__xludf.DUMMYFUNCTION("""COMPUTED_VALUE"""),"EJO")</f>
        <v>EJO</v>
      </c>
      <c r="D37" s="3" t="str">
        <f>IFERROR(__xludf.DUMMYFUNCTION("""COMPUTED_VALUE"""),"EJO/2025/01/23")</f>
        <v>EJO/2025/01/23</v>
      </c>
      <c r="E37" s="3" t="str">
        <f>IFERROR(__xludf.DUMMYFUNCTION("""COMPUTED_VALUE"""),"CC baru di stability")</f>
        <v>CC baru di stability</v>
      </c>
      <c r="F37" s="3" t="str">
        <f>IFERROR(__xludf.DUMMYFUNCTION("""COMPUTED_VALUE"""),"PVC - Dop 1/2 inch; ; ;")</f>
        <v>PVC - Dop 1/2 inch; ; ;</v>
      </c>
      <c r="G37" s="3">
        <f>IFERROR(__xludf.DUMMYFUNCTION("""COMPUTED_VALUE"""),2.0)</f>
        <v>2</v>
      </c>
      <c r="H37" s="3" t="str">
        <f>IFERROR(__xludf.DUMMYFUNCTION("""COMPUTED_VALUE"""),"pcs")</f>
        <v>pcs</v>
      </c>
      <c r="I37" s="3" t="str">
        <f>IFERROR(__xludf.DUMMYFUNCTION("""COMPUTED_VALUE"""),"Requst RMA cc baru")</f>
        <v>Requst RMA cc baru</v>
      </c>
      <c r="J37" s="3" t="str">
        <f>IFERROR(__xludf.DUMMYFUNCTION("""COMPUTED_VALUE"""),"P-14959-00")</f>
        <v>P-14959-00</v>
      </c>
      <c r="K37" s="3" t="str">
        <f>IFERROR(__xludf.DUMMYFUNCTION("""COMPUTED_VALUE"""),"Approve")</f>
        <v>Approve</v>
      </c>
      <c r="L37" s="3" t="str">
        <f>IFERROR(__xludf.DUMMYFUNCTION("""COMPUTED_VALUE"""),"Normal")</f>
        <v>Normal</v>
      </c>
      <c r="M37" s="3" t="str">
        <f>IFERROR(__xludf.DUMMYFUNCTION("""COMPUTED_VALUE"""),"Non Urgent")</f>
        <v>Non Urgent</v>
      </c>
      <c r="N37" s="3">
        <f>IFERROR(__xludf.DUMMYFUNCTION("""COMPUTED_VALUE"""),45694.74862033565)</f>
        <v>45694.74862</v>
      </c>
    </row>
    <row r="38">
      <c r="A38" s="4">
        <f>IFERROR(__xludf.DUMMYFUNCTION("""COMPUTED_VALUE"""),45693.73084386574)</f>
        <v>45693.73084</v>
      </c>
      <c r="B38" s="3" t="str">
        <f>IFERROR(__xludf.DUMMYFUNCTION("""COMPUTED_VALUE"""),"MRNRO0010")</f>
        <v>MRNRO0010</v>
      </c>
      <c r="C38" s="3" t="str">
        <f>IFERROR(__xludf.DUMMYFUNCTION("""COMPUTED_VALUE"""),"EJO")</f>
        <v>EJO</v>
      </c>
      <c r="D38" s="3" t="str">
        <f>IFERROR(__xludf.DUMMYFUNCTION("""COMPUTED_VALUE"""),"EJO/2025/01/23")</f>
        <v>EJO/2025/01/23</v>
      </c>
      <c r="E38" s="3" t="str">
        <f>IFERROR(__xludf.DUMMYFUNCTION("""COMPUTED_VALUE"""),"CC baru di stability")</f>
        <v>CC baru di stability</v>
      </c>
      <c r="F38" s="3" t="str">
        <f>IFERROR(__xludf.DUMMYFUNCTION("""COMPUTED_VALUE"""),"General - Tee, PVC, 1 1/4""; Rucika; -; 1 pcs")</f>
        <v>General - Tee, PVC, 1 1/4"; Rucika; -; 1 pcs</v>
      </c>
      <c r="G38" s="3">
        <f>IFERROR(__xludf.DUMMYFUNCTION("""COMPUTED_VALUE"""),1.0)</f>
        <v>1</v>
      </c>
      <c r="H38" s="3" t="str">
        <f>IFERROR(__xludf.DUMMYFUNCTION("""COMPUTED_VALUE"""),"pcs")</f>
        <v>pcs</v>
      </c>
      <c r="I38" s="3" t="str">
        <f>IFERROR(__xludf.DUMMYFUNCTION("""COMPUTED_VALUE"""),"Requst RMA cc baru")</f>
        <v>Requst RMA cc baru</v>
      </c>
      <c r="J38" s="3" t="str">
        <f>IFERROR(__xludf.DUMMYFUNCTION("""COMPUTED_VALUE"""),"P-10904-00")</f>
        <v>P-10904-00</v>
      </c>
      <c r="K38" s="3" t="str">
        <f>IFERROR(__xludf.DUMMYFUNCTION("""COMPUTED_VALUE"""),"Approve")</f>
        <v>Approve</v>
      </c>
      <c r="L38" s="3" t="str">
        <f>IFERROR(__xludf.DUMMYFUNCTION("""COMPUTED_VALUE"""),"Normal")</f>
        <v>Normal</v>
      </c>
      <c r="M38" s="3" t="str">
        <f>IFERROR(__xludf.DUMMYFUNCTION("""COMPUTED_VALUE"""),"Non Urgent")</f>
        <v>Non Urgent</v>
      </c>
      <c r="N38" s="3">
        <f>IFERROR(__xludf.DUMMYFUNCTION("""COMPUTED_VALUE"""),45694.74886173611)</f>
        <v>45694.74886</v>
      </c>
    </row>
    <row r="39">
      <c r="A39" s="4">
        <f>IFERROR(__xludf.DUMMYFUNCTION("""COMPUTED_VALUE"""),45693.75055214121)</f>
        <v>45693.75055</v>
      </c>
      <c r="B39" s="3" t="str">
        <f>IFERROR(__xludf.DUMMYFUNCTION("""COMPUTED_VALUE"""),"MRNRO0011")</f>
        <v>MRNRO0011</v>
      </c>
      <c r="C39" s="3" t="str">
        <f>IFERROR(__xludf.DUMMYFUNCTION("""COMPUTED_VALUE"""),"MIn Stok")</f>
        <v>MIn Stok</v>
      </c>
      <c r="D39" s="3" t="str">
        <f>IFERROR(__xludf.DUMMYFUNCTION("""COMPUTED_VALUE"""),"EJO/2025/01/28")</f>
        <v>EJO/2025/01/28</v>
      </c>
      <c r="E39" s="3" t="str">
        <f>IFERROR(__xludf.DUMMYFUNCTION("""COMPUTED_VALUE"""),"Building")</f>
        <v>Building</v>
      </c>
      <c r="F39" s="3" t="str">
        <f>IFERROR(__xludf.DUMMYFUNCTION("""COMPUTED_VALUE"""),"Kuas Cat Uk. 2 inch;Eterna;Tipe 611;pack size per pcs")</f>
        <v>Kuas Cat Uk. 2 inch;Eterna;Tipe 611;pack size per pcs</v>
      </c>
      <c r="G39" s="3">
        <f>IFERROR(__xludf.DUMMYFUNCTION("""COMPUTED_VALUE"""),10.0)</f>
        <v>10</v>
      </c>
      <c r="H39" s="3" t="str">
        <f>IFERROR(__xludf.DUMMYFUNCTION("""COMPUTED_VALUE"""),"pcs")</f>
        <v>pcs</v>
      </c>
      <c r="I39" s="3" t="str">
        <f>IFERROR(__xludf.DUMMYFUNCTION("""COMPUTED_VALUE"""),"stok tinggal 1")</f>
        <v>stok tinggal 1</v>
      </c>
      <c r="J39" s="3" t="str">
        <f>IFERROR(__xludf.DUMMYFUNCTION("""COMPUTED_VALUE"""),"Q-60026-00")</f>
        <v>Q-60026-00</v>
      </c>
      <c r="K39" s="3" t="str">
        <f>IFERROR(__xludf.DUMMYFUNCTION("""COMPUTED_VALUE"""),"Approve")</f>
        <v>Approve</v>
      </c>
      <c r="L39" s="3" t="str">
        <f>IFERROR(__xludf.DUMMYFUNCTION("""COMPUTED_VALUE"""),"Normal")</f>
        <v>Normal</v>
      </c>
      <c r="M39" s="3" t="str">
        <f>IFERROR(__xludf.DUMMYFUNCTION("""COMPUTED_VALUE"""),"Non Urgent")</f>
        <v>Non Urgent</v>
      </c>
      <c r="N39" s="3">
        <f>IFERROR(__xludf.DUMMYFUNCTION("""COMPUTED_VALUE"""),45694.74903899306)</f>
        <v>45694.74904</v>
      </c>
    </row>
    <row r="40">
      <c r="A40" s="4">
        <f>IFERROR(__xludf.DUMMYFUNCTION("""COMPUTED_VALUE"""),45696.258744942126)</f>
        <v>45696.25874</v>
      </c>
      <c r="B40" s="3" t="str">
        <f>IFERROR(__xludf.DUMMYFUNCTION("""COMPUTED_VALUE"""),"RIARO0013")</f>
        <v>RIARO0013</v>
      </c>
      <c r="C40" s="3" t="str">
        <f>IFERROR(__xludf.DUMMYFUNCTION("""COMPUTED_VALUE"""),"EJO")</f>
        <v>EJO</v>
      </c>
      <c r="D40" s="3" t="str">
        <f>IFERROR(__xludf.DUMMYFUNCTION("""COMPUTED_VALUE"""),"EJO/2025/02/65")</f>
        <v>EJO/2025/02/65</v>
      </c>
      <c r="E40" s="3" t="str">
        <f>IFERROR(__xludf.DUMMYFUNCTION("""COMPUTED_VALUE"""),"Heater Mixing")</f>
        <v>Heater Mixing</v>
      </c>
      <c r="F40" s="3" t="str">
        <f>IFERROR(__xludf.DUMMYFUNCTION("""COMPUTED_VALUE"""),"General - Exhaust Fan Panel 240VAC; TW; -; 1 pc")</f>
        <v>General - Exhaust Fan Panel 240VAC; TW; -; 1 pc</v>
      </c>
      <c r="G40" s="3">
        <f>IFERROR(__xludf.DUMMYFUNCTION("""COMPUTED_VALUE"""),2.0)</f>
        <v>2</v>
      </c>
      <c r="H40" s="3" t="str">
        <f>IFERROR(__xludf.DUMMYFUNCTION("""COMPUTED_VALUE"""),"Pcs")</f>
        <v>Pcs</v>
      </c>
      <c r="I40" s="3" t="str">
        <f>IFERROR(__xludf.DUMMYFUNCTION("""COMPUTED_VALUE"""),"EJO Improvement")</f>
        <v>EJO Improvement</v>
      </c>
      <c r="J40" s="3" t="str">
        <f>IFERROR(__xludf.DUMMYFUNCTION("""COMPUTED_VALUE"""),"P-51891-00")</f>
        <v>P-51891-00</v>
      </c>
      <c r="K40" s="3" t="str">
        <f>IFERROR(__xludf.DUMMYFUNCTION("""COMPUTED_VALUE"""),"Approve")</f>
        <v>Approve</v>
      </c>
      <c r="L40" s="3" t="str">
        <f>IFERROR(__xludf.DUMMYFUNCTION("""COMPUTED_VALUE"""),"Normal")</f>
        <v>Normal</v>
      </c>
      <c r="M40" s="3" t="str">
        <f>IFERROR(__xludf.DUMMYFUNCTION("""COMPUTED_VALUE"""),"Non Urgent")</f>
        <v>Non Urgent</v>
      </c>
      <c r="N40" s="3">
        <f>IFERROR(__xludf.DUMMYFUNCTION("""COMPUTED_VALUE"""),45698.63372162037)</f>
        <v>45698.63372</v>
      </c>
    </row>
    <row r="41">
      <c r="A41" s="4">
        <f>IFERROR(__xludf.DUMMYFUNCTION("""COMPUTED_VALUE"""),45698.442053217594)</f>
        <v>45698.44205</v>
      </c>
      <c r="B41" s="3" t="str">
        <f>IFERROR(__xludf.DUMMYFUNCTION("""COMPUTED_VALUE"""),"NDSRO0001")</f>
        <v>NDSRO0001</v>
      </c>
      <c r="C41" s="3" t="str">
        <f>IFERROR(__xludf.DUMMYFUNCTION("""COMPUTED_VALUE"""),"EJO")</f>
        <v>EJO</v>
      </c>
      <c r="D41" s="3" t="str">
        <f>IFERROR(__xludf.DUMMYFUNCTION("""COMPUTED_VALUE"""),"EJO/2025/02/76")</f>
        <v>EJO/2025/02/76</v>
      </c>
      <c r="E41" s="3" t="str">
        <f>IFERROR(__xludf.DUMMYFUNCTION("""COMPUTED_VALUE"""),"Conveyor A &amp; B")</f>
        <v>Conveyor A &amp; B</v>
      </c>
      <c r="F41" s="3" t="str">
        <f>IFERROR(__xludf.DUMMYFUNCTION("""COMPUTED_VALUE"""),"Bola lampu 24V 5 Watt")</f>
        <v>Bola lampu 24V 5 Watt</v>
      </c>
      <c r="G41" s="3">
        <f>IFERROR(__xludf.DUMMYFUNCTION("""COMPUTED_VALUE"""),20.0)</f>
        <v>20</v>
      </c>
      <c r="H41" s="3" t="str">
        <f>IFERROR(__xludf.DUMMYFUNCTION("""COMPUTED_VALUE"""),"Pcs")</f>
        <v>Pcs</v>
      </c>
      <c r="I41" s="3" t="str">
        <f>IFERROR(__xludf.DUMMYFUNCTION("""COMPUTED_VALUE"""),"-")</f>
        <v>-</v>
      </c>
      <c r="J41" s="3" t="str">
        <f>IFERROR(__xludf.DUMMYFUNCTION("""COMPUTED_VALUE"""),"P-50797-00")</f>
        <v>P-50797-00</v>
      </c>
      <c r="K41" s="3" t="str">
        <f>IFERROR(__xludf.DUMMYFUNCTION("""COMPUTED_VALUE"""),"Approve")</f>
        <v>Approve</v>
      </c>
      <c r="L41" s="3" t="str">
        <f>IFERROR(__xludf.DUMMYFUNCTION("""COMPUTED_VALUE"""),"Normal")</f>
        <v>Normal</v>
      </c>
      <c r="M41" s="3" t="str">
        <f>IFERROR(__xludf.DUMMYFUNCTION("""COMPUTED_VALUE"""),"Non Urgent")</f>
        <v>Non Urgent</v>
      </c>
      <c r="N41" s="3">
        <f>IFERROR(__xludf.DUMMYFUNCTION("""COMPUTED_VALUE"""),45700.574230150465)</f>
        <v>45700.57423</v>
      </c>
    </row>
    <row r="42">
      <c r="A42" s="4">
        <f>IFERROR(__xludf.DUMMYFUNCTION("""COMPUTED_VALUE"""),45698.453369571755)</f>
        <v>45698.45337</v>
      </c>
      <c r="B42" s="3" t="str">
        <f>IFERROR(__xludf.DUMMYFUNCTION("""COMPUTED_VALUE"""),"NDSRO0002")</f>
        <v>NDSRO0002</v>
      </c>
      <c r="C42" s="3" t="str">
        <f>IFERROR(__xludf.DUMMYFUNCTION("""COMPUTED_VALUE"""),"EJO")</f>
        <v>EJO</v>
      </c>
      <c r="D42" s="3" t="str">
        <f>IFERROR(__xludf.DUMMYFUNCTION("""COMPUTED_VALUE"""),"EJO/2025/02/75")</f>
        <v>EJO/2025/02/75</v>
      </c>
      <c r="E42" s="3" t="str">
        <f>IFERROR(__xludf.DUMMYFUNCTION("""COMPUTED_VALUE"""),"Labeling")</f>
        <v>Labeling</v>
      </c>
      <c r="F42" s="3" t="str">
        <f>IFERROR(__xludf.DUMMYFUNCTION("""COMPUTED_VALUE"""),"Belt HTD 720-5M-95mm + Lapisan Blue Sponge 6mm DIAN BATARA INTI, PT P/N : -  set")</f>
        <v>Belt HTD 720-5M-95mm + Lapisan Blue Sponge 6mm DIAN BATARA INTI, PT P/N : -  set</v>
      </c>
      <c r="G42" s="3">
        <f>IFERROR(__xludf.DUMMYFUNCTION("""COMPUTED_VALUE"""),3.0)</f>
        <v>3</v>
      </c>
      <c r="H42" s="3" t="str">
        <f>IFERROR(__xludf.DUMMYFUNCTION("""COMPUTED_VALUE"""),"Pcs")</f>
        <v>Pcs</v>
      </c>
      <c r="I42" s="3" t="str">
        <f>IFERROR(__xludf.DUMMYFUNCTION("""COMPUTED_VALUE"""),"Request Pada sambungan spongenya dibikin rata, jangan ada yang menonjol")</f>
        <v>Request Pada sambungan spongenya dibikin rata, jangan ada yang menonjol</v>
      </c>
      <c r="J42" s="3" t="str">
        <f>IFERROR(__xludf.DUMMYFUNCTION("""COMPUTED_VALUE"""),"O-17242-00")</f>
        <v>O-17242-00</v>
      </c>
      <c r="K42" s="3" t="str">
        <f>IFERROR(__xludf.DUMMYFUNCTION("""COMPUTED_VALUE"""),"Approve")</f>
        <v>Approve</v>
      </c>
      <c r="L42" s="3" t="str">
        <f>IFERROR(__xludf.DUMMYFUNCTION("""COMPUTED_VALUE"""),"Normal")</f>
        <v>Normal</v>
      </c>
      <c r="M42" s="3" t="str">
        <f>IFERROR(__xludf.DUMMYFUNCTION("""COMPUTED_VALUE"""),"Non Urgent")</f>
        <v>Non Urgent</v>
      </c>
      <c r="N42" s="3">
        <f>IFERROR(__xludf.DUMMYFUNCTION("""COMPUTED_VALUE"""),45700.57314202546)</f>
        <v>45700.57314</v>
      </c>
    </row>
    <row r="43">
      <c r="A43" s="4">
        <f>IFERROR(__xludf.DUMMYFUNCTION("""COMPUTED_VALUE"""),45699.18760521991)</f>
        <v>45699.18761</v>
      </c>
      <c r="B43" s="3" t="str">
        <f>IFERROR(__xludf.DUMMYFUNCTION("""COMPUTED_VALUE"""),"SFHRO0003")</f>
        <v>SFHRO0003</v>
      </c>
      <c r="C43" s="3" t="str">
        <f>IFERROR(__xludf.DUMMYFUNCTION("""COMPUTED_VALUE"""),"Consumable")</f>
        <v>Consumable</v>
      </c>
      <c r="D43" s="3" t="str">
        <f>IFERROR(__xludf.DUMMYFUNCTION("""COMPUTED_VALUE"""),"-")</f>
        <v>-</v>
      </c>
      <c r="E43" s="3" t="str">
        <f>IFERROR(__xludf.DUMMYFUNCTION("""COMPUTED_VALUE"""),"lantai 2")</f>
        <v>lantai 2</v>
      </c>
      <c r="F43" s="3" t="str">
        <f>IFERROR(__xludf.DUMMYFUNCTION("""COMPUTED_VALUE"""),"Thinner Super End/Impala @ 1 Liter")</f>
        <v>Thinner Super End/Impala @ 1 Liter</v>
      </c>
      <c r="G43" s="3">
        <f>IFERROR(__xludf.DUMMYFUNCTION("""COMPUTED_VALUE"""),20.0)</f>
        <v>20</v>
      </c>
      <c r="H43" s="3" t="str">
        <f>IFERROR(__xludf.DUMMYFUNCTION("""COMPUTED_VALUE"""),"liter")</f>
        <v>liter</v>
      </c>
      <c r="I43" s="3" t="str">
        <f>IFERROR(__xludf.DUMMYFUNCTION("""COMPUTED_VALUE"""),"-")</f>
        <v>-</v>
      </c>
      <c r="J43" s="3" t="str">
        <f>IFERROR(__xludf.DUMMYFUNCTION("""COMPUTED_VALUE"""),"Q-10128-00")</f>
        <v>Q-10128-00</v>
      </c>
      <c r="K43" s="3" t="str">
        <f>IFERROR(__xludf.DUMMYFUNCTION("""COMPUTED_VALUE"""),"Approve")</f>
        <v>Approve</v>
      </c>
      <c r="L43" s="3" t="str">
        <f>IFERROR(__xludf.DUMMYFUNCTION("""COMPUTED_VALUE"""),"Normal")</f>
        <v>Normal</v>
      </c>
      <c r="M43" s="3" t="str">
        <f>IFERROR(__xludf.DUMMYFUNCTION("""COMPUTED_VALUE"""),"Non Urgent")</f>
        <v>Non Urgent</v>
      </c>
      <c r="N43" s="3">
        <f>IFERROR(__xludf.DUMMYFUNCTION("""COMPUTED_VALUE"""),45700.63538237268)</f>
        <v>45700.63538</v>
      </c>
    </row>
    <row r="44">
      <c r="A44" s="4">
        <f>IFERROR(__xludf.DUMMYFUNCTION("""COMPUTED_VALUE"""),45703.74109815972)</f>
        <v>45703.7411</v>
      </c>
      <c r="B44" s="3" t="str">
        <f>IFERROR(__xludf.DUMMYFUNCTION("""COMPUTED_VALUE"""),"ANORO0002")</f>
        <v>ANORO0002</v>
      </c>
      <c r="C44" s="3" t="str">
        <f>IFERROR(__xludf.DUMMYFUNCTION("""COMPUTED_VALUE"""),"Consumable")</f>
        <v>Consumable</v>
      </c>
      <c r="D44" s="3" t="str">
        <f>IFERROR(__xludf.DUMMYFUNCTION("""COMPUTED_VALUE"""),"-")</f>
        <v>-</v>
      </c>
      <c r="E44" s="3" t="str">
        <f>IFERROR(__xludf.DUMMYFUNCTION("""COMPUTED_VALUE"""),"washing ")</f>
        <v>washing </v>
      </c>
      <c r="F44" s="3" t="str">
        <f>IFERROR(__xludf.DUMMYFUNCTION("""COMPUTED_VALUE"""),"Washing RAV4 - Black Arm Mat. SUS 304; Custom/Lokal; -; 1 Pc")</f>
        <v>Washing RAV4 - Black Arm Mat. SUS 304; Custom/Lokal; -; 1 Pc</v>
      </c>
      <c r="G44" s="3">
        <f>IFERROR(__xludf.DUMMYFUNCTION("""COMPUTED_VALUE"""),6.0)</f>
        <v>6</v>
      </c>
      <c r="H44" s="3" t="str">
        <f>IFERROR(__xludf.DUMMYFUNCTION("""COMPUTED_VALUE"""),"pcs")</f>
        <v>pcs</v>
      </c>
      <c r="I44" s="3" t="str">
        <f>IFERROR(__xludf.DUMMYFUNCTION("""COMPUTED_VALUE"""),"Buat stock ")</f>
        <v>Buat stock </v>
      </c>
      <c r="J44" s="3" t="str">
        <f>IFERROR(__xludf.DUMMYFUNCTION("""COMPUTED_VALUE"""),"O-20230-00")</f>
        <v>O-20230-00</v>
      </c>
      <c r="K44" s="3" t="str">
        <f>IFERROR(__xludf.DUMMYFUNCTION("""COMPUTED_VALUE"""),"Approve")</f>
        <v>Approve</v>
      </c>
      <c r="L44" s="3" t="str">
        <f>IFERROR(__xludf.DUMMYFUNCTION("""COMPUTED_VALUE"""),"Normal")</f>
        <v>Normal</v>
      </c>
      <c r="M44" s="3" t="str">
        <f>IFERROR(__xludf.DUMMYFUNCTION("""COMPUTED_VALUE"""),"Non Urgent")</f>
        <v>Non Urgent</v>
      </c>
      <c r="N44" s="3">
        <f>IFERROR(__xludf.DUMMYFUNCTION("""COMPUTED_VALUE"""),45712.991248969905)</f>
        <v>45712.99125</v>
      </c>
    </row>
    <row r="45">
      <c r="A45" s="4">
        <f>IFERROR(__xludf.DUMMYFUNCTION("""COMPUTED_VALUE"""),45703.74109815972)</f>
        <v>45703.7411</v>
      </c>
      <c r="B45" s="3" t="str">
        <f>IFERROR(__xludf.DUMMYFUNCTION("""COMPUTED_VALUE"""),"ANORO0003")</f>
        <v>ANORO0003</v>
      </c>
      <c r="C45" s="3" t="str">
        <f>IFERROR(__xludf.DUMMYFUNCTION("""COMPUTED_VALUE"""),"Consumable")</f>
        <v>Consumable</v>
      </c>
      <c r="D45" s="3" t="str">
        <f>IFERROR(__xludf.DUMMYFUNCTION("""COMPUTED_VALUE"""),"-")</f>
        <v>-</v>
      </c>
      <c r="E45" s="3" t="str">
        <f>IFERROR(__xludf.DUMMYFUNCTION("""COMPUTED_VALUE"""),"washing ")</f>
        <v>washing </v>
      </c>
      <c r="F45" s="3" t="str">
        <f>IFERROR(__xludf.DUMMYFUNCTION("""COMPUTED_VALUE"""),"Washing RAV4 - Base Black Arm Mat. VCN; Custom/Lokal; -; 1 Pc")</f>
        <v>Washing RAV4 - Base Black Arm Mat. VCN; Custom/Lokal; -; 1 Pc</v>
      </c>
      <c r="G45" s="3">
        <f>IFERROR(__xludf.DUMMYFUNCTION("""COMPUTED_VALUE"""),3.0)</f>
        <v>3</v>
      </c>
      <c r="H45" s="3" t="str">
        <f>IFERROR(__xludf.DUMMYFUNCTION("""COMPUTED_VALUE"""),"pcs")</f>
        <v>pcs</v>
      </c>
      <c r="I45" s="3" t="str">
        <f>IFERROR(__xludf.DUMMYFUNCTION("""COMPUTED_VALUE"""),"Buat stock ")</f>
        <v>Buat stock </v>
      </c>
      <c r="J45" s="3" t="str">
        <f>IFERROR(__xludf.DUMMYFUNCTION("""COMPUTED_VALUE"""),"O-20231-00")</f>
        <v>O-20231-00</v>
      </c>
      <c r="K45" s="3" t="str">
        <f>IFERROR(__xludf.DUMMYFUNCTION("""COMPUTED_VALUE"""),"Approve")</f>
        <v>Approve</v>
      </c>
      <c r="L45" s="3" t="str">
        <f>IFERROR(__xludf.DUMMYFUNCTION("""COMPUTED_VALUE"""),"Normal")</f>
        <v>Normal</v>
      </c>
      <c r="M45" s="3" t="str">
        <f>IFERROR(__xludf.DUMMYFUNCTION("""COMPUTED_VALUE"""),"Non Urgent")</f>
        <v>Non Urgent</v>
      </c>
      <c r="N45" s="3">
        <f>IFERROR(__xludf.DUMMYFUNCTION("""COMPUTED_VALUE"""),45712.964251111116)</f>
        <v>45712.96425</v>
      </c>
    </row>
    <row r="46">
      <c r="A46" s="4">
        <f>IFERROR(__xludf.DUMMYFUNCTION("""COMPUTED_VALUE"""),45707.49983197916)</f>
        <v>45707.49983</v>
      </c>
      <c r="B46" s="3" t="str">
        <f>IFERROR(__xludf.DUMMYFUNCTION("""COMPUTED_VALUE"""),"MOBRO0023")</f>
        <v>MOBRO0023</v>
      </c>
      <c r="C46" s="3" t="str">
        <f>IFERROR(__xludf.DUMMYFUNCTION("""COMPUTED_VALUE"""),"EJO")</f>
        <v>EJO</v>
      </c>
      <c r="D46" s="3" t="str">
        <f>IFERROR(__xludf.DUMMYFUNCTION("""COMPUTED_VALUE"""),"EJO/2025/02/91")</f>
        <v>EJO/2025/02/91</v>
      </c>
      <c r="E46" s="3" t="str">
        <f>IFERROR(__xludf.DUMMYFUNCTION("""COMPUTED_VALUE"""),"FMS AHU")</f>
        <v>FMS AHU</v>
      </c>
      <c r="F46" s="3" t="str">
        <f>IFERROR(__xludf.DUMMYFUNCTION("""COMPUTED_VALUE"""),"General - TU Polyurethane Tubing, TU1065C-100; SMC Pneumatics; -; 1 roll")</f>
        <v>General - TU Polyurethane Tubing, TU1065C-100; SMC Pneumatics; -; 1 roll</v>
      </c>
      <c r="G46" s="3">
        <f>IFERROR(__xludf.DUMMYFUNCTION("""COMPUTED_VALUE"""),4.0)</f>
        <v>4</v>
      </c>
      <c r="H46" s="3" t="str">
        <f>IFERROR(__xludf.DUMMYFUNCTION("""COMPUTED_VALUE"""),"Pcs")</f>
        <v>Pcs</v>
      </c>
      <c r="I46" s="3" t="str">
        <f>IFERROR(__xludf.DUMMYFUNCTION("""COMPUTED_VALUE"""),"Tubing getas perlu peremajaan ")</f>
        <v>Tubing getas perlu peremajaan </v>
      </c>
      <c r="J46" s="3" t="str">
        <f>IFERROR(__xludf.DUMMYFUNCTION("""COMPUTED_VALUE"""),"O-12733-00")</f>
        <v>O-12733-00</v>
      </c>
      <c r="K46" s="3" t="str">
        <f>IFERROR(__xludf.DUMMYFUNCTION("""COMPUTED_VALUE"""),"Approve")</f>
        <v>Approve</v>
      </c>
      <c r="L46" s="3" t="str">
        <f>IFERROR(__xludf.DUMMYFUNCTION("""COMPUTED_VALUE"""),"Normal")</f>
        <v>Normal</v>
      </c>
      <c r="M46" s="3" t="str">
        <f>IFERROR(__xludf.DUMMYFUNCTION("""COMPUTED_VALUE"""),"Non Urgent")</f>
        <v>Non Urgent</v>
      </c>
      <c r="N46" s="3">
        <f>IFERROR(__xludf.DUMMYFUNCTION("""COMPUTED_VALUE"""),45712.51459329861)</f>
        <v>45712.51459</v>
      </c>
    </row>
    <row r="47">
      <c r="A47" s="4">
        <f>IFERROR(__xludf.DUMMYFUNCTION("""COMPUTED_VALUE"""),45708.40492289352)</f>
        <v>45708.40492</v>
      </c>
      <c r="B47" s="3" t="str">
        <f>IFERROR(__xludf.DUMMYFUNCTION("""COMPUTED_VALUE"""),"RIARO0014")</f>
        <v>RIARO0014</v>
      </c>
      <c r="C47" s="3" t="str">
        <f>IFERROR(__xludf.DUMMYFUNCTION("""COMPUTED_VALUE"""),"EJO")</f>
        <v>EJO</v>
      </c>
      <c r="D47" s="3" t="str">
        <f>IFERROR(__xludf.DUMMYFUNCTION("""COMPUTED_VALUE"""),"EJO/2024/12/75")</f>
        <v>EJO/2024/12/75</v>
      </c>
      <c r="E47" s="3" t="str">
        <f>IFERROR(__xludf.DUMMYFUNCTION("""COMPUTED_VALUE"""),"Pipa FW OSD")</f>
        <v>Pipa FW OSD</v>
      </c>
      <c r="F47" s="3" t="str">
        <f>IFERROR(__xludf.DUMMYFUNCTION("""COMPUTED_VALUE"""),"Acrylic tebal 5mm ukr : 1000 x 2000")</f>
        <v>Acrylic tebal 5mm ukr : 1000 x 2000</v>
      </c>
      <c r="G47" s="3">
        <f>IFERROR(__xludf.DUMMYFUNCTION("""COMPUTED_VALUE"""),1.0)</f>
        <v>1</v>
      </c>
      <c r="H47" s="3" t="str">
        <f>IFERROR(__xludf.DUMMYFUNCTION("""COMPUTED_VALUE"""),"Pcs")</f>
        <v>Pcs</v>
      </c>
      <c r="I47" s="3" t="str">
        <f>IFERROR(__xludf.DUMMYFUNCTION("""COMPUTED_VALUE"""),"Untuk menutup panel AHU E12 OSD")</f>
        <v>Untuk menutup panel AHU E12 OSD</v>
      </c>
      <c r="J47" s="3" t="str">
        <f>IFERROR(__xludf.DUMMYFUNCTION("""COMPUTED_VALUE"""),"P-11818-00")</f>
        <v>P-11818-00</v>
      </c>
      <c r="K47" s="3" t="str">
        <f>IFERROR(__xludf.DUMMYFUNCTION("""COMPUTED_VALUE"""),"Approve")</f>
        <v>Approve</v>
      </c>
      <c r="L47" s="3" t="str">
        <f>IFERROR(__xludf.DUMMYFUNCTION("""COMPUTED_VALUE"""),"Normal")</f>
        <v>Normal</v>
      </c>
      <c r="M47" s="3" t="str">
        <f>IFERROR(__xludf.DUMMYFUNCTION("""COMPUTED_VALUE"""),"Non Urgent")</f>
        <v>Non Urgent</v>
      </c>
      <c r="N47" s="3">
        <f>IFERROR(__xludf.DUMMYFUNCTION("""COMPUTED_VALUE"""),45712.51503483797)</f>
        <v>45712.51503</v>
      </c>
    </row>
    <row r="48">
      <c r="A48" s="4">
        <f>IFERROR(__xludf.DUMMYFUNCTION("""COMPUTED_VALUE"""),45712.503166400464)</f>
        <v>45712.50317</v>
      </c>
      <c r="B48" s="3" t="str">
        <f>IFERROR(__xludf.DUMMYFUNCTION("""COMPUTED_VALUE"""),"SHFRO0002")</f>
        <v>SHFRO0002</v>
      </c>
      <c r="C48" s="3" t="str">
        <f>IFERROR(__xludf.DUMMYFUNCTION("""COMPUTED_VALUE"""),"EJO")</f>
        <v>EJO</v>
      </c>
      <c r="D48" s="3" t="str">
        <f>IFERROR(__xludf.DUMMYFUNCTION("""COMPUTED_VALUE"""),"EJO/2024/12/158")</f>
        <v>EJO/2024/12/158</v>
      </c>
      <c r="E48" s="3" t="str">
        <f>IFERROR(__xludf.DUMMYFUNCTION("""COMPUTED_VALUE"""),"Tank Hot Water OSD")</f>
        <v>Tank Hot Water OSD</v>
      </c>
      <c r="F48" s="3" t="str">
        <f>IFERROR(__xludf.DUMMYFUNCTION("""COMPUTED_VALUE"""),"General - ELBOW PVC AW 2"" ; Rucika; -; 1 pc")</f>
        <v>General - ELBOW PVC AW 2" ; Rucika; -; 1 pc</v>
      </c>
      <c r="G48" s="3">
        <f>IFERROR(__xludf.DUMMYFUNCTION("""COMPUTED_VALUE"""),4.0)</f>
        <v>4</v>
      </c>
      <c r="H48" s="3" t="str">
        <f>IFERROR(__xludf.DUMMYFUNCTION("""COMPUTED_VALUE"""),"Pc")</f>
        <v>Pc</v>
      </c>
      <c r="I48" s="3" t="str">
        <f>IFERROR(__xludf.DUMMYFUNCTION("""COMPUTED_VALUE"""),"-")</f>
        <v>-</v>
      </c>
      <c r="J48" s="3" t="str">
        <f>IFERROR(__xludf.DUMMYFUNCTION("""COMPUTED_VALUE"""),"P-15078-00")</f>
        <v>P-15078-00</v>
      </c>
      <c r="K48" s="3" t="str">
        <f>IFERROR(__xludf.DUMMYFUNCTION("""COMPUTED_VALUE"""),"Approve")</f>
        <v>Approve</v>
      </c>
      <c r="L48" s="3" t="str">
        <f>IFERROR(__xludf.DUMMYFUNCTION("""COMPUTED_VALUE"""),"Normal")</f>
        <v>Normal</v>
      </c>
      <c r="M48" s="3" t="str">
        <f>IFERROR(__xludf.DUMMYFUNCTION("""COMPUTED_VALUE"""),"Non Urgent")</f>
        <v>Non Urgent</v>
      </c>
      <c r="N48" s="3">
        <f>IFERROR(__xludf.DUMMYFUNCTION("""COMPUTED_VALUE"""),45723.65193114583)</f>
        <v>45723.65193</v>
      </c>
    </row>
    <row r="49">
      <c r="A49" s="4">
        <f>IFERROR(__xludf.DUMMYFUNCTION("""COMPUTED_VALUE"""),45712.503166400464)</f>
        <v>45712.50317</v>
      </c>
      <c r="B49" s="3" t="str">
        <f>IFERROR(__xludf.DUMMYFUNCTION("""COMPUTED_VALUE"""),"SHFRO0003")</f>
        <v>SHFRO0003</v>
      </c>
      <c r="C49" s="3" t="str">
        <f>IFERROR(__xludf.DUMMYFUNCTION("""COMPUTED_VALUE"""),"EJO")</f>
        <v>EJO</v>
      </c>
      <c r="D49" s="3" t="str">
        <f>IFERROR(__xludf.DUMMYFUNCTION("""COMPUTED_VALUE"""),"EJO/2024/12/158")</f>
        <v>EJO/2024/12/158</v>
      </c>
      <c r="E49" s="3" t="str">
        <f>IFERROR(__xludf.DUMMYFUNCTION("""COMPUTED_VALUE"""),"Tank Hot Water OSD")</f>
        <v>Tank Hot Water OSD</v>
      </c>
      <c r="F49" s="3" t="str">
        <f>IFERROR(__xludf.DUMMYFUNCTION("""COMPUTED_VALUE"""),"Elbow PVC AW 45 deg dia 2 Inch; ; ;")</f>
        <v>Elbow PVC AW 45 deg dia 2 Inch; ; ;</v>
      </c>
      <c r="G49" s="3">
        <f>IFERROR(__xludf.DUMMYFUNCTION("""COMPUTED_VALUE"""),4.0)</f>
        <v>4</v>
      </c>
      <c r="H49" s="3" t="str">
        <f>IFERROR(__xludf.DUMMYFUNCTION("""COMPUTED_VALUE"""),"Pc")</f>
        <v>Pc</v>
      </c>
      <c r="I49" s="3" t="str">
        <f>IFERROR(__xludf.DUMMYFUNCTION("""COMPUTED_VALUE"""),"-")</f>
        <v>-</v>
      </c>
      <c r="J49" s="3" t="str">
        <f>IFERROR(__xludf.DUMMYFUNCTION("""COMPUTED_VALUE"""),"P-18277-00")</f>
        <v>P-18277-00</v>
      </c>
      <c r="K49" s="3" t="str">
        <f>IFERROR(__xludf.DUMMYFUNCTION("""COMPUTED_VALUE"""),"Approve")</f>
        <v>Approve</v>
      </c>
      <c r="L49" s="3" t="str">
        <f>IFERROR(__xludf.DUMMYFUNCTION("""COMPUTED_VALUE"""),"Normal")</f>
        <v>Normal</v>
      </c>
      <c r="M49" s="3" t="str">
        <f>IFERROR(__xludf.DUMMYFUNCTION("""COMPUTED_VALUE"""),"Non Urgent")</f>
        <v>Non Urgent</v>
      </c>
      <c r="N49" s="3">
        <f>IFERROR(__xludf.DUMMYFUNCTION("""COMPUTED_VALUE"""),45723.651759155095)</f>
        <v>45723.65176</v>
      </c>
    </row>
    <row r="50">
      <c r="A50" s="4">
        <f>IFERROR(__xludf.DUMMYFUNCTION("""COMPUTED_VALUE"""),45712.50946371528)</f>
        <v>45712.50946</v>
      </c>
      <c r="B50" s="3" t="str">
        <f>IFERROR(__xludf.DUMMYFUNCTION("""COMPUTED_VALUE"""),"RIARO0016")</f>
        <v>RIARO0016</v>
      </c>
      <c r="C50" s="3" t="str">
        <f>IFERROR(__xludf.DUMMYFUNCTION("""COMPUTED_VALUE"""),"Consumable")</f>
        <v>Consumable</v>
      </c>
      <c r="D50" s="3" t="str">
        <f>IFERROR(__xludf.DUMMYFUNCTION("""COMPUTED_VALUE"""),"-")</f>
        <v>-</v>
      </c>
      <c r="E50" s="3" t="str">
        <f>IFERROR(__xludf.DUMMYFUNCTION("""COMPUTED_VALUE"""),"TOC WFI SKID")</f>
        <v>TOC WFI SKID</v>
      </c>
      <c r="F50" s="3" t="str">
        <f>IFERROR(__xludf.DUMMYFUNCTION("""COMPUTED_VALUE"""),"Sample Pump Head for TOC Sievers M500; ; ;")</f>
        <v>Sample Pump Head for TOC Sievers M500; ; ;</v>
      </c>
      <c r="G50" s="3">
        <f>IFERROR(__xludf.DUMMYFUNCTION("""COMPUTED_VALUE"""),1.0)</f>
        <v>1</v>
      </c>
      <c r="H50" s="3" t="str">
        <f>IFERROR(__xludf.DUMMYFUNCTION("""COMPUTED_VALUE"""),"Set")</f>
        <v>Set</v>
      </c>
      <c r="I50" s="3" t="str">
        <f>IFERROR(__xludf.DUMMYFUNCTION("""COMPUTED_VALUE"""),"Tahunan butuh 1, stok punya kita sudah habis dipakai ganti kemarin")</f>
        <v>Tahunan butuh 1, stok punya kita sudah habis dipakai ganti kemarin</v>
      </c>
      <c r="J50" s="3" t="str">
        <f>IFERROR(__xludf.DUMMYFUNCTION("""COMPUTED_VALUE"""),"P-18447-00")</f>
        <v>P-18447-00</v>
      </c>
      <c r="K50" s="3" t="str">
        <f>IFERROR(__xludf.DUMMYFUNCTION("""COMPUTED_VALUE"""),"Approve")</f>
        <v>Approve</v>
      </c>
      <c r="L50" s="3" t="str">
        <f>IFERROR(__xludf.DUMMYFUNCTION("""COMPUTED_VALUE"""),"Normal")</f>
        <v>Normal</v>
      </c>
      <c r="M50" s="3" t="str">
        <f>IFERROR(__xludf.DUMMYFUNCTION("""COMPUTED_VALUE"""),"Non Urgent")</f>
        <v>Non Urgent</v>
      </c>
      <c r="N50" s="3">
        <f>IFERROR(__xludf.DUMMYFUNCTION("""COMPUTED_VALUE"""),45713.7385360301)</f>
        <v>45713.73854</v>
      </c>
    </row>
    <row r="51">
      <c r="A51" s="4">
        <f>IFERROR(__xludf.DUMMYFUNCTION("""COMPUTED_VALUE"""),45712.50997244213)</f>
        <v>45712.50997</v>
      </c>
      <c r="B51" s="3" t="str">
        <f>IFERROR(__xludf.DUMMYFUNCTION("""COMPUTED_VALUE"""),"RIARO0017")</f>
        <v>RIARO0017</v>
      </c>
      <c r="C51" s="3" t="str">
        <f>IFERROR(__xludf.DUMMYFUNCTION("""COMPUTED_VALUE"""),"Consumable")</f>
        <v>Consumable</v>
      </c>
      <c r="D51" s="3" t="str">
        <f>IFERROR(__xludf.DUMMYFUNCTION("""COMPUTED_VALUE"""),"-")</f>
        <v>-</v>
      </c>
      <c r="E51" s="3" t="str">
        <f>IFERROR(__xludf.DUMMYFUNCTION("""COMPUTED_VALUE"""),"TOC WFI SKID")</f>
        <v>TOC WFI SKID</v>
      </c>
      <c r="F51" s="3" t="str">
        <f>IFERROR(__xludf.DUMMYFUNCTION("""COMPUTED_VALUE"""),"UV lamp for TOC Sievers M500; TOC Sievers; ; pack size per pc")</f>
        <v>UV lamp for TOC Sievers M500; TOC Sievers; ; pack size per pc</v>
      </c>
      <c r="G51" s="3">
        <f>IFERROR(__xludf.DUMMYFUNCTION("""COMPUTED_VALUE"""),2.0)</f>
        <v>2</v>
      </c>
      <c r="H51" s="3" t="str">
        <f>IFERROR(__xludf.DUMMYFUNCTION("""COMPUTED_VALUE"""),"Pcs")</f>
        <v>Pcs</v>
      </c>
      <c r="I51" s="3" t="str">
        <f>IFERROR(__xludf.DUMMYFUNCTION("""COMPUTED_VALUE"""),"Beliin lagi karena bulan juli mau diganti lagi, kebutuhan 1 tahun 2 pcs")</f>
        <v>Beliin lagi karena bulan juli mau diganti lagi, kebutuhan 1 tahun 2 pcs</v>
      </c>
      <c r="J51" s="3" t="str">
        <f>IFERROR(__xludf.DUMMYFUNCTION("""COMPUTED_VALUE"""),"P-54181-00")</f>
        <v>P-54181-00</v>
      </c>
      <c r="K51" s="3" t="str">
        <f>IFERROR(__xludf.DUMMYFUNCTION("""COMPUTED_VALUE"""),"Approve")</f>
        <v>Approve</v>
      </c>
      <c r="L51" s="3" t="str">
        <f>IFERROR(__xludf.DUMMYFUNCTION("""COMPUTED_VALUE"""),"Normal")</f>
        <v>Normal</v>
      </c>
      <c r="M51" s="3" t="str">
        <f>IFERROR(__xludf.DUMMYFUNCTION("""COMPUTED_VALUE"""),"Non Urgent")</f>
        <v>Non Urgent</v>
      </c>
      <c r="N51" s="3">
        <f>IFERROR(__xludf.DUMMYFUNCTION("""COMPUTED_VALUE"""),45713.738795150464)</f>
        <v>45713.7388</v>
      </c>
    </row>
    <row r="52">
      <c r="A52" s="4">
        <f>IFERROR(__xludf.DUMMYFUNCTION("""COMPUTED_VALUE"""),45712.510523680554)</f>
        <v>45712.51052</v>
      </c>
      <c r="B52" s="3" t="str">
        <f>IFERROR(__xludf.DUMMYFUNCTION("""COMPUTED_VALUE"""),"RIARO0018")</f>
        <v>RIARO0018</v>
      </c>
      <c r="C52" s="3" t="str">
        <f>IFERROR(__xludf.DUMMYFUNCTION("""COMPUTED_VALUE"""),"Consumable")</f>
        <v>Consumable</v>
      </c>
      <c r="D52" s="3" t="str">
        <f>IFERROR(__xludf.DUMMYFUNCTION("""COMPUTED_VALUE"""),"-")</f>
        <v>-</v>
      </c>
      <c r="E52" s="3" t="str">
        <f>IFERROR(__xludf.DUMMYFUNCTION("""COMPUTED_VALUE"""),"TOC WFI SKID")</f>
        <v>TOC WFI SKID</v>
      </c>
      <c r="F52" s="3" t="str">
        <f>IFERROR(__xludf.DUMMYFUNCTION("""COMPUTED_VALUE"""),"Resin Bed Replacement for TOC Sievers M500; ; ;")</f>
        <v>Resin Bed Replacement for TOC Sievers M500; ; ;</v>
      </c>
      <c r="G52" s="3">
        <f>IFERROR(__xludf.DUMMYFUNCTION("""COMPUTED_VALUE"""),1.0)</f>
        <v>1</v>
      </c>
      <c r="H52" s="3" t="str">
        <f>IFERROR(__xludf.DUMMYFUNCTION("""COMPUTED_VALUE"""),"Pcs")</f>
        <v>Pcs</v>
      </c>
      <c r="I52" s="3" t="str">
        <f>IFERROR(__xludf.DUMMYFUNCTION("""COMPUTED_VALUE"""),"Stock kita kosong, penggantian masih awal tahun 2026, lebih baik di kasih stock karena pernah kejadian resinnya alarm ")</f>
        <v>Stock kita kosong, penggantian masih awal tahun 2026, lebih baik di kasih stock karena pernah kejadian resinnya alarm </v>
      </c>
      <c r="J52" s="3" t="str">
        <f>IFERROR(__xludf.DUMMYFUNCTION("""COMPUTED_VALUE"""),"P-18448-00")</f>
        <v>P-18448-00</v>
      </c>
      <c r="K52" s="3" t="str">
        <f>IFERROR(__xludf.DUMMYFUNCTION("""COMPUTED_VALUE"""),"Approve")</f>
        <v>Approve</v>
      </c>
      <c r="L52" s="3" t="str">
        <f>IFERROR(__xludf.DUMMYFUNCTION("""COMPUTED_VALUE"""),"Normal")</f>
        <v>Normal</v>
      </c>
      <c r="M52" s="3" t="str">
        <f>IFERROR(__xludf.DUMMYFUNCTION("""COMPUTED_VALUE"""),"Non Urgent")</f>
        <v>Non Urgent</v>
      </c>
      <c r="N52" s="3">
        <f>IFERROR(__xludf.DUMMYFUNCTION("""COMPUTED_VALUE"""),45713.73900954861)</f>
        <v>45713.73901</v>
      </c>
    </row>
    <row r="53">
      <c r="A53" s="4">
        <f>IFERROR(__xludf.DUMMYFUNCTION("""COMPUTED_VALUE"""),45712.51167266203)</f>
        <v>45712.51167</v>
      </c>
      <c r="B53" s="3" t="str">
        <f>IFERROR(__xludf.DUMMYFUNCTION("""COMPUTED_VALUE"""),"RIARO0019")</f>
        <v>RIARO0019</v>
      </c>
      <c r="C53" s="3" t="str">
        <f>IFERROR(__xludf.DUMMYFUNCTION("""COMPUTED_VALUE"""),"EJO")</f>
        <v>EJO</v>
      </c>
      <c r="D53" s="3" t="str">
        <f>IFERROR(__xludf.DUMMYFUNCTION("""COMPUTED_VALUE"""),"EJO/2024/11/89")</f>
        <v>EJO/2024/11/89</v>
      </c>
      <c r="E53" s="3" t="str">
        <f>IFERROR(__xludf.DUMMYFUNCTION("""COMPUTED_VALUE"""),"UPS 40KVA")</f>
        <v>UPS 40KVA</v>
      </c>
      <c r="F53" s="3" t="str">
        <f>IFERROR(__xludf.DUMMYFUNCTION("""COMPUTED_VALUE"""),"General - Accu 6FM40, Baterai Kering, 12 V, 40 Ah; Vision; -; 1 pcs")</f>
        <v>General - Accu 6FM40, Baterai Kering, 12 V, 40 Ah; Vision; -; 1 pcs</v>
      </c>
      <c r="G53" s="3">
        <f>IFERROR(__xludf.DUMMYFUNCTION("""COMPUTED_VALUE"""),32.0)</f>
        <v>32</v>
      </c>
      <c r="H53" s="3" t="str">
        <f>IFERROR(__xludf.DUMMYFUNCTION("""COMPUTED_VALUE"""),"Pcs")</f>
        <v>Pcs</v>
      </c>
      <c r="I53" s="3" t="str">
        <f>IFERROR(__xludf.DUMMYFUNCTION("""COMPUTED_VALUE"""),"Beliin buat ganti dan spare karena tidak punya spare")</f>
        <v>Beliin buat ganti dan spare karena tidak punya spare</v>
      </c>
      <c r="J53" s="3" t="str">
        <f>IFERROR(__xludf.DUMMYFUNCTION("""COMPUTED_VALUE"""),"P-52119-00")</f>
        <v>P-52119-00</v>
      </c>
      <c r="K53" s="3" t="str">
        <f>IFERROR(__xludf.DUMMYFUNCTION("""COMPUTED_VALUE"""),"Approve")</f>
        <v>Approve</v>
      </c>
      <c r="L53" s="3" t="str">
        <f>IFERROR(__xludf.DUMMYFUNCTION("""COMPUTED_VALUE"""),"Normal")</f>
        <v>Normal</v>
      </c>
      <c r="M53" s="3" t="str">
        <f>IFERROR(__xludf.DUMMYFUNCTION("""COMPUTED_VALUE"""),"Non Urgent")</f>
        <v>Non Urgent</v>
      </c>
      <c r="N53" s="3">
        <f>IFERROR(__xludf.DUMMYFUNCTION("""COMPUTED_VALUE"""),45713.73983664352)</f>
        <v>45713.73984</v>
      </c>
    </row>
    <row r="54">
      <c r="A54" s="4">
        <f>IFERROR(__xludf.DUMMYFUNCTION("""COMPUTED_VALUE"""),45712.512104594905)</f>
        <v>45712.5121</v>
      </c>
      <c r="B54" s="3" t="str">
        <f>IFERROR(__xludf.DUMMYFUNCTION("""COMPUTED_VALUE"""),"RIARO0020")</f>
        <v>RIARO0020</v>
      </c>
      <c r="C54" s="3" t="str">
        <f>IFERROR(__xludf.DUMMYFUNCTION("""COMPUTED_VALUE"""),"EJO")</f>
        <v>EJO</v>
      </c>
      <c r="D54" s="3" t="str">
        <f>IFERROR(__xludf.DUMMYFUNCTION("""COMPUTED_VALUE"""),"EJO/2024/11/89")</f>
        <v>EJO/2024/11/89</v>
      </c>
      <c r="E54" s="3" t="str">
        <f>IFERROR(__xludf.DUMMYFUNCTION("""COMPUTED_VALUE"""),"UPS 40KVA")</f>
        <v>UPS 40KVA</v>
      </c>
      <c r="F54" s="3" t="str">
        <f>IFERROR(__xludf.DUMMYFUNCTION("""COMPUTED_VALUE"""),"Capacitor 50F 250VAC 25A 5% Screw (KMT) P/N : 6R 01502010; ; ;")</f>
        <v>Capacitor 50F 250VAC 25A 5% Screw (KMT) P/N : 6R 01502010; ; ;</v>
      </c>
      <c r="G54" s="3">
        <f>IFERROR(__xludf.DUMMYFUNCTION("""COMPUTED_VALUE"""),10.0)</f>
        <v>10</v>
      </c>
      <c r="H54" s="3" t="str">
        <f>IFERROR(__xludf.DUMMYFUNCTION("""COMPUTED_VALUE"""),"Pcs")</f>
        <v>Pcs</v>
      </c>
      <c r="I54" s="3" t="str">
        <f>IFERROR(__xludf.DUMMYFUNCTION("""COMPUTED_VALUE"""),"Buat ganti kapasitor yang rusak, itu harusnya 50 uf speknya, item codenya 50 f. ")</f>
        <v>Buat ganti kapasitor yang rusak, itu harusnya 50 uf speknya, item codenya 50 f. </v>
      </c>
      <c r="J54" s="3" t="str">
        <f>IFERROR(__xludf.DUMMYFUNCTION("""COMPUTED_VALUE"""),"P-52278-00")</f>
        <v>P-52278-00</v>
      </c>
      <c r="K54" s="3" t="str">
        <f>IFERROR(__xludf.DUMMYFUNCTION("""COMPUTED_VALUE"""),"Approve")</f>
        <v>Approve</v>
      </c>
      <c r="L54" s="3" t="str">
        <f>IFERROR(__xludf.DUMMYFUNCTION("""COMPUTED_VALUE"""),"Normal")</f>
        <v>Normal</v>
      </c>
      <c r="M54" s="3" t="str">
        <f>IFERROR(__xludf.DUMMYFUNCTION("""COMPUTED_VALUE"""),"Non Urgent")</f>
        <v>Non Urgent</v>
      </c>
      <c r="N54" s="3">
        <f>IFERROR(__xludf.DUMMYFUNCTION("""COMPUTED_VALUE"""),45713.7402378588)</f>
        <v>45713.74024</v>
      </c>
    </row>
    <row r="55">
      <c r="A55" s="4">
        <f>IFERROR(__xludf.DUMMYFUNCTION("""COMPUTED_VALUE"""),45712.56990068287)</f>
        <v>45712.5699</v>
      </c>
      <c r="B55" s="3" t="str">
        <f>IFERROR(__xludf.DUMMYFUNCTION("""COMPUTED_VALUE"""),"ANORO0004")</f>
        <v>ANORO0004</v>
      </c>
      <c r="C55" s="3" t="str">
        <f>IFERROR(__xludf.DUMMYFUNCTION("""COMPUTED_VALUE"""),"EJO")</f>
        <v>EJO</v>
      </c>
      <c r="D55" s="3" t="str">
        <f>IFERROR(__xludf.DUMMYFUNCTION("""COMPUTED_VALUE"""),"EJO/2025/02/170")</f>
        <v>EJO/2025/02/170</v>
      </c>
      <c r="E55" s="3" t="str">
        <f>IFERROR(__xludf.DUMMYFUNCTION("""COMPUTED_VALUE"""),"Autoclave Decontam")</f>
        <v>Autoclave Decontam</v>
      </c>
      <c r="F55" s="3" t="str">
        <f>IFERROR(__xludf.DUMMYFUNCTION("""COMPUTED_VALUE"""),"Ball Valve SS 316 1/2"" 1000 WOG SANKYO")</f>
        <v>Ball Valve SS 316 1/2" 1000 WOG SANKYO</v>
      </c>
      <c r="G55" s="3">
        <f>IFERROR(__xludf.DUMMYFUNCTION("""COMPUTED_VALUE"""),3.0)</f>
        <v>3</v>
      </c>
      <c r="H55" s="3" t="str">
        <f>IFERROR(__xludf.DUMMYFUNCTION("""COMPUTED_VALUE"""),"pcs")</f>
        <v>pcs</v>
      </c>
      <c r="I55" s="3" t="str">
        <f>IFERROR(__xludf.DUMMYFUNCTION("""COMPUTED_VALUE"""),"untuk stock dan untuk ganti di autoclave Decontam (Minta yang merk KITZ ya dil)")</f>
        <v>untuk stock dan untuk ganti di autoclave Decontam (Minta yang merk KITZ ya dil)</v>
      </c>
      <c r="J55" s="3" t="str">
        <f>IFERROR(__xludf.DUMMYFUNCTION("""COMPUTED_VALUE"""),"P-10398-00")</f>
        <v>P-10398-00</v>
      </c>
      <c r="K55" s="3" t="str">
        <f>IFERROR(__xludf.DUMMYFUNCTION("""COMPUTED_VALUE"""),"Approve")</f>
        <v>Approve</v>
      </c>
      <c r="L55" s="3" t="str">
        <f>IFERROR(__xludf.DUMMYFUNCTION("""COMPUTED_VALUE"""),"Normal")</f>
        <v>Normal</v>
      </c>
      <c r="M55" s="3" t="str">
        <f>IFERROR(__xludf.DUMMYFUNCTION("""COMPUTED_VALUE"""),"Non Urgent")</f>
        <v>Non Urgent</v>
      </c>
      <c r="N55" s="3">
        <f>IFERROR(__xludf.DUMMYFUNCTION("""COMPUTED_VALUE"""),45712.99018756945)</f>
        <v>45712.99019</v>
      </c>
    </row>
    <row r="56">
      <c r="A56" s="4">
        <f>IFERROR(__xludf.DUMMYFUNCTION("""COMPUTED_VALUE"""),45713.40445349537)</f>
        <v>45713.40445</v>
      </c>
      <c r="B56" s="3" t="str">
        <f>IFERROR(__xludf.DUMMYFUNCTION("""COMPUTED_VALUE"""),"SHFRO0004")</f>
        <v>SHFRO0004</v>
      </c>
      <c r="C56" s="3" t="str">
        <f>IFERROR(__xludf.DUMMYFUNCTION("""COMPUTED_VALUE"""),"EJO")</f>
        <v>EJO</v>
      </c>
      <c r="D56" s="3" t="str">
        <f>IFERROR(__xludf.DUMMYFUNCTION("""COMPUTED_VALUE"""),"EJO/2024/12/158")</f>
        <v>EJO/2024/12/158</v>
      </c>
      <c r="E56" s="3" t="str">
        <f>IFERROR(__xludf.DUMMYFUNCTION("""COMPUTED_VALUE"""),"Tank Hot Water OSD")</f>
        <v>Tank Hot Water OSD</v>
      </c>
      <c r="F56" s="3" t="str">
        <f>IFERROR(__xludf.DUMMYFUNCTION("""COMPUTED_VALUE"""),"Ball Valve PVC 2""")</f>
        <v>Ball Valve PVC 2"</v>
      </c>
      <c r="G56" s="3">
        <f>IFERROR(__xludf.DUMMYFUNCTION("""COMPUTED_VALUE"""),2.0)</f>
        <v>2</v>
      </c>
      <c r="H56" s="3" t="str">
        <f>IFERROR(__xludf.DUMMYFUNCTION("""COMPUTED_VALUE"""),"Pcs")</f>
        <v>Pcs</v>
      </c>
      <c r="I56" s="3" t="str">
        <f>IFERROR(__xludf.DUMMYFUNCTION("""COMPUTED_VALUE"""),"-")</f>
        <v>-</v>
      </c>
      <c r="J56" s="3" t="str">
        <f>IFERROR(__xludf.DUMMYFUNCTION("""COMPUTED_VALUE"""),"P-10391-00")</f>
        <v>P-10391-00</v>
      </c>
      <c r="K56" s="3" t="str">
        <f>IFERROR(__xludf.DUMMYFUNCTION("""COMPUTED_VALUE"""),"Approve")</f>
        <v>Approve</v>
      </c>
      <c r="L56" s="3" t="str">
        <f>IFERROR(__xludf.DUMMYFUNCTION("""COMPUTED_VALUE"""),"Normal")</f>
        <v>Normal</v>
      </c>
      <c r="M56" s="3" t="str">
        <f>IFERROR(__xludf.DUMMYFUNCTION("""COMPUTED_VALUE"""),"Non Urgent")</f>
        <v>Non Urgent</v>
      </c>
      <c r="N56" s="3">
        <f>IFERROR(__xludf.DUMMYFUNCTION("""COMPUTED_VALUE"""),45723.649419375)</f>
        <v>45723.64942</v>
      </c>
    </row>
    <row r="57">
      <c r="A57" s="4">
        <f>IFERROR(__xludf.DUMMYFUNCTION("""COMPUTED_VALUE"""),45720.86735175926)</f>
        <v>45720.86735</v>
      </c>
      <c r="B57" s="3" t="str">
        <f>IFERROR(__xludf.DUMMYFUNCTION("""COMPUTED_VALUE"""),"RIARO0022")</f>
        <v>RIARO0022</v>
      </c>
      <c r="C57" s="3" t="str">
        <f>IFERROR(__xludf.DUMMYFUNCTION("""COMPUTED_VALUE"""),"MIn Stok")</f>
        <v>MIn Stok</v>
      </c>
      <c r="D57" s="3" t="str">
        <f>IFERROR(__xludf.DUMMYFUNCTION("""COMPUTED_VALUE"""),"-")</f>
        <v>-</v>
      </c>
      <c r="E57" s="3" t="str">
        <f>IFERROR(__xludf.DUMMYFUNCTION("""COMPUTED_VALUE"""),"PW SKID")</f>
        <v>PW SKID</v>
      </c>
      <c r="F57" s="3" t="str">
        <f>IFERROR(__xludf.DUMMYFUNCTION("""COMPUTED_VALUE"""),"Membrane Diaphragm Valve EPDM PTFE DN 25 Gemu KRISNA DWI MITRA P/N : 600 25M 17 pc")</f>
        <v>Membrane Diaphragm Valve EPDM PTFE DN 25 Gemu KRISNA DWI MITRA P/N : 600 25M 17 pc</v>
      </c>
      <c r="G57" s="3">
        <f>IFERROR(__xludf.DUMMYFUNCTION("""COMPUTED_VALUE"""),5.0)</f>
        <v>5</v>
      </c>
      <c r="H57" s="3" t="str">
        <f>IFERROR(__xludf.DUMMYFUNCTION("""COMPUTED_VALUE"""),"Pcs")</f>
        <v>Pcs</v>
      </c>
      <c r="I57" s="3" t="str">
        <f>IFERROR(__xludf.DUMMYFUNCTION("""COMPUTED_VALUE"""),"Sisa untuk ganti Pou tinggal 1 pcs")</f>
        <v>Sisa untuk ganti Pou tinggal 1 pcs</v>
      </c>
      <c r="J57" s="3" t="str">
        <f>IFERROR(__xludf.DUMMYFUNCTION("""COMPUTED_VALUE"""),"O-16715-00")</f>
        <v>O-16715-00</v>
      </c>
      <c r="K57" s="3" t="str">
        <f>IFERROR(__xludf.DUMMYFUNCTION("""COMPUTED_VALUE"""),"Approve")</f>
        <v>Approve</v>
      </c>
      <c r="L57" s="3" t="str">
        <f>IFERROR(__xludf.DUMMYFUNCTION("""COMPUTED_VALUE"""),"Normal")</f>
        <v>Normal</v>
      </c>
      <c r="M57" s="3" t="str">
        <f>IFERROR(__xludf.DUMMYFUNCTION("""COMPUTED_VALUE"""),"Non Urgent")</f>
        <v>Non Urgent</v>
      </c>
      <c r="N57" s="3">
        <f>IFERROR(__xludf.DUMMYFUNCTION("""COMPUTED_VALUE"""),45723.653454363426)</f>
        <v>45723.65345</v>
      </c>
    </row>
    <row r="58">
      <c r="A58" s="4">
        <f>IFERROR(__xludf.DUMMYFUNCTION("""COMPUTED_VALUE"""),45720.871782905095)</f>
        <v>45720.87178</v>
      </c>
      <c r="B58" s="3" t="str">
        <f>IFERROR(__xludf.DUMMYFUNCTION("""COMPUTED_VALUE"""),"RIARO0023")</f>
        <v>RIARO0023</v>
      </c>
      <c r="C58" s="3" t="str">
        <f>IFERROR(__xludf.DUMMYFUNCTION("""COMPUTED_VALUE"""),"MIn Stok")</f>
        <v>MIn Stok</v>
      </c>
      <c r="D58" s="3" t="str">
        <f>IFERROR(__xludf.DUMMYFUNCTION("""COMPUTED_VALUE"""),"-")</f>
        <v>-</v>
      </c>
      <c r="E58" s="3" t="str">
        <f>IFERROR(__xludf.DUMMYFUNCTION("""COMPUTED_VALUE"""),"PW SKID")</f>
        <v>PW SKID</v>
      </c>
      <c r="F58" s="3" t="str">
        <f>IFERROR(__xludf.DUMMYFUNCTION("""COMPUTED_VALUE"""),"Membrane Valve PTFE/EPDM DN15 type 612 GEMU; ; ;")</f>
        <v>Membrane Valve PTFE/EPDM DN15 type 612 GEMU; ; ;</v>
      </c>
      <c r="G58" s="3">
        <f>IFERROR(__xludf.DUMMYFUNCTION("""COMPUTED_VALUE"""),5.0)</f>
        <v>5</v>
      </c>
      <c r="H58" s="3" t="str">
        <f>IFERROR(__xludf.DUMMYFUNCTION("""COMPUTED_VALUE"""),"Pcs")</f>
        <v>Pcs</v>
      </c>
      <c r="I58" s="3" t="str">
        <f>IFERROR(__xludf.DUMMYFUNCTION("""COMPUTED_VALUE"""),"Ganti PoU kurang 2 pcs namun buat spare sisanya, di item code plastik existing P-19304-00 tak cari belum nemu yang pas, adanya ini, kodenya MG10")</f>
        <v>Ganti PoU kurang 2 pcs namun buat spare sisanya, di item code plastik existing P-19304-00 tak cari belum nemu yang pas, adanya ini, kodenya MG10</v>
      </c>
      <c r="J58" s="3" t="str">
        <f>IFERROR(__xludf.DUMMYFUNCTION("""COMPUTED_VALUE"""),"O-18388-00")</f>
        <v>O-18388-00</v>
      </c>
      <c r="K58" s="3" t="str">
        <f>IFERROR(__xludf.DUMMYFUNCTION("""COMPUTED_VALUE"""),"Approve")</f>
        <v>Approve</v>
      </c>
      <c r="L58" s="3" t="str">
        <f>IFERROR(__xludf.DUMMYFUNCTION("""COMPUTED_VALUE"""),"Normal")</f>
        <v>Normal</v>
      </c>
      <c r="M58" s="3" t="str">
        <f>IFERROR(__xludf.DUMMYFUNCTION("""COMPUTED_VALUE"""),"Non Urgent")</f>
        <v>Non Urgent</v>
      </c>
      <c r="N58" s="3">
        <f>IFERROR(__xludf.DUMMYFUNCTION("""COMPUTED_VALUE"""),45723.653291608796)</f>
        <v>45723.65329</v>
      </c>
    </row>
    <row r="59">
      <c r="A59" s="4">
        <f>IFERROR(__xludf.DUMMYFUNCTION("""COMPUTED_VALUE"""),45720.9661524074)</f>
        <v>45720.96615</v>
      </c>
      <c r="B59" s="3" t="str">
        <f>IFERROR(__xludf.DUMMYFUNCTION("""COMPUTED_VALUE"""),"RIARO0024")</f>
        <v>RIARO0024</v>
      </c>
      <c r="C59" s="3" t="str">
        <f>IFERROR(__xludf.DUMMYFUNCTION("""COMPUTED_VALUE"""),"EJO")</f>
        <v>EJO</v>
      </c>
      <c r="D59" s="3" t="str">
        <f>IFERROR(__xludf.DUMMYFUNCTION("""COMPUTED_VALUE"""),"EJO/2025/03/01")</f>
        <v>EJO/2025/03/01</v>
      </c>
      <c r="E59" s="3" t="str">
        <f>IFERROR(__xludf.DUMMYFUNCTION("""COMPUTED_VALUE"""),"Wet Lab")</f>
        <v>Wet Lab</v>
      </c>
      <c r="F59" s="3" t="str">
        <f>IFERROR(__xludf.DUMMYFUNCTION("""COMPUTED_VALUE"""),"General - Ceiling Exhaust Fan; KDK; FV-25TGU5; 1 Pc")</f>
        <v>General - Ceiling Exhaust Fan; KDK; FV-25TGU5; 1 Pc</v>
      </c>
      <c r="G59" s="3">
        <f>IFERROR(__xludf.DUMMYFUNCTION("""COMPUTED_VALUE"""),1.0)</f>
        <v>1</v>
      </c>
      <c r="H59" s="3" t="str">
        <f>IFERROR(__xludf.DUMMYFUNCTION("""COMPUTED_VALUE"""),"Pcs")</f>
        <v>Pcs</v>
      </c>
      <c r="I59" s="3" t="str">
        <f>IFERROR(__xludf.DUMMYFUNCTION("""COMPUTED_VALUE"""),"Untuk ganti EF F3-31")</f>
        <v>Untuk ganti EF F3-31</v>
      </c>
      <c r="J59" s="3" t="str">
        <f>IFERROR(__xludf.DUMMYFUNCTION("""COMPUTED_VALUE"""),"P-52420-00")</f>
        <v>P-52420-00</v>
      </c>
      <c r="K59" s="3" t="str">
        <f>IFERROR(__xludf.DUMMYFUNCTION("""COMPUTED_VALUE"""),"Approve")</f>
        <v>Approve</v>
      </c>
      <c r="L59" s="3" t="str">
        <f>IFERROR(__xludf.DUMMYFUNCTION("""COMPUTED_VALUE"""),"Normal")</f>
        <v>Normal</v>
      </c>
      <c r="M59" s="3" t="str">
        <f>IFERROR(__xludf.DUMMYFUNCTION("""COMPUTED_VALUE"""),"Non Urgent")</f>
        <v>Non Urgent</v>
      </c>
      <c r="N59" s="3">
        <f>IFERROR(__xludf.DUMMYFUNCTION("""COMPUTED_VALUE"""),45723.65293586806)</f>
        <v>45723.65294</v>
      </c>
    </row>
    <row r="60">
      <c r="A60" s="4">
        <f>IFERROR(__xludf.DUMMYFUNCTION("""COMPUTED_VALUE"""),45723.63803334491)</f>
        <v>45723.63803</v>
      </c>
      <c r="B60" s="3" t="str">
        <f>IFERROR(__xludf.DUMMYFUNCTION("""COMPUTED_VALUE"""),"ROSRO0001")</f>
        <v>ROSRO0001</v>
      </c>
      <c r="C60" s="3" t="str">
        <f>IFERROR(__xludf.DUMMYFUNCTION("""COMPUTED_VALUE"""),"EJO")</f>
        <v>EJO</v>
      </c>
      <c r="D60" s="3" t="str">
        <f>IFERROR(__xludf.DUMMYFUNCTION("""COMPUTED_VALUE"""),"EJO/2023/02/60")</f>
        <v>EJO/2023/02/60</v>
      </c>
      <c r="E60" s="3" t="str">
        <f>IFERROR(__xludf.DUMMYFUNCTION("""COMPUTED_VALUE"""),"refigerator GEA")</f>
        <v>refigerator GEA</v>
      </c>
      <c r="F60" s="3" t="str">
        <f>IFERROR(__xludf.DUMMYFUNCTION("""COMPUTED_VALUE"""),"Cable Temperature Sensor Silicone 1,5m PT1000 QAP2012.150")</f>
        <v>Cable Temperature Sensor Silicone 1,5m PT1000 QAP2012.150</v>
      </c>
      <c r="G60" s="3">
        <f>IFERROR(__xludf.DUMMYFUNCTION("""COMPUTED_VALUE"""),4.0)</f>
        <v>4</v>
      </c>
      <c r="H60" s="3" t="str">
        <f>IFERROR(__xludf.DUMMYFUNCTION("""COMPUTED_VALUE"""),"pcs")</f>
        <v>pcs</v>
      </c>
      <c r="I60" s="3" t="str">
        <f>IFERROR(__xludf.DUMMYFUNCTION("""COMPUTED_VALUE"""),"-")</f>
        <v>-</v>
      </c>
      <c r="J60" s="3" t="str">
        <f>IFERROR(__xludf.DUMMYFUNCTION("""COMPUTED_VALUE"""),"O-53032-00")</f>
        <v>O-53032-00</v>
      </c>
      <c r="K60" s="3" t="str">
        <f>IFERROR(__xludf.DUMMYFUNCTION("""COMPUTED_VALUE"""),"Approve")</f>
        <v>Approve</v>
      </c>
      <c r="L60" s="3" t="str">
        <f>IFERROR(__xludf.DUMMYFUNCTION("""COMPUTED_VALUE"""),"Normal")</f>
        <v>Normal</v>
      </c>
      <c r="M60" s="3" t="str">
        <f>IFERROR(__xludf.DUMMYFUNCTION("""COMPUTED_VALUE"""),"Non Urgent")</f>
        <v>Non Urgent</v>
      </c>
      <c r="N60" s="3">
        <f>IFERROR(__xludf.DUMMYFUNCTION("""COMPUTED_VALUE"""),45729.47068056713)</f>
        <v>45729.47068</v>
      </c>
    </row>
    <row r="61">
      <c r="A61" s="4">
        <f>IFERROR(__xludf.DUMMYFUNCTION("""COMPUTED_VALUE"""),45727.048098761574)</f>
        <v>45727.0481</v>
      </c>
      <c r="B61" s="3" t="str">
        <f>IFERROR(__xludf.DUMMYFUNCTION("""COMPUTED_VALUE"""),"MOBRO0025")</f>
        <v>MOBRO0025</v>
      </c>
      <c r="C61" s="3" t="str">
        <f>IFERROR(__xludf.DUMMYFUNCTION("""COMPUTED_VALUE"""),"MIn Stok")</f>
        <v>MIn Stok</v>
      </c>
      <c r="D61" s="3" t="str">
        <f>IFERROR(__xludf.DUMMYFUNCTION("""COMPUTED_VALUE"""),"-")</f>
        <v>-</v>
      </c>
      <c r="E61" s="3" t="str">
        <f>IFERROR(__xludf.DUMMYFUNCTION("""COMPUTED_VALUE"""),"Plumbing")</f>
        <v>Plumbing</v>
      </c>
      <c r="F61" s="3" t="str">
        <f>IFERROR(__xludf.DUMMYFUNCTION("""COMPUTED_VALUE"""),"Pneumatic  Fitting - QS 1/2-10 / PN : 190646 / Festo")</f>
        <v>Pneumatic  Fitting - QS 1/2-10 / PN : 190646 / Festo</v>
      </c>
      <c r="G61" s="3">
        <f>IFERROR(__xludf.DUMMYFUNCTION("""COMPUTED_VALUE"""),8.0)</f>
        <v>8</v>
      </c>
      <c r="H61" s="3" t="str">
        <f>IFERROR(__xludf.DUMMYFUNCTION("""COMPUTED_VALUE"""),"Pcs")</f>
        <v>Pcs</v>
      </c>
      <c r="I61" s="3" t="str">
        <f>IFERROR(__xludf.DUMMYFUNCTION("""COMPUTED_VALUE"""),"Stok Habis")</f>
        <v>Stok Habis</v>
      </c>
      <c r="J61" s="3" t="str">
        <f>IFERROR(__xludf.DUMMYFUNCTION("""COMPUTED_VALUE"""),"P-11164-00")</f>
        <v>P-11164-00</v>
      </c>
      <c r="K61" s="3" t="str">
        <f>IFERROR(__xludf.DUMMYFUNCTION("""COMPUTED_VALUE"""),"Approve")</f>
        <v>Approve</v>
      </c>
      <c r="L61" s="3" t="str">
        <f>IFERROR(__xludf.DUMMYFUNCTION("""COMPUTED_VALUE"""),"Normal")</f>
        <v>Normal</v>
      </c>
      <c r="M61" s="3" t="str">
        <f>IFERROR(__xludf.DUMMYFUNCTION("""COMPUTED_VALUE"""),"Non Urgent")</f>
        <v>Non Urgent</v>
      </c>
      <c r="N61" s="3">
        <f>IFERROR(__xludf.DUMMYFUNCTION("""COMPUTED_VALUE"""),45727.726657534724)</f>
        <v>45727.72666</v>
      </c>
    </row>
    <row r="62">
      <c r="A62" s="4">
        <f>IFERROR(__xludf.DUMMYFUNCTION("""COMPUTED_VALUE"""),45729.89329858796)</f>
        <v>45729.8933</v>
      </c>
      <c r="B62" s="3" t="str">
        <f>IFERROR(__xludf.DUMMYFUNCTION("""COMPUTED_VALUE"""),"NDSRO0003")</f>
        <v>NDSRO0003</v>
      </c>
      <c r="C62" s="3" t="str">
        <f>IFERROR(__xludf.DUMMYFUNCTION("""COMPUTED_VALUE"""),"MIn Stok")</f>
        <v>MIn Stok</v>
      </c>
      <c r="D62" s="3" t="str">
        <f>IFERROR(__xludf.DUMMYFUNCTION("""COMPUTED_VALUE"""),"-")</f>
        <v>-</v>
      </c>
      <c r="E62" s="3" t="str">
        <f>IFERROR(__xludf.DUMMYFUNCTION("""COMPUTED_VALUE"""),"Tunnel")</f>
        <v>Tunnel</v>
      </c>
      <c r="F62" s="3" t="str">
        <f>IFERROR(__xludf.DUMMYFUNCTION("""COMPUTED_VALUE"""),"Selenoid Valve VSNC-FC-M52-MD-G14-F8-1B2; Festo; P/n: 577295;")</f>
        <v>Selenoid Valve VSNC-FC-M52-MD-G14-F8-1B2; Festo; P/n: 577295;</v>
      </c>
      <c r="G62" s="3">
        <f>IFERROR(__xludf.DUMMYFUNCTION("""COMPUTED_VALUE"""),2.0)</f>
        <v>2</v>
      </c>
      <c r="H62" s="3" t="str">
        <f>IFERROR(__xludf.DUMMYFUNCTION("""COMPUTED_VALUE"""),"Pcs")</f>
        <v>Pcs</v>
      </c>
      <c r="I62" s="3" t="str">
        <f>IFERROR(__xludf.DUMMYFUNCTION("""COMPUTED_VALUE"""),"-")</f>
        <v>-</v>
      </c>
      <c r="J62" s="3" t="str">
        <f>IFERROR(__xludf.DUMMYFUNCTION("""COMPUTED_VALUE"""),"O-52314-00")</f>
        <v>O-52314-00</v>
      </c>
      <c r="K62" s="3" t="str">
        <f>IFERROR(__xludf.DUMMYFUNCTION("""COMPUTED_VALUE"""),"Approve")</f>
        <v>Approve</v>
      </c>
      <c r="L62" s="3" t="str">
        <f>IFERROR(__xludf.DUMMYFUNCTION("""COMPUTED_VALUE"""),"Normal")</f>
        <v>Normal</v>
      </c>
      <c r="M62" s="3" t="str">
        <f>IFERROR(__xludf.DUMMYFUNCTION("""COMPUTED_VALUE"""),"Non Urgent")</f>
        <v>Non Urgent</v>
      </c>
      <c r="N62" s="3">
        <f>IFERROR(__xludf.DUMMYFUNCTION("""COMPUTED_VALUE"""),45736.68805202546)</f>
        <v>45736.68805</v>
      </c>
    </row>
    <row r="63">
      <c r="A63" s="4">
        <f>IFERROR(__xludf.DUMMYFUNCTION("""COMPUTED_VALUE"""),45729.97195557871)</f>
        <v>45729.97196</v>
      </c>
      <c r="B63" s="3" t="str">
        <f>IFERROR(__xludf.DUMMYFUNCTION("""COMPUTED_VALUE"""),"MOBRO0026")</f>
        <v>MOBRO0026</v>
      </c>
      <c r="C63" s="3" t="str">
        <f>IFERROR(__xludf.DUMMYFUNCTION("""COMPUTED_VALUE"""),"Consumable")</f>
        <v>Consumable</v>
      </c>
      <c r="D63" s="3" t="str">
        <f>IFERROR(__xludf.DUMMYFUNCTION("""COMPUTED_VALUE"""),"-")</f>
        <v>-</v>
      </c>
      <c r="E63" s="3" t="str">
        <f>IFERROR(__xludf.DUMMYFUNCTION("""COMPUTED_VALUE"""),"Pneumatic Fitting")</f>
        <v>Pneumatic Fitting</v>
      </c>
      <c r="F63" s="3" t="str">
        <f>IFERROR(__xludf.DUMMYFUNCTION("""COMPUTED_VALUE"""),"General - Push-in Connector, QS-8-6; Festo; 153038; 1 pcs")</f>
        <v>General - Push-in Connector, QS-8-6; Festo; 153038; 1 pcs</v>
      </c>
      <c r="G63" s="3">
        <f>IFERROR(__xludf.DUMMYFUNCTION("""COMPUTED_VALUE"""),8.0)</f>
        <v>8</v>
      </c>
      <c r="H63" s="3" t="str">
        <f>IFERROR(__xludf.DUMMYFUNCTION("""COMPUTED_VALUE"""),"Pcs")</f>
        <v>Pcs</v>
      </c>
      <c r="I63" s="3" t="str">
        <f>IFERROR(__xludf.DUMMYFUNCTION("""COMPUTED_VALUE"""),"Stok Habis")</f>
        <v>Stok Habis</v>
      </c>
      <c r="J63" s="3" t="str">
        <f>IFERROR(__xludf.DUMMYFUNCTION("""COMPUTED_VALUE"""),"P-11185-00")</f>
        <v>P-11185-00</v>
      </c>
      <c r="K63" s="3" t="str">
        <f>IFERROR(__xludf.DUMMYFUNCTION("""COMPUTED_VALUE"""),"Approve")</f>
        <v>Approve</v>
      </c>
      <c r="L63" s="3" t="str">
        <f>IFERROR(__xludf.DUMMYFUNCTION("""COMPUTED_VALUE"""),"Normal")</f>
        <v>Normal</v>
      </c>
      <c r="M63" s="3" t="str">
        <f>IFERROR(__xludf.DUMMYFUNCTION("""COMPUTED_VALUE"""),"Non Urgent")</f>
        <v>Non Urgent</v>
      </c>
      <c r="N63" s="3">
        <f>IFERROR(__xludf.DUMMYFUNCTION("""COMPUTED_VALUE"""),45735.372606053235)</f>
        <v>45735.37261</v>
      </c>
    </row>
    <row r="64">
      <c r="A64" s="4">
        <f>IFERROR(__xludf.DUMMYFUNCTION("""COMPUTED_VALUE"""),45729.9726683912)</f>
        <v>45729.97267</v>
      </c>
      <c r="B64" s="3" t="str">
        <f>IFERROR(__xludf.DUMMYFUNCTION("""COMPUTED_VALUE"""),"MOBRO0027")</f>
        <v>MOBRO0027</v>
      </c>
      <c r="C64" s="3" t="str">
        <f>IFERROR(__xludf.DUMMYFUNCTION("""COMPUTED_VALUE"""),"Consumable")</f>
        <v>Consumable</v>
      </c>
      <c r="D64" s="3" t="str">
        <f>IFERROR(__xludf.DUMMYFUNCTION("""COMPUTED_VALUE"""),"-")</f>
        <v>-</v>
      </c>
      <c r="E64" s="3" t="str">
        <f>IFERROR(__xludf.DUMMYFUNCTION("""COMPUTED_VALUE"""),"Pneumatic Fitting")</f>
        <v>Pneumatic Fitting</v>
      </c>
      <c r="F64" s="3" t="str">
        <f>IFERROR(__xludf.DUMMYFUNCTION("""COMPUTED_VALUE"""),"FESTO - QS-10-8 Push In Connector p/n 153039")</f>
        <v>FESTO - QS-10-8 Push In Connector p/n 153039</v>
      </c>
      <c r="G64" s="3">
        <f>IFERROR(__xludf.DUMMYFUNCTION("""COMPUTED_VALUE"""),8.0)</f>
        <v>8</v>
      </c>
      <c r="H64" s="3" t="str">
        <f>IFERROR(__xludf.DUMMYFUNCTION("""COMPUTED_VALUE"""),"Pcs")</f>
        <v>Pcs</v>
      </c>
      <c r="I64" s="3" t="str">
        <f>IFERROR(__xludf.DUMMYFUNCTION("""COMPUTED_VALUE"""),"Stok Habis")</f>
        <v>Stok Habis</v>
      </c>
      <c r="J64" s="3" t="str">
        <f>IFERROR(__xludf.DUMMYFUNCTION("""COMPUTED_VALUE"""),"P-12281-00")</f>
        <v>P-12281-00</v>
      </c>
      <c r="K64" s="3" t="str">
        <f>IFERROR(__xludf.DUMMYFUNCTION("""COMPUTED_VALUE"""),"Approve")</f>
        <v>Approve</v>
      </c>
      <c r="L64" s="3" t="str">
        <f>IFERROR(__xludf.DUMMYFUNCTION("""COMPUTED_VALUE"""),"Normal")</f>
        <v>Normal</v>
      </c>
      <c r="M64" s="3" t="str">
        <f>IFERROR(__xludf.DUMMYFUNCTION("""COMPUTED_VALUE"""),"Non Urgent")</f>
        <v>Non Urgent</v>
      </c>
      <c r="N64" s="3">
        <f>IFERROR(__xludf.DUMMYFUNCTION("""COMPUTED_VALUE"""),45735.3728446875)</f>
        <v>45735.37284</v>
      </c>
    </row>
    <row r="65">
      <c r="A65" s="4">
        <f>IFERROR(__xludf.DUMMYFUNCTION("""COMPUTED_VALUE"""),45729.97299439815)</f>
        <v>45729.97299</v>
      </c>
      <c r="B65" s="3" t="str">
        <f>IFERROR(__xludf.DUMMYFUNCTION("""COMPUTED_VALUE"""),"MOBRO0028")</f>
        <v>MOBRO0028</v>
      </c>
      <c r="C65" s="3" t="str">
        <f>IFERROR(__xludf.DUMMYFUNCTION("""COMPUTED_VALUE"""),"Consumable")</f>
        <v>Consumable</v>
      </c>
      <c r="D65" s="3" t="str">
        <f>IFERROR(__xludf.DUMMYFUNCTION("""COMPUTED_VALUE"""),"-")</f>
        <v>-</v>
      </c>
      <c r="E65" s="3" t="str">
        <f>IFERROR(__xludf.DUMMYFUNCTION("""COMPUTED_VALUE"""),"Pneumatic Fitting")</f>
        <v>Pneumatic Fitting</v>
      </c>
      <c r="F65" s="3" t="str">
        <f>IFERROR(__xludf.DUMMYFUNCTION("""COMPUTED_VALUE"""),"FESTO - QS-12-10 Push in Connector p/n: 153040")</f>
        <v>FESTO - QS-12-10 Push in Connector p/n: 153040</v>
      </c>
      <c r="G65" s="3">
        <f>IFERROR(__xludf.DUMMYFUNCTION("""COMPUTED_VALUE"""),8.0)</f>
        <v>8</v>
      </c>
      <c r="H65" s="3" t="str">
        <f>IFERROR(__xludf.DUMMYFUNCTION("""COMPUTED_VALUE"""),"Pcs")</f>
        <v>Pcs</v>
      </c>
      <c r="I65" s="3" t="str">
        <f>IFERROR(__xludf.DUMMYFUNCTION("""COMPUTED_VALUE"""),"Stok Habis")</f>
        <v>Stok Habis</v>
      </c>
      <c r="J65" s="3" t="str">
        <f>IFERROR(__xludf.DUMMYFUNCTION("""COMPUTED_VALUE"""),"P-12282-00")</f>
        <v>P-12282-00</v>
      </c>
      <c r="K65" s="3" t="str">
        <f>IFERROR(__xludf.DUMMYFUNCTION("""COMPUTED_VALUE"""),"Approve")</f>
        <v>Approve</v>
      </c>
      <c r="L65" s="3" t="str">
        <f>IFERROR(__xludf.DUMMYFUNCTION("""COMPUTED_VALUE"""),"Normal")</f>
        <v>Normal</v>
      </c>
      <c r="M65" s="3" t="str">
        <f>IFERROR(__xludf.DUMMYFUNCTION("""COMPUTED_VALUE"""),"Non Urgent")</f>
        <v>Non Urgent</v>
      </c>
      <c r="N65" s="3">
        <f>IFERROR(__xludf.DUMMYFUNCTION("""COMPUTED_VALUE"""),45735.3730405324)</f>
        <v>45735.37304</v>
      </c>
    </row>
    <row r="66">
      <c r="A66" s="4">
        <f>IFERROR(__xludf.DUMMYFUNCTION("""COMPUTED_VALUE"""),45734.94708142361)</f>
        <v>45734.94708</v>
      </c>
      <c r="B66" s="3" t="str">
        <f>IFERROR(__xludf.DUMMYFUNCTION("""COMPUTED_VALUE"""),"ROSRO0002")</f>
        <v>ROSRO0002</v>
      </c>
      <c r="C66" s="3" t="str">
        <f>IFERROR(__xludf.DUMMYFUNCTION("""COMPUTED_VALUE"""),"Consumable")</f>
        <v>Consumable</v>
      </c>
      <c r="D66" s="3" t="str">
        <f>IFERROR(__xludf.DUMMYFUNCTION("""COMPUTED_VALUE"""),"-")</f>
        <v>-</v>
      </c>
      <c r="E66" s="3" t="str">
        <f>IFERROR(__xludf.DUMMYFUNCTION("""COMPUTED_VALUE"""),"autoclave preparasi dan decontam")</f>
        <v>autoclave preparasi dan decontam</v>
      </c>
      <c r="F66" s="3" t="str">
        <f>IFERROR(__xludf.DUMMYFUNCTION("""COMPUTED_VALUE"""),"Fedegari FVA2/A1 - O-RING 15.47x3.53 ; Code : CC150170; ; ;")</f>
        <v>Fedegari FVA2/A1 - O-RING 15.47x3.53 ; Code : CC150170; ; ;</v>
      </c>
      <c r="G66" s="3">
        <f>IFERROR(__xludf.DUMMYFUNCTION("""COMPUTED_VALUE"""),20.0)</f>
        <v>20</v>
      </c>
      <c r="H66" s="3" t="str">
        <f>IFERROR(__xludf.DUMMYFUNCTION("""COMPUTED_VALUE"""),"pcs")</f>
        <v>pcs</v>
      </c>
      <c r="I66" s="3" t="str">
        <f>IFERROR(__xludf.DUMMYFUNCTION("""COMPUTED_VALUE"""),"oring gasket sensor water level autclave")</f>
        <v>oring gasket sensor water level autclave</v>
      </c>
      <c r="J66" s="3" t="str">
        <f>IFERROR(__xludf.DUMMYFUNCTION("""COMPUTED_VALUE"""),"O-15918-00")</f>
        <v>O-15918-00</v>
      </c>
      <c r="K66" s="3" t="str">
        <f>IFERROR(__xludf.DUMMYFUNCTION("""COMPUTED_VALUE"""),"Approve")</f>
        <v>Approve</v>
      </c>
      <c r="L66" s="3" t="str">
        <f>IFERROR(__xludf.DUMMYFUNCTION("""COMPUTED_VALUE"""),"Normal")</f>
        <v>Normal</v>
      </c>
      <c r="M66" s="3" t="str">
        <f>IFERROR(__xludf.DUMMYFUNCTION("""COMPUTED_VALUE"""),"Non Urgent")</f>
        <v>Non Urgent</v>
      </c>
      <c r="N66" s="3">
        <f>IFERROR(__xludf.DUMMYFUNCTION("""COMPUTED_VALUE"""),45735.66663653935)</f>
        <v>45735.66664</v>
      </c>
    </row>
    <row r="67">
      <c r="A67" s="4">
        <f>IFERROR(__xludf.DUMMYFUNCTION("""COMPUTED_VALUE"""),45755.25170274305)</f>
        <v>45755.2517</v>
      </c>
      <c r="B67" s="3" t="str">
        <f>IFERROR(__xludf.DUMMYFUNCTION("""COMPUTED_VALUE"""),"MFHRO0001")</f>
        <v>MFHRO0001</v>
      </c>
      <c r="C67" s="3" t="str">
        <f>IFERROR(__xludf.DUMMYFUNCTION("""COMPUTED_VALUE"""),"Consumable")</f>
        <v>Consumable</v>
      </c>
      <c r="D67" s="3" t="str">
        <f>IFERROR(__xludf.DUMMYFUNCTION("""COMPUTED_VALUE"""),"-")</f>
        <v>-</v>
      </c>
      <c r="E67" s="3" t="str">
        <f>IFERROR(__xludf.DUMMYFUNCTION("""COMPUTED_VALUE"""),"General")</f>
        <v>General</v>
      </c>
      <c r="F67" s="3" t="str">
        <f>IFERROR(__xludf.DUMMYFUNCTION("""COMPUTED_VALUE"""),"Silicone Sealant;Silglaze;Type N10 White;pack size per pcs")</f>
        <v>Silicone Sealant;Silglaze;Type N10 White;pack size per pcs</v>
      </c>
      <c r="G67" s="3">
        <f>IFERROR(__xludf.DUMMYFUNCTION("""COMPUTED_VALUE"""),30.0)</f>
        <v>30</v>
      </c>
      <c r="H67" s="3" t="str">
        <f>IFERROR(__xludf.DUMMYFUNCTION("""COMPUTED_VALUE"""),"Pc")</f>
        <v>Pc</v>
      </c>
      <c r="I67" s="3" t="str">
        <f>IFERROR(__xludf.DUMMYFUNCTION("""COMPUTED_VALUE"""),"Blanketing Sealant Putih  PR 121702317")</f>
        <v>Blanketing Sealant Putih  PR 121702317</v>
      </c>
      <c r="J67" s="3" t="str">
        <f>IFERROR(__xludf.DUMMYFUNCTION("""COMPUTED_VALUE"""),"Q-60502-00")</f>
        <v>Q-60502-00</v>
      </c>
      <c r="K67" s="3" t="str">
        <f>IFERROR(__xludf.DUMMYFUNCTION("""COMPUTED_VALUE"""),"Approve")</f>
        <v>Approve</v>
      </c>
      <c r="L67" s="3" t="str">
        <f>IFERROR(__xludf.DUMMYFUNCTION("""COMPUTED_VALUE"""),"Normal")</f>
        <v>Normal</v>
      </c>
      <c r="M67" s="3" t="str">
        <f>IFERROR(__xludf.DUMMYFUNCTION("""COMPUTED_VALUE"""),"Non Urgent")</f>
        <v>Non Urgent</v>
      </c>
      <c r="N67" s="3">
        <f>IFERROR(__xludf.DUMMYFUNCTION("""COMPUTED_VALUE"""),45756.238117071756)</f>
        <v>45756.23812</v>
      </c>
    </row>
    <row r="68">
      <c r="A68" s="4">
        <f>IFERROR(__xludf.DUMMYFUNCTION("""COMPUTED_VALUE"""),45755.25272611112)</f>
        <v>45755.25273</v>
      </c>
      <c r="B68" s="3" t="str">
        <f>IFERROR(__xludf.DUMMYFUNCTION("""COMPUTED_VALUE"""),"MFHRO0002")</f>
        <v>MFHRO0002</v>
      </c>
      <c r="C68" s="3" t="str">
        <f>IFERROR(__xludf.DUMMYFUNCTION("""COMPUTED_VALUE"""),"Consumable")</f>
        <v>Consumable</v>
      </c>
      <c r="D68" s="3" t="str">
        <f>IFERROR(__xludf.DUMMYFUNCTION("""COMPUTED_VALUE"""),"-")</f>
        <v>-</v>
      </c>
      <c r="E68" s="3" t="str">
        <f>IFERROR(__xludf.DUMMYFUNCTION("""COMPUTED_VALUE"""),"General")</f>
        <v>General</v>
      </c>
      <c r="F68" s="3" t="str">
        <f>IFERROR(__xludf.DUMMYFUNCTION("""COMPUTED_VALUE"""),"STEKER 1 PHASE, BROCO")</f>
        <v>STEKER 1 PHASE, BROCO</v>
      </c>
      <c r="G68" s="3">
        <f>IFERROR(__xludf.DUMMYFUNCTION("""COMPUTED_VALUE"""),50.0)</f>
        <v>50</v>
      </c>
      <c r="H68" s="3" t="str">
        <f>IFERROR(__xludf.DUMMYFUNCTION("""COMPUTED_VALUE"""),"Pc")</f>
        <v>Pc</v>
      </c>
      <c r="I68" s="3" t="str">
        <f>IFERROR(__xludf.DUMMYFUNCTION("""COMPUTED_VALUE"""),"Blanketing Steker PR 121702318")</f>
        <v>Blanketing Steker PR 121702318</v>
      </c>
      <c r="J68" s="3" t="str">
        <f>IFERROR(__xludf.DUMMYFUNCTION("""COMPUTED_VALUE"""),"O-54014-00")</f>
        <v>O-54014-00</v>
      </c>
      <c r="K68" s="3" t="str">
        <f>IFERROR(__xludf.DUMMYFUNCTION("""COMPUTED_VALUE"""),"Approve")</f>
        <v>Approve</v>
      </c>
      <c r="L68" s="3" t="str">
        <f>IFERROR(__xludf.DUMMYFUNCTION("""COMPUTED_VALUE"""),"Normal")</f>
        <v>Normal</v>
      </c>
      <c r="M68" s="3" t="str">
        <f>IFERROR(__xludf.DUMMYFUNCTION("""COMPUTED_VALUE"""),"Non Urgent")</f>
        <v>Non Urgent</v>
      </c>
      <c r="N68" s="3">
        <f>IFERROR(__xludf.DUMMYFUNCTION("""COMPUTED_VALUE"""),45756.238212662036)</f>
        <v>45756.23821</v>
      </c>
    </row>
    <row r="69">
      <c r="A69" s="4">
        <f>IFERROR(__xludf.DUMMYFUNCTION("""COMPUTED_VALUE"""),45755.253356273155)</f>
        <v>45755.25336</v>
      </c>
      <c r="B69" s="3" t="str">
        <f>IFERROR(__xludf.DUMMYFUNCTION("""COMPUTED_VALUE"""),"MFHRO0003")</f>
        <v>MFHRO0003</v>
      </c>
      <c r="C69" s="3" t="str">
        <f>IFERROR(__xludf.DUMMYFUNCTION("""COMPUTED_VALUE"""),"Consumable")</f>
        <v>Consumable</v>
      </c>
      <c r="D69" s="3" t="str">
        <f>IFERROR(__xludf.DUMMYFUNCTION("""COMPUTED_VALUE"""),"-")</f>
        <v>-</v>
      </c>
      <c r="E69" s="3" t="str">
        <f>IFERROR(__xludf.DUMMYFUNCTION("""COMPUTED_VALUE"""),"General")</f>
        <v>General</v>
      </c>
      <c r="F69" s="3" t="str">
        <f>IFERROR(__xludf.DUMMYFUNCTION("""COMPUTED_VALUE"""),"Thinner Super End/Impala @ 1 Liter")</f>
        <v>Thinner Super End/Impala @ 1 Liter</v>
      </c>
      <c r="G69" s="3">
        <f>IFERROR(__xludf.DUMMYFUNCTION("""COMPUTED_VALUE"""),10.0)</f>
        <v>10</v>
      </c>
      <c r="H69" s="3" t="str">
        <f>IFERROR(__xludf.DUMMYFUNCTION("""COMPUTED_VALUE"""),"Pc")</f>
        <v>Pc</v>
      </c>
      <c r="I69" s="3" t="str">
        <f>IFERROR(__xludf.DUMMYFUNCTION("""COMPUTED_VALUE"""),"Blanketing Thinner PR 121702319")</f>
        <v>Blanketing Thinner PR 121702319</v>
      </c>
      <c r="J69" s="3" t="str">
        <f>IFERROR(__xludf.DUMMYFUNCTION("""COMPUTED_VALUE"""),"Q-10128-00")</f>
        <v>Q-10128-00</v>
      </c>
      <c r="K69" s="3" t="str">
        <f>IFERROR(__xludf.DUMMYFUNCTION("""COMPUTED_VALUE"""),"Approve")</f>
        <v>Approve</v>
      </c>
      <c r="L69" s="3" t="str">
        <f>IFERROR(__xludf.DUMMYFUNCTION("""COMPUTED_VALUE"""),"Normal")</f>
        <v>Normal</v>
      </c>
      <c r="M69" s="3" t="str">
        <f>IFERROR(__xludf.DUMMYFUNCTION("""COMPUTED_VALUE"""),"Non Urgent")</f>
        <v>Non Urgent</v>
      </c>
      <c r="N69" s="3">
        <f>IFERROR(__xludf.DUMMYFUNCTION("""COMPUTED_VALUE"""),45756.23835168981)</f>
        <v>45756.23835</v>
      </c>
    </row>
    <row r="70">
      <c r="A70" s="4">
        <f>IFERROR(__xludf.DUMMYFUNCTION("""COMPUTED_VALUE"""),45755.25370533565)</f>
        <v>45755.25371</v>
      </c>
      <c r="B70" s="3" t="str">
        <f>IFERROR(__xludf.DUMMYFUNCTION("""COMPUTED_VALUE"""),"MFHRO0004")</f>
        <v>MFHRO0004</v>
      </c>
      <c r="C70" s="3" t="str">
        <f>IFERROR(__xludf.DUMMYFUNCTION("""COMPUTED_VALUE"""),"Consumable")</f>
        <v>Consumable</v>
      </c>
      <c r="D70" s="3" t="str">
        <f>IFERROR(__xludf.DUMMYFUNCTION("""COMPUTED_VALUE"""),"-")</f>
        <v>-</v>
      </c>
      <c r="E70" s="3" t="str">
        <f>IFERROR(__xludf.DUMMYFUNCTION("""COMPUTED_VALUE"""),"General")</f>
        <v>General</v>
      </c>
      <c r="F70" s="3" t="str">
        <f>IFERROR(__xludf.DUMMYFUNCTION("""COMPUTED_VALUE"""),"Silicone Sealant, Silglaze, Type N10 Clear, pack size per pcs")</f>
        <v>Silicone Sealant, Silglaze, Type N10 Clear, pack size per pcs</v>
      </c>
      <c r="G70" s="3">
        <f>IFERROR(__xludf.DUMMYFUNCTION("""COMPUTED_VALUE"""),40.0)</f>
        <v>40</v>
      </c>
      <c r="H70" s="3" t="str">
        <f>IFERROR(__xludf.DUMMYFUNCTION("""COMPUTED_VALUE"""),"Pc")</f>
        <v>Pc</v>
      </c>
      <c r="I70" s="3" t="str">
        <f>IFERROR(__xludf.DUMMYFUNCTION("""COMPUTED_VALUE"""),"Blanketing Sealant Bening PR 121702320")</f>
        <v>Blanketing Sealant Bening PR 121702320</v>
      </c>
      <c r="J70" s="3" t="str">
        <f>IFERROR(__xludf.DUMMYFUNCTION("""COMPUTED_VALUE"""),"Q-60501-00")</f>
        <v>Q-60501-00</v>
      </c>
      <c r="K70" s="3" t="str">
        <f>IFERROR(__xludf.DUMMYFUNCTION("""COMPUTED_VALUE"""),"Approve")</f>
        <v>Approve</v>
      </c>
      <c r="L70" s="3" t="str">
        <f>IFERROR(__xludf.DUMMYFUNCTION("""COMPUTED_VALUE"""),"Normal")</f>
        <v>Normal</v>
      </c>
      <c r="M70" s="3" t="str">
        <f>IFERROR(__xludf.DUMMYFUNCTION("""COMPUTED_VALUE"""),"Non Urgent")</f>
        <v>Non Urgent</v>
      </c>
      <c r="N70" s="3">
        <f>IFERROR(__xludf.DUMMYFUNCTION("""COMPUTED_VALUE"""),45756.238474791666)</f>
        <v>45756.23847</v>
      </c>
    </row>
    <row r="71">
      <c r="A71" s="4">
        <f>IFERROR(__xludf.DUMMYFUNCTION("""COMPUTED_VALUE"""),45755.254206631944)</f>
        <v>45755.25421</v>
      </c>
      <c r="B71" s="3" t="str">
        <f>IFERROR(__xludf.DUMMYFUNCTION("""COMPUTED_VALUE"""),"MFHRO0005")</f>
        <v>MFHRO0005</v>
      </c>
      <c r="C71" s="3" t="str">
        <f>IFERROR(__xludf.DUMMYFUNCTION("""COMPUTED_VALUE"""),"Consumable")</f>
        <v>Consumable</v>
      </c>
      <c r="D71" s="3" t="str">
        <f>IFERROR(__xludf.DUMMYFUNCTION("""COMPUTED_VALUE"""),"-")</f>
        <v>-</v>
      </c>
      <c r="E71" s="3" t="str">
        <f>IFERROR(__xludf.DUMMYFUNCTION("""COMPUTED_VALUE"""),"General")</f>
        <v>General</v>
      </c>
      <c r="F71" s="3" t="str">
        <f>IFERROR(__xludf.DUMMYFUNCTION("""COMPUTED_VALUE"""),"General - IsoLasi Kabel Hitam 33 (19mm x 20mm x 0.177mm); Scotch; -; 1 Pcs")</f>
        <v>General - IsoLasi Kabel Hitam 33 (19mm x 20mm x 0.177mm); Scotch; -; 1 Pcs</v>
      </c>
      <c r="G71" s="3">
        <f>IFERROR(__xludf.DUMMYFUNCTION("""COMPUTED_VALUE"""),10.0)</f>
        <v>10</v>
      </c>
      <c r="H71" s="3" t="str">
        <f>IFERROR(__xludf.DUMMYFUNCTION("""COMPUTED_VALUE"""),"Pc")</f>
        <v>Pc</v>
      </c>
      <c r="I71" s="3" t="str">
        <f>IFERROR(__xludf.DUMMYFUNCTION("""COMPUTED_VALUE"""),"Blanketing Isolasi item PR 121702321")</f>
        <v>Blanketing Isolasi item PR 121702321</v>
      </c>
      <c r="J71" s="3" t="str">
        <f>IFERROR(__xludf.DUMMYFUNCTION("""COMPUTED_VALUE"""),"P-51027-00")</f>
        <v>P-51027-00</v>
      </c>
      <c r="K71" s="3" t="str">
        <f>IFERROR(__xludf.DUMMYFUNCTION("""COMPUTED_VALUE"""),"Approve")</f>
        <v>Approve</v>
      </c>
      <c r="L71" s="3" t="str">
        <f>IFERROR(__xludf.DUMMYFUNCTION("""COMPUTED_VALUE"""),"Normal")</f>
        <v>Normal</v>
      </c>
      <c r="M71" s="3" t="str">
        <f>IFERROR(__xludf.DUMMYFUNCTION("""COMPUTED_VALUE"""),"Non Urgent")</f>
        <v>Non Urgent</v>
      </c>
      <c r="N71" s="3">
        <f>IFERROR(__xludf.DUMMYFUNCTION("""COMPUTED_VALUE"""),45756.23857725694)</f>
        <v>45756.23858</v>
      </c>
    </row>
    <row r="72">
      <c r="A72" s="4">
        <f>IFERROR(__xludf.DUMMYFUNCTION("""COMPUTED_VALUE"""),45755.254629745374)</f>
        <v>45755.25463</v>
      </c>
      <c r="B72" s="3" t="str">
        <f>IFERROR(__xludf.DUMMYFUNCTION("""COMPUTED_VALUE"""),"MFHRO0006")</f>
        <v>MFHRO0006</v>
      </c>
      <c r="C72" s="3" t="str">
        <f>IFERROR(__xludf.DUMMYFUNCTION("""COMPUTED_VALUE"""),"Consumable")</f>
        <v>Consumable</v>
      </c>
      <c r="D72" s="3" t="str">
        <f>IFERROR(__xludf.DUMMYFUNCTION("""COMPUTED_VALUE"""),"-")</f>
        <v>-</v>
      </c>
      <c r="E72" s="3" t="str">
        <f>IFERROR(__xludf.DUMMYFUNCTION("""COMPUTED_VALUE"""),"General")</f>
        <v>General</v>
      </c>
      <c r="F72" s="3" t="str">
        <f>IFERROR(__xludf.DUMMYFUNCTION("""COMPUTED_VALUE"""),"Cable Ties, 200 x 4.8 mm; SIGMA; CS 200L; Putih;100 pcs/pack")</f>
        <v>Cable Ties, 200 x 4.8 mm; SIGMA; CS 200L; Putih;100 pcs/pack</v>
      </c>
      <c r="G72" s="3">
        <f>IFERROR(__xludf.DUMMYFUNCTION("""COMPUTED_VALUE"""),10.0)</f>
        <v>10</v>
      </c>
      <c r="H72" s="3" t="str">
        <f>IFERROR(__xludf.DUMMYFUNCTION("""COMPUTED_VALUE"""),"pc")</f>
        <v>pc</v>
      </c>
      <c r="I72" s="3" t="str">
        <f>IFERROR(__xludf.DUMMYFUNCTION("""COMPUTED_VALUE"""),"Blanketing Cable Ties CS200 PR 121702322")</f>
        <v>Blanketing Cable Ties CS200 PR 121702322</v>
      </c>
      <c r="J72" s="3" t="str">
        <f>IFERROR(__xludf.DUMMYFUNCTION("""COMPUTED_VALUE"""),"S-40645-00")</f>
        <v>S-40645-00</v>
      </c>
      <c r="K72" s="3" t="str">
        <f>IFERROR(__xludf.DUMMYFUNCTION("""COMPUTED_VALUE"""),"Approve")</f>
        <v>Approve</v>
      </c>
      <c r="L72" s="3" t="str">
        <f>IFERROR(__xludf.DUMMYFUNCTION("""COMPUTED_VALUE"""),"Normal")</f>
        <v>Normal</v>
      </c>
      <c r="M72" s="3" t="str">
        <f>IFERROR(__xludf.DUMMYFUNCTION("""COMPUTED_VALUE"""),"Non Urgent")</f>
        <v>Non Urgent</v>
      </c>
      <c r="N72" s="3">
        <f>IFERROR(__xludf.DUMMYFUNCTION("""COMPUTED_VALUE"""),45756.23868001158)</f>
        <v>45756.23868</v>
      </c>
    </row>
    <row r="73">
      <c r="A73" s="4">
        <f>IFERROR(__xludf.DUMMYFUNCTION("""COMPUTED_VALUE"""),45755.25746793982)</f>
        <v>45755.25747</v>
      </c>
      <c r="B73" s="3" t="str">
        <f>IFERROR(__xludf.DUMMYFUNCTION("""COMPUTED_VALUE"""),"MFHRO0007")</f>
        <v>MFHRO0007</v>
      </c>
      <c r="C73" s="3" t="str">
        <f>IFERROR(__xludf.DUMMYFUNCTION("""COMPUTED_VALUE"""),"Consumable")</f>
        <v>Consumable</v>
      </c>
      <c r="D73" s="3" t="str">
        <f>IFERROR(__xludf.DUMMYFUNCTION("""COMPUTED_VALUE"""),"-")</f>
        <v>-</v>
      </c>
      <c r="E73" s="3" t="str">
        <f>IFERROR(__xludf.DUMMYFUNCTION("""COMPUTED_VALUE"""),"General")</f>
        <v>General</v>
      </c>
      <c r="F73" s="3" t="str">
        <f>IFERROR(__xludf.DUMMYFUNCTION("""COMPUTED_VALUE"""),"Robot Casepacker - Suction cup; VB17. single below; diameter Cup 17 mm; Vmeca; -; 1 Pc")</f>
        <v>Robot Casepacker - Suction cup; VB17. single below; diameter Cup 17 mm; Vmeca; -; 1 Pc</v>
      </c>
      <c r="G73" s="3">
        <f>IFERROR(__xludf.DUMMYFUNCTION("""COMPUTED_VALUE"""),20.0)</f>
        <v>20</v>
      </c>
      <c r="H73" s="3" t="str">
        <f>IFERROR(__xludf.DUMMYFUNCTION("""COMPUTED_VALUE"""),"pc")</f>
        <v>pc</v>
      </c>
      <c r="I73" s="3" t="str">
        <f>IFERROR(__xludf.DUMMYFUNCTION("""COMPUTED_VALUE"""),"Blanketing Suction Cup PR 121702328")</f>
        <v>Blanketing Suction Cup PR 121702328</v>
      </c>
      <c r="J73" s="3" t="str">
        <f>IFERROR(__xludf.DUMMYFUNCTION("""COMPUTED_VALUE"""),"O-18055-00")</f>
        <v>O-18055-00</v>
      </c>
      <c r="K73" s="3" t="str">
        <f>IFERROR(__xludf.DUMMYFUNCTION("""COMPUTED_VALUE"""),"Approve")</f>
        <v>Approve</v>
      </c>
      <c r="L73" s="3" t="str">
        <f>IFERROR(__xludf.DUMMYFUNCTION("""COMPUTED_VALUE"""),"Normal")</f>
        <v>Normal</v>
      </c>
      <c r="M73" s="3" t="str">
        <f>IFERROR(__xludf.DUMMYFUNCTION("""COMPUTED_VALUE"""),"Non Urgent")</f>
        <v>Non Urgent</v>
      </c>
      <c r="N73" s="3">
        <f>IFERROR(__xludf.DUMMYFUNCTION("""COMPUTED_VALUE"""),45756.23877582176)</f>
        <v>45756.23878</v>
      </c>
    </row>
    <row r="74">
      <c r="A74" s="4">
        <f>IFERROR(__xludf.DUMMYFUNCTION("""COMPUTED_VALUE"""),45755.25936387731)</f>
        <v>45755.25936</v>
      </c>
      <c r="B74" s="3" t="str">
        <f>IFERROR(__xludf.DUMMYFUNCTION("""COMPUTED_VALUE"""),"MFHRO0008")</f>
        <v>MFHRO0008</v>
      </c>
      <c r="C74" s="3" t="str">
        <f>IFERROR(__xludf.DUMMYFUNCTION("""COMPUTED_VALUE"""),"Consumable")</f>
        <v>Consumable</v>
      </c>
      <c r="D74" s="3" t="str">
        <f>IFERROR(__xludf.DUMMYFUNCTION("""COMPUTED_VALUE"""),"-")</f>
        <v>-</v>
      </c>
      <c r="E74" s="3" t="str">
        <f>IFERROR(__xludf.DUMMYFUNCTION("""COMPUTED_VALUE"""),"General")</f>
        <v>General</v>
      </c>
      <c r="F74" s="3" t="str">
        <f>IFERROR(__xludf.DUMMYFUNCTION("""COMPUTED_VALUE"""),"Majun AA, No Brand, Budhi Supplies, pack size per kg")</f>
        <v>Majun AA, No Brand, Budhi Supplies, pack size per kg</v>
      </c>
      <c r="G74" s="3">
        <f>IFERROR(__xludf.DUMMYFUNCTION("""COMPUTED_VALUE"""),80.0)</f>
        <v>80</v>
      </c>
      <c r="H74" s="3" t="str">
        <f>IFERROR(__xludf.DUMMYFUNCTION("""COMPUTED_VALUE"""),"Kg")</f>
        <v>Kg</v>
      </c>
      <c r="I74" s="3" t="str">
        <f>IFERROR(__xludf.DUMMYFUNCTION("""COMPUTED_VALUE"""),"Blanketing Majun PR 121702333")</f>
        <v>Blanketing Majun PR 121702333</v>
      </c>
      <c r="J74" s="3" t="str">
        <f>IFERROR(__xludf.DUMMYFUNCTION("""COMPUTED_VALUE"""),"S-11400-00")</f>
        <v>S-11400-00</v>
      </c>
      <c r="K74" s="3" t="str">
        <f>IFERROR(__xludf.DUMMYFUNCTION("""COMPUTED_VALUE"""),"Approve")</f>
        <v>Approve</v>
      </c>
      <c r="L74" s="3" t="str">
        <f>IFERROR(__xludf.DUMMYFUNCTION("""COMPUTED_VALUE"""),"Normal")</f>
        <v>Normal</v>
      </c>
      <c r="M74" s="3" t="str">
        <f>IFERROR(__xludf.DUMMYFUNCTION("""COMPUTED_VALUE"""),"Non Urgent")</f>
        <v>Non Urgent</v>
      </c>
      <c r="N74" s="3">
        <f>IFERROR(__xludf.DUMMYFUNCTION("""COMPUTED_VALUE"""),45756.23889209491)</f>
        <v>45756.23889</v>
      </c>
    </row>
    <row r="75">
      <c r="A75" s="4">
        <f>IFERROR(__xludf.DUMMYFUNCTION("""COMPUTED_VALUE"""),45755.26163431713)</f>
        <v>45755.26163</v>
      </c>
      <c r="B75" s="3" t="str">
        <f>IFERROR(__xludf.DUMMYFUNCTION("""COMPUTED_VALUE"""),"MFHRO0009")</f>
        <v>MFHRO0009</v>
      </c>
      <c r="C75" s="3" t="str">
        <f>IFERROR(__xludf.DUMMYFUNCTION("""COMPUTED_VALUE"""),"Consumable")</f>
        <v>Consumable</v>
      </c>
      <c r="D75" s="3" t="str">
        <f>IFERROR(__xludf.DUMMYFUNCTION("""COMPUTED_VALUE"""),"-")</f>
        <v>-</v>
      </c>
      <c r="E75" s="3" t="str">
        <f>IFERROR(__xludf.DUMMYFUNCTION("""COMPUTED_VALUE"""),"General")</f>
        <v>General</v>
      </c>
      <c r="F75" s="3" t="str">
        <f>IFERROR(__xludf.DUMMYFUNCTION("""COMPUTED_VALUE"""),"General - Pre Filter G4 2m x 20m x 2mm; No Brand; -; 1 Pc")</f>
        <v>General - Pre Filter G4 2m x 20m x 2mm; No Brand; -; 1 Pc</v>
      </c>
      <c r="G75" s="3">
        <f>IFERROR(__xludf.DUMMYFUNCTION("""COMPUTED_VALUE"""),1.0)</f>
        <v>1</v>
      </c>
      <c r="H75" s="3" t="str">
        <f>IFERROR(__xludf.DUMMYFUNCTION("""COMPUTED_VALUE"""),"Pc")</f>
        <v>Pc</v>
      </c>
      <c r="I75" s="3" t="str">
        <f>IFERROR(__xludf.DUMMYFUNCTION("""COMPUTED_VALUE"""),"Stok Media Pre filter PR 121702336")</f>
        <v>Stok Media Pre filter PR 121702336</v>
      </c>
      <c r="J75" s="3" t="str">
        <f>IFERROR(__xludf.DUMMYFUNCTION("""COMPUTED_VALUE"""),"P-17347-00")</f>
        <v>P-17347-00</v>
      </c>
      <c r="K75" s="3" t="str">
        <f>IFERROR(__xludf.DUMMYFUNCTION("""COMPUTED_VALUE"""),"Approve")</f>
        <v>Approve</v>
      </c>
      <c r="L75" s="3" t="str">
        <f>IFERROR(__xludf.DUMMYFUNCTION("""COMPUTED_VALUE"""),"Normal")</f>
        <v>Normal</v>
      </c>
      <c r="M75" s="3" t="str">
        <f>IFERROR(__xludf.DUMMYFUNCTION("""COMPUTED_VALUE"""),"Non Urgent")</f>
        <v>Non Urgent</v>
      </c>
      <c r="N75" s="3">
        <f>IFERROR(__xludf.DUMMYFUNCTION("""COMPUTED_VALUE"""),45756.239067789356)</f>
        <v>45756.23907</v>
      </c>
    </row>
    <row r="76">
      <c r="A76" s="4">
        <f>IFERROR(__xludf.DUMMYFUNCTION("""COMPUTED_VALUE"""),45755.262467581015)</f>
        <v>45755.26247</v>
      </c>
      <c r="B76" s="3" t="str">
        <f>IFERROR(__xludf.DUMMYFUNCTION("""COMPUTED_VALUE"""),"MFHRO0010")</f>
        <v>MFHRO0010</v>
      </c>
      <c r="C76" s="3" t="str">
        <f>IFERROR(__xludf.DUMMYFUNCTION("""COMPUTED_VALUE"""),"Consumable")</f>
        <v>Consumable</v>
      </c>
      <c r="D76" s="3" t="str">
        <f>IFERROR(__xludf.DUMMYFUNCTION("""COMPUTED_VALUE"""),"-")</f>
        <v>-</v>
      </c>
      <c r="E76" s="3" t="str">
        <f>IFERROR(__xludf.DUMMYFUNCTION("""COMPUTED_VALUE"""),"General")</f>
        <v>General</v>
      </c>
      <c r="F76" s="3" t="str">
        <f>IFERROR(__xludf.DUMMYFUNCTION("""COMPUTED_VALUE"""),"Gas Argon (Ar); 6 M3; Refill; High Purity (HP); Purity ? 99.995%")</f>
        <v>Gas Argon (Ar); 6 M3; Refill; High Purity (HP); Purity ? 99.995%</v>
      </c>
      <c r="G76" s="3">
        <f>IFERROR(__xludf.DUMMYFUNCTION("""COMPUTED_VALUE"""),1.0)</f>
        <v>1</v>
      </c>
      <c r="H76" s="3" t="str">
        <f>IFERROR(__xludf.DUMMYFUNCTION("""COMPUTED_VALUE"""),"Tube")</f>
        <v>Tube</v>
      </c>
      <c r="I76" s="3" t="str">
        <f>IFERROR(__xludf.DUMMYFUNCTION("""COMPUTED_VALUE"""),"Stok gas Argon PR 121702337")</f>
        <v>Stok gas Argon PR 121702337</v>
      </c>
      <c r="J76" s="3" t="str">
        <f>IFERROR(__xludf.DUMMYFUNCTION("""COMPUTED_VALUE"""),"S-62036-00")</f>
        <v>S-62036-00</v>
      </c>
      <c r="K76" s="3" t="str">
        <f>IFERROR(__xludf.DUMMYFUNCTION("""COMPUTED_VALUE"""),"Approve")</f>
        <v>Approve</v>
      </c>
      <c r="L76" s="3" t="str">
        <f>IFERROR(__xludf.DUMMYFUNCTION("""COMPUTED_VALUE"""),"Normal")</f>
        <v>Normal</v>
      </c>
      <c r="M76" s="3" t="str">
        <f>IFERROR(__xludf.DUMMYFUNCTION("""COMPUTED_VALUE"""),"Non Urgent")</f>
        <v>Non Urgent</v>
      </c>
      <c r="N76" s="3">
        <f>IFERROR(__xludf.DUMMYFUNCTION("""COMPUTED_VALUE"""),45756.23918106481)</f>
        <v>45756.23918</v>
      </c>
    </row>
    <row r="77">
      <c r="A77" s="4">
        <f>IFERROR(__xludf.DUMMYFUNCTION("""COMPUTED_VALUE"""),45755.33000243056)</f>
        <v>45755.33</v>
      </c>
      <c r="B77" s="3" t="str">
        <f>IFERROR(__xludf.DUMMYFUNCTION("""COMPUTED_VALUE"""),"MFHRO0011")</f>
        <v>MFHRO0011</v>
      </c>
      <c r="C77" s="3" t="str">
        <f>IFERROR(__xludf.DUMMYFUNCTION("""COMPUTED_VALUE"""),"MIn Stok")</f>
        <v>MIn Stok</v>
      </c>
      <c r="D77" s="3" t="str">
        <f>IFERROR(__xludf.DUMMYFUNCTION("""COMPUTED_VALUE"""),"-")</f>
        <v>-</v>
      </c>
      <c r="E77" s="3" t="str">
        <f>IFERROR(__xludf.DUMMYFUNCTION("""COMPUTED_VALUE"""),"Tunnel")</f>
        <v>Tunnel</v>
      </c>
      <c r="F77" s="3" t="str">
        <f>IFERROR(__xludf.DUMMYFUNCTION("""COMPUTED_VALUE"""),"Tunnel ST1L - Silicone Inflatable Gasket AIRMATIC AIR 1055 MVQ Centre length:1312 mm; ; ;")</f>
        <v>Tunnel ST1L - Silicone Inflatable Gasket AIRMATIC AIR 1055 MVQ Centre length:1312 mm; ; ;</v>
      </c>
      <c r="G77" s="3">
        <f>IFERROR(__xludf.DUMMYFUNCTION("""COMPUTED_VALUE"""),2.0)</f>
        <v>2</v>
      </c>
      <c r="H77" s="3" t="str">
        <f>IFERROR(__xludf.DUMMYFUNCTION("""COMPUTED_VALUE"""),"Pc")</f>
        <v>Pc</v>
      </c>
      <c r="I77" s="3" t="str">
        <f>IFERROR(__xludf.DUMMYFUNCTION("""COMPUTED_VALUE"""),"Min Stok Inflatable Gasket PR 121702440")</f>
        <v>Min Stok Inflatable Gasket PR 121702440</v>
      </c>
      <c r="J77" s="3" t="str">
        <f>IFERROR(__xludf.DUMMYFUNCTION("""COMPUTED_VALUE"""),"O-18347-00")</f>
        <v>O-18347-00</v>
      </c>
      <c r="K77" s="3" t="str">
        <f>IFERROR(__xludf.DUMMYFUNCTION("""COMPUTED_VALUE"""),"Approve")</f>
        <v>Approve</v>
      </c>
      <c r="L77" s="3" t="str">
        <f>IFERROR(__xludf.DUMMYFUNCTION("""COMPUTED_VALUE"""),"Normal")</f>
        <v>Normal</v>
      </c>
      <c r="M77" s="3" t="str">
        <f>IFERROR(__xludf.DUMMYFUNCTION("""COMPUTED_VALUE"""),"Non Urgent")</f>
        <v>Non Urgent</v>
      </c>
      <c r="N77" s="3">
        <f>IFERROR(__xludf.DUMMYFUNCTION("""COMPUTED_VALUE"""),45756.239278078705)</f>
        <v>45756.23928</v>
      </c>
    </row>
    <row r="78">
      <c r="A78" s="4">
        <f>IFERROR(__xludf.DUMMYFUNCTION("""COMPUTED_VALUE"""),45755.33160991898)</f>
        <v>45755.33161</v>
      </c>
      <c r="B78" s="3" t="str">
        <f>IFERROR(__xludf.DUMMYFUNCTION("""COMPUTED_VALUE"""),"MFHRO0012")</f>
        <v>MFHRO0012</v>
      </c>
      <c r="C78" s="3" t="str">
        <f>IFERROR(__xludf.DUMMYFUNCTION("""COMPUTED_VALUE"""),"MIn Stok")</f>
        <v>MIn Stok</v>
      </c>
      <c r="D78" s="3" t="str">
        <f>IFERROR(__xludf.DUMMYFUNCTION("""COMPUTED_VALUE"""),"-")</f>
        <v>-</v>
      </c>
      <c r="E78" s="3" t="str">
        <f>IFERROR(__xludf.DUMMYFUNCTION("""COMPUTED_VALUE"""),"cRABS")</f>
        <v>cRABS</v>
      </c>
      <c r="F78" s="3" t="str">
        <f>IFERROR(__xludf.DUMMYFUNCTION("""COMPUTED_VALUE"""),"cRABS z064CR - Pressure Transmitter 0-500 Pa P-Sensor/PIZ (2 wires); Steriline; 20075; 1 pc")</f>
        <v>cRABS z064CR - Pressure Transmitter 0-500 Pa P-Sensor/PIZ (2 wires); Steriline; 20075; 1 pc</v>
      </c>
      <c r="G78" s="3">
        <f>IFERROR(__xludf.DUMMYFUNCTION("""COMPUTED_VALUE"""),1.0)</f>
        <v>1</v>
      </c>
      <c r="H78" s="3" t="str">
        <f>IFERROR(__xludf.DUMMYFUNCTION("""COMPUTED_VALUE"""),"Pc")</f>
        <v>Pc</v>
      </c>
      <c r="I78" s="3" t="str">
        <f>IFERROR(__xludf.DUMMYFUNCTION("""COMPUTED_VALUE"""),"Min Stok Pressure Transmitter PR 121702440")</f>
        <v>Min Stok Pressure Transmitter PR 121702440</v>
      </c>
      <c r="J78" s="3" t="str">
        <f>IFERROR(__xludf.DUMMYFUNCTION("""COMPUTED_VALUE"""),"O-53194-00")</f>
        <v>O-53194-00</v>
      </c>
      <c r="K78" s="3" t="str">
        <f>IFERROR(__xludf.DUMMYFUNCTION("""COMPUTED_VALUE"""),"Approve")</f>
        <v>Approve</v>
      </c>
      <c r="L78" s="3" t="str">
        <f>IFERROR(__xludf.DUMMYFUNCTION("""COMPUTED_VALUE"""),"Normal")</f>
        <v>Normal</v>
      </c>
      <c r="M78" s="3" t="str">
        <f>IFERROR(__xludf.DUMMYFUNCTION("""COMPUTED_VALUE"""),"Non Urgent")</f>
        <v>Non Urgent</v>
      </c>
      <c r="N78" s="3">
        <f>IFERROR(__xludf.DUMMYFUNCTION("""COMPUTED_VALUE"""),45756.23941951389)</f>
        <v>45756.23942</v>
      </c>
    </row>
    <row r="79">
      <c r="A79" s="4">
        <f>IFERROR(__xludf.DUMMYFUNCTION("""COMPUTED_VALUE"""),45755.33226079861)</f>
        <v>45755.33226</v>
      </c>
      <c r="B79" s="3" t="str">
        <f>IFERROR(__xludf.DUMMYFUNCTION("""COMPUTED_VALUE"""),"MFHRO0013")</f>
        <v>MFHRO0013</v>
      </c>
      <c r="C79" s="3" t="str">
        <f>IFERROR(__xludf.DUMMYFUNCTION("""COMPUTED_VALUE"""),"MIn Stok")</f>
        <v>MIn Stok</v>
      </c>
      <c r="D79" s="3" t="str">
        <f>IFERROR(__xludf.DUMMYFUNCTION("""COMPUTED_VALUE"""),"-")</f>
        <v>-</v>
      </c>
      <c r="E79" s="3" t="str">
        <f>IFERROR(__xludf.DUMMYFUNCTION("""COMPUTED_VALUE"""),"Tunnel")</f>
        <v>Tunnel</v>
      </c>
      <c r="F79" s="3" t="str">
        <f>IFERROR(__xludf.DUMMYFUNCTION("""COMPUTED_VALUE"""),"Tunnel ST1L - Heating Element 75W-230Vac D 10mm L 120mm Gkass Fiber Cable 400C 2.5m; Steriline; 4462; 1 pc")</f>
        <v>Tunnel ST1L - Heating Element 75W-230Vac D 10mm L 120mm Gkass Fiber Cable 400C 2.5m; Steriline; 4462; 1 pc</v>
      </c>
      <c r="G79" s="3">
        <f>IFERROR(__xludf.DUMMYFUNCTION("""COMPUTED_VALUE"""),1.0)</f>
        <v>1</v>
      </c>
      <c r="H79" s="3" t="str">
        <f>IFERROR(__xludf.DUMMYFUNCTION("""COMPUTED_VALUE"""),"Pc")</f>
        <v>Pc</v>
      </c>
      <c r="I79" s="3" t="str">
        <f>IFERROR(__xludf.DUMMYFUNCTION("""COMPUTED_VALUE"""),"Min Stok Heater Tunnel PR 121702440")</f>
        <v>Min Stok Heater Tunnel PR 121702440</v>
      </c>
      <c r="J79" s="3" t="str">
        <f>IFERROR(__xludf.DUMMYFUNCTION("""COMPUTED_VALUE"""),"O-53196-00")</f>
        <v>O-53196-00</v>
      </c>
      <c r="K79" s="3" t="str">
        <f>IFERROR(__xludf.DUMMYFUNCTION("""COMPUTED_VALUE"""),"Approve")</f>
        <v>Approve</v>
      </c>
      <c r="L79" s="3" t="str">
        <f>IFERROR(__xludf.DUMMYFUNCTION("""COMPUTED_VALUE"""),"Normal")</f>
        <v>Normal</v>
      </c>
      <c r="M79" s="3" t="str">
        <f>IFERROR(__xludf.DUMMYFUNCTION("""COMPUTED_VALUE"""),"Non Urgent")</f>
        <v>Non Urgent</v>
      </c>
      <c r="N79" s="3">
        <f>IFERROR(__xludf.DUMMYFUNCTION("""COMPUTED_VALUE"""),45756.23951836806)</f>
        <v>45756.23952</v>
      </c>
    </row>
    <row r="80">
      <c r="A80" s="4">
        <f>IFERROR(__xludf.DUMMYFUNCTION("""COMPUTED_VALUE"""),45755.333980474534)</f>
        <v>45755.33398</v>
      </c>
      <c r="B80" s="3" t="str">
        <f>IFERROR(__xludf.DUMMYFUNCTION("""COMPUTED_VALUE"""),"MFHRO0014")</f>
        <v>MFHRO0014</v>
      </c>
      <c r="C80" s="3" t="str">
        <f>IFERROR(__xludf.DUMMYFUNCTION("""COMPUTED_VALUE"""),"MIn Stok")</f>
        <v>MIn Stok</v>
      </c>
      <c r="D80" s="3" t="str">
        <f>IFERROR(__xludf.DUMMYFUNCTION("""COMPUTED_VALUE"""),"-")</f>
        <v>-</v>
      </c>
      <c r="E80" s="3" t="str">
        <f>IFERROR(__xludf.DUMMYFUNCTION("""COMPUTED_VALUE"""),"Tunnel")</f>
        <v>Tunnel</v>
      </c>
      <c r="F80" s="3" t="str">
        <f>IFERROR(__xludf.DUMMYFUNCTION("""COMPUTED_VALUE"""),"Tunnel ST1L - Heater for Tight Door 500W-230V Stainless H 60mm L 455mm T 5mm Cable L 2m; Steriline; 6763; 1 pc")</f>
        <v>Tunnel ST1L - Heater for Tight Door 500W-230V Stainless H 60mm L 455mm T 5mm Cable L 2m; Steriline; 6763; 1 pc</v>
      </c>
      <c r="G80" s="3">
        <f>IFERROR(__xludf.DUMMYFUNCTION("""COMPUTED_VALUE"""),1.0)</f>
        <v>1</v>
      </c>
      <c r="H80" s="3" t="str">
        <f>IFERROR(__xludf.DUMMYFUNCTION("""COMPUTED_VALUE"""),"Pc")</f>
        <v>Pc</v>
      </c>
      <c r="I80" s="3" t="str">
        <f>IFERROR(__xludf.DUMMYFUNCTION("""COMPUTED_VALUE"""),"Min Stok Heater Tunnel PR 121702440")</f>
        <v>Min Stok Heater Tunnel PR 121702440</v>
      </c>
      <c r="J80" s="3" t="str">
        <f>IFERROR(__xludf.DUMMYFUNCTION("""COMPUTED_VALUE"""),"O-53195-00")</f>
        <v>O-53195-00</v>
      </c>
      <c r="K80" s="3" t="str">
        <f>IFERROR(__xludf.DUMMYFUNCTION("""COMPUTED_VALUE"""),"Approve")</f>
        <v>Approve</v>
      </c>
      <c r="L80" s="3" t="str">
        <f>IFERROR(__xludf.DUMMYFUNCTION("""COMPUTED_VALUE"""),"Normal")</f>
        <v>Normal</v>
      </c>
      <c r="M80" s="3" t="str">
        <f>IFERROR(__xludf.DUMMYFUNCTION("""COMPUTED_VALUE"""),"Non Urgent")</f>
        <v>Non Urgent</v>
      </c>
      <c r="N80" s="3">
        <f>IFERROR(__xludf.DUMMYFUNCTION("""COMPUTED_VALUE"""),45756.23962471065)</f>
        <v>45756.23962</v>
      </c>
    </row>
    <row r="81">
      <c r="A81" s="4">
        <f>IFERROR(__xludf.DUMMYFUNCTION("""COMPUTED_VALUE"""),45755.376629907405)</f>
        <v>45755.37663</v>
      </c>
      <c r="B81" s="3" t="str">
        <f>IFERROR(__xludf.DUMMYFUNCTION("""COMPUTED_VALUE"""),"MFHRO0015")</f>
        <v>MFHRO0015</v>
      </c>
      <c r="C81" s="3" t="str">
        <f>IFERROR(__xludf.DUMMYFUNCTION("""COMPUTED_VALUE"""),"MIn Stok")</f>
        <v>MIn Stok</v>
      </c>
      <c r="D81" s="3" t="str">
        <f>IFERROR(__xludf.DUMMYFUNCTION("""COMPUTED_VALUE"""),"-")</f>
        <v>-</v>
      </c>
      <c r="E81" s="3" t="str">
        <f>IFERROR(__xludf.DUMMYFUNCTION("""COMPUTED_VALUE"""),"Tunnel")</f>
        <v>Tunnel</v>
      </c>
      <c r="F81" s="3" t="str">
        <f>IFERROR(__xludf.DUMMYFUNCTION("""COMPUTED_VALUE"""),"Tunnel ST1L - Pressure Transmitter 0-250Pa output 4-20 P-Sensor/PIZ (2 Wires); Steriline; 12320; 1 pc")</f>
        <v>Tunnel ST1L - Pressure Transmitter 0-250Pa output 4-20 P-Sensor/PIZ (2 Wires); Steriline; 12320; 1 pc</v>
      </c>
      <c r="G81" s="3">
        <f>IFERROR(__xludf.DUMMYFUNCTION("""COMPUTED_VALUE"""),1.0)</f>
        <v>1</v>
      </c>
      <c r="H81" s="3" t="str">
        <f>IFERROR(__xludf.DUMMYFUNCTION("""COMPUTED_VALUE"""),"Pc")</f>
        <v>Pc</v>
      </c>
      <c r="I81" s="3" t="str">
        <f>IFERROR(__xludf.DUMMYFUNCTION("""COMPUTED_VALUE"""),"Min Stok Pressure Transmitter Tunnel PR 121702440")</f>
        <v>Min Stok Pressure Transmitter Tunnel PR 121702440</v>
      </c>
      <c r="J81" s="3" t="str">
        <f>IFERROR(__xludf.DUMMYFUNCTION("""COMPUTED_VALUE"""),"O-53197-00")</f>
        <v>O-53197-00</v>
      </c>
      <c r="K81" s="3" t="str">
        <f>IFERROR(__xludf.DUMMYFUNCTION("""COMPUTED_VALUE"""),"Approve")</f>
        <v>Approve</v>
      </c>
      <c r="L81" s="3" t="str">
        <f>IFERROR(__xludf.DUMMYFUNCTION("""COMPUTED_VALUE"""),"Normal")</f>
        <v>Normal</v>
      </c>
      <c r="M81" s="3" t="str">
        <f>IFERROR(__xludf.DUMMYFUNCTION("""COMPUTED_VALUE"""),"Non Urgent")</f>
        <v>Non Urgent</v>
      </c>
      <c r="N81" s="3">
        <f>IFERROR(__xludf.DUMMYFUNCTION("""COMPUTED_VALUE"""),45756.24039798611)</f>
        <v>45756.2404</v>
      </c>
    </row>
    <row r="82">
      <c r="A82" s="4">
        <f>IFERROR(__xludf.DUMMYFUNCTION("""COMPUTED_VALUE"""),45755.378147881944)</f>
        <v>45755.37815</v>
      </c>
      <c r="B82" s="3" t="str">
        <f>IFERROR(__xludf.DUMMYFUNCTION("""COMPUTED_VALUE"""),"MFHRO0016")</f>
        <v>MFHRO0016</v>
      </c>
      <c r="C82" s="3" t="str">
        <f>IFERROR(__xludf.DUMMYFUNCTION("""COMPUTED_VALUE"""),"MIn Stok")</f>
        <v>MIn Stok</v>
      </c>
      <c r="D82" s="3" t="str">
        <f>IFERROR(__xludf.DUMMYFUNCTION("""COMPUTED_VALUE"""),"-")</f>
        <v>-</v>
      </c>
      <c r="E82" s="3" t="str">
        <f>IFERROR(__xludf.DUMMYFUNCTION("""COMPUTED_VALUE"""),"Tunnel")</f>
        <v>Tunnel</v>
      </c>
      <c r="F82" s="3" t="str">
        <f>IFERROR(__xludf.DUMMYFUNCTION("""COMPUTED_VALUE"""),"Tunnel ST1L - Pressure Transmitter 0-100Pa output 4-20 P-Sensor-PIZ (2 Wires); Steriline; 1667; 1 pc")</f>
        <v>Tunnel ST1L - Pressure Transmitter 0-100Pa output 4-20 P-Sensor-PIZ (2 Wires); Steriline; 1667; 1 pc</v>
      </c>
      <c r="G82" s="3">
        <f>IFERROR(__xludf.DUMMYFUNCTION("""COMPUTED_VALUE"""),1.0)</f>
        <v>1</v>
      </c>
      <c r="H82" s="3" t="str">
        <f>IFERROR(__xludf.DUMMYFUNCTION("""COMPUTED_VALUE"""),"Pc")</f>
        <v>Pc</v>
      </c>
      <c r="I82" s="3" t="str">
        <f>IFERROR(__xludf.DUMMYFUNCTION("""COMPUTED_VALUE"""),"Min Stok Pressure Transmitter Tunnel PR 121702440")</f>
        <v>Min Stok Pressure Transmitter Tunnel PR 121702440</v>
      </c>
      <c r="J82" s="3" t="str">
        <f>IFERROR(__xludf.DUMMYFUNCTION("""COMPUTED_VALUE"""),"O-53198-00")</f>
        <v>O-53198-00</v>
      </c>
      <c r="K82" s="3" t="str">
        <f>IFERROR(__xludf.DUMMYFUNCTION("""COMPUTED_VALUE"""),"Approve")</f>
        <v>Approve</v>
      </c>
      <c r="L82" s="3" t="str">
        <f>IFERROR(__xludf.DUMMYFUNCTION("""COMPUTED_VALUE"""),"Normal")</f>
        <v>Normal</v>
      </c>
      <c r="M82" s="3" t="str">
        <f>IFERROR(__xludf.DUMMYFUNCTION("""COMPUTED_VALUE"""),"Non Urgent")</f>
        <v>Non Urgent</v>
      </c>
      <c r="N82" s="3">
        <f>IFERROR(__xludf.DUMMYFUNCTION("""COMPUTED_VALUE"""),45756.240485381946)</f>
        <v>45756.24049</v>
      </c>
    </row>
    <row r="83">
      <c r="A83" s="4">
        <f>IFERROR(__xludf.DUMMYFUNCTION("""COMPUTED_VALUE"""),45755.3786365162)</f>
        <v>45755.37864</v>
      </c>
      <c r="B83" s="3" t="str">
        <f>IFERROR(__xludf.DUMMYFUNCTION("""COMPUTED_VALUE"""),"MFHRO0017")</f>
        <v>MFHRO0017</v>
      </c>
      <c r="C83" s="3" t="str">
        <f>IFERROR(__xludf.DUMMYFUNCTION("""COMPUTED_VALUE"""),"MIn Stok")</f>
        <v>MIn Stok</v>
      </c>
      <c r="D83" s="3" t="str">
        <f>IFERROR(__xludf.DUMMYFUNCTION("""COMPUTED_VALUE"""),"-")</f>
        <v>-</v>
      </c>
      <c r="E83" s="3" t="str">
        <f>IFERROR(__xludf.DUMMYFUNCTION("""COMPUTED_VALUE"""),"Tunnel")</f>
        <v>Tunnel</v>
      </c>
      <c r="F83" s="3" t="str">
        <f>IFERROR(__xludf.DUMMYFUNCTION("""COMPUTED_VALUE"""),"Tunnel ST1L - Gear Motor N100/SO-UFR1 24VAC 50Hz Torque 4Nm Speed 2 U (R1:250; Steriline; 19474; 1 pc")</f>
        <v>Tunnel ST1L - Gear Motor N100/SO-UFR1 24VAC 50Hz Torque 4Nm Speed 2 U (R1:250; Steriline; 19474; 1 pc</v>
      </c>
      <c r="G83" s="3">
        <f>IFERROR(__xludf.DUMMYFUNCTION("""COMPUTED_VALUE"""),2.0)</f>
        <v>2</v>
      </c>
      <c r="H83" s="3" t="str">
        <f>IFERROR(__xludf.DUMMYFUNCTION("""COMPUTED_VALUE"""),"Pc")</f>
        <v>Pc</v>
      </c>
      <c r="I83" s="3" t="str">
        <f>IFERROR(__xludf.DUMMYFUNCTION("""COMPUTED_VALUE"""),"Min Stok Motor pintu Tunnel PR 121702440")</f>
        <v>Min Stok Motor pintu Tunnel PR 121702440</v>
      </c>
      <c r="J83" s="3" t="str">
        <f>IFERROR(__xludf.DUMMYFUNCTION("""COMPUTED_VALUE"""),"O-53199-00")</f>
        <v>O-53199-00</v>
      </c>
      <c r="K83" s="3" t="str">
        <f>IFERROR(__xludf.DUMMYFUNCTION("""COMPUTED_VALUE"""),"Approve")</f>
        <v>Approve</v>
      </c>
      <c r="L83" s="3" t="str">
        <f>IFERROR(__xludf.DUMMYFUNCTION("""COMPUTED_VALUE"""),"Normal")</f>
        <v>Normal</v>
      </c>
      <c r="M83" s="3" t="str">
        <f>IFERROR(__xludf.DUMMYFUNCTION("""COMPUTED_VALUE"""),"Non Urgent")</f>
        <v>Non Urgent</v>
      </c>
      <c r="N83" s="3">
        <f>IFERROR(__xludf.DUMMYFUNCTION("""COMPUTED_VALUE"""),45756.24069547454)</f>
        <v>45756.2407</v>
      </c>
    </row>
    <row r="84">
      <c r="A84" s="4">
        <f>IFERROR(__xludf.DUMMYFUNCTION("""COMPUTED_VALUE"""),45755.38176986111)</f>
        <v>45755.38177</v>
      </c>
      <c r="B84" s="3" t="str">
        <f>IFERROR(__xludf.DUMMYFUNCTION("""COMPUTED_VALUE"""),"MFHRO0018")</f>
        <v>MFHRO0018</v>
      </c>
      <c r="C84" s="3" t="str">
        <f>IFERROR(__xludf.DUMMYFUNCTION("""COMPUTED_VALUE"""),"MIn Stok")</f>
        <v>MIn Stok</v>
      </c>
      <c r="D84" s="3" t="str">
        <f>IFERROR(__xludf.DUMMYFUNCTION("""COMPUTED_VALUE"""),"-")</f>
        <v>-</v>
      </c>
      <c r="E84" s="3" t="str">
        <f>IFERROR(__xludf.DUMMYFUNCTION("""COMPUTED_VALUE"""),"Tunnel")</f>
        <v>Tunnel</v>
      </c>
      <c r="F84" s="3" t="str">
        <f>IFERROR(__xludf.DUMMYFUNCTION("""COMPUTED_VALUE"""),"Tunnel ST1L - Gear Motor N100/So-UFR1 24Vac 50Hz 15Nm 0.5U/min (R1:1000) Metal Cover; Steriline; 19475; 1 pc")</f>
        <v>Tunnel ST1L - Gear Motor N100/So-UFR1 24Vac 50Hz 15Nm 0.5U/min (R1:1000) Metal Cover; Steriline; 19475; 1 pc</v>
      </c>
      <c r="G84" s="3">
        <f>IFERROR(__xludf.DUMMYFUNCTION("""COMPUTED_VALUE"""),1.0)</f>
        <v>1</v>
      </c>
      <c r="H84" s="3" t="str">
        <f>IFERROR(__xludf.DUMMYFUNCTION("""COMPUTED_VALUE"""),"Pc")</f>
        <v>Pc</v>
      </c>
      <c r="I84" s="3" t="str">
        <f>IFERROR(__xludf.DUMMYFUNCTION("""COMPUTED_VALUE"""),"Min Stok Motor pintu Tunnel PR 121702440")</f>
        <v>Min Stok Motor pintu Tunnel PR 121702440</v>
      </c>
      <c r="J84" s="3" t="str">
        <f>IFERROR(__xludf.DUMMYFUNCTION("""COMPUTED_VALUE"""),"O-53200-00")</f>
        <v>O-53200-00</v>
      </c>
      <c r="K84" s="3" t="str">
        <f>IFERROR(__xludf.DUMMYFUNCTION("""COMPUTED_VALUE"""),"Approve")</f>
        <v>Approve</v>
      </c>
      <c r="L84" s="3" t="str">
        <f>IFERROR(__xludf.DUMMYFUNCTION("""COMPUTED_VALUE"""),"Normal")</f>
        <v>Normal</v>
      </c>
      <c r="M84" s="3" t="str">
        <f>IFERROR(__xludf.DUMMYFUNCTION("""COMPUTED_VALUE"""),"Non Urgent")</f>
        <v>Non Urgent</v>
      </c>
      <c r="N84" s="3">
        <f>IFERROR(__xludf.DUMMYFUNCTION("""COMPUTED_VALUE"""),45756.24082412037)</f>
        <v>45756.24082</v>
      </c>
    </row>
    <row r="85">
      <c r="A85" s="4">
        <f>IFERROR(__xludf.DUMMYFUNCTION("""COMPUTED_VALUE"""),45755.38263226852)</f>
        <v>45755.38263</v>
      </c>
      <c r="B85" s="3" t="str">
        <f>IFERROR(__xludf.DUMMYFUNCTION("""COMPUTED_VALUE"""),"MFHRO0019")</f>
        <v>MFHRO0019</v>
      </c>
      <c r="C85" s="3" t="str">
        <f>IFERROR(__xludf.DUMMYFUNCTION("""COMPUTED_VALUE"""),"Consumable")</f>
        <v>Consumable</v>
      </c>
      <c r="D85" s="3" t="str">
        <f>IFERROR(__xludf.DUMMYFUNCTION("""COMPUTED_VALUE"""),"-")</f>
        <v>-</v>
      </c>
      <c r="E85" s="3" t="str">
        <f>IFERROR(__xludf.DUMMYFUNCTION("""COMPUTED_VALUE"""),"General")</f>
        <v>General</v>
      </c>
      <c r="F85" s="3" t="str">
        <f>IFERROR(__xludf.DUMMYFUNCTION("""COMPUTED_VALUE"""),"EPDM Gasket for Ferrule dia. 1/2"" - P/N : -  pc")</f>
        <v>EPDM Gasket for Ferrule dia. 1/2" - P/N : -  pc</v>
      </c>
      <c r="G85" s="3">
        <f>IFERROR(__xludf.DUMMYFUNCTION("""COMPUTED_VALUE"""),50.0)</f>
        <v>50</v>
      </c>
      <c r="H85" s="3" t="str">
        <f>IFERROR(__xludf.DUMMYFUNCTION("""COMPUTED_VALUE"""),"Pc")</f>
        <v>Pc</v>
      </c>
      <c r="I85" s="3" t="str">
        <f>IFERROR(__xludf.DUMMYFUNCTION("""COMPUTED_VALUE"""),"Consumable Gasket Ferrule EPDM PR 121702442")</f>
        <v>Consumable Gasket Ferrule EPDM PR 121702442</v>
      </c>
      <c r="J85" s="3" t="str">
        <f>IFERROR(__xludf.DUMMYFUNCTION("""COMPUTED_VALUE"""),"O-14639-00")</f>
        <v>O-14639-00</v>
      </c>
      <c r="K85" s="3" t="str">
        <f>IFERROR(__xludf.DUMMYFUNCTION("""COMPUTED_VALUE"""),"Approve")</f>
        <v>Approve</v>
      </c>
      <c r="L85" s="3" t="str">
        <f>IFERROR(__xludf.DUMMYFUNCTION("""COMPUTED_VALUE"""),"Normal")</f>
        <v>Normal</v>
      </c>
      <c r="M85" s="3" t="str">
        <f>IFERROR(__xludf.DUMMYFUNCTION("""COMPUTED_VALUE"""),"Non Urgent")</f>
        <v>Non Urgent</v>
      </c>
      <c r="N85" s="3">
        <f>IFERROR(__xludf.DUMMYFUNCTION("""COMPUTED_VALUE"""),45756.24101637732)</f>
        <v>45756.24102</v>
      </c>
    </row>
    <row r="86">
      <c r="A86" s="4">
        <f>IFERROR(__xludf.DUMMYFUNCTION("""COMPUTED_VALUE"""),45755.383381527776)</f>
        <v>45755.38338</v>
      </c>
      <c r="B86" s="3" t="str">
        <f>IFERROR(__xludf.DUMMYFUNCTION("""COMPUTED_VALUE"""),"MFHRO0020")</f>
        <v>MFHRO0020</v>
      </c>
      <c r="C86" s="3" t="str">
        <f>IFERROR(__xludf.DUMMYFUNCTION("""COMPUTED_VALUE"""),"Consumable")</f>
        <v>Consumable</v>
      </c>
      <c r="D86" s="3" t="str">
        <f>IFERROR(__xludf.DUMMYFUNCTION("""COMPUTED_VALUE"""),"-")</f>
        <v>-</v>
      </c>
      <c r="E86" s="3" t="str">
        <f>IFERROR(__xludf.DUMMYFUNCTION("""COMPUTED_VALUE"""),"General")</f>
        <v>General</v>
      </c>
      <c r="F86" s="3" t="str">
        <f>IFERROR(__xludf.DUMMYFUNCTION("""COMPUTED_VALUE"""),"General - Silicone Gasket for Ferrule dia. 1""; -; -; 1 Pc")</f>
        <v>General - Silicone Gasket for Ferrule dia. 1"; -; -; 1 Pc</v>
      </c>
      <c r="G86" s="3">
        <f>IFERROR(__xludf.DUMMYFUNCTION("""COMPUTED_VALUE"""),30.0)</f>
        <v>30</v>
      </c>
      <c r="H86" s="3" t="str">
        <f>IFERROR(__xludf.DUMMYFUNCTION("""COMPUTED_VALUE"""),"Pc")</f>
        <v>Pc</v>
      </c>
      <c r="I86" s="3" t="str">
        <f>IFERROR(__xludf.DUMMYFUNCTION("""COMPUTED_VALUE"""),"Consumable Gasket Silicone PR 121702442")</f>
        <v>Consumable Gasket Silicone PR 121702442</v>
      </c>
      <c r="J86" s="3" t="str">
        <f>IFERROR(__xludf.DUMMYFUNCTION("""COMPUTED_VALUE"""),"O-14641-00")</f>
        <v>O-14641-00</v>
      </c>
      <c r="K86" s="3" t="str">
        <f>IFERROR(__xludf.DUMMYFUNCTION("""COMPUTED_VALUE"""),"Approve")</f>
        <v>Approve</v>
      </c>
      <c r="L86" s="3" t="str">
        <f>IFERROR(__xludf.DUMMYFUNCTION("""COMPUTED_VALUE"""),"Normal")</f>
        <v>Normal</v>
      </c>
      <c r="M86" s="3" t="str">
        <f>IFERROR(__xludf.DUMMYFUNCTION("""COMPUTED_VALUE"""),"Non Urgent")</f>
        <v>Non Urgent</v>
      </c>
      <c r="N86" s="3">
        <f>IFERROR(__xludf.DUMMYFUNCTION("""COMPUTED_VALUE"""),45756.241113854165)</f>
        <v>45756.24111</v>
      </c>
    </row>
    <row r="87">
      <c r="A87" s="4">
        <f>IFERROR(__xludf.DUMMYFUNCTION("""COMPUTED_VALUE"""),45755.38571625)</f>
        <v>45755.38572</v>
      </c>
      <c r="B87" s="3" t="str">
        <f>IFERROR(__xludf.DUMMYFUNCTION("""COMPUTED_VALUE"""),"MFHRO0021")</f>
        <v>MFHRO0021</v>
      </c>
      <c r="C87" s="3" t="str">
        <f>IFERROR(__xludf.DUMMYFUNCTION("""COMPUTED_VALUE"""),"Consumable")</f>
        <v>Consumable</v>
      </c>
      <c r="D87" s="3" t="str">
        <f>IFERROR(__xludf.DUMMYFUNCTION("""COMPUTED_VALUE"""),"-")</f>
        <v>-</v>
      </c>
      <c r="E87" s="3" t="str">
        <f>IFERROR(__xludf.DUMMYFUNCTION("""COMPUTED_VALUE"""),"General")</f>
        <v>General</v>
      </c>
      <c r="F87" s="3" t="str">
        <f>IFERROR(__xludf.DUMMYFUNCTION("""COMPUTED_VALUE"""),"Silicone gasket for ferrule dia 1 1/2inch Taiwan")</f>
        <v>Silicone gasket for ferrule dia 1 1/2inch Taiwan</v>
      </c>
      <c r="G87" s="3">
        <f>IFERROR(__xludf.DUMMYFUNCTION("""COMPUTED_VALUE"""),30.0)</f>
        <v>30</v>
      </c>
      <c r="H87" s="3" t="str">
        <f>IFERROR(__xludf.DUMMYFUNCTION("""COMPUTED_VALUE"""),"Pc")</f>
        <v>Pc</v>
      </c>
      <c r="I87" s="3" t="str">
        <f>IFERROR(__xludf.DUMMYFUNCTION("""COMPUTED_VALUE"""),"Consumable Gasket Silicone PR 121702442")</f>
        <v>Consumable Gasket Silicone PR 121702442</v>
      </c>
      <c r="J87" s="3" t="str">
        <f>IFERROR(__xludf.DUMMYFUNCTION("""COMPUTED_VALUE"""),"P-12763-00")</f>
        <v>P-12763-00</v>
      </c>
      <c r="K87" s="3" t="str">
        <f>IFERROR(__xludf.DUMMYFUNCTION("""COMPUTED_VALUE"""),"Approve")</f>
        <v>Approve</v>
      </c>
      <c r="L87" s="3" t="str">
        <f>IFERROR(__xludf.DUMMYFUNCTION("""COMPUTED_VALUE"""),"Normal")</f>
        <v>Normal</v>
      </c>
      <c r="M87" s="3" t="str">
        <f>IFERROR(__xludf.DUMMYFUNCTION("""COMPUTED_VALUE"""),"Non Urgent")</f>
        <v>Non Urgent</v>
      </c>
      <c r="N87" s="3">
        <f>IFERROR(__xludf.DUMMYFUNCTION("""COMPUTED_VALUE"""),45756.24121872685)</f>
        <v>45756.24122</v>
      </c>
    </row>
    <row r="88">
      <c r="A88" s="4">
        <f>IFERROR(__xludf.DUMMYFUNCTION("""COMPUTED_VALUE"""),45755.386306203705)</f>
        <v>45755.38631</v>
      </c>
      <c r="B88" s="3" t="str">
        <f>IFERROR(__xludf.DUMMYFUNCTION("""COMPUTED_VALUE"""),"MFHRO0022")</f>
        <v>MFHRO0022</v>
      </c>
      <c r="C88" s="3" t="str">
        <f>IFERROR(__xludf.DUMMYFUNCTION("""COMPUTED_VALUE"""),"Consumable")</f>
        <v>Consumable</v>
      </c>
      <c r="D88" s="3" t="str">
        <f>IFERROR(__xludf.DUMMYFUNCTION("""COMPUTED_VALUE"""),"-")</f>
        <v>-</v>
      </c>
      <c r="E88" s="3" t="str">
        <f>IFERROR(__xludf.DUMMYFUNCTION("""COMPUTED_VALUE"""),"General")</f>
        <v>General</v>
      </c>
      <c r="F88" s="3" t="str">
        <f>IFERROR(__xludf.DUMMYFUNCTION("""COMPUTED_VALUE"""),"Silicone gasket for ferrule dia 2inch Taiwan")</f>
        <v>Silicone gasket for ferrule dia 2inch Taiwan</v>
      </c>
      <c r="G88" s="3">
        <f>IFERROR(__xludf.DUMMYFUNCTION("""COMPUTED_VALUE"""),20.0)</f>
        <v>20</v>
      </c>
      <c r="H88" s="3" t="str">
        <f>IFERROR(__xludf.DUMMYFUNCTION("""COMPUTED_VALUE"""),"Pc")</f>
        <v>Pc</v>
      </c>
      <c r="I88" s="3" t="str">
        <f>IFERROR(__xludf.DUMMYFUNCTION("""COMPUTED_VALUE"""),"Consumable Gasket Silicone PR 121702442")</f>
        <v>Consumable Gasket Silicone PR 121702442</v>
      </c>
      <c r="J88" s="3" t="str">
        <f>IFERROR(__xludf.DUMMYFUNCTION("""COMPUTED_VALUE"""),"P-12765-00")</f>
        <v>P-12765-00</v>
      </c>
      <c r="K88" s="3" t="str">
        <f>IFERROR(__xludf.DUMMYFUNCTION("""COMPUTED_VALUE"""),"Approve")</f>
        <v>Approve</v>
      </c>
      <c r="L88" s="3" t="str">
        <f>IFERROR(__xludf.DUMMYFUNCTION("""COMPUTED_VALUE"""),"Normal")</f>
        <v>Normal</v>
      </c>
      <c r="M88" s="3" t="str">
        <f>IFERROR(__xludf.DUMMYFUNCTION("""COMPUTED_VALUE"""),"Non Urgent")</f>
        <v>Non Urgent</v>
      </c>
      <c r="N88" s="3">
        <f>IFERROR(__xludf.DUMMYFUNCTION("""COMPUTED_VALUE"""),45756.241335081024)</f>
        <v>45756.24134</v>
      </c>
    </row>
    <row r="89">
      <c r="A89" s="4">
        <f>IFERROR(__xludf.DUMMYFUNCTION("""COMPUTED_VALUE"""),45755.38758525463)</f>
        <v>45755.38759</v>
      </c>
      <c r="B89" s="3" t="str">
        <f>IFERROR(__xludf.DUMMYFUNCTION("""COMPUTED_VALUE"""),"MFHRO0023")</f>
        <v>MFHRO0023</v>
      </c>
      <c r="C89" s="3" t="str">
        <f>IFERROR(__xludf.DUMMYFUNCTION("""COMPUTED_VALUE"""),"Consumable")</f>
        <v>Consumable</v>
      </c>
      <c r="D89" s="3" t="str">
        <f>IFERROR(__xludf.DUMMYFUNCTION("""COMPUTED_VALUE"""),"-")</f>
        <v>-</v>
      </c>
      <c r="E89" s="3" t="str">
        <f>IFERROR(__xludf.DUMMYFUNCTION("""COMPUTED_VALUE"""),"General")</f>
        <v>General</v>
      </c>
      <c r="F89" s="3" t="str">
        <f>IFERROR(__xludf.DUMMYFUNCTION("""COMPUTED_VALUE"""),"General - Silicone Gasket for Ferrule dia. 2,5""; -; -; 1 Pc")</f>
        <v>General - Silicone Gasket for Ferrule dia. 2,5"; -; -; 1 Pc</v>
      </c>
      <c r="G89" s="3">
        <f>IFERROR(__xludf.DUMMYFUNCTION("""COMPUTED_VALUE"""),25.0)</f>
        <v>25</v>
      </c>
      <c r="H89" s="3" t="str">
        <f>IFERROR(__xludf.DUMMYFUNCTION("""COMPUTED_VALUE"""),"pc")</f>
        <v>pc</v>
      </c>
      <c r="I89" s="3" t="str">
        <f>IFERROR(__xludf.DUMMYFUNCTION("""COMPUTED_VALUE"""),"Consumable Gasket Silicone PR 121702442")</f>
        <v>Consumable Gasket Silicone PR 121702442</v>
      </c>
      <c r="J89" s="3" t="str">
        <f>IFERROR(__xludf.DUMMYFUNCTION("""COMPUTED_VALUE"""),"O-14642-00")</f>
        <v>O-14642-00</v>
      </c>
      <c r="K89" s="3" t="str">
        <f>IFERROR(__xludf.DUMMYFUNCTION("""COMPUTED_VALUE"""),"Approve")</f>
        <v>Approve</v>
      </c>
      <c r="L89" s="3" t="str">
        <f>IFERROR(__xludf.DUMMYFUNCTION("""COMPUTED_VALUE"""),"Normal")</f>
        <v>Normal</v>
      </c>
      <c r="M89" s="3" t="str">
        <f>IFERROR(__xludf.DUMMYFUNCTION("""COMPUTED_VALUE"""),"Non Urgent")</f>
        <v>Non Urgent</v>
      </c>
      <c r="N89" s="3">
        <f>IFERROR(__xludf.DUMMYFUNCTION("""COMPUTED_VALUE"""),45756.241442314815)</f>
        <v>45756.24144</v>
      </c>
    </row>
    <row r="90">
      <c r="A90" s="4">
        <f>IFERROR(__xludf.DUMMYFUNCTION("""COMPUTED_VALUE"""),45755.389249432876)</f>
        <v>45755.38925</v>
      </c>
      <c r="B90" s="3" t="str">
        <f>IFERROR(__xludf.DUMMYFUNCTION("""COMPUTED_VALUE"""),"MFHRO0024")</f>
        <v>MFHRO0024</v>
      </c>
      <c r="C90" s="3" t="str">
        <f>IFERROR(__xludf.DUMMYFUNCTION("""COMPUTED_VALUE"""),"Consumable")</f>
        <v>Consumable</v>
      </c>
      <c r="D90" s="3" t="str">
        <f>IFERROR(__xludf.DUMMYFUNCTION("""COMPUTED_VALUE"""),"-")</f>
        <v>-</v>
      </c>
      <c r="E90" s="3" t="str">
        <f>IFERROR(__xludf.DUMMYFUNCTION("""COMPUTED_VALUE"""),"General")</f>
        <v>General</v>
      </c>
      <c r="F90" s="3" t="str">
        <f>IFERROR(__xludf.DUMMYFUNCTION("""COMPUTED_VALUE"""),"General - Silicone Gasket for Ferrule dia. 4""; -; -; 1 Pc")</f>
        <v>General - Silicone Gasket for Ferrule dia. 4"; -; -; 1 Pc</v>
      </c>
      <c r="G90" s="3">
        <f>IFERROR(__xludf.DUMMYFUNCTION("""COMPUTED_VALUE"""),10.0)</f>
        <v>10</v>
      </c>
      <c r="H90" s="3" t="str">
        <f>IFERROR(__xludf.DUMMYFUNCTION("""COMPUTED_VALUE"""),"pc")</f>
        <v>pc</v>
      </c>
      <c r="I90" s="3" t="str">
        <f>IFERROR(__xludf.DUMMYFUNCTION("""COMPUTED_VALUE"""),"Consumable Gasket Silicone PR 121702442")</f>
        <v>Consumable Gasket Silicone PR 121702442</v>
      </c>
      <c r="J90" s="3" t="str">
        <f>IFERROR(__xludf.DUMMYFUNCTION("""COMPUTED_VALUE"""),"O-14644-00")</f>
        <v>O-14644-00</v>
      </c>
      <c r="K90" s="3" t="str">
        <f>IFERROR(__xludf.DUMMYFUNCTION("""COMPUTED_VALUE"""),"Approve")</f>
        <v>Approve</v>
      </c>
      <c r="L90" s="3" t="str">
        <f>IFERROR(__xludf.DUMMYFUNCTION("""COMPUTED_VALUE"""),"Normal")</f>
        <v>Normal</v>
      </c>
      <c r="M90" s="3" t="str">
        <f>IFERROR(__xludf.DUMMYFUNCTION("""COMPUTED_VALUE"""),"Non Urgent")</f>
        <v>Non Urgent</v>
      </c>
      <c r="N90" s="3">
        <f>IFERROR(__xludf.DUMMYFUNCTION("""COMPUTED_VALUE"""),45756.241941643515)</f>
        <v>45756.24194</v>
      </c>
    </row>
    <row r="91">
      <c r="A91" s="4">
        <f>IFERROR(__xludf.DUMMYFUNCTION("""COMPUTED_VALUE"""),45755.39053237268)</f>
        <v>45755.39053</v>
      </c>
      <c r="B91" s="3" t="str">
        <f>IFERROR(__xludf.DUMMYFUNCTION("""COMPUTED_VALUE"""),"MFHRO0025")</f>
        <v>MFHRO0025</v>
      </c>
      <c r="C91" s="3" t="str">
        <f>IFERROR(__xludf.DUMMYFUNCTION("""COMPUTED_VALUE"""),"Consumable")</f>
        <v>Consumable</v>
      </c>
      <c r="D91" s="3" t="str">
        <f>IFERROR(__xludf.DUMMYFUNCTION("""COMPUTED_VALUE"""),"-")</f>
        <v>-</v>
      </c>
      <c r="E91" s="3" t="str">
        <f>IFERROR(__xludf.DUMMYFUNCTION("""COMPUTED_VALUE"""),"General")</f>
        <v>General</v>
      </c>
      <c r="F91" s="3" t="str">
        <f>IFERROR(__xludf.DUMMYFUNCTION("""COMPUTED_VALUE"""),"EPDM Gasket for Ferrule dia. 3""; ; ;")</f>
        <v>EPDM Gasket for Ferrule dia. 3"; ; ;</v>
      </c>
      <c r="G91" s="3">
        <f>IFERROR(__xludf.DUMMYFUNCTION("""COMPUTED_VALUE"""),10.0)</f>
        <v>10</v>
      </c>
      <c r="H91" s="3" t="str">
        <f>IFERROR(__xludf.DUMMYFUNCTION("""COMPUTED_VALUE"""),"Pc")</f>
        <v>Pc</v>
      </c>
      <c r="I91" s="3" t="str">
        <f>IFERROR(__xludf.DUMMYFUNCTION("""COMPUTED_VALUE"""),"Consumable Gasket Ferrule EPDM PR 121702442")</f>
        <v>Consumable Gasket Ferrule EPDM PR 121702442</v>
      </c>
      <c r="J91" s="3" t="str">
        <f>IFERROR(__xludf.DUMMYFUNCTION("""COMPUTED_VALUE"""),"O-14643-00")</f>
        <v>O-14643-00</v>
      </c>
      <c r="K91" s="3" t="str">
        <f>IFERROR(__xludf.DUMMYFUNCTION("""COMPUTED_VALUE"""),"Approve")</f>
        <v>Approve</v>
      </c>
      <c r="L91" s="3" t="str">
        <f>IFERROR(__xludf.DUMMYFUNCTION("""COMPUTED_VALUE"""),"Normal")</f>
        <v>Normal</v>
      </c>
      <c r="M91" s="3" t="str">
        <f>IFERROR(__xludf.DUMMYFUNCTION("""COMPUTED_VALUE"""),"Non Urgent")</f>
        <v>Non Urgent</v>
      </c>
      <c r="N91" s="3">
        <f>IFERROR(__xludf.DUMMYFUNCTION("""COMPUTED_VALUE"""),45756.2423137963)</f>
        <v>45756.24231</v>
      </c>
    </row>
    <row r="92">
      <c r="A92" s="4">
        <f>IFERROR(__xludf.DUMMYFUNCTION("""COMPUTED_VALUE"""),45755.39287927083)</f>
        <v>45755.39288</v>
      </c>
      <c r="B92" s="3" t="str">
        <f>IFERROR(__xludf.DUMMYFUNCTION("""COMPUTED_VALUE"""),"MFHRO0026")</f>
        <v>MFHRO0026</v>
      </c>
      <c r="C92" s="3" t="str">
        <f>IFERROR(__xludf.DUMMYFUNCTION("""COMPUTED_VALUE"""),"MIn Stok")</f>
        <v>MIn Stok</v>
      </c>
      <c r="D92" s="3" t="str">
        <f>IFERROR(__xludf.DUMMYFUNCTION("""COMPUTED_VALUE"""),"-")</f>
        <v>-</v>
      </c>
      <c r="E92" s="3" t="str">
        <f>IFERROR(__xludf.DUMMYFUNCTION("""COMPUTED_VALUE"""),"FD")</f>
        <v>FD</v>
      </c>
      <c r="F92" s="3" t="str">
        <f>IFERROR(__xludf.DUMMYFUNCTION("""COMPUTED_VALUE"""),"Freeze Dryer MBE1207 -  Orifice No. 03 068-2006; Danfoss; ;")</f>
        <v>Freeze Dryer MBE1207 -  Orifice No. 03 068-2006; Danfoss; ;</v>
      </c>
      <c r="G92" s="3">
        <f>IFERROR(__xludf.DUMMYFUNCTION("""COMPUTED_VALUE"""),4.0)</f>
        <v>4</v>
      </c>
      <c r="H92" s="3" t="str">
        <f>IFERROR(__xludf.DUMMYFUNCTION("""COMPUTED_VALUE"""),"Pc")</f>
        <v>Pc</v>
      </c>
      <c r="I92" s="3" t="str">
        <f>IFERROR(__xludf.DUMMYFUNCTION("""COMPUTED_VALUE"""),"Min Stok FD PR 121702446")</f>
        <v>Min Stok FD PR 121702446</v>
      </c>
      <c r="J92" s="3" t="str">
        <f>IFERROR(__xludf.DUMMYFUNCTION("""COMPUTED_VALUE"""),"O-19212-00")</f>
        <v>O-19212-00</v>
      </c>
      <c r="K92" s="3" t="str">
        <f>IFERROR(__xludf.DUMMYFUNCTION("""COMPUTED_VALUE"""),"Approve")</f>
        <v>Approve</v>
      </c>
      <c r="L92" s="3" t="str">
        <f>IFERROR(__xludf.DUMMYFUNCTION("""COMPUTED_VALUE"""),"Normal")</f>
        <v>Normal</v>
      </c>
      <c r="M92" s="3" t="str">
        <f>IFERROR(__xludf.DUMMYFUNCTION("""COMPUTED_VALUE"""),"Non Urgent")</f>
        <v>Non Urgent</v>
      </c>
      <c r="N92" s="3">
        <f>IFERROR(__xludf.DUMMYFUNCTION("""COMPUTED_VALUE"""),45756.24240833333)</f>
        <v>45756.24241</v>
      </c>
    </row>
    <row r="93">
      <c r="A93" s="4">
        <f>IFERROR(__xludf.DUMMYFUNCTION("""COMPUTED_VALUE"""),45755.39597195602)</f>
        <v>45755.39597</v>
      </c>
      <c r="B93" s="3" t="str">
        <f>IFERROR(__xludf.DUMMYFUNCTION("""COMPUTED_VALUE"""),"MFHRO0027")</f>
        <v>MFHRO0027</v>
      </c>
      <c r="C93" s="3" t="str">
        <f>IFERROR(__xludf.DUMMYFUNCTION("""COMPUTED_VALUE"""),"MIn Stok")</f>
        <v>MIn Stok</v>
      </c>
      <c r="D93" s="3" t="str">
        <f>IFERROR(__xludf.DUMMYFUNCTION("""COMPUTED_VALUE"""),"-")</f>
        <v>-</v>
      </c>
      <c r="E93" s="3" t="str">
        <f>IFERROR(__xludf.DUMMYFUNCTION("""COMPUTED_VALUE"""),"FD")</f>
        <v>FD</v>
      </c>
      <c r="F93" s="3" t="str">
        <f>IFERROR(__xludf.DUMMYFUNCTION("""COMPUTED_VALUE"""),"FD Lyofast 10 - hydraulically Balanced Valve EB02-00595 Disused:CMB 20/T-N_FLUCOM Replaced by:M8596N; ; ;")</f>
        <v>FD Lyofast 10 - hydraulically Balanced Valve EB02-00595 Disused:CMB 20/T-N_FLUCOM Replaced by:M8596N; ; ;</v>
      </c>
      <c r="G93" s="3">
        <f>IFERROR(__xludf.DUMMYFUNCTION("""COMPUTED_VALUE"""),1.0)</f>
        <v>1</v>
      </c>
      <c r="H93" s="3" t="str">
        <f>IFERROR(__xludf.DUMMYFUNCTION("""COMPUTED_VALUE"""),"Pc")</f>
        <v>Pc</v>
      </c>
      <c r="I93" s="3" t="str">
        <f>IFERROR(__xludf.DUMMYFUNCTION("""COMPUTED_VALUE"""),"Min Stok FD PR 121702450")</f>
        <v>Min Stok FD PR 121702450</v>
      </c>
      <c r="J93" s="3" t="str">
        <f>IFERROR(__xludf.DUMMYFUNCTION("""COMPUTED_VALUE"""),"O-18560-00")</f>
        <v>O-18560-00</v>
      </c>
      <c r="K93" s="3" t="str">
        <f>IFERROR(__xludf.DUMMYFUNCTION("""COMPUTED_VALUE"""),"Approve")</f>
        <v>Approve</v>
      </c>
      <c r="L93" s="3" t="str">
        <f>IFERROR(__xludf.DUMMYFUNCTION("""COMPUTED_VALUE"""),"Normal")</f>
        <v>Normal</v>
      </c>
      <c r="M93" s="3" t="str">
        <f>IFERROR(__xludf.DUMMYFUNCTION("""COMPUTED_VALUE"""),"Non Urgent")</f>
        <v>Non Urgent</v>
      </c>
      <c r="N93" s="3">
        <f>IFERROR(__xludf.DUMMYFUNCTION("""COMPUTED_VALUE"""),45756.24257357639)</f>
        <v>45756.24257</v>
      </c>
    </row>
    <row r="94">
      <c r="A94" s="4">
        <f>IFERROR(__xludf.DUMMYFUNCTION("""COMPUTED_VALUE"""),45755.39732106481)</f>
        <v>45755.39732</v>
      </c>
      <c r="B94" s="3" t="str">
        <f>IFERROR(__xludf.DUMMYFUNCTION("""COMPUTED_VALUE"""),"MFHRO0028")</f>
        <v>MFHRO0028</v>
      </c>
      <c r="C94" s="3" t="str">
        <f>IFERROR(__xludf.DUMMYFUNCTION("""COMPUTED_VALUE"""),"MIn Stok")</f>
        <v>MIn Stok</v>
      </c>
      <c r="D94" s="3" t="str">
        <f>IFERROR(__xludf.DUMMYFUNCTION("""COMPUTED_VALUE"""),"-")</f>
        <v>-</v>
      </c>
      <c r="E94" s="3" t="str">
        <f>IFERROR(__xludf.DUMMYFUNCTION("""COMPUTED_VALUE"""),"FD")</f>
        <v>FD</v>
      </c>
      <c r="F94" s="3" t="str">
        <f>IFERROR(__xludf.DUMMYFUNCTION("""COMPUTED_VALUE"""),"Freeze Dryer MBE1207 - SV169 MYCOM COMPLETE SOLENOLD VALVE, XOF-240V1 include valve body and coil P/; MAYEKAWA; ;")</f>
        <v>Freeze Dryer MBE1207 - SV169 MYCOM COMPLETE SOLENOLD VALVE, XOF-240V1 include valve body and coil P/; MAYEKAWA; ;</v>
      </c>
      <c r="G94" s="3">
        <f>IFERROR(__xludf.DUMMYFUNCTION("""COMPUTED_VALUE"""),2.0)</f>
        <v>2</v>
      </c>
      <c r="H94" s="3" t="str">
        <f>IFERROR(__xludf.DUMMYFUNCTION("""COMPUTED_VALUE"""),"Pc")</f>
        <v>Pc</v>
      </c>
      <c r="I94" s="3" t="str">
        <f>IFERROR(__xludf.DUMMYFUNCTION("""COMPUTED_VALUE"""),"Min Stok FD PR 121702450")</f>
        <v>Min Stok FD PR 121702450</v>
      </c>
      <c r="J94" s="3" t="str">
        <f>IFERROR(__xludf.DUMMYFUNCTION("""COMPUTED_VALUE"""),"O-52831-00")</f>
        <v>O-52831-00</v>
      </c>
      <c r="K94" s="3" t="str">
        <f>IFERROR(__xludf.DUMMYFUNCTION("""COMPUTED_VALUE"""),"Approve")</f>
        <v>Approve</v>
      </c>
      <c r="L94" s="3" t="str">
        <f>IFERROR(__xludf.DUMMYFUNCTION("""COMPUTED_VALUE"""),"Normal")</f>
        <v>Normal</v>
      </c>
      <c r="M94" s="3" t="str">
        <f>IFERROR(__xludf.DUMMYFUNCTION("""COMPUTED_VALUE"""),"Non Urgent")</f>
        <v>Non Urgent</v>
      </c>
      <c r="N94" s="3">
        <f>IFERROR(__xludf.DUMMYFUNCTION("""COMPUTED_VALUE"""),45756.24270300926)</f>
        <v>45756.2427</v>
      </c>
    </row>
    <row r="95">
      <c r="A95" s="4">
        <f>IFERROR(__xludf.DUMMYFUNCTION("""COMPUTED_VALUE"""),45755.39801503473)</f>
        <v>45755.39802</v>
      </c>
      <c r="B95" s="3" t="str">
        <f>IFERROR(__xludf.DUMMYFUNCTION("""COMPUTED_VALUE"""),"MFHRO0029")</f>
        <v>MFHRO0029</v>
      </c>
      <c r="C95" s="3" t="str">
        <f>IFERROR(__xludf.DUMMYFUNCTION("""COMPUTED_VALUE"""),"MIn Stok")</f>
        <v>MIn Stok</v>
      </c>
      <c r="D95" s="3" t="str">
        <f>IFERROR(__xludf.DUMMYFUNCTION("""COMPUTED_VALUE"""),"-")</f>
        <v>-</v>
      </c>
      <c r="E95" s="3" t="str">
        <f>IFERROR(__xludf.DUMMYFUNCTION("""COMPUTED_VALUE"""),"FD")</f>
        <v>FD</v>
      </c>
      <c r="F95" s="3" t="str">
        <f>IFERROR(__xludf.DUMMYFUNCTION("""COMPUTED_VALUE"""),"Freeze Dryer MBE1207 - Valve Body S20 DN40 ANSI150 Flg BODY:CI DISC:316SS Mirror finish STEM 316SS P; ; ;")</f>
        <v>Freeze Dryer MBE1207 - Valve Body S20 DN40 ANSI150 Flg BODY:CI DISC:316SS Mirror finish STEM 316SS P; ; ;</v>
      </c>
      <c r="G95" s="3">
        <f>IFERROR(__xludf.DUMMYFUNCTION("""COMPUTED_VALUE"""),2.0)</f>
        <v>2</v>
      </c>
      <c r="H95" s="3" t="str">
        <f>IFERROR(__xludf.DUMMYFUNCTION("""COMPUTED_VALUE"""),"Pc")</f>
        <v>Pc</v>
      </c>
      <c r="I95" s="3" t="str">
        <f>IFERROR(__xludf.DUMMYFUNCTION("""COMPUTED_VALUE"""),"Min Stok FD PR 121702450")</f>
        <v>Min Stok FD PR 121702450</v>
      </c>
      <c r="J95" s="3" t="str">
        <f>IFERROR(__xludf.DUMMYFUNCTION("""COMPUTED_VALUE"""),"O-18914-00")</f>
        <v>O-18914-00</v>
      </c>
      <c r="K95" s="3" t="str">
        <f>IFERROR(__xludf.DUMMYFUNCTION("""COMPUTED_VALUE"""),"Approve")</f>
        <v>Approve</v>
      </c>
      <c r="L95" s="3" t="str">
        <f>IFERROR(__xludf.DUMMYFUNCTION("""COMPUTED_VALUE"""),"Normal")</f>
        <v>Normal</v>
      </c>
      <c r="M95" s="3" t="str">
        <f>IFERROR(__xludf.DUMMYFUNCTION("""COMPUTED_VALUE"""),"Non Urgent")</f>
        <v>Non Urgent</v>
      </c>
      <c r="N95" s="3">
        <f>IFERROR(__xludf.DUMMYFUNCTION("""COMPUTED_VALUE"""),45756.242907673615)</f>
        <v>45756.24291</v>
      </c>
    </row>
    <row r="96">
      <c r="A96" s="4">
        <f>IFERROR(__xludf.DUMMYFUNCTION("""COMPUTED_VALUE"""),45755.3986628125)</f>
        <v>45755.39866</v>
      </c>
      <c r="B96" s="3" t="str">
        <f>IFERROR(__xludf.DUMMYFUNCTION("""COMPUTED_VALUE"""),"MFHRO0030")</f>
        <v>MFHRO0030</v>
      </c>
      <c r="C96" s="3" t="str">
        <f>IFERROR(__xludf.DUMMYFUNCTION("""COMPUTED_VALUE"""),"MIn Stok")</f>
        <v>MIn Stok</v>
      </c>
      <c r="D96" s="3" t="str">
        <f>IFERROR(__xludf.DUMMYFUNCTION("""COMPUTED_VALUE"""),"-")</f>
        <v>-</v>
      </c>
      <c r="E96" s="3" t="str">
        <f>IFERROR(__xludf.DUMMYFUNCTION("""COMPUTED_VALUE"""),"FD")</f>
        <v>FD</v>
      </c>
      <c r="F96" s="3" t="str">
        <f>IFERROR(__xludf.DUMMYFUNCTION("""COMPUTED_VALUE"""),"Clamp Vacuum KF16 Alumunium; ; ;")</f>
        <v>Clamp Vacuum KF16 Alumunium; ; ;</v>
      </c>
      <c r="G96" s="3">
        <f>IFERROR(__xludf.DUMMYFUNCTION("""COMPUTED_VALUE"""),10.0)</f>
        <v>10</v>
      </c>
      <c r="H96" s="3" t="str">
        <f>IFERROR(__xludf.DUMMYFUNCTION("""COMPUTED_VALUE"""),"Pc")</f>
        <v>Pc</v>
      </c>
      <c r="I96" s="3" t="str">
        <f>IFERROR(__xludf.DUMMYFUNCTION("""COMPUTED_VALUE"""),"Min Stok FD PR 121702452")</f>
        <v>Min Stok FD PR 121702452</v>
      </c>
      <c r="J96" s="3" t="str">
        <f>IFERROR(__xludf.DUMMYFUNCTION("""COMPUTED_VALUE"""),"O-19798-00")</f>
        <v>O-19798-00</v>
      </c>
      <c r="K96" s="3" t="str">
        <f>IFERROR(__xludf.DUMMYFUNCTION("""COMPUTED_VALUE"""),"Approve")</f>
        <v>Approve</v>
      </c>
      <c r="L96" s="3" t="str">
        <f>IFERROR(__xludf.DUMMYFUNCTION("""COMPUTED_VALUE"""),"Normal")</f>
        <v>Normal</v>
      </c>
      <c r="M96" s="3" t="str">
        <f>IFERROR(__xludf.DUMMYFUNCTION("""COMPUTED_VALUE"""),"Non Urgent")</f>
        <v>Non Urgent</v>
      </c>
      <c r="N96" s="3">
        <f>IFERROR(__xludf.DUMMYFUNCTION("""COMPUTED_VALUE"""),45756.24300398148)</f>
        <v>45756.243</v>
      </c>
    </row>
    <row r="97">
      <c r="A97" s="4">
        <f>IFERROR(__xludf.DUMMYFUNCTION("""COMPUTED_VALUE"""),45755.39978251157)</f>
        <v>45755.39978</v>
      </c>
      <c r="B97" s="3" t="str">
        <f>IFERROR(__xludf.DUMMYFUNCTION("""COMPUTED_VALUE"""),"MFHRO0031")</f>
        <v>MFHRO0031</v>
      </c>
      <c r="C97" s="3" t="str">
        <f>IFERROR(__xludf.DUMMYFUNCTION("""COMPUTED_VALUE"""),"Consumable")</f>
        <v>Consumable</v>
      </c>
      <c r="D97" s="3" t="str">
        <f>IFERROR(__xludf.DUMMYFUNCTION("""COMPUTED_VALUE"""),"-")</f>
        <v>-</v>
      </c>
      <c r="E97" s="3" t="str">
        <f>IFERROR(__xludf.DUMMYFUNCTION("""COMPUTED_VALUE"""),"PWG")</f>
        <v>PWG</v>
      </c>
      <c r="F97" s="3" t="str">
        <f>IFERROR(__xludf.DUMMYFUNCTION("""COMPUTED_VALUE"""),"Garam Kutreat RGN-9800F; ; ; 25Kg/zak")</f>
        <v>Garam Kutreat RGN-9800F; ; ; 25Kg/zak</v>
      </c>
      <c r="G97" s="3">
        <f>IFERROR(__xludf.DUMMYFUNCTION("""COMPUTED_VALUE"""),450.0)</f>
        <v>450</v>
      </c>
      <c r="H97" s="3" t="str">
        <f>IFERROR(__xludf.DUMMYFUNCTION("""COMPUTED_VALUE"""),"Kg")</f>
        <v>Kg</v>
      </c>
      <c r="I97" s="3" t="str">
        <f>IFERROR(__xludf.DUMMYFUNCTION("""COMPUTED_VALUE"""),"Blanketing Garam Semester 2 2025")</f>
        <v>Blanketing Garam Semester 2 2025</v>
      </c>
      <c r="J97" s="3" t="str">
        <f>IFERROR(__xludf.DUMMYFUNCTION("""COMPUTED_VALUE"""),"P-14424-00")</f>
        <v>P-14424-00</v>
      </c>
      <c r="K97" s="3" t="str">
        <f>IFERROR(__xludf.DUMMYFUNCTION("""COMPUTED_VALUE"""),"Approve")</f>
        <v>Approve</v>
      </c>
      <c r="L97" s="3" t="str">
        <f>IFERROR(__xludf.DUMMYFUNCTION("""COMPUTED_VALUE"""),"Normal")</f>
        <v>Normal</v>
      </c>
      <c r="M97" s="3" t="str">
        <f>IFERROR(__xludf.DUMMYFUNCTION("""COMPUTED_VALUE"""),"Non Urgent")</f>
        <v>Non Urgent</v>
      </c>
      <c r="N97" s="3">
        <f>IFERROR(__xludf.DUMMYFUNCTION("""COMPUTED_VALUE"""),45756.24309292824)</f>
        <v>45756.24309</v>
      </c>
    </row>
    <row r="98">
      <c r="A98" s="4">
        <f>IFERROR(__xludf.DUMMYFUNCTION("""COMPUTED_VALUE"""),45755.40140925926)</f>
        <v>45755.40141</v>
      </c>
      <c r="B98" s="3" t="str">
        <f>IFERROR(__xludf.DUMMYFUNCTION("""COMPUTED_VALUE"""),"MFHRO0032")</f>
        <v>MFHRO0032</v>
      </c>
      <c r="C98" s="3" t="str">
        <f>IFERROR(__xludf.DUMMYFUNCTION("""COMPUTED_VALUE"""),"MIn Stok")</f>
        <v>MIn Stok</v>
      </c>
      <c r="D98" s="3" t="str">
        <f>IFERROR(__xludf.DUMMYFUNCTION("""COMPUTED_VALUE"""),"-")</f>
        <v>-</v>
      </c>
      <c r="E98" s="3" t="str">
        <f>IFERROR(__xludf.DUMMYFUNCTION("""COMPUTED_VALUE"""),"HPLC")</f>
        <v>HPLC</v>
      </c>
      <c r="F98" s="3" t="str">
        <f>IFERROR(__xludf.DUMMYFUNCTION("""COMPUTED_VALUE"""),"Acquity PDA/TUV 2489/2998 Perf Main Kit (lampu HPLC); Waters; P/N 201000281; 1 pc")</f>
        <v>Acquity PDA/TUV 2489/2998 Perf Main Kit (lampu HPLC); Waters; P/N 201000281; 1 pc</v>
      </c>
      <c r="G98" s="3">
        <f>IFERROR(__xludf.DUMMYFUNCTION("""COMPUTED_VALUE"""),6.0)</f>
        <v>6</v>
      </c>
      <c r="H98" s="3" t="str">
        <f>IFERROR(__xludf.DUMMYFUNCTION("""COMPUTED_VALUE"""),"Pc")</f>
        <v>Pc</v>
      </c>
      <c r="I98" s="3" t="str">
        <f>IFERROR(__xludf.DUMMYFUNCTION("""COMPUTED_VALUE"""),"Blanketing Lampu UV HPLC Semester 1 2025")</f>
        <v>Blanketing Lampu UV HPLC Semester 1 2025</v>
      </c>
      <c r="J98" s="3" t="str">
        <f>IFERROR(__xludf.DUMMYFUNCTION("""COMPUTED_VALUE"""),"T-20123-00")</f>
        <v>T-20123-00</v>
      </c>
      <c r="K98" s="3" t="str">
        <f>IFERROR(__xludf.DUMMYFUNCTION("""COMPUTED_VALUE"""),"Approve")</f>
        <v>Approve</v>
      </c>
      <c r="L98" s="3" t="str">
        <f>IFERROR(__xludf.DUMMYFUNCTION("""COMPUTED_VALUE"""),"Normal")</f>
        <v>Normal</v>
      </c>
      <c r="M98" s="3" t="str">
        <f>IFERROR(__xludf.DUMMYFUNCTION("""COMPUTED_VALUE"""),"Non Urgent")</f>
        <v>Non Urgent</v>
      </c>
      <c r="N98" s="3">
        <f>IFERROR(__xludf.DUMMYFUNCTION("""COMPUTED_VALUE"""),45756.243300625)</f>
        <v>45756.2433</v>
      </c>
    </row>
    <row r="99">
      <c r="A99" s="4">
        <f>IFERROR(__xludf.DUMMYFUNCTION("""COMPUTED_VALUE"""),45755.40190237269)</f>
        <v>45755.4019</v>
      </c>
      <c r="B99" s="3" t="str">
        <f>IFERROR(__xludf.DUMMYFUNCTION("""COMPUTED_VALUE"""),"MFHRO0033")</f>
        <v>MFHRO0033</v>
      </c>
      <c r="C99" s="3" t="str">
        <f>IFERROR(__xludf.DUMMYFUNCTION("""COMPUTED_VALUE"""),"MIn Stok")</f>
        <v>MIn Stok</v>
      </c>
      <c r="D99" s="3" t="str">
        <f>IFERROR(__xludf.DUMMYFUNCTION("""COMPUTED_VALUE"""),"-")</f>
        <v>-</v>
      </c>
      <c r="E99" s="3" t="str">
        <f>IFERROR(__xludf.DUMMYFUNCTION("""COMPUTED_VALUE"""),"Mixing")</f>
        <v>Mixing</v>
      </c>
      <c r="F99" s="3" t="str">
        <f>IFERROR(__xludf.DUMMYFUNCTION("""COMPUTED_VALUE"""),"Mixing Tank - Sensor RTD 2X 100 Ohm (Duplex) with Transmitter Dia 6x81mm Mat SUS316 Class A; Custom/Lokal; -; 1 Pc")</f>
        <v>Mixing Tank - Sensor RTD 2X 100 Ohm (Duplex) with Transmitter Dia 6x81mm Mat SUS316 Class A; Custom/Lokal; -; 1 Pc</v>
      </c>
      <c r="G99" s="3">
        <f>IFERROR(__xludf.DUMMYFUNCTION("""COMPUTED_VALUE"""),1.0)</f>
        <v>1</v>
      </c>
      <c r="H99" s="3" t="str">
        <f>IFERROR(__xludf.DUMMYFUNCTION("""COMPUTED_VALUE"""),"Pc")</f>
        <v>Pc</v>
      </c>
      <c r="I99" s="3" t="str">
        <f>IFERROR(__xludf.DUMMYFUNCTION("""COMPUTED_VALUE"""),"Min Stok Sensor RTD Mixinf")</f>
        <v>Min Stok Sensor RTD Mixinf</v>
      </c>
      <c r="J99" s="3" t="str">
        <f>IFERROR(__xludf.DUMMYFUNCTION("""COMPUTED_VALUE"""),"O-53218-00")</f>
        <v>O-53218-00</v>
      </c>
      <c r="K99" s="3" t="str">
        <f>IFERROR(__xludf.DUMMYFUNCTION("""COMPUTED_VALUE"""),"Approve")</f>
        <v>Approve</v>
      </c>
      <c r="L99" s="3" t="str">
        <f>IFERROR(__xludf.DUMMYFUNCTION("""COMPUTED_VALUE"""),"Normal")</f>
        <v>Normal</v>
      </c>
      <c r="M99" s="3" t="str">
        <f>IFERROR(__xludf.DUMMYFUNCTION("""COMPUTED_VALUE"""),"Non Urgent")</f>
        <v>Non Urgent</v>
      </c>
      <c r="N99" s="3">
        <f>IFERROR(__xludf.DUMMYFUNCTION("""COMPUTED_VALUE"""),45756.243397997685)</f>
        <v>45756.2434</v>
      </c>
    </row>
    <row r="100">
      <c r="A100" s="4">
        <f>IFERROR(__xludf.DUMMYFUNCTION("""COMPUTED_VALUE"""),45755.445092685186)</f>
        <v>45755.44509</v>
      </c>
      <c r="B100" s="3" t="str">
        <f>IFERROR(__xludf.DUMMYFUNCTION("""COMPUTED_VALUE"""),"MFHRO0034")</f>
        <v>MFHRO0034</v>
      </c>
      <c r="C100" s="3" t="str">
        <f>IFERROR(__xludf.DUMMYFUNCTION("""COMPUTED_VALUE"""),"MIn Stok")</f>
        <v>MIn Stok</v>
      </c>
      <c r="D100" s="3" t="str">
        <f>IFERROR(__xludf.DUMMYFUNCTION("""COMPUTED_VALUE"""),"-")</f>
        <v>-</v>
      </c>
      <c r="E100" s="3" t="str">
        <f>IFERROR(__xludf.DUMMYFUNCTION("""COMPUTED_VALUE"""),"Building")</f>
        <v>Building</v>
      </c>
      <c r="F100" s="3" t="str">
        <f>IFERROR(__xludf.DUMMYFUNCTION("""COMPUTED_VALUE"""),"Magnetic door stopper; Dekson; Part No. MDS 889 SN;")</f>
        <v>Magnetic door stopper; Dekson; Part No. MDS 889 SN;</v>
      </c>
      <c r="G100" s="3">
        <f>IFERROR(__xludf.DUMMYFUNCTION("""COMPUTED_VALUE"""),35.0)</f>
        <v>35</v>
      </c>
      <c r="H100" s="3" t="str">
        <f>IFERROR(__xludf.DUMMYFUNCTION("""COMPUTED_VALUE"""),"Pc")</f>
        <v>Pc</v>
      </c>
      <c r="I100" s="3" t="str">
        <f>IFERROR(__xludf.DUMMYFUNCTION("""COMPUTED_VALUE"""),"Min Stok Door Stopper PR 1217024999")</f>
        <v>Min Stok Door Stopper PR 1217024999</v>
      </c>
      <c r="J100" s="3" t="str">
        <f>IFERROR(__xludf.DUMMYFUNCTION("""COMPUTED_VALUE"""),"Q-10460-00")</f>
        <v>Q-10460-00</v>
      </c>
      <c r="K100" s="3" t="str">
        <f>IFERROR(__xludf.DUMMYFUNCTION("""COMPUTED_VALUE"""),"Approve")</f>
        <v>Approve</v>
      </c>
      <c r="L100" s="3" t="str">
        <f>IFERROR(__xludf.DUMMYFUNCTION("""COMPUTED_VALUE"""),"Normal")</f>
        <v>Normal</v>
      </c>
      <c r="M100" s="3" t="str">
        <f>IFERROR(__xludf.DUMMYFUNCTION("""COMPUTED_VALUE"""),"Non Urgent")</f>
        <v>Non Urgent</v>
      </c>
      <c r="N100" s="3">
        <f>IFERROR(__xludf.DUMMYFUNCTION("""COMPUTED_VALUE"""),45756.243506493054)</f>
        <v>45756.24351</v>
      </c>
    </row>
    <row r="101">
      <c r="A101" s="4">
        <f>IFERROR(__xludf.DUMMYFUNCTION("""COMPUTED_VALUE"""),45755.445092685186)</f>
        <v>45755.44509</v>
      </c>
      <c r="B101" s="3" t="str">
        <f>IFERROR(__xludf.DUMMYFUNCTION("""COMPUTED_VALUE"""),"MFHRO0035")</f>
        <v>MFHRO0035</v>
      </c>
      <c r="C101" s="3" t="str">
        <f>IFERROR(__xludf.DUMMYFUNCTION("""COMPUTED_VALUE"""),"Consumable")</f>
        <v>Consumable</v>
      </c>
      <c r="D101" s="3" t="str">
        <f>IFERROR(__xludf.DUMMYFUNCTION("""COMPUTED_VALUE"""),"-")</f>
        <v>-</v>
      </c>
      <c r="E101" s="3" t="str">
        <f>IFERROR(__xludf.DUMMYFUNCTION("""COMPUTED_VALUE"""),"Tabletting")</f>
        <v>Tabletting</v>
      </c>
      <c r="F101" s="3" t="str">
        <f>IFERROR(__xludf.DUMMYFUNCTION("""COMPUTED_VALUE"""),"Lubricant ? Food grade oil Viscolab 150 - Pc=Liter")</f>
        <v>Lubricant ? Food grade oil Viscolab 150 - Pc=Liter</v>
      </c>
      <c r="G101" s="3">
        <f>IFERROR(__xludf.DUMMYFUNCTION("""COMPUTED_VALUE"""),40.0)</f>
        <v>40</v>
      </c>
      <c r="H101" s="3" t="str">
        <f>IFERROR(__xludf.DUMMYFUNCTION("""COMPUTED_VALUE"""),"Pc")</f>
        <v>Pc</v>
      </c>
      <c r="I101" s="3" t="str">
        <f>IFERROR(__xludf.DUMMYFUNCTION("""COMPUTED_VALUE"""),"Consumable Oli Foodgrade Tabletting PR 121702518")</f>
        <v>Consumable Oli Foodgrade Tabletting PR 121702518</v>
      </c>
      <c r="J101" s="3" t="str">
        <f>IFERROR(__xludf.DUMMYFUNCTION("""COMPUTED_VALUE"""),"O-11356-00")</f>
        <v>O-11356-00</v>
      </c>
      <c r="K101" s="3" t="str">
        <f>IFERROR(__xludf.DUMMYFUNCTION("""COMPUTED_VALUE"""),"Approve")</f>
        <v>Approve</v>
      </c>
      <c r="L101" s="3" t="str">
        <f>IFERROR(__xludf.DUMMYFUNCTION("""COMPUTED_VALUE"""),"Normal")</f>
        <v>Normal</v>
      </c>
      <c r="M101" s="3" t="str">
        <f>IFERROR(__xludf.DUMMYFUNCTION("""COMPUTED_VALUE"""),"Non Urgent")</f>
        <v>Non Urgent</v>
      </c>
      <c r="N101" s="3">
        <f>IFERROR(__xludf.DUMMYFUNCTION("""COMPUTED_VALUE"""),45756.2436174537)</f>
        <v>45756.24362</v>
      </c>
    </row>
    <row r="102">
      <c r="A102" s="4">
        <f>IFERROR(__xludf.DUMMYFUNCTION("""COMPUTED_VALUE"""),45755.445092685186)</f>
        <v>45755.44509</v>
      </c>
      <c r="B102" s="3" t="str">
        <f>IFERROR(__xludf.DUMMYFUNCTION("""COMPUTED_VALUE"""),"MFHRO0036")</f>
        <v>MFHRO0036</v>
      </c>
      <c r="C102" s="3" t="str">
        <f>IFERROR(__xludf.DUMMYFUNCTION("""COMPUTED_VALUE"""),"Consumable")</f>
        <v>Consumable</v>
      </c>
      <c r="D102" s="3" t="str">
        <f>IFERROR(__xludf.DUMMYFUNCTION("""COMPUTED_VALUE"""),"-")</f>
        <v>-</v>
      </c>
      <c r="E102" s="3" t="str">
        <f>IFERROR(__xludf.DUMMYFUNCTION("""COMPUTED_VALUE"""),"Tools")</f>
        <v>Tools</v>
      </c>
      <c r="F102" s="3" t="str">
        <f>IFERROR(__xludf.DUMMYFUNCTION("""COMPUTED_VALUE"""),"Bor Impact Drill GSB 600; Bosch; 06011A03K2; set")</f>
        <v>Bor Impact Drill GSB 600; Bosch; 06011A03K2; set</v>
      </c>
      <c r="G102" s="3">
        <f>IFERROR(__xludf.DUMMYFUNCTION("""COMPUTED_VALUE"""),1.0)</f>
        <v>1</v>
      </c>
      <c r="H102" s="3" t="str">
        <f>IFERROR(__xludf.DUMMYFUNCTION("""COMPUTED_VALUE"""),"Pc")</f>
        <v>Pc</v>
      </c>
      <c r="I102" s="3" t="str">
        <f>IFERROR(__xludf.DUMMYFUNCTION("""COMPUTED_VALUE"""),"Tools Eng PR 121702528")</f>
        <v>Tools Eng PR 121702528</v>
      </c>
      <c r="J102" s="3" t="str">
        <f>IFERROR(__xludf.DUMMYFUNCTION("""COMPUTED_VALUE"""),"Q-70158-00")</f>
        <v>Q-70158-00</v>
      </c>
      <c r="K102" s="3" t="str">
        <f>IFERROR(__xludf.DUMMYFUNCTION("""COMPUTED_VALUE"""),"Approve")</f>
        <v>Approve</v>
      </c>
      <c r="L102" s="3" t="str">
        <f>IFERROR(__xludf.DUMMYFUNCTION("""COMPUTED_VALUE"""),"Normal")</f>
        <v>Normal</v>
      </c>
      <c r="M102" s="3" t="str">
        <f>IFERROR(__xludf.DUMMYFUNCTION("""COMPUTED_VALUE"""),"Non Urgent")</f>
        <v>Non Urgent</v>
      </c>
      <c r="N102" s="3">
        <f>IFERROR(__xludf.DUMMYFUNCTION("""COMPUTED_VALUE"""),45756.24373015046)</f>
        <v>45756.24373</v>
      </c>
    </row>
    <row r="103">
      <c r="A103" s="4">
        <f>IFERROR(__xludf.DUMMYFUNCTION("""COMPUTED_VALUE"""),45755.445092685186)</f>
        <v>45755.44509</v>
      </c>
      <c r="B103" s="3" t="str">
        <f>IFERROR(__xludf.DUMMYFUNCTION("""COMPUTED_VALUE"""),"MFHRO0037")</f>
        <v>MFHRO0037</v>
      </c>
      <c r="C103" s="3" t="str">
        <f>IFERROR(__xludf.DUMMYFUNCTION("""COMPUTED_VALUE"""),"Consumable")</f>
        <v>Consumable</v>
      </c>
      <c r="D103" s="3" t="str">
        <f>IFERROR(__xludf.DUMMYFUNCTION("""COMPUTED_VALUE"""),"-")</f>
        <v>-</v>
      </c>
      <c r="E103" s="3" t="str">
        <f>IFERROR(__xludf.DUMMYFUNCTION("""COMPUTED_VALUE"""),"cRABS")</f>
        <v>cRABS</v>
      </c>
      <c r="F103" s="3" t="str">
        <f>IFERROR(__xludf.DUMMYFUNCTION("""COMPUTED_VALUE"""),"Isolator Gloves E10330 Y 7 E4 4; 000156; Material : CSM; Shape : E10; Size : 7; Thickness (mm) : 4/1; ; ;")</f>
        <v>Isolator Gloves E10330 Y 7 E4 4; 000156; Material : CSM; Shape : E10; Size : 7; Thickness (mm) : 4/1; ; ;</v>
      </c>
      <c r="G103" s="3">
        <f>IFERROR(__xludf.DUMMYFUNCTION("""COMPUTED_VALUE"""),20.0)</f>
        <v>20</v>
      </c>
      <c r="H103" s="3" t="str">
        <f>IFERROR(__xludf.DUMMYFUNCTION("""COMPUTED_VALUE"""),"Pc")</f>
        <v>Pc</v>
      </c>
      <c r="I103" s="3" t="str">
        <f>IFERROR(__xludf.DUMMYFUNCTION("""COMPUTED_VALUE"""),"Consumable Gloves untuk cRABS PR 121702529")</f>
        <v>Consumable Gloves untuk cRABS PR 121702529</v>
      </c>
      <c r="J103" s="3" t="str">
        <f>IFERROR(__xludf.DUMMYFUNCTION("""COMPUTED_VALUE"""),"#N/A")</f>
        <v>#N/A</v>
      </c>
      <c r="K103" s="3" t="str">
        <f>IFERROR(__xludf.DUMMYFUNCTION("""COMPUTED_VALUE"""),"Approve")</f>
        <v>Approve</v>
      </c>
      <c r="L103" s="3" t="str">
        <f>IFERROR(__xludf.DUMMYFUNCTION("""COMPUTED_VALUE"""),"Normal")</f>
        <v>Normal</v>
      </c>
      <c r="M103" s="3" t="str">
        <f>IFERROR(__xludf.DUMMYFUNCTION("""COMPUTED_VALUE"""),"Non Urgent")</f>
        <v>Non Urgent</v>
      </c>
      <c r="N103" s="3">
        <f>IFERROR(__xludf.DUMMYFUNCTION("""COMPUTED_VALUE"""),45756.24383457176)</f>
        <v>45756.24383</v>
      </c>
    </row>
    <row r="104">
      <c r="A104" s="4">
        <f>IFERROR(__xludf.DUMMYFUNCTION("""COMPUTED_VALUE"""),45755.44785783565)</f>
        <v>45755.44786</v>
      </c>
      <c r="B104" s="3" t="str">
        <f>IFERROR(__xludf.DUMMYFUNCTION("""COMPUTED_VALUE"""),"MFHRO0038")</f>
        <v>MFHRO0038</v>
      </c>
      <c r="C104" s="3" t="str">
        <f>IFERROR(__xludf.DUMMYFUNCTION("""COMPUTED_VALUE"""),"Consumable")</f>
        <v>Consumable</v>
      </c>
      <c r="D104" s="3" t="str">
        <f>IFERROR(__xludf.DUMMYFUNCTION("""COMPUTED_VALUE"""),"-")</f>
        <v>-</v>
      </c>
      <c r="E104" s="3" t="str">
        <f>IFERROR(__xludf.DUMMYFUNCTION("""COMPUTED_VALUE"""),"General")</f>
        <v>General</v>
      </c>
      <c r="F104" s="3" t="str">
        <f>IFERROR(__xludf.DUMMYFUNCTION("""COMPUTED_VALUE"""),"Container Box; Claris; ; - Container/Box Plastik claris 70 liter (77x42x32) Type 1022")</f>
        <v>Container Box; Claris; ; - Container/Box Plastik claris 70 liter (77x42x32) Type 1022</v>
      </c>
      <c r="G104" s="3">
        <f>IFERROR(__xludf.DUMMYFUNCTION("""COMPUTED_VALUE"""),5.0)</f>
        <v>5</v>
      </c>
      <c r="H104" s="3" t="str">
        <f>IFERROR(__xludf.DUMMYFUNCTION("""COMPUTED_VALUE"""),"Pc")</f>
        <v>Pc</v>
      </c>
      <c r="I104" s="3" t="str">
        <f>IFERROR(__xludf.DUMMYFUNCTION("""COMPUTED_VALUE"""),"Klaris untuk simpan plastik dan spare PR 121702553")</f>
        <v>Klaris untuk simpan plastik dan spare PR 121702553</v>
      </c>
      <c r="J104" s="3" t="str">
        <f>IFERROR(__xludf.DUMMYFUNCTION("""COMPUTED_VALUE"""),"#N/A")</f>
        <v>#N/A</v>
      </c>
      <c r="K104" s="3" t="str">
        <f>IFERROR(__xludf.DUMMYFUNCTION("""COMPUTED_VALUE"""),"Approve")</f>
        <v>Approve</v>
      </c>
      <c r="L104" s="3" t="str">
        <f>IFERROR(__xludf.DUMMYFUNCTION("""COMPUTED_VALUE"""),"Normal")</f>
        <v>Normal</v>
      </c>
      <c r="M104" s="3" t="str">
        <f>IFERROR(__xludf.DUMMYFUNCTION("""COMPUTED_VALUE"""),"Non Urgent")</f>
        <v>Non Urgent</v>
      </c>
      <c r="N104" s="3">
        <f>IFERROR(__xludf.DUMMYFUNCTION("""COMPUTED_VALUE"""),45756.24394388889)</f>
        <v>45756.24394</v>
      </c>
    </row>
    <row r="105">
      <c r="A105" s="4">
        <f>IFERROR(__xludf.DUMMYFUNCTION("""COMPUTED_VALUE"""),45756.247224074075)</f>
        <v>45756.24722</v>
      </c>
      <c r="B105" s="3" t="str">
        <f>IFERROR(__xludf.DUMMYFUNCTION("""COMPUTED_VALUE"""),"MFHRO0039")</f>
        <v>MFHRO0039</v>
      </c>
      <c r="C105" s="3" t="str">
        <f>IFERROR(__xludf.DUMMYFUNCTION("""COMPUTED_VALUE"""),"Consumable")</f>
        <v>Consumable</v>
      </c>
      <c r="D105" s="3" t="str">
        <f>IFERROR(__xludf.DUMMYFUNCTION("""COMPUTED_VALUE"""),"-")</f>
        <v>-</v>
      </c>
      <c r="E105" s="3" t="str">
        <f>IFERROR(__xludf.DUMMYFUNCTION("""COMPUTED_VALUE"""),"cRABS")</f>
        <v>cRABS</v>
      </c>
      <c r="F105" s="3" t="str">
        <f>IFERROR(__xludf.DUMMYFUNCTION("""COMPUTED_VALUE"""),"General - Isolator Glove Smaller glove CSM  (AS : E10330 Y 7 E4); Austar; ; 1 Pc")</f>
        <v>General - Isolator Glove Smaller glove CSM  (AS : E10330 Y 7 E4); Austar; ; 1 Pc</v>
      </c>
      <c r="G105" s="3">
        <f>IFERROR(__xludf.DUMMYFUNCTION("""COMPUTED_VALUE"""),20.0)</f>
        <v>20</v>
      </c>
      <c r="H105" s="3" t="str">
        <f>IFERROR(__xludf.DUMMYFUNCTION("""COMPUTED_VALUE"""),"Pc")</f>
        <v>Pc</v>
      </c>
      <c r="I105" s="3" t="str">
        <f>IFERROR(__xludf.DUMMYFUNCTION("""COMPUTED_VALUE"""),"Glove cRABS ke Austar PR 121702579")</f>
        <v>Glove cRABS ke Austar PR 121702579</v>
      </c>
      <c r="J105" s="3" t="str">
        <f>IFERROR(__xludf.DUMMYFUNCTION("""COMPUTED_VALUE"""),"O-20487-00")</f>
        <v>O-20487-00</v>
      </c>
      <c r="K105" s="3" t="str">
        <f>IFERROR(__xludf.DUMMYFUNCTION("""COMPUTED_VALUE"""),"Approve")</f>
        <v>Approve</v>
      </c>
      <c r="L105" s="3" t="str">
        <f>IFERROR(__xludf.DUMMYFUNCTION("""COMPUTED_VALUE"""),"Normal")</f>
        <v>Normal</v>
      </c>
      <c r="M105" s="3" t="str">
        <f>IFERROR(__xludf.DUMMYFUNCTION("""COMPUTED_VALUE"""),"Non Urgent")</f>
        <v>Non Urgent</v>
      </c>
      <c r="N105" s="3">
        <f>IFERROR(__xludf.DUMMYFUNCTION("""COMPUTED_VALUE"""),45756.25503590278)</f>
        <v>45756.25504</v>
      </c>
    </row>
    <row r="106">
      <c r="A106" s="4">
        <f>IFERROR(__xludf.DUMMYFUNCTION("""COMPUTED_VALUE"""),45756.24822056713)</f>
        <v>45756.24822</v>
      </c>
      <c r="B106" s="3" t="str">
        <f>IFERROR(__xludf.DUMMYFUNCTION("""COMPUTED_VALUE"""),"MFHRO0040")</f>
        <v>MFHRO0040</v>
      </c>
      <c r="C106" s="3" t="str">
        <f>IFERROR(__xludf.DUMMYFUNCTION("""COMPUTED_VALUE"""),"Consumable")</f>
        <v>Consumable</v>
      </c>
      <c r="D106" s="3" t="str">
        <f>IFERROR(__xludf.DUMMYFUNCTION("""COMPUTED_VALUE"""),"-")</f>
        <v>-</v>
      </c>
      <c r="E106" s="3" t="str">
        <f>IFERROR(__xludf.DUMMYFUNCTION("""COMPUTED_VALUE"""),"Workshop")</f>
        <v>Workshop</v>
      </c>
      <c r="F106" s="3" t="str">
        <f>IFERROR(__xludf.DUMMYFUNCTION("""COMPUTED_VALUE"""),"General - Tungsten Electrodes dia 1.6 mm; No Brand; -; 1 pc")</f>
        <v>General - Tungsten Electrodes dia 1.6 mm; No Brand; -; 1 pc</v>
      </c>
      <c r="G106" s="3">
        <f>IFERROR(__xludf.DUMMYFUNCTION("""COMPUTED_VALUE"""),2.0)</f>
        <v>2</v>
      </c>
      <c r="H106" s="3" t="str">
        <f>IFERROR(__xludf.DUMMYFUNCTION("""COMPUTED_VALUE"""),"Pc")</f>
        <v>Pc</v>
      </c>
      <c r="I106" s="3" t="str">
        <f>IFERROR(__xludf.DUMMYFUNCTION("""COMPUTED_VALUE"""),"Tungstenm untuk stok workshop")</f>
        <v>Tungstenm untuk stok workshop</v>
      </c>
      <c r="J106" s="3" t="str">
        <f>IFERROR(__xludf.DUMMYFUNCTION("""COMPUTED_VALUE"""),"P-12920-00")</f>
        <v>P-12920-00</v>
      </c>
      <c r="K106" s="3" t="str">
        <f>IFERROR(__xludf.DUMMYFUNCTION("""COMPUTED_VALUE"""),"Approve")</f>
        <v>Approve</v>
      </c>
      <c r="L106" s="3" t="str">
        <f>IFERROR(__xludf.DUMMYFUNCTION("""COMPUTED_VALUE"""),"Normal")</f>
        <v>Normal</v>
      </c>
      <c r="M106" s="3" t="str">
        <f>IFERROR(__xludf.DUMMYFUNCTION("""COMPUTED_VALUE"""),"Non Urgent")</f>
        <v>Non Urgent</v>
      </c>
      <c r="N106" s="3">
        <f>IFERROR(__xludf.DUMMYFUNCTION("""COMPUTED_VALUE"""),45756.25513659722)</f>
        <v>45756.25514</v>
      </c>
    </row>
    <row r="107">
      <c r="A107" s="4">
        <f>IFERROR(__xludf.DUMMYFUNCTION("""COMPUTED_VALUE"""),45756.24866356482)</f>
        <v>45756.24866</v>
      </c>
      <c r="B107" s="3" t="str">
        <f>IFERROR(__xludf.DUMMYFUNCTION("""COMPUTED_VALUE"""),"MFHRO0041")</f>
        <v>MFHRO0041</v>
      </c>
      <c r="C107" s="3" t="str">
        <f>IFERROR(__xludf.DUMMYFUNCTION("""COMPUTED_VALUE"""),"Consumable")</f>
        <v>Consumable</v>
      </c>
      <c r="D107" s="3" t="str">
        <f>IFERROR(__xludf.DUMMYFUNCTION("""COMPUTED_VALUE"""),"-")</f>
        <v>-</v>
      </c>
      <c r="E107" s="3" t="str">
        <f>IFERROR(__xludf.DUMMYFUNCTION("""COMPUTED_VALUE"""),"Capping")</f>
        <v>Capping</v>
      </c>
      <c r="F107" s="3" t="str">
        <f>IFERROR(__xludf.DUMMYFUNCTION("""COMPUTED_VALUE"""),"General - Oring Silicone Merah 23x18x2.5 mm; -; -; 1 Pc")</f>
        <v>General - Oring Silicone Merah 23x18x2.5 mm; -; -; 1 Pc</v>
      </c>
      <c r="G107" s="3">
        <f>IFERROR(__xludf.DUMMYFUNCTION("""COMPUTED_VALUE"""),300.0)</f>
        <v>300</v>
      </c>
      <c r="H107" s="3" t="str">
        <f>IFERROR(__xludf.DUMMYFUNCTION("""COMPUTED_VALUE"""),"Pc")</f>
        <v>Pc</v>
      </c>
      <c r="I107" s="3" t="str">
        <f>IFERROR(__xludf.DUMMYFUNCTION("""COMPUTED_VALUE"""),"Blanketing Oring Capping 1 tahun 2025 PR 121702583")</f>
        <v>Blanketing Oring Capping 1 tahun 2025 PR 121702583</v>
      </c>
      <c r="J107" s="3" t="str">
        <f>IFERROR(__xludf.DUMMYFUNCTION("""COMPUTED_VALUE"""),"O-16647-00")</f>
        <v>O-16647-00</v>
      </c>
      <c r="K107" s="3" t="str">
        <f>IFERROR(__xludf.DUMMYFUNCTION("""COMPUTED_VALUE"""),"Approve")</f>
        <v>Approve</v>
      </c>
      <c r="L107" s="3" t="str">
        <f>IFERROR(__xludf.DUMMYFUNCTION("""COMPUTED_VALUE"""),"Normal")</f>
        <v>Normal</v>
      </c>
      <c r="M107" s="3" t="str">
        <f>IFERROR(__xludf.DUMMYFUNCTION("""COMPUTED_VALUE"""),"Non Urgent")</f>
        <v>Non Urgent</v>
      </c>
      <c r="N107" s="3">
        <f>IFERROR(__xludf.DUMMYFUNCTION("""COMPUTED_VALUE"""),45756.25522831018)</f>
        <v>45756.25523</v>
      </c>
    </row>
    <row r="108">
      <c r="A108" s="4">
        <f>IFERROR(__xludf.DUMMYFUNCTION("""COMPUTED_VALUE"""),45756.25163817129)</f>
        <v>45756.25164</v>
      </c>
      <c r="B108" s="3" t="str">
        <f>IFERROR(__xludf.DUMMYFUNCTION("""COMPUTED_VALUE"""),"MFHRO0042")</f>
        <v>MFHRO0042</v>
      </c>
      <c r="C108" s="3" t="str">
        <f>IFERROR(__xludf.DUMMYFUNCTION("""COMPUTED_VALUE"""),"MIn Stok")</f>
        <v>MIn Stok</v>
      </c>
      <c r="D108" s="3" t="str">
        <f>IFERROR(__xludf.DUMMYFUNCTION("""COMPUTED_VALUE"""),"-")</f>
        <v>-</v>
      </c>
      <c r="E108" s="3" t="str">
        <f>IFERROR(__xludf.DUMMYFUNCTION("""COMPUTED_VALUE"""),"WWTP")</f>
        <v>WWTP</v>
      </c>
      <c r="F108" s="3" t="str">
        <f>IFERROR(__xludf.DUMMYFUNCTION("""COMPUTED_VALUE"""),"General - Gearbox, Ratio I=14.3x, Frame 071, DIM.25x50, Flange Mounted, Helical Gear; Motovario; HA42 F; 1 unit")</f>
        <v>General - Gearbox, Ratio I=14.3x, Frame 071, DIM.25x50, Flange Mounted, Helical Gear; Motovario; HA42 F; 1 unit</v>
      </c>
      <c r="G108" s="3">
        <f>IFERROR(__xludf.DUMMYFUNCTION("""COMPUTED_VALUE"""),1.0)</f>
        <v>1</v>
      </c>
      <c r="H108" s="3" t="str">
        <f>IFERROR(__xludf.DUMMYFUNCTION("""COMPUTED_VALUE"""),"Pc")</f>
        <v>Pc</v>
      </c>
      <c r="I108" s="3" t="str">
        <f>IFERROR(__xludf.DUMMYFUNCTION("""COMPUTED_VALUE"""),"Min Stok Mixer Tangki SMBS PR 121702588")</f>
        <v>Min Stok Mixer Tangki SMBS PR 121702588</v>
      </c>
      <c r="J108" s="3" t="str">
        <f>IFERROR(__xludf.DUMMYFUNCTION("""COMPUTED_VALUE"""),"P-53399-00")</f>
        <v>P-53399-00</v>
      </c>
      <c r="K108" s="3" t="str">
        <f>IFERROR(__xludf.DUMMYFUNCTION("""COMPUTED_VALUE"""),"Approve")</f>
        <v>Approve</v>
      </c>
      <c r="L108" s="3" t="str">
        <f>IFERROR(__xludf.DUMMYFUNCTION("""COMPUTED_VALUE"""),"Normal")</f>
        <v>Normal</v>
      </c>
      <c r="M108" s="3" t="str">
        <f>IFERROR(__xludf.DUMMYFUNCTION("""COMPUTED_VALUE"""),"Non Urgent")</f>
        <v>Non Urgent</v>
      </c>
      <c r="N108" s="3">
        <f>IFERROR(__xludf.DUMMYFUNCTION("""COMPUTED_VALUE"""),45756.25531284722)</f>
        <v>45756.25531</v>
      </c>
    </row>
    <row r="109">
      <c r="A109" s="4">
        <f>IFERROR(__xludf.DUMMYFUNCTION("""COMPUTED_VALUE"""),45756.252202291675)</f>
        <v>45756.2522</v>
      </c>
      <c r="B109" s="3" t="str">
        <f>IFERROR(__xludf.DUMMYFUNCTION("""COMPUTED_VALUE"""),"MFHRO0043")</f>
        <v>MFHRO0043</v>
      </c>
      <c r="C109" s="3" t="str">
        <f>IFERROR(__xludf.DUMMYFUNCTION("""COMPUTED_VALUE"""),"MIn Stok")</f>
        <v>MIn Stok</v>
      </c>
      <c r="D109" s="3" t="str">
        <f>IFERROR(__xludf.DUMMYFUNCTION("""COMPUTED_VALUE"""),"-")</f>
        <v>-</v>
      </c>
      <c r="E109" s="3" t="str">
        <f>IFERROR(__xludf.DUMMYFUNCTION("""COMPUTED_VALUE"""),"WWTP")</f>
        <v>WWTP</v>
      </c>
      <c r="F109" s="3" t="str">
        <f>IFERROR(__xludf.DUMMYFUNCTION("""COMPUTED_VALUE"""),"General - Electric motor, 0.37 Kw, S1, 230-400V, 50 Hz, B5, ISOL.Class F, IP55 IE2; Motovario; TH 71B4; 1 unit")</f>
        <v>General - Electric motor, 0.37 Kw, S1, 230-400V, 50 Hz, B5, ISOL.Class F, IP55 IE2; Motovario; TH 71B4; 1 unit</v>
      </c>
      <c r="G109" s="3">
        <f>IFERROR(__xludf.DUMMYFUNCTION("""COMPUTED_VALUE"""),1.0)</f>
        <v>1</v>
      </c>
      <c r="H109" s="3" t="str">
        <f>IFERROR(__xludf.DUMMYFUNCTION("""COMPUTED_VALUE"""),"Pc")</f>
        <v>Pc</v>
      </c>
      <c r="I109" s="3" t="str">
        <f>IFERROR(__xludf.DUMMYFUNCTION("""COMPUTED_VALUE"""),"Min Stok Mixer Tangki SMBS PR 121702588")</f>
        <v>Min Stok Mixer Tangki SMBS PR 121702588</v>
      </c>
      <c r="J109" s="3" t="str">
        <f>IFERROR(__xludf.DUMMYFUNCTION("""COMPUTED_VALUE"""),"P-53398-00")</f>
        <v>P-53398-00</v>
      </c>
      <c r="K109" s="3" t="str">
        <f>IFERROR(__xludf.DUMMYFUNCTION("""COMPUTED_VALUE"""),"Approve")</f>
        <v>Approve</v>
      </c>
      <c r="L109" s="3" t="str">
        <f>IFERROR(__xludf.DUMMYFUNCTION("""COMPUTED_VALUE"""),"Normal")</f>
        <v>Normal</v>
      </c>
      <c r="M109" s="3" t="str">
        <f>IFERROR(__xludf.DUMMYFUNCTION("""COMPUTED_VALUE"""),"Non Urgent")</f>
        <v>Non Urgent</v>
      </c>
      <c r="N109" s="3">
        <f>IFERROR(__xludf.DUMMYFUNCTION("""COMPUTED_VALUE"""),45756.25539892361)</f>
        <v>45756.2554</v>
      </c>
    </row>
    <row r="110">
      <c r="A110" s="4">
        <f>IFERROR(__xludf.DUMMYFUNCTION("""COMPUTED_VALUE"""),45756.25264371528)</f>
        <v>45756.25264</v>
      </c>
      <c r="B110" s="3" t="str">
        <f>IFERROR(__xludf.DUMMYFUNCTION("""COMPUTED_VALUE"""),"MFHRO0044")</f>
        <v>MFHRO0044</v>
      </c>
      <c r="C110" s="3" t="str">
        <f>IFERROR(__xludf.DUMMYFUNCTION("""COMPUTED_VALUE"""),"MIn Stok")</f>
        <v>MIn Stok</v>
      </c>
      <c r="D110" s="3" t="str">
        <f>IFERROR(__xludf.DUMMYFUNCTION("""COMPUTED_VALUE"""),"-")</f>
        <v>-</v>
      </c>
      <c r="E110" s="3" t="str">
        <f>IFERROR(__xludf.DUMMYFUNCTION("""COMPUTED_VALUE"""),"WWTP")</f>
        <v>WWTP</v>
      </c>
      <c r="F110" s="3" t="str">
        <f>IFERROR(__xludf.DUMMYFUNCTION("""COMPUTED_VALUE"""),"General - Gearbox, Ratio I=14.5, Frame 090, DIM. 30x60, Flange Mounted, Helical Gear; Motovario; HA52; 1 unit")</f>
        <v>General - Gearbox, Ratio I=14.5, Frame 090, DIM. 30x60, Flange Mounted, Helical Gear; Motovario; HA52; 1 unit</v>
      </c>
      <c r="G110" s="3">
        <f>IFERROR(__xludf.DUMMYFUNCTION("""COMPUTED_VALUE"""),2.0)</f>
        <v>2</v>
      </c>
      <c r="H110" s="3" t="str">
        <f>IFERROR(__xludf.DUMMYFUNCTION("""COMPUTED_VALUE"""),"Pc")</f>
        <v>Pc</v>
      </c>
      <c r="I110" s="3" t="str">
        <f>IFERROR(__xludf.DUMMYFUNCTION("""COMPUTED_VALUE"""),"Min Stok Mixer Tangki SMBS PR 121702588")</f>
        <v>Min Stok Mixer Tangki SMBS PR 121702588</v>
      </c>
      <c r="J110" s="3" t="str">
        <f>IFERROR(__xludf.DUMMYFUNCTION("""COMPUTED_VALUE"""),"P-53400-00")</f>
        <v>P-53400-00</v>
      </c>
      <c r="K110" s="3" t="str">
        <f>IFERROR(__xludf.DUMMYFUNCTION("""COMPUTED_VALUE"""),"Approve")</f>
        <v>Approve</v>
      </c>
      <c r="L110" s="3" t="str">
        <f>IFERROR(__xludf.DUMMYFUNCTION("""COMPUTED_VALUE"""),"Normal")</f>
        <v>Normal</v>
      </c>
      <c r="M110" s="3" t="str">
        <f>IFERROR(__xludf.DUMMYFUNCTION("""COMPUTED_VALUE"""),"Non Urgent")</f>
        <v>Non Urgent</v>
      </c>
      <c r="N110" s="3">
        <f>IFERROR(__xludf.DUMMYFUNCTION("""COMPUTED_VALUE"""),45756.255478182866)</f>
        <v>45756.25548</v>
      </c>
    </row>
    <row r="111">
      <c r="A111" s="4">
        <f>IFERROR(__xludf.DUMMYFUNCTION("""COMPUTED_VALUE"""),45756.2529860301)</f>
        <v>45756.25299</v>
      </c>
      <c r="B111" s="3" t="str">
        <f>IFERROR(__xludf.DUMMYFUNCTION("""COMPUTED_VALUE"""),"MFHRO0045")</f>
        <v>MFHRO0045</v>
      </c>
      <c r="C111" s="3" t="str">
        <f>IFERROR(__xludf.DUMMYFUNCTION("""COMPUTED_VALUE"""),"MIn Stok")</f>
        <v>MIn Stok</v>
      </c>
      <c r="D111" s="3" t="str">
        <f>IFERROR(__xludf.DUMMYFUNCTION("""COMPUTED_VALUE"""),"-")</f>
        <v>-</v>
      </c>
      <c r="E111" s="3" t="str">
        <f>IFERROR(__xludf.DUMMYFUNCTION("""COMPUTED_VALUE"""),"WWTP")</f>
        <v>WWTP</v>
      </c>
      <c r="F111" s="3" t="str">
        <f>IFERROR(__xludf.DUMMYFUNCTION("""COMPUTED_VALUE"""),"General - Electric Motor, 1.5 KW, 230-400V, 50Hz, B5, ISOL.Class F, IP55, IE3; Motovario; TP 90L4; 1 unit")</f>
        <v>General - Electric Motor, 1.5 KW, 230-400V, 50Hz, B5, ISOL.Class F, IP55, IE3; Motovario; TP 90L4; 1 unit</v>
      </c>
      <c r="G111" s="3">
        <f>IFERROR(__xludf.DUMMYFUNCTION("""COMPUTED_VALUE"""),2.0)</f>
        <v>2</v>
      </c>
      <c r="H111" s="3" t="str">
        <f>IFERROR(__xludf.DUMMYFUNCTION("""COMPUTED_VALUE"""),"Pc")</f>
        <v>Pc</v>
      </c>
      <c r="I111" s="3" t="str">
        <f>IFERROR(__xludf.DUMMYFUNCTION("""COMPUTED_VALUE"""),"Min Stok Mixer Tangki SMBS PR 121702588")</f>
        <v>Min Stok Mixer Tangki SMBS PR 121702588</v>
      </c>
      <c r="J111" s="3" t="str">
        <f>IFERROR(__xludf.DUMMYFUNCTION("""COMPUTED_VALUE"""),"P-53401-00")</f>
        <v>P-53401-00</v>
      </c>
      <c r="K111" s="3" t="str">
        <f>IFERROR(__xludf.DUMMYFUNCTION("""COMPUTED_VALUE"""),"Approve")</f>
        <v>Approve</v>
      </c>
      <c r="L111" s="3" t="str">
        <f>IFERROR(__xludf.DUMMYFUNCTION("""COMPUTED_VALUE"""),"Normal")</f>
        <v>Normal</v>
      </c>
      <c r="M111" s="3" t="str">
        <f>IFERROR(__xludf.DUMMYFUNCTION("""COMPUTED_VALUE"""),"Non Urgent")</f>
        <v>Non Urgent</v>
      </c>
      <c r="N111" s="3">
        <f>IFERROR(__xludf.DUMMYFUNCTION("""COMPUTED_VALUE"""),45756.25559071759)</f>
        <v>45756.25559</v>
      </c>
    </row>
    <row r="112">
      <c r="A112" s="4">
        <f>IFERROR(__xludf.DUMMYFUNCTION("""COMPUTED_VALUE"""),45757.675373240745)</f>
        <v>45757.67537</v>
      </c>
      <c r="B112" s="3" t="str">
        <f>IFERROR(__xludf.DUMMYFUNCTION("""COMPUTED_VALUE"""),"MOBRO0030")</f>
        <v>MOBRO0030</v>
      </c>
      <c r="C112" s="3" t="str">
        <f>IFERROR(__xludf.DUMMYFUNCTION("""COMPUTED_VALUE"""),"Consumable")</f>
        <v>Consumable</v>
      </c>
      <c r="D112" s="3" t="str">
        <f>IFERROR(__xludf.DUMMYFUNCTION("""COMPUTED_VALUE"""),"-")</f>
        <v>-</v>
      </c>
      <c r="E112" s="3" t="str">
        <f>IFERROR(__xludf.DUMMYFUNCTION("""COMPUTED_VALUE"""),"AHU")</f>
        <v>AHU</v>
      </c>
      <c r="F112" s="3" t="str">
        <f>IFERROR(__xludf.DUMMYFUNCTION("""COMPUTED_VALUE"""),"General - Pulser SCR Heater Controller Wall Mounted 0-10 VD DC; Regin; 240-X010; 1 unit")</f>
        <v>General - Pulser SCR Heater Controller Wall Mounted 0-10 VD DC; Regin; 240-X010; 1 unit</v>
      </c>
      <c r="G112" s="3">
        <f>IFERROR(__xludf.DUMMYFUNCTION("""COMPUTED_VALUE"""),4.0)</f>
        <v>4</v>
      </c>
      <c r="H112" s="3" t="str">
        <f>IFERROR(__xludf.DUMMYFUNCTION("""COMPUTED_VALUE"""),"Pcs")</f>
        <v>Pcs</v>
      </c>
      <c r="I112" s="3" t="str">
        <f>IFERROR(__xludf.DUMMYFUNCTION("""COMPUTED_VALUE"""),"Stok Habis")</f>
        <v>Stok Habis</v>
      </c>
      <c r="J112" s="3" t="str">
        <f>IFERROR(__xludf.DUMMYFUNCTION("""COMPUTED_VALUE"""),"P-13370-00")</f>
        <v>P-13370-00</v>
      </c>
      <c r="K112" s="3" t="str">
        <f>IFERROR(__xludf.DUMMYFUNCTION("""COMPUTED_VALUE"""),"Approve")</f>
        <v>Approve</v>
      </c>
      <c r="L112" s="3" t="str">
        <f>IFERROR(__xludf.DUMMYFUNCTION("""COMPUTED_VALUE"""),"Normal")</f>
        <v>Normal</v>
      </c>
      <c r="M112" s="3" t="str">
        <f>IFERROR(__xludf.DUMMYFUNCTION("""COMPUTED_VALUE"""),"Non Urgent")</f>
        <v>Non Urgent</v>
      </c>
      <c r="N112" s="3">
        <f>IFERROR(__xludf.DUMMYFUNCTION("""COMPUTED_VALUE"""),45761.6027668287)</f>
        <v>45761.60277</v>
      </c>
    </row>
    <row r="113">
      <c r="A113" s="4">
        <f>IFERROR(__xludf.DUMMYFUNCTION("""COMPUTED_VALUE"""),45757.676482731484)</f>
        <v>45757.67648</v>
      </c>
      <c r="B113" s="3" t="str">
        <f>IFERROR(__xludf.DUMMYFUNCTION("""COMPUTED_VALUE"""),"MOBRO0031")</f>
        <v>MOBRO0031</v>
      </c>
      <c r="C113" s="3" t="str">
        <f>IFERROR(__xludf.DUMMYFUNCTION("""COMPUTED_VALUE"""),"Consumable")</f>
        <v>Consumable</v>
      </c>
      <c r="D113" s="3" t="str">
        <f>IFERROR(__xludf.DUMMYFUNCTION("""COMPUTED_VALUE"""),"-")</f>
        <v>-</v>
      </c>
      <c r="E113" s="3" t="str">
        <f>IFERROR(__xludf.DUMMYFUNCTION("""COMPUTED_VALUE"""),"WWTP")</f>
        <v>WWTP</v>
      </c>
      <c r="F113" s="3" t="str">
        <f>IFERROR(__xludf.DUMMYFUNCTION("""COMPUTED_VALUE"""),"Gelas Ukur 1000 ml Class A ; Brand : Iwaki ; CN : 3022-1000-N")</f>
        <v>Gelas Ukur 1000 ml Class A ; Brand : Iwaki ; CN : 3022-1000-N</v>
      </c>
      <c r="G113" s="3">
        <f>IFERROR(__xludf.DUMMYFUNCTION("""COMPUTED_VALUE"""),1.0)</f>
        <v>1</v>
      </c>
      <c r="H113" s="3" t="str">
        <f>IFERROR(__xludf.DUMMYFUNCTION("""COMPUTED_VALUE"""),"Pcs")</f>
        <v>Pcs</v>
      </c>
      <c r="I113" s="3" t="str">
        <f>IFERROR(__xludf.DUMMYFUNCTION("""COMPUTED_VALUE"""),"Spare")</f>
        <v>Spare</v>
      </c>
      <c r="J113" s="3" t="str">
        <f>IFERROR(__xludf.DUMMYFUNCTION("""COMPUTED_VALUE"""),"S-50264-00")</f>
        <v>S-50264-00</v>
      </c>
      <c r="K113" s="3" t="str">
        <f>IFERROR(__xludf.DUMMYFUNCTION("""COMPUTED_VALUE"""),"Approve")</f>
        <v>Approve</v>
      </c>
      <c r="L113" s="3" t="str">
        <f>IFERROR(__xludf.DUMMYFUNCTION("""COMPUTED_VALUE"""),"Normal")</f>
        <v>Normal</v>
      </c>
      <c r="M113" s="3" t="str">
        <f>IFERROR(__xludf.DUMMYFUNCTION("""COMPUTED_VALUE"""),"Non Urgent")</f>
        <v>Non Urgent</v>
      </c>
      <c r="N113" s="3">
        <f>IFERROR(__xludf.DUMMYFUNCTION("""COMPUTED_VALUE"""),45761.60251945602)</f>
        <v>45761.60252</v>
      </c>
    </row>
    <row r="114">
      <c r="A114" s="4">
        <f>IFERROR(__xludf.DUMMYFUNCTION("""COMPUTED_VALUE"""),45761.670253518525)</f>
        <v>45761.67025</v>
      </c>
      <c r="B114" s="3" t="str">
        <f>IFERROR(__xludf.DUMMYFUNCTION("""COMPUTED_VALUE"""),"ROSRO0003")</f>
        <v>ROSRO0003</v>
      </c>
      <c r="C114" s="3" t="str">
        <f>IFERROR(__xludf.DUMMYFUNCTION("""COMPUTED_VALUE"""),"EJO")</f>
        <v>EJO</v>
      </c>
      <c r="D114" s="3" t="str">
        <f>IFERROR(__xludf.DUMMYFUNCTION("""COMPUTED_VALUE"""),"EJO/2025/04/57")</f>
        <v>EJO/2025/04/57</v>
      </c>
      <c r="E114" s="3" t="str">
        <f>IFERROR(__xludf.DUMMYFUNCTION("""COMPUTED_VALUE"""),"HPLC 1")</f>
        <v>HPLC 1</v>
      </c>
      <c r="F114" s="3" t="str">
        <f>IFERROR(__xludf.DUMMYFUNCTION("""COMPUTED_VALUE"""),"Heater/Cooler Engine 2690; Waters; 700001066;")</f>
        <v>Heater/Cooler Engine 2690; Waters; 700001066;</v>
      </c>
      <c r="G114" s="3">
        <f>IFERROR(__xludf.DUMMYFUNCTION("""COMPUTED_VALUE"""),1.0)</f>
        <v>1</v>
      </c>
      <c r="H114" s="3" t="str">
        <f>IFERROR(__xludf.DUMMYFUNCTION("""COMPUTED_VALUE"""),"Set")</f>
        <v>Set</v>
      </c>
      <c r="I114" s="3" t="str">
        <f>IFERROR(__xludf.DUMMYFUNCTION("""COMPUTED_VALUE"""),"Sample Cooler buat HPLC 1")</f>
        <v>Sample Cooler buat HPLC 1</v>
      </c>
      <c r="J114" s="3" t="str">
        <f>IFERROR(__xludf.DUMMYFUNCTION("""COMPUTED_VALUE"""),"T-20791-00")</f>
        <v>T-20791-00</v>
      </c>
      <c r="K114" s="3" t="str">
        <f>IFERROR(__xludf.DUMMYFUNCTION("""COMPUTED_VALUE"""),"Approve")</f>
        <v>Approve</v>
      </c>
      <c r="L114" s="3" t="str">
        <f>IFERROR(__xludf.DUMMYFUNCTION("""COMPUTED_VALUE"""),"Normal")</f>
        <v>Normal</v>
      </c>
      <c r="M114" s="3" t="str">
        <f>IFERROR(__xludf.DUMMYFUNCTION("""COMPUTED_VALUE"""),"Non Urgent")</f>
        <v>Non Urgent</v>
      </c>
      <c r="N114" s="3">
        <f>IFERROR(__xludf.DUMMYFUNCTION("""COMPUTED_VALUE"""),45767.80992883102)</f>
        <v>45767.80993</v>
      </c>
    </row>
    <row r="115">
      <c r="A115" s="4">
        <f>IFERROR(__xludf.DUMMYFUNCTION("""COMPUTED_VALUE"""),45762.66750984953)</f>
        <v>45762.66751</v>
      </c>
      <c r="B115" s="3" t="str">
        <f>IFERROR(__xludf.DUMMYFUNCTION("""COMPUTED_VALUE"""),"RIARO0025")</f>
        <v>RIARO0025</v>
      </c>
      <c r="C115" s="3" t="str">
        <f>IFERROR(__xludf.DUMMYFUNCTION("""COMPUTED_VALUE"""),"EJO")</f>
        <v>EJO</v>
      </c>
      <c r="D115" s="3" t="str">
        <f>IFERROR(__xludf.DUMMYFUNCTION("""COMPUTED_VALUE"""),"EJO/2025/04/75")</f>
        <v>EJO/2025/04/75</v>
      </c>
      <c r="E115" s="3" t="str">
        <f>IFERROR(__xludf.DUMMYFUNCTION("""COMPUTED_VALUE"""),"B12")</f>
        <v>B12</v>
      </c>
      <c r="F115" s="3" t="str">
        <f>IFERROR(__xludf.DUMMYFUNCTION("""COMPUTED_VALUE"""),"General - Pulser SCR Heater Controller Wall Mounted 0-10 VD DC; Regin; 240-X010; 1 unit")</f>
        <v>General - Pulser SCR Heater Controller Wall Mounted 0-10 VD DC; Regin; 240-X010; 1 unit</v>
      </c>
      <c r="G115" s="3">
        <f>IFERROR(__xludf.DUMMYFUNCTION("""COMPUTED_VALUE"""),2.0)</f>
        <v>2</v>
      </c>
      <c r="H115" s="3" t="str">
        <f>IFERROR(__xludf.DUMMYFUNCTION("""COMPUTED_VALUE"""),"Pcs")</f>
        <v>Pcs</v>
      </c>
      <c r="I115" s="3" t="str">
        <f>IFERROR(__xludf.DUMMYFUNCTION("""COMPUTED_VALUE"""),"Untuk mengganti pada filling dan buffer")</f>
        <v>Untuk mengganti pada filling dan buffer</v>
      </c>
      <c r="J115" s="3" t="str">
        <f>IFERROR(__xludf.DUMMYFUNCTION("""COMPUTED_VALUE"""),"P-13370-00")</f>
        <v>P-13370-00</v>
      </c>
      <c r="K115" s="3" t="str">
        <f>IFERROR(__xludf.DUMMYFUNCTION("""COMPUTED_VALUE"""),"Approve")</f>
        <v>Approve</v>
      </c>
      <c r="L115" s="3" t="str">
        <f>IFERROR(__xludf.DUMMYFUNCTION("""COMPUTED_VALUE"""),"Normal")</f>
        <v>Normal</v>
      </c>
      <c r="M115" s="3" t="str">
        <f>IFERROR(__xludf.DUMMYFUNCTION("""COMPUTED_VALUE"""),"Non Urgent")</f>
        <v>Non Urgent</v>
      </c>
      <c r="N115" s="3">
        <f>IFERROR(__xludf.DUMMYFUNCTION("""COMPUTED_VALUE"""),45768.63826605324)</f>
        <v>45768.63827</v>
      </c>
    </row>
    <row r="116">
      <c r="A116" s="4">
        <f>IFERROR(__xludf.DUMMYFUNCTION("""COMPUTED_VALUE"""),45762.66919855324)</f>
        <v>45762.6692</v>
      </c>
      <c r="B116" s="3" t="str">
        <f>IFERROR(__xludf.DUMMYFUNCTION("""COMPUTED_VALUE"""),"RIARO0026")</f>
        <v>RIARO0026</v>
      </c>
      <c r="C116" s="3" t="str">
        <f>IFERROR(__xludf.DUMMYFUNCTION("""COMPUTED_VALUE"""),"EJO")</f>
        <v>EJO</v>
      </c>
      <c r="D116" s="3" t="str">
        <f>IFERROR(__xludf.DUMMYFUNCTION("""COMPUTED_VALUE"""),"EJO/2025/04/76")</f>
        <v>EJO/2025/04/76</v>
      </c>
      <c r="E116" s="3" t="str">
        <f>IFERROR(__xludf.DUMMYFUNCTION("""COMPUTED_VALUE"""),"D13")</f>
        <v>D13</v>
      </c>
      <c r="F116" s="3" t="str">
        <f>IFERROR(__xludf.DUMMYFUNCTION("""COMPUTED_VALUE"""),"General - Pulser SCR Heater Controller Wall Mounted 0-10 VD DC; Regin; 240-X010; 1 unit")</f>
        <v>General - Pulser SCR Heater Controller Wall Mounted 0-10 VD DC; Regin; 240-X010; 1 unit</v>
      </c>
      <c r="G116" s="3">
        <f>IFERROR(__xludf.DUMMYFUNCTION("""COMPUTED_VALUE"""),2.0)</f>
        <v>2</v>
      </c>
      <c r="H116" s="3" t="str">
        <f>IFERROR(__xludf.DUMMYFUNCTION("""COMPUTED_VALUE"""),"Pcs")</f>
        <v>Pcs</v>
      </c>
      <c r="I116" s="3" t="str">
        <f>IFERROR(__xludf.DUMMYFUNCTION("""COMPUTED_VALUE"""),"Untuk mengganti pada Vial Washing Tunnel dan Washing")</f>
        <v>Untuk mengganti pada Vial Washing Tunnel dan Washing</v>
      </c>
      <c r="J116" s="3" t="str">
        <f>IFERROR(__xludf.DUMMYFUNCTION("""COMPUTED_VALUE"""),"P-13370-00")</f>
        <v>P-13370-00</v>
      </c>
      <c r="K116" s="3" t="str">
        <f>IFERROR(__xludf.DUMMYFUNCTION("""COMPUTED_VALUE"""),"Approve")</f>
        <v>Approve</v>
      </c>
      <c r="L116" s="3" t="str">
        <f>IFERROR(__xludf.DUMMYFUNCTION("""COMPUTED_VALUE"""),"Normal")</f>
        <v>Normal</v>
      </c>
      <c r="M116" s="3" t="str">
        <f>IFERROR(__xludf.DUMMYFUNCTION("""COMPUTED_VALUE"""),"Non Urgent")</f>
        <v>Non Urgent</v>
      </c>
      <c r="N116" s="3">
        <f>IFERROR(__xludf.DUMMYFUNCTION("""COMPUTED_VALUE"""),45768.63849297454)</f>
        <v>45768.63849</v>
      </c>
    </row>
    <row r="117">
      <c r="A117" s="4">
        <f>IFERROR(__xludf.DUMMYFUNCTION("""COMPUTED_VALUE"""),45762.74859664352)</f>
        <v>45762.7486</v>
      </c>
      <c r="B117" s="3" t="str">
        <f>IFERROR(__xludf.DUMMYFUNCTION("""COMPUTED_VALUE"""),"RIARO0027")</f>
        <v>RIARO0027</v>
      </c>
      <c r="C117" s="3" t="str">
        <f>IFERROR(__xludf.DUMMYFUNCTION("""COMPUTED_VALUE"""),"EJO")</f>
        <v>EJO</v>
      </c>
      <c r="D117" s="3" t="str">
        <f>IFERROR(__xludf.DUMMYFUNCTION("""COMPUTED_VALUE"""),"EJO/2025/04/18")</f>
        <v>EJO/2025/04/18</v>
      </c>
      <c r="E117" s="3" t="str">
        <f>IFERROR(__xludf.DUMMYFUNCTION("""COMPUTED_VALUE"""),"All Room New")</f>
        <v>All Room New</v>
      </c>
      <c r="F117" s="3" t="str">
        <f>IFERROR(__xludf.DUMMYFUNCTION("""COMPUTED_VALUE"""),"Cable Temperature Sensor Silicone 1,5m PT1000 QAP2012.150")</f>
        <v>Cable Temperature Sensor Silicone 1,5m PT1000 QAP2012.150</v>
      </c>
      <c r="G117" s="3">
        <f>IFERROR(__xludf.DUMMYFUNCTION("""COMPUTED_VALUE"""),4.0)</f>
        <v>4</v>
      </c>
      <c r="H117" s="3" t="str">
        <f>IFERROR(__xludf.DUMMYFUNCTION("""COMPUTED_VALUE"""),"Pcs")</f>
        <v>Pcs</v>
      </c>
      <c r="I117" s="3" t="str">
        <f>IFERROR(__xludf.DUMMYFUNCTION("""COMPUTED_VALUE"""),"Untuk alarm system ruangan baru")</f>
        <v>Untuk alarm system ruangan baru</v>
      </c>
      <c r="J117" s="3" t="str">
        <f>IFERROR(__xludf.DUMMYFUNCTION("""COMPUTED_VALUE"""),"O-53032-00")</f>
        <v>O-53032-00</v>
      </c>
      <c r="K117" s="3" t="str">
        <f>IFERROR(__xludf.DUMMYFUNCTION("""COMPUTED_VALUE"""),"Approve")</f>
        <v>Approve</v>
      </c>
      <c r="L117" s="3" t="str">
        <f>IFERROR(__xludf.DUMMYFUNCTION("""COMPUTED_VALUE"""),"Normal")</f>
        <v>Normal</v>
      </c>
      <c r="M117" s="3" t="str">
        <f>IFERROR(__xludf.DUMMYFUNCTION("""COMPUTED_VALUE"""),"Non Urgent")</f>
        <v>Non Urgent</v>
      </c>
      <c r="N117" s="3">
        <f>IFERROR(__xludf.DUMMYFUNCTION("""COMPUTED_VALUE"""),45768.63990171296)</f>
        <v>45768.6399</v>
      </c>
    </row>
    <row r="118">
      <c r="A118" s="4">
        <f>IFERROR(__xludf.DUMMYFUNCTION("""COMPUTED_VALUE"""),45762.96033415509)</f>
        <v>45762.96033</v>
      </c>
      <c r="B118" s="3" t="str">
        <f>IFERROR(__xludf.DUMMYFUNCTION("""COMPUTED_VALUE"""),"INNRO0002")</f>
        <v>INNRO0002</v>
      </c>
      <c r="C118" s="3" t="str">
        <f>IFERROR(__xludf.DUMMYFUNCTION("""COMPUTED_VALUE"""),"EJO")</f>
        <v>EJO</v>
      </c>
      <c r="D118" s="3" t="str">
        <f>IFERROR(__xludf.DUMMYFUNCTION("""COMPUTED_VALUE"""),"EJO/2025/03/146")</f>
        <v>EJO/2025/03/146</v>
      </c>
      <c r="E118" s="3" t="str">
        <f>IFERROR(__xludf.DUMMYFUNCTION("""COMPUTED_VALUE"""),"Autoclave Decontam")</f>
        <v>Autoclave Decontam</v>
      </c>
      <c r="F118" s="3" t="str">
        <f>IFERROR(__xludf.DUMMYFUNCTION("""COMPUTED_VALUE"""),"Autoclave Fedegari FVA2/A1 - Vacuum Compressor  2BV3 151-0GW02-1E; ELMO RIETSCHLE; ;")</f>
        <v>Autoclave Fedegari FVA2/A1 - Vacuum Compressor  2BV3 151-0GW02-1E; ELMO RIETSCHLE; ;</v>
      </c>
      <c r="G118" s="3">
        <f>IFERROR(__xludf.DUMMYFUNCTION("""COMPUTED_VALUE"""),1.0)</f>
        <v>1</v>
      </c>
      <c r="H118" s="3" t="str">
        <f>IFERROR(__xludf.DUMMYFUNCTION("""COMPUTED_VALUE"""),"Unit")</f>
        <v>Unit</v>
      </c>
      <c r="I118" s="3" t="str">
        <f>IFERROR(__xludf.DUMMYFUNCTION("""COMPUTED_VALUE"""),"Untuk vacuum pump Autoclave decontam ")</f>
        <v>Untuk vacuum pump Autoclave decontam </v>
      </c>
      <c r="J118" s="3" t="str">
        <f>IFERROR(__xludf.DUMMYFUNCTION("""COMPUTED_VALUE"""),"O-54161-00")</f>
        <v>O-54161-00</v>
      </c>
      <c r="K118" s="3" t="str">
        <f>IFERROR(__xludf.DUMMYFUNCTION("""COMPUTED_VALUE"""),"Approve")</f>
        <v>Approve</v>
      </c>
      <c r="L118" s="3" t="str">
        <f>IFERROR(__xludf.DUMMYFUNCTION("""COMPUTED_VALUE"""),"Normal")</f>
        <v>Normal</v>
      </c>
      <c r="M118" s="3" t="str">
        <f>IFERROR(__xludf.DUMMYFUNCTION("""COMPUTED_VALUE"""),"Non Urgent")</f>
        <v>Non Urgent</v>
      </c>
      <c r="N118" s="3">
        <f>IFERROR(__xludf.DUMMYFUNCTION("""COMPUTED_VALUE"""),45767.8177896875)</f>
        <v>45767.81779</v>
      </c>
    </row>
    <row r="119">
      <c r="A119" s="4">
        <f>IFERROR(__xludf.DUMMYFUNCTION("""COMPUTED_VALUE"""),45763.88987730324)</f>
        <v>45763.88988</v>
      </c>
      <c r="B119" s="3" t="str">
        <f>IFERROR(__xludf.DUMMYFUNCTION("""COMPUTED_VALUE"""),"MRNRO0012")</f>
        <v>MRNRO0012</v>
      </c>
      <c r="C119" s="3" t="str">
        <f>IFERROR(__xludf.DUMMYFUNCTION("""COMPUTED_VALUE"""),"MIn Stok")</f>
        <v>MIn Stok</v>
      </c>
      <c r="D119" s="3" t="str">
        <f>IFERROR(__xludf.DUMMYFUNCTION("""COMPUTED_VALUE"""),"-")</f>
        <v>-</v>
      </c>
      <c r="E119" s="3" t="str">
        <f>IFERROR(__xludf.DUMMYFUNCTION("""COMPUTED_VALUE"""),"Utility")</f>
        <v>Utility</v>
      </c>
      <c r="F119" s="3" t="str">
        <f>IFERROR(__xludf.DUMMYFUNCTION("""COMPUTED_VALUE"""),"General - Washable G4 Avg arrestance : 94%. Rec. Final resistance: 250 Pa. Size: 24"" x 24"" x 2""; IAF; ; pcs")</f>
        <v>General - Washable G4 Avg arrestance : 94%. Rec. Final resistance: 250 Pa. Size: 24" x 24" x 2"; IAF; ; pcs</v>
      </c>
      <c r="G119" s="3">
        <f>IFERROR(__xludf.DUMMYFUNCTION("""COMPUTED_VALUE"""),20.0)</f>
        <v>20</v>
      </c>
      <c r="H119" s="3" t="str">
        <f>IFERROR(__xludf.DUMMYFUNCTION("""COMPUTED_VALUE"""),"pcs")</f>
        <v>pcs</v>
      </c>
      <c r="I119" s="3" t="str">
        <f>IFERROR(__xludf.DUMMYFUNCTION("""COMPUTED_VALUE"""),"Buat backup penggantian ketika filter belum kering")</f>
        <v>Buat backup penggantian ketika filter belum kering</v>
      </c>
      <c r="J119" s="3" t="str">
        <f>IFERROR(__xludf.DUMMYFUNCTION("""COMPUTED_VALUE"""),"P-19028-00")</f>
        <v>P-19028-00</v>
      </c>
      <c r="K119" s="3" t="str">
        <f>IFERROR(__xludf.DUMMYFUNCTION("""COMPUTED_VALUE"""),"Approve")</f>
        <v>Approve</v>
      </c>
      <c r="L119" s="3" t="str">
        <f>IFERROR(__xludf.DUMMYFUNCTION("""COMPUTED_VALUE"""),"Normal")</f>
        <v>Normal</v>
      </c>
      <c r="M119" s="3" t="str">
        <f>IFERROR(__xludf.DUMMYFUNCTION("""COMPUTED_VALUE"""),"Non Urgent")</f>
        <v>Non Urgent</v>
      </c>
      <c r="N119" s="3">
        <f>IFERROR(__xludf.DUMMYFUNCTION("""COMPUTED_VALUE"""),45768.64381171296)</f>
        <v>45768.64381</v>
      </c>
    </row>
    <row r="120">
      <c r="A120" s="4">
        <f>IFERROR(__xludf.DUMMYFUNCTION("""COMPUTED_VALUE"""),45763.88989003473)</f>
        <v>45763.88989</v>
      </c>
      <c r="B120" s="3" t="str">
        <f>IFERROR(__xludf.DUMMYFUNCTION("""COMPUTED_VALUE"""),"MRNRO0013")</f>
        <v>MRNRO0013</v>
      </c>
      <c r="C120" s="3" t="str">
        <f>IFERROR(__xludf.DUMMYFUNCTION("""COMPUTED_VALUE"""),"MIn Stok")</f>
        <v>MIn Stok</v>
      </c>
      <c r="D120" s="3" t="str">
        <f>IFERROR(__xludf.DUMMYFUNCTION("""COMPUTED_VALUE"""),"-")</f>
        <v>-</v>
      </c>
      <c r="E120" s="3" t="str">
        <f>IFERROR(__xludf.DUMMYFUNCTION("""COMPUTED_VALUE"""),"Utility")</f>
        <v>Utility</v>
      </c>
      <c r="F120" s="3" t="str">
        <f>IFERROR(__xludf.DUMMYFUNCTION("""COMPUTED_VALUE"""),"General - Washable G4 Avg arrestance : 94%. Rec. Final resistance: 250 Pa. Size: 12"" x 24"" x 2""; IAF; ; pcs")</f>
        <v>General - Washable G4 Avg arrestance : 94%. Rec. Final resistance: 250 Pa. Size: 12" x 24" x 2"; IAF; ; pcs</v>
      </c>
      <c r="G120" s="3">
        <f>IFERROR(__xludf.DUMMYFUNCTION("""COMPUTED_VALUE"""),10.0)</f>
        <v>10</v>
      </c>
      <c r="H120" s="3" t="str">
        <f>IFERROR(__xludf.DUMMYFUNCTION("""COMPUTED_VALUE"""),"pcs")</f>
        <v>pcs</v>
      </c>
      <c r="I120" s="3" t="str">
        <f>IFERROR(__xludf.DUMMYFUNCTION("""COMPUTED_VALUE"""),"Buat backup penggantian ketika filter belum kering")</f>
        <v>Buat backup penggantian ketika filter belum kering</v>
      </c>
      <c r="J120" s="3" t="str">
        <f>IFERROR(__xludf.DUMMYFUNCTION("""COMPUTED_VALUE"""),"P-19029-00")</f>
        <v>P-19029-00</v>
      </c>
      <c r="K120" s="3" t="str">
        <f>IFERROR(__xludf.DUMMYFUNCTION("""COMPUTED_VALUE"""),"Approve")</f>
        <v>Approve</v>
      </c>
      <c r="L120" s="3" t="str">
        <f>IFERROR(__xludf.DUMMYFUNCTION("""COMPUTED_VALUE"""),"Normal")</f>
        <v>Normal</v>
      </c>
      <c r="M120" s="3" t="str">
        <f>IFERROR(__xludf.DUMMYFUNCTION("""COMPUTED_VALUE"""),"Non Urgent")</f>
        <v>Non Urgent</v>
      </c>
      <c r="N120" s="3">
        <f>IFERROR(__xludf.DUMMYFUNCTION("""COMPUTED_VALUE"""),45768.64404792824)</f>
        <v>45768.64405</v>
      </c>
    </row>
    <row r="121">
      <c r="A121" s="4">
        <f>IFERROR(__xludf.DUMMYFUNCTION("""COMPUTED_VALUE"""),45764.70053857639)</f>
        <v>45764.70054</v>
      </c>
      <c r="B121" s="3" t="str">
        <f>IFERROR(__xludf.DUMMYFUNCTION("""COMPUTED_VALUE"""),"MOBRO0032")</f>
        <v>MOBRO0032</v>
      </c>
      <c r="C121" s="3" t="str">
        <f>IFERROR(__xludf.DUMMYFUNCTION("""COMPUTED_VALUE"""),"EJO")</f>
        <v>EJO</v>
      </c>
      <c r="D121" s="3" t="str">
        <f>IFERROR(__xludf.DUMMYFUNCTION("""COMPUTED_VALUE"""),"EJO2025/04/86")</f>
        <v>EJO2025/04/86</v>
      </c>
      <c r="E121" s="3" t="str">
        <f>IFERROR(__xludf.DUMMYFUNCTION("""COMPUTED_VALUE"""),"AHU F3-6")</f>
        <v>AHU F3-6</v>
      </c>
      <c r="F121" s="3" t="str">
        <f>IFERROR(__xludf.DUMMYFUNCTION("""COMPUTED_VALUE"""),"HVAC - Pressure Flow Control MF PFC Ver.3 24 VAC/VDC 0 - 100 Pa Micatrone; ; ;")</f>
        <v>HVAC - Pressure Flow Control MF PFC Ver.3 24 VAC/VDC 0 - 100 Pa Micatrone; ; ;</v>
      </c>
      <c r="G121" s="3">
        <f>IFERROR(__xludf.DUMMYFUNCTION("""COMPUTED_VALUE"""),2.0)</f>
        <v>2</v>
      </c>
      <c r="H121" s="3" t="str">
        <f>IFERROR(__xludf.DUMMYFUNCTION("""COMPUTED_VALUE"""),"Pcs")</f>
        <v>Pcs</v>
      </c>
      <c r="I121" s="3" t="str">
        <f>IFERROR(__xludf.DUMMYFUNCTION("""COMPUTED_VALUE"""),"-")</f>
        <v>-</v>
      </c>
      <c r="J121" s="3" t="str">
        <f>IFERROR(__xludf.DUMMYFUNCTION("""COMPUTED_VALUE"""),"P-52369-00")</f>
        <v>P-52369-00</v>
      </c>
      <c r="K121" s="3" t="str">
        <f>IFERROR(__xludf.DUMMYFUNCTION("""COMPUTED_VALUE"""),"Approve")</f>
        <v>Approve</v>
      </c>
      <c r="L121" s="3" t="str">
        <f>IFERROR(__xludf.DUMMYFUNCTION("""COMPUTED_VALUE"""),"Normal")</f>
        <v>Normal</v>
      </c>
      <c r="M121" s="3" t="str">
        <f>IFERROR(__xludf.DUMMYFUNCTION("""COMPUTED_VALUE"""),"Non Urgent")</f>
        <v>Non Urgent</v>
      </c>
      <c r="N121" s="3">
        <f>IFERROR(__xludf.DUMMYFUNCTION("""COMPUTED_VALUE"""),45775.60855950232)</f>
        <v>45775.60856</v>
      </c>
    </row>
    <row r="122">
      <c r="A122" s="4">
        <f>IFERROR(__xludf.DUMMYFUNCTION("""COMPUTED_VALUE"""),45764.894528379635)</f>
        <v>45764.89453</v>
      </c>
      <c r="B122" s="3" t="str">
        <f>IFERROR(__xludf.DUMMYFUNCTION("""COMPUTED_VALUE"""),"ANORO0005")</f>
        <v>ANORO0005</v>
      </c>
      <c r="C122" s="3" t="str">
        <f>IFERROR(__xludf.DUMMYFUNCTION("""COMPUTED_VALUE"""),"EJO")</f>
        <v>EJO</v>
      </c>
      <c r="D122" s="3" t="str">
        <f>IFERROR(__xludf.DUMMYFUNCTION("""COMPUTED_VALUE"""),"EJO/2025/03/88")</f>
        <v>EJO/2025/03/88</v>
      </c>
      <c r="E122" s="3" t="str">
        <f>IFERROR(__xludf.DUMMYFUNCTION("""COMPUTED_VALUE"""),"BSC")</f>
        <v>BSC</v>
      </c>
      <c r="F122" s="3" t="str">
        <f>IFERROR(__xludf.DUMMYFUNCTION("""COMPUTED_VALUE"""),"FESTO - QS-3/8-8 Push-In fitting p/n 153006")</f>
        <v>FESTO - QS-3/8-8 Push-In fitting p/n 153006</v>
      </c>
      <c r="G122" s="3">
        <f>IFERROR(__xludf.DUMMYFUNCTION("""COMPUTED_VALUE"""),10.0)</f>
        <v>10</v>
      </c>
      <c r="H122" s="3" t="str">
        <f>IFERROR(__xludf.DUMMYFUNCTION("""COMPUTED_VALUE"""),"PCS")</f>
        <v>PCS</v>
      </c>
      <c r="I122" s="3" t="str">
        <f>IFERROR(__xludf.DUMMYFUNCTION("""COMPUTED_VALUE"""),"untuk keperluan gsnti koneksi tubing di spray gun BSC")</f>
        <v>untuk keperluan gsnti koneksi tubing di spray gun BSC</v>
      </c>
      <c r="J122" s="3" t="str">
        <f>IFERROR(__xludf.DUMMYFUNCTION("""COMPUTED_VALUE"""),"P-12287-00")</f>
        <v>P-12287-00</v>
      </c>
      <c r="K122" s="3" t="str">
        <f>IFERROR(__xludf.DUMMYFUNCTION("""COMPUTED_VALUE"""),"Approve")</f>
        <v>Approve</v>
      </c>
      <c r="L122" s="3" t="str">
        <f>IFERROR(__xludf.DUMMYFUNCTION("""COMPUTED_VALUE"""),"Normal")</f>
        <v>Normal</v>
      </c>
      <c r="M122" s="3" t="str">
        <f>IFERROR(__xludf.DUMMYFUNCTION("""COMPUTED_VALUE"""),"Non Urgent")</f>
        <v>Non Urgent</v>
      </c>
      <c r="N122" s="3">
        <f>IFERROR(__xludf.DUMMYFUNCTION("""COMPUTED_VALUE"""),45767.82035239584)</f>
        <v>45767.82035</v>
      </c>
    </row>
    <row r="123">
      <c r="A123" s="4">
        <f>IFERROR(__xludf.DUMMYFUNCTION("""COMPUTED_VALUE"""),45768.59221689814)</f>
        <v>45768.59222</v>
      </c>
      <c r="B123" s="3" t="str">
        <f>IFERROR(__xludf.DUMMYFUNCTION("""COMPUTED_VALUE"""),"RIARO0029")</f>
        <v>RIARO0029</v>
      </c>
      <c r="C123" s="3" t="str">
        <f>IFERROR(__xludf.DUMMYFUNCTION("""COMPUTED_VALUE"""),"Consumable")</f>
        <v>Consumable</v>
      </c>
      <c r="D123" s="3" t="str">
        <f>IFERROR(__xludf.DUMMYFUNCTION("""COMPUTED_VALUE"""),"-")</f>
        <v>-</v>
      </c>
      <c r="E123" s="3" t="str">
        <f>IFERROR(__xludf.DUMMYFUNCTION("""COMPUTED_VALUE"""),"PW SKID")</f>
        <v>PW SKID</v>
      </c>
      <c r="F123" s="3" t="str">
        <f>IFERROR(__xludf.DUMMYFUNCTION("""COMPUTED_VALUE"""),"Kit, membrane ozone 6510 METTLER TOLEDO INDONESIA, PT P/N : -  pc")</f>
        <v>Kit, membrane ozone 6510 METTLER TOLEDO INDONESIA, PT P/N : -  pc</v>
      </c>
      <c r="G123" s="3">
        <f>IFERROR(__xludf.DUMMYFUNCTION("""COMPUTED_VALUE"""),1.0)</f>
        <v>1</v>
      </c>
      <c r="H123" s="3" t="str">
        <f>IFERROR(__xludf.DUMMYFUNCTION("""COMPUTED_VALUE"""),"Set")</f>
        <v>Set</v>
      </c>
      <c r="I123" s="3" t="str">
        <f>IFERROR(__xludf.DUMMYFUNCTION("""COMPUTED_VALUE"""),"Untuk penggantian membran ozone pw skid, yg saat ini sudah expired, kebutuhan 1 tahun 1 set")</f>
        <v>Untuk penggantian membran ozone pw skid, yg saat ini sudah expired, kebutuhan 1 tahun 1 set</v>
      </c>
      <c r="J123" s="3" t="str">
        <f>IFERROR(__xludf.DUMMYFUNCTION("""COMPUTED_VALUE"""),"O-14594-00")</f>
        <v>O-14594-00</v>
      </c>
      <c r="K123" s="3" t="str">
        <f>IFERROR(__xludf.DUMMYFUNCTION("""COMPUTED_VALUE"""),"Approve")</f>
        <v>Approve</v>
      </c>
      <c r="L123" s="3" t="str">
        <f>IFERROR(__xludf.DUMMYFUNCTION("""COMPUTED_VALUE"""),"Normal")</f>
        <v>Normal</v>
      </c>
      <c r="M123" s="3" t="str">
        <f>IFERROR(__xludf.DUMMYFUNCTION("""COMPUTED_VALUE"""),"Non Urgent")</f>
        <v>Non Urgent</v>
      </c>
      <c r="N123" s="3">
        <f>IFERROR(__xludf.DUMMYFUNCTION("""COMPUTED_VALUE"""),45768.645275937495)</f>
        <v>45768.64528</v>
      </c>
    </row>
    <row r="124">
      <c r="A124" s="4">
        <f>IFERROR(__xludf.DUMMYFUNCTION("""COMPUTED_VALUE"""),45771.33905258102)</f>
        <v>45771.33905</v>
      </c>
      <c r="B124" s="3" t="str">
        <f>IFERROR(__xludf.DUMMYFUNCTION("""COMPUTED_VALUE"""),"INNRO0003")</f>
        <v>INNRO0003</v>
      </c>
      <c r="C124" s="3" t="str">
        <f>IFERROR(__xludf.DUMMYFUNCTION("""COMPUTED_VALUE"""),"Consumable")</f>
        <v>Consumable</v>
      </c>
      <c r="D124" s="3" t="str">
        <f>IFERROR(__xludf.DUMMYFUNCTION("""COMPUTED_VALUE"""),"-")</f>
        <v>-</v>
      </c>
      <c r="E124" s="3" t="str">
        <f>IFERROR(__xludf.DUMMYFUNCTION("""COMPUTED_VALUE"""),"PMS")</f>
        <v>PMS</v>
      </c>
      <c r="F124" s="3" t="str">
        <f>IFERROR(__xludf.DUMMYFUNCTION("""COMPUTED_VALUE"""),"FESTO - Plastic tubing PUN-10x1,5-BL (Blue) p/n 159668; ; ;")</f>
        <v>FESTO - Plastic tubing PUN-10x1,5-BL (Blue) p/n 159668; ; ;</v>
      </c>
      <c r="G124" s="3">
        <f>IFERROR(__xludf.DUMMYFUNCTION("""COMPUTED_VALUE"""),150.0)</f>
        <v>150</v>
      </c>
      <c r="H124" s="3" t="str">
        <f>IFERROR(__xludf.DUMMYFUNCTION("""COMPUTED_VALUE"""),"meter")</f>
        <v>meter</v>
      </c>
      <c r="I124" s="3" t="str">
        <f>IFERROR(__xludf.DUMMYFUNCTION("""COMPUTED_VALUE"""),"Untuk pengganti tubing PMS sudah 5 tahun")</f>
        <v>Untuk pengganti tubing PMS sudah 5 tahun</v>
      </c>
      <c r="J124" s="3" t="str">
        <f>IFERROR(__xludf.DUMMYFUNCTION("""COMPUTED_VALUE"""),"P-15351-00")</f>
        <v>P-15351-00</v>
      </c>
      <c r="K124" s="3" t="str">
        <f>IFERROR(__xludf.DUMMYFUNCTION("""COMPUTED_VALUE"""),"Approve")</f>
        <v>Approve</v>
      </c>
      <c r="L124" s="3" t="str">
        <f>IFERROR(__xludf.DUMMYFUNCTION("""COMPUTED_VALUE"""),"Normal")</f>
        <v>Normal</v>
      </c>
      <c r="M124" s="3" t="str">
        <f>IFERROR(__xludf.DUMMYFUNCTION("""COMPUTED_VALUE"""),"Non Urgent")</f>
        <v>Non Urgent</v>
      </c>
      <c r="N124" s="3">
        <f>IFERROR(__xludf.DUMMYFUNCTION("""COMPUTED_VALUE"""),45772.64253064815)</f>
        <v>45772.64253</v>
      </c>
    </row>
    <row r="125">
      <c r="A125" s="4">
        <f>IFERROR(__xludf.DUMMYFUNCTION("""COMPUTED_VALUE"""),45771.33991049769)</f>
        <v>45771.33991</v>
      </c>
      <c r="B125" s="3" t="str">
        <f>IFERROR(__xludf.DUMMYFUNCTION("""COMPUTED_VALUE"""),"INNRO0004")</f>
        <v>INNRO0004</v>
      </c>
      <c r="C125" s="3" t="str">
        <f>IFERROR(__xludf.DUMMYFUNCTION("""COMPUTED_VALUE"""),"Consumable")</f>
        <v>Consumable</v>
      </c>
      <c r="D125" s="3" t="str">
        <f>IFERROR(__xludf.DUMMYFUNCTION("""COMPUTED_VALUE"""),"-")</f>
        <v>-</v>
      </c>
      <c r="E125" s="3" t="str">
        <f>IFERROR(__xludf.DUMMYFUNCTION("""COMPUTED_VALUE"""),"Isolator Mixing")</f>
        <v>Isolator Mixing</v>
      </c>
      <c r="F125" s="3" t="str">
        <f>IFERROR(__xludf.DUMMYFUNCTION("""COMPUTED_VALUE"""),"General - Plastic Tubing, PUN-H-8X1,25-BL; Festo; 197385; 1 m")</f>
        <v>General - Plastic Tubing, PUN-H-8X1,25-BL; Festo; 197385; 1 m</v>
      </c>
      <c r="G125" s="3">
        <f>IFERROR(__xludf.DUMMYFUNCTION("""COMPUTED_VALUE"""),100.0)</f>
        <v>100</v>
      </c>
      <c r="H125" s="3" t="str">
        <f>IFERROR(__xludf.DUMMYFUNCTION("""COMPUTED_VALUE"""),"meter")</f>
        <v>meter</v>
      </c>
      <c r="I125" s="3" t="str">
        <f>IFERROR(__xludf.DUMMYFUNCTION("""COMPUTED_VALUE"""),"Untuk pengganti tubing Isolator Mixing")</f>
        <v>Untuk pengganti tubing Isolator Mixing</v>
      </c>
      <c r="J125" s="3" t="str">
        <f>IFERROR(__xludf.DUMMYFUNCTION("""COMPUTED_VALUE"""),"P-11431-00")</f>
        <v>P-11431-00</v>
      </c>
      <c r="K125" s="3" t="str">
        <f>IFERROR(__xludf.DUMMYFUNCTION("""COMPUTED_VALUE"""),"Approve")</f>
        <v>Approve</v>
      </c>
      <c r="L125" s="3" t="str">
        <f>IFERROR(__xludf.DUMMYFUNCTION("""COMPUTED_VALUE"""),"Normal")</f>
        <v>Normal</v>
      </c>
      <c r="M125" s="3" t="str">
        <f>IFERROR(__xludf.DUMMYFUNCTION("""COMPUTED_VALUE"""),"Non Urgent")</f>
        <v>Non Urgent</v>
      </c>
      <c r="N125" s="3">
        <f>IFERROR(__xludf.DUMMYFUNCTION("""COMPUTED_VALUE"""),45772.643688553246)</f>
        <v>45772.64369</v>
      </c>
    </row>
    <row r="126">
      <c r="A126" s="4">
        <f>IFERROR(__xludf.DUMMYFUNCTION("""COMPUTED_VALUE"""),45771.65996020833)</f>
        <v>45771.65996</v>
      </c>
      <c r="B126" s="3" t="str">
        <f>IFERROR(__xludf.DUMMYFUNCTION("""COMPUTED_VALUE"""),"SFHRO0004")</f>
        <v>SFHRO0004</v>
      </c>
      <c r="C126" s="3" t="str">
        <f>IFERROR(__xludf.DUMMYFUNCTION("""COMPUTED_VALUE"""),"MIn Stok")</f>
        <v>MIn Stok</v>
      </c>
      <c r="D126" s="3" t="str">
        <f>IFERROR(__xludf.DUMMYFUNCTION("""COMPUTED_VALUE"""),"-")</f>
        <v>-</v>
      </c>
      <c r="E126" s="3" t="str">
        <f>IFERROR(__xludf.DUMMYFUNCTION("""COMPUTED_VALUE"""),"lantai 2")</f>
        <v>lantai 2</v>
      </c>
      <c r="F126" s="3" t="str">
        <f>IFERROR(__xludf.DUMMYFUNCTION("""COMPUTED_VALUE"""),"Kuas Cat Roller uk. 230 mm;No Brand;;pack size per set")</f>
        <v>Kuas Cat Roller uk. 230 mm;No Brand;;pack size per set</v>
      </c>
      <c r="G126" s="3">
        <f>IFERROR(__xludf.DUMMYFUNCTION("""COMPUTED_VALUE"""),20.0)</f>
        <v>20</v>
      </c>
      <c r="H126" s="3" t="str">
        <f>IFERROR(__xludf.DUMMYFUNCTION("""COMPUTED_VALUE"""),"pcs")</f>
        <v>pcs</v>
      </c>
      <c r="I126" s="3" t="str">
        <f>IFERROR(__xludf.DUMMYFUNCTION("""COMPUTED_VALUE"""),"-")</f>
        <v>-</v>
      </c>
      <c r="J126" s="3" t="str">
        <f>IFERROR(__xludf.DUMMYFUNCTION("""COMPUTED_VALUE"""),"Q-10154-00")</f>
        <v>Q-10154-00</v>
      </c>
      <c r="K126" s="3" t="str">
        <f>IFERROR(__xludf.DUMMYFUNCTION("""COMPUTED_VALUE"""),"Approve")</f>
        <v>Approve</v>
      </c>
      <c r="L126" s="3" t="str">
        <f>IFERROR(__xludf.DUMMYFUNCTION("""COMPUTED_VALUE"""),"Normal")</f>
        <v>Normal</v>
      </c>
      <c r="M126" s="3" t="str">
        <f>IFERROR(__xludf.DUMMYFUNCTION("""COMPUTED_VALUE"""),"Non Urgent")</f>
        <v>Non Urgent</v>
      </c>
      <c r="N126" s="3">
        <f>IFERROR(__xludf.DUMMYFUNCTION("""COMPUTED_VALUE"""),45775.61204394676)</f>
        <v>45775.61204</v>
      </c>
    </row>
    <row r="127">
      <c r="A127" s="4">
        <f>IFERROR(__xludf.DUMMYFUNCTION("""COMPUTED_VALUE"""),45771.66250979166)</f>
        <v>45771.66251</v>
      </c>
      <c r="B127" s="3" t="str">
        <f>IFERROR(__xludf.DUMMYFUNCTION("""COMPUTED_VALUE"""),"SFHRO0005")</f>
        <v>SFHRO0005</v>
      </c>
      <c r="C127" s="3" t="str">
        <f>IFERROR(__xludf.DUMMYFUNCTION("""COMPUTED_VALUE"""),"MIn Stok")</f>
        <v>MIn Stok</v>
      </c>
      <c r="D127" s="3" t="str">
        <f>IFERROR(__xludf.DUMMYFUNCTION("""COMPUTED_VALUE"""),"-")</f>
        <v>-</v>
      </c>
      <c r="E127" s="3" t="str">
        <f>IFERROR(__xludf.DUMMYFUNCTION("""COMPUTED_VALUE"""),"lantai 2")</f>
        <v>lantai 2</v>
      </c>
      <c r="F127" s="3" t="str">
        <f>IFERROR(__xludf.DUMMYFUNCTION("""COMPUTED_VALUE"""),"Kuas 3 inch")</f>
        <v>Kuas 3 inch</v>
      </c>
      <c r="G127" s="3">
        <f>IFERROR(__xludf.DUMMYFUNCTION("""COMPUTED_VALUE"""),15.0)</f>
        <v>15</v>
      </c>
      <c r="H127" s="3" t="str">
        <f>IFERROR(__xludf.DUMMYFUNCTION("""COMPUTED_VALUE"""),"pcs")</f>
        <v>pcs</v>
      </c>
      <c r="I127" s="3" t="str">
        <f>IFERROR(__xludf.DUMMYFUNCTION("""COMPUTED_VALUE"""),"-")</f>
        <v>-</v>
      </c>
      <c r="J127" s="3" t="str">
        <f>IFERROR(__xludf.DUMMYFUNCTION("""COMPUTED_VALUE"""),"Q-10271-00")</f>
        <v>Q-10271-00</v>
      </c>
      <c r="K127" s="3" t="str">
        <f>IFERROR(__xludf.DUMMYFUNCTION("""COMPUTED_VALUE"""),"Approve")</f>
        <v>Approve</v>
      </c>
      <c r="L127" s="3" t="str">
        <f>IFERROR(__xludf.DUMMYFUNCTION("""COMPUTED_VALUE"""),"Normal")</f>
        <v>Normal</v>
      </c>
      <c r="M127" s="3" t="str">
        <f>IFERROR(__xludf.DUMMYFUNCTION("""COMPUTED_VALUE"""),"Non Urgent")</f>
        <v>Non Urgent</v>
      </c>
      <c r="N127" s="3">
        <f>IFERROR(__xludf.DUMMYFUNCTION("""COMPUTED_VALUE"""),45775.61225239583)</f>
        <v>45775.61225</v>
      </c>
    </row>
    <row r="128">
      <c r="A128" s="4">
        <f>IFERROR(__xludf.DUMMYFUNCTION("""COMPUTED_VALUE"""),45776.65775798611)</f>
        <v>45776.65776</v>
      </c>
      <c r="B128" s="3" t="str">
        <f>IFERROR(__xludf.DUMMYFUNCTION("""COMPUTED_VALUE"""),"RIARO0030")</f>
        <v>RIARO0030</v>
      </c>
      <c r="C128" s="3" t="str">
        <f>IFERROR(__xludf.DUMMYFUNCTION("""COMPUTED_VALUE"""),"EJO")</f>
        <v>EJO</v>
      </c>
      <c r="D128" s="3" t="str">
        <f>IFERROR(__xludf.DUMMYFUNCTION("""COMPUTED_VALUE"""),"EJO/2025/05/05")</f>
        <v>EJO/2025/05/05</v>
      </c>
      <c r="E128" s="3" t="str">
        <f>IFERROR(__xludf.DUMMYFUNCTION("""COMPUTED_VALUE"""),"Alarm System")</f>
        <v>Alarm System</v>
      </c>
      <c r="F128" s="3" t="str">
        <f>IFERROR(__xludf.DUMMYFUNCTION("""COMPUTED_VALUE"""),"General - Kabel Belden AWG 22 2 Pair; Belden; 8723; 305m/roll")</f>
        <v>General - Kabel Belden AWG 22 2 Pair; Belden; 8723; 305m/roll</v>
      </c>
      <c r="G128" s="3">
        <f>IFERROR(__xludf.DUMMYFUNCTION("""COMPUTED_VALUE"""),2.0)</f>
        <v>2</v>
      </c>
      <c r="H128" s="3" t="str">
        <f>IFERROR(__xludf.DUMMYFUNCTION("""COMPUTED_VALUE"""),"Roll")</f>
        <v>Roll</v>
      </c>
      <c r="I128" s="3" t="str">
        <f>IFERROR(__xludf.DUMMYFUNCTION("""COMPUTED_VALUE"""),"Buat alarm system HC baru stability, BOD 1,3,5, Refrigerator Micro")</f>
        <v>Buat alarm system HC baru stability, BOD 1,3,5, Refrigerator Micro</v>
      </c>
      <c r="J128" s="3" t="str">
        <f>IFERROR(__xludf.DUMMYFUNCTION("""COMPUTED_VALUE"""),"P-53133-00")</f>
        <v>P-53133-00</v>
      </c>
      <c r="K128" s="3" t="str">
        <f>IFERROR(__xludf.DUMMYFUNCTION("""COMPUTED_VALUE"""),"Approve")</f>
        <v>Approve</v>
      </c>
      <c r="L128" s="3" t="str">
        <f>IFERROR(__xludf.DUMMYFUNCTION("""COMPUTED_VALUE"""),"Normal")</f>
        <v>Normal</v>
      </c>
      <c r="M128" s="3" t="str">
        <f>IFERROR(__xludf.DUMMYFUNCTION("""COMPUTED_VALUE"""),"Non Urgent")</f>
        <v>Non Urgent</v>
      </c>
      <c r="N128" s="3">
        <f>IFERROR(__xludf.DUMMYFUNCTION("""COMPUTED_VALUE"""),45783.66916622686)</f>
        <v>45783.66917</v>
      </c>
    </row>
    <row r="129">
      <c r="A129" s="4">
        <f>IFERROR(__xludf.DUMMYFUNCTION("""COMPUTED_VALUE"""),45776.65922327546)</f>
        <v>45776.65922</v>
      </c>
      <c r="B129" s="3" t="str">
        <f>IFERROR(__xludf.DUMMYFUNCTION("""COMPUTED_VALUE"""),"RIARO0031")</f>
        <v>RIARO0031</v>
      </c>
      <c r="C129" s="3" t="str">
        <f>IFERROR(__xludf.DUMMYFUNCTION("""COMPUTED_VALUE"""),"EJO")</f>
        <v>EJO</v>
      </c>
      <c r="D129" s="3" t="str">
        <f>IFERROR(__xludf.DUMMYFUNCTION("""COMPUTED_VALUE"""),"EJO/2025/05/05")</f>
        <v>EJO/2025/05/05</v>
      </c>
      <c r="E129" s="3" t="str">
        <f>IFERROR(__xludf.DUMMYFUNCTION("""COMPUTED_VALUE"""),"Alarm System")</f>
        <v>Alarm System</v>
      </c>
      <c r="F129" s="3" t="str">
        <f>IFERROR(__xludf.DUMMYFUNCTION("""COMPUTED_VALUE"""),"OMRON - Relay MY4Z 24VDC; ; ;")</f>
        <v>OMRON - Relay MY4Z 24VDC; ; ;</v>
      </c>
      <c r="G129" s="3">
        <f>IFERROR(__xludf.DUMMYFUNCTION("""COMPUTED_VALUE"""),4.0)</f>
        <v>4</v>
      </c>
      <c r="H129" s="3" t="str">
        <f>IFERROR(__xludf.DUMMYFUNCTION("""COMPUTED_VALUE"""),"Pcs")</f>
        <v>Pcs</v>
      </c>
      <c r="I129" s="3" t="str">
        <f>IFERROR(__xludf.DUMMYFUNCTION("""COMPUTED_VALUE"""),"Buat alarm system HC baru stability, BOD 1,3,5, Refrigerator Micro")</f>
        <v>Buat alarm system HC baru stability, BOD 1,3,5, Refrigerator Micro</v>
      </c>
      <c r="J129" s="3" t="str">
        <f>IFERROR(__xludf.DUMMYFUNCTION("""COMPUTED_VALUE"""),"O-51698-00")</f>
        <v>O-51698-00</v>
      </c>
      <c r="K129" s="3" t="str">
        <f>IFERROR(__xludf.DUMMYFUNCTION("""COMPUTED_VALUE"""),"Approve")</f>
        <v>Approve</v>
      </c>
      <c r="L129" s="3" t="str">
        <f>IFERROR(__xludf.DUMMYFUNCTION("""COMPUTED_VALUE"""),"Normal")</f>
        <v>Normal</v>
      </c>
      <c r="M129" s="3" t="str">
        <f>IFERROR(__xludf.DUMMYFUNCTION("""COMPUTED_VALUE"""),"Non Urgent")</f>
        <v>Non Urgent</v>
      </c>
      <c r="N129" s="3">
        <f>IFERROR(__xludf.DUMMYFUNCTION("""COMPUTED_VALUE"""),45783.66943045139)</f>
        <v>45783.66943</v>
      </c>
    </row>
    <row r="130">
      <c r="A130" s="4">
        <f>IFERROR(__xludf.DUMMYFUNCTION("""COMPUTED_VALUE"""),45776.66004902778)</f>
        <v>45776.66005</v>
      </c>
      <c r="B130" s="3" t="str">
        <f>IFERROR(__xludf.DUMMYFUNCTION("""COMPUTED_VALUE"""),"RIARO0032")</f>
        <v>RIARO0032</v>
      </c>
      <c r="C130" s="3" t="str">
        <f>IFERROR(__xludf.DUMMYFUNCTION("""COMPUTED_VALUE"""),"EJO")</f>
        <v>EJO</v>
      </c>
      <c r="D130" s="3" t="str">
        <f>IFERROR(__xludf.DUMMYFUNCTION("""COMPUTED_VALUE"""),"EJO/2025/05/05")</f>
        <v>EJO/2025/05/05</v>
      </c>
      <c r="E130" s="3" t="str">
        <f>IFERROR(__xludf.DUMMYFUNCTION("""COMPUTED_VALUE"""),"Alarm System")</f>
        <v>Alarm System</v>
      </c>
      <c r="F130" s="3" t="str">
        <f>IFERROR(__xludf.DUMMYFUNCTION("""COMPUTED_VALUE"""),"General - Cable Ducting 25mm x 40mm; Lokal; -; 1 pcs")</f>
        <v>General - Cable Ducting 25mm x 40mm; Lokal; -; 1 pcs</v>
      </c>
      <c r="G130" s="3">
        <f>IFERROR(__xludf.DUMMYFUNCTION("""COMPUTED_VALUE"""),3.0)</f>
        <v>3</v>
      </c>
      <c r="H130" s="3" t="str">
        <f>IFERROR(__xludf.DUMMYFUNCTION("""COMPUTED_VALUE"""),"Btg")</f>
        <v>Btg</v>
      </c>
      <c r="I130" s="3" t="str">
        <f>IFERROR(__xludf.DUMMYFUNCTION("""COMPUTED_VALUE"""),"Buat alarm system HC baru stability, BOD 1,3,5, Refrigerator Micro")</f>
        <v>Buat alarm system HC baru stability, BOD 1,3,5, Refrigerator Micro</v>
      </c>
      <c r="J130" s="3" t="str">
        <f>IFERROR(__xludf.DUMMYFUNCTION("""COMPUTED_VALUE"""),"P-13429-00")</f>
        <v>P-13429-00</v>
      </c>
      <c r="K130" s="3" t="str">
        <f>IFERROR(__xludf.DUMMYFUNCTION("""COMPUTED_VALUE"""),"Approve")</f>
        <v>Approve</v>
      </c>
      <c r="L130" s="3" t="str">
        <f>IFERROR(__xludf.DUMMYFUNCTION("""COMPUTED_VALUE"""),"Normal")</f>
        <v>Normal</v>
      </c>
      <c r="M130" s="3" t="str">
        <f>IFERROR(__xludf.DUMMYFUNCTION("""COMPUTED_VALUE"""),"Non Urgent")</f>
        <v>Non Urgent</v>
      </c>
      <c r="N130" s="3">
        <f>IFERROR(__xludf.DUMMYFUNCTION("""COMPUTED_VALUE"""),45783.669655150465)</f>
        <v>45783.66966</v>
      </c>
    </row>
    <row r="131">
      <c r="A131" s="4">
        <f>IFERROR(__xludf.DUMMYFUNCTION("""COMPUTED_VALUE"""),45779.6627975)</f>
        <v>45779.6628</v>
      </c>
      <c r="B131" s="3" t="str">
        <f>IFERROR(__xludf.DUMMYFUNCTION("""COMPUTED_VALUE"""),"MOBRO0033")</f>
        <v>MOBRO0033</v>
      </c>
      <c r="C131" s="3" t="str">
        <f>IFERROR(__xludf.DUMMYFUNCTION("""COMPUTED_VALUE"""),"MIn Stok")</f>
        <v>MIn Stok</v>
      </c>
      <c r="D131" s="3" t="str">
        <f>IFERROR(__xludf.DUMMYFUNCTION("""COMPUTED_VALUE"""),"-")</f>
        <v>-</v>
      </c>
      <c r="E131" s="3" t="str">
        <f>IFERROR(__xludf.DUMMYFUNCTION("""COMPUTED_VALUE"""),"N2 Generator")</f>
        <v>N2 Generator</v>
      </c>
      <c r="F131" s="3" t="str">
        <f>IFERROR(__xludf.DUMMYFUNCTION("""COMPUTED_VALUE"""),"General - Element Filter 1 micron; NXE-400-Z; -; 1 pc")</f>
        <v>General - Element Filter 1 micron; NXE-400-Z; -; 1 pc</v>
      </c>
      <c r="G131" s="3">
        <f>IFERROR(__xludf.DUMMYFUNCTION("""COMPUTED_VALUE"""),2.0)</f>
        <v>2</v>
      </c>
      <c r="H131" s="3" t="str">
        <f>IFERROR(__xludf.DUMMYFUNCTION("""COMPUTED_VALUE"""),"Pcs")</f>
        <v>Pcs</v>
      </c>
      <c r="I131" s="3" t="str">
        <f>IFERROR(__xludf.DUMMYFUNCTION("""COMPUTED_VALUE"""),"Urgent")</f>
        <v>Urgent</v>
      </c>
      <c r="J131" s="3" t="str">
        <f>IFERROR(__xludf.DUMMYFUNCTION("""COMPUTED_VALUE"""),"P-15052-00")</f>
        <v>P-15052-00</v>
      </c>
      <c r="K131" s="3" t="str">
        <f>IFERROR(__xludf.DUMMYFUNCTION("""COMPUTED_VALUE"""),"Approve")</f>
        <v>Approve</v>
      </c>
      <c r="L131" s="3" t="str">
        <f>IFERROR(__xludf.DUMMYFUNCTION("""COMPUTED_VALUE"""),"Normal")</f>
        <v>Normal</v>
      </c>
      <c r="M131" s="3" t="str">
        <f>IFERROR(__xludf.DUMMYFUNCTION("""COMPUTED_VALUE"""),"Non Urgent")</f>
        <v>Non Urgent</v>
      </c>
      <c r="N131" s="3">
        <f>IFERROR(__xludf.DUMMYFUNCTION("""COMPUTED_VALUE"""),45785.48844634259)</f>
        <v>45785.48845</v>
      </c>
    </row>
    <row r="132">
      <c r="A132" s="4">
        <f>IFERROR(__xludf.DUMMYFUNCTION("""COMPUTED_VALUE"""),45779.67142309028)</f>
        <v>45779.67142</v>
      </c>
      <c r="B132" s="3" t="str">
        <f>IFERROR(__xludf.DUMMYFUNCTION("""COMPUTED_VALUE"""),"MOBRO0034")</f>
        <v>MOBRO0034</v>
      </c>
      <c r="C132" s="3" t="str">
        <f>IFERROR(__xludf.DUMMYFUNCTION("""COMPUTED_VALUE"""),"MIn Stok")</f>
        <v>MIn Stok</v>
      </c>
      <c r="D132" s="3" t="str">
        <f>IFERROR(__xludf.DUMMYFUNCTION("""COMPUTED_VALUE"""),"-")</f>
        <v>-</v>
      </c>
      <c r="E132" s="3" t="str">
        <f>IFERROR(__xludf.DUMMYFUNCTION("""COMPUTED_VALUE"""),"N2 Generator")</f>
        <v>N2 Generator</v>
      </c>
      <c r="F132" s="3" t="str">
        <f>IFERROR(__xludf.DUMMYFUNCTION("""COMPUTED_VALUE"""),"General - Element Filter 0.01 micron; NXE-400-X; -; 1 pc")</f>
        <v>General - Element Filter 0.01 micron; NXE-400-X; -; 1 pc</v>
      </c>
      <c r="G132" s="3">
        <f>IFERROR(__xludf.DUMMYFUNCTION("""COMPUTED_VALUE"""),2.0)</f>
        <v>2</v>
      </c>
      <c r="H132" s="3" t="str">
        <f>IFERROR(__xludf.DUMMYFUNCTION("""COMPUTED_VALUE"""),"Pcs")</f>
        <v>Pcs</v>
      </c>
      <c r="I132" s="3" t="str">
        <f>IFERROR(__xludf.DUMMYFUNCTION("""COMPUTED_VALUE"""),"Urgent")</f>
        <v>Urgent</v>
      </c>
      <c r="J132" s="3" t="str">
        <f>IFERROR(__xludf.DUMMYFUNCTION("""COMPUTED_VALUE"""),"P-15053-00")</f>
        <v>P-15053-00</v>
      </c>
      <c r="K132" s="3" t="str">
        <f>IFERROR(__xludf.DUMMYFUNCTION("""COMPUTED_VALUE"""),"Approve")</f>
        <v>Approve</v>
      </c>
      <c r="L132" s="3" t="str">
        <f>IFERROR(__xludf.DUMMYFUNCTION("""COMPUTED_VALUE"""),"Normal")</f>
        <v>Normal</v>
      </c>
      <c r="M132" s="3" t="str">
        <f>IFERROR(__xludf.DUMMYFUNCTION("""COMPUTED_VALUE"""),"Non Urgent")</f>
        <v>Non Urgent</v>
      </c>
      <c r="N132" s="3">
        <f>IFERROR(__xludf.DUMMYFUNCTION("""COMPUTED_VALUE"""),45785.48872814815)</f>
        <v>45785.48873</v>
      </c>
    </row>
    <row r="133">
      <c r="A133" s="4">
        <f>IFERROR(__xludf.DUMMYFUNCTION("""COMPUTED_VALUE"""),45779.67310060185)</f>
        <v>45779.6731</v>
      </c>
      <c r="B133" s="3" t="str">
        <f>IFERROR(__xludf.DUMMYFUNCTION("""COMPUTED_VALUE"""),"MOBRO0035")</f>
        <v>MOBRO0035</v>
      </c>
      <c r="C133" s="3" t="str">
        <f>IFERROR(__xludf.DUMMYFUNCTION("""COMPUTED_VALUE"""),"MIn Stok")</f>
        <v>MIn Stok</v>
      </c>
      <c r="D133" s="3" t="str">
        <f>IFERROR(__xludf.DUMMYFUNCTION("""COMPUTED_VALUE"""),"-")</f>
        <v>-</v>
      </c>
      <c r="E133" s="3" t="str">
        <f>IFERROR(__xludf.DUMMYFUNCTION("""COMPUTED_VALUE"""),"N2 Generator")</f>
        <v>N2 Generator</v>
      </c>
      <c r="F133" s="3" t="str">
        <f>IFERROR(__xludf.DUMMYFUNCTION("""COMPUTED_VALUE"""),"General - Element Filter for N2; NEXUS; NXE-90-Z; 1 pc")</f>
        <v>General - Element Filter for N2; NEXUS; NXE-90-Z; 1 pc</v>
      </c>
      <c r="G133" s="3">
        <f>IFERROR(__xludf.DUMMYFUNCTION("""COMPUTED_VALUE"""),2.0)</f>
        <v>2</v>
      </c>
      <c r="H133" s="3" t="str">
        <f>IFERROR(__xludf.DUMMYFUNCTION("""COMPUTED_VALUE"""),"Pcs")</f>
        <v>Pcs</v>
      </c>
      <c r="I133" s="3" t="str">
        <f>IFERROR(__xludf.DUMMYFUNCTION("""COMPUTED_VALUE"""),"Urgent")</f>
        <v>Urgent</v>
      </c>
      <c r="J133" s="3" t="str">
        <f>IFERROR(__xludf.DUMMYFUNCTION("""COMPUTED_VALUE"""),"P-17062-00")</f>
        <v>P-17062-00</v>
      </c>
      <c r="K133" s="3" t="str">
        <f>IFERROR(__xludf.DUMMYFUNCTION("""COMPUTED_VALUE"""),"Approve")</f>
        <v>Approve</v>
      </c>
      <c r="L133" s="3" t="str">
        <f>IFERROR(__xludf.DUMMYFUNCTION("""COMPUTED_VALUE"""),"Normal")</f>
        <v>Normal</v>
      </c>
      <c r="M133" s="3" t="str">
        <f>IFERROR(__xludf.DUMMYFUNCTION("""COMPUTED_VALUE"""),"Non Urgent")</f>
        <v>Non Urgent</v>
      </c>
      <c r="N133" s="3">
        <f>IFERROR(__xludf.DUMMYFUNCTION("""COMPUTED_VALUE"""),45785.48932648148)</f>
        <v>45785.48933</v>
      </c>
    </row>
    <row r="134">
      <c r="A134" s="4">
        <f>IFERROR(__xludf.DUMMYFUNCTION("""COMPUTED_VALUE"""),45782.40795569444)</f>
        <v>45782.40796</v>
      </c>
      <c r="B134" s="3" t="str">
        <f>IFERROR(__xludf.DUMMYFUNCTION("""COMPUTED_VALUE"""),"MOBRO0036")</f>
        <v>MOBRO0036</v>
      </c>
      <c r="C134" s="3" t="str">
        <f>IFERROR(__xludf.DUMMYFUNCTION("""COMPUTED_VALUE"""),"Consumable")</f>
        <v>Consumable</v>
      </c>
      <c r="D134" s="3" t="str">
        <f>IFERROR(__xludf.DUMMYFUNCTION("""COMPUTED_VALUE"""),"-")</f>
        <v>-</v>
      </c>
      <c r="E134" s="3" t="str">
        <f>IFERROR(__xludf.DUMMYFUNCTION("""COMPUTED_VALUE"""),"Transfer Pump B WWTP")</f>
        <v>Transfer Pump B WWTP</v>
      </c>
      <c r="F134" s="3" t="str">
        <f>IFERROR(__xludf.DUMMYFUNCTION("""COMPUTED_VALUE"""),"General - Clamp Selang, SS 1 1/4""; Tridon; -; 1 pcs")</f>
        <v>General - Clamp Selang, SS 1 1/4"; Tridon; -; 1 pcs</v>
      </c>
      <c r="G134" s="3">
        <f>IFERROR(__xludf.DUMMYFUNCTION("""COMPUTED_VALUE"""),20.0)</f>
        <v>20</v>
      </c>
      <c r="H134" s="3" t="str">
        <f>IFERROR(__xludf.DUMMYFUNCTION("""COMPUTED_VALUE"""),"Pcs")</f>
        <v>Pcs</v>
      </c>
      <c r="I134" s="3" t="str">
        <f>IFERROR(__xludf.DUMMYFUNCTION("""COMPUTED_VALUE"""),"Urgent  WWTP")</f>
        <v>Urgent  WWTP</v>
      </c>
      <c r="J134" s="3" t="str">
        <f>IFERROR(__xludf.DUMMYFUNCTION("""COMPUTED_VALUE"""),"P-12077-00")</f>
        <v>P-12077-00</v>
      </c>
      <c r="K134" s="3" t="str">
        <f>IFERROR(__xludf.DUMMYFUNCTION("""COMPUTED_VALUE"""),"Approve")</f>
        <v>Approve</v>
      </c>
      <c r="L134" s="3" t="str">
        <f>IFERROR(__xludf.DUMMYFUNCTION("""COMPUTED_VALUE"""),"Normal")</f>
        <v>Normal</v>
      </c>
      <c r="M134" s="3" t="str">
        <f>IFERROR(__xludf.DUMMYFUNCTION("""COMPUTED_VALUE"""),"Non Urgent")</f>
        <v>Non Urgent</v>
      </c>
      <c r="N134" s="3">
        <f>IFERROR(__xludf.DUMMYFUNCTION("""COMPUTED_VALUE"""),45785.489509074076)</f>
        <v>45785.48951</v>
      </c>
    </row>
    <row r="135">
      <c r="A135" s="4">
        <f>IFERROR(__xludf.DUMMYFUNCTION("""COMPUTED_VALUE"""),45782.408972986115)</f>
        <v>45782.40897</v>
      </c>
      <c r="B135" s="3" t="str">
        <f>IFERROR(__xludf.DUMMYFUNCTION("""COMPUTED_VALUE"""),"MOBRO0037")</f>
        <v>MOBRO0037</v>
      </c>
      <c r="C135" s="3" t="str">
        <f>IFERROR(__xludf.DUMMYFUNCTION("""COMPUTED_VALUE"""),"Consumable")</f>
        <v>Consumable</v>
      </c>
      <c r="D135" s="3" t="str">
        <f>IFERROR(__xludf.DUMMYFUNCTION("""COMPUTED_VALUE"""),"-")</f>
        <v>-</v>
      </c>
      <c r="E135" s="3" t="str">
        <f>IFERROR(__xludf.DUMMYFUNCTION("""COMPUTED_VALUE"""),"Universal")</f>
        <v>Universal</v>
      </c>
      <c r="F135" s="3" t="str">
        <f>IFERROR(__xludf.DUMMYFUNCTION("""COMPUTED_VALUE"""),"General - Clamp Selang, SS, 3/4""; Tridon; -; 1 pcs")</f>
        <v>General - Clamp Selang, SS, 3/4"; Tridon; -; 1 pcs</v>
      </c>
      <c r="G135" s="3">
        <f>IFERROR(__xludf.DUMMYFUNCTION("""COMPUTED_VALUE"""),10.0)</f>
        <v>10</v>
      </c>
      <c r="H135" s="3" t="str">
        <f>IFERROR(__xludf.DUMMYFUNCTION("""COMPUTED_VALUE"""),"PCS")</f>
        <v>PCS</v>
      </c>
      <c r="I135" s="3" t="str">
        <f>IFERROR(__xludf.DUMMYFUNCTION("""COMPUTED_VALUE"""),"Stok Habis")</f>
        <v>Stok Habis</v>
      </c>
      <c r="J135" s="3" t="str">
        <f>IFERROR(__xludf.DUMMYFUNCTION("""COMPUTED_VALUE"""),"P-12082-00")</f>
        <v>P-12082-00</v>
      </c>
      <c r="K135" s="3" t="str">
        <f>IFERROR(__xludf.DUMMYFUNCTION("""COMPUTED_VALUE"""),"Approve")</f>
        <v>Approve</v>
      </c>
      <c r="L135" s="3" t="str">
        <f>IFERROR(__xludf.DUMMYFUNCTION("""COMPUTED_VALUE"""),"Normal")</f>
        <v>Normal</v>
      </c>
      <c r="M135" s="3" t="str">
        <f>IFERROR(__xludf.DUMMYFUNCTION("""COMPUTED_VALUE"""),"Non Urgent")</f>
        <v>Non Urgent</v>
      </c>
      <c r="N135" s="3">
        <f>IFERROR(__xludf.DUMMYFUNCTION("""COMPUTED_VALUE"""),45785.48973460648)</f>
        <v>45785.48973</v>
      </c>
    </row>
    <row r="136">
      <c r="A136" s="4">
        <f>IFERROR(__xludf.DUMMYFUNCTION("""COMPUTED_VALUE"""),45782.409378530094)</f>
        <v>45782.40938</v>
      </c>
      <c r="B136" s="3" t="str">
        <f>IFERROR(__xludf.DUMMYFUNCTION("""COMPUTED_VALUE"""),"MOBRO0038")</f>
        <v>MOBRO0038</v>
      </c>
      <c r="C136" s="3" t="str">
        <f>IFERROR(__xludf.DUMMYFUNCTION("""COMPUTED_VALUE"""),"Consumable")</f>
        <v>Consumable</v>
      </c>
      <c r="D136" s="3" t="str">
        <f>IFERROR(__xludf.DUMMYFUNCTION("""COMPUTED_VALUE"""),"-")</f>
        <v>-</v>
      </c>
      <c r="E136" s="3" t="str">
        <f>IFERROR(__xludf.DUMMYFUNCTION("""COMPUTED_VALUE"""),"Universal")</f>
        <v>Universal</v>
      </c>
      <c r="F136" s="3" t="str">
        <f>IFERROR(__xludf.DUMMYFUNCTION("""COMPUTED_VALUE"""),"General - Clamp Selang, SS, 1/2""; Tridon; -; 1 pcs")</f>
        <v>General - Clamp Selang, SS, 1/2"; Tridon; -; 1 pcs</v>
      </c>
      <c r="G136" s="3">
        <f>IFERROR(__xludf.DUMMYFUNCTION("""COMPUTED_VALUE"""),10.0)</f>
        <v>10</v>
      </c>
      <c r="H136" s="3" t="str">
        <f>IFERROR(__xludf.DUMMYFUNCTION("""COMPUTED_VALUE"""),"Pcs")</f>
        <v>Pcs</v>
      </c>
      <c r="I136" s="3" t="str">
        <f>IFERROR(__xludf.DUMMYFUNCTION("""COMPUTED_VALUE"""),"Stok Habis")</f>
        <v>Stok Habis</v>
      </c>
      <c r="J136" s="3" t="str">
        <f>IFERROR(__xludf.DUMMYFUNCTION("""COMPUTED_VALUE"""),"P-12083-00")</f>
        <v>P-12083-00</v>
      </c>
      <c r="K136" s="3" t="str">
        <f>IFERROR(__xludf.DUMMYFUNCTION("""COMPUTED_VALUE"""),"Approve")</f>
        <v>Approve</v>
      </c>
      <c r="L136" s="3" t="str">
        <f>IFERROR(__xludf.DUMMYFUNCTION("""COMPUTED_VALUE"""),"Normal")</f>
        <v>Normal</v>
      </c>
      <c r="M136" s="3" t="str">
        <f>IFERROR(__xludf.DUMMYFUNCTION("""COMPUTED_VALUE"""),"Non Urgent")</f>
        <v>Non Urgent</v>
      </c>
      <c r="N136" s="3">
        <f>IFERROR(__xludf.DUMMYFUNCTION("""COMPUTED_VALUE"""),45785.4899047338)</f>
        <v>45785.4899</v>
      </c>
    </row>
    <row r="137">
      <c r="A137" s="4">
        <f>IFERROR(__xludf.DUMMYFUNCTION("""COMPUTED_VALUE"""),45782.541633900466)</f>
        <v>45782.54163</v>
      </c>
      <c r="B137" s="3" t="str">
        <f>IFERROR(__xludf.DUMMYFUNCTION("""COMPUTED_VALUE"""),"MOBRO0039")</f>
        <v>MOBRO0039</v>
      </c>
      <c r="C137" s="3" t="str">
        <f>IFERROR(__xludf.DUMMYFUNCTION("""COMPUTED_VALUE"""),"Consumable")</f>
        <v>Consumable</v>
      </c>
      <c r="D137" s="3" t="str">
        <f>IFERROR(__xludf.DUMMYFUNCTION("""COMPUTED_VALUE"""),"-")</f>
        <v>-</v>
      </c>
      <c r="E137" s="3" t="str">
        <f>IFERROR(__xludf.DUMMYFUNCTION("""COMPUTED_VALUE"""),"AHU")</f>
        <v>AHU</v>
      </c>
      <c r="F137" s="3" t="str">
        <f>IFERROR(__xludf.DUMMYFUNCTION("""COMPUTED_VALUE"""),"General - Filter IAF MBV Series (Medium Filter), efficiency : 90-95 %, Size: 24 x 24 x 12 inch; IAF; -; 1 pcs")</f>
        <v>General - Filter IAF MBV Series (Medium Filter), efficiency : 90-95 %, Size: 24 x 24 x 12 inch; IAF; -; 1 pcs</v>
      </c>
      <c r="G137" s="3">
        <f>IFERROR(__xludf.DUMMYFUNCTION("""COMPUTED_VALUE"""),10.0)</f>
        <v>10</v>
      </c>
      <c r="H137" s="3" t="str">
        <f>IFERROR(__xludf.DUMMYFUNCTION("""COMPUTED_VALUE"""),"Pcs")</f>
        <v>Pcs</v>
      </c>
      <c r="I137" s="3" t="str">
        <f>IFERROR(__xludf.DUMMYFUNCTION("""COMPUTED_VALUE"""),"Spare")</f>
        <v>Spare</v>
      </c>
      <c r="J137" s="3" t="str">
        <f>IFERROR(__xludf.DUMMYFUNCTION("""COMPUTED_VALUE"""),"P-14457-00")</f>
        <v>P-14457-00</v>
      </c>
      <c r="K137" s="3" t="str">
        <f>IFERROR(__xludf.DUMMYFUNCTION("""COMPUTED_VALUE"""),"Approve")</f>
        <v>Approve</v>
      </c>
      <c r="L137" s="3" t="str">
        <f>IFERROR(__xludf.DUMMYFUNCTION("""COMPUTED_VALUE"""),"Normal")</f>
        <v>Normal</v>
      </c>
      <c r="M137" s="3" t="str">
        <f>IFERROR(__xludf.DUMMYFUNCTION("""COMPUTED_VALUE"""),"Non Urgent")</f>
        <v>Non Urgent</v>
      </c>
      <c r="N137" s="3">
        <f>IFERROR(__xludf.DUMMYFUNCTION("""COMPUTED_VALUE"""),45785.49025206019)</f>
        <v>45785.49025</v>
      </c>
    </row>
    <row r="138">
      <c r="A138" s="4">
        <f>IFERROR(__xludf.DUMMYFUNCTION("""COMPUTED_VALUE"""),45782.54224638888)</f>
        <v>45782.54225</v>
      </c>
      <c r="B138" s="3" t="str">
        <f>IFERROR(__xludf.DUMMYFUNCTION("""COMPUTED_VALUE"""),"MOBRO0040")</f>
        <v>MOBRO0040</v>
      </c>
      <c r="C138" s="3" t="str">
        <f>IFERROR(__xludf.DUMMYFUNCTION("""COMPUTED_VALUE"""),"Consumable")</f>
        <v>Consumable</v>
      </c>
      <c r="D138" s="3" t="str">
        <f>IFERROR(__xludf.DUMMYFUNCTION("""COMPUTED_VALUE"""),"-")</f>
        <v>-</v>
      </c>
      <c r="E138" s="3" t="str">
        <f>IFERROR(__xludf.DUMMYFUNCTION("""COMPUTED_VALUE"""),"AHU")</f>
        <v>AHU</v>
      </c>
      <c r="F138" s="3" t="str">
        <f>IFERROR(__xludf.DUMMYFUNCTION("""COMPUTED_VALUE"""),"Filter IAF MBV Series (Medium Filter), efficiency : 90-95 %, Size: 12 x 24 x 12 inch; IAF; ;")</f>
        <v>Filter IAF MBV Series (Medium Filter), efficiency : 90-95 %, Size: 12 x 24 x 12 inch; IAF; ;</v>
      </c>
      <c r="G138" s="3">
        <f>IFERROR(__xludf.DUMMYFUNCTION("""COMPUTED_VALUE"""),10.0)</f>
        <v>10</v>
      </c>
      <c r="H138" s="3" t="str">
        <f>IFERROR(__xludf.DUMMYFUNCTION("""COMPUTED_VALUE"""),"Pcs")</f>
        <v>Pcs</v>
      </c>
      <c r="I138" s="3" t="str">
        <f>IFERROR(__xludf.DUMMYFUNCTION("""COMPUTED_VALUE"""),"Spare")</f>
        <v>Spare</v>
      </c>
      <c r="J138" s="3" t="str">
        <f>IFERROR(__xludf.DUMMYFUNCTION("""COMPUTED_VALUE"""),"P-14458-00")</f>
        <v>P-14458-00</v>
      </c>
      <c r="K138" s="3" t="str">
        <f>IFERROR(__xludf.DUMMYFUNCTION("""COMPUTED_VALUE"""),"Approve")</f>
        <v>Approve</v>
      </c>
      <c r="L138" s="3" t="str">
        <f>IFERROR(__xludf.DUMMYFUNCTION("""COMPUTED_VALUE"""),"Normal")</f>
        <v>Normal</v>
      </c>
      <c r="M138" s="3" t="str">
        <f>IFERROR(__xludf.DUMMYFUNCTION("""COMPUTED_VALUE"""),"Non Urgent")</f>
        <v>Non Urgent</v>
      </c>
      <c r="N138" s="3">
        <f>IFERROR(__xludf.DUMMYFUNCTION("""COMPUTED_VALUE"""),45785.49050247685)</f>
        <v>45785.4905</v>
      </c>
    </row>
    <row r="139">
      <c r="A139" s="4">
        <f>IFERROR(__xludf.DUMMYFUNCTION("""COMPUTED_VALUE"""),45782.61139445602)</f>
        <v>45782.61139</v>
      </c>
      <c r="B139" s="3" t="str">
        <f>IFERROR(__xludf.DUMMYFUNCTION("""COMPUTED_VALUE"""),"MOBRO0041")</f>
        <v>MOBRO0041</v>
      </c>
      <c r="C139" s="3" t="str">
        <f>IFERROR(__xludf.DUMMYFUNCTION("""COMPUTED_VALUE"""),"MIn Stok")</f>
        <v>MIn Stok</v>
      </c>
      <c r="D139" s="3" t="str">
        <f>IFERROR(__xludf.DUMMYFUNCTION("""COMPUTED_VALUE"""),"-")</f>
        <v>-</v>
      </c>
      <c r="E139" s="3" t="str">
        <f>IFERROR(__xludf.DUMMYFUNCTION("""COMPUTED_VALUE"""),"AHU")</f>
        <v>AHU</v>
      </c>
      <c r="F139" s="3" t="str">
        <f>IFERROR(__xludf.DUMMYFUNCTION("""COMPUTED_VALUE"""),"General - Washable G4 Avg arrestance : 94%. Rec. Final resistance: 250 Pa. Size: 24"" x 24"" x 2""; IAF; ; pcs")</f>
        <v>General - Washable G4 Avg arrestance : 94%. Rec. Final resistance: 250 Pa. Size: 24" x 24" x 2"; IAF; ; pcs</v>
      </c>
      <c r="G139" s="3">
        <f>IFERROR(__xludf.DUMMYFUNCTION("""COMPUTED_VALUE"""),10.0)</f>
        <v>10</v>
      </c>
      <c r="H139" s="3" t="str">
        <f>IFERROR(__xludf.DUMMYFUNCTION("""COMPUTED_VALUE"""),"Pcs")</f>
        <v>Pcs</v>
      </c>
      <c r="I139" s="3" t="str">
        <f>IFERROR(__xludf.DUMMYFUNCTION("""COMPUTED_VALUE"""),"Ready Use penggantian AHU EFG kurang Karna banyak yng rusak")</f>
        <v>Ready Use penggantian AHU EFG kurang Karna banyak yng rusak</v>
      </c>
      <c r="J139" s="3" t="str">
        <f>IFERROR(__xludf.DUMMYFUNCTION("""COMPUTED_VALUE"""),"P-19028-00")</f>
        <v>P-19028-00</v>
      </c>
      <c r="K139" s="3" t="str">
        <f>IFERROR(__xludf.DUMMYFUNCTION("""COMPUTED_VALUE"""),"Approve")</f>
        <v>Approve</v>
      </c>
      <c r="L139" s="3" t="str">
        <f>IFERROR(__xludf.DUMMYFUNCTION("""COMPUTED_VALUE"""),"Normal")</f>
        <v>Normal</v>
      </c>
      <c r="M139" s="3" t="str">
        <f>IFERROR(__xludf.DUMMYFUNCTION("""COMPUTED_VALUE"""),"Non Urgent")</f>
        <v>Non Urgent</v>
      </c>
      <c r="N139" s="3">
        <f>IFERROR(__xludf.DUMMYFUNCTION("""COMPUTED_VALUE"""),45785.49059681713)</f>
        <v>45785.4906</v>
      </c>
    </row>
    <row r="140">
      <c r="A140" s="4">
        <f>IFERROR(__xludf.DUMMYFUNCTION("""COMPUTED_VALUE"""),45782.6116896875)</f>
        <v>45782.61169</v>
      </c>
      <c r="B140" s="3" t="str">
        <f>IFERROR(__xludf.DUMMYFUNCTION("""COMPUTED_VALUE"""),"MOBRO0042")</f>
        <v>MOBRO0042</v>
      </c>
      <c r="C140" s="3" t="str">
        <f>IFERROR(__xludf.DUMMYFUNCTION("""COMPUTED_VALUE"""),"MIn Stok")</f>
        <v>MIn Stok</v>
      </c>
      <c r="D140" s="3" t="str">
        <f>IFERROR(__xludf.DUMMYFUNCTION("""COMPUTED_VALUE"""),"-")</f>
        <v>-</v>
      </c>
      <c r="E140" s="3" t="str">
        <f>IFERROR(__xludf.DUMMYFUNCTION("""COMPUTED_VALUE"""),"AHU")</f>
        <v>AHU</v>
      </c>
      <c r="F140" s="3" t="str">
        <f>IFERROR(__xludf.DUMMYFUNCTION("""COMPUTED_VALUE"""),"Pre Filter G4 size : 12X24X2")</f>
        <v>Pre Filter G4 size : 12X24X2</v>
      </c>
      <c r="G140" s="3">
        <f>IFERROR(__xludf.DUMMYFUNCTION("""COMPUTED_VALUE"""),10.0)</f>
        <v>10</v>
      </c>
      <c r="H140" s="3" t="str">
        <f>IFERROR(__xludf.DUMMYFUNCTION("""COMPUTED_VALUE"""),"Pcs")</f>
        <v>Pcs</v>
      </c>
      <c r="I140" s="3" t="str">
        <f>IFERROR(__xludf.DUMMYFUNCTION("""COMPUTED_VALUE"""),"Ready Use penggantian AHU EFG kurang Karna banyak yng rusak")</f>
        <v>Ready Use penggantian AHU EFG kurang Karna banyak yng rusak</v>
      </c>
      <c r="J140" s="3" t="str">
        <f>IFERROR(__xludf.DUMMYFUNCTION("""COMPUTED_VALUE"""),"P-10019-00")</f>
        <v>P-10019-00</v>
      </c>
      <c r="K140" s="3" t="str">
        <f>IFERROR(__xludf.DUMMYFUNCTION("""COMPUTED_VALUE"""),"Approve")</f>
        <v>Approve</v>
      </c>
      <c r="L140" s="3" t="str">
        <f>IFERROR(__xludf.DUMMYFUNCTION("""COMPUTED_VALUE"""),"Normal")</f>
        <v>Normal</v>
      </c>
      <c r="M140" s="3" t="str">
        <f>IFERROR(__xludf.DUMMYFUNCTION("""COMPUTED_VALUE"""),"Non Urgent")</f>
        <v>Non Urgent</v>
      </c>
      <c r="N140" s="3">
        <f>IFERROR(__xludf.DUMMYFUNCTION("""COMPUTED_VALUE"""),45785.490955810186)</f>
        <v>45785.49096</v>
      </c>
    </row>
    <row r="141">
      <c r="A141" s="4">
        <f>IFERROR(__xludf.DUMMYFUNCTION("""COMPUTED_VALUE"""),45783.62674813657)</f>
        <v>45783.62675</v>
      </c>
      <c r="B141" s="3" t="str">
        <f>IFERROR(__xludf.DUMMYFUNCTION("""COMPUTED_VALUE"""),"MOBRO0043")</f>
        <v>MOBRO0043</v>
      </c>
      <c r="C141" s="3" t="str">
        <f>IFERROR(__xludf.DUMMYFUNCTION("""COMPUTED_VALUE"""),"EJO")</f>
        <v>EJO</v>
      </c>
      <c r="D141" s="3" t="str">
        <f>IFERROR(__xludf.DUMMYFUNCTION("""COMPUTED_VALUE"""),"2025/05/45")</f>
        <v>2025/05/45</v>
      </c>
      <c r="E141" s="3" t="str">
        <f>IFERROR(__xludf.DUMMYFUNCTION("""COMPUTED_VALUE"""),"EF Lt.4,")</f>
        <v>EF Lt.4,</v>
      </c>
      <c r="F141" s="3" t="str">
        <f>IFERROR(__xludf.DUMMYFUNCTION("""COMPUTED_VALUE"""),"SPA 1120 Brand : Optibelt / Bando Merah; Optibelt; ;")</f>
        <v>SPA 1120 Brand : Optibelt / Bando Merah; Optibelt; ;</v>
      </c>
      <c r="G141" s="3">
        <f>IFERROR(__xludf.DUMMYFUNCTION("""COMPUTED_VALUE"""),6.0)</f>
        <v>6</v>
      </c>
      <c r="H141" s="3" t="str">
        <f>IFERROR(__xludf.DUMMYFUNCTION("""COMPUTED_VALUE"""),"Pcs")</f>
        <v>Pcs</v>
      </c>
      <c r="I141" s="3" t="str">
        <f>IFERROR(__xludf.DUMMYFUNCTION("""COMPUTED_VALUE"""),"EJO")</f>
        <v>EJO</v>
      </c>
      <c r="J141" s="3" t="str">
        <f>IFERROR(__xludf.DUMMYFUNCTION("""COMPUTED_VALUE"""),"O-15489-00")</f>
        <v>O-15489-00</v>
      </c>
      <c r="K141" s="3" t="str">
        <f>IFERROR(__xludf.DUMMYFUNCTION("""COMPUTED_VALUE"""),"Approve")</f>
        <v>Approve</v>
      </c>
      <c r="L141" s="3" t="str">
        <f>IFERROR(__xludf.DUMMYFUNCTION("""COMPUTED_VALUE"""),"Normal")</f>
        <v>Normal</v>
      </c>
      <c r="M141" s="3" t="str">
        <f>IFERROR(__xludf.DUMMYFUNCTION("""COMPUTED_VALUE"""),"Non Urgent")</f>
        <v>Non Urgent</v>
      </c>
      <c r="N141" s="3">
        <f>IFERROR(__xludf.DUMMYFUNCTION("""COMPUTED_VALUE"""),45785.49122026621)</f>
        <v>45785.49122</v>
      </c>
    </row>
    <row r="142">
      <c r="A142" s="4">
        <f>IFERROR(__xludf.DUMMYFUNCTION("""COMPUTED_VALUE"""),45784.02340074074)</f>
        <v>45784.0234</v>
      </c>
      <c r="B142" s="3" t="str">
        <f>IFERROR(__xludf.DUMMYFUNCTION("""COMPUTED_VALUE"""),"SFHRO0006")</f>
        <v>SFHRO0006</v>
      </c>
      <c r="C142" s="3" t="str">
        <f>IFERROR(__xludf.DUMMYFUNCTION("""COMPUTED_VALUE"""),"MIn Stok")</f>
        <v>MIn Stok</v>
      </c>
      <c r="D142" s="3" t="str">
        <f>IFERROR(__xludf.DUMMYFUNCTION("""COMPUTED_VALUE"""),"-")</f>
        <v>-</v>
      </c>
      <c r="E142" s="3" t="str">
        <f>IFERROR(__xludf.DUMMYFUNCTION("""COMPUTED_VALUE"""),"lantai 2")</f>
        <v>lantai 2</v>
      </c>
      <c r="F142" s="3" t="str">
        <f>IFERROR(__xludf.DUMMYFUNCTION("""COMPUTED_VALUE"""),"Thinner Super End/Impala @ 1 Liter")</f>
        <v>Thinner Super End/Impala @ 1 Liter</v>
      </c>
      <c r="G142" s="3">
        <f>IFERROR(__xludf.DUMMYFUNCTION("""COMPUTED_VALUE"""),10.0)</f>
        <v>10</v>
      </c>
      <c r="H142" s="3" t="str">
        <f>IFERROR(__xludf.DUMMYFUNCTION("""COMPUTED_VALUE"""),"liter")</f>
        <v>liter</v>
      </c>
      <c r="I142" s="3" t="str">
        <f>IFERROR(__xludf.DUMMYFUNCTION("""COMPUTED_VALUE"""),"-")</f>
        <v>-</v>
      </c>
      <c r="J142" s="3" t="str">
        <f>IFERROR(__xludf.DUMMYFUNCTION("""COMPUTED_VALUE"""),"Q-10128-00")</f>
        <v>Q-10128-00</v>
      </c>
      <c r="K142" s="3" t="str">
        <f>IFERROR(__xludf.DUMMYFUNCTION("""COMPUTED_VALUE"""),"Approve")</f>
        <v>Approve</v>
      </c>
      <c r="L142" s="3" t="str">
        <f>IFERROR(__xludf.DUMMYFUNCTION("""COMPUTED_VALUE"""),"Normal")</f>
        <v>Normal</v>
      </c>
      <c r="M142" s="3" t="str">
        <f>IFERROR(__xludf.DUMMYFUNCTION("""COMPUTED_VALUE"""),"Non Urgent")</f>
        <v>Non Urgent</v>
      </c>
      <c r="N142" s="3">
        <f>IFERROR(__xludf.DUMMYFUNCTION("""COMPUTED_VALUE"""),45790.431235185184)</f>
        <v>45790.43124</v>
      </c>
    </row>
    <row r="143">
      <c r="A143" s="4">
        <f>IFERROR(__xludf.DUMMYFUNCTION("""COMPUTED_VALUE"""),45787.48358777777)</f>
        <v>45787.48359</v>
      </c>
      <c r="B143" s="3" t="str">
        <f>IFERROR(__xludf.DUMMYFUNCTION("""COMPUTED_VALUE"""),"ROSRO0004")</f>
        <v>ROSRO0004</v>
      </c>
      <c r="C143" s="3" t="str">
        <f>IFERROR(__xludf.DUMMYFUNCTION("""COMPUTED_VALUE"""),"Consumable")</f>
        <v>Consumable</v>
      </c>
      <c r="D143" s="3" t="str">
        <f>IFERROR(__xludf.DUMMYFUNCTION("""COMPUTED_VALUE"""),"-")</f>
        <v>-</v>
      </c>
      <c r="E143" s="3" t="str">
        <f>IFERROR(__xludf.DUMMYFUNCTION("""COMPUTED_VALUE"""),"isolator Mixing")</f>
        <v>isolator Mixing</v>
      </c>
      <c r="F143" s="3" t="str">
        <f>IFERROR(__xludf.DUMMYFUNCTION("""COMPUTED_VALUE"""),"LAMPU SL 24 W  / 220-240 V / SPIRAL, PHILIPS")</f>
        <v>LAMPU SL 24 W  / 220-240 V / SPIRAL, PHILIPS</v>
      </c>
      <c r="G143" s="3">
        <f>IFERROR(__xludf.DUMMYFUNCTION("""COMPUTED_VALUE"""),10.0)</f>
        <v>10</v>
      </c>
      <c r="H143" s="3" t="str">
        <f>IFERROR(__xludf.DUMMYFUNCTION("""COMPUTED_VALUE"""),"set")</f>
        <v>set</v>
      </c>
      <c r="I143" s="3" t="str">
        <f>IFERROR(__xludf.DUMMYFUNCTION("""COMPUTED_VALUE"""),"-")</f>
        <v>-</v>
      </c>
      <c r="J143" s="3" t="str">
        <f>IFERROR(__xludf.DUMMYFUNCTION("""COMPUTED_VALUE"""),"O-54004-00")</f>
        <v>O-54004-00</v>
      </c>
      <c r="K143" s="3" t="str">
        <f>IFERROR(__xludf.DUMMYFUNCTION("""COMPUTED_VALUE"""),"Approve")</f>
        <v>Approve</v>
      </c>
      <c r="L143" s="3" t="str">
        <f>IFERROR(__xludf.DUMMYFUNCTION("""COMPUTED_VALUE"""),"Normal")</f>
        <v>Normal</v>
      </c>
      <c r="M143" s="3" t="str">
        <f>IFERROR(__xludf.DUMMYFUNCTION("""COMPUTED_VALUE"""),"Non Urgent")</f>
        <v>Non Urgent</v>
      </c>
      <c r="N143" s="3">
        <f>IFERROR(__xludf.DUMMYFUNCTION("""COMPUTED_VALUE"""),45790.49238351852)</f>
        <v>45790.49238</v>
      </c>
    </row>
    <row r="144">
      <c r="A144" s="4">
        <f>IFERROR(__xludf.DUMMYFUNCTION("""COMPUTED_VALUE"""),45789.837983067126)</f>
        <v>45789.83798</v>
      </c>
      <c r="B144" s="3" t="str">
        <f>IFERROR(__xludf.DUMMYFUNCTION("""COMPUTED_VALUE"""),"MFHRO0046")</f>
        <v>MFHRO0046</v>
      </c>
      <c r="C144" s="3" t="str">
        <f>IFERROR(__xludf.DUMMYFUNCTION("""COMPUTED_VALUE"""),"Consumable")</f>
        <v>Consumable</v>
      </c>
      <c r="D144" s="3" t="str">
        <f>IFERROR(__xludf.DUMMYFUNCTION("""COMPUTED_VALUE"""),"-")</f>
        <v>-</v>
      </c>
      <c r="E144" s="3" t="str">
        <f>IFERROR(__xludf.DUMMYFUNCTION("""COMPUTED_VALUE"""),"General")</f>
        <v>General</v>
      </c>
      <c r="F144" s="3" t="str">
        <f>IFERROR(__xludf.DUMMYFUNCTION("""COMPUTED_VALUE"""),"Plastik Wrap Roll,  Size 50 x 200 cm x 17 micron")</f>
        <v>Plastik Wrap Roll,  Size 50 x 200 cm x 17 micron</v>
      </c>
      <c r="G144" s="3">
        <f>IFERROR(__xludf.DUMMYFUNCTION("""COMPUTED_VALUE"""),5.0)</f>
        <v>5</v>
      </c>
      <c r="H144" s="3" t="str">
        <f>IFERROR(__xludf.DUMMYFUNCTION("""COMPUTED_VALUE"""),"Pcs")</f>
        <v>Pcs</v>
      </c>
      <c r="I144" s="3" t="str">
        <f>IFERROR(__xludf.DUMMYFUNCTION("""COMPUTED_VALUE"""),"Min Stok Plastik Wrap 121702607")</f>
        <v>Min Stok Plastik Wrap 121702607</v>
      </c>
      <c r="J144" s="3" t="str">
        <f>IFERROR(__xludf.DUMMYFUNCTION("""COMPUTED_VALUE"""),"S-46129-00")</f>
        <v>S-46129-00</v>
      </c>
      <c r="K144" s="3" t="str">
        <f>IFERROR(__xludf.DUMMYFUNCTION("""COMPUTED_VALUE"""),"Approve")</f>
        <v>Approve</v>
      </c>
      <c r="L144" s="3" t="str">
        <f>IFERROR(__xludf.DUMMYFUNCTION("""COMPUTED_VALUE"""),"Normal")</f>
        <v>Normal</v>
      </c>
      <c r="M144" s="3" t="str">
        <f>IFERROR(__xludf.DUMMYFUNCTION("""COMPUTED_VALUE"""),"Non Urgent")</f>
        <v>Non Urgent</v>
      </c>
      <c r="N144" s="3">
        <f>IFERROR(__xludf.DUMMYFUNCTION("""COMPUTED_VALUE"""),45789.87406674768)</f>
        <v>45789.87407</v>
      </c>
    </row>
    <row r="145">
      <c r="A145" s="4">
        <f>IFERROR(__xludf.DUMMYFUNCTION("""COMPUTED_VALUE"""),45789.837983067126)</f>
        <v>45789.83798</v>
      </c>
      <c r="B145" s="3" t="str">
        <f>IFERROR(__xludf.DUMMYFUNCTION("""COMPUTED_VALUE"""),"MFHRO0047")</f>
        <v>MFHRO0047</v>
      </c>
      <c r="C145" s="3" t="str">
        <f>IFERROR(__xludf.DUMMYFUNCTION("""COMPUTED_VALUE"""),"MIn Stok")</f>
        <v>MIn Stok</v>
      </c>
      <c r="D145" s="3" t="str">
        <f>IFERROR(__xludf.DUMMYFUNCTION("""COMPUTED_VALUE"""),"-")</f>
        <v>-</v>
      </c>
      <c r="E145" s="3" t="str">
        <f>IFERROR(__xludf.DUMMYFUNCTION("""COMPUTED_VALUE"""),"WWTP")</f>
        <v>WWTP</v>
      </c>
      <c r="F145" s="3" t="str">
        <f>IFERROR(__xludf.DUMMYFUNCTION("""COMPUTED_VALUE"""),"General - Set Gearbox Helical G3FS + Dinamo 0,5 HP Ratio 1:15 4 Pole, B5, 1 Phase; Yuema; -; 1 set")</f>
        <v>General - Set Gearbox Helical G3FS + Dinamo 0,5 HP Ratio 1:15 4 Pole, B5, 1 Phase; Yuema; -; 1 set</v>
      </c>
      <c r="G145" s="3">
        <f>IFERROR(__xludf.DUMMYFUNCTION("""COMPUTED_VALUE"""),1.0)</f>
        <v>1</v>
      </c>
      <c r="H145" s="3" t="str">
        <f>IFERROR(__xludf.DUMMYFUNCTION("""COMPUTED_VALUE"""),"Set")</f>
        <v>Set</v>
      </c>
      <c r="I145" s="3" t="str">
        <f>IFERROR(__xludf.DUMMYFUNCTION("""COMPUTED_VALUE"""),"Min Stok Mixer SMBS")</f>
        <v>Min Stok Mixer SMBS</v>
      </c>
      <c r="J145" s="3" t="str">
        <f>IFERROR(__xludf.DUMMYFUNCTION("""COMPUTED_VALUE"""),"P-53418-00")</f>
        <v>P-53418-00</v>
      </c>
      <c r="K145" s="3" t="str">
        <f>IFERROR(__xludf.DUMMYFUNCTION("""COMPUTED_VALUE"""),"Approve")</f>
        <v>Approve</v>
      </c>
      <c r="L145" s="3" t="str">
        <f>IFERROR(__xludf.DUMMYFUNCTION("""COMPUTED_VALUE"""),"Normal")</f>
        <v>Normal</v>
      </c>
      <c r="M145" s="3" t="str">
        <f>IFERROR(__xludf.DUMMYFUNCTION("""COMPUTED_VALUE"""),"Non Urgent")</f>
        <v>Non Urgent</v>
      </c>
      <c r="N145" s="3">
        <f>IFERROR(__xludf.DUMMYFUNCTION("""COMPUTED_VALUE"""),45789.874573865745)</f>
        <v>45789.87457</v>
      </c>
    </row>
    <row r="146">
      <c r="A146" s="4">
        <f>IFERROR(__xludf.DUMMYFUNCTION("""COMPUTED_VALUE"""),45789.837983067126)</f>
        <v>45789.83798</v>
      </c>
      <c r="B146" s="3" t="str">
        <f>IFERROR(__xludf.DUMMYFUNCTION("""COMPUTED_VALUE"""),"MFHRO0048")</f>
        <v>MFHRO0048</v>
      </c>
      <c r="C146" s="3" t="str">
        <f>IFERROR(__xludf.DUMMYFUNCTION("""COMPUTED_VALUE"""),"MIn Stok")</f>
        <v>MIn Stok</v>
      </c>
      <c r="D146" s="3" t="str">
        <f>IFERROR(__xludf.DUMMYFUNCTION("""COMPUTED_VALUE"""),"-")</f>
        <v>-</v>
      </c>
      <c r="E146" s="3" t="str">
        <f>IFERROR(__xludf.DUMMYFUNCTION("""COMPUTED_VALUE"""),"Autoclave")</f>
        <v>Autoclave</v>
      </c>
      <c r="F146" s="3" t="str">
        <f>IFERROR(__xludf.DUMMYFUNCTION("""COMPUTED_VALUE"""),"Autoclave Fedegari Fva/A1 - Oring Viton OD. 15 mm, ID. 15 mm, Tebal 2 mm Custom/Lokal  -")</f>
        <v>Autoclave Fedegari Fva/A1 - Oring Viton OD. 15 mm, ID. 15 mm, Tebal 2 mm Custom/Lokal  -</v>
      </c>
      <c r="G146" s="3">
        <f>IFERROR(__xludf.DUMMYFUNCTION("""COMPUTED_VALUE"""),50.0)</f>
        <v>50</v>
      </c>
      <c r="H146" s="3" t="str">
        <f>IFERROR(__xludf.DUMMYFUNCTION("""COMPUTED_VALUE"""),"Pc")</f>
        <v>Pc</v>
      </c>
      <c r="I146" s="3" t="str">
        <f>IFERROR(__xludf.DUMMYFUNCTION("""COMPUTED_VALUE"""),"Min Stok Oring Autoclave 121702622")</f>
        <v>Min Stok Oring Autoclave 121702622</v>
      </c>
      <c r="J146" s="3" t="str">
        <f>IFERROR(__xludf.DUMMYFUNCTION("""COMPUTED_VALUE"""),"O-20297-00")</f>
        <v>O-20297-00</v>
      </c>
      <c r="K146" s="3" t="str">
        <f>IFERROR(__xludf.DUMMYFUNCTION("""COMPUTED_VALUE"""),"Approve")</f>
        <v>Approve</v>
      </c>
      <c r="L146" s="3" t="str">
        <f>IFERROR(__xludf.DUMMYFUNCTION("""COMPUTED_VALUE"""),"Normal")</f>
        <v>Normal</v>
      </c>
      <c r="M146" s="3" t="str">
        <f>IFERROR(__xludf.DUMMYFUNCTION("""COMPUTED_VALUE"""),"Non Urgent")</f>
        <v>Non Urgent</v>
      </c>
      <c r="N146" s="3">
        <f>IFERROR(__xludf.DUMMYFUNCTION("""COMPUTED_VALUE"""),45789.87562708333)</f>
        <v>45789.87563</v>
      </c>
    </row>
    <row r="147">
      <c r="A147" s="4">
        <f>IFERROR(__xludf.DUMMYFUNCTION("""COMPUTED_VALUE"""),45789.837983067126)</f>
        <v>45789.83798</v>
      </c>
      <c r="B147" s="3" t="str">
        <f>IFERROR(__xludf.DUMMYFUNCTION("""COMPUTED_VALUE"""),"MFHRO0049")</f>
        <v>MFHRO0049</v>
      </c>
      <c r="C147" s="3" t="str">
        <f>IFERROR(__xludf.DUMMYFUNCTION("""COMPUTED_VALUE"""),"MIn Stok")</f>
        <v>MIn Stok</v>
      </c>
      <c r="D147" s="3" t="str">
        <f>IFERROR(__xludf.DUMMYFUNCTION("""COMPUTED_VALUE"""),"-")</f>
        <v>-</v>
      </c>
      <c r="E147" s="3" t="str">
        <f>IFERROR(__xludf.DUMMYFUNCTION("""COMPUTED_VALUE"""),"Mixing")</f>
        <v>Mixing</v>
      </c>
      <c r="F147" s="3" t="str">
        <f>IFERROR(__xludf.DUMMYFUNCTION("""COMPUTED_VALUE"""),"OMRON - Relay MY4Z 24VDC; ; ;")</f>
        <v>OMRON - Relay MY4Z 24VDC; ; ;</v>
      </c>
      <c r="G147" s="3">
        <f>IFERROR(__xludf.DUMMYFUNCTION("""COMPUTED_VALUE"""),15.0)</f>
        <v>15</v>
      </c>
      <c r="H147" s="3" t="str">
        <f>IFERROR(__xludf.DUMMYFUNCTION("""COMPUTED_VALUE"""),"Pcs")</f>
        <v>Pcs</v>
      </c>
      <c r="I147" s="3" t="str">
        <f>IFERROR(__xludf.DUMMYFUNCTION("""COMPUTED_VALUE"""),"Min Stok Relay Mixing 121702623")</f>
        <v>Min Stok Relay Mixing 121702623</v>
      </c>
      <c r="J147" s="3" t="str">
        <f>IFERROR(__xludf.DUMMYFUNCTION("""COMPUTED_VALUE"""),"O-51698-00")</f>
        <v>O-51698-00</v>
      </c>
      <c r="K147" s="3" t="str">
        <f>IFERROR(__xludf.DUMMYFUNCTION("""COMPUTED_VALUE"""),"Approve")</f>
        <v>Approve</v>
      </c>
      <c r="L147" s="3" t="str">
        <f>IFERROR(__xludf.DUMMYFUNCTION("""COMPUTED_VALUE"""),"Normal")</f>
        <v>Normal</v>
      </c>
      <c r="M147" s="3" t="str">
        <f>IFERROR(__xludf.DUMMYFUNCTION("""COMPUTED_VALUE"""),"Non Urgent")</f>
        <v>Non Urgent</v>
      </c>
      <c r="N147" s="3">
        <f>IFERROR(__xludf.DUMMYFUNCTION("""COMPUTED_VALUE"""),45789.875767233796)</f>
        <v>45789.87577</v>
      </c>
    </row>
    <row r="148">
      <c r="A148" s="4">
        <f>IFERROR(__xludf.DUMMYFUNCTION("""COMPUTED_VALUE"""),45789.837983067126)</f>
        <v>45789.83798</v>
      </c>
      <c r="B148" s="3" t="str">
        <f>IFERROR(__xludf.DUMMYFUNCTION("""COMPUTED_VALUE"""),"MFHRO0050")</f>
        <v>MFHRO0050</v>
      </c>
      <c r="C148" s="3" t="str">
        <f>IFERROR(__xludf.DUMMYFUNCTION("""COMPUTED_VALUE"""),"MIn Stok")</f>
        <v>MIn Stok</v>
      </c>
      <c r="D148" s="3" t="str">
        <f>IFERROR(__xludf.DUMMYFUNCTION("""COMPUTED_VALUE"""),"-")</f>
        <v>-</v>
      </c>
      <c r="E148" s="3" t="str">
        <f>IFERROR(__xludf.DUMMYFUNCTION("""COMPUTED_VALUE"""),"Autoclave")</f>
        <v>Autoclave</v>
      </c>
      <c r="F148" s="3" t="str">
        <f>IFERROR(__xludf.DUMMYFUNCTION("""COMPUTED_VALUE"""),"Autoclave Fedegari FVA2/A1 NB2963AT - KIT Ricambi Valv. DN10 ON-OFF FEDEGARI ASIA PTE LTD P/N : KK000301 pc")</f>
        <v>Autoclave Fedegari FVA2/A1 NB2963AT - KIT Ricambi Valv. DN10 ON-OFF FEDEGARI ASIA PTE LTD P/N : KK000301 pc</v>
      </c>
      <c r="G148" s="3">
        <f>IFERROR(__xludf.DUMMYFUNCTION("""COMPUTED_VALUE"""),14.0)</f>
        <v>14</v>
      </c>
      <c r="H148" s="3" t="str">
        <f>IFERROR(__xludf.DUMMYFUNCTION("""COMPUTED_VALUE"""),"Pcs")</f>
        <v>Pcs</v>
      </c>
      <c r="I148" s="3" t="str">
        <f>IFERROR(__xludf.DUMMYFUNCTION("""COMPUTED_VALUE"""),"Min Stok Dot Autoclave 121702624")</f>
        <v>Min Stok Dot Autoclave 121702624</v>
      </c>
      <c r="J148" s="3" t="str">
        <f>IFERROR(__xludf.DUMMYFUNCTION("""COMPUTED_VALUE"""),"O-16731-00")</f>
        <v>O-16731-00</v>
      </c>
      <c r="K148" s="3" t="str">
        <f>IFERROR(__xludf.DUMMYFUNCTION("""COMPUTED_VALUE"""),"Approve")</f>
        <v>Approve</v>
      </c>
      <c r="L148" s="3" t="str">
        <f>IFERROR(__xludf.DUMMYFUNCTION("""COMPUTED_VALUE"""),"Normal")</f>
        <v>Normal</v>
      </c>
      <c r="M148" s="3" t="str">
        <f>IFERROR(__xludf.DUMMYFUNCTION("""COMPUTED_VALUE"""),"Non Urgent")</f>
        <v>Non Urgent</v>
      </c>
      <c r="N148" s="3">
        <f>IFERROR(__xludf.DUMMYFUNCTION("""COMPUTED_VALUE"""),45789.875888912036)</f>
        <v>45789.87589</v>
      </c>
    </row>
    <row r="149">
      <c r="A149" s="4">
        <f>IFERROR(__xludf.DUMMYFUNCTION("""COMPUTED_VALUE"""),45789.837983067126)</f>
        <v>45789.83798</v>
      </c>
      <c r="B149" s="3" t="str">
        <f>IFERROR(__xludf.DUMMYFUNCTION("""COMPUTED_VALUE"""),"MFHRO0051")</f>
        <v>MFHRO0051</v>
      </c>
      <c r="C149" s="3" t="str">
        <f>IFERROR(__xludf.DUMMYFUNCTION("""COMPUTED_VALUE"""),"MIn Stok")</f>
        <v>MIn Stok</v>
      </c>
      <c r="D149" s="3" t="str">
        <f>IFERROR(__xludf.DUMMYFUNCTION("""COMPUTED_VALUE"""),"-")</f>
        <v>-</v>
      </c>
      <c r="E149" s="3" t="str">
        <f>IFERROR(__xludf.DUMMYFUNCTION("""COMPUTED_VALUE"""),"Autoclave")</f>
        <v>Autoclave</v>
      </c>
      <c r="F149" s="3" t="str">
        <f>IFERROR(__xludf.DUMMYFUNCTION("""COMPUTED_VALUE"""),"Fedegari FVA2/A1 - CLAMP DN34-DN35 (MICROCASTED); Code : GM100094; ; ;")</f>
        <v>Fedegari FVA2/A1 - CLAMP DN34-DN35 (MICROCASTED); Code : GM100094; ; ;</v>
      </c>
      <c r="G149" s="3">
        <f>IFERROR(__xludf.DUMMYFUNCTION("""COMPUTED_VALUE"""),1.0)</f>
        <v>1</v>
      </c>
      <c r="H149" s="3" t="str">
        <f>IFERROR(__xludf.DUMMYFUNCTION("""COMPUTED_VALUE"""),"Pcs")</f>
        <v>Pcs</v>
      </c>
      <c r="I149" s="3" t="str">
        <f>IFERROR(__xludf.DUMMYFUNCTION("""COMPUTED_VALUE"""),"Min Stock Clamp Autoclave 121702624")</f>
        <v>Min Stock Clamp Autoclave 121702624</v>
      </c>
      <c r="J149" s="3" t="str">
        <f>IFERROR(__xludf.DUMMYFUNCTION("""COMPUTED_VALUE"""),"O-15912-00")</f>
        <v>O-15912-00</v>
      </c>
      <c r="K149" s="3" t="str">
        <f>IFERROR(__xludf.DUMMYFUNCTION("""COMPUTED_VALUE"""),"Approve")</f>
        <v>Approve</v>
      </c>
      <c r="L149" s="3" t="str">
        <f>IFERROR(__xludf.DUMMYFUNCTION("""COMPUTED_VALUE"""),"Normal")</f>
        <v>Normal</v>
      </c>
      <c r="M149" s="3" t="str">
        <f>IFERROR(__xludf.DUMMYFUNCTION("""COMPUTED_VALUE"""),"Non Urgent")</f>
        <v>Non Urgent</v>
      </c>
      <c r="N149" s="3">
        <f>IFERROR(__xludf.DUMMYFUNCTION("""COMPUTED_VALUE"""),45789.8759947338)</f>
        <v>45789.87599</v>
      </c>
    </row>
    <row r="150">
      <c r="A150" s="4">
        <f>IFERROR(__xludf.DUMMYFUNCTION("""COMPUTED_VALUE"""),45789.837983067126)</f>
        <v>45789.83798</v>
      </c>
      <c r="B150" s="3" t="str">
        <f>IFERROR(__xludf.DUMMYFUNCTION("""COMPUTED_VALUE"""),"MFHRO0052")</f>
        <v>MFHRO0052</v>
      </c>
      <c r="C150" s="3" t="str">
        <f>IFERROR(__xludf.DUMMYFUNCTION("""COMPUTED_VALUE"""),"MIn Stok")</f>
        <v>MIn Stok</v>
      </c>
      <c r="D150" s="3" t="str">
        <f>IFERROR(__xludf.DUMMYFUNCTION("""COMPUTED_VALUE"""),"-")</f>
        <v>-</v>
      </c>
      <c r="E150" s="3" t="str">
        <f>IFERROR(__xludf.DUMMYFUNCTION("""COMPUTED_VALUE"""),"Autoclave")</f>
        <v>Autoclave</v>
      </c>
      <c r="F150" s="3" t="str">
        <f>IFERROR(__xludf.DUMMYFUNCTION("""COMPUTED_VALUE"""),"Fedegari FVA2/A1 - DN16 ASTM CAP; Code : PM102747; ; ;")</f>
        <v>Fedegari FVA2/A1 - DN16 ASTM CAP; Code : PM102747; ; ;</v>
      </c>
      <c r="G150" s="3">
        <f>IFERROR(__xludf.DUMMYFUNCTION("""COMPUTED_VALUE"""),1.0)</f>
        <v>1</v>
      </c>
      <c r="H150" s="3" t="str">
        <f>IFERROR(__xludf.DUMMYFUNCTION("""COMPUTED_VALUE"""),"Unit")</f>
        <v>Unit</v>
      </c>
      <c r="I150" s="3" t="str">
        <f>IFERROR(__xludf.DUMMYFUNCTION("""COMPUTED_VALUE"""),"Min Stock Autoclave 121702624")</f>
        <v>Min Stock Autoclave 121702624</v>
      </c>
      <c r="J150" s="3" t="str">
        <f>IFERROR(__xludf.DUMMYFUNCTION("""COMPUTED_VALUE"""),"O-15915-00")</f>
        <v>O-15915-00</v>
      </c>
      <c r="K150" s="3" t="str">
        <f>IFERROR(__xludf.DUMMYFUNCTION("""COMPUTED_VALUE"""),"Approve")</f>
        <v>Approve</v>
      </c>
      <c r="L150" s="3" t="str">
        <f>IFERROR(__xludf.DUMMYFUNCTION("""COMPUTED_VALUE"""),"Normal")</f>
        <v>Normal</v>
      </c>
      <c r="M150" s="3" t="str">
        <f>IFERROR(__xludf.DUMMYFUNCTION("""COMPUTED_VALUE"""),"Non Urgent")</f>
        <v>Non Urgent</v>
      </c>
      <c r="N150" s="3">
        <f>IFERROR(__xludf.DUMMYFUNCTION("""COMPUTED_VALUE"""),45789.876125925926)</f>
        <v>45789.87613</v>
      </c>
    </row>
    <row r="151">
      <c r="A151" s="4">
        <f>IFERROR(__xludf.DUMMYFUNCTION("""COMPUTED_VALUE"""),45789.837983067126)</f>
        <v>45789.83798</v>
      </c>
      <c r="B151" s="3" t="str">
        <f>IFERROR(__xludf.DUMMYFUNCTION("""COMPUTED_VALUE"""),"MFHRO0053")</f>
        <v>MFHRO0053</v>
      </c>
      <c r="C151" s="3" t="str">
        <f>IFERROR(__xludf.DUMMYFUNCTION("""COMPUTED_VALUE"""),"MIn Stok")</f>
        <v>MIn Stok</v>
      </c>
      <c r="D151" s="3" t="str">
        <f>IFERROR(__xludf.DUMMYFUNCTION("""COMPUTED_VALUE"""),"-")</f>
        <v>-</v>
      </c>
      <c r="E151" s="3" t="str">
        <f>IFERROR(__xludf.DUMMYFUNCTION("""COMPUTED_VALUE"""),"Autoclave")</f>
        <v>Autoclave</v>
      </c>
      <c r="F151" s="3" t="str">
        <f>IFERROR(__xludf.DUMMYFUNCTION("""COMPUTED_VALUE"""),"Fedegari FVA2/A1 S/N : NB2964AT - Cover Seal FVM-A/2 FOB2 (Code: PP600265); ; ;")</f>
        <v>Fedegari FVA2/A1 S/N : NB2964AT - Cover Seal FVM-A/2 FOB2 (Code: PP600265); ; ;</v>
      </c>
      <c r="G151" s="3">
        <f>IFERROR(__xludf.DUMMYFUNCTION("""COMPUTED_VALUE"""),1.0)</f>
        <v>1</v>
      </c>
      <c r="H151" s="3" t="str">
        <f>IFERROR(__xludf.DUMMYFUNCTION("""COMPUTED_VALUE"""),"Unit")</f>
        <v>Unit</v>
      </c>
      <c r="I151" s="3" t="str">
        <f>IFERROR(__xludf.DUMMYFUNCTION("""COMPUTED_VALUE"""),"Min Stock Autoclave 121702625")</f>
        <v>Min Stock Autoclave 121702625</v>
      </c>
      <c r="J151" s="3" t="str">
        <f>IFERROR(__xludf.DUMMYFUNCTION("""COMPUTED_VALUE"""),"P-15429-00")</f>
        <v>P-15429-00</v>
      </c>
      <c r="K151" s="3" t="str">
        <f>IFERROR(__xludf.DUMMYFUNCTION("""COMPUTED_VALUE"""),"Approve")</f>
        <v>Approve</v>
      </c>
      <c r="L151" s="3" t="str">
        <f>IFERROR(__xludf.DUMMYFUNCTION("""COMPUTED_VALUE"""),"Normal")</f>
        <v>Normal</v>
      </c>
      <c r="M151" s="3" t="str">
        <f>IFERROR(__xludf.DUMMYFUNCTION("""COMPUTED_VALUE"""),"Non Urgent")</f>
        <v>Non Urgent</v>
      </c>
      <c r="N151" s="3">
        <f>IFERROR(__xludf.DUMMYFUNCTION("""COMPUTED_VALUE"""),45789.87626002315)</f>
        <v>45789.87626</v>
      </c>
    </row>
    <row r="152">
      <c r="A152" s="4">
        <f>IFERROR(__xludf.DUMMYFUNCTION("""COMPUTED_VALUE"""),45789.837983067126)</f>
        <v>45789.83798</v>
      </c>
      <c r="B152" s="3" t="str">
        <f>IFERROR(__xludf.DUMMYFUNCTION("""COMPUTED_VALUE"""),"MFHRO0054")</f>
        <v>MFHRO0054</v>
      </c>
      <c r="C152" s="3" t="str">
        <f>IFERROR(__xludf.DUMMYFUNCTION("""COMPUTED_VALUE"""),"MIn Stok")</f>
        <v>MIn Stok</v>
      </c>
      <c r="D152" s="3" t="str">
        <f>IFERROR(__xludf.DUMMYFUNCTION("""COMPUTED_VALUE"""),"-")</f>
        <v>-</v>
      </c>
      <c r="E152" s="3" t="str">
        <f>IFERROR(__xludf.DUMMYFUNCTION("""COMPUTED_VALUE"""),"Washing")</f>
        <v>Washing</v>
      </c>
      <c r="F152" s="3" t="str">
        <f>IFERROR(__xludf.DUMMYFUNCTION("""COMPUTED_VALUE"""),"Cylinder Compact ADNGF-16-15-P-A FESTO P/N : 554214 pc")</f>
        <v>Cylinder Compact ADNGF-16-15-P-A FESTO P/N : 554214 pc</v>
      </c>
      <c r="G152" s="3">
        <f>IFERROR(__xludf.DUMMYFUNCTION("""COMPUTED_VALUE"""),1.0)</f>
        <v>1</v>
      </c>
      <c r="H152" s="3" t="str">
        <f>IFERROR(__xludf.DUMMYFUNCTION("""COMPUTED_VALUE"""),"Unit")</f>
        <v>Unit</v>
      </c>
      <c r="I152" s="3" t="str">
        <f>IFERROR(__xludf.DUMMYFUNCTION("""COMPUTED_VALUE"""),"Min Stock Washing 121702626 - APPROVED")</f>
        <v>Min Stock Washing 121702626 - APPROVED</v>
      </c>
      <c r="J152" s="3" t="str">
        <f>IFERROR(__xludf.DUMMYFUNCTION("""COMPUTED_VALUE"""),"O-16658-00")</f>
        <v>O-16658-00</v>
      </c>
      <c r="K152" s="3" t="str">
        <f>IFERROR(__xludf.DUMMYFUNCTION("""COMPUTED_VALUE"""),"Approve")</f>
        <v>Approve</v>
      </c>
      <c r="L152" s="3" t="str">
        <f>IFERROR(__xludf.DUMMYFUNCTION("""COMPUTED_VALUE"""),"Normal")</f>
        <v>Normal</v>
      </c>
      <c r="M152" s="3" t="str">
        <f>IFERROR(__xludf.DUMMYFUNCTION("""COMPUTED_VALUE"""),"Non Urgent")</f>
        <v>Non Urgent</v>
      </c>
      <c r="N152" s="3">
        <f>IFERROR(__xludf.DUMMYFUNCTION("""COMPUTED_VALUE"""),45789.876403738424)</f>
        <v>45789.8764</v>
      </c>
    </row>
    <row r="153">
      <c r="A153" s="4">
        <f>IFERROR(__xludf.DUMMYFUNCTION("""COMPUTED_VALUE"""),45789.837983067126)</f>
        <v>45789.83798</v>
      </c>
      <c r="B153" s="3" t="str">
        <f>IFERROR(__xludf.DUMMYFUNCTION("""COMPUTED_VALUE"""),"MFHRO0055")</f>
        <v>MFHRO0055</v>
      </c>
      <c r="C153" s="3" t="str">
        <f>IFERROR(__xludf.DUMMYFUNCTION("""COMPUTED_VALUE"""),"MIn Stok")</f>
        <v>MIn Stok</v>
      </c>
      <c r="D153" s="3" t="str">
        <f>IFERROR(__xludf.DUMMYFUNCTION("""COMPUTED_VALUE"""),"-")</f>
        <v>-</v>
      </c>
      <c r="E153" s="3" t="str">
        <f>IFERROR(__xludf.DUMMYFUNCTION("""COMPUTED_VALUE"""),"Autoclave")</f>
        <v>Autoclave</v>
      </c>
      <c r="F153" s="3" t="str">
        <f>IFERROR(__xludf.DUMMYFUNCTION("""COMPUTED_VALUE"""),"Gear Door Autoclave, HARRISA CIPTARINDO ENGINEERING, CV P/N : -  pc")</f>
        <v>Gear Door Autoclave, HARRISA CIPTARINDO ENGINEERING, CV P/N : -  pc</v>
      </c>
      <c r="G153" s="3">
        <f>IFERROR(__xludf.DUMMYFUNCTION("""COMPUTED_VALUE"""),2.0)</f>
        <v>2</v>
      </c>
      <c r="H153" s="3" t="str">
        <f>IFERROR(__xludf.DUMMYFUNCTION("""COMPUTED_VALUE"""),"Unit")</f>
        <v>Unit</v>
      </c>
      <c r="I153" s="3" t="str">
        <f>IFERROR(__xludf.DUMMYFUNCTION("""COMPUTED_VALUE"""),"Min Stock Autoclave 121702627 - APPROVED")</f>
        <v>Min Stock Autoclave 121702627 - APPROVED</v>
      </c>
      <c r="J153" s="3" t="str">
        <f>IFERROR(__xludf.DUMMYFUNCTION("""COMPUTED_VALUE"""),"O-17831-00")</f>
        <v>O-17831-00</v>
      </c>
      <c r="K153" s="3" t="str">
        <f>IFERROR(__xludf.DUMMYFUNCTION("""COMPUTED_VALUE"""),"Approve")</f>
        <v>Approve</v>
      </c>
      <c r="L153" s="3" t="str">
        <f>IFERROR(__xludf.DUMMYFUNCTION("""COMPUTED_VALUE"""),"Normal")</f>
        <v>Normal</v>
      </c>
      <c r="M153" s="3" t="str">
        <f>IFERROR(__xludf.DUMMYFUNCTION("""COMPUTED_VALUE"""),"Non Urgent")</f>
        <v>Non Urgent</v>
      </c>
      <c r="N153" s="3">
        <f>IFERROR(__xludf.DUMMYFUNCTION("""COMPUTED_VALUE"""),45789.87655960648)</f>
        <v>45789.87656</v>
      </c>
    </row>
    <row r="154">
      <c r="A154" s="4">
        <f>IFERROR(__xludf.DUMMYFUNCTION("""COMPUTED_VALUE"""),45789.83834662037)</f>
        <v>45789.83835</v>
      </c>
      <c r="B154" s="3" t="str">
        <f>IFERROR(__xludf.DUMMYFUNCTION("""COMPUTED_VALUE"""),"MFHRO0056")</f>
        <v>MFHRO0056</v>
      </c>
      <c r="C154" s="3" t="str">
        <f>IFERROR(__xludf.DUMMYFUNCTION("""COMPUTED_VALUE"""),"MIn Stok")</f>
        <v>MIn Stok</v>
      </c>
      <c r="D154" s="3" t="str">
        <f>IFERROR(__xludf.DUMMYFUNCTION("""COMPUTED_VALUE"""),"-")</f>
        <v>-</v>
      </c>
      <c r="E154" s="3" t="str">
        <f>IFERROR(__xludf.DUMMYFUNCTION("""COMPUTED_VALUE"""),"Washing")</f>
        <v>Washing</v>
      </c>
      <c r="F154" s="3" t="str">
        <f>IFERROR(__xludf.DUMMYFUNCTION("""COMPUTED_VALUE"""),"Washing RAR4 - Pincers Jaws for Vial 20mL &amp; 25mL HARRISA CIPTARINDO ENGINEERING, CV. P/N : -  pc")</f>
        <v>Washing RAR4 - Pincers Jaws for Vial 20mL &amp; 25mL HARRISA CIPTARINDO ENGINEERING, CV. P/N : -  pc</v>
      </c>
      <c r="G154" s="3">
        <f>IFERROR(__xludf.DUMMYFUNCTION("""COMPUTED_VALUE"""),20.0)</f>
        <v>20</v>
      </c>
      <c r="H154" s="3" t="str">
        <f>IFERROR(__xludf.DUMMYFUNCTION("""COMPUTED_VALUE"""),"Pcs")</f>
        <v>Pcs</v>
      </c>
      <c r="I154" s="3" t="str">
        <f>IFERROR(__xludf.DUMMYFUNCTION("""COMPUTED_VALUE"""),"Min Stock Washing 121702627 - APPROVED")</f>
        <v>Min Stock Washing 121702627 - APPROVED</v>
      </c>
      <c r="J154" s="3" t="str">
        <f>IFERROR(__xludf.DUMMYFUNCTION("""COMPUTED_VALUE"""),"O-17069-00")</f>
        <v>O-17069-00</v>
      </c>
      <c r="K154" s="3" t="str">
        <f>IFERROR(__xludf.DUMMYFUNCTION("""COMPUTED_VALUE"""),"Approve")</f>
        <v>Approve</v>
      </c>
      <c r="L154" s="3" t="str">
        <f>IFERROR(__xludf.DUMMYFUNCTION("""COMPUTED_VALUE"""),"Normal")</f>
        <v>Normal</v>
      </c>
      <c r="M154" s="3" t="str">
        <f>IFERROR(__xludf.DUMMYFUNCTION("""COMPUTED_VALUE"""),"Non Urgent")</f>
        <v>Non Urgent</v>
      </c>
      <c r="N154" s="3">
        <f>IFERROR(__xludf.DUMMYFUNCTION("""COMPUTED_VALUE"""),45789.87669866898)</f>
        <v>45789.8767</v>
      </c>
    </row>
    <row r="155">
      <c r="A155" s="4">
        <f>IFERROR(__xludf.DUMMYFUNCTION("""COMPUTED_VALUE"""),45789.840184733795)</f>
        <v>45789.84018</v>
      </c>
      <c r="B155" s="3" t="str">
        <f>IFERROR(__xludf.DUMMYFUNCTION("""COMPUTED_VALUE"""),"MFHRO0057")</f>
        <v>MFHRO0057</v>
      </c>
      <c r="C155" s="3" t="str">
        <f>IFERROR(__xludf.DUMMYFUNCTION("""COMPUTED_VALUE"""),"MIn Stok")</f>
        <v>MIn Stok</v>
      </c>
      <c r="D155" s="3" t="str">
        <f>IFERROR(__xludf.DUMMYFUNCTION("""COMPUTED_VALUE"""),"-")</f>
        <v>-</v>
      </c>
      <c r="E155" s="3" t="str">
        <f>IFERROR(__xludf.DUMMYFUNCTION("""COMPUTED_VALUE"""),"Mixing")</f>
        <v>Mixing</v>
      </c>
      <c r="F155" s="3" t="str">
        <f>IFERROR(__xludf.DUMMYFUNCTION("""COMPUTED_VALUE"""),"Mixer Male Bearing, GMP, pH Range: pH1  pH14, 1/pack; NovAseptic; ;")</f>
        <v>Mixer Male Bearing, GMP, pH Range: pH1  pH14, 1/pack; NovAseptic; ;</v>
      </c>
      <c r="G155" s="3">
        <f>IFERROR(__xludf.DUMMYFUNCTION("""COMPUTED_VALUE"""),1.0)</f>
        <v>1</v>
      </c>
      <c r="H155" s="3" t="str">
        <f>IFERROR(__xludf.DUMMYFUNCTION("""COMPUTED_VALUE"""),"Pcs")</f>
        <v>Pcs</v>
      </c>
      <c r="I155" s="3" t="str">
        <f>IFERROR(__xludf.DUMMYFUNCTION("""COMPUTED_VALUE"""),"Min Stock Mixing 121702628 - APPROVED")</f>
        <v>Min Stock Mixing 121702628 - APPROVED</v>
      </c>
      <c r="J155" s="3" t="str">
        <f>IFERROR(__xludf.DUMMYFUNCTION("""COMPUTED_VALUE"""),"O-17960-00")</f>
        <v>O-17960-00</v>
      </c>
      <c r="K155" s="3" t="str">
        <f>IFERROR(__xludf.DUMMYFUNCTION("""COMPUTED_VALUE"""),"Approve")</f>
        <v>Approve</v>
      </c>
      <c r="L155" s="3" t="str">
        <f>IFERROR(__xludf.DUMMYFUNCTION("""COMPUTED_VALUE"""),"Normal")</f>
        <v>Normal</v>
      </c>
      <c r="M155" s="3" t="str">
        <f>IFERROR(__xludf.DUMMYFUNCTION("""COMPUTED_VALUE"""),"Non Urgent")</f>
        <v>Non Urgent</v>
      </c>
      <c r="N155" s="3">
        <f>IFERROR(__xludf.DUMMYFUNCTION("""COMPUTED_VALUE"""),45789.877328622686)</f>
        <v>45789.87733</v>
      </c>
    </row>
    <row r="156">
      <c r="A156" s="4">
        <f>IFERROR(__xludf.DUMMYFUNCTION("""COMPUTED_VALUE"""),45789.84154332176)</f>
        <v>45789.84154</v>
      </c>
      <c r="B156" s="3" t="str">
        <f>IFERROR(__xludf.DUMMYFUNCTION("""COMPUTED_VALUE"""),"MFHRO0059")</f>
        <v>MFHRO0059</v>
      </c>
      <c r="C156" s="3" t="str">
        <f>IFERROR(__xludf.DUMMYFUNCTION("""COMPUTED_VALUE"""),"MIn Stok")</f>
        <v>MIn Stok</v>
      </c>
      <c r="D156" s="3" t="str">
        <f>IFERROR(__xludf.DUMMYFUNCTION("""COMPUTED_VALUE"""),"-")</f>
        <v>-</v>
      </c>
      <c r="E156" s="3" t="str">
        <f>IFERROR(__xludf.DUMMYFUNCTION("""COMPUTED_VALUE"""),"FD")</f>
        <v>FD</v>
      </c>
      <c r="F156" s="3" t="str">
        <f>IFERROR(__xludf.DUMMYFUNCTION("""COMPUTED_VALUE"""),"Freeze Dryer MBE1207 - Mechanical Positioner Switch 50-0406-12610-532 P/n: EB14-00072; BRAY; ;")</f>
        <v>Freeze Dryer MBE1207 - Mechanical Positioner Switch 50-0406-12610-532 P/n: EB14-00072; BRAY; ;</v>
      </c>
      <c r="G156" s="3">
        <f>IFERROR(__xludf.DUMMYFUNCTION("""COMPUTED_VALUE"""),1.0)</f>
        <v>1</v>
      </c>
      <c r="H156" s="3" t="str">
        <f>IFERROR(__xludf.DUMMYFUNCTION("""COMPUTED_VALUE"""),"Pcs")</f>
        <v>Pcs</v>
      </c>
      <c r="I156" s="3" t="str">
        <f>IFERROR(__xludf.DUMMYFUNCTION("""COMPUTED_VALUE"""),"Min Stock FD 121702629 - APPROVED")</f>
        <v>Min Stock FD 121702629 - APPROVED</v>
      </c>
      <c r="J156" s="3" t="str">
        <f>IFERROR(__xludf.DUMMYFUNCTION("""COMPUTED_VALUE"""),"O-52841-00")</f>
        <v>O-52841-00</v>
      </c>
      <c r="K156" s="3" t="str">
        <f>IFERROR(__xludf.DUMMYFUNCTION("""COMPUTED_VALUE"""),"Approve")</f>
        <v>Approve</v>
      </c>
      <c r="L156" s="3" t="str">
        <f>IFERROR(__xludf.DUMMYFUNCTION("""COMPUTED_VALUE"""),"Normal")</f>
        <v>Normal</v>
      </c>
      <c r="M156" s="3" t="str">
        <f>IFERROR(__xludf.DUMMYFUNCTION("""COMPUTED_VALUE"""),"Non Urgent")</f>
        <v>Non Urgent</v>
      </c>
      <c r="N156" s="3">
        <f>IFERROR(__xludf.DUMMYFUNCTION("""COMPUTED_VALUE"""),45789.87758673611)</f>
        <v>45789.87759</v>
      </c>
    </row>
    <row r="157">
      <c r="A157" s="4">
        <f>IFERROR(__xludf.DUMMYFUNCTION("""COMPUTED_VALUE"""),45789.84256149306)</f>
        <v>45789.84256</v>
      </c>
      <c r="B157" s="3" t="str">
        <f>IFERROR(__xludf.DUMMYFUNCTION("""COMPUTED_VALUE"""),"MFHRO0061")</f>
        <v>MFHRO0061</v>
      </c>
      <c r="C157" s="3" t="str">
        <f>IFERROR(__xludf.DUMMYFUNCTION("""COMPUTED_VALUE"""),"MIn Stok")</f>
        <v>MIn Stok</v>
      </c>
      <c r="D157" s="3" t="str">
        <f>IFERROR(__xludf.DUMMYFUNCTION("""COMPUTED_VALUE"""),"-")</f>
        <v>-</v>
      </c>
      <c r="E157" s="3" t="str">
        <f>IFERROR(__xludf.DUMMYFUNCTION("""COMPUTED_VALUE"""),"FD")</f>
        <v>FD</v>
      </c>
      <c r="F157" s="3" t="str">
        <f>IFERROR(__xludf.DUMMYFUNCTION("""COMPUTED_VALUE"""),"Freeze Dryer MBE1207 -  Orifice 04 for Expansi Valve TE5 067B2792; Danfoss; ;")</f>
        <v>Freeze Dryer MBE1207 -  Orifice 04 for Expansi Valve TE5 067B2792; Danfoss; ;</v>
      </c>
      <c r="G157" s="3">
        <f>IFERROR(__xludf.DUMMYFUNCTION("""COMPUTED_VALUE"""),1.0)</f>
        <v>1</v>
      </c>
      <c r="H157" s="3" t="str">
        <f>IFERROR(__xludf.DUMMYFUNCTION("""COMPUTED_VALUE"""),"Pcs")</f>
        <v>Pcs</v>
      </c>
      <c r="I157" s="3" t="str">
        <f>IFERROR(__xludf.DUMMYFUNCTION("""COMPUTED_VALUE"""),"Min Stock FD 121702631 - APPROVED")</f>
        <v>Min Stock FD 121702631 - APPROVED</v>
      </c>
      <c r="J157" s="3" t="str">
        <f>IFERROR(__xludf.DUMMYFUNCTION("""COMPUTED_VALUE"""),"O-19213-00")</f>
        <v>O-19213-00</v>
      </c>
      <c r="K157" s="3" t="str">
        <f>IFERROR(__xludf.DUMMYFUNCTION("""COMPUTED_VALUE"""),"Approve")</f>
        <v>Approve</v>
      </c>
      <c r="L157" s="3" t="str">
        <f>IFERROR(__xludf.DUMMYFUNCTION("""COMPUTED_VALUE"""),"Normal")</f>
        <v>Normal</v>
      </c>
      <c r="M157" s="3" t="str">
        <f>IFERROR(__xludf.DUMMYFUNCTION("""COMPUTED_VALUE"""),"Non Urgent")</f>
        <v>Non Urgent</v>
      </c>
      <c r="N157" s="3">
        <f>IFERROR(__xludf.DUMMYFUNCTION("""COMPUTED_VALUE"""),45789.87791210648)</f>
        <v>45789.87791</v>
      </c>
    </row>
    <row r="158">
      <c r="A158" s="4">
        <f>IFERROR(__xludf.DUMMYFUNCTION("""COMPUTED_VALUE"""),45789.84305809028)</f>
        <v>45789.84306</v>
      </c>
      <c r="B158" s="3" t="str">
        <f>IFERROR(__xludf.DUMMYFUNCTION("""COMPUTED_VALUE"""),"MFHRO0062")</f>
        <v>MFHRO0062</v>
      </c>
      <c r="C158" s="3" t="str">
        <f>IFERROR(__xludf.DUMMYFUNCTION("""COMPUTED_VALUE"""),"MIn Stok")</f>
        <v>MIn Stok</v>
      </c>
      <c r="D158" s="3" t="str">
        <f>IFERROR(__xludf.DUMMYFUNCTION("""COMPUTED_VALUE"""),"-")</f>
        <v>-</v>
      </c>
      <c r="E158" s="3" t="str">
        <f>IFERROR(__xludf.DUMMYFUNCTION("""COMPUTED_VALUE"""),"FD")</f>
        <v>FD</v>
      </c>
      <c r="F158" s="3" t="str">
        <f>IFERROR(__xludf.DUMMYFUNCTION("""COMPUTED_VALUE"""),"Freeze Dryer MBE1207 - Expansi Valve TE 5 067B3343 R404A/R507; Danfoss; ;")</f>
        <v>Freeze Dryer MBE1207 - Expansi Valve TE 5 067B3343 R404A/R507; Danfoss; ;</v>
      </c>
      <c r="G158" s="3">
        <f>IFERROR(__xludf.DUMMYFUNCTION("""COMPUTED_VALUE"""),1.0)</f>
        <v>1</v>
      </c>
      <c r="H158" s="3" t="str">
        <f>IFERROR(__xludf.DUMMYFUNCTION("""COMPUTED_VALUE"""),"Pcs")</f>
        <v>Pcs</v>
      </c>
      <c r="I158" s="3" t="str">
        <f>IFERROR(__xludf.DUMMYFUNCTION("""COMPUTED_VALUE"""),"Min Stock FD 121702631 - APPROVED")</f>
        <v>Min Stock FD 121702631 - APPROVED</v>
      </c>
      <c r="J158" s="3" t="str">
        <f>IFERROR(__xludf.DUMMYFUNCTION("""COMPUTED_VALUE"""),"O-19214-00")</f>
        <v>O-19214-00</v>
      </c>
      <c r="K158" s="3" t="str">
        <f>IFERROR(__xludf.DUMMYFUNCTION("""COMPUTED_VALUE"""),"Approve")</f>
        <v>Approve</v>
      </c>
      <c r="L158" s="3" t="str">
        <f>IFERROR(__xludf.DUMMYFUNCTION("""COMPUTED_VALUE"""),"Normal")</f>
        <v>Normal</v>
      </c>
      <c r="M158" s="3" t="str">
        <f>IFERROR(__xludf.DUMMYFUNCTION("""COMPUTED_VALUE"""),"Non Urgent")</f>
        <v>Non Urgent</v>
      </c>
      <c r="N158" s="3">
        <f>IFERROR(__xludf.DUMMYFUNCTION("""COMPUTED_VALUE"""),45789.878045578705)</f>
        <v>45789.87805</v>
      </c>
    </row>
    <row r="159">
      <c r="A159" s="4">
        <f>IFERROR(__xludf.DUMMYFUNCTION("""COMPUTED_VALUE"""),45789.843738773154)</f>
        <v>45789.84374</v>
      </c>
      <c r="B159" s="3" t="str">
        <f>IFERROR(__xludf.DUMMYFUNCTION("""COMPUTED_VALUE"""),"MFHRO0063")</f>
        <v>MFHRO0063</v>
      </c>
      <c r="C159" s="3" t="str">
        <f>IFERROR(__xludf.DUMMYFUNCTION("""COMPUTED_VALUE"""),"MIn Stok")</f>
        <v>MIn Stok</v>
      </c>
      <c r="D159" s="3" t="str">
        <f>IFERROR(__xludf.DUMMYFUNCTION("""COMPUTED_VALUE"""),"-")</f>
        <v>-</v>
      </c>
      <c r="E159" s="3" t="str">
        <f>IFERROR(__xludf.DUMMYFUNCTION("""COMPUTED_VALUE"""),"FD")</f>
        <v>FD</v>
      </c>
      <c r="F159" s="3" t="str">
        <f>IFERROR(__xludf.DUMMYFUNCTION("""COMPUTED_VALUE"""),"Freeze Dryer MBE1207 - Main Valve Bellow SUS316L ST105*75; ; ;")</f>
        <v>Freeze Dryer MBE1207 - Main Valve Bellow SUS316L ST105*75; ; ;</v>
      </c>
      <c r="G159" s="3">
        <f>IFERROR(__xludf.DUMMYFUNCTION("""COMPUTED_VALUE"""),1.0)</f>
        <v>1</v>
      </c>
      <c r="H159" s="3" t="str">
        <f>IFERROR(__xludf.DUMMYFUNCTION("""COMPUTED_VALUE"""),"Pcs")</f>
        <v>Pcs</v>
      </c>
      <c r="I159" s="3" t="str">
        <f>IFERROR(__xludf.DUMMYFUNCTION("""COMPUTED_VALUE"""),"Min Stock FD 121702632 - APPROVED")</f>
        <v>Min Stock FD 121702632 - APPROVED</v>
      </c>
      <c r="J159" s="3" t="str">
        <f>IFERROR(__xludf.DUMMYFUNCTION("""COMPUTED_VALUE"""),"O-17285-00")</f>
        <v>O-17285-00</v>
      </c>
      <c r="K159" s="3" t="str">
        <f>IFERROR(__xludf.DUMMYFUNCTION("""COMPUTED_VALUE"""),"Approve")</f>
        <v>Approve</v>
      </c>
      <c r="L159" s="3" t="str">
        <f>IFERROR(__xludf.DUMMYFUNCTION("""COMPUTED_VALUE"""),"Normal")</f>
        <v>Normal</v>
      </c>
      <c r="M159" s="3" t="str">
        <f>IFERROR(__xludf.DUMMYFUNCTION("""COMPUTED_VALUE"""),"Non Urgent")</f>
        <v>Non Urgent</v>
      </c>
      <c r="N159" s="3">
        <f>IFERROR(__xludf.DUMMYFUNCTION("""COMPUTED_VALUE"""),45789.87817332176)</f>
        <v>45789.87817</v>
      </c>
    </row>
    <row r="160">
      <c r="A160" s="4">
        <f>IFERROR(__xludf.DUMMYFUNCTION("""COMPUTED_VALUE"""),45789.84422550926)</f>
        <v>45789.84423</v>
      </c>
      <c r="B160" s="3" t="str">
        <f>IFERROR(__xludf.DUMMYFUNCTION("""COMPUTED_VALUE"""),"MFHRO0064")</f>
        <v>MFHRO0064</v>
      </c>
      <c r="C160" s="3" t="str">
        <f>IFERROR(__xludf.DUMMYFUNCTION("""COMPUTED_VALUE"""),"MIn Stok")</f>
        <v>MIn Stok</v>
      </c>
      <c r="D160" s="3" t="str">
        <f>IFERROR(__xludf.DUMMYFUNCTION("""COMPUTED_VALUE"""),"-")</f>
        <v>-</v>
      </c>
      <c r="E160" s="3" t="str">
        <f>IFERROR(__xludf.DUMMYFUNCTION("""COMPUTED_VALUE"""),"FD")</f>
        <v>FD</v>
      </c>
      <c r="F160" s="3" t="str">
        <f>IFERROR(__xludf.DUMMYFUNCTION("""COMPUTED_VALUE"""),"Seal Ferrule EPDM 1.5"" (35 x 53 x 9)")</f>
        <v>Seal Ferrule EPDM 1.5" (35 x 53 x 9)</v>
      </c>
      <c r="G160" s="3">
        <f>IFERROR(__xludf.DUMMYFUNCTION("""COMPUTED_VALUE"""),40.0)</f>
        <v>40</v>
      </c>
      <c r="H160" s="3" t="str">
        <f>IFERROR(__xludf.DUMMYFUNCTION("""COMPUTED_VALUE"""),"Pcs")</f>
        <v>Pcs</v>
      </c>
      <c r="I160" s="3" t="str">
        <f>IFERROR(__xludf.DUMMYFUNCTION("""COMPUTED_VALUE"""),"Min Stock FD 121702633 - APPROVED")</f>
        <v>Min Stock FD 121702633 - APPROVED</v>
      </c>
      <c r="J160" s="3" t="str">
        <f>IFERROR(__xludf.DUMMYFUNCTION("""COMPUTED_VALUE"""),"P-11391-00")</f>
        <v>P-11391-00</v>
      </c>
      <c r="K160" s="3" t="str">
        <f>IFERROR(__xludf.DUMMYFUNCTION("""COMPUTED_VALUE"""),"Approve")</f>
        <v>Approve</v>
      </c>
      <c r="L160" s="3" t="str">
        <f>IFERROR(__xludf.DUMMYFUNCTION("""COMPUTED_VALUE"""),"Normal")</f>
        <v>Normal</v>
      </c>
      <c r="M160" s="3" t="str">
        <f>IFERROR(__xludf.DUMMYFUNCTION("""COMPUTED_VALUE"""),"Non Urgent")</f>
        <v>Non Urgent</v>
      </c>
      <c r="N160" s="3">
        <f>IFERROR(__xludf.DUMMYFUNCTION("""COMPUTED_VALUE"""),45789.87831783565)</f>
        <v>45789.87832</v>
      </c>
    </row>
    <row r="161">
      <c r="A161" s="4">
        <f>IFERROR(__xludf.DUMMYFUNCTION("""COMPUTED_VALUE"""),45789.85141081018)</f>
        <v>45789.85141</v>
      </c>
      <c r="B161" s="3" t="str">
        <f>IFERROR(__xludf.DUMMYFUNCTION("""COMPUTED_VALUE"""),"MFHRO0065")</f>
        <v>MFHRO0065</v>
      </c>
      <c r="C161" s="3" t="str">
        <f>IFERROR(__xludf.DUMMYFUNCTION("""COMPUTED_VALUE"""),"MIn Stok")</f>
        <v>MIn Stok</v>
      </c>
      <c r="D161" s="3" t="str">
        <f>IFERROR(__xludf.DUMMYFUNCTION("""COMPUTED_VALUE"""),"-")</f>
        <v>-</v>
      </c>
      <c r="E161" s="3" t="str">
        <f>IFERROR(__xludf.DUMMYFUNCTION("""COMPUTED_VALUE"""),"FD")</f>
        <v>FD</v>
      </c>
      <c r="F161" s="3" t="str">
        <f>IFERROR(__xludf.DUMMYFUNCTION("""COMPUTED_VALUE"""),"Seal Ferrule EPDM 3""")</f>
        <v>Seal Ferrule EPDM 3"</v>
      </c>
      <c r="G161" s="3">
        <f>IFERROR(__xludf.DUMMYFUNCTION("""COMPUTED_VALUE"""),20.0)</f>
        <v>20</v>
      </c>
      <c r="H161" s="3" t="str">
        <f>IFERROR(__xludf.DUMMYFUNCTION("""COMPUTED_VALUE"""),"Pcs")</f>
        <v>Pcs</v>
      </c>
      <c r="I161" s="3" t="str">
        <f>IFERROR(__xludf.DUMMYFUNCTION("""COMPUTED_VALUE"""),"Min Stock FD 121702633 - APPROVED")</f>
        <v>Min Stock FD 121702633 - APPROVED</v>
      </c>
      <c r="J161" s="3" t="str">
        <f>IFERROR(__xludf.DUMMYFUNCTION("""COMPUTED_VALUE"""),"P-11393-00")</f>
        <v>P-11393-00</v>
      </c>
      <c r="K161" s="3" t="str">
        <f>IFERROR(__xludf.DUMMYFUNCTION("""COMPUTED_VALUE"""),"Approve")</f>
        <v>Approve</v>
      </c>
      <c r="L161" s="3" t="str">
        <f>IFERROR(__xludf.DUMMYFUNCTION("""COMPUTED_VALUE"""),"Normal")</f>
        <v>Normal</v>
      </c>
      <c r="M161" s="3" t="str">
        <f>IFERROR(__xludf.DUMMYFUNCTION("""COMPUTED_VALUE"""),"Non Urgent")</f>
        <v>Non Urgent</v>
      </c>
      <c r="N161" s="3">
        <f>IFERROR(__xludf.DUMMYFUNCTION("""COMPUTED_VALUE"""),45789.878443379625)</f>
        <v>45789.87844</v>
      </c>
    </row>
    <row r="162">
      <c r="A162" s="4">
        <f>IFERROR(__xludf.DUMMYFUNCTION("""COMPUTED_VALUE"""),45789.85171077547)</f>
        <v>45789.85171</v>
      </c>
      <c r="B162" s="3" t="str">
        <f>IFERROR(__xludf.DUMMYFUNCTION("""COMPUTED_VALUE"""),"MFHRO0066")</f>
        <v>MFHRO0066</v>
      </c>
      <c r="C162" s="3" t="str">
        <f>IFERROR(__xludf.DUMMYFUNCTION("""COMPUTED_VALUE"""),"MIn Stok")</f>
        <v>MIn Stok</v>
      </c>
      <c r="D162" s="3" t="str">
        <f>IFERROR(__xludf.DUMMYFUNCTION("""COMPUTED_VALUE"""),"-")</f>
        <v>-</v>
      </c>
      <c r="E162" s="3" t="str">
        <f>IFERROR(__xludf.DUMMYFUNCTION("""COMPUTED_VALUE"""),"FD")</f>
        <v>FD</v>
      </c>
      <c r="F162" s="3" t="str">
        <f>IFERROR(__xludf.DUMMYFUNCTION("""COMPUTED_VALUE"""),"Heavy clamp ferrule 1 - 1 1/2 inch; SS304L;; ; ;")</f>
        <v>Heavy clamp ferrule 1 - 1 1/2 inch; SS304L;; ; ;</v>
      </c>
      <c r="G162" s="3">
        <f>IFERROR(__xludf.DUMMYFUNCTION("""COMPUTED_VALUE"""),10.0)</f>
        <v>10</v>
      </c>
      <c r="H162" s="3" t="str">
        <f>IFERROR(__xludf.DUMMYFUNCTION("""COMPUTED_VALUE"""),"Pcs")</f>
        <v>Pcs</v>
      </c>
      <c r="I162" s="3" t="str">
        <f>IFERROR(__xludf.DUMMYFUNCTION("""COMPUTED_VALUE"""),"Min Stock FD 121702633 - APPROVED")</f>
        <v>Min Stock FD 121702633 - APPROVED</v>
      </c>
      <c r="J162" s="3" t="str">
        <f>IFERROR(__xludf.DUMMYFUNCTION("""COMPUTED_VALUE"""),"P-18665-00")</f>
        <v>P-18665-00</v>
      </c>
      <c r="K162" s="3" t="str">
        <f>IFERROR(__xludf.DUMMYFUNCTION("""COMPUTED_VALUE"""),"Approve")</f>
        <v>Approve</v>
      </c>
      <c r="L162" s="3" t="str">
        <f>IFERROR(__xludf.DUMMYFUNCTION("""COMPUTED_VALUE"""),"Normal")</f>
        <v>Normal</v>
      </c>
      <c r="M162" s="3" t="str">
        <f>IFERROR(__xludf.DUMMYFUNCTION("""COMPUTED_VALUE"""),"Non Urgent")</f>
        <v>Non Urgent</v>
      </c>
      <c r="N162" s="3">
        <f>IFERROR(__xludf.DUMMYFUNCTION("""COMPUTED_VALUE"""),45789.87858556713)</f>
        <v>45789.87859</v>
      </c>
    </row>
    <row r="163">
      <c r="A163" s="4">
        <f>IFERROR(__xludf.DUMMYFUNCTION("""COMPUTED_VALUE"""),45789.85941064815)</f>
        <v>45789.85941</v>
      </c>
      <c r="B163" s="3" t="str">
        <f>IFERROR(__xludf.DUMMYFUNCTION("""COMPUTED_VALUE"""),"MFHRO0067")</f>
        <v>MFHRO0067</v>
      </c>
      <c r="C163" s="3" t="str">
        <f>IFERROR(__xludf.DUMMYFUNCTION("""COMPUTED_VALUE"""),"MIn Stok")</f>
        <v>MIn Stok</v>
      </c>
      <c r="D163" s="3" t="str">
        <f>IFERROR(__xludf.DUMMYFUNCTION("""COMPUTED_VALUE"""),"-")</f>
        <v>-</v>
      </c>
      <c r="E163" s="3" t="str">
        <f>IFERROR(__xludf.DUMMYFUNCTION("""COMPUTED_VALUE"""),"Autoclave")</f>
        <v>Autoclave</v>
      </c>
      <c r="F163" s="3" t="str">
        <f>IFERROR(__xludf.DUMMYFUNCTION("""COMPUTED_VALUE"""),"Oring 2,5x6x11 mm, Material EPDM; ; ;")</f>
        <v>Oring 2,5x6x11 mm, Material EPDM; ; ;</v>
      </c>
      <c r="G163" s="3">
        <f>IFERROR(__xludf.DUMMYFUNCTION("""COMPUTED_VALUE"""),20.0)</f>
        <v>20</v>
      </c>
      <c r="H163" s="3" t="str">
        <f>IFERROR(__xludf.DUMMYFUNCTION("""COMPUTED_VALUE"""),"Pcs")</f>
        <v>Pcs</v>
      </c>
      <c r="I163" s="3" t="str">
        <f>IFERROR(__xludf.DUMMYFUNCTION("""COMPUTED_VALUE"""),"Min Stock Autoclave 121702634 - APPROVED")</f>
        <v>Min Stock Autoclave 121702634 - APPROVED</v>
      </c>
      <c r="J163" s="3" t="str">
        <f>IFERROR(__xludf.DUMMYFUNCTION("""COMPUTED_VALUE"""),"O-19339-00")</f>
        <v>O-19339-00</v>
      </c>
      <c r="K163" s="3" t="str">
        <f>IFERROR(__xludf.DUMMYFUNCTION("""COMPUTED_VALUE"""),"Approve")</f>
        <v>Approve</v>
      </c>
      <c r="L163" s="3" t="str">
        <f>IFERROR(__xludf.DUMMYFUNCTION("""COMPUTED_VALUE"""),"Normal")</f>
        <v>Normal</v>
      </c>
      <c r="M163" s="3" t="str">
        <f>IFERROR(__xludf.DUMMYFUNCTION("""COMPUTED_VALUE"""),"Non Urgent")</f>
        <v>Non Urgent</v>
      </c>
      <c r="N163" s="3">
        <f>IFERROR(__xludf.DUMMYFUNCTION("""COMPUTED_VALUE"""),45789.87875333334)</f>
        <v>45789.87875</v>
      </c>
    </row>
    <row r="164">
      <c r="A164" s="4">
        <f>IFERROR(__xludf.DUMMYFUNCTION("""COMPUTED_VALUE"""),45789.86337534722)</f>
        <v>45789.86338</v>
      </c>
      <c r="B164" s="3" t="str">
        <f>IFERROR(__xludf.DUMMYFUNCTION("""COMPUTED_VALUE"""),"MFHRO0068")</f>
        <v>MFHRO0068</v>
      </c>
      <c r="C164" s="3" t="str">
        <f>IFERROR(__xludf.DUMMYFUNCTION("""COMPUTED_VALUE"""),"MIn Stok")</f>
        <v>MIn Stok</v>
      </c>
      <c r="D164" s="3" t="str">
        <f>IFERROR(__xludf.DUMMYFUNCTION("""COMPUTED_VALUE"""),"-")</f>
        <v>-</v>
      </c>
      <c r="E164" s="3" t="str">
        <f>IFERROR(__xludf.DUMMYFUNCTION("""COMPUTED_VALUE"""),"Autoclave")</f>
        <v>Autoclave</v>
      </c>
      <c r="F164" s="3" t="str">
        <f>IFERROR(__xludf.DUMMYFUNCTION("""COMPUTED_VALUE"""),"O-ring Epdm 9 x 4 x 2,5 mm ; Brand : - ; P/N : - ; Pack Size : pcs")</f>
        <v>O-ring Epdm 9 x 4 x 2,5 mm ; Brand : - ; P/N : - ; Pack Size : pcs</v>
      </c>
      <c r="G164" s="3">
        <f>IFERROR(__xludf.DUMMYFUNCTION("""COMPUTED_VALUE"""),20.0)</f>
        <v>20</v>
      </c>
      <c r="H164" s="3" t="str">
        <f>IFERROR(__xludf.DUMMYFUNCTION("""COMPUTED_VALUE"""),"Pcs")</f>
        <v>Pcs</v>
      </c>
      <c r="I164" s="3" t="str">
        <f>IFERROR(__xludf.DUMMYFUNCTION("""COMPUTED_VALUE"""),"Min Stock Autoclave 121702635 - APPROVED")</f>
        <v>Min Stock Autoclave 121702635 - APPROVED</v>
      </c>
      <c r="J164" s="3" t="str">
        <f>IFERROR(__xludf.DUMMYFUNCTION("""COMPUTED_VALUE"""),"P-17272-00")</f>
        <v>P-17272-00</v>
      </c>
      <c r="K164" s="3" t="str">
        <f>IFERROR(__xludf.DUMMYFUNCTION("""COMPUTED_VALUE"""),"Approve")</f>
        <v>Approve</v>
      </c>
      <c r="L164" s="3" t="str">
        <f>IFERROR(__xludf.DUMMYFUNCTION("""COMPUTED_VALUE"""),"Normal")</f>
        <v>Normal</v>
      </c>
      <c r="M164" s="3" t="str">
        <f>IFERROR(__xludf.DUMMYFUNCTION("""COMPUTED_VALUE"""),"Non Urgent")</f>
        <v>Non Urgent</v>
      </c>
      <c r="N164" s="3">
        <f>IFERROR(__xludf.DUMMYFUNCTION("""COMPUTED_VALUE"""),45789.878884375)</f>
        <v>45789.87888</v>
      </c>
    </row>
    <row r="165">
      <c r="A165" s="4">
        <f>IFERROR(__xludf.DUMMYFUNCTION("""COMPUTED_VALUE"""),45789.86337534722)</f>
        <v>45789.86338</v>
      </c>
      <c r="B165" s="3" t="str">
        <f>IFERROR(__xludf.DUMMYFUNCTION("""COMPUTED_VALUE"""),"MFHRO0069")</f>
        <v>MFHRO0069</v>
      </c>
      <c r="C165" s="3" t="str">
        <f>IFERROR(__xludf.DUMMYFUNCTION("""COMPUTED_VALUE"""),"MIn Stok")</f>
        <v>MIn Stok</v>
      </c>
      <c r="D165" s="3" t="str">
        <f>IFERROR(__xludf.DUMMYFUNCTION("""COMPUTED_VALUE"""),"-")</f>
        <v>-</v>
      </c>
      <c r="E165" s="3" t="str">
        <f>IFERROR(__xludf.DUMMYFUNCTION("""COMPUTED_VALUE"""),"Autoclave")</f>
        <v>Autoclave</v>
      </c>
      <c r="F165" s="3" t="str">
        <f>IFERROR(__xludf.DUMMYFUNCTION("""COMPUTED_VALUE"""),"O-ring Epdm 9 x 5 x 2 mm ; Brand : - ; P/N : - ; Pack Size : pcs")</f>
        <v>O-ring Epdm 9 x 5 x 2 mm ; Brand : - ; P/N : - ; Pack Size : pcs</v>
      </c>
      <c r="G165" s="3">
        <f>IFERROR(__xludf.DUMMYFUNCTION("""COMPUTED_VALUE"""),20.0)</f>
        <v>20</v>
      </c>
      <c r="H165" s="3" t="str">
        <f>IFERROR(__xludf.DUMMYFUNCTION("""COMPUTED_VALUE"""),"Pcs")</f>
        <v>Pcs</v>
      </c>
      <c r="I165" s="3" t="str">
        <f>IFERROR(__xludf.DUMMYFUNCTION("""COMPUTED_VALUE"""),"Min Stock Autoclave 121702635 - APPROVED")</f>
        <v>Min Stock Autoclave 121702635 - APPROVED</v>
      </c>
      <c r="J165" s="3" t="str">
        <f>IFERROR(__xludf.DUMMYFUNCTION("""COMPUTED_VALUE"""),"P-17273-00")</f>
        <v>P-17273-00</v>
      </c>
      <c r="K165" s="3" t="str">
        <f>IFERROR(__xludf.DUMMYFUNCTION("""COMPUTED_VALUE"""),"Approve")</f>
        <v>Approve</v>
      </c>
      <c r="L165" s="3" t="str">
        <f>IFERROR(__xludf.DUMMYFUNCTION("""COMPUTED_VALUE"""),"Normal")</f>
        <v>Normal</v>
      </c>
      <c r="M165" s="3" t="str">
        <f>IFERROR(__xludf.DUMMYFUNCTION("""COMPUTED_VALUE"""),"Non Urgent")</f>
        <v>Non Urgent</v>
      </c>
      <c r="N165" s="3">
        <f>IFERROR(__xludf.DUMMYFUNCTION("""COMPUTED_VALUE"""),45789.87900774306)</f>
        <v>45789.87901</v>
      </c>
    </row>
    <row r="166">
      <c r="A166" s="4">
        <f>IFERROR(__xludf.DUMMYFUNCTION("""COMPUTED_VALUE"""),45789.86337534722)</f>
        <v>45789.86338</v>
      </c>
      <c r="B166" s="3" t="str">
        <f>IFERROR(__xludf.DUMMYFUNCTION("""COMPUTED_VALUE"""),"MFHRO0070")</f>
        <v>MFHRO0070</v>
      </c>
      <c r="C166" s="3" t="str">
        <f>IFERROR(__xludf.DUMMYFUNCTION("""COMPUTED_VALUE"""),"MIn Stok")</f>
        <v>MIn Stok</v>
      </c>
      <c r="D166" s="3" t="str">
        <f>IFERROR(__xludf.DUMMYFUNCTION("""COMPUTED_VALUE"""),"-")</f>
        <v>-</v>
      </c>
      <c r="E166" s="3" t="str">
        <f>IFERROR(__xludf.DUMMYFUNCTION("""COMPUTED_VALUE"""),"Autoclave")</f>
        <v>Autoclave</v>
      </c>
      <c r="F166" s="3" t="str">
        <f>IFERROR(__xludf.DUMMYFUNCTION("""COMPUTED_VALUE"""),"O-ring EPDM 41.5 x 35 x 3.5 mm ; Brand : - ; P/N : - ; Pack Size : pcs")</f>
        <v>O-ring EPDM 41.5 x 35 x 3.5 mm ; Brand : - ; P/N : - ; Pack Size : pcs</v>
      </c>
      <c r="G166" s="3">
        <f>IFERROR(__xludf.DUMMYFUNCTION("""COMPUTED_VALUE"""),20.0)</f>
        <v>20</v>
      </c>
      <c r="H166" s="3" t="str">
        <f>IFERROR(__xludf.DUMMYFUNCTION("""COMPUTED_VALUE"""),"Pcs")</f>
        <v>Pcs</v>
      </c>
      <c r="I166" s="3" t="str">
        <f>IFERROR(__xludf.DUMMYFUNCTION("""COMPUTED_VALUE"""),"Min Stock Autoclave 121702635 - APPROVED")</f>
        <v>Min Stock Autoclave 121702635 - APPROVED</v>
      </c>
      <c r="J166" s="3" t="str">
        <f>IFERROR(__xludf.DUMMYFUNCTION("""COMPUTED_VALUE"""),"P-17359-00")</f>
        <v>P-17359-00</v>
      </c>
      <c r="K166" s="3" t="str">
        <f>IFERROR(__xludf.DUMMYFUNCTION("""COMPUTED_VALUE"""),"Approve")</f>
        <v>Approve</v>
      </c>
      <c r="L166" s="3" t="str">
        <f>IFERROR(__xludf.DUMMYFUNCTION("""COMPUTED_VALUE"""),"Normal")</f>
        <v>Normal</v>
      </c>
      <c r="M166" s="3" t="str">
        <f>IFERROR(__xludf.DUMMYFUNCTION("""COMPUTED_VALUE"""),"Non Urgent")</f>
        <v>Non Urgent</v>
      </c>
      <c r="N166" s="3">
        <f>IFERROR(__xludf.DUMMYFUNCTION("""COMPUTED_VALUE"""),45789.879140219906)</f>
        <v>45789.87914</v>
      </c>
    </row>
    <row r="167">
      <c r="A167" s="4">
        <f>IFERROR(__xludf.DUMMYFUNCTION("""COMPUTED_VALUE"""),45789.86394336806)</f>
        <v>45789.86394</v>
      </c>
      <c r="B167" s="3" t="str">
        <f>IFERROR(__xludf.DUMMYFUNCTION("""COMPUTED_VALUE"""),"MFHRO0071")</f>
        <v>MFHRO0071</v>
      </c>
      <c r="C167" s="3" t="str">
        <f>IFERROR(__xludf.DUMMYFUNCTION("""COMPUTED_VALUE"""),"MIn Stok")</f>
        <v>MIn Stok</v>
      </c>
      <c r="D167" s="3" t="str">
        <f>IFERROR(__xludf.DUMMYFUNCTION("""COMPUTED_VALUE"""),"-")</f>
        <v>-</v>
      </c>
      <c r="E167" s="3" t="str">
        <f>IFERROR(__xludf.DUMMYFUNCTION("""COMPUTED_VALUE"""),"Autoclave")</f>
        <v>Autoclave</v>
      </c>
      <c r="F167" s="3" t="str">
        <f>IFERROR(__xludf.DUMMYFUNCTION("""COMPUTED_VALUE"""),"General - O-ring EPDM 15 x 9 x 3 mm; No Brand; -; 1 pc")</f>
        <v>General - O-ring EPDM 15 x 9 x 3 mm; No Brand; -; 1 pc</v>
      </c>
      <c r="G167" s="3">
        <f>IFERROR(__xludf.DUMMYFUNCTION("""COMPUTED_VALUE"""),20.0)</f>
        <v>20</v>
      </c>
      <c r="H167" s="3" t="str">
        <f>IFERROR(__xludf.DUMMYFUNCTION("""COMPUTED_VALUE"""),"Pcs")</f>
        <v>Pcs</v>
      </c>
      <c r="I167" s="3" t="str">
        <f>IFERROR(__xludf.DUMMYFUNCTION("""COMPUTED_VALUE"""),"Min Stock Autoclave 121702635 - APPROVED")</f>
        <v>Min Stock Autoclave 121702635 - APPROVED</v>
      </c>
      <c r="J167" s="3" t="str">
        <f>IFERROR(__xludf.DUMMYFUNCTION("""COMPUTED_VALUE"""),"P-17361-00")</f>
        <v>P-17361-00</v>
      </c>
      <c r="K167" s="3" t="str">
        <f>IFERROR(__xludf.DUMMYFUNCTION("""COMPUTED_VALUE"""),"Approve")</f>
        <v>Approve</v>
      </c>
      <c r="L167" s="3" t="str">
        <f>IFERROR(__xludf.DUMMYFUNCTION("""COMPUTED_VALUE"""),"Normal")</f>
        <v>Normal</v>
      </c>
      <c r="M167" s="3" t="str">
        <f>IFERROR(__xludf.DUMMYFUNCTION("""COMPUTED_VALUE"""),"Non Urgent")</f>
        <v>Non Urgent</v>
      </c>
      <c r="N167" s="3">
        <f>IFERROR(__xludf.DUMMYFUNCTION("""COMPUTED_VALUE"""),45789.879264166666)</f>
        <v>45789.87926</v>
      </c>
    </row>
    <row r="168">
      <c r="A168" s="4">
        <f>IFERROR(__xludf.DUMMYFUNCTION("""COMPUTED_VALUE"""),45789.863949074075)</f>
        <v>45789.86395</v>
      </c>
      <c r="B168" s="3" t="str">
        <f>IFERROR(__xludf.DUMMYFUNCTION("""COMPUTED_VALUE"""),"MFHRO0072")</f>
        <v>MFHRO0072</v>
      </c>
      <c r="C168" s="3" t="str">
        <f>IFERROR(__xludf.DUMMYFUNCTION("""COMPUTED_VALUE"""),"MIn Stok")</f>
        <v>MIn Stok</v>
      </c>
      <c r="D168" s="3" t="str">
        <f>IFERROR(__xludf.DUMMYFUNCTION("""COMPUTED_VALUE"""),"-")</f>
        <v>-</v>
      </c>
      <c r="E168" s="3" t="str">
        <f>IFERROR(__xludf.DUMMYFUNCTION("""COMPUTED_VALUE"""),"Helium Leak Detector")</f>
        <v>Helium Leak Detector</v>
      </c>
      <c r="F168" s="3" t="str">
        <f>IFERROR(__xludf.DUMMYFUNCTION("""COMPUTED_VALUE"""),"General - PVC Hose cpl., DN25 ISO-KF, 2000 mm; Inficon; 211-412; 1 pc")</f>
        <v>General - PVC Hose cpl., DN25 ISO-KF, 2000 mm; Inficon; 211-412; 1 pc</v>
      </c>
      <c r="G168" s="3">
        <f>IFERROR(__xludf.DUMMYFUNCTION("""COMPUTED_VALUE"""),1.0)</f>
        <v>1</v>
      </c>
      <c r="H168" s="3" t="str">
        <f>IFERROR(__xludf.DUMMYFUNCTION("""COMPUTED_VALUE"""),"Pcs")</f>
        <v>Pcs</v>
      </c>
      <c r="I168" s="3" t="str">
        <f>IFERROR(__xludf.DUMMYFUNCTION("""COMPUTED_VALUE"""),"Aksesoris Helium Leak Tester 121702637 - APPROVED")</f>
        <v>Aksesoris Helium Leak Tester 121702637 - APPROVED</v>
      </c>
      <c r="J168" s="3" t="str">
        <f>IFERROR(__xludf.DUMMYFUNCTION("""COMPUTED_VALUE"""),"P-19779-00")</f>
        <v>P-19779-00</v>
      </c>
      <c r="K168" s="3" t="str">
        <f>IFERROR(__xludf.DUMMYFUNCTION("""COMPUTED_VALUE"""),"Approve")</f>
        <v>Approve</v>
      </c>
      <c r="L168" s="3" t="str">
        <f>IFERROR(__xludf.DUMMYFUNCTION("""COMPUTED_VALUE"""),"Normal")</f>
        <v>Normal</v>
      </c>
      <c r="M168" s="3" t="str">
        <f>IFERROR(__xludf.DUMMYFUNCTION("""COMPUTED_VALUE"""),"Non Urgent")</f>
        <v>Non Urgent</v>
      </c>
      <c r="N168" s="3">
        <f>IFERROR(__xludf.DUMMYFUNCTION("""COMPUTED_VALUE"""),45789.87942158565)</f>
        <v>45789.87942</v>
      </c>
    </row>
    <row r="169">
      <c r="A169" s="4">
        <f>IFERROR(__xludf.DUMMYFUNCTION("""COMPUTED_VALUE"""),45789.86544498843)</f>
        <v>45789.86544</v>
      </c>
      <c r="B169" s="3" t="str">
        <f>IFERROR(__xludf.DUMMYFUNCTION("""COMPUTED_VALUE"""),"MFHRO0073")</f>
        <v>MFHRO0073</v>
      </c>
      <c r="C169" s="3" t="str">
        <f>IFERROR(__xludf.DUMMYFUNCTION("""COMPUTED_VALUE"""),"MIn Stok")</f>
        <v>MIn Stok</v>
      </c>
      <c r="D169" s="3" t="str">
        <f>IFERROR(__xludf.DUMMYFUNCTION("""COMPUTED_VALUE"""),"-")</f>
        <v>-</v>
      </c>
      <c r="E169" s="3" t="str">
        <f>IFERROR(__xludf.DUMMYFUNCTION("""COMPUTED_VALUE"""),"Mixing")</f>
        <v>Mixing</v>
      </c>
      <c r="F169" s="3" t="str">
        <f>IFERROR(__xludf.DUMMYFUNCTION("""COMPUTED_VALUE"""),"Mixing Tank Adam - Corong Mesin 10x1.5 inch Mat. SS 316; Custom/Lokal; -; 1 Pc")</f>
        <v>Mixing Tank Adam - Corong Mesin 10x1.5 inch Mat. SS 316; Custom/Lokal; -; 1 Pc</v>
      </c>
      <c r="G169" s="3">
        <f>IFERROR(__xludf.DUMMYFUNCTION("""COMPUTED_VALUE"""),1.0)</f>
        <v>1</v>
      </c>
      <c r="H169" s="3" t="str">
        <f>IFERROR(__xludf.DUMMYFUNCTION("""COMPUTED_VALUE"""),"Pcs")</f>
        <v>Pcs</v>
      </c>
      <c r="I169" s="3" t="str">
        <f>IFERROR(__xludf.DUMMYFUNCTION("""COMPUTED_VALUE"""),"Buat baru corong mixing 121702645 - APPROVED")</f>
        <v>Buat baru corong mixing 121702645 - APPROVED</v>
      </c>
      <c r="J169" s="3" t="str">
        <f>IFERROR(__xludf.DUMMYFUNCTION("""COMPUTED_VALUE"""),"O-20504-00")</f>
        <v>O-20504-00</v>
      </c>
      <c r="K169" s="3" t="str">
        <f>IFERROR(__xludf.DUMMYFUNCTION("""COMPUTED_VALUE"""),"Approve")</f>
        <v>Approve</v>
      </c>
      <c r="L169" s="3" t="str">
        <f>IFERROR(__xludf.DUMMYFUNCTION("""COMPUTED_VALUE"""),"Normal")</f>
        <v>Normal</v>
      </c>
      <c r="M169" s="3" t="str">
        <f>IFERROR(__xludf.DUMMYFUNCTION("""COMPUTED_VALUE"""),"Non Urgent")</f>
        <v>Non Urgent</v>
      </c>
      <c r="N169" s="3">
        <f>IFERROR(__xludf.DUMMYFUNCTION("""COMPUTED_VALUE"""),45789.87955648148)</f>
        <v>45789.87956</v>
      </c>
    </row>
    <row r="170">
      <c r="A170" s="4">
        <f>IFERROR(__xludf.DUMMYFUNCTION("""COMPUTED_VALUE"""),45789.86848793981)</f>
        <v>45789.86849</v>
      </c>
      <c r="B170" s="3" t="str">
        <f>IFERROR(__xludf.DUMMYFUNCTION("""COMPUTED_VALUE"""),"MFHRO0074")</f>
        <v>MFHRO0074</v>
      </c>
      <c r="C170" s="3" t="str">
        <f>IFERROR(__xludf.DUMMYFUNCTION("""COMPUTED_VALUE"""),"Consumable")</f>
        <v>Consumable</v>
      </c>
      <c r="D170" s="3" t="str">
        <f>IFERROR(__xludf.DUMMYFUNCTION("""COMPUTED_VALUE"""),"-")</f>
        <v>-</v>
      </c>
      <c r="E170" s="3" t="str">
        <f>IFERROR(__xludf.DUMMYFUNCTION("""COMPUTED_VALUE"""),"General")</f>
        <v>General</v>
      </c>
      <c r="F170" s="3" t="str">
        <f>IFERROR(__xludf.DUMMYFUNCTION("""COMPUTED_VALUE"""),"Cellotape / Lakban Kertas 1 inch warna Putih ; No Brand ; pack size per pcs")</f>
        <v>Cellotape / Lakban Kertas 1 inch warna Putih ; No Brand ; pack size per pcs</v>
      </c>
      <c r="G170" s="3">
        <f>IFERROR(__xludf.DUMMYFUNCTION("""COMPUTED_VALUE"""),80.0)</f>
        <v>80</v>
      </c>
      <c r="H170" s="3" t="str">
        <f>IFERROR(__xludf.DUMMYFUNCTION("""COMPUTED_VALUE"""),"Pcs")</f>
        <v>Pcs</v>
      </c>
      <c r="I170" s="3" t="str">
        <f>IFERROR(__xludf.DUMMYFUNCTION("""COMPUTED_VALUE"""),"Blanket Plakban Kertas Semester 2 121702671 - APPROVED")</f>
        <v>Blanket Plakban Kertas Semester 2 121702671 - APPROVED</v>
      </c>
      <c r="J170" s="3" t="str">
        <f>IFERROR(__xludf.DUMMYFUNCTION("""COMPUTED_VALUE"""),"T-80109-00")</f>
        <v>T-80109-00</v>
      </c>
      <c r="K170" s="3" t="str">
        <f>IFERROR(__xludf.DUMMYFUNCTION("""COMPUTED_VALUE"""),"Approve")</f>
        <v>Approve</v>
      </c>
      <c r="L170" s="3" t="str">
        <f>IFERROR(__xludf.DUMMYFUNCTION("""COMPUTED_VALUE"""),"Normal")</f>
        <v>Normal</v>
      </c>
      <c r="M170" s="3" t="str">
        <f>IFERROR(__xludf.DUMMYFUNCTION("""COMPUTED_VALUE"""),"Non Urgent")</f>
        <v>Non Urgent</v>
      </c>
      <c r="N170" s="3">
        <f>IFERROR(__xludf.DUMMYFUNCTION("""COMPUTED_VALUE"""),45789.879678020836)</f>
        <v>45789.87968</v>
      </c>
    </row>
    <row r="171">
      <c r="A171" s="4">
        <f>IFERROR(__xludf.DUMMYFUNCTION("""COMPUTED_VALUE"""),45790.30020331018)</f>
        <v>45790.3002</v>
      </c>
      <c r="B171" s="3" t="str">
        <f>IFERROR(__xludf.DUMMYFUNCTION("""COMPUTED_VALUE"""),"RIARO0033")</f>
        <v>RIARO0033</v>
      </c>
      <c r="C171" s="3" t="str">
        <f>IFERROR(__xludf.DUMMYFUNCTION("""COMPUTED_VALUE"""),"MIn Stok")</f>
        <v>MIn Stok</v>
      </c>
      <c r="D171" s="3" t="str">
        <f>IFERROR(__xludf.DUMMYFUNCTION("""COMPUTED_VALUE"""),"-")</f>
        <v>-</v>
      </c>
      <c r="E171" s="3" t="str">
        <f>IFERROR(__xludf.DUMMYFUNCTION("""COMPUTED_VALUE"""),"Alarm WWTP")</f>
        <v>Alarm WWTP</v>
      </c>
      <c r="F171" s="3" t="str">
        <f>IFERROR(__xludf.DUMMYFUNCTION("""COMPUTED_VALUE"""),"Buzzer Electronic Siren PW-235; TAB; ;")</f>
        <v>Buzzer Electronic Siren PW-235; TAB; ;</v>
      </c>
      <c r="G171" s="3">
        <f>IFERROR(__xludf.DUMMYFUNCTION("""COMPUTED_VALUE"""),2.0)</f>
        <v>2</v>
      </c>
      <c r="H171" s="3" t="str">
        <f>IFERROR(__xludf.DUMMYFUNCTION("""COMPUTED_VALUE"""),"Pcs")</f>
        <v>Pcs</v>
      </c>
      <c r="I171" s="3" t="str">
        <f>IFERROR(__xludf.DUMMYFUNCTION("""COMPUTED_VALUE"""),"Buat sirine WWTP, tak buat  min stok aja ya soalnya no ejo blm ada")</f>
        <v>Buat sirine WWTP, tak buat  min stok aja ya soalnya no ejo blm ada</v>
      </c>
      <c r="J171" s="3" t="str">
        <f>IFERROR(__xludf.DUMMYFUNCTION("""COMPUTED_VALUE"""),"P-52665-00")</f>
        <v>P-52665-00</v>
      </c>
      <c r="K171" s="3" t="str">
        <f>IFERROR(__xludf.DUMMYFUNCTION("""COMPUTED_VALUE"""),"Approve")</f>
        <v>Approve</v>
      </c>
      <c r="L171" s="3" t="str">
        <f>IFERROR(__xludf.DUMMYFUNCTION("""COMPUTED_VALUE"""),"Normal")</f>
        <v>Normal</v>
      </c>
      <c r="M171" s="3" t="str">
        <f>IFERROR(__xludf.DUMMYFUNCTION("""COMPUTED_VALUE"""),"Non Urgent")</f>
        <v>Non Urgent</v>
      </c>
      <c r="N171" s="3">
        <f>IFERROR(__xludf.DUMMYFUNCTION("""COMPUTED_VALUE"""),45790.590274629634)</f>
        <v>45790.59027</v>
      </c>
    </row>
    <row r="172">
      <c r="A172" s="4">
        <f>IFERROR(__xludf.DUMMYFUNCTION("""COMPUTED_VALUE"""),45790.64214047454)</f>
        <v>45790.64214</v>
      </c>
      <c r="B172" s="3" t="str">
        <f>IFERROR(__xludf.DUMMYFUNCTION("""COMPUTED_VALUE"""),"RIARO0034")</f>
        <v>RIARO0034</v>
      </c>
      <c r="C172" s="3" t="str">
        <f>IFERROR(__xludf.DUMMYFUNCTION("""COMPUTED_VALUE"""),"EJO")</f>
        <v>EJO</v>
      </c>
      <c r="D172" s="3" t="str">
        <f>IFERROR(__xludf.DUMMYFUNCTION("""COMPUTED_VALUE"""),"EJO/2025/05/44")</f>
        <v>EJO/2025/05/44</v>
      </c>
      <c r="E172" s="3" t="str">
        <f>IFERROR(__xludf.DUMMYFUNCTION("""COMPUTED_VALUE"""),"EF C1-41")</f>
        <v>EF C1-41</v>
      </c>
      <c r="F172" s="3" t="str">
        <f>IFERROR(__xludf.DUMMYFUNCTION("""COMPUTED_VALUE"""),"Inverter - HVAC Drives FC-102P4K0T4E20H3XGXXXXSXXXXAXBXCXXXXDX; 4 kw 3x380 Vac;; Danfoss; ;")</f>
        <v>Inverter - HVAC Drives FC-102P4K0T4E20H3XGXXXXSXXXXAXBXCXXXXDX; 4 kw 3x380 Vac;; Danfoss; ;</v>
      </c>
      <c r="G172" s="3">
        <f>IFERROR(__xludf.DUMMYFUNCTION("""COMPUTED_VALUE"""),2.0)</f>
        <v>2</v>
      </c>
      <c r="H172" s="3" t="str">
        <f>IFERROR(__xludf.DUMMYFUNCTION("""COMPUTED_VALUE"""),"Pcs")</f>
        <v>Pcs</v>
      </c>
      <c r="I172" s="3" t="str">
        <f>IFERROR(__xludf.DUMMYFUNCTION("""COMPUTED_VALUE"""),"satu buat spare satu buat ganti")</f>
        <v>satu buat spare satu buat ganti</v>
      </c>
      <c r="J172" s="3" t="str">
        <f>IFERROR(__xludf.DUMMYFUNCTION("""COMPUTED_VALUE"""),"P-52708-00")</f>
        <v>P-52708-00</v>
      </c>
      <c r="K172" s="3" t="str">
        <f>IFERROR(__xludf.DUMMYFUNCTION("""COMPUTED_VALUE"""),"Approve")</f>
        <v>Approve</v>
      </c>
      <c r="L172" s="3" t="str">
        <f>IFERROR(__xludf.DUMMYFUNCTION("""COMPUTED_VALUE"""),"Normal")</f>
        <v>Normal</v>
      </c>
      <c r="M172" s="3" t="str">
        <f>IFERROR(__xludf.DUMMYFUNCTION("""COMPUTED_VALUE"""),"Non Urgent")</f>
        <v>Non Urgent</v>
      </c>
      <c r="N172" s="3">
        <f>IFERROR(__xludf.DUMMYFUNCTION("""COMPUTED_VALUE"""),45793.47298590278)</f>
        <v>45793.47299</v>
      </c>
    </row>
    <row r="173">
      <c r="A173" s="4">
        <f>IFERROR(__xludf.DUMMYFUNCTION("""COMPUTED_VALUE"""),45790.831966944446)</f>
        <v>45790.83197</v>
      </c>
      <c r="B173" s="3" t="str">
        <f>IFERROR(__xludf.DUMMYFUNCTION("""COMPUTED_VALUE"""),"MFHRO0075")</f>
        <v>MFHRO0075</v>
      </c>
      <c r="C173" s="3" t="str">
        <f>IFERROR(__xludf.DUMMYFUNCTION("""COMPUTED_VALUE"""),"Consumable")</f>
        <v>Consumable</v>
      </c>
      <c r="D173" s="3" t="str">
        <f>IFERROR(__xludf.DUMMYFUNCTION("""COMPUTED_VALUE"""),"-")</f>
        <v>-</v>
      </c>
      <c r="E173" s="3" t="str">
        <f>IFERROR(__xludf.DUMMYFUNCTION("""COMPUTED_VALUE"""),"WWTP")</f>
        <v>WWTP</v>
      </c>
      <c r="F173" s="3" t="str">
        <f>IFERROR(__xludf.DUMMYFUNCTION("""COMPUTED_VALUE"""),"Chemical - Sodium Hiphoclorite; No Brand; -; 1 Liter")</f>
        <v>Chemical - Sodium Hiphoclorite; No Brand; -; 1 Liter</v>
      </c>
      <c r="G173" s="3">
        <f>IFERROR(__xludf.DUMMYFUNCTION("""COMPUTED_VALUE"""),1260.0)</f>
        <v>1260</v>
      </c>
      <c r="H173" s="3" t="str">
        <f>IFERROR(__xludf.DUMMYFUNCTION("""COMPUTED_VALUE"""),"Liter")</f>
        <v>Liter</v>
      </c>
      <c r="I173" s="3" t="str">
        <f>IFERROR(__xludf.DUMMYFUNCTION("""COMPUTED_VALUE"""),"Blanket NaOCl Semester 2 121702680 - APPROVED")</f>
        <v>Blanket NaOCl Semester 2 121702680 - APPROVED</v>
      </c>
      <c r="J173" s="3" t="str">
        <f>IFERROR(__xludf.DUMMYFUNCTION("""COMPUTED_VALUE"""),"P-17645-00")</f>
        <v>P-17645-00</v>
      </c>
      <c r="K173" s="3" t="str">
        <f>IFERROR(__xludf.DUMMYFUNCTION("""COMPUTED_VALUE"""),"Approve")</f>
        <v>Approve</v>
      </c>
      <c r="L173" s="3" t="str">
        <f>IFERROR(__xludf.DUMMYFUNCTION("""COMPUTED_VALUE"""),"Normal")</f>
        <v>Normal</v>
      </c>
      <c r="M173" s="3" t="str">
        <f>IFERROR(__xludf.DUMMYFUNCTION("""COMPUTED_VALUE"""),"Non Urgent")</f>
        <v>Non Urgent</v>
      </c>
      <c r="N173" s="3">
        <f>IFERROR(__xludf.DUMMYFUNCTION("""COMPUTED_VALUE"""),45790.87271931713)</f>
        <v>45790.87272</v>
      </c>
    </row>
    <row r="174">
      <c r="A174" s="4">
        <f>IFERROR(__xludf.DUMMYFUNCTION("""COMPUTED_VALUE"""),45790.83309118056)</f>
        <v>45790.83309</v>
      </c>
      <c r="B174" s="3" t="str">
        <f>IFERROR(__xludf.DUMMYFUNCTION("""COMPUTED_VALUE"""),"MFHRO0076")</f>
        <v>MFHRO0076</v>
      </c>
      <c r="C174" s="3" t="str">
        <f>IFERROR(__xludf.DUMMYFUNCTION("""COMPUTED_VALUE"""),"Consumable")</f>
        <v>Consumable</v>
      </c>
      <c r="D174" s="3" t="str">
        <f>IFERROR(__xludf.DUMMYFUNCTION("""COMPUTED_VALUE"""),"-")</f>
        <v>-</v>
      </c>
      <c r="E174" s="3" t="str">
        <f>IFERROR(__xludf.DUMMYFUNCTION("""COMPUTED_VALUE"""),"General")</f>
        <v>General</v>
      </c>
      <c r="F174" s="3" t="str">
        <f>IFERROR(__xludf.DUMMYFUNCTION("""COMPUTED_VALUE"""),"Pneumatic  Fitting - QS 10-8 / PN : 153039 / Festo")</f>
        <v>Pneumatic  Fitting - QS 10-8 / PN : 153039 / Festo</v>
      </c>
      <c r="G174" s="3">
        <f>IFERROR(__xludf.DUMMYFUNCTION("""COMPUTED_VALUE"""),8.0)</f>
        <v>8</v>
      </c>
      <c r="H174" s="3" t="str">
        <f>IFERROR(__xludf.DUMMYFUNCTION("""COMPUTED_VALUE"""),"Pcs")</f>
        <v>Pcs</v>
      </c>
      <c r="I174" s="3" t="str">
        <f>IFERROR(__xludf.DUMMYFUNCTION("""COMPUTED_VALUE"""),"Untuk stok konektor pneumatik 121702694 - APPROVED")</f>
        <v>Untuk stok konektor pneumatik 121702694 - APPROVED</v>
      </c>
      <c r="J174" s="3" t="str">
        <f>IFERROR(__xludf.DUMMYFUNCTION("""COMPUTED_VALUE"""),"P-11175-00")</f>
        <v>P-11175-00</v>
      </c>
      <c r="K174" s="3" t="str">
        <f>IFERROR(__xludf.DUMMYFUNCTION("""COMPUTED_VALUE"""),"Approve")</f>
        <v>Approve</v>
      </c>
      <c r="L174" s="3" t="str">
        <f>IFERROR(__xludf.DUMMYFUNCTION("""COMPUTED_VALUE"""),"Normal")</f>
        <v>Normal</v>
      </c>
      <c r="M174" s="3" t="str">
        <f>IFERROR(__xludf.DUMMYFUNCTION("""COMPUTED_VALUE"""),"Non Urgent")</f>
        <v>Non Urgent</v>
      </c>
      <c r="N174" s="3">
        <f>IFERROR(__xludf.DUMMYFUNCTION("""COMPUTED_VALUE"""),45790.872861655094)</f>
        <v>45790.87286</v>
      </c>
    </row>
    <row r="175">
      <c r="A175" s="4">
        <f>IFERROR(__xludf.DUMMYFUNCTION("""COMPUTED_VALUE"""),45790.84259637731)</f>
        <v>45790.8426</v>
      </c>
      <c r="B175" s="3" t="str">
        <f>IFERROR(__xludf.DUMMYFUNCTION("""COMPUTED_VALUE"""),"MFHRO0077")</f>
        <v>MFHRO0077</v>
      </c>
      <c r="C175" s="3" t="str">
        <f>IFERROR(__xludf.DUMMYFUNCTION("""COMPUTED_VALUE"""),"MIn Stok")</f>
        <v>MIn Stok</v>
      </c>
      <c r="D175" s="3" t="str">
        <f>IFERROR(__xludf.DUMMYFUNCTION("""COMPUTED_VALUE"""),"-")</f>
        <v>-</v>
      </c>
      <c r="E175" s="3" t="str">
        <f>IFERROR(__xludf.DUMMYFUNCTION("""COMPUTED_VALUE"""),"General")</f>
        <v>General</v>
      </c>
      <c r="F175" s="3" t="str">
        <f>IFERROR(__xludf.DUMMYFUNCTION("""COMPUTED_VALUE"""),"General - Capacitor, 5 uF, 500 V, 50/60 Hz; No Brand; -; 1 pcs")</f>
        <v>General - Capacitor, 5 uF, 500 V, 50/60 Hz; No Brand; -; 1 pcs</v>
      </c>
      <c r="G175" s="3">
        <f>IFERROR(__xludf.DUMMYFUNCTION("""COMPUTED_VALUE"""),5.0)</f>
        <v>5</v>
      </c>
      <c r="H175" s="3" t="str">
        <f>IFERROR(__xludf.DUMMYFUNCTION("""COMPUTED_VALUE"""),"Pcs")</f>
        <v>Pcs</v>
      </c>
      <c r="I175" s="3" t="str">
        <f>IFERROR(__xludf.DUMMYFUNCTION("""COMPUTED_VALUE"""),"Min Stok Kapasitor untuk AC 121702700 - APPROVED")</f>
        <v>Min Stok Kapasitor untuk AC 121702700 - APPROVED</v>
      </c>
      <c r="J175" s="3" t="str">
        <f>IFERROR(__xludf.DUMMYFUNCTION("""COMPUTED_VALUE"""),"P-52110-00")</f>
        <v>P-52110-00</v>
      </c>
      <c r="K175" s="3" t="str">
        <f>IFERROR(__xludf.DUMMYFUNCTION("""COMPUTED_VALUE"""),"Approve")</f>
        <v>Approve</v>
      </c>
      <c r="L175" s="3" t="str">
        <f>IFERROR(__xludf.DUMMYFUNCTION("""COMPUTED_VALUE"""),"Normal")</f>
        <v>Normal</v>
      </c>
      <c r="M175" s="3" t="str">
        <f>IFERROR(__xludf.DUMMYFUNCTION("""COMPUTED_VALUE"""),"Non Urgent")</f>
        <v>Non Urgent</v>
      </c>
      <c r="N175" s="3">
        <f>IFERROR(__xludf.DUMMYFUNCTION("""COMPUTED_VALUE"""),45790.87300270834)</f>
        <v>45790.873</v>
      </c>
    </row>
    <row r="176">
      <c r="A176" s="4">
        <f>IFERROR(__xludf.DUMMYFUNCTION("""COMPUTED_VALUE"""),45790.84392987269)</f>
        <v>45790.84393</v>
      </c>
      <c r="B176" s="3" t="str">
        <f>IFERROR(__xludf.DUMMYFUNCTION("""COMPUTED_VALUE"""),"MFHRO0078")</f>
        <v>MFHRO0078</v>
      </c>
      <c r="C176" s="3" t="str">
        <f>IFERROR(__xludf.DUMMYFUNCTION("""COMPUTED_VALUE"""),"Consumable")</f>
        <v>Consumable</v>
      </c>
      <c r="D176" s="3" t="str">
        <f>IFERROR(__xludf.DUMMYFUNCTION("""COMPUTED_VALUE"""),"-")</f>
        <v>-</v>
      </c>
      <c r="E176" s="3" t="str">
        <f>IFERROR(__xludf.DUMMYFUNCTION("""COMPUTED_VALUE"""),"ATK")</f>
        <v>ATK</v>
      </c>
      <c r="F176" s="3" t="str">
        <f>IFERROR(__xludf.DUMMYFUNCTION("""COMPUTED_VALUE"""),"Tinta HP 955 Black; HP; N9H85A;")</f>
        <v>Tinta HP 955 Black; HP; N9H85A;</v>
      </c>
      <c r="G176" s="3">
        <f>IFERROR(__xludf.DUMMYFUNCTION("""COMPUTED_VALUE"""),2.0)</f>
        <v>2</v>
      </c>
      <c r="H176" s="3" t="str">
        <f>IFERROR(__xludf.DUMMYFUNCTION("""COMPUTED_VALUE"""),"Pcs")</f>
        <v>Pcs</v>
      </c>
      <c r="I176" s="3" t="str">
        <f>IFERROR(__xludf.DUMMYFUNCTION("""COMPUTED_VALUE"""),"Request MAP untuk printer ENG 121702703 - APPROVED")</f>
        <v>Request MAP untuk printer ENG 121702703 - APPROVED</v>
      </c>
      <c r="J176" s="3" t="str">
        <f>IFERROR(__xludf.DUMMYFUNCTION("""COMPUTED_VALUE"""),"T-80708-00")</f>
        <v>T-80708-00</v>
      </c>
      <c r="K176" s="3" t="str">
        <f>IFERROR(__xludf.DUMMYFUNCTION("""COMPUTED_VALUE"""),"Approve")</f>
        <v>Approve</v>
      </c>
      <c r="L176" s="3" t="str">
        <f>IFERROR(__xludf.DUMMYFUNCTION("""COMPUTED_VALUE"""),"Normal")</f>
        <v>Normal</v>
      </c>
      <c r="M176" s="3" t="str">
        <f>IFERROR(__xludf.DUMMYFUNCTION("""COMPUTED_VALUE"""),"Non Urgent")</f>
        <v>Non Urgent</v>
      </c>
      <c r="N176" s="3">
        <f>IFERROR(__xludf.DUMMYFUNCTION("""COMPUTED_VALUE"""),45790.873360439815)</f>
        <v>45790.87336</v>
      </c>
    </row>
    <row r="177">
      <c r="A177" s="4">
        <f>IFERROR(__xludf.DUMMYFUNCTION("""COMPUTED_VALUE"""),45790.84500601852)</f>
        <v>45790.84501</v>
      </c>
      <c r="B177" s="3" t="str">
        <f>IFERROR(__xludf.DUMMYFUNCTION("""COMPUTED_VALUE"""),"MFHRO0079")</f>
        <v>MFHRO0079</v>
      </c>
      <c r="C177" s="3" t="str">
        <f>IFERROR(__xludf.DUMMYFUNCTION("""COMPUTED_VALUE"""),"Consumable")</f>
        <v>Consumable</v>
      </c>
      <c r="D177" s="3" t="str">
        <f>IFERROR(__xludf.DUMMYFUNCTION("""COMPUTED_VALUE"""),"-")</f>
        <v>-</v>
      </c>
      <c r="E177" s="3" t="str">
        <f>IFERROR(__xludf.DUMMYFUNCTION("""COMPUTED_VALUE"""),"ATK")</f>
        <v>ATK</v>
      </c>
      <c r="F177" s="3" t="str">
        <f>IFERROR(__xludf.DUMMYFUNCTION("""COMPUTED_VALUE"""),"Tinta HP 955 Cyan; HP; H9H73A;")</f>
        <v>Tinta HP 955 Cyan; HP; H9H73A;</v>
      </c>
      <c r="G177" s="3">
        <f>IFERROR(__xludf.DUMMYFUNCTION("""COMPUTED_VALUE"""),1.0)</f>
        <v>1</v>
      </c>
      <c r="H177" s="3" t="str">
        <f>IFERROR(__xludf.DUMMYFUNCTION("""COMPUTED_VALUE"""),"Pcs")</f>
        <v>Pcs</v>
      </c>
      <c r="I177" s="3" t="str">
        <f>IFERROR(__xludf.DUMMYFUNCTION("""COMPUTED_VALUE"""),"Request MAP untuk printer ENG 121702703 - APPROVED")</f>
        <v>Request MAP untuk printer ENG 121702703 - APPROVED</v>
      </c>
      <c r="J177" s="3" t="str">
        <f>IFERROR(__xludf.DUMMYFUNCTION("""COMPUTED_VALUE"""),"T-80709-00")</f>
        <v>T-80709-00</v>
      </c>
      <c r="K177" s="3" t="str">
        <f>IFERROR(__xludf.DUMMYFUNCTION("""COMPUTED_VALUE"""),"Approve")</f>
        <v>Approve</v>
      </c>
      <c r="L177" s="3" t="str">
        <f>IFERROR(__xludf.DUMMYFUNCTION("""COMPUTED_VALUE"""),"Normal")</f>
        <v>Normal</v>
      </c>
      <c r="M177" s="3" t="str">
        <f>IFERROR(__xludf.DUMMYFUNCTION("""COMPUTED_VALUE"""),"Non Urgent")</f>
        <v>Non Urgent</v>
      </c>
      <c r="N177" s="3">
        <f>IFERROR(__xludf.DUMMYFUNCTION("""COMPUTED_VALUE"""),45790.87349868055)</f>
        <v>45790.8735</v>
      </c>
    </row>
    <row r="178">
      <c r="A178" s="4">
        <f>IFERROR(__xludf.DUMMYFUNCTION("""COMPUTED_VALUE"""),45790.84538503472)</f>
        <v>45790.84539</v>
      </c>
      <c r="B178" s="3" t="str">
        <f>IFERROR(__xludf.DUMMYFUNCTION("""COMPUTED_VALUE"""),"MFHRO0080")</f>
        <v>MFHRO0080</v>
      </c>
      <c r="C178" s="3" t="str">
        <f>IFERROR(__xludf.DUMMYFUNCTION("""COMPUTED_VALUE"""),"Consumable")</f>
        <v>Consumable</v>
      </c>
      <c r="D178" s="3" t="str">
        <f>IFERROR(__xludf.DUMMYFUNCTION("""COMPUTED_VALUE"""),"-")</f>
        <v>-</v>
      </c>
      <c r="E178" s="3" t="str">
        <f>IFERROR(__xludf.DUMMYFUNCTION("""COMPUTED_VALUE"""),"ATK")</f>
        <v>ATK</v>
      </c>
      <c r="F178" s="3" t="str">
        <f>IFERROR(__xludf.DUMMYFUNCTION("""COMPUTED_VALUE"""),"Tinta HP 955 Magenta; HP; N9H77A;")</f>
        <v>Tinta HP 955 Magenta; HP; N9H77A;</v>
      </c>
      <c r="G178" s="3">
        <f>IFERROR(__xludf.DUMMYFUNCTION("""COMPUTED_VALUE"""),1.0)</f>
        <v>1</v>
      </c>
      <c r="H178" s="3" t="str">
        <f>IFERROR(__xludf.DUMMYFUNCTION("""COMPUTED_VALUE"""),"Pcs")</f>
        <v>Pcs</v>
      </c>
      <c r="I178" s="3" t="str">
        <f>IFERROR(__xludf.DUMMYFUNCTION("""COMPUTED_VALUE"""),"Request MAP untuk printer ENG 121702703 - APPROVED")</f>
        <v>Request MAP untuk printer ENG 121702703 - APPROVED</v>
      </c>
      <c r="J178" s="3" t="str">
        <f>IFERROR(__xludf.DUMMYFUNCTION("""COMPUTED_VALUE"""),"T-80710-00")</f>
        <v>T-80710-00</v>
      </c>
      <c r="K178" s="3" t="str">
        <f>IFERROR(__xludf.DUMMYFUNCTION("""COMPUTED_VALUE"""),"Approve")</f>
        <v>Approve</v>
      </c>
      <c r="L178" s="3" t="str">
        <f>IFERROR(__xludf.DUMMYFUNCTION("""COMPUTED_VALUE"""),"Normal")</f>
        <v>Normal</v>
      </c>
      <c r="M178" s="3" t="str">
        <f>IFERROR(__xludf.DUMMYFUNCTION("""COMPUTED_VALUE"""),"Non Urgent")</f>
        <v>Non Urgent</v>
      </c>
      <c r="N178" s="3">
        <f>IFERROR(__xludf.DUMMYFUNCTION("""COMPUTED_VALUE"""),45790.87362976852)</f>
        <v>45790.87363</v>
      </c>
    </row>
    <row r="179">
      <c r="A179" s="4">
        <f>IFERROR(__xludf.DUMMYFUNCTION("""COMPUTED_VALUE"""),45790.8469003125)</f>
        <v>45790.8469</v>
      </c>
      <c r="B179" s="3" t="str">
        <f>IFERROR(__xludf.DUMMYFUNCTION("""COMPUTED_VALUE"""),"MFHRO0081")</f>
        <v>MFHRO0081</v>
      </c>
      <c r="C179" s="3" t="str">
        <f>IFERROR(__xludf.DUMMYFUNCTION("""COMPUTED_VALUE"""),"Consumable")</f>
        <v>Consumable</v>
      </c>
      <c r="D179" s="3" t="str">
        <f>IFERROR(__xludf.DUMMYFUNCTION("""COMPUTED_VALUE"""),"-")</f>
        <v>-</v>
      </c>
      <c r="E179" s="3" t="str">
        <f>IFERROR(__xludf.DUMMYFUNCTION("""COMPUTED_VALUE"""),"ATK")</f>
        <v>ATK</v>
      </c>
      <c r="F179" s="3" t="str">
        <f>IFERROR(__xludf.DUMMYFUNCTION("""COMPUTED_VALUE"""),"Tinta HP 955 Yellow; HP; N9H81A;")</f>
        <v>Tinta HP 955 Yellow; HP; N9H81A;</v>
      </c>
      <c r="G179" s="3">
        <f>IFERROR(__xludf.DUMMYFUNCTION("""COMPUTED_VALUE"""),1.0)</f>
        <v>1</v>
      </c>
      <c r="H179" s="3" t="str">
        <f>IFERROR(__xludf.DUMMYFUNCTION("""COMPUTED_VALUE"""),"Pcs")</f>
        <v>Pcs</v>
      </c>
      <c r="I179" s="3" t="str">
        <f>IFERROR(__xludf.DUMMYFUNCTION("""COMPUTED_VALUE"""),"Request MAP untuk printer ENG 121702703 - APPROVED")</f>
        <v>Request MAP untuk printer ENG 121702703 - APPROVED</v>
      </c>
      <c r="J179" s="3" t="str">
        <f>IFERROR(__xludf.DUMMYFUNCTION("""COMPUTED_VALUE"""),"T-80711-00")</f>
        <v>T-80711-00</v>
      </c>
      <c r="K179" s="3" t="str">
        <f>IFERROR(__xludf.DUMMYFUNCTION("""COMPUTED_VALUE"""),"Approve")</f>
        <v>Approve</v>
      </c>
      <c r="L179" s="3" t="str">
        <f>IFERROR(__xludf.DUMMYFUNCTION("""COMPUTED_VALUE"""),"Normal")</f>
        <v>Normal</v>
      </c>
      <c r="M179" s="3" t="str">
        <f>IFERROR(__xludf.DUMMYFUNCTION("""COMPUTED_VALUE"""),"Non Urgent")</f>
        <v>Non Urgent</v>
      </c>
      <c r="N179" s="3">
        <f>IFERROR(__xludf.DUMMYFUNCTION("""COMPUTED_VALUE"""),45790.873793136576)</f>
        <v>45790.87379</v>
      </c>
    </row>
    <row r="180">
      <c r="A180" s="4">
        <f>IFERROR(__xludf.DUMMYFUNCTION("""COMPUTED_VALUE"""),45790.84723920139)</f>
        <v>45790.84724</v>
      </c>
      <c r="B180" s="3" t="str">
        <f>IFERROR(__xludf.DUMMYFUNCTION("""COMPUTED_VALUE"""),"MFHRO0082")</f>
        <v>MFHRO0082</v>
      </c>
      <c r="C180" s="3" t="str">
        <f>IFERROR(__xludf.DUMMYFUNCTION("""COMPUTED_VALUE"""),"Consumable")</f>
        <v>Consumable</v>
      </c>
      <c r="D180" s="3" t="str">
        <f>IFERROR(__xludf.DUMMYFUNCTION("""COMPUTED_VALUE"""),"-")</f>
        <v>-</v>
      </c>
      <c r="E180" s="3" t="str">
        <f>IFERROR(__xludf.DUMMYFUNCTION("""COMPUTED_VALUE"""),"ATK")</f>
        <v>ATK</v>
      </c>
      <c r="F180" s="3" t="str">
        <f>IFERROR(__xludf.DUMMYFUNCTION("""COMPUTED_VALUE"""),"Kertas HVS Putih A4 70 gram;")</f>
        <v>Kertas HVS Putih A4 70 gram;</v>
      </c>
      <c r="G180" s="3">
        <f>IFERROR(__xludf.DUMMYFUNCTION("""COMPUTED_VALUE"""),10.0)</f>
        <v>10</v>
      </c>
      <c r="H180" s="3" t="str">
        <f>IFERROR(__xludf.DUMMYFUNCTION("""COMPUTED_VALUE"""),"Rim")</f>
        <v>Rim</v>
      </c>
      <c r="I180" s="3" t="str">
        <f>IFERROR(__xludf.DUMMYFUNCTION("""COMPUTED_VALUE"""),"Request MAP untuk printer ENG 121702703 - APPROVED")</f>
        <v>Request MAP untuk printer ENG 121702703 - APPROVED</v>
      </c>
      <c r="J180" s="3" t="str">
        <f>IFERROR(__xludf.DUMMYFUNCTION("""COMPUTED_VALUE"""),"T-80635-00")</f>
        <v>T-80635-00</v>
      </c>
      <c r="K180" s="3" t="str">
        <f>IFERROR(__xludf.DUMMYFUNCTION("""COMPUTED_VALUE"""),"Approve")</f>
        <v>Approve</v>
      </c>
      <c r="L180" s="3" t="str">
        <f>IFERROR(__xludf.DUMMYFUNCTION("""COMPUTED_VALUE"""),"Normal")</f>
        <v>Normal</v>
      </c>
      <c r="M180" s="3" t="str">
        <f>IFERROR(__xludf.DUMMYFUNCTION("""COMPUTED_VALUE"""),"Non Urgent")</f>
        <v>Non Urgent</v>
      </c>
      <c r="N180" s="3">
        <f>IFERROR(__xludf.DUMMYFUNCTION("""COMPUTED_VALUE"""),45790.87392795139)</f>
        <v>45790.87393</v>
      </c>
    </row>
    <row r="181">
      <c r="A181" s="4">
        <f>IFERROR(__xludf.DUMMYFUNCTION("""COMPUTED_VALUE"""),45790.866575706015)</f>
        <v>45790.86658</v>
      </c>
      <c r="B181" s="3" t="str">
        <f>IFERROR(__xludf.DUMMYFUNCTION("""COMPUTED_VALUE"""),"MFHRO0083")</f>
        <v>MFHRO0083</v>
      </c>
      <c r="C181" s="3" t="str">
        <f>IFERROR(__xludf.DUMMYFUNCTION("""COMPUTED_VALUE"""),"MIn Stok")</f>
        <v>MIn Stok</v>
      </c>
      <c r="D181" s="3" t="str">
        <f>IFERROR(__xludf.DUMMYFUNCTION("""COMPUTED_VALUE"""),"-")</f>
        <v>-</v>
      </c>
      <c r="E181" s="3" t="str">
        <f>IFERROR(__xludf.DUMMYFUNCTION("""COMPUTED_VALUE"""),"Hot Water")</f>
        <v>Hot Water</v>
      </c>
      <c r="F181" s="3" t="str">
        <f>IFERROR(__xludf.DUMMYFUNCTION("""COMPUTED_VALUE"""),"General - Fuse Keramik Double 160A 690VAC Bussman FEE160")</f>
        <v>General - Fuse Keramik Double 160A 690VAC Bussman FEE160</v>
      </c>
      <c r="G181" s="3">
        <f>IFERROR(__xludf.DUMMYFUNCTION("""COMPUTED_VALUE"""),6.0)</f>
        <v>6</v>
      </c>
      <c r="H181" s="3" t="str">
        <f>IFERROR(__xludf.DUMMYFUNCTION("""COMPUTED_VALUE"""),"Pcs")</f>
        <v>Pcs</v>
      </c>
      <c r="I181" s="3" t="str">
        <f>IFERROR(__xludf.DUMMYFUNCTION("""COMPUTED_VALUE"""),"Min Stok Fuse untuk Hot Water 121702727 - APPROVED")</f>
        <v>Min Stok Fuse untuk Hot Water 121702727 - APPROVED</v>
      </c>
      <c r="J181" s="3" t="str">
        <f>IFERROR(__xludf.DUMMYFUNCTION("""COMPUTED_VALUE"""),"P-53055-00")</f>
        <v>P-53055-00</v>
      </c>
      <c r="K181" s="3" t="str">
        <f>IFERROR(__xludf.DUMMYFUNCTION("""COMPUTED_VALUE"""),"Approve")</f>
        <v>Approve</v>
      </c>
      <c r="L181" s="3" t="str">
        <f>IFERROR(__xludf.DUMMYFUNCTION("""COMPUTED_VALUE"""),"Normal")</f>
        <v>Normal</v>
      </c>
      <c r="M181" s="3" t="str">
        <f>IFERROR(__xludf.DUMMYFUNCTION("""COMPUTED_VALUE"""),"Non Urgent")</f>
        <v>Non Urgent</v>
      </c>
      <c r="N181" s="3">
        <f>IFERROR(__xludf.DUMMYFUNCTION("""COMPUTED_VALUE"""),45790.87417517361)</f>
        <v>45790.87418</v>
      </c>
    </row>
    <row r="182">
      <c r="A182" s="4">
        <f>IFERROR(__xludf.DUMMYFUNCTION("""COMPUTED_VALUE"""),45790.95244760417)</f>
        <v>45790.95245</v>
      </c>
      <c r="B182" s="3" t="str">
        <f>IFERROR(__xludf.DUMMYFUNCTION("""COMPUTED_VALUE"""),"MRNRO0015")</f>
        <v>MRNRO0015</v>
      </c>
      <c r="C182" s="3" t="str">
        <f>IFERROR(__xludf.DUMMYFUNCTION("""COMPUTED_VALUE"""),"MIn Stok")</f>
        <v>MIn Stok</v>
      </c>
      <c r="D182" s="3" t="str">
        <f>IFERROR(__xludf.DUMMYFUNCTION("""COMPUTED_VALUE"""),"-")</f>
        <v>-</v>
      </c>
      <c r="E182" s="3" t="str">
        <f>IFERROR(__xludf.DUMMYFUNCTION("""COMPUTED_VALUE"""),"Building")</f>
        <v>Building</v>
      </c>
      <c r="F182" s="3" t="str">
        <f>IFERROR(__xludf.DUMMYFUNCTION("""COMPUTED_VALUE"""),"Cat Weathershield Day Break;Dulux;Type 40544M Day Break;pack size per 20L pail")</f>
        <v>Cat Weathershield Day Break;Dulux;Type 40544M Day Break;pack size per 20L pail</v>
      </c>
      <c r="G182" s="3">
        <f>IFERROR(__xludf.DUMMYFUNCTION("""COMPUTED_VALUE"""),2.0)</f>
        <v>2</v>
      </c>
      <c r="H182" s="3" t="str">
        <f>IFERROR(__xludf.DUMMYFUNCTION("""COMPUTED_VALUE"""),"Pail")</f>
        <v>Pail</v>
      </c>
      <c r="I182" s="3" t="str">
        <f>IFERROR(__xludf.DUMMYFUNCTION("""COMPUTED_VALUE"""),"Buat dinding luar")</f>
        <v>Buat dinding luar</v>
      </c>
      <c r="J182" s="3" t="str">
        <f>IFERROR(__xludf.DUMMYFUNCTION("""COMPUTED_VALUE"""),"Q-90767-00")</f>
        <v>Q-90767-00</v>
      </c>
      <c r="K182" s="3" t="str">
        <f>IFERROR(__xludf.DUMMYFUNCTION("""COMPUTED_VALUE"""),"Approve")</f>
        <v>Approve</v>
      </c>
      <c r="L182" s="3" t="str">
        <f>IFERROR(__xludf.DUMMYFUNCTION("""COMPUTED_VALUE"""),"Normal")</f>
        <v>Normal</v>
      </c>
      <c r="M182" s="3" t="str">
        <f>IFERROR(__xludf.DUMMYFUNCTION("""COMPUTED_VALUE"""),"Non Urgent")</f>
        <v>Non Urgent</v>
      </c>
      <c r="N182" s="3">
        <f>IFERROR(__xludf.DUMMYFUNCTION("""COMPUTED_VALUE"""),45798.48149297453)</f>
        <v>45798.48149</v>
      </c>
    </row>
    <row r="183">
      <c r="A183" s="4">
        <f>IFERROR(__xludf.DUMMYFUNCTION("""COMPUTED_VALUE"""),45790.9537302199)</f>
        <v>45790.95373</v>
      </c>
      <c r="B183" s="3" t="str">
        <f>IFERROR(__xludf.DUMMYFUNCTION("""COMPUTED_VALUE"""),"MRNRO0016")</f>
        <v>MRNRO0016</v>
      </c>
      <c r="C183" s="3" t="str">
        <f>IFERROR(__xludf.DUMMYFUNCTION("""COMPUTED_VALUE"""),"MIn Stok")</f>
        <v>MIn Stok</v>
      </c>
      <c r="D183" s="3" t="str">
        <f>IFERROR(__xludf.DUMMYFUNCTION("""COMPUTED_VALUE"""),"-")</f>
        <v>-</v>
      </c>
      <c r="E183" s="3" t="str">
        <f>IFERROR(__xludf.DUMMYFUNCTION("""COMPUTED_VALUE"""),"workshop")</f>
        <v>workshop</v>
      </c>
      <c r="F183" s="3" t="str">
        <f>IFERROR(__xludf.DUMMYFUNCTION("""COMPUTED_VALUE"""),"General - Tungsten Electrodes dia 1.6 mm; No Brand; -; 1 pc")</f>
        <v>General - Tungsten Electrodes dia 1.6 mm; No Brand; -; 1 pc</v>
      </c>
      <c r="G183" s="3">
        <f>IFERROR(__xludf.DUMMYFUNCTION("""COMPUTED_VALUE"""),1.0)</f>
        <v>1</v>
      </c>
      <c r="H183" s="3" t="str">
        <f>IFERROR(__xludf.DUMMYFUNCTION("""COMPUTED_VALUE"""),"pack")</f>
        <v>pack</v>
      </c>
      <c r="I183" s="3" t="str">
        <f>IFERROR(__xludf.DUMMYFUNCTION("""COMPUTED_VALUE"""),"buat mesin las")</f>
        <v>buat mesin las</v>
      </c>
      <c r="J183" s="3" t="str">
        <f>IFERROR(__xludf.DUMMYFUNCTION("""COMPUTED_VALUE"""),"P-12920-00")</f>
        <v>P-12920-00</v>
      </c>
      <c r="K183" s="3" t="str">
        <f>IFERROR(__xludf.DUMMYFUNCTION("""COMPUTED_VALUE"""),"Approve")</f>
        <v>Approve</v>
      </c>
      <c r="L183" s="3" t="str">
        <f>IFERROR(__xludf.DUMMYFUNCTION("""COMPUTED_VALUE"""),"Normal")</f>
        <v>Normal</v>
      </c>
      <c r="M183" s="3" t="str">
        <f>IFERROR(__xludf.DUMMYFUNCTION("""COMPUTED_VALUE"""),"Non Urgent")</f>
        <v>Non Urgent</v>
      </c>
      <c r="N183" s="3">
        <f>IFERROR(__xludf.DUMMYFUNCTION("""COMPUTED_VALUE"""),45798.48128476852)</f>
        <v>45798.48128</v>
      </c>
    </row>
    <row r="184">
      <c r="A184" s="4">
        <f>IFERROR(__xludf.DUMMYFUNCTION("""COMPUTED_VALUE"""),45790.95895934027)</f>
        <v>45790.95896</v>
      </c>
      <c r="B184" s="3" t="str">
        <f>IFERROR(__xludf.DUMMYFUNCTION("""COMPUTED_VALUE"""),"MRNRO0017")</f>
        <v>MRNRO0017</v>
      </c>
      <c r="C184" s="3" t="str">
        <f>IFERROR(__xludf.DUMMYFUNCTION("""COMPUTED_VALUE"""),"MIn Stok")</f>
        <v>MIn Stok</v>
      </c>
      <c r="D184" s="3" t="str">
        <f>IFERROR(__xludf.DUMMYFUNCTION("""COMPUTED_VALUE"""),"-")</f>
        <v>-</v>
      </c>
      <c r="E184" s="3" t="str">
        <f>IFERROR(__xludf.DUMMYFUNCTION("""COMPUTED_VALUE"""),"AHU")</f>
        <v>AHU</v>
      </c>
      <c r="F184" s="3" t="str">
        <f>IFERROR(__xludf.DUMMYFUNCTION("""COMPUTED_VALUE"""),"LEM ISOLASI, ARMAFLEX, 1 CAN")</f>
        <v>LEM ISOLASI, ARMAFLEX, 1 CAN</v>
      </c>
      <c r="G184" s="3">
        <f>IFERROR(__xludf.DUMMYFUNCTION("""COMPUTED_VALUE"""),3.0)</f>
        <v>3</v>
      </c>
      <c r="H184" s="3" t="str">
        <f>IFERROR(__xludf.DUMMYFUNCTION("""COMPUTED_VALUE"""),"klg")</f>
        <v>klg</v>
      </c>
      <c r="I184" s="3" t="str">
        <f>IFERROR(__xludf.DUMMYFUNCTION("""COMPUTED_VALUE"""),"buat jacketing pipa chiller")</f>
        <v>buat jacketing pipa chiller</v>
      </c>
      <c r="J184" s="3" t="str">
        <f>IFERROR(__xludf.DUMMYFUNCTION("""COMPUTED_VALUE"""),"P-15858-00")</f>
        <v>P-15858-00</v>
      </c>
      <c r="K184" s="3" t="str">
        <f>IFERROR(__xludf.DUMMYFUNCTION("""COMPUTED_VALUE"""),"Approve")</f>
        <v>Approve</v>
      </c>
      <c r="L184" s="3" t="str">
        <f>IFERROR(__xludf.DUMMYFUNCTION("""COMPUTED_VALUE"""),"Normal")</f>
        <v>Normal</v>
      </c>
      <c r="M184" s="3" t="str">
        <f>IFERROR(__xludf.DUMMYFUNCTION("""COMPUTED_VALUE"""),"Non Urgent")</f>
        <v>Non Urgent</v>
      </c>
      <c r="N184" s="3">
        <f>IFERROR(__xludf.DUMMYFUNCTION("""COMPUTED_VALUE"""),45798.48096782407)</f>
        <v>45798.48097</v>
      </c>
    </row>
    <row r="185">
      <c r="A185" s="4">
        <f>IFERROR(__xludf.DUMMYFUNCTION("""COMPUTED_VALUE"""),45790.972168576394)</f>
        <v>45790.97217</v>
      </c>
      <c r="B185" s="3" t="str">
        <f>IFERROR(__xludf.DUMMYFUNCTION("""COMPUTED_VALUE"""),"MRNRO0018")</f>
        <v>MRNRO0018</v>
      </c>
      <c r="C185" s="3" t="str">
        <f>IFERROR(__xludf.DUMMYFUNCTION("""COMPUTED_VALUE"""),"EJO")</f>
        <v>EJO</v>
      </c>
      <c r="D185" s="3" t="str">
        <f>IFERROR(__xludf.DUMMYFUNCTION("""COMPUTED_VALUE"""),"EJO/2025/04/56")</f>
        <v>EJO/2025/04/56</v>
      </c>
      <c r="E185" s="3" t="str">
        <f>IFERROR(__xludf.DUMMYFUNCTION("""COMPUTED_VALUE"""),"WWTP")</f>
        <v>WWTP</v>
      </c>
      <c r="F185" s="3" t="str">
        <f>IFERROR(__xludf.DUMMYFUNCTION("""COMPUTED_VALUE"""),"Ball Valve PVC 1""")</f>
        <v>Ball Valve PVC 1"</v>
      </c>
      <c r="G185" s="3">
        <f>IFERROR(__xludf.DUMMYFUNCTION("""COMPUTED_VALUE"""),2.0)</f>
        <v>2</v>
      </c>
      <c r="H185" s="3" t="str">
        <f>IFERROR(__xludf.DUMMYFUNCTION("""COMPUTED_VALUE"""),"pcs")</f>
        <v>pcs</v>
      </c>
      <c r="I185" s="3" t="str">
        <f>IFERROR(__xludf.DUMMYFUNCTION("""COMPUTED_VALUE"""),"Buat pipa FW")</f>
        <v>Buat pipa FW</v>
      </c>
      <c r="J185" s="3" t="str">
        <f>IFERROR(__xludf.DUMMYFUNCTION("""COMPUTED_VALUE"""),"P-10390-00")</f>
        <v>P-10390-00</v>
      </c>
      <c r="K185" s="3" t="str">
        <f>IFERROR(__xludf.DUMMYFUNCTION("""COMPUTED_VALUE"""),"Approve")</f>
        <v>Approve</v>
      </c>
      <c r="L185" s="3" t="str">
        <f>IFERROR(__xludf.DUMMYFUNCTION("""COMPUTED_VALUE"""),"Normal")</f>
        <v>Normal</v>
      </c>
      <c r="M185" s="3" t="str">
        <f>IFERROR(__xludf.DUMMYFUNCTION("""COMPUTED_VALUE"""),"Non Urgent")</f>
        <v>Non Urgent</v>
      </c>
      <c r="N185" s="3">
        <f>IFERROR(__xludf.DUMMYFUNCTION("""COMPUTED_VALUE"""),45798.480753125)</f>
        <v>45798.48075</v>
      </c>
    </row>
    <row r="186">
      <c r="A186" s="4">
        <f>IFERROR(__xludf.DUMMYFUNCTION("""COMPUTED_VALUE"""),45790.9826665162)</f>
        <v>45790.98267</v>
      </c>
      <c r="B186" s="3" t="str">
        <f>IFERROR(__xludf.DUMMYFUNCTION("""COMPUTED_VALUE"""),"MRNRO0019")</f>
        <v>MRNRO0019</v>
      </c>
      <c r="C186" s="3" t="str">
        <f>IFERROR(__xludf.DUMMYFUNCTION("""COMPUTED_VALUE"""),"MIn Stok")</f>
        <v>MIn Stok</v>
      </c>
      <c r="D186" s="3" t="str">
        <f>IFERROR(__xludf.DUMMYFUNCTION("""COMPUTED_VALUE"""),"-")</f>
        <v>-</v>
      </c>
      <c r="E186" s="3" t="str">
        <f>IFERROR(__xludf.DUMMYFUNCTION("""COMPUTED_VALUE"""),"Flange")</f>
        <v>Flange</v>
      </c>
      <c r="F186" s="3" t="str">
        <f>IFERROR(__xludf.DUMMYFUNCTION("""COMPUTED_VALUE"""),"LIQUID GASKET, THREE BOND")</f>
        <v>LIQUID GASKET, THREE BOND</v>
      </c>
      <c r="G186" s="3">
        <f>IFERROR(__xludf.DUMMYFUNCTION("""COMPUTED_VALUE"""),2.0)</f>
        <v>2</v>
      </c>
      <c r="H186" s="3" t="str">
        <f>IFERROR(__xludf.DUMMYFUNCTION("""COMPUTED_VALUE"""),"pcs")</f>
        <v>pcs</v>
      </c>
      <c r="I186" s="3" t="str">
        <f>IFERROR(__xludf.DUMMYFUNCTION("""COMPUTED_VALUE"""),"Buat flange pipa")</f>
        <v>Buat flange pipa</v>
      </c>
      <c r="J186" s="3" t="str">
        <f>IFERROR(__xludf.DUMMYFUNCTION("""COMPUTED_VALUE"""),"P-15861-00")</f>
        <v>P-15861-00</v>
      </c>
      <c r="K186" s="3" t="str">
        <f>IFERROR(__xludf.DUMMYFUNCTION("""COMPUTED_VALUE"""),"Approve")</f>
        <v>Approve</v>
      </c>
      <c r="L186" s="3" t="str">
        <f>IFERROR(__xludf.DUMMYFUNCTION("""COMPUTED_VALUE"""),"Normal")</f>
        <v>Normal</v>
      </c>
      <c r="M186" s="3" t="str">
        <f>IFERROR(__xludf.DUMMYFUNCTION("""COMPUTED_VALUE"""),"Non Urgent")</f>
        <v>Non Urgent</v>
      </c>
      <c r="N186" s="3">
        <f>IFERROR(__xludf.DUMMYFUNCTION("""COMPUTED_VALUE"""),45798.48055604167)</f>
        <v>45798.48056</v>
      </c>
    </row>
    <row r="187">
      <c r="A187" s="4">
        <f>IFERROR(__xludf.DUMMYFUNCTION("""COMPUTED_VALUE"""),45790.984676249995)</f>
        <v>45790.98468</v>
      </c>
      <c r="B187" s="3" t="str">
        <f>IFERROR(__xludf.DUMMYFUNCTION("""COMPUTED_VALUE"""),"MRNRO0020")</f>
        <v>MRNRO0020</v>
      </c>
      <c r="C187" s="3" t="str">
        <f>IFERROR(__xludf.DUMMYFUNCTION("""COMPUTED_VALUE"""),"MIn Stok")</f>
        <v>MIn Stok</v>
      </c>
      <c r="D187" s="3" t="str">
        <f>IFERROR(__xludf.DUMMYFUNCTION("""COMPUTED_VALUE"""),"-")</f>
        <v>-</v>
      </c>
      <c r="E187" s="3" t="str">
        <f>IFERROR(__xludf.DUMMYFUNCTION("""COMPUTED_VALUE"""),"Dinding")</f>
        <v>Dinding</v>
      </c>
      <c r="F187" s="3" t="str">
        <f>IFERROR(__xludf.DUMMYFUNCTION("""COMPUTED_VALUE"""),"Fisher S 8 (1 box : 100 pcs)")</f>
        <v>Fisher S 8 (1 box : 100 pcs)</v>
      </c>
      <c r="G187" s="3">
        <f>IFERROR(__xludf.DUMMYFUNCTION("""COMPUTED_VALUE"""),2.0)</f>
        <v>2</v>
      </c>
      <c r="H187" s="3" t="str">
        <f>IFERROR(__xludf.DUMMYFUNCTION("""COMPUTED_VALUE"""),"box")</f>
        <v>box</v>
      </c>
      <c r="I187" s="3" t="str">
        <f>IFERROR(__xludf.DUMMYFUNCTION("""COMPUTED_VALUE"""),"Buat gantungan")</f>
        <v>Buat gantungan</v>
      </c>
      <c r="J187" s="3" t="str">
        <f>IFERROR(__xludf.DUMMYFUNCTION("""COMPUTED_VALUE"""),"P-16308-00")</f>
        <v>P-16308-00</v>
      </c>
      <c r="K187" s="3" t="str">
        <f>IFERROR(__xludf.DUMMYFUNCTION("""COMPUTED_VALUE"""),"Approve")</f>
        <v>Approve</v>
      </c>
      <c r="L187" s="3" t="str">
        <f>IFERROR(__xludf.DUMMYFUNCTION("""COMPUTED_VALUE"""),"Normal")</f>
        <v>Normal</v>
      </c>
      <c r="M187" s="3" t="str">
        <f>IFERROR(__xludf.DUMMYFUNCTION("""COMPUTED_VALUE"""),"Non Urgent")</f>
        <v>Non Urgent</v>
      </c>
      <c r="N187" s="3">
        <f>IFERROR(__xludf.DUMMYFUNCTION("""COMPUTED_VALUE"""),45798.49195420139)</f>
        <v>45798.49195</v>
      </c>
    </row>
    <row r="188">
      <c r="A188" s="4">
        <f>IFERROR(__xludf.DUMMYFUNCTION("""COMPUTED_VALUE"""),45791.396829548605)</f>
        <v>45791.39683</v>
      </c>
      <c r="B188" s="3" t="str">
        <f>IFERROR(__xludf.DUMMYFUNCTION("""COMPUTED_VALUE"""),"ROSRO0006")</f>
        <v>ROSRO0006</v>
      </c>
      <c r="C188" s="3" t="str">
        <f>IFERROR(__xludf.DUMMYFUNCTION("""COMPUTED_VALUE"""),"Consumable")</f>
        <v>Consumable</v>
      </c>
      <c r="D188" s="3" t="str">
        <f>IFERROR(__xludf.DUMMYFUNCTION("""COMPUTED_VALUE"""),"-")</f>
        <v>-</v>
      </c>
      <c r="E188" s="3" t="str">
        <f>IFERROR(__xludf.DUMMYFUNCTION("""COMPUTED_VALUE"""),"Washing")</f>
        <v>Washing</v>
      </c>
      <c r="F188" s="3" t="str">
        <f>IFERROR(__xludf.DUMMYFUNCTION("""COMPUTED_VALUE"""),"General - Pneumatic pincher silicone cover sleeve c/n 15927; SMC; MHZJ2-J20S; 1 Pc")</f>
        <v>General - Pneumatic pincher silicone cover sleeve c/n 15927; SMC; MHZJ2-J20S; 1 Pc</v>
      </c>
      <c r="G188" s="3">
        <f>IFERROR(__xludf.DUMMYFUNCTION("""COMPUTED_VALUE"""),20.0)</f>
        <v>20</v>
      </c>
      <c r="H188" s="3" t="str">
        <f>IFERROR(__xludf.DUMMYFUNCTION("""COMPUTED_VALUE"""),"pcs")</f>
        <v>pcs</v>
      </c>
      <c r="I188" s="3" t="str">
        <f>IFERROR(__xludf.DUMMYFUNCTION("""COMPUTED_VALUE"""),"-")</f>
        <v>-</v>
      </c>
      <c r="J188" s="3" t="str">
        <f>IFERROR(__xludf.DUMMYFUNCTION("""COMPUTED_VALUE"""),"O-14618-00")</f>
        <v>O-14618-00</v>
      </c>
      <c r="K188" s="3" t="str">
        <f>IFERROR(__xludf.DUMMYFUNCTION("""COMPUTED_VALUE"""),"Approve")</f>
        <v>Approve</v>
      </c>
      <c r="L188" s="3" t="str">
        <f>IFERROR(__xludf.DUMMYFUNCTION("""COMPUTED_VALUE"""),"Normal")</f>
        <v>Normal</v>
      </c>
      <c r="M188" s="3" t="str">
        <f>IFERROR(__xludf.DUMMYFUNCTION("""COMPUTED_VALUE"""),"Non Urgent")</f>
        <v>Non Urgent</v>
      </c>
      <c r="N188" s="3">
        <f>IFERROR(__xludf.DUMMYFUNCTION("""COMPUTED_VALUE"""),45812.57078181713)</f>
        <v>45812.57078</v>
      </c>
    </row>
    <row r="189">
      <c r="A189" s="4">
        <f>IFERROR(__xludf.DUMMYFUNCTION("""COMPUTED_VALUE"""),45798.48967328704)</f>
        <v>45798.48967</v>
      </c>
      <c r="B189" s="3" t="str">
        <f>IFERROR(__xludf.DUMMYFUNCTION("""COMPUTED_VALUE"""),"RIARO0036")</f>
        <v>RIARO0036</v>
      </c>
      <c r="C189" s="3" t="str">
        <f>IFERROR(__xludf.DUMMYFUNCTION("""COMPUTED_VALUE"""),"Consumable")</f>
        <v>Consumable</v>
      </c>
      <c r="D189" s="3" t="str">
        <f>IFERROR(__xludf.DUMMYFUNCTION("""COMPUTED_VALUE"""),"-")</f>
        <v>-</v>
      </c>
      <c r="E189" s="3" t="str">
        <f>IFERROR(__xludf.DUMMYFUNCTION("""COMPUTED_VALUE"""),"Alarm System")</f>
        <v>Alarm System</v>
      </c>
      <c r="F189" s="3" t="str">
        <f>IFERROR(__xludf.DUMMYFUNCTION("""COMPUTED_VALUE"""),"Temperature Controller - TK4S- 24RN 100-240 VAC AUTONICS; ; ;")</f>
        <v>Temperature Controller - TK4S- 24RN 100-240 VAC AUTONICS; ; ;</v>
      </c>
      <c r="G189" s="3">
        <f>IFERROR(__xludf.DUMMYFUNCTION("""COMPUTED_VALUE"""),3.0)</f>
        <v>3</v>
      </c>
      <c r="H189" s="3" t="str">
        <f>IFERROR(__xludf.DUMMYFUNCTION("""COMPUTED_VALUE"""),"Pcs")</f>
        <v>Pcs</v>
      </c>
      <c r="I189" s="3" t="str">
        <f>IFERROR(__xludf.DUMMYFUNCTION("""COMPUTED_VALUE"""),"Buat alarm system rak wh, bulk 2, qc storage")</f>
        <v>Buat alarm system rak wh, bulk 2, qc storage</v>
      </c>
      <c r="J189" s="3" t="str">
        <f>IFERROR(__xludf.DUMMYFUNCTION("""COMPUTED_VALUE"""),"O-52859-00")</f>
        <v>O-52859-00</v>
      </c>
      <c r="K189" s="3" t="str">
        <f>IFERROR(__xludf.DUMMYFUNCTION("""COMPUTED_VALUE"""),"Approve")</f>
        <v>Approve</v>
      </c>
      <c r="L189" s="3" t="str">
        <f>IFERROR(__xludf.DUMMYFUNCTION("""COMPUTED_VALUE"""),"Normal")</f>
        <v>Normal</v>
      </c>
      <c r="M189" s="3" t="str">
        <f>IFERROR(__xludf.DUMMYFUNCTION("""COMPUTED_VALUE"""),"Non Urgent")</f>
        <v>Non Urgent</v>
      </c>
      <c r="N189" s="3">
        <f>IFERROR(__xludf.DUMMYFUNCTION("""COMPUTED_VALUE"""),45798.49798318287)</f>
        <v>45798.49798</v>
      </c>
    </row>
    <row r="190">
      <c r="A190" s="4">
        <f>IFERROR(__xludf.DUMMYFUNCTION("""COMPUTED_VALUE"""),45800.69458466435)</f>
        <v>45800.69458</v>
      </c>
      <c r="B190" s="3" t="str">
        <f>IFERROR(__xludf.DUMMYFUNCTION("""COMPUTED_VALUE"""),"RIARO0037")</f>
        <v>RIARO0037</v>
      </c>
      <c r="C190" s="3" t="str">
        <f>IFERROR(__xludf.DUMMYFUNCTION("""COMPUTED_VALUE"""),"MIn Stok")</f>
        <v>MIn Stok</v>
      </c>
      <c r="D190" s="3" t="str">
        <f>IFERROR(__xludf.DUMMYFUNCTION("""COMPUTED_VALUE"""),"-")</f>
        <v>-</v>
      </c>
      <c r="E190" s="3" t="str">
        <f>IFERROR(__xludf.DUMMYFUNCTION("""COMPUTED_VALUE"""),"Alarm System")</f>
        <v>Alarm System</v>
      </c>
      <c r="F190" s="3" t="str">
        <f>IFERROR(__xludf.DUMMYFUNCTION("""COMPUTED_VALUE"""),"Timer + Socket Omron 43BA-A8 220 VAC; ; ;")</f>
        <v>Timer + Socket Omron 43BA-A8 220 VAC; ; ;</v>
      </c>
      <c r="G190" s="3">
        <f>IFERROR(__xludf.DUMMYFUNCTION("""COMPUTED_VALUE"""),5.0)</f>
        <v>5</v>
      </c>
      <c r="H190" s="3" t="str">
        <f>IFERROR(__xludf.DUMMYFUNCTION("""COMPUTED_VALUE"""),"Set")</f>
        <v>Set</v>
      </c>
      <c r="I190" s="3" t="str">
        <f>IFERROR(__xludf.DUMMYFUNCTION("""COMPUTED_VALUE"""),"Ini konsumable ya, sama ini buat wicc wip")</f>
        <v>Ini konsumable ya, sama ini buat wicc wip</v>
      </c>
      <c r="J190" s="3" t="str">
        <f>IFERROR(__xludf.DUMMYFUNCTION("""COMPUTED_VALUE"""),"P-51740-00")</f>
        <v>P-51740-00</v>
      </c>
      <c r="K190" s="3" t="str">
        <f>IFERROR(__xludf.DUMMYFUNCTION("""COMPUTED_VALUE"""),"Approve")</f>
        <v>Approve</v>
      </c>
      <c r="L190" s="3" t="str">
        <f>IFERROR(__xludf.DUMMYFUNCTION("""COMPUTED_VALUE"""),"Normal")</f>
        <v>Normal</v>
      </c>
      <c r="M190" s="3" t="str">
        <f>IFERROR(__xludf.DUMMYFUNCTION("""COMPUTED_VALUE"""),"Non Urgent")</f>
        <v>Non Urgent</v>
      </c>
      <c r="N190" s="3">
        <f>IFERROR(__xludf.DUMMYFUNCTION("""COMPUTED_VALUE"""),45803.35712858796)</f>
        <v>45803.35713</v>
      </c>
    </row>
    <row r="191">
      <c r="A191" s="4">
        <f>IFERROR(__xludf.DUMMYFUNCTION("""COMPUTED_VALUE"""),45802.55794943286)</f>
        <v>45802.55795</v>
      </c>
      <c r="B191" s="3" t="str">
        <f>IFERROR(__xludf.DUMMYFUNCTION("""COMPUTED_VALUE"""),"MFHRO0084")</f>
        <v>MFHRO0084</v>
      </c>
      <c r="C191" s="3" t="str">
        <f>IFERROR(__xludf.DUMMYFUNCTION("""COMPUTED_VALUE"""),"Consumable")</f>
        <v>Consumable</v>
      </c>
      <c r="D191" s="3" t="str">
        <f>IFERROR(__xludf.DUMMYFUNCTION("""COMPUTED_VALUE"""),"-")</f>
        <v>-</v>
      </c>
      <c r="E191" s="3" t="str">
        <f>IFERROR(__xludf.DUMMYFUNCTION("""COMPUTED_VALUE"""),"Tools")</f>
        <v>Tools</v>
      </c>
      <c r="F191" s="3" t="str">
        <f>IFERROR(__xludf.DUMMYFUNCTION("""COMPUTED_VALUE"""),"Driver / Bor Cordless Impact Drill Baterai 18V; Bosch; GSB183-LI; per set (Bor dan 1 x baterai GBA 18V 2.0Ah)")</f>
        <v>Driver / Bor Cordless Impact Drill Baterai 18V; Bosch; GSB183-LI; per set (Bor dan 1 x baterai GBA 18V 2.0Ah)</v>
      </c>
      <c r="G191" s="3">
        <f>IFERROR(__xludf.DUMMYFUNCTION("""COMPUTED_VALUE"""),1.0)</f>
        <v>1</v>
      </c>
      <c r="H191" s="3" t="str">
        <f>IFERROR(__xludf.DUMMYFUNCTION("""COMPUTED_VALUE"""),"Unt")</f>
        <v>Unt</v>
      </c>
      <c r="I191" s="3" t="str">
        <f>IFERROR(__xludf.DUMMYFUNCTION("""COMPUTED_VALUE"""),"Untuk Tools Engineering 121702528 - APPROVED")</f>
        <v>Untuk Tools Engineering 121702528 - APPROVED</v>
      </c>
      <c r="J191" s="3" t="str">
        <f>IFERROR(__xludf.DUMMYFUNCTION("""COMPUTED_VALUE"""),"Q-70156-00")</f>
        <v>Q-70156-00</v>
      </c>
      <c r="K191" s="3" t="str">
        <f>IFERROR(__xludf.DUMMYFUNCTION("""COMPUTED_VALUE"""),"Approve")</f>
        <v>Approve</v>
      </c>
      <c r="L191" s="3" t="str">
        <f>IFERROR(__xludf.DUMMYFUNCTION("""COMPUTED_VALUE"""),"Normal")</f>
        <v>Normal</v>
      </c>
      <c r="M191" s="3" t="str">
        <f>IFERROR(__xludf.DUMMYFUNCTION("""COMPUTED_VALUE"""),"Non Urgent")</f>
        <v>Non Urgent</v>
      </c>
      <c r="N191" s="3">
        <f>IFERROR(__xludf.DUMMYFUNCTION("""COMPUTED_VALUE"""),45802.66978880787)</f>
        <v>45802.66979</v>
      </c>
    </row>
    <row r="192">
      <c r="A192" s="4">
        <f>IFERROR(__xludf.DUMMYFUNCTION("""COMPUTED_VALUE"""),45802.56100476852)</f>
        <v>45802.561</v>
      </c>
      <c r="B192" s="3" t="str">
        <f>IFERROR(__xludf.DUMMYFUNCTION("""COMPUTED_VALUE"""),"MFHRO0085")</f>
        <v>MFHRO0085</v>
      </c>
      <c r="C192" s="3" t="str">
        <f>IFERROR(__xludf.DUMMYFUNCTION("""COMPUTED_VALUE"""),"Consumable")</f>
        <v>Consumable</v>
      </c>
      <c r="D192" s="3" t="str">
        <f>IFERROR(__xludf.DUMMYFUNCTION("""COMPUTED_VALUE"""),"-")</f>
        <v>-</v>
      </c>
      <c r="E192" s="3" t="str">
        <f>IFERROR(__xludf.DUMMYFUNCTION("""COMPUTED_VALUE"""),"General")</f>
        <v>General</v>
      </c>
      <c r="F192" s="3" t="str">
        <f>IFERROR(__xludf.DUMMYFUNCTION("""COMPUTED_VALUE"""),"Silicone Sealant High Temp Red; ; ;")</f>
        <v>Silicone Sealant High Temp Red; ; ;</v>
      </c>
      <c r="G192" s="3">
        <f>IFERROR(__xludf.DUMMYFUNCTION("""COMPUTED_VALUE"""),5.0)</f>
        <v>5</v>
      </c>
      <c r="H192" s="3" t="str">
        <f>IFERROR(__xludf.DUMMYFUNCTION("""COMPUTED_VALUE"""),"Pcs")</f>
        <v>Pcs</v>
      </c>
      <c r="I192" s="3" t="str">
        <f>IFERROR(__xludf.DUMMYFUNCTION("""COMPUTED_VALUE"""),"Untuk Consumable ENG 121702560 - APPROVED")</f>
        <v>Untuk Consumable ENG 121702560 - APPROVED</v>
      </c>
      <c r="J192" s="3" t="str">
        <f>IFERROR(__xludf.DUMMYFUNCTION("""COMPUTED_VALUE"""),"P-13383-00")</f>
        <v>P-13383-00</v>
      </c>
      <c r="K192" s="3" t="str">
        <f>IFERROR(__xludf.DUMMYFUNCTION("""COMPUTED_VALUE"""),"Approve")</f>
        <v>Approve</v>
      </c>
      <c r="L192" s="3" t="str">
        <f>IFERROR(__xludf.DUMMYFUNCTION("""COMPUTED_VALUE"""),"Normal")</f>
        <v>Normal</v>
      </c>
      <c r="M192" s="3" t="str">
        <f>IFERROR(__xludf.DUMMYFUNCTION("""COMPUTED_VALUE"""),"Non Urgent")</f>
        <v>Non Urgent</v>
      </c>
      <c r="N192" s="3">
        <f>IFERROR(__xludf.DUMMYFUNCTION("""COMPUTED_VALUE"""),45802.66992072917)</f>
        <v>45802.66992</v>
      </c>
    </row>
    <row r="193">
      <c r="A193" s="4">
        <f>IFERROR(__xludf.DUMMYFUNCTION("""COMPUTED_VALUE"""),45802.56372157407)</f>
        <v>45802.56372</v>
      </c>
      <c r="B193" s="3" t="str">
        <f>IFERROR(__xludf.DUMMYFUNCTION("""COMPUTED_VALUE"""),"MFHRO0086")</f>
        <v>MFHRO0086</v>
      </c>
      <c r="C193" s="3" t="str">
        <f>IFERROR(__xludf.DUMMYFUNCTION("""COMPUTED_VALUE"""),"Consumable")</f>
        <v>Consumable</v>
      </c>
      <c r="D193" s="3" t="str">
        <f>IFERROR(__xludf.DUMMYFUNCTION("""COMPUTED_VALUE"""),"-")</f>
        <v>-</v>
      </c>
      <c r="E193" s="3" t="str">
        <f>IFERROR(__xludf.DUMMYFUNCTION("""COMPUTED_VALUE"""),"General")</f>
        <v>General</v>
      </c>
      <c r="F193" s="3" t="str">
        <f>IFERROR(__xludf.DUMMYFUNCTION("""COMPUTED_VALUE"""),"Cleaner - Contact Cleaner CRC CO 2016; No Brand; -; 500ml/Botol")</f>
        <v>Cleaner - Contact Cleaner CRC CO 2016; No Brand; -; 500ml/Botol</v>
      </c>
      <c r="G193" s="3">
        <f>IFERROR(__xludf.DUMMYFUNCTION("""COMPUTED_VALUE"""),3.0)</f>
        <v>3</v>
      </c>
      <c r="H193" s="3" t="str">
        <f>IFERROR(__xludf.DUMMYFUNCTION("""COMPUTED_VALUE"""),"pcs")</f>
        <v>pcs</v>
      </c>
      <c r="I193" s="3" t="str">
        <f>IFERROR(__xludf.DUMMYFUNCTION("""COMPUTED_VALUE"""),"Untuk Consumable ENG 121702560 - APPROVED")</f>
        <v>Untuk Consumable ENG 121702560 - APPROVED</v>
      </c>
      <c r="J193" s="3" t="str">
        <f>IFERROR(__xludf.DUMMYFUNCTION("""COMPUTED_VALUE"""),"P-10726-00")</f>
        <v>P-10726-00</v>
      </c>
      <c r="K193" s="3" t="str">
        <f>IFERROR(__xludf.DUMMYFUNCTION("""COMPUTED_VALUE"""),"Approve")</f>
        <v>Approve</v>
      </c>
      <c r="L193" s="3" t="str">
        <f>IFERROR(__xludf.DUMMYFUNCTION("""COMPUTED_VALUE"""),"Normal")</f>
        <v>Normal</v>
      </c>
      <c r="M193" s="3" t="str">
        <f>IFERROR(__xludf.DUMMYFUNCTION("""COMPUTED_VALUE"""),"Non Urgent")</f>
        <v>Non Urgent</v>
      </c>
      <c r="N193" s="3">
        <f>IFERROR(__xludf.DUMMYFUNCTION("""COMPUTED_VALUE"""),45802.67013875)</f>
        <v>45802.67014</v>
      </c>
    </row>
    <row r="194">
      <c r="A194" s="4">
        <f>IFERROR(__xludf.DUMMYFUNCTION("""COMPUTED_VALUE"""),45802.57701783565)</f>
        <v>45802.57702</v>
      </c>
      <c r="B194" s="3" t="str">
        <f>IFERROR(__xludf.DUMMYFUNCTION("""COMPUTED_VALUE"""),"MFHRO0087")</f>
        <v>MFHRO0087</v>
      </c>
      <c r="C194" s="3" t="str">
        <f>IFERROR(__xludf.DUMMYFUNCTION("""COMPUTED_VALUE"""),"MIn Stok")</f>
        <v>MIn Stok</v>
      </c>
      <c r="D194" s="3" t="str">
        <f>IFERROR(__xludf.DUMMYFUNCTION("""COMPUTED_VALUE"""),"-")</f>
        <v>-</v>
      </c>
      <c r="E194" s="3" t="str">
        <f>IFERROR(__xludf.DUMMYFUNCTION("""COMPUTED_VALUE"""),"General")</f>
        <v>General</v>
      </c>
      <c r="F194" s="3" t="str">
        <f>IFERROR(__xludf.DUMMYFUNCTION("""COMPUTED_VALUE"""),"General - Seal Ferrule Teflon 1 1/2inch; No Brand; -; 1 pcs")</f>
        <v>General - Seal Ferrule Teflon 1 1/2inch; No Brand; -; 1 pcs</v>
      </c>
      <c r="G194" s="3">
        <f>IFERROR(__xludf.DUMMYFUNCTION("""COMPUTED_VALUE"""),5.0)</f>
        <v>5</v>
      </c>
      <c r="H194" s="3" t="str">
        <f>IFERROR(__xludf.DUMMYFUNCTION("""COMPUTED_VALUE"""),"Pcs")</f>
        <v>Pcs</v>
      </c>
      <c r="I194" s="3" t="str">
        <f>IFERROR(__xludf.DUMMYFUNCTION("""COMPUTED_VALUE"""),"Min Stok Gasket Teflon 1,5 inch 121702566 - APPROVED")</f>
        <v>Min Stok Gasket Teflon 1,5 inch 121702566 - APPROVED</v>
      </c>
      <c r="J194" s="3" t="str">
        <f>IFERROR(__xludf.DUMMYFUNCTION("""COMPUTED_VALUE"""),"P-11404-00")</f>
        <v>P-11404-00</v>
      </c>
      <c r="K194" s="3" t="str">
        <f>IFERROR(__xludf.DUMMYFUNCTION("""COMPUTED_VALUE"""),"Approve")</f>
        <v>Approve</v>
      </c>
      <c r="L194" s="3" t="str">
        <f>IFERROR(__xludf.DUMMYFUNCTION("""COMPUTED_VALUE"""),"Normal")</f>
        <v>Normal</v>
      </c>
      <c r="M194" s="3" t="str">
        <f>IFERROR(__xludf.DUMMYFUNCTION("""COMPUTED_VALUE"""),"Non Urgent")</f>
        <v>Non Urgent</v>
      </c>
      <c r="N194" s="3">
        <f>IFERROR(__xludf.DUMMYFUNCTION("""COMPUTED_VALUE"""),45802.670303287035)</f>
        <v>45802.6703</v>
      </c>
    </row>
    <row r="195">
      <c r="A195" s="4">
        <f>IFERROR(__xludf.DUMMYFUNCTION("""COMPUTED_VALUE"""),45802.57812733796)</f>
        <v>45802.57813</v>
      </c>
      <c r="B195" s="3" t="str">
        <f>IFERROR(__xludf.DUMMYFUNCTION("""COMPUTED_VALUE"""),"MFHRO0088")</f>
        <v>MFHRO0088</v>
      </c>
      <c r="C195" s="3" t="str">
        <f>IFERROR(__xludf.DUMMYFUNCTION("""COMPUTED_VALUE"""),"MIn Stok")</f>
        <v>MIn Stok</v>
      </c>
      <c r="D195" s="3" t="str">
        <f>IFERROR(__xludf.DUMMYFUNCTION("""COMPUTED_VALUE"""),"-")</f>
        <v>-</v>
      </c>
      <c r="E195" s="3" t="str">
        <f>IFERROR(__xludf.DUMMYFUNCTION("""COMPUTED_VALUE"""),"General")</f>
        <v>General</v>
      </c>
      <c r="F195" s="3" t="str">
        <f>IFERROR(__xludf.DUMMYFUNCTION("""COMPUTED_VALUE"""),"General - Seal Ferrule Teflon 1inch; No Brand; -; 1 pcs")</f>
        <v>General - Seal Ferrule Teflon 1inch; No Brand; -; 1 pcs</v>
      </c>
      <c r="G195" s="3">
        <f>IFERROR(__xludf.DUMMYFUNCTION("""COMPUTED_VALUE"""),5.0)</f>
        <v>5</v>
      </c>
      <c r="H195" s="3" t="str">
        <f>IFERROR(__xludf.DUMMYFUNCTION("""COMPUTED_VALUE"""),"Pcs")</f>
        <v>Pcs</v>
      </c>
      <c r="I195" s="3" t="str">
        <f>IFERROR(__xludf.DUMMYFUNCTION("""COMPUTED_VALUE"""),"Min Stok Gasket Teflon 1 inch 121702566 - APPROVED")</f>
        <v>Min Stok Gasket Teflon 1 inch 121702566 - APPROVED</v>
      </c>
      <c r="J195" s="3" t="str">
        <f>IFERROR(__xludf.DUMMYFUNCTION("""COMPUTED_VALUE"""),"P-11405-00")</f>
        <v>P-11405-00</v>
      </c>
      <c r="K195" s="3" t="str">
        <f>IFERROR(__xludf.DUMMYFUNCTION("""COMPUTED_VALUE"""),"Approve")</f>
        <v>Approve</v>
      </c>
      <c r="L195" s="3" t="str">
        <f>IFERROR(__xludf.DUMMYFUNCTION("""COMPUTED_VALUE"""),"Normal")</f>
        <v>Normal</v>
      </c>
      <c r="M195" s="3" t="str">
        <f>IFERROR(__xludf.DUMMYFUNCTION("""COMPUTED_VALUE"""),"Non Urgent")</f>
        <v>Non Urgent</v>
      </c>
      <c r="N195" s="3">
        <f>IFERROR(__xludf.DUMMYFUNCTION("""COMPUTED_VALUE"""),45802.67044800926)</f>
        <v>45802.67045</v>
      </c>
    </row>
    <row r="196">
      <c r="A196" s="4">
        <f>IFERROR(__xludf.DUMMYFUNCTION("""COMPUTED_VALUE"""),45802.57867606482)</f>
        <v>45802.57868</v>
      </c>
      <c r="B196" s="3" t="str">
        <f>IFERROR(__xludf.DUMMYFUNCTION("""COMPUTED_VALUE"""),"MFHRO0089")</f>
        <v>MFHRO0089</v>
      </c>
      <c r="C196" s="3" t="str">
        <f>IFERROR(__xludf.DUMMYFUNCTION("""COMPUTED_VALUE"""),"MIn Stok")</f>
        <v>MIn Stok</v>
      </c>
      <c r="D196" s="3" t="str">
        <f>IFERROR(__xludf.DUMMYFUNCTION("""COMPUTED_VALUE"""),"-")</f>
        <v>-</v>
      </c>
      <c r="E196" s="3" t="str">
        <f>IFERROR(__xludf.DUMMYFUNCTION("""COMPUTED_VALUE"""),"General")</f>
        <v>General</v>
      </c>
      <c r="F196" s="3" t="str">
        <f>IFERROR(__xludf.DUMMYFUNCTION("""COMPUTED_VALUE"""),"General - Seal Ferrule Teflon 3/4inch; No Brand; -; 1 pcs")</f>
        <v>General - Seal Ferrule Teflon 3/4inch; No Brand; -; 1 pcs</v>
      </c>
      <c r="G196" s="3">
        <f>IFERROR(__xludf.DUMMYFUNCTION("""COMPUTED_VALUE"""),10.0)</f>
        <v>10</v>
      </c>
      <c r="H196" s="3" t="str">
        <f>IFERROR(__xludf.DUMMYFUNCTION("""COMPUTED_VALUE"""),"Pcs")</f>
        <v>Pcs</v>
      </c>
      <c r="I196" s="3" t="str">
        <f>IFERROR(__xludf.DUMMYFUNCTION("""COMPUTED_VALUE"""),"Min Stok Gasket Teflon 3/4 inch 121702566 - APPROVED")</f>
        <v>Min Stok Gasket Teflon 3/4 inch 121702566 - APPROVED</v>
      </c>
      <c r="J196" s="3" t="str">
        <f>IFERROR(__xludf.DUMMYFUNCTION("""COMPUTED_VALUE"""),"P-14980-00")</f>
        <v>P-14980-00</v>
      </c>
      <c r="K196" s="3" t="str">
        <f>IFERROR(__xludf.DUMMYFUNCTION("""COMPUTED_VALUE"""),"Approve")</f>
        <v>Approve</v>
      </c>
      <c r="L196" s="3" t="str">
        <f>IFERROR(__xludf.DUMMYFUNCTION("""COMPUTED_VALUE"""),"Normal")</f>
        <v>Normal</v>
      </c>
      <c r="M196" s="3" t="str">
        <f>IFERROR(__xludf.DUMMYFUNCTION("""COMPUTED_VALUE"""),"Non Urgent")</f>
        <v>Non Urgent</v>
      </c>
      <c r="N196" s="3">
        <f>IFERROR(__xludf.DUMMYFUNCTION("""COMPUTED_VALUE"""),45802.67058664352)</f>
        <v>45802.67059</v>
      </c>
    </row>
    <row r="197">
      <c r="A197" s="4">
        <f>IFERROR(__xludf.DUMMYFUNCTION("""COMPUTED_VALUE"""),45802.57990893518)</f>
        <v>45802.57991</v>
      </c>
      <c r="B197" s="3" t="str">
        <f>IFERROR(__xludf.DUMMYFUNCTION("""COMPUTED_VALUE"""),"MFHRO0090")</f>
        <v>MFHRO0090</v>
      </c>
      <c r="C197" s="3" t="str">
        <f>IFERROR(__xludf.DUMMYFUNCTION("""COMPUTED_VALUE"""),"MIn Stok")</f>
        <v>MIn Stok</v>
      </c>
      <c r="D197" s="3" t="str">
        <f>IFERROR(__xludf.DUMMYFUNCTION("""COMPUTED_VALUE"""),"-")</f>
        <v>-</v>
      </c>
      <c r="E197" s="3" t="str">
        <f>IFERROR(__xludf.DUMMYFUNCTION("""COMPUTED_VALUE"""),"Helium Leak Detector")</f>
        <v>Helium Leak Detector</v>
      </c>
      <c r="F197" s="3" t="str">
        <f>IFERROR(__xludf.DUMMYFUNCTION("""COMPUTED_VALUE"""),"General - Air Gun 10 Inch; Tekiro; -; 1 pc")</f>
        <v>General - Air Gun 10 Inch; Tekiro; -; 1 pc</v>
      </c>
      <c r="G197" s="3">
        <f>IFERROR(__xludf.DUMMYFUNCTION("""COMPUTED_VALUE"""),1.0)</f>
        <v>1</v>
      </c>
      <c r="H197" s="3" t="str">
        <f>IFERROR(__xludf.DUMMYFUNCTION("""COMPUTED_VALUE"""),"Pcs")</f>
        <v>Pcs</v>
      </c>
      <c r="I197" s="3" t="str">
        <f>IFERROR(__xludf.DUMMYFUNCTION("""COMPUTED_VALUE"""),"Aksesoris Helium Leak Tester 121702637 - APPROVED")</f>
        <v>Aksesoris Helium Leak Tester 121702637 - APPROVED</v>
      </c>
      <c r="J197" s="3" t="str">
        <f>IFERROR(__xludf.DUMMYFUNCTION("""COMPUTED_VALUE"""),"P-19623-00")</f>
        <v>P-19623-00</v>
      </c>
      <c r="K197" s="3" t="str">
        <f>IFERROR(__xludf.DUMMYFUNCTION("""COMPUTED_VALUE"""),"Approve")</f>
        <v>Approve</v>
      </c>
      <c r="L197" s="3" t="str">
        <f>IFERROR(__xludf.DUMMYFUNCTION("""COMPUTED_VALUE"""),"Normal")</f>
        <v>Normal</v>
      </c>
      <c r="M197" s="3" t="str">
        <f>IFERROR(__xludf.DUMMYFUNCTION("""COMPUTED_VALUE"""),"Non Urgent")</f>
        <v>Non Urgent</v>
      </c>
      <c r="N197" s="3">
        <f>IFERROR(__xludf.DUMMYFUNCTION("""COMPUTED_VALUE"""),45802.67072167824)</f>
        <v>45802.67072</v>
      </c>
    </row>
    <row r="198">
      <c r="A198" s="4">
        <f>IFERROR(__xludf.DUMMYFUNCTION("""COMPUTED_VALUE"""),45802.58307324074)</f>
        <v>45802.58307</v>
      </c>
      <c r="B198" s="3" t="str">
        <f>IFERROR(__xludf.DUMMYFUNCTION("""COMPUTED_VALUE"""),"MFHRO0091")</f>
        <v>MFHRO0091</v>
      </c>
      <c r="C198" s="3" t="str">
        <f>IFERROR(__xludf.DUMMYFUNCTION("""COMPUTED_VALUE"""),"MIn Stok")</f>
        <v>MIn Stok</v>
      </c>
      <c r="D198" s="3" t="str">
        <f>IFERROR(__xludf.DUMMYFUNCTION("""COMPUTED_VALUE"""),"-")</f>
        <v>-</v>
      </c>
      <c r="E198" s="3" t="str">
        <f>IFERROR(__xludf.DUMMYFUNCTION("""COMPUTED_VALUE"""),"Helium Leak Detector")</f>
        <v>Helium Leak Detector</v>
      </c>
      <c r="F198" s="3" t="str">
        <f>IFERROR(__xludf.DUMMYFUNCTION("""COMPUTED_VALUE"""),"General - Recoil Spiral Hose dia. 5 x 8mm x 12 meter; No Brand; -; 1 pc")</f>
        <v>General - Recoil Spiral Hose dia. 5 x 8mm x 12 meter; No Brand; -; 1 pc</v>
      </c>
      <c r="G198" s="3">
        <f>IFERROR(__xludf.DUMMYFUNCTION("""COMPUTED_VALUE"""),1.0)</f>
        <v>1</v>
      </c>
      <c r="H198" s="3" t="str">
        <f>IFERROR(__xludf.DUMMYFUNCTION("""COMPUTED_VALUE"""),"Pcs")</f>
        <v>Pcs</v>
      </c>
      <c r="I198" s="3" t="str">
        <f>IFERROR(__xludf.DUMMYFUNCTION("""COMPUTED_VALUE"""),"Aksesoris Helium Leak Tester 121702637 - APPROVED")</f>
        <v>Aksesoris Helium Leak Tester 121702637 - APPROVED</v>
      </c>
      <c r="J198" s="3" t="str">
        <f>IFERROR(__xludf.DUMMYFUNCTION("""COMPUTED_VALUE"""),"P-19637-00")</f>
        <v>P-19637-00</v>
      </c>
      <c r="K198" s="3" t="str">
        <f>IFERROR(__xludf.DUMMYFUNCTION("""COMPUTED_VALUE"""),"Approve")</f>
        <v>Approve</v>
      </c>
      <c r="L198" s="3" t="str">
        <f>IFERROR(__xludf.DUMMYFUNCTION("""COMPUTED_VALUE"""),"Normal")</f>
        <v>Normal</v>
      </c>
      <c r="M198" s="3" t="str">
        <f>IFERROR(__xludf.DUMMYFUNCTION("""COMPUTED_VALUE"""),"Non Urgent")</f>
        <v>Non Urgent</v>
      </c>
      <c r="N198" s="3">
        <f>IFERROR(__xludf.DUMMYFUNCTION("""COMPUTED_VALUE"""),45802.67084739583)</f>
        <v>45802.67085</v>
      </c>
    </row>
    <row r="199">
      <c r="A199" s="4">
        <f>IFERROR(__xludf.DUMMYFUNCTION("""COMPUTED_VALUE"""),45802.59393755787)</f>
        <v>45802.59394</v>
      </c>
      <c r="B199" s="3" t="str">
        <f>IFERROR(__xludf.DUMMYFUNCTION("""COMPUTED_VALUE"""),"MFHRO0092")</f>
        <v>MFHRO0092</v>
      </c>
      <c r="C199" s="3" t="str">
        <f>IFERROR(__xludf.DUMMYFUNCTION("""COMPUTED_VALUE"""),"MIn Stok")</f>
        <v>MIn Stok</v>
      </c>
      <c r="D199" s="3" t="str">
        <f>IFERROR(__xludf.DUMMYFUNCTION("""COMPUTED_VALUE"""),"-")</f>
        <v>-</v>
      </c>
      <c r="E199" s="3" t="str">
        <f>IFERROR(__xludf.DUMMYFUNCTION("""COMPUTED_VALUE"""),"Sparepart")</f>
        <v>Sparepart</v>
      </c>
      <c r="F199" s="3" t="str">
        <f>IFERROR(__xludf.DUMMYFUNCTION("""COMPUTED_VALUE"""),"Racking")</f>
        <v>Racking</v>
      </c>
      <c r="G199" s="3">
        <f>IFERROR(__xludf.DUMMYFUNCTION("""COMPUTED_VALUE"""),1.0)</f>
        <v>1</v>
      </c>
      <c r="H199" s="3" t="str">
        <f>IFERROR(__xludf.DUMMYFUNCTION("""COMPUTED_VALUE"""),"Set")</f>
        <v>Set</v>
      </c>
      <c r="I199" s="3" t="str">
        <f>IFERROR(__xludf.DUMMYFUNCTION("""COMPUTED_VALUE"""),"Untuk rak Sparepart 121702692 - APPROVED")</f>
        <v>Untuk rak Sparepart 121702692 - APPROVED</v>
      </c>
      <c r="J199" s="3" t="str">
        <f>IFERROR(__xludf.DUMMYFUNCTION("""COMPUTED_VALUE"""),"R-22006-00")</f>
        <v>R-22006-00</v>
      </c>
      <c r="K199" s="3" t="str">
        <f>IFERROR(__xludf.DUMMYFUNCTION("""COMPUTED_VALUE"""),"Approve")</f>
        <v>Approve</v>
      </c>
      <c r="L199" s="3" t="str">
        <f>IFERROR(__xludf.DUMMYFUNCTION("""COMPUTED_VALUE"""),"Normal")</f>
        <v>Normal</v>
      </c>
      <c r="M199" s="3" t="str">
        <f>IFERROR(__xludf.DUMMYFUNCTION("""COMPUTED_VALUE"""),"Non Urgent")</f>
        <v>Non Urgent</v>
      </c>
      <c r="N199" s="3">
        <f>IFERROR(__xludf.DUMMYFUNCTION("""COMPUTED_VALUE"""),45802.670992326384)</f>
        <v>45802.67099</v>
      </c>
    </row>
    <row r="200">
      <c r="A200" s="4">
        <f>IFERROR(__xludf.DUMMYFUNCTION("""COMPUTED_VALUE"""),45802.60101275463)</f>
        <v>45802.60101</v>
      </c>
      <c r="B200" s="3" t="str">
        <f>IFERROR(__xludf.DUMMYFUNCTION("""COMPUTED_VALUE"""),"MFHRO0093")</f>
        <v>MFHRO0093</v>
      </c>
      <c r="C200" s="3" t="str">
        <f>IFERROR(__xludf.DUMMYFUNCTION("""COMPUTED_VALUE"""),"MIn Stok")</f>
        <v>MIn Stok</v>
      </c>
      <c r="D200" s="3" t="str">
        <f>IFERROR(__xludf.DUMMYFUNCTION("""COMPUTED_VALUE"""),"-")</f>
        <v>-</v>
      </c>
      <c r="E200" s="3" t="str">
        <f>IFERROR(__xludf.DUMMYFUNCTION("""COMPUTED_VALUE"""),"General")</f>
        <v>General</v>
      </c>
      <c r="F200" s="3" t="str">
        <f>IFERROR(__xludf.DUMMYFUNCTION("""COMPUTED_VALUE"""),"General - Power Supply SPA-050-24VDC; Autonics; -; 1 pc")</f>
        <v>General - Power Supply SPA-050-24VDC; Autonics; -; 1 pc</v>
      </c>
      <c r="G200" s="3">
        <f>IFERROR(__xludf.DUMMYFUNCTION("""COMPUTED_VALUE"""),3.0)</f>
        <v>3</v>
      </c>
      <c r="H200" s="3" t="str">
        <f>IFERROR(__xludf.DUMMYFUNCTION("""COMPUTED_VALUE"""),"Pcs")</f>
        <v>Pcs</v>
      </c>
      <c r="I200" s="3" t="str">
        <f>IFERROR(__xludf.DUMMYFUNCTION("""COMPUTED_VALUE"""),"Min Stok 121702728 - APPROVED")</f>
        <v>Min Stok 121702728 - APPROVED</v>
      </c>
      <c r="J200" s="3" t="str">
        <f>IFERROR(__xludf.DUMMYFUNCTION("""COMPUTED_VALUE"""),"P-51889-00")</f>
        <v>P-51889-00</v>
      </c>
      <c r="K200" s="3" t="str">
        <f>IFERROR(__xludf.DUMMYFUNCTION("""COMPUTED_VALUE"""),"Approve")</f>
        <v>Approve</v>
      </c>
      <c r="L200" s="3" t="str">
        <f>IFERROR(__xludf.DUMMYFUNCTION("""COMPUTED_VALUE"""),"Normal")</f>
        <v>Normal</v>
      </c>
      <c r="M200" s="3" t="str">
        <f>IFERROR(__xludf.DUMMYFUNCTION("""COMPUTED_VALUE"""),"Non Urgent")</f>
        <v>Non Urgent</v>
      </c>
      <c r="N200" s="3">
        <f>IFERROR(__xludf.DUMMYFUNCTION("""COMPUTED_VALUE"""),45802.67136478009)</f>
        <v>45802.67136</v>
      </c>
    </row>
    <row r="201">
      <c r="A201" s="4">
        <f>IFERROR(__xludf.DUMMYFUNCTION("""COMPUTED_VALUE"""),45802.605427546296)</f>
        <v>45802.60543</v>
      </c>
      <c r="B201" s="3" t="str">
        <f>IFERROR(__xludf.DUMMYFUNCTION("""COMPUTED_VALUE"""),"MFHRO0094")</f>
        <v>MFHRO0094</v>
      </c>
      <c r="C201" s="3" t="str">
        <f>IFERROR(__xludf.DUMMYFUNCTION("""COMPUTED_VALUE"""),"Consumable")</f>
        <v>Consumable</v>
      </c>
      <c r="D201" s="3" t="str">
        <f>IFERROR(__xludf.DUMMYFUNCTION("""COMPUTED_VALUE"""),"-")</f>
        <v>-</v>
      </c>
      <c r="E201" s="3" t="str">
        <f>IFERROR(__xludf.DUMMYFUNCTION("""COMPUTED_VALUE"""),"General")</f>
        <v>General</v>
      </c>
      <c r="F201" s="3" t="str">
        <f>IFERROR(__xludf.DUMMYFUNCTION("""COMPUTED_VALUE"""),"General - Lem PLastic Steel Epoxy + Hardener 5 menit; Dextone; -; 1 set")</f>
        <v>General - Lem PLastic Steel Epoxy + Hardener 5 menit; Dextone; -; 1 set</v>
      </c>
      <c r="G201" s="3">
        <f>IFERROR(__xludf.DUMMYFUNCTION("""COMPUTED_VALUE"""),6.0)</f>
        <v>6</v>
      </c>
      <c r="H201" s="3" t="str">
        <f>IFERROR(__xludf.DUMMYFUNCTION("""COMPUTED_VALUE"""),"Pcs")</f>
        <v>Pcs</v>
      </c>
      <c r="I201" s="3" t="str">
        <f>IFERROR(__xludf.DUMMYFUNCTION("""COMPUTED_VALUE"""),"Min Stok Dextone 121702738 - APPROVED")</f>
        <v>Min Stok Dextone 121702738 - APPROVED</v>
      </c>
      <c r="J201" s="3" t="str">
        <f>IFERROR(__xludf.DUMMYFUNCTION("""COMPUTED_VALUE"""),"P-16474-00")</f>
        <v>P-16474-00</v>
      </c>
      <c r="K201" s="3" t="str">
        <f>IFERROR(__xludf.DUMMYFUNCTION("""COMPUTED_VALUE"""),"Approve")</f>
        <v>Approve</v>
      </c>
      <c r="L201" s="3" t="str">
        <f>IFERROR(__xludf.DUMMYFUNCTION("""COMPUTED_VALUE"""),"Normal")</f>
        <v>Normal</v>
      </c>
      <c r="M201" s="3" t="str">
        <f>IFERROR(__xludf.DUMMYFUNCTION("""COMPUTED_VALUE"""),"Non Urgent")</f>
        <v>Non Urgent</v>
      </c>
      <c r="N201" s="3">
        <f>IFERROR(__xludf.DUMMYFUNCTION("""COMPUTED_VALUE"""),45802.67151083333)</f>
        <v>45802.67151</v>
      </c>
    </row>
    <row r="202">
      <c r="A202" s="4">
        <f>IFERROR(__xludf.DUMMYFUNCTION("""COMPUTED_VALUE"""),45802.60699534722)</f>
        <v>45802.607</v>
      </c>
      <c r="B202" s="3" t="str">
        <f>IFERROR(__xludf.DUMMYFUNCTION("""COMPUTED_VALUE"""),"MFHRO0095")</f>
        <v>MFHRO0095</v>
      </c>
      <c r="C202" s="3" t="str">
        <f>IFERROR(__xludf.DUMMYFUNCTION("""COMPUTED_VALUE"""),"MIn Stok")</f>
        <v>MIn Stok</v>
      </c>
      <c r="D202" s="3" t="str">
        <f>IFERROR(__xludf.DUMMYFUNCTION("""COMPUTED_VALUE"""),"-")</f>
        <v>-</v>
      </c>
      <c r="E202" s="3" t="str">
        <f>IFERROR(__xludf.DUMMYFUNCTION("""COMPUTED_VALUE"""),"Hot Water")</f>
        <v>Hot Water</v>
      </c>
      <c r="F202" s="3" t="str">
        <f>IFERROR(__xludf.DUMMYFUNCTION("""COMPUTED_VALUE"""),"General - Water Heater Immersion 9 Element Dia 11,2 x 1800 mm, 60 KW 380V, SUS316; Custom; -; 1 pc")</f>
        <v>General - Water Heater Immersion 9 Element Dia 11,2 x 1800 mm, 60 KW 380V, SUS316; Custom; -; 1 pc</v>
      </c>
      <c r="G202" s="3">
        <f>IFERROR(__xludf.DUMMYFUNCTION("""COMPUTED_VALUE"""),1.0)</f>
        <v>1</v>
      </c>
      <c r="H202" s="3" t="str">
        <f>IFERROR(__xludf.DUMMYFUNCTION("""COMPUTED_VALUE"""),"Unt")</f>
        <v>Unt</v>
      </c>
      <c r="I202" s="3" t="str">
        <f>IFERROR(__xludf.DUMMYFUNCTION("""COMPUTED_VALUE"""),"Heatert Hot Water 121702739 - APPROVED")</f>
        <v>Heatert Hot Water 121702739 - APPROVED</v>
      </c>
      <c r="J202" s="3" t="str">
        <f>IFERROR(__xludf.DUMMYFUNCTION("""COMPUTED_VALUE"""),"P-54269-00")</f>
        <v>P-54269-00</v>
      </c>
      <c r="K202" s="3" t="str">
        <f>IFERROR(__xludf.DUMMYFUNCTION("""COMPUTED_VALUE"""),"Approve")</f>
        <v>Approve</v>
      </c>
      <c r="L202" s="3" t="str">
        <f>IFERROR(__xludf.DUMMYFUNCTION("""COMPUTED_VALUE"""),"Normal")</f>
        <v>Normal</v>
      </c>
      <c r="M202" s="3" t="str">
        <f>IFERROR(__xludf.DUMMYFUNCTION("""COMPUTED_VALUE"""),"Non Urgent")</f>
        <v>Non Urgent</v>
      </c>
      <c r="N202" s="3">
        <f>IFERROR(__xludf.DUMMYFUNCTION("""COMPUTED_VALUE"""),45802.671633171296)</f>
        <v>45802.67163</v>
      </c>
    </row>
    <row r="203">
      <c r="A203" s="4">
        <f>IFERROR(__xludf.DUMMYFUNCTION("""COMPUTED_VALUE"""),45802.60812542824)</f>
        <v>45802.60813</v>
      </c>
      <c r="B203" s="3" t="str">
        <f>IFERROR(__xludf.DUMMYFUNCTION("""COMPUTED_VALUE"""),"MFHRO0096")</f>
        <v>MFHRO0096</v>
      </c>
      <c r="C203" s="3" t="str">
        <f>IFERROR(__xludf.DUMMYFUNCTION("""COMPUTED_VALUE"""),"MIn Stok")</f>
        <v>MIn Stok</v>
      </c>
      <c r="D203" s="3" t="str">
        <f>IFERROR(__xludf.DUMMYFUNCTION("""COMPUTED_VALUE"""),"-")</f>
        <v>-</v>
      </c>
      <c r="E203" s="3" t="str">
        <f>IFERROR(__xludf.DUMMYFUNCTION("""COMPUTED_VALUE"""),"Mixing")</f>
        <v>Mixing</v>
      </c>
      <c r="F203" s="3" t="str">
        <f>IFERROR(__xludf.DUMMYFUNCTION("""COMPUTED_VALUE"""),"General - Sensor PH Meter Type : InPro3250/120/PT1000; Mettler Toledo; 52002548; 1 Pc")</f>
        <v>General - Sensor PH Meter Type : InPro3250/120/PT1000; Mettler Toledo; 52002548; 1 Pc</v>
      </c>
      <c r="G203" s="3">
        <f>IFERROR(__xludf.DUMMYFUNCTION("""COMPUTED_VALUE"""),1.0)</f>
        <v>1</v>
      </c>
      <c r="H203" s="3" t="str">
        <f>IFERROR(__xludf.DUMMYFUNCTION("""COMPUTED_VALUE"""),"Pcs")</f>
        <v>Pcs</v>
      </c>
      <c r="I203" s="3" t="str">
        <f>IFERROR(__xludf.DUMMYFUNCTION("""COMPUTED_VALUE"""),"Sensor PH untuk Mixing 121702746 - APPROVED")</f>
        <v>Sensor PH untuk Mixing 121702746 - APPROVED</v>
      </c>
      <c r="J203" s="3" t="str">
        <f>IFERROR(__xludf.DUMMYFUNCTION("""COMPUTED_VALUE"""),"O-52530-00")</f>
        <v>O-52530-00</v>
      </c>
      <c r="K203" s="3" t="str">
        <f>IFERROR(__xludf.DUMMYFUNCTION("""COMPUTED_VALUE"""),"Approve")</f>
        <v>Approve</v>
      </c>
      <c r="L203" s="3" t="str">
        <f>IFERROR(__xludf.DUMMYFUNCTION("""COMPUTED_VALUE"""),"Normal")</f>
        <v>Normal</v>
      </c>
      <c r="M203" s="3" t="str">
        <f>IFERROR(__xludf.DUMMYFUNCTION("""COMPUTED_VALUE"""),"Non Urgent")</f>
        <v>Non Urgent</v>
      </c>
      <c r="N203" s="3">
        <f>IFERROR(__xludf.DUMMYFUNCTION("""COMPUTED_VALUE"""),45802.671766597225)</f>
        <v>45802.67177</v>
      </c>
    </row>
    <row r="204">
      <c r="A204" s="4">
        <f>IFERROR(__xludf.DUMMYFUNCTION("""COMPUTED_VALUE"""),45802.60982866898)</f>
        <v>45802.60983</v>
      </c>
      <c r="B204" s="3" t="str">
        <f>IFERROR(__xludf.DUMMYFUNCTION("""COMPUTED_VALUE"""),"MFHRO0097")</f>
        <v>MFHRO0097</v>
      </c>
      <c r="C204" s="3" t="str">
        <f>IFERROR(__xludf.DUMMYFUNCTION("""COMPUTED_VALUE"""),"Consumable")</f>
        <v>Consumable</v>
      </c>
      <c r="D204" s="3" t="str">
        <f>IFERROR(__xludf.DUMMYFUNCTION("""COMPUTED_VALUE"""),"-")</f>
        <v>-</v>
      </c>
      <c r="E204" s="3" t="str">
        <f>IFERROR(__xludf.DUMMYFUNCTION("""COMPUTED_VALUE"""),"General")</f>
        <v>General</v>
      </c>
      <c r="F204" s="3" t="str">
        <f>IFERROR(__xludf.DUMMYFUNCTION("""COMPUTED_VALUE"""),"General - Contact cleaner WD 40; No Brand; -; 382gr/can")</f>
        <v>General - Contact cleaner WD 40; No Brand; -; 382gr/can</v>
      </c>
      <c r="G204" s="3">
        <f>IFERROR(__xludf.DUMMYFUNCTION("""COMPUTED_VALUE"""),5.0)</f>
        <v>5</v>
      </c>
      <c r="H204" s="3" t="str">
        <f>IFERROR(__xludf.DUMMYFUNCTION("""COMPUTED_VALUE"""),"Pcs")</f>
        <v>Pcs</v>
      </c>
      <c r="I204" s="3" t="str">
        <f>IFERROR(__xludf.DUMMYFUNCTION("""COMPUTED_VALUE"""),"Untuk Consumable ENG 121702560 - APPROVED")</f>
        <v>Untuk Consumable ENG 121702560 - APPROVED</v>
      </c>
      <c r="J204" s="3" t="str">
        <f>IFERROR(__xludf.DUMMYFUNCTION("""COMPUTED_VALUE"""),"P-10729-00")</f>
        <v>P-10729-00</v>
      </c>
      <c r="K204" s="3" t="str">
        <f>IFERROR(__xludf.DUMMYFUNCTION("""COMPUTED_VALUE"""),"Approve")</f>
        <v>Approve</v>
      </c>
      <c r="L204" s="3" t="str">
        <f>IFERROR(__xludf.DUMMYFUNCTION("""COMPUTED_VALUE"""),"Normal")</f>
        <v>Normal</v>
      </c>
      <c r="M204" s="3" t="str">
        <f>IFERROR(__xludf.DUMMYFUNCTION("""COMPUTED_VALUE"""),"Non Urgent")</f>
        <v>Non Urgent</v>
      </c>
      <c r="N204" s="3">
        <f>IFERROR(__xludf.DUMMYFUNCTION("""COMPUTED_VALUE"""),45802.67191667824)</f>
        <v>45802.67192</v>
      </c>
    </row>
    <row r="205">
      <c r="A205" s="4">
        <f>IFERROR(__xludf.DUMMYFUNCTION("""COMPUTED_VALUE"""),45802.61179489584)</f>
        <v>45802.61179</v>
      </c>
      <c r="B205" s="3" t="str">
        <f>IFERROR(__xludf.DUMMYFUNCTION("""COMPUTED_VALUE"""),"MFHRO0098")</f>
        <v>MFHRO0098</v>
      </c>
      <c r="C205" s="3" t="str">
        <f>IFERROR(__xludf.DUMMYFUNCTION("""COMPUTED_VALUE"""),"MIn Stok")</f>
        <v>MIn Stok</v>
      </c>
      <c r="D205" s="3" t="str">
        <f>IFERROR(__xludf.DUMMYFUNCTION("""COMPUTED_VALUE"""),"-")</f>
        <v>-</v>
      </c>
      <c r="E205" s="3" t="str">
        <f>IFERROR(__xludf.DUMMYFUNCTION("""COMPUTED_VALUE"""),"Office")</f>
        <v>Office</v>
      </c>
      <c r="F205" s="3" t="str">
        <f>IFERROR(__xludf.DUMMYFUNCTION("""COMPUTED_VALUE"""),"Ladder with Cushion Foam 4 Step BLKYS2462P; Krisbow; 294499;")</f>
        <v>Ladder with Cushion Foam 4 Step BLKYS2462P; Krisbow; 294499;</v>
      </c>
      <c r="G205" s="3">
        <f>IFERROR(__xludf.DUMMYFUNCTION("""COMPUTED_VALUE"""),1.0)</f>
        <v>1</v>
      </c>
      <c r="H205" s="3" t="str">
        <f>IFERROR(__xludf.DUMMYFUNCTION("""COMPUTED_VALUE"""),"pcs")</f>
        <v>pcs</v>
      </c>
      <c r="I205" s="3" t="str">
        <f>IFERROR(__xludf.DUMMYFUNCTION("""COMPUTED_VALUE"""),"Untuk tangga ofice 121702748 - APPROVED")</f>
        <v>Untuk tangga ofice 121702748 - APPROVED</v>
      </c>
      <c r="J205" s="3" t="str">
        <f>IFERROR(__xludf.DUMMYFUNCTION("""COMPUTED_VALUE"""),"S-46550-00")</f>
        <v>S-46550-00</v>
      </c>
      <c r="K205" s="3" t="str">
        <f>IFERROR(__xludf.DUMMYFUNCTION("""COMPUTED_VALUE"""),"Approve")</f>
        <v>Approve</v>
      </c>
      <c r="L205" s="3" t="str">
        <f>IFERROR(__xludf.DUMMYFUNCTION("""COMPUTED_VALUE"""),"Normal")</f>
        <v>Normal</v>
      </c>
      <c r="M205" s="3" t="str">
        <f>IFERROR(__xludf.DUMMYFUNCTION("""COMPUTED_VALUE"""),"Non Urgent")</f>
        <v>Non Urgent</v>
      </c>
      <c r="N205" s="3">
        <f>IFERROR(__xludf.DUMMYFUNCTION("""COMPUTED_VALUE"""),45802.67204150463)</f>
        <v>45802.67204</v>
      </c>
    </row>
    <row r="206">
      <c r="A206" s="4">
        <f>IFERROR(__xludf.DUMMYFUNCTION("""COMPUTED_VALUE"""),45802.61272883102)</f>
        <v>45802.61273</v>
      </c>
      <c r="B206" s="3" t="str">
        <f>IFERROR(__xludf.DUMMYFUNCTION("""COMPUTED_VALUE"""),"MFHRO0099")</f>
        <v>MFHRO0099</v>
      </c>
      <c r="C206" s="3" t="str">
        <f>IFERROR(__xludf.DUMMYFUNCTION("""COMPUTED_VALUE"""),"MIn Stok")</f>
        <v>MIn Stok</v>
      </c>
      <c r="D206" s="3" t="str">
        <f>IFERROR(__xludf.DUMMYFUNCTION("""COMPUTED_VALUE"""),"-")</f>
        <v>-</v>
      </c>
      <c r="E206" s="3" t="str">
        <f>IFERROR(__xludf.DUMMYFUNCTION("""COMPUTED_VALUE"""),"HPLC")</f>
        <v>HPLC</v>
      </c>
      <c r="F206" s="3" t="str">
        <f>IFERROR(__xludf.DUMMYFUNCTION("""COMPUTED_VALUE"""),"Kit, Performance PLUS seal pack rebuild; Waters; 700011783; 1 pieces / pack")</f>
        <v>Kit, Performance PLUS seal pack rebuild; Waters; 700011783; 1 pieces / pack</v>
      </c>
      <c r="G206" s="3">
        <f>IFERROR(__xludf.DUMMYFUNCTION("""COMPUTED_VALUE"""),1.0)</f>
        <v>1</v>
      </c>
      <c r="H206" s="3" t="str">
        <f>IFERROR(__xludf.DUMMYFUNCTION("""COMPUTED_VALUE"""),"Pcs")</f>
        <v>Pcs</v>
      </c>
      <c r="I206" s="3" t="str">
        <f>IFERROR(__xludf.DUMMYFUNCTION("""COMPUTED_VALUE"""),"Untuk HPLC 121702750 - APPROVED")</f>
        <v>Untuk HPLC 121702750 - APPROVED</v>
      </c>
      <c r="J206" s="3" t="str">
        <f>IFERROR(__xludf.DUMMYFUNCTION("""COMPUTED_VALUE"""),"T-20591-00")</f>
        <v>T-20591-00</v>
      </c>
      <c r="K206" s="3" t="str">
        <f>IFERROR(__xludf.DUMMYFUNCTION("""COMPUTED_VALUE"""),"Approve")</f>
        <v>Approve</v>
      </c>
      <c r="L206" s="3" t="str">
        <f>IFERROR(__xludf.DUMMYFUNCTION("""COMPUTED_VALUE"""),"Normal")</f>
        <v>Normal</v>
      </c>
      <c r="M206" s="3" t="str">
        <f>IFERROR(__xludf.DUMMYFUNCTION("""COMPUTED_VALUE"""),"Non Urgent")</f>
        <v>Non Urgent</v>
      </c>
      <c r="N206" s="3">
        <f>IFERROR(__xludf.DUMMYFUNCTION("""COMPUTED_VALUE"""),45802.67216043982)</f>
        <v>45802.67216</v>
      </c>
    </row>
    <row r="207">
      <c r="A207" s="4">
        <f>IFERROR(__xludf.DUMMYFUNCTION("""COMPUTED_VALUE"""),45803.68384538195)</f>
        <v>45803.68385</v>
      </c>
      <c r="B207" s="3" t="str">
        <f>IFERROR(__xludf.DUMMYFUNCTION("""COMPUTED_VALUE"""),"MOBRO0044")</f>
        <v>MOBRO0044</v>
      </c>
      <c r="C207" s="3" t="str">
        <f>IFERROR(__xludf.DUMMYFUNCTION("""COMPUTED_VALUE"""),"EJO")</f>
        <v>EJO</v>
      </c>
      <c r="D207" s="3" t="str">
        <f>IFERROR(__xludf.DUMMYFUNCTION("""COMPUTED_VALUE"""),"EJO/2025/02/57")</f>
        <v>EJO/2025/02/57</v>
      </c>
      <c r="E207" s="3" t="str">
        <f>IFERROR(__xludf.DUMMYFUNCTION("""COMPUTED_VALUE"""),"PSG")</f>
        <v>PSG</v>
      </c>
      <c r="F207" s="3" t="str">
        <f>IFERROR(__xludf.DUMMYFUNCTION("""COMPUTED_VALUE"""),"Gland Packing Teflon PTFE 6x6; ; ;")</f>
        <v>Gland Packing Teflon PTFE 6x6; ; ;</v>
      </c>
      <c r="G207" s="3">
        <f>IFERROR(__xludf.DUMMYFUNCTION("""COMPUTED_VALUE"""),5.0)</f>
        <v>5</v>
      </c>
      <c r="H207" s="3" t="str">
        <f>IFERROR(__xludf.DUMMYFUNCTION("""COMPUTED_VALUE"""),"Meter")</f>
        <v>Meter</v>
      </c>
      <c r="I207" s="3" t="str">
        <f>IFERROR(__xludf.DUMMYFUNCTION("""COMPUTED_VALUE"""),"EJO")</f>
        <v>EJO</v>
      </c>
      <c r="J207" s="3" t="str">
        <f>IFERROR(__xludf.DUMMYFUNCTION("""COMPUTED_VALUE"""),"P-18834-00")</f>
        <v>P-18834-00</v>
      </c>
      <c r="K207" s="3" t="str">
        <f>IFERROR(__xludf.DUMMYFUNCTION("""COMPUTED_VALUE"""),"Approve")</f>
        <v>Approve</v>
      </c>
      <c r="L207" s="3" t="str">
        <f>IFERROR(__xludf.DUMMYFUNCTION("""COMPUTED_VALUE"""),"Normal")</f>
        <v>Normal</v>
      </c>
      <c r="M207" s="3" t="str">
        <f>IFERROR(__xludf.DUMMYFUNCTION("""COMPUTED_VALUE"""),"Non Urgent")</f>
        <v>Non Urgent</v>
      </c>
      <c r="N207" s="3">
        <f>IFERROR(__xludf.DUMMYFUNCTION("""COMPUTED_VALUE"""),45804.66052142361)</f>
        <v>45804.66052</v>
      </c>
    </row>
    <row r="208">
      <c r="A208" s="4">
        <f>IFERROR(__xludf.DUMMYFUNCTION("""COMPUTED_VALUE"""),45803.68504069444)</f>
        <v>45803.68504</v>
      </c>
      <c r="B208" s="3" t="str">
        <f>IFERROR(__xludf.DUMMYFUNCTION("""COMPUTED_VALUE"""),"SFHRO0007")</f>
        <v>SFHRO0007</v>
      </c>
      <c r="C208" s="3" t="str">
        <f>IFERROR(__xludf.DUMMYFUNCTION("""COMPUTED_VALUE"""),"EJO")</f>
        <v>EJO</v>
      </c>
      <c r="D208" s="3" t="str">
        <f>IFERROR(__xludf.DUMMYFUNCTION("""COMPUTED_VALUE"""),"EJO/2025/05/64")</f>
        <v>EJO/2025/05/64</v>
      </c>
      <c r="E208" s="3" t="str">
        <f>IFERROR(__xludf.DUMMYFUNCTION("""COMPUTED_VALUE"""),"lantai 2")</f>
        <v>lantai 2</v>
      </c>
      <c r="F208" s="3" t="str">
        <f>IFERROR(__xludf.DUMMYFUNCTION("""COMPUTED_VALUE"""),"Cat Dustproof Propan Decor DAE 550 Peacock Blue; ; ; - TEAL-5412")</f>
        <v>Cat Dustproof Propan Decor DAE 550 Peacock Blue; ; ; - TEAL-5412</v>
      </c>
      <c r="G208" s="3">
        <f>IFERROR(__xludf.DUMMYFUNCTION("""COMPUTED_VALUE"""),4.0)</f>
        <v>4</v>
      </c>
      <c r="H208" s="3" t="str">
        <f>IFERROR(__xludf.DUMMYFUNCTION("""COMPUTED_VALUE"""),"pel")</f>
        <v>pel</v>
      </c>
      <c r="I208" s="3" t="str">
        <f>IFERROR(__xludf.DUMMYFUNCTION("""COMPUTED_VALUE"""),"-")</f>
        <v>-</v>
      </c>
      <c r="J208" s="3" t="str">
        <f>IFERROR(__xludf.DUMMYFUNCTION("""COMPUTED_VALUE"""),"Q-10526-00")</f>
        <v>Q-10526-00</v>
      </c>
      <c r="K208" s="3" t="str">
        <f>IFERROR(__xludf.DUMMYFUNCTION("""COMPUTED_VALUE"""),"Approve")</f>
        <v>Approve</v>
      </c>
      <c r="L208" s="3" t="str">
        <f>IFERROR(__xludf.DUMMYFUNCTION("""COMPUTED_VALUE"""),"Normal")</f>
        <v>Normal</v>
      </c>
      <c r="M208" s="3" t="str">
        <f>IFERROR(__xludf.DUMMYFUNCTION("""COMPUTED_VALUE"""),"Non Urgent")</f>
        <v>Non Urgent</v>
      </c>
      <c r="N208" s="3">
        <f>IFERROR(__xludf.DUMMYFUNCTION("""COMPUTED_VALUE"""),45804.66281483797)</f>
        <v>45804.66281</v>
      </c>
    </row>
    <row r="209">
      <c r="A209" s="4">
        <f>IFERROR(__xludf.DUMMYFUNCTION("""COMPUTED_VALUE"""),45804.027452222224)</f>
        <v>45804.02745</v>
      </c>
      <c r="B209" s="3" t="str">
        <f>IFERROR(__xludf.DUMMYFUNCTION("""COMPUTED_VALUE"""),"INNRO0005")</f>
        <v>INNRO0005</v>
      </c>
      <c r="C209" s="3" t="str">
        <f>IFERROR(__xludf.DUMMYFUNCTION("""COMPUTED_VALUE"""),"MIn Stok")</f>
        <v>MIn Stok</v>
      </c>
      <c r="D209" s="3" t="str">
        <f>IFERROR(__xludf.DUMMYFUNCTION("""COMPUTED_VALUE"""),"-")</f>
        <v>-</v>
      </c>
      <c r="E209" s="3" t="str">
        <f>IFERROR(__xludf.DUMMYFUNCTION("""COMPUTED_VALUE"""),"Autoclave Terminal")</f>
        <v>Autoclave Terminal</v>
      </c>
      <c r="F209" s="3" t="str">
        <f>IFERROR(__xludf.DUMMYFUNCTION("""COMPUTED_VALUE"""),"Safety Sensor GG505S GIGA-4015-US; IFM; ;")</f>
        <v>Safety Sensor GG505S GIGA-4015-US; IFM; ;</v>
      </c>
      <c r="G209" s="3">
        <f>IFERROR(__xludf.DUMMYFUNCTION("""COMPUTED_VALUE"""),2.0)</f>
        <v>2</v>
      </c>
      <c r="H209" s="3" t="str">
        <f>IFERROR(__xludf.DUMMYFUNCTION("""COMPUTED_VALUE"""),"pcs")</f>
        <v>pcs</v>
      </c>
      <c r="I209" s="3" t="str">
        <f>IFERROR(__xludf.DUMMYFUNCTION("""COMPUTED_VALUE"""),"Untuk Stock mesin Autoclave")</f>
        <v>Untuk Stock mesin Autoclave</v>
      </c>
      <c r="J209" s="3" t="str">
        <f>IFERROR(__xludf.DUMMYFUNCTION("""COMPUTED_VALUE"""),"O-52854-00")</f>
        <v>O-52854-00</v>
      </c>
      <c r="K209" s="3" t="str">
        <f>IFERROR(__xludf.DUMMYFUNCTION("""COMPUTED_VALUE"""),"Approve")</f>
        <v>Approve</v>
      </c>
      <c r="L209" s="3" t="str">
        <f>IFERROR(__xludf.DUMMYFUNCTION("""COMPUTED_VALUE"""),"Normal")</f>
        <v>Normal</v>
      </c>
      <c r="M209" s="3" t="str">
        <f>IFERROR(__xludf.DUMMYFUNCTION("""COMPUTED_VALUE"""),"Non Urgent")</f>
        <v>Non Urgent</v>
      </c>
      <c r="N209" s="3">
        <f>IFERROR(__xludf.DUMMYFUNCTION("""COMPUTED_VALUE"""),45812.561071041666)</f>
        <v>45812.56107</v>
      </c>
    </row>
    <row r="210">
      <c r="A210" s="4">
        <f>IFERROR(__xludf.DUMMYFUNCTION("""COMPUTED_VALUE"""),45805.977569641196)</f>
        <v>45805.97757</v>
      </c>
      <c r="B210" s="3" t="str">
        <f>IFERROR(__xludf.DUMMYFUNCTION("""COMPUTED_VALUE"""),"RIARO0038")</f>
        <v>RIARO0038</v>
      </c>
      <c r="C210" s="3" t="str">
        <f>IFERROR(__xludf.DUMMYFUNCTION("""COMPUTED_VALUE"""),"MIn Stok")</f>
        <v>MIn Stok</v>
      </c>
      <c r="D210" s="3" t="str">
        <f>IFERROR(__xludf.DUMMYFUNCTION("""COMPUTED_VALUE"""),"-")</f>
        <v>-</v>
      </c>
      <c r="E210" s="3" t="str">
        <f>IFERROR(__xludf.DUMMYFUNCTION("""COMPUTED_VALUE"""),"WWTP")</f>
        <v>WWTP</v>
      </c>
      <c r="F210" s="3" t="str">
        <f>IFERROR(__xludf.DUMMYFUNCTION("""COMPUTED_VALUE"""),"General - Pelampung Air Radar Float Switch 2m; No Brand; -; 1 Pc")</f>
        <v>General - Pelampung Air Radar Float Switch 2m; No Brand; -; 1 Pc</v>
      </c>
      <c r="G210" s="3">
        <f>IFERROR(__xludf.DUMMYFUNCTION("""COMPUTED_VALUE"""),3.0)</f>
        <v>3</v>
      </c>
      <c r="H210" s="3" t="str">
        <f>IFERROR(__xludf.DUMMYFUNCTION("""COMPUTED_VALUE"""),"Pcs")</f>
        <v>Pcs</v>
      </c>
      <c r="I210" s="3" t="str">
        <f>IFERROR(__xludf.DUMMYFUNCTION("""COMPUTED_VALUE"""),"Untuk Alarm WWTP ")</f>
        <v>Untuk Alarm WWTP </v>
      </c>
      <c r="J210" s="3" t="str">
        <f>IFERROR(__xludf.DUMMYFUNCTION("""COMPUTED_VALUE"""),"P-52664-00")</f>
        <v>P-52664-00</v>
      </c>
      <c r="K210" s="3" t="str">
        <f>IFERROR(__xludf.DUMMYFUNCTION("""COMPUTED_VALUE"""),"Approve")</f>
        <v>Approve</v>
      </c>
      <c r="L210" s="3" t="str">
        <f>IFERROR(__xludf.DUMMYFUNCTION("""COMPUTED_VALUE"""),"Normal")</f>
        <v>Normal</v>
      </c>
      <c r="M210" s="3" t="str">
        <f>IFERROR(__xludf.DUMMYFUNCTION("""COMPUTED_VALUE"""),"Non Urgent")</f>
        <v>Non Urgent</v>
      </c>
      <c r="N210" s="3">
        <f>IFERROR(__xludf.DUMMYFUNCTION("""COMPUTED_VALUE"""),45810.96087390046)</f>
        <v>45810.96087</v>
      </c>
    </row>
    <row r="211">
      <c r="A211" s="4">
        <f>IFERROR(__xludf.DUMMYFUNCTION("""COMPUTED_VALUE"""),45810.59131561343)</f>
        <v>45810.59132</v>
      </c>
      <c r="B211" s="3" t="str">
        <f>IFERROR(__xludf.DUMMYFUNCTION("""COMPUTED_VALUE"""),"ROSRO0007")</f>
        <v>ROSRO0007</v>
      </c>
      <c r="C211" s="3" t="str">
        <f>IFERROR(__xludf.DUMMYFUNCTION("""COMPUTED_VALUE"""),"Consumable")</f>
        <v>Consumable</v>
      </c>
      <c r="D211" s="3" t="str">
        <f>IFERROR(__xludf.DUMMYFUNCTION("""COMPUTED_VALUE"""),"-")</f>
        <v>-</v>
      </c>
      <c r="E211" s="3" t="str">
        <f>IFERROR(__xludf.DUMMYFUNCTION("""COMPUTED_VALUE"""),"Sensor DO mixning")</f>
        <v>Sensor DO mixning</v>
      </c>
      <c r="F211" s="3" t="str">
        <f>IFERROR(__xludf.DUMMYFUNCTION("""COMPUTED_VALUE"""),"General - Opto CapBT02T Operating Range 8 ppb - 60% O2 Sat P/N 30018857, Measured Pressure Resistance : 0-6 bar; Mettler Toledo; 30018857; 1 Pc")</f>
        <v>General - Opto CapBT02T Operating Range 8 ppb - 60% O2 Sat P/N 30018857, Measured Pressure Resistance : 0-6 bar; Mettler Toledo; 30018857; 1 Pc</v>
      </c>
      <c r="G211" s="3">
        <f>IFERROR(__xludf.DUMMYFUNCTION("""COMPUTED_VALUE"""),1.0)</f>
        <v>1</v>
      </c>
      <c r="H211" s="3" t="str">
        <f>IFERROR(__xludf.DUMMYFUNCTION("""COMPUTED_VALUE"""),"pcs")</f>
        <v>pcs</v>
      </c>
      <c r="I211" s="3" t="str">
        <f>IFERROR(__xludf.DUMMYFUNCTION("""COMPUTED_VALUE"""),"stok Sparepart")</f>
        <v>stok Sparepart</v>
      </c>
      <c r="J211" s="3" t="str">
        <f>IFERROR(__xludf.DUMMYFUNCTION("""COMPUTED_VALUE"""),"O-50827-00")</f>
        <v>O-50827-00</v>
      </c>
      <c r="K211" s="3" t="str">
        <f>IFERROR(__xludf.DUMMYFUNCTION("""COMPUTED_VALUE"""),"Approve")</f>
        <v>Approve</v>
      </c>
      <c r="L211" s="3" t="str">
        <f>IFERROR(__xludf.DUMMYFUNCTION("""COMPUTED_VALUE"""),"Normal")</f>
        <v>Normal</v>
      </c>
      <c r="M211" s="3" t="str">
        <f>IFERROR(__xludf.DUMMYFUNCTION("""COMPUTED_VALUE"""),"Non Urgent")</f>
        <v>Non Urgent</v>
      </c>
      <c r="N211" s="3">
        <f>IFERROR(__xludf.DUMMYFUNCTION("""COMPUTED_VALUE"""),45812.57128791667)</f>
        <v>45812.57129</v>
      </c>
    </row>
    <row r="212">
      <c r="A212" s="4">
        <f>IFERROR(__xludf.DUMMYFUNCTION("""COMPUTED_VALUE"""),45810.6580507176)</f>
        <v>45810.65805</v>
      </c>
      <c r="B212" s="3" t="str">
        <f>IFERROR(__xludf.DUMMYFUNCTION("""COMPUTED_VALUE"""),"INNRO0006")</f>
        <v>INNRO0006</v>
      </c>
      <c r="C212" s="3" t="str">
        <f>IFERROR(__xludf.DUMMYFUNCTION("""COMPUTED_VALUE"""),"EJO")</f>
        <v>EJO</v>
      </c>
      <c r="D212" s="3" t="str">
        <f>IFERROR(__xludf.DUMMYFUNCTION("""COMPUTED_VALUE"""),"EJO/2025/06/29")</f>
        <v>EJO/2025/06/29</v>
      </c>
      <c r="E212" s="3" t="str">
        <f>IFERROR(__xludf.DUMMYFUNCTION("""COMPUTED_VALUE"""),"FD IMA")</f>
        <v>FD IMA</v>
      </c>
      <c r="F212" s="3" t="str">
        <f>IFERROR(__xludf.DUMMYFUNCTION("""COMPUTED_VALUE"""),"Shelf Bellows; Freeze Dryer MBE1207; P/N FB1207-05-70-0 R0.0; pack size per unit")</f>
        <v>Shelf Bellows; Freeze Dryer MBE1207; P/N FB1207-05-70-0 R0.0; pack size per unit</v>
      </c>
      <c r="G212" s="3">
        <f>IFERROR(__xludf.DUMMYFUNCTION("""COMPUTED_VALUE"""),1.0)</f>
        <v>1</v>
      </c>
      <c r="H212" s="3" t="str">
        <f>IFERROR(__xludf.DUMMYFUNCTION("""COMPUTED_VALUE"""),"Unit")</f>
        <v>Unit</v>
      </c>
      <c r="I212" s="3" t="str">
        <f>IFERROR(__xludf.DUMMYFUNCTION("""COMPUTED_VALUE"""),"Untuk Shelf Bellow")</f>
        <v>Untuk Shelf Bellow</v>
      </c>
      <c r="J212" s="3" t="str">
        <f>IFERROR(__xludf.DUMMYFUNCTION("""COMPUTED_VALUE"""),"O-54119-00")</f>
        <v>O-54119-00</v>
      </c>
      <c r="K212" s="3" t="str">
        <f>IFERROR(__xludf.DUMMYFUNCTION("""COMPUTED_VALUE"""),"Approve")</f>
        <v>Approve</v>
      </c>
      <c r="L212" s="3" t="str">
        <f>IFERROR(__xludf.DUMMYFUNCTION("""COMPUTED_VALUE"""),"Normal")</f>
        <v>Normal</v>
      </c>
      <c r="M212" s="3" t="str">
        <f>IFERROR(__xludf.DUMMYFUNCTION("""COMPUTED_VALUE"""),"Non Urgent")</f>
        <v>Non Urgent</v>
      </c>
      <c r="N212" s="3">
        <f>IFERROR(__xludf.DUMMYFUNCTION("""COMPUTED_VALUE"""),45812.56143090277)</f>
        <v>45812.56143</v>
      </c>
    </row>
    <row r="213">
      <c r="A213" s="4">
        <f>IFERROR(__xludf.DUMMYFUNCTION("""COMPUTED_VALUE"""),45812.63591305556)</f>
        <v>45812.63591</v>
      </c>
      <c r="B213" s="3" t="str">
        <f>IFERROR(__xludf.DUMMYFUNCTION("""COMPUTED_VALUE"""),"SFHRO0008")</f>
        <v>SFHRO0008</v>
      </c>
      <c r="C213" s="3" t="str">
        <f>IFERROR(__xludf.DUMMYFUNCTION("""COMPUTED_VALUE"""),"Consumable")</f>
        <v>Consumable</v>
      </c>
      <c r="D213" s="3" t="str">
        <f>IFERROR(__xludf.DUMMYFUNCTION("""COMPUTED_VALUE"""),"-")</f>
        <v>-</v>
      </c>
      <c r="E213" s="3" t="str">
        <f>IFERROR(__xludf.DUMMYFUNCTION("""COMPUTED_VALUE"""),"lantai 2")</f>
        <v>lantai 2</v>
      </c>
      <c r="F213" s="3" t="str">
        <f>IFERROR(__xludf.DUMMYFUNCTION("""COMPUTED_VALUE"""),"Lem PVC Isarplas 300 gr/kaleng")</f>
        <v>Lem PVC Isarplas 300 gr/kaleng</v>
      </c>
      <c r="G213" s="3">
        <f>IFERROR(__xludf.DUMMYFUNCTION("""COMPUTED_VALUE"""),3.0)</f>
        <v>3</v>
      </c>
      <c r="H213" s="3" t="str">
        <f>IFERROR(__xludf.DUMMYFUNCTION("""COMPUTED_VALUE"""),"kaleng")</f>
        <v>kaleng</v>
      </c>
      <c r="I213" s="3" t="str">
        <f>IFERROR(__xludf.DUMMYFUNCTION("""COMPUTED_VALUE"""),"-")</f>
        <v>-</v>
      </c>
      <c r="J213" s="3" t="str">
        <f>IFERROR(__xludf.DUMMYFUNCTION("""COMPUTED_VALUE"""),"P-12470-00")</f>
        <v>P-12470-00</v>
      </c>
      <c r="K213" s="3" t="str">
        <f>IFERROR(__xludf.DUMMYFUNCTION("""COMPUTED_VALUE"""),"Approve")</f>
        <v>Approve</v>
      </c>
      <c r="L213" s="3" t="str">
        <f>IFERROR(__xludf.DUMMYFUNCTION("""COMPUTED_VALUE"""),"Normal")</f>
        <v>Normal</v>
      </c>
      <c r="M213" s="3" t="str">
        <f>IFERROR(__xludf.DUMMYFUNCTION("""COMPUTED_VALUE"""),"Non Urgent")</f>
        <v>Non Urgent</v>
      </c>
      <c r="N213" s="3">
        <f>IFERROR(__xludf.DUMMYFUNCTION("""COMPUTED_VALUE"""),45818.39951811342)</f>
        <v>45818.39952</v>
      </c>
    </row>
    <row r="214">
      <c r="A214" s="4">
        <f>IFERROR(__xludf.DUMMYFUNCTION("""COMPUTED_VALUE"""),45812.637380775464)</f>
        <v>45812.63738</v>
      </c>
      <c r="B214" s="3" t="str">
        <f>IFERROR(__xludf.DUMMYFUNCTION("""COMPUTED_VALUE"""),"SFHRO0009")</f>
        <v>SFHRO0009</v>
      </c>
      <c r="C214" s="3" t="str">
        <f>IFERROR(__xludf.DUMMYFUNCTION("""COMPUTED_VALUE"""),"Consumable")</f>
        <v>Consumable</v>
      </c>
      <c r="D214" s="3" t="str">
        <f>IFERROR(__xludf.DUMMYFUNCTION("""COMPUTED_VALUE"""),"-")</f>
        <v>-</v>
      </c>
      <c r="E214" s="3" t="str">
        <f>IFERROR(__xludf.DUMMYFUNCTION("""COMPUTED_VALUE"""),"lantai 2")</f>
        <v>lantai 2</v>
      </c>
      <c r="F214" s="3" t="str">
        <f>IFERROR(__xludf.DUMMYFUNCTION("""COMPUTED_VALUE"""),"General - Ampelas P500; EAGLE; -; 1 pcs")</f>
        <v>General - Ampelas P500; EAGLE; -; 1 pcs</v>
      </c>
      <c r="G214" s="3">
        <f>IFERROR(__xludf.DUMMYFUNCTION("""COMPUTED_VALUE"""),20.0)</f>
        <v>20</v>
      </c>
      <c r="H214" s="3" t="str">
        <f>IFERROR(__xludf.DUMMYFUNCTION("""COMPUTED_VALUE"""),"lembar")</f>
        <v>lembar</v>
      </c>
      <c r="I214" s="3" t="str">
        <f>IFERROR(__xludf.DUMMYFUNCTION("""COMPUTED_VALUE"""),"-")</f>
        <v>-</v>
      </c>
      <c r="J214" s="3" t="str">
        <f>IFERROR(__xludf.DUMMYFUNCTION("""COMPUTED_VALUE"""),"P-15852-00")</f>
        <v>P-15852-00</v>
      </c>
      <c r="K214" s="3" t="str">
        <f>IFERROR(__xludf.DUMMYFUNCTION("""COMPUTED_VALUE"""),"Approve")</f>
        <v>Approve</v>
      </c>
      <c r="L214" s="3" t="str">
        <f>IFERROR(__xludf.DUMMYFUNCTION("""COMPUTED_VALUE"""),"Normal")</f>
        <v>Normal</v>
      </c>
      <c r="M214" s="3" t="str">
        <f>IFERROR(__xludf.DUMMYFUNCTION("""COMPUTED_VALUE"""),"Non Urgent")</f>
        <v>Non Urgent</v>
      </c>
      <c r="N214" s="3">
        <f>IFERROR(__xludf.DUMMYFUNCTION("""COMPUTED_VALUE"""),45818.399669652776)</f>
        <v>45818.39967</v>
      </c>
    </row>
    <row r="215">
      <c r="A215" s="4">
        <f>IFERROR(__xludf.DUMMYFUNCTION("""COMPUTED_VALUE"""),45812.659267581024)</f>
        <v>45812.65927</v>
      </c>
      <c r="B215" s="3" t="str">
        <f>IFERROR(__xludf.DUMMYFUNCTION("""COMPUTED_VALUE"""),"MOBRO0045")</f>
        <v>MOBRO0045</v>
      </c>
      <c r="C215" s="3" t="str">
        <f>IFERROR(__xludf.DUMMYFUNCTION("""COMPUTED_VALUE"""),"MIn Stok")</f>
        <v>MIn Stok</v>
      </c>
      <c r="D215" s="3" t="str">
        <f>IFERROR(__xludf.DUMMYFUNCTION("""COMPUTED_VALUE"""),"-")</f>
        <v>-</v>
      </c>
      <c r="E215" s="3" t="str">
        <f>IFERROR(__xludf.DUMMYFUNCTION("""COMPUTED_VALUE"""),"Pneumatic Fitting")</f>
        <v>Pneumatic Fitting</v>
      </c>
      <c r="F215" s="3" t="str">
        <f>IFERROR(__xludf.DUMMYFUNCTION("""COMPUTED_VALUE"""),"General - Push-in Connector, QS-8-6; Festo; 153038; 1 pcs")</f>
        <v>General - Push-in Connector, QS-8-6; Festo; 153038; 1 pcs</v>
      </c>
      <c r="G215" s="3">
        <f>IFERROR(__xludf.DUMMYFUNCTION("""COMPUTED_VALUE"""),10.0)</f>
        <v>10</v>
      </c>
      <c r="H215" s="3" t="str">
        <f>IFERROR(__xludf.DUMMYFUNCTION("""COMPUTED_VALUE"""),"Pcs")</f>
        <v>Pcs</v>
      </c>
      <c r="I215" s="3" t="str">
        <f>IFERROR(__xludf.DUMMYFUNCTION("""COMPUTED_VALUE"""),"Sering Terpakai")</f>
        <v>Sering Terpakai</v>
      </c>
      <c r="J215" s="3" t="str">
        <f>IFERROR(__xludf.DUMMYFUNCTION("""COMPUTED_VALUE"""),"P-11185-00")</f>
        <v>P-11185-00</v>
      </c>
      <c r="K215" s="3" t="str">
        <f>IFERROR(__xludf.DUMMYFUNCTION("""COMPUTED_VALUE"""),"Approve")</f>
        <v>Approve</v>
      </c>
      <c r="L215" s="3" t="str">
        <f>IFERROR(__xludf.DUMMYFUNCTION("""COMPUTED_VALUE"""),"Normal")</f>
        <v>Normal</v>
      </c>
      <c r="M215" s="3" t="str">
        <f>IFERROR(__xludf.DUMMYFUNCTION("""COMPUTED_VALUE"""),"Non Urgent")</f>
        <v>Non Urgent</v>
      </c>
      <c r="N215" s="3">
        <f>IFERROR(__xludf.DUMMYFUNCTION("""COMPUTED_VALUE"""),45818.36025079861)</f>
        <v>45818.36025</v>
      </c>
    </row>
    <row r="216">
      <c r="A216" s="4">
        <f>IFERROR(__xludf.DUMMYFUNCTION("""COMPUTED_VALUE"""),45812.66128638889)</f>
        <v>45812.66129</v>
      </c>
      <c r="B216" s="3" t="str">
        <f>IFERROR(__xludf.DUMMYFUNCTION("""COMPUTED_VALUE"""),"MOBRO0046")</f>
        <v>MOBRO0046</v>
      </c>
      <c r="C216" s="3" t="str">
        <f>IFERROR(__xludf.DUMMYFUNCTION("""COMPUTED_VALUE"""),"MIn Stok")</f>
        <v>MIn Stok</v>
      </c>
      <c r="D216" s="3" t="str">
        <f>IFERROR(__xludf.DUMMYFUNCTION("""COMPUTED_VALUE"""),"-")</f>
        <v>-</v>
      </c>
      <c r="E216" s="3" t="str">
        <f>IFERROR(__xludf.DUMMYFUNCTION("""COMPUTED_VALUE"""),"Pneumatic Fitting")</f>
        <v>Pneumatic Fitting</v>
      </c>
      <c r="F216" s="3" t="str">
        <f>IFERROR(__xludf.DUMMYFUNCTION("""COMPUTED_VALUE"""),"Pneumatic  Fitting - QS 10-8 / PN : 153039 / Festo")</f>
        <v>Pneumatic  Fitting - QS 10-8 / PN : 153039 / Festo</v>
      </c>
      <c r="G216" s="3">
        <f>IFERROR(__xludf.DUMMYFUNCTION("""COMPUTED_VALUE"""),10.0)</f>
        <v>10</v>
      </c>
      <c r="H216" s="3" t="str">
        <f>IFERROR(__xludf.DUMMYFUNCTION("""COMPUTED_VALUE"""),"Pcs")</f>
        <v>Pcs</v>
      </c>
      <c r="I216" s="3" t="str">
        <f>IFERROR(__xludf.DUMMYFUNCTION("""COMPUTED_VALUE"""),"Sering Terpakai")</f>
        <v>Sering Terpakai</v>
      </c>
      <c r="J216" s="3" t="str">
        <f>IFERROR(__xludf.DUMMYFUNCTION("""COMPUTED_VALUE"""),"P-11175-00")</f>
        <v>P-11175-00</v>
      </c>
      <c r="K216" s="3" t="str">
        <f>IFERROR(__xludf.DUMMYFUNCTION("""COMPUTED_VALUE"""),"Approve")</f>
        <v>Approve</v>
      </c>
      <c r="L216" s="3" t="str">
        <f>IFERROR(__xludf.DUMMYFUNCTION("""COMPUTED_VALUE"""),"Normal")</f>
        <v>Normal</v>
      </c>
      <c r="M216" s="3" t="str">
        <f>IFERROR(__xludf.DUMMYFUNCTION("""COMPUTED_VALUE"""),"Non Urgent")</f>
        <v>Non Urgent</v>
      </c>
      <c r="N216" s="3">
        <f>IFERROR(__xludf.DUMMYFUNCTION("""COMPUTED_VALUE"""),45818.3606984838)</f>
        <v>45818.3607</v>
      </c>
    </row>
    <row r="217">
      <c r="A217" s="4">
        <f>IFERROR(__xludf.DUMMYFUNCTION("""COMPUTED_VALUE"""),45812.66136907408)</f>
        <v>45812.66137</v>
      </c>
      <c r="B217" s="3" t="str">
        <f>IFERROR(__xludf.DUMMYFUNCTION("""COMPUTED_VALUE"""),"MOBRO0047")</f>
        <v>MOBRO0047</v>
      </c>
      <c r="C217" s="3" t="str">
        <f>IFERROR(__xludf.DUMMYFUNCTION("""COMPUTED_VALUE"""),"MIn Stok")</f>
        <v>MIn Stok</v>
      </c>
      <c r="D217" s="3" t="str">
        <f>IFERROR(__xludf.DUMMYFUNCTION("""COMPUTED_VALUE"""),"-")</f>
        <v>-</v>
      </c>
      <c r="E217" s="3" t="str">
        <f>IFERROR(__xludf.DUMMYFUNCTION("""COMPUTED_VALUE"""),"Pneumatic Fitting")</f>
        <v>Pneumatic Fitting</v>
      </c>
      <c r="F217" s="3" t="str">
        <f>IFERROR(__xludf.DUMMYFUNCTION("""COMPUTED_VALUE"""),"FESTO - QS-12-10 Push in Connector p/n: 153040")</f>
        <v>FESTO - QS-12-10 Push in Connector p/n: 153040</v>
      </c>
      <c r="G217" s="3">
        <f>IFERROR(__xludf.DUMMYFUNCTION("""COMPUTED_VALUE"""),6.0)</f>
        <v>6</v>
      </c>
      <c r="H217" s="3" t="str">
        <f>IFERROR(__xludf.DUMMYFUNCTION("""COMPUTED_VALUE"""),"Pcs")</f>
        <v>Pcs</v>
      </c>
      <c r="I217" s="3" t="str">
        <f>IFERROR(__xludf.DUMMYFUNCTION("""COMPUTED_VALUE"""),"Sering Terpakai")</f>
        <v>Sering Terpakai</v>
      </c>
      <c r="J217" s="3" t="str">
        <f>IFERROR(__xludf.DUMMYFUNCTION("""COMPUTED_VALUE"""),"P-12282-00")</f>
        <v>P-12282-00</v>
      </c>
      <c r="K217" s="3" t="str">
        <f>IFERROR(__xludf.DUMMYFUNCTION("""COMPUTED_VALUE"""),"Approve")</f>
        <v>Approve</v>
      </c>
      <c r="L217" s="3" t="str">
        <f>IFERROR(__xludf.DUMMYFUNCTION("""COMPUTED_VALUE"""),"Normal")</f>
        <v>Normal</v>
      </c>
      <c r="M217" s="3" t="str">
        <f>IFERROR(__xludf.DUMMYFUNCTION("""COMPUTED_VALUE"""),"Non Urgent")</f>
        <v>Non Urgent</v>
      </c>
      <c r="N217" s="3">
        <f>IFERROR(__xludf.DUMMYFUNCTION("""COMPUTED_VALUE"""),45818.360991215275)</f>
        <v>45818.36099</v>
      </c>
    </row>
    <row r="218">
      <c r="A218" s="4">
        <f>IFERROR(__xludf.DUMMYFUNCTION("""COMPUTED_VALUE"""),45812.66628575231)</f>
        <v>45812.66629</v>
      </c>
      <c r="B218" s="3" t="str">
        <f>IFERROR(__xludf.DUMMYFUNCTION("""COMPUTED_VALUE"""),"MOBRO0048")</f>
        <v>MOBRO0048</v>
      </c>
      <c r="C218" s="3" t="str">
        <f>IFERROR(__xludf.DUMMYFUNCTION("""COMPUTED_VALUE"""),"MIn Stok")</f>
        <v>MIn Stok</v>
      </c>
      <c r="D218" s="3" t="str">
        <f>IFERROR(__xludf.DUMMYFUNCTION("""COMPUTED_VALUE"""),"-")</f>
        <v>-</v>
      </c>
      <c r="E218" s="3" t="str">
        <f>IFERROR(__xludf.DUMMYFUNCTION("""COMPUTED_VALUE"""),"Fitting PVC")</f>
        <v>Fitting PVC</v>
      </c>
      <c r="F218" s="3" t="str">
        <f>IFERROR(__xludf.DUMMYFUNCTION("""COMPUTED_VALUE"""),"General - Reducer, PVC, 1"" x 1/2""; Rucika; -; 1 pcs")</f>
        <v>General - Reducer, PVC, 1" x 1/2"; Rucika; -; 1 pcs</v>
      </c>
      <c r="G218" s="3">
        <f>IFERROR(__xludf.DUMMYFUNCTION("""COMPUTED_VALUE"""),6.0)</f>
        <v>6</v>
      </c>
      <c r="H218" s="3" t="str">
        <f>IFERROR(__xludf.DUMMYFUNCTION("""COMPUTED_VALUE"""),"Pcs")</f>
        <v>Pcs</v>
      </c>
      <c r="I218" s="3" t="str">
        <f>IFERROR(__xludf.DUMMYFUNCTION("""COMPUTED_VALUE"""),"Sering Terpakai")</f>
        <v>Sering Terpakai</v>
      </c>
      <c r="J218" s="3" t="str">
        <f>IFERROR(__xludf.DUMMYFUNCTION("""COMPUTED_VALUE"""),"P-10874-00")</f>
        <v>P-10874-00</v>
      </c>
      <c r="K218" s="3" t="str">
        <f>IFERROR(__xludf.DUMMYFUNCTION("""COMPUTED_VALUE"""),"Approve")</f>
        <v>Approve</v>
      </c>
      <c r="L218" s="3" t="str">
        <f>IFERROR(__xludf.DUMMYFUNCTION("""COMPUTED_VALUE"""),"Normal")</f>
        <v>Normal</v>
      </c>
      <c r="M218" s="3" t="str">
        <f>IFERROR(__xludf.DUMMYFUNCTION("""COMPUTED_VALUE"""),"Non Urgent")</f>
        <v>Non Urgent</v>
      </c>
      <c r="N218" s="3">
        <f>IFERROR(__xludf.DUMMYFUNCTION("""COMPUTED_VALUE"""),45818.36162940972)</f>
        <v>45818.36163</v>
      </c>
    </row>
    <row r="219">
      <c r="A219" s="4">
        <f>IFERROR(__xludf.DUMMYFUNCTION("""COMPUTED_VALUE"""),45812.667465590275)</f>
        <v>45812.66747</v>
      </c>
      <c r="B219" s="3" t="str">
        <f>IFERROR(__xludf.DUMMYFUNCTION("""COMPUTED_VALUE"""),"MOBRO0049")</f>
        <v>MOBRO0049</v>
      </c>
      <c r="C219" s="3" t="str">
        <f>IFERROR(__xludf.DUMMYFUNCTION("""COMPUTED_VALUE"""),"MIn Stok")</f>
        <v>MIn Stok</v>
      </c>
      <c r="D219" s="3" t="str">
        <f>IFERROR(__xludf.DUMMYFUNCTION("""COMPUTED_VALUE"""),"-")</f>
        <v>-</v>
      </c>
      <c r="E219" s="3" t="str">
        <f>IFERROR(__xludf.DUMMYFUNCTION("""COMPUTED_VALUE"""),"Fitting PVC")</f>
        <v>Fitting PVC</v>
      </c>
      <c r="F219" s="3" t="str">
        <f>IFERROR(__xludf.DUMMYFUNCTION("""COMPUTED_VALUE"""),"RUCIKA - Pipa PVC aw dia 1/2 inch Warna Abu-Abu")</f>
        <v>RUCIKA - Pipa PVC aw dia 1/2 inch Warna Abu-Abu</v>
      </c>
      <c r="G219" s="3">
        <f>IFERROR(__xludf.DUMMYFUNCTION("""COMPUTED_VALUE"""),6.0)</f>
        <v>6</v>
      </c>
      <c r="H219" s="3" t="str">
        <f>IFERROR(__xludf.DUMMYFUNCTION("""COMPUTED_VALUE"""),"Pcs")</f>
        <v>Pcs</v>
      </c>
      <c r="I219" s="3" t="str">
        <f>IFERROR(__xludf.DUMMYFUNCTION("""COMPUTED_VALUE"""),"Sudah Terpakai")</f>
        <v>Sudah Terpakai</v>
      </c>
      <c r="J219" s="3" t="str">
        <f>IFERROR(__xludf.DUMMYFUNCTION("""COMPUTED_VALUE"""),"P-12750-00")</f>
        <v>P-12750-00</v>
      </c>
      <c r="K219" s="3" t="str">
        <f>IFERROR(__xludf.DUMMYFUNCTION("""COMPUTED_VALUE"""),"Approve")</f>
        <v>Approve</v>
      </c>
      <c r="L219" s="3" t="str">
        <f>IFERROR(__xludf.DUMMYFUNCTION("""COMPUTED_VALUE"""),"Normal")</f>
        <v>Normal</v>
      </c>
      <c r="M219" s="3" t="str">
        <f>IFERROR(__xludf.DUMMYFUNCTION("""COMPUTED_VALUE"""),"Non Urgent")</f>
        <v>Non Urgent</v>
      </c>
      <c r="N219" s="3">
        <f>IFERROR(__xludf.DUMMYFUNCTION("""COMPUTED_VALUE"""),45818.36195636574)</f>
        <v>45818.36196</v>
      </c>
    </row>
    <row r="220">
      <c r="A220" s="4">
        <f>IFERROR(__xludf.DUMMYFUNCTION("""COMPUTED_VALUE"""),45817.69481939815)</f>
        <v>45817.69482</v>
      </c>
      <c r="B220" s="3" t="str">
        <f>IFERROR(__xludf.DUMMYFUNCTION("""COMPUTED_VALUE"""),"MOBRO0050")</f>
        <v>MOBRO0050</v>
      </c>
      <c r="C220" s="3" t="str">
        <f>IFERROR(__xludf.DUMMYFUNCTION("""COMPUTED_VALUE"""),"EJO")</f>
        <v>EJO</v>
      </c>
      <c r="D220" s="3" t="str">
        <f>IFERROR(__xludf.DUMMYFUNCTION("""COMPUTED_VALUE"""),"-")</f>
        <v>-</v>
      </c>
      <c r="E220" s="3" t="str">
        <f>IFERROR(__xludf.DUMMYFUNCTION("""COMPUTED_VALUE"""),"PSG")</f>
        <v>PSG</v>
      </c>
      <c r="F220" s="3" t="str">
        <f>IFERROR(__xludf.DUMMYFUNCTION("""COMPUTED_VALUE"""),"PRESSURE SWITCH DANFOSS, DANFOSS, KP35")</f>
        <v>PRESSURE SWITCH DANFOSS, DANFOSS, KP35</v>
      </c>
      <c r="G220" s="3">
        <f>IFERROR(__xludf.DUMMYFUNCTION("""COMPUTED_VALUE"""),2.0)</f>
        <v>2</v>
      </c>
      <c r="H220" s="3" t="str">
        <f>IFERROR(__xludf.DUMMYFUNCTION("""COMPUTED_VALUE"""),"Pcs")</f>
        <v>Pcs</v>
      </c>
      <c r="I220" s="3" t="str">
        <f>IFERROR(__xludf.DUMMYFUNCTION("""COMPUTED_VALUE"""),"EJO")</f>
        <v>EJO</v>
      </c>
      <c r="J220" s="3" t="str">
        <f>IFERROR(__xludf.DUMMYFUNCTION("""COMPUTED_VALUE"""),"P-15863-00")</f>
        <v>P-15863-00</v>
      </c>
      <c r="K220" s="3" t="str">
        <f>IFERROR(__xludf.DUMMYFUNCTION("""COMPUTED_VALUE"""),"Approve")</f>
        <v>Approve</v>
      </c>
      <c r="L220" s="3" t="str">
        <f>IFERROR(__xludf.DUMMYFUNCTION("""COMPUTED_VALUE"""),"Normal")</f>
        <v>Normal</v>
      </c>
      <c r="M220" s="3" t="str">
        <f>IFERROR(__xludf.DUMMYFUNCTION("""COMPUTED_VALUE"""),"Non Urgent")</f>
        <v>Non Urgent</v>
      </c>
      <c r="N220" s="3">
        <f>IFERROR(__xludf.DUMMYFUNCTION("""COMPUTED_VALUE"""),45818.362645416666)</f>
        <v>45818.36265</v>
      </c>
    </row>
    <row r="221">
      <c r="A221" s="4">
        <f>IFERROR(__xludf.DUMMYFUNCTION("""COMPUTED_VALUE"""),45819.63492790509)</f>
        <v>45819.63493</v>
      </c>
      <c r="B221" s="3" t="str">
        <f>IFERROR(__xludf.DUMMYFUNCTION("""COMPUTED_VALUE"""),"ROSRO0008")</f>
        <v>ROSRO0008</v>
      </c>
      <c r="C221" s="3" t="str">
        <f>IFERROR(__xludf.DUMMYFUNCTION("""COMPUTED_VALUE"""),"Consumable")</f>
        <v>Consumable</v>
      </c>
      <c r="D221" s="3" t="str">
        <f>IFERROR(__xludf.DUMMYFUNCTION("""COMPUTED_VALUE"""),"-")</f>
        <v>-</v>
      </c>
      <c r="E221" s="3" t="str">
        <f>IFERROR(__xludf.DUMMYFUNCTION("""COMPUTED_VALUE"""),"Las Asetilin ")</f>
        <v>Las Asetilin </v>
      </c>
      <c r="F221" s="3" t="str">
        <f>IFERROR(__xludf.DUMMYFUNCTION("""COMPUTED_VALUE"""),"General - Kawat Las Tembaga Dia  = 3,2  X 450 mm; Harris; -; 1 Pc")</f>
        <v>General - Kawat Las Tembaga Dia  = 3,2  X 450 mm; Harris; -; 1 Pc</v>
      </c>
      <c r="G221" s="3">
        <f>IFERROR(__xludf.DUMMYFUNCTION("""COMPUTED_VALUE"""),50.0)</f>
        <v>50</v>
      </c>
      <c r="H221" s="3" t="str">
        <f>IFERROR(__xludf.DUMMYFUNCTION("""COMPUTED_VALUE"""),"pcs")</f>
        <v>pcs</v>
      </c>
      <c r="I221" s="3" t="str">
        <f>IFERROR(__xludf.DUMMYFUNCTION("""COMPUTED_VALUE"""),"stok sparepart ")</f>
        <v>stok sparepart </v>
      </c>
      <c r="J221" s="3" t="str">
        <f>IFERROR(__xludf.DUMMYFUNCTION("""COMPUTED_VALUE"""),"P-10958-00")</f>
        <v>P-10958-00</v>
      </c>
      <c r="K221" s="3" t="str">
        <f>IFERROR(__xludf.DUMMYFUNCTION("""COMPUTED_VALUE"""),"Approve")</f>
        <v>Approve</v>
      </c>
      <c r="L221" s="3" t="str">
        <f>IFERROR(__xludf.DUMMYFUNCTION("""COMPUTED_VALUE"""),"Normal")</f>
        <v>Normal</v>
      </c>
      <c r="M221" s="3" t="str">
        <f>IFERROR(__xludf.DUMMYFUNCTION("""COMPUTED_VALUE"""),"Non Urgent")</f>
        <v>Non Urgent</v>
      </c>
      <c r="N221" s="3">
        <f>IFERROR(__xludf.DUMMYFUNCTION("""COMPUTED_VALUE"""),45825.37510420139)</f>
        <v>45825.3751</v>
      </c>
    </row>
    <row r="222">
      <c r="A222" s="4">
        <f>IFERROR(__xludf.DUMMYFUNCTION("""COMPUTED_VALUE"""),45824.678208240744)</f>
        <v>45824.67821</v>
      </c>
      <c r="B222" s="3" t="str">
        <f>IFERROR(__xludf.DUMMYFUNCTION("""COMPUTED_VALUE"""),"MOBRO0051")</f>
        <v>MOBRO0051</v>
      </c>
      <c r="C222" s="3" t="str">
        <f>IFERROR(__xludf.DUMMYFUNCTION("""COMPUTED_VALUE"""),"MIn Stok")</f>
        <v>MIn Stok</v>
      </c>
      <c r="D222" s="3" t="str">
        <f>IFERROR(__xludf.DUMMYFUNCTION("""COMPUTED_VALUE"""),"-")</f>
        <v>-</v>
      </c>
      <c r="E222" s="3" t="str">
        <f>IFERROR(__xludf.DUMMYFUNCTION("""COMPUTED_VALUE"""),"Plumbing")</f>
        <v>Plumbing</v>
      </c>
      <c r="F222" s="3" t="str">
        <f>IFERROR(__xludf.DUMMYFUNCTION("""COMPUTED_VALUE"""),"Fitting PVC - Elbow PVC 1""")</f>
        <v>Fitting PVC - Elbow PVC 1"</v>
      </c>
      <c r="G222" s="3">
        <f>IFERROR(__xludf.DUMMYFUNCTION("""COMPUTED_VALUE"""),17.0)</f>
        <v>17</v>
      </c>
      <c r="H222" s="3" t="str">
        <f>IFERROR(__xludf.DUMMYFUNCTION("""COMPUTED_VALUE"""),"Pcs")</f>
        <v>Pcs</v>
      </c>
      <c r="I222" s="3" t="str">
        <f>IFERROR(__xludf.DUMMYFUNCTION("""COMPUTED_VALUE"""),"Stok habis buat Scaling HE Mixing")</f>
        <v>Stok habis buat Scaling HE Mixing</v>
      </c>
      <c r="J222" s="3" t="str">
        <f>IFERROR(__xludf.DUMMYFUNCTION("""COMPUTED_VALUE"""),"P-10860-00")</f>
        <v>P-10860-00</v>
      </c>
      <c r="K222" s="3" t="str">
        <f>IFERROR(__xludf.DUMMYFUNCTION("""COMPUTED_VALUE"""),"Approve")</f>
        <v>Approve</v>
      </c>
      <c r="L222" s="3" t="str">
        <f>IFERROR(__xludf.DUMMYFUNCTION("""COMPUTED_VALUE"""),"Normal")</f>
        <v>Normal</v>
      </c>
      <c r="M222" s="3" t="str">
        <f>IFERROR(__xludf.DUMMYFUNCTION("""COMPUTED_VALUE"""),"Non Urgent")</f>
        <v>Non Urgent</v>
      </c>
      <c r="N222" s="3">
        <f>IFERROR(__xludf.DUMMYFUNCTION("""COMPUTED_VALUE"""),45825.5606677662)</f>
        <v>45825.56067</v>
      </c>
    </row>
    <row r="223">
      <c r="A223" s="4">
        <f>IFERROR(__xludf.DUMMYFUNCTION("""COMPUTED_VALUE"""),45824.679419583335)</f>
        <v>45824.67942</v>
      </c>
      <c r="B223" s="3" t="str">
        <f>IFERROR(__xludf.DUMMYFUNCTION("""COMPUTED_VALUE"""),"MOBRO0052")</f>
        <v>MOBRO0052</v>
      </c>
      <c r="C223" s="3" t="str">
        <f>IFERROR(__xludf.DUMMYFUNCTION("""COMPUTED_VALUE"""),"MIn Stok")</f>
        <v>MIn Stok</v>
      </c>
      <c r="D223" s="3" t="str">
        <f>IFERROR(__xludf.DUMMYFUNCTION("""COMPUTED_VALUE"""),"-")</f>
        <v>-</v>
      </c>
      <c r="E223" s="3" t="str">
        <f>IFERROR(__xludf.DUMMYFUNCTION("""COMPUTED_VALUE"""),"Plumbing")</f>
        <v>Plumbing</v>
      </c>
      <c r="F223" s="3" t="str">
        <f>IFERROR(__xludf.DUMMYFUNCTION("""COMPUTED_VALUE"""),"Water Mur PVC dia 1inch")</f>
        <v>Water Mur PVC dia 1inch</v>
      </c>
      <c r="G223" s="3">
        <f>IFERROR(__xludf.DUMMYFUNCTION("""COMPUTED_VALUE"""),6.0)</f>
        <v>6</v>
      </c>
      <c r="H223" s="3" t="str">
        <f>IFERROR(__xludf.DUMMYFUNCTION("""COMPUTED_VALUE"""),"Pcs")</f>
        <v>Pcs</v>
      </c>
      <c r="I223" s="3" t="str">
        <f>IFERROR(__xludf.DUMMYFUNCTION("""COMPUTED_VALUE"""),"Stok habis buat Scaling HE Mixing")</f>
        <v>Stok habis buat Scaling HE Mixing</v>
      </c>
      <c r="J223" s="3" t="str">
        <f>IFERROR(__xludf.DUMMYFUNCTION("""COMPUTED_VALUE"""),"P-12942-00")</f>
        <v>P-12942-00</v>
      </c>
      <c r="K223" s="3" t="str">
        <f>IFERROR(__xludf.DUMMYFUNCTION("""COMPUTED_VALUE"""),"Approve")</f>
        <v>Approve</v>
      </c>
      <c r="L223" s="3" t="str">
        <f>IFERROR(__xludf.DUMMYFUNCTION("""COMPUTED_VALUE"""),"Normal")</f>
        <v>Normal</v>
      </c>
      <c r="M223" s="3" t="str">
        <f>IFERROR(__xludf.DUMMYFUNCTION("""COMPUTED_VALUE"""),"Non Urgent")</f>
        <v>Non Urgent</v>
      </c>
      <c r="N223" s="3">
        <f>IFERROR(__xludf.DUMMYFUNCTION("""COMPUTED_VALUE"""),45825.56085814815)</f>
        <v>45825.56086</v>
      </c>
    </row>
    <row r="224">
      <c r="A224" s="4">
        <f>IFERROR(__xludf.DUMMYFUNCTION("""COMPUTED_VALUE"""),45824.67994685185)</f>
        <v>45824.67995</v>
      </c>
      <c r="B224" s="3" t="str">
        <f>IFERROR(__xludf.DUMMYFUNCTION("""COMPUTED_VALUE"""),"MOBRO0053")</f>
        <v>MOBRO0053</v>
      </c>
      <c r="C224" s="3" t="str">
        <f>IFERROR(__xludf.DUMMYFUNCTION("""COMPUTED_VALUE"""),"MIn Stok")</f>
        <v>MIn Stok</v>
      </c>
      <c r="D224" s="3" t="str">
        <f>IFERROR(__xludf.DUMMYFUNCTION("""COMPUTED_VALUE"""),"-")</f>
        <v>-</v>
      </c>
      <c r="E224" s="3" t="str">
        <f>IFERROR(__xludf.DUMMYFUNCTION("""COMPUTED_VALUE"""),"Plumbing")</f>
        <v>Plumbing</v>
      </c>
      <c r="F224" s="3" t="str">
        <f>IFERROR(__xludf.DUMMYFUNCTION("""COMPUTED_VALUE"""),"RUCIKA - Pipa PVC AW dia 1 inch Warna Abu-Abu")</f>
        <v>RUCIKA - Pipa PVC AW dia 1 inch Warna Abu-Abu</v>
      </c>
      <c r="G224" s="3">
        <f>IFERROR(__xludf.DUMMYFUNCTION("""COMPUTED_VALUE"""),6.0)</f>
        <v>6</v>
      </c>
      <c r="H224" s="3" t="str">
        <f>IFERROR(__xludf.DUMMYFUNCTION("""COMPUTED_VALUE"""),"Pcs")</f>
        <v>Pcs</v>
      </c>
      <c r="I224" s="3" t="str">
        <f>IFERROR(__xludf.DUMMYFUNCTION("""COMPUTED_VALUE"""),"Stok habis buat Scaling HE Mixing")</f>
        <v>Stok habis buat Scaling HE Mixing</v>
      </c>
      <c r="J224" s="3" t="str">
        <f>IFERROR(__xludf.DUMMYFUNCTION("""COMPUTED_VALUE"""),"P-12749-00")</f>
        <v>P-12749-00</v>
      </c>
      <c r="K224" s="3" t="str">
        <f>IFERROR(__xludf.DUMMYFUNCTION("""COMPUTED_VALUE"""),"Approve")</f>
        <v>Approve</v>
      </c>
      <c r="L224" s="3" t="str">
        <f>IFERROR(__xludf.DUMMYFUNCTION("""COMPUTED_VALUE"""),"Normal")</f>
        <v>Normal</v>
      </c>
      <c r="M224" s="3" t="str">
        <f>IFERROR(__xludf.DUMMYFUNCTION("""COMPUTED_VALUE"""),"Non Urgent")</f>
        <v>Non Urgent</v>
      </c>
      <c r="N224" s="3">
        <f>IFERROR(__xludf.DUMMYFUNCTION("""COMPUTED_VALUE"""),45825.56103586806)</f>
        <v>45825.56104</v>
      </c>
    </row>
    <row r="225">
      <c r="A225" s="4">
        <f>IFERROR(__xludf.DUMMYFUNCTION("""COMPUTED_VALUE"""),45824.68404150463)</f>
        <v>45824.68404</v>
      </c>
      <c r="B225" s="3" t="str">
        <f>IFERROR(__xludf.DUMMYFUNCTION("""COMPUTED_VALUE"""),"MOBRO0054")</f>
        <v>MOBRO0054</v>
      </c>
      <c r="C225" s="3" t="str">
        <f>IFERROR(__xludf.DUMMYFUNCTION("""COMPUTED_VALUE"""),"MIn Stok")</f>
        <v>MIn Stok</v>
      </c>
      <c r="D225" s="3" t="str">
        <f>IFERROR(__xludf.DUMMYFUNCTION("""COMPUTED_VALUE"""),"-")</f>
        <v>-</v>
      </c>
      <c r="E225" s="3" t="str">
        <f>IFERROR(__xludf.DUMMYFUNCTION("""COMPUTED_VALUE"""),"Support Part")</f>
        <v>Support Part</v>
      </c>
      <c r="F225" s="3" t="str">
        <f>IFERROR(__xludf.DUMMYFUNCTION("""COMPUTED_VALUE"""),"Container Box; Claris; ;")</f>
        <v>Container Box; Claris; ;</v>
      </c>
      <c r="G225" s="3">
        <f>IFERROR(__xludf.DUMMYFUNCTION("""COMPUTED_VALUE"""),2.0)</f>
        <v>2</v>
      </c>
      <c r="H225" s="3" t="str">
        <f>IFERROR(__xludf.DUMMYFUNCTION("""COMPUTED_VALUE"""),"Pcs")</f>
        <v>Pcs</v>
      </c>
      <c r="I225" s="3" t="str">
        <f>IFERROR(__xludf.DUMMYFUNCTION("""COMPUTED_VALUE"""),"Buat Scaling HE Mixing")</f>
        <v>Buat Scaling HE Mixing</v>
      </c>
      <c r="J225" s="3" t="str">
        <f>IFERROR(__xludf.DUMMYFUNCTION("""COMPUTED_VALUE"""),"S-40586-00")</f>
        <v>S-40586-00</v>
      </c>
      <c r="K225" s="3" t="str">
        <f>IFERROR(__xludf.DUMMYFUNCTION("""COMPUTED_VALUE"""),"Approve")</f>
        <v>Approve</v>
      </c>
      <c r="L225" s="3" t="str">
        <f>IFERROR(__xludf.DUMMYFUNCTION("""COMPUTED_VALUE"""),"Normal")</f>
        <v>Normal</v>
      </c>
      <c r="M225" s="3" t="str">
        <f>IFERROR(__xludf.DUMMYFUNCTION("""COMPUTED_VALUE"""),"Non Urgent")</f>
        <v>Non Urgent</v>
      </c>
      <c r="N225" s="3">
        <f>IFERROR(__xludf.DUMMYFUNCTION("""COMPUTED_VALUE"""),45825.561489189815)</f>
        <v>45825.56149</v>
      </c>
    </row>
    <row r="226">
      <c r="A226" s="4">
        <f>IFERROR(__xludf.DUMMYFUNCTION("""COMPUTED_VALUE"""),45824.713355023145)</f>
        <v>45824.71336</v>
      </c>
      <c r="B226" s="3" t="str">
        <f>IFERROR(__xludf.DUMMYFUNCTION("""COMPUTED_VALUE"""),"SFHRO0010")</f>
        <v>SFHRO0010</v>
      </c>
      <c r="C226" s="3" t="str">
        <f>IFERROR(__xludf.DUMMYFUNCTION("""COMPUTED_VALUE"""),"MIn Stok")</f>
        <v>MIn Stok</v>
      </c>
      <c r="D226" s="3" t="str">
        <f>IFERROR(__xludf.DUMMYFUNCTION("""COMPUTED_VALUE"""),"-")</f>
        <v>-</v>
      </c>
      <c r="E226" s="3" t="str">
        <f>IFERROR(__xludf.DUMMYFUNCTION("""COMPUTED_VALUE"""),"lantai 2")</f>
        <v>lantai 2</v>
      </c>
      <c r="F226" s="3" t="str">
        <f>IFERROR(__xludf.DUMMYFUNCTION("""COMPUTED_VALUE"""),"General - Chemical Cleaning; Kuclean; AC 101; 1 PL = 25 Kg")</f>
        <v>General - Chemical Cleaning; Kuclean; AC 101; 1 PL = 25 Kg</v>
      </c>
      <c r="G226" s="3">
        <f>IFERROR(__xludf.DUMMYFUNCTION("""COMPUTED_VALUE"""),25.0)</f>
        <v>25</v>
      </c>
      <c r="H226" s="3" t="str">
        <f>IFERROR(__xludf.DUMMYFUNCTION("""COMPUTED_VALUE"""),"jerigen")</f>
        <v>jerigen</v>
      </c>
      <c r="I226" s="3" t="str">
        <f>IFERROR(__xludf.DUMMYFUNCTION("""COMPUTED_VALUE"""),"-")</f>
        <v>-</v>
      </c>
      <c r="J226" s="3" t="str">
        <f>IFERROR(__xludf.DUMMYFUNCTION("""COMPUTED_VALUE"""),"P-19434-00")</f>
        <v>P-19434-00</v>
      </c>
      <c r="K226" s="3" t="str">
        <f>IFERROR(__xludf.DUMMYFUNCTION("""COMPUTED_VALUE"""),"Approve")</f>
        <v>Approve</v>
      </c>
      <c r="L226" s="3" t="str">
        <f>IFERROR(__xludf.DUMMYFUNCTION("""COMPUTED_VALUE"""),"Normal")</f>
        <v>Normal</v>
      </c>
      <c r="M226" s="3" t="str">
        <f>IFERROR(__xludf.DUMMYFUNCTION("""COMPUTED_VALUE"""),"Non Urgent")</f>
        <v>Non Urgent</v>
      </c>
      <c r="N226" s="3">
        <f>IFERROR(__xludf.DUMMYFUNCTION("""COMPUTED_VALUE"""),45825.46792096065)</f>
        <v>45825.46792</v>
      </c>
    </row>
    <row r="227">
      <c r="A227" s="4">
        <f>IFERROR(__xludf.DUMMYFUNCTION("""COMPUTED_VALUE"""),45825.50367079861)</f>
        <v>45825.50367</v>
      </c>
      <c r="B227" s="3" t="str">
        <f>IFERROR(__xludf.DUMMYFUNCTION("""COMPUTED_VALUE"""),"RIARO0039")</f>
        <v>RIARO0039</v>
      </c>
      <c r="C227" s="3" t="str">
        <f>IFERROR(__xludf.DUMMYFUNCTION("""COMPUTED_VALUE"""),"MIn Stok")</f>
        <v>MIn Stok</v>
      </c>
      <c r="D227" s="3" t="str">
        <f>IFERROR(__xludf.DUMMYFUNCTION("""COMPUTED_VALUE"""),"-")</f>
        <v>-</v>
      </c>
      <c r="E227" s="3" t="str">
        <f>IFERROR(__xludf.DUMMYFUNCTION("""COMPUTED_VALUE"""),"Water System")</f>
        <v>Water System</v>
      </c>
      <c r="F227" s="3" t="str">
        <f>IFERROR(__xludf.DUMMYFUNCTION("""COMPUTED_VALUE"""),"General - Emflon PFR membrane filter cartridge, 0.2 um sterilizing grade, 5-inch length, double-o-ring (silicone) with bayonet lock and flat end; Pall; AB05PFR2PVH4; 1 pcs")</f>
        <v>General - Emflon PFR membrane filter cartridge, 0.2 um sterilizing grade, 5-inch length, double-o-ring (silicone) with bayonet lock and flat end; Pall; AB05PFR2PVH4; 1 pcs</v>
      </c>
      <c r="G227" s="3">
        <f>IFERROR(__xludf.DUMMYFUNCTION("""COMPUTED_VALUE"""),2.0)</f>
        <v>2</v>
      </c>
      <c r="H227" s="3" t="str">
        <f>IFERROR(__xludf.DUMMYFUNCTION("""COMPUTED_VALUE"""),"Pcs")</f>
        <v>Pcs</v>
      </c>
      <c r="I227" s="3" t="str">
        <f>IFERROR(__xludf.DUMMYFUNCTION("""COMPUTED_VALUE"""),"Vent Filter")</f>
        <v>Vent Filter</v>
      </c>
      <c r="J227" s="3" t="str">
        <f>IFERROR(__xludf.DUMMYFUNCTION("""COMPUTED_VALUE"""),"O-12868-00")</f>
        <v>O-12868-00</v>
      </c>
      <c r="K227" s="3" t="str">
        <f>IFERROR(__xludf.DUMMYFUNCTION("""COMPUTED_VALUE"""),"Approve")</f>
        <v>Approve</v>
      </c>
      <c r="L227" s="3" t="str">
        <f>IFERROR(__xludf.DUMMYFUNCTION("""COMPUTED_VALUE"""),"Normal")</f>
        <v>Normal</v>
      </c>
      <c r="M227" s="3" t="str">
        <f>IFERROR(__xludf.DUMMYFUNCTION("""COMPUTED_VALUE"""),"Non Urgent")</f>
        <v>Non Urgent</v>
      </c>
      <c r="N227" s="3">
        <f>IFERROR(__xludf.DUMMYFUNCTION("""COMPUTED_VALUE"""),45826.57673298611)</f>
        <v>45826.57673</v>
      </c>
    </row>
    <row r="228">
      <c r="A228" s="4">
        <f>IFERROR(__xludf.DUMMYFUNCTION("""COMPUTED_VALUE"""),45825.504116909724)</f>
        <v>45825.50412</v>
      </c>
      <c r="B228" s="3" t="str">
        <f>IFERROR(__xludf.DUMMYFUNCTION("""COMPUTED_VALUE"""),"RIARO0040")</f>
        <v>RIARO0040</v>
      </c>
      <c r="C228" s="3" t="str">
        <f>IFERROR(__xludf.DUMMYFUNCTION("""COMPUTED_VALUE"""),"MIn Stok")</f>
        <v>MIn Stok</v>
      </c>
      <c r="D228" s="3" t="str">
        <f>IFERROR(__xludf.DUMMYFUNCTION("""COMPUTED_VALUE"""),"-")</f>
        <v>-</v>
      </c>
      <c r="E228" s="3" t="str">
        <f>IFERROR(__xludf.DUMMYFUNCTION("""COMPUTED_VALUE"""),"Water System")</f>
        <v>Water System</v>
      </c>
      <c r="F228" s="3" t="str">
        <f>IFERROR(__xludf.DUMMYFUNCTION("""COMPUTED_VALUE"""),"PALL - AB1PFR7PVH4, 0.2 um; ; ;")</f>
        <v>PALL - AB1PFR7PVH4, 0.2 um; ; ;</v>
      </c>
      <c r="G228" s="3">
        <f>IFERROR(__xludf.DUMMYFUNCTION("""COMPUTED_VALUE"""),2.0)</f>
        <v>2</v>
      </c>
      <c r="H228" s="3" t="str">
        <f>IFERROR(__xludf.DUMMYFUNCTION("""COMPUTED_VALUE"""),"Pcs")</f>
        <v>Pcs</v>
      </c>
      <c r="I228" s="3" t="str">
        <f>IFERROR(__xludf.DUMMYFUNCTION("""COMPUTED_VALUE"""),"Vent Filter")</f>
        <v>Vent Filter</v>
      </c>
      <c r="J228" s="3" t="str">
        <f>IFERROR(__xludf.DUMMYFUNCTION("""COMPUTED_VALUE"""),"P-17390-00")</f>
        <v>P-17390-00</v>
      </c>
      <c r="K228" s="3" t="str">
        <f>IFERROR(__xludf.DUMMYFUNCTION("""COMPUTED_VALUE"""),"Approve")</f>
        <v>Approve</v>
      </c>
      <c r="L228" s="3" t="str">
        <f>IFERROR(__xludf.DUMMYFUNCTION("""COMPUTED_VALUE"""),"Normal")</f>
        <v>Normal</v>
      </c>
      <c r="M228" s="3" t="str">
        <f>IFERROR(__xludf.DUMMYFUNCTION("""COMPUTED_VALUE"""),"Non Urgent")</f>
        <v>Non Urgent</v>
      </c>
      <c r="N228" s="3">
        <f>IFERROR(__xludf.DUMMYFUNCTION("""COMPUTED_VALUE"""),45826.57694428241)</f>
        <v>45826.57694</v>
      </c>
    </row>
    <row r="229">
      <c r="A229" s="4">
        <f>IFERROR(__xludf.DUMMYFUNCTION("""COMPUTED_VALUE"""),45825.51416234954)</f>
        <v>45825.51416</v>
      </c>
      <c r="B229" s="3" t="str">
        <f>IFERROR(__xludf.DUMMYFUNCTION("""COMPUTED_VALUE"""),"RIARO0041")</f>
        <v>RIARO0041</v>
      </c>
      <c r="C229" s="3" t="str">
        <f>IFERROR(__xludf.DUMMYFUNCTION("""COMPUTED_VALUE"""),"MIn Stok")</f>
        <v>MIn Stok</v>
      </c>
      <c r="D229" s="3" t="str">
        <f>IFERROR(__xludf.DUMMYFUNCTION("""COMPUTED_VALUE"""),"-")</f>
        <v>-</v>
      </c>
      <c r="E229" s="3" t="str">
        <f>IFERROR(__xludf.DUMMYFUNCTION("""COMPUTED_VALUE"""),"Water System")</f>
        <v>Water System</v>
      </c>
      <c r="F229" s="3" t="str">
        <f>IFERROR(__xludf.DUMMYFUNCTION("""COMPUTED_VALUE"""),"IMA F200 Filling Machine - Pall Mini Kleenpak Capsules with Supor EKV Membrane, Filter Capsule 4,1""/0,2 um/0,02 m2/Hydrophilic PVDF/code2/0,25-0,5"" hose barb; Pall; KA02DFLP8G; 1 pcs")</f>
        <v>IMA F200 Filling Machine - Pall Mini Kleenpak Capsules with Supor EKV Membrane, Filter Capsule 4,1"/0,2 um/0,02 m2/Hydrophilic PVDF/code2/0,25-0,5" hose barb; Pall; KA02DFLP8G; 1 pcs</v>
      </c>
      <c r="G229" s="3">
        <f>IFERROR(__xludf.DUMMYFUNCTION("""COMPUTED_VALUE"""),2.0)</f>
        <v>2</v>
      </c>
      <c r="H229" s="3" t="str">
        <f>IFERROR(__xludf.DUMMYFUNCTION("""COMPUTED_VALUE"""),"Pcs")</f>
        <v>Pcs</v>
      </c>
      <c r="I229" s="3" t="str">
        <f>IFERROR(__xludf.DUMMYFUNCTION("""COMPUTED_VALUE"""),"Vent Filter")</f>
        <v>Vent Filter</v>
      </c>
      <c r="J229" s="3" t="str">
        <f>IFERROR(__xludf.DUMMYFUNCTION("""COMPUTED_VALUE"""),"O-11287-00")</f>
        <v>O-11287-00</v>
      </c>
      <c r="K229" s="3" t="str">
        <f>IFERROR(__xludf.DUMMYFUNCTION("""COMPUTED_VALUE"""),"Approve")</f>
        <v>Approve</v>
      </c>
      <c r="L229" s="3" t="str">
        <f>IFERROR(__xludf.DUMMYFUNCTION("""COMPUTED_VALUE"""),"Normal")</f>
        <v>Normal</v>
      </c>
      <c r="M229" s="3" t="str">
        <f>IFERROR(__xludf.DUMMYFUNCTION("""COMPUTED_VALUE"""),"Non Urgent")</f>
        <v>Non Urgent</v>
      </c>
      <c r="N229" s="3">
        <f>IFERROR(__xludf.DUMMYFUNCTION("""COMPUTED_VALUE"""),45826.57715964121)</f>
        <v>45826.57716</v>
      </c>
    </row>
    <row r="230">
      <c r="A230" s="4">
        <f>IFERROR(__xludf.DUMMYFUNCTION("""COMPUTED_VALUE"""),45825.51444255788)</f>
        <v>45825.51444</v>
      </c>
      <c r="B230" s="3" t="str">
        <f>IFERROR(__xludf.DUMMYFUNCTION("""COMPUTED_VALUE"""),"RIARO0042")</f>
        <v>RIARO0042</v>
      </c>
      <c r="C230" s="3" t="str">
        <f>IFERROR(__xludf.DUMMYFUNCTION("""COMPUTED_VALUE"""),"MIn Stok")</f>
        <v>MIn Stok</v>
      </c>
      <c r="D230" s="3" t="str">
        <f>IFERROR(__xludf.DUMMYFUNCTION("""COMPUTED_VALUE"""),"-")</f>
        <v>-</v>
      </c>
      <c r="E230" s="3" t="str">
        <f>IFERROR(__xludf.DUMMYFUNCTION("""COMPUTED_VALUE"""),"Water System")</f>
        <v>Water System</v>
      </c>
      <c r="F230" s="3" t="str">
        <f>IFERROR(__xludf.DUMMYFUNCTION("""COMPUTED_VALUE"""),"AUTOCLAVE Lab Mikro - PALL Emflon Filter 0,2um p/n C3PFRP1")</f>
        <v>AUTOCLAVE Lab Mikro - PALL Emflon Filter 0,2um p/n C3PFRP1</v>
      </c>
      <c r="G230" s="3">
        <f>IFERROR(__xludf.DUMMYFUNCTION("""COMPUTED_VALUE"""),2.0)</f>
        <v>2</v>
      </c>
      <c r="H230" s="3" t="str">
        <f>IFERROR(__xludf.DUMMYFUNCTION("""COMPUTED_VALUE"""),"Pcs")</f>
        <v>Pcs</v>
      </c>
      <c r="I230" s="3" t="str">
        <f>IFERROR(__xludf.DUMMYFUNCTION("""COMPUTED_VALUE"""),"Vent Filter")</f>
        <v>Vent Filter</v>
      </c>
      <c r="J230" s="3" t="str">
        <f>IFERROR(__xludf.DUMMYFUNCTION("""COMPUTED_VALUE"""),"O-13062-00")</f>
        <v>O-13062-00</v>
      </c>
      <c r="K230" s="3" t="str">
        <f>IFERROR(__xludf.DUMMYFUNCTION("""COMPUTED_VALUE"""),"Approve")</f>
        <v>Approve</v>
      </c>
      <c r="L230" s="3" t="str">
        <f>IFERROR(__xludf.DUMMYFUNCTION("""COMPUTED_VALUE"""),"Normal")</f>
        <v>Normal</v>
      </c>
      <c r="M230" s="3" t="str">
        <f>IFERROR(__xludf.DUMMYFUNCTION("""COMPUTED_VALUE"""),"Non Urgent")</f>
        <v>Non Urgent</v>
      </c>
      <c r="N230" s="3">
        <f>IFERROR(__xludf.DUMMYFUNCTION("""COMPUTED_VALUE"""),45826.57735412037)</f>
        <v>45826.57735</v>
      </c>
    </row>
    <row r="231">
      <c r="A231" s="4">
        <f>IFERROR(__xludf.DUMMYFUNCTION("""COMPUTED_VALUE"""),45833.13751090277)</f>
        <v>45833.13751</v>
      </c>
      <c r="B231" s="3" t="str">
        <f>IFERROR(__xludf.DUMMYFUNCTION("""COMPUTED_VALUE"""),"MRNRO0021")</f>
        <v>MRNRO0021</v>
      </c>
      <c r="C231" s="3" t="str">
        <f>IFERROR(__xludf.DUMMYFUNCTION("""COMPUTED_VALUE"""),"EJO")</f>
        <v>EJO</v>
      </c>
      <c r="D231" s="3" t="str">
        <f>IFERROR(__xludf.DUMMYFUNCTION("""COMPUTED_VALUE"""),"EJO/2025/06/162")</f>
        <v>EJO/2025/06/162</v>
      </c>
      <c r="E231" s="3" t="str">
        <f>IFERROR(__xludf.DUMMYFUNCTION("""COMPUTED_VALUE"""),"wwtp")</f>
        <v>wwtp</v>
      </c>
      <c r="F231" s="3" t="str">
        <f>IFERROR(__xludf.DUMMYFUNCTION("""COMPUTED_VALUE"""),"Water Mur PVC dia 1inch")</f>
        <v>Water Mur PVC dia 1inch</v>
      </c>
      <c r="G231" s="3">
        <f>IFERROR(__xludf.DUMMYFUNCTION("""COMPUTED_VALUE"""),5.0)</f>
        <v>5</v>
      </c>
      <c r="H231" s="3" t="str">
        <f>IFERROR(__xludf.DUMMYFUNCTION("""COMPUTED_VALUE"""),"pcs")</f>
        <v>pcs</v>
      </c>
      <c r="I231" s="3" t="str">
        <f>IFERROR(__xludf.DUMMYFUNCTION("""COMPUTED_VALUE"""),"buat pipa bocor")</f>
        <v>buat pipa bocor</v>
      </c>
      <c r="J231" s="3" t="str">
        <f>IFERROR(__xludf.DUMMYFUNCTION("""COMPUTED_VALUE"""),"P-12942-00")</f>
        <v>P-12942-00</v>
      </c>
      <c r="K231" s="3" t="str">
        <f>IFERROR(__xludf.DUMMYFUNCTION("""COMPUTED_VALUE"""),"Approve")</f>
        <v>Approve</v>
      </c>
      <c r="L231" s="3" t="str">
        <f>IFERROR(__xludf.DUMMYFUNCTION("""COMPUTED_VALUE"""),"Normal")</f>
        <v>Normal</v>
      </c>
      <c r="M231" s="3" t="str">
        <f>IFERROR(__xludf.DUMMYFUNCTION("""COMPUTED_VALUE"""),"Non Urgent")</f>
        <v>Non Urgent</v>
      </c>
      <c r="N231" s="3">
        <f>IFERROR(__xludf.DUMMYFUNCTION("""COMPUTED_VALUE"""),45838.871007511574)</f>
        <v>45838.87101</v>
      </c>
    </row>
    <row r="232">
      <c r="A232" s="4">
        <f>IFERROR(__xludf.DUMMYFUNCTION("""COMPUTED_VALUE"""),45833.138484780095)</f>
        <v>45833.13848</v>
      </c>
      <c r="B232" s="3" t="str">
        <f>IFERROR(__xludf.DUMMYFUNCTION("""COMPUTED_VALUE"""),"MRNRO0022")</f>
        <v>MRNRO0022</v>
      </c>
      <c r="C232" s="3" t="str">
        <f>IFERROR(__xludf.DUMMYFUNCTION("""COMPUTED_VALUE"""),"EJO")</f>
        <v>EJO</v>
      </c>
      <c r="D232" s="3" t="str">
        <f>IFERROR(__xludf.DUMMYFUNCTION("""COMPUTED_VALUE"""),"EJO/2025/06/163")</f>
        <v>EJO/2025/06/163</v>
      </c>
      <c r="E232" s="3" t="str">
        <f>IFERROR(__xludf.DUMMYFUNCTION("""COMPUTED_VALUE"""),"wwtp")</f>
        <v>wwtp</v>
      </c>
      <c r="F232" s="3" t="str">
        <f>IFERROR(__xludf.DUMMYFUNCTION("""COMPUTED_VALUE"""),"Ball Valve PVC 1""")</f>
        <v>Ball Valve PVC 1"</v>
      </c>
      <c r="G232" s="3">
        <f>IFERROR(__xludf.DUMMYFUNCTION("""COMPUTED_VALUE"""),5.0)</f>
        <v>5</v>
      </c>
      <c r="H232" s="3" t="str">
        <f>IFERROR(__xludf.DUMMYFUNCTION("""COMPUTED_VALUE"""),"pcs")</f>
        <v>pcs</v>
      </c>
      <c r="I232" s="3" t="str">
        <f>IFERROR(__xludf.DUMMYFUNCTION("""COMPUTED_VALUE"""),"buat pipa bocor")</f>
        <v>buat pipa bocor</v>
      </c>
      <c r="J232" s="3" t="str">
        <f>IFERROR(__xludf.DUMMYFUNCTION("""COMPUTED_VALUE"""),"P-10390-00")</f>
        <v>P-10390-00</v>
      </c>
      <c r="K232" s="3" t="str">
        <f>IFERROR(__xludf.DUMMYFUNCTION("""COMPUTED_VALUE"""),"Approve")</f>
        <v>Approve</v>
      </c>
      <c r="L232" s="3" t="str">
        <f>IFERROR(__xludf.DUMMYFUNCTION("""COMPUTED_VALUE"""),"Normal")</f>
        <v>Normal</v>
      </c>
      <c r="M232" s="3" t="str">
        <f>IFERROR(__xludf.DUMMYFUNCTION("""COMPUTED_VALUE"""),"Non Urgent")</f>
        <v>Non Urgent</v>
      </c>
      <c r="N232" s="3">
        <f>IFERROR(__xludf.DUMMYFUNCTION("""COMPUTED_VALUE"""),45838.870817013885)</f>
        <v>45838.87082</v>
      </c>
    </row>
    <row r="233">
      <c r="A233" s="4">
        <f>IFERROR(__xludf.DUMMYFUNCTION("""COMPUTED_VALUE"""),45833.139160694445)</f>
        <v>45833.13916</v>
      </c>
      <c r="B233" s="3" t="str">
        <f>IFERROR(__xludf.DUMMYFUNCTION("""COMPUTED_VALUE"""),"MRNRO0023")</f>
        <v>MRNRO0023</v>
      </c>
      <c r="C233" s="3" t="str">
        <f>IFERROR(__xludf.DUMMYFUNCTION("""COMPUTED_VALUE"""),"EJO")</f>
        <v>EJO</v>
      </c>
      <c r="D233" s="3" t="str">
        <f>IFERROR(__xludf.DUMMYFUNCTION("""COMPUTED_VALUE"""),"EJO/2025/06/164")</f>
        <v>EJO/2025/06/164</v>
      </c>
      <c r="E233" s="3" t="str">
        <f>IFERROR(__xludf.DUMMYFUNCTION("""COMPUTED_VALUE"""),"wwtp")</f>
        <v>wwtp</v>
      </c>
      <c r="F233" s="3" t="str">
        <f>IFERROR(__xludf.DUMMYFUNCTION("""COMPUTED_VALUE"""),"General - Clamp Selang, SS 1 1/4""; Tridon; -; 1 pcs")</f>
        <v>General - Clamp Selang, SS 1 1/4"; Tridon; -; 1 pcs</v>
      </c>
      <c r="G233" s="3">
        <f>IFERROR(__xludf.DUMMYFUNCTION("""COMPUTED_VALUE"""),5.0)</f>
        <v>5</v>
      </c>
      <c r="H233" s="3" t="str">
        <f>IFERROR(__xludf.DUMMYFUNCTION("""COMPUTED_VALUE"""),"pcs")</f>
        <v>pcs</v>
      </c>
      <c r="I233" s="3" t="str">
        <f>IFERROR(__xludf.DUMMYFUNCTION("""COMPUTED_VALUE"""),"buat pipa bocor")</f>
        <v>buat pipa bocor</v>
      </c>
      <c r="J233" s="3" t="str">
        <f>IFERROR(__xludf.DUMMYFUNCTION("""COMPUTED_VALUE"""),"P-12077-00")</f>
        <v>P-12077-00</v>
      </c>
      <c r="K233" s="3" t="str">
        <f>IFERROR(__xludf.DUMMYFUNCTION("""COMPUTED_VALUE"""),"Approve")</f>
        <v>Approve</v>
      </c>
      <c r="L233" s="3" t="str">
        <f>IFERROR(__xludf.DUMMYFUNCTION("""COMPUTED_VALUE"""),"Normal")</f>
        <v>Normal</v>
      </c>
      <c r="M233" s="3" t="str">
        <f>IFERROR(__xludf.DUMMYFUNCTION("""COMPUTED_VALUE"""),"Non Urgent")</f>
        <v>Non Urgent</v>
      </c>
      <c r="N233" s="3">
        <f>IFERROR(__xludf.DUMMYFUNCTION("""COMPUTED_VALUE"""),45838.87061869213)</f>
        <v>45838.87062</v>
      </c>
    </row>
    <row r="234">
      <c r="A234" s="4">
        <f>IFERROR(__xludf.DUMMYFUNCTION("""COMPUTED_VALUE"""),45834.858387569446)</f>
        <v>45834.85839</v>
      </c>
      <c r="B234" s="3" t="str">
        <f>IFERROR(__xludf.DUMMYFUNCTION("""COMPUTED_VALUE"""),"MFHRO0100")</f>
        <v>MFHRO0100</v>
      </c>
      <c r="C234" s="3" t="str">
        <f>IFERROR(__xludf.DUMMYFUNCTION("""COMPUTED_VALUE"""),"Consumable")</f>
        <v>Consumable</v>
      </c>
      <c r="D234" s="3" t="str">
        <f>IFERROR(__xludf.DUMMYFUNCTION("""COMPUTED_VALUE"""),"-")</f>
        <v>-</v>
      </c>
      <c r="E234" s="3" t="str">
        <f>IFERROR(__xludf.DUMMYFUNCTION("""COMPUTED_VALUE"""),"General")</f>
        <v>General</v>
      </c>
      <c r="F234" s="3" t="str">
        <f>IFERROR(__xludf.DUMMYFUNCTION("""COMPUTED_VALUE"""),"Cleaner Stainless Stell &amp; Polish; 3M; ;")</f>
        <v>Cleaner Stainless Stell &amp; Polish; 3M; ;</v>
      </c>
      <c r="G234" s="3">
        <f>IFERROR(__xludf.DUMMYFUNCTION("""COMPUTED_VALUE"""),2.0)</f>
        <v>2</v>
      </c>
      <c r="H234" s="3" t="str">
        <f>IFERROR(__xludf.DUMMYFUNCTION("""COMPUTED_VALUE"""),"Can")</f>
        <v>Can</v>
      </c>
      <c r="I234" s="3" t="str">
        <f>IFERROR(__xludf.DUMMYFUNCTION("""COMPUTED_VALUE"""),"Untuk Consumable ENG 121702257 1878")</f>
        <v>Untuk Consumable ENG 121702257 1878</v>
      </c>
      <c r="J234" s="3" t="str">
        <f>IFERROR(__xludf.DUMMYFUNCTION("""COMPUTED_VALUE"""),"P-17830-00")</f>
        <v>P-17830-00</v>
      </c>
      <c r="K234" s="3" t="str">
        <f>IFERROR(__xludf.DUMMYFUNCTION("""COMPUTED_VALUE"""),"Approve")</f>
        <v>Approve</v>
      </c>
      <c r="L234" s="3" t="str">
        <f>IFERROR(__xludf.DUMMYFUNCTION("""COMPUTED_VALUE"""),"Normal")</f>
        <v>Normal</v>
      </c>
      <c r="M234" s="3" t="str">
        <f>IFERROR(__xludf.DUMMYFUNCTION("""COMPUTED_VALUE"""),"Non Urgent")</f>
        <v>Non Urgent</v>
      </c>
      <c r="N234" s="3">
        <f>IFERROR(__xludf.DUMMYFUNCTION("""COMPUTED_VALUE"""),45838.6246794676)</f>
        <v>45838.62468</v>
      </c>
    </row>
    <row r="235">
      <c r="A235" s="4">
        <f>IFERROR(__xludf.DUMMYFUNCTION("""COMPUTED_VALUE"""),45834.858387569446)</f>
        <v>45834.85839</v>
      </c>
      <c r="B235" s="3" t="str">
        <f>IFERROR(__xludf.DUMMYFUNCTION("""COMPUTED_VALUE"""),"MFHRO0101")</f>
        <v>MFHRO0101</v>
      </c>
      <c r="C235" s="3" t="str">
        <f>IFERROR(__xludf.DUMMYFUNCTION("""COMPUTED_VALUE"""),"Consumable")</f>
        <v>Consumable</v>
      </c>
      <c r="D235" s="3" t="str">
        <f>IFERROR(__xludf.DUMMYFUNCTION("""COMPUTED_VALUE"""),"-")</f>
        <v>-</v>
      </c>
      <c r="E235" s="3" t="str">
        <f>IFERROR(__xludf.DUMMYFUNCTION("""COMPUTED_VALUE"""),"Building")</f>
        <v>Building</v>
      </c>
      <c r="F235" s="3" t="str">
        <f>IFERROR(__xludf.DUMMYFUNCTION("""COMPUTED_VALUE"""),"Lampu PLC 13watt/E27 Putih; Phillips; ;")</f>
        <v>Lampu PLC 13watt/E27 Putih; Phillips; ;</v>
      </c>
      <c r="G235" s="3">
        <f>IFERROR(__xludf.DUMMYFUNCTION("""COMPUTED_VALUE"""),15.0)</f>
        <v>15</v>
      </c>
      <c r="H235" s="3" t="str">
        <f>IFERROR(__xludf.DUMMYFUNCTION("""COMPUTED_VALUE"""),"Pieces")</f>
        <v>Pieces</v>
      </c>
      <c r="I235" s="3" t="str">
        <f>IFERROR(__xludf.DUMMYFUNCTION("""COMPUTED_VALUE"""),"Untuk Consumable ENG 121702306 1911")</f>
        <v>Untuk Consumable ENG 121702306 1911</v>
      </c>
      <c r="J235" s="3" t="str">
        <f>IFERROR(__xludf.DUMMYFUNCTION("""COMPUTED_VALUE"""),"P-53102-00")</f>
        <v>P-53102-00</v>
      </c>
      <c r="K235" s="3" t="str">
        <f>IFERROR(__xludf.DUMMYFUNCTION("""COMPUTED_VALUE"""),"Approve")</f>
        <v>Approve</v>
      </c>
      <c r="L235" s="3" t="str">
        <f>IFERROR(__xludf.DUMMYFUNCTION("""COMPUTED_VALUE"""),"Normal")</f>
        <v>Normal</v>
      </c>
      <c r="M235" s="3" t="str">
        <f>IFERROR(__xludf.DUMMYFUNCTION("""COMPUTED_VALUE"""),"Non Urgent")</f>
        <v>Non Urgent</v>
      </c>
      <c r="N235" s="3">
        <f>IFERROR(__xludf.DUMMYFUNCTION("""COMPUTED_VALUE"""),45838.6249025463)</f>
        <v>45838.6249</v>
      </c>
    </row>
    <row r="236">
      <c r="A236" s="4">
        <f>IFERROR(__xludf.DUMMYFUNCTION("""COMPUTED_VALUE"""),45834.858387569446)</f>
        <v>45834.85839</v>
      </c>
      <c r="B236" s="3" t="str">
        <f>IFERROR(__xludf.DUMMYFUNCTION("""COMPUTED_VALUE"""),"MFHRO0102")</f>
        <v>MFHRO0102</v>
      </c>
      <c r="C236" s="3" t="str">
        <f>IFERROR(__xludf.DUMMYFUNCTION("""COMPUTED_VALUE"""),"MIn Stok")</f>
        <v>MIn Stok</v>
      </c>
      <c r="D236" s="3" t="str">
        <f>IFERROR(__xludf.DUMMYFUNCTION("""COMPUTED_VALUE"""),"-")</f>
        <v>-</v>
      </c>
      <c r="E236" s="3" t="str">
        <f>IFERROR(__xludf.DUMMYFUNCTION("""COMPUTED_VALUE"""),"cRABS")</f>
        <v>cRABS</v>
      </c>
      <c r="F236" s="3" t="str">
        <f>IFERROR(__xludf.DUMMYFUNCTION("""COMPUTED_VALUE"""),"General - Isolator Glove Smaller glove CSM  (AS : E10330 Y 7 E4); Austar; ; 1 Pc")</f>
        <v>General - Isolator Glove Smaller glove CSM  (AS : E10330 Y 7 E4); Austar; ; 1 Pc</v>
      </c>
      <c r="G236" s="3">
        <f>IFERROR(__xludf.DUMMYFUNCTION("""COMPUTED_VALUE"""),20.0)</f>
        <v>20</v>
      </c>
      <c r="H236" s="3" t="str">
        <f>IFERROR(__xludf.DUMMYFUNCTION("""COMPUTED_VALUE"""),"Pieces")</f>
        <v>Pieces</v>
      </c>
      <c r="I236" s="3" t="str">
        <f>IFERROR(__xludf.DUMMYFUNCTION("""COMPUTED_VALUE"""),"Untuk cRABS 121702579 2149")</f>
        <v>Untuk cRABS 121702579 2149</v>
      </c>
      <c r="J236" s="3" t="str">
        <f>IFERROR(__xludf.DUMMYFUNCTION("""COMPUTED_VALUE"""),"O-20487-00")</f>
        <v>O-20487-00</v>
      </c>
      <c r="K236" s="3" t="str">
        <f>IFERROR(__xludf.DUMMYFUNCTION("""COMPUTED_VALUE"""),"Approve")</f>
        <v>Approve</v>
      </c>
      <c r="L236" s="3" t="str">
        <f>IFERROR(__xludf.DUMMYFUNCTION("""COMPUTED_VALUE"""),"Normal")</f>
        <v>Normal</v>
      </c>
      <c r="M236" s="3" t="str">
        <f>IFERROR(__xludf.DUMMYFUNCTION("""COMPUTED_VALUE"""),"Non Urgent")</f>
        <v>Non Urgent</v>
      </c>
      <c r="N236" s="3">
        <f>IFERROR(__xludf.DUMMYFUNCTION("""COMPUTED_VALUE"""),45838.62586888889)</f>
        <v>45838.62587</v>
      </c>
    </row>
    <row r="237">
      <c r="A237" s="4">
        <f>IFERROR(__xludf.DUMMYFUNCTION("""COMPUTED_VALUE"""),45834.858387569446)</f>
        <v>45834.85839</v>
      </c>
      <c r="B237" s="3" t="str">
        <f>IFERROR(__xludf.DUMMYFUNCTION("""COMPUTED_VALUE"""),"MFHRO0103")</f>
        <v>MFHRO0103</v>
      </c>
      <c r="C237" s="3" t="str">
        <f>IFERROR(__xludf.DUMMYFUNCTION("""COMPUTED_VALUE"""),"MIn Stok")</f>
        <v>MIn Stok</v>
      </c>
      <c r="D237" s="3" t="str">
        <f>IFERROR(__xludf.DUMMYFUNCTION("""COMPUTED_VALUE"""),"-")</f>
        <v>-</v>
      </c>
      <c r="E237" s="3" t="str">
        <f>IFERROR(__xludf.DUMMYFUNCTION("""COMPUTED_VALUE"""),"Capping")</f>
        <v>Capping</v>
      </c>
      <c r="F237" s="3" t="str">
        <f>IFERROR(__xludf.DUMMYFUNCTION("""COMPUTED_VALUE"""),"General - Oring Silicone Merah 23x18x2.5 mm; -; -; 1 Pc")</f>
        <v>General - Oring Silicone Merah 23x18x2.5 mm; -; -; 1 Pc</v>
      </c>
      <c r="G237" s="3">
        <f>IFERROR(__xludf.DUMMYFUNCTION("""COMPUTED_VALUE"""),150.0)</f>
        <v>150</v>
      </c>
      <c r="H237" s="3" t="str">
        <f>IFERROR(__xludf.DUMMYFUNCTION("""COMPUTED_VALUE"""),"Pieces")</f>
        <v>Pieces</v>
      </c>
      <c r="I237" s="3" t="str">
        <f>IFERROR(__xludf.DUMMYFUNCTION("""COMPUTED_VALUE"""),"Untuk Capping 121702583 2152")</f>
        <v>Untuk Capping 121702583 2152</v>
      </c>
      <c r="J237" s="3" t="str">
        <f>IFERROR(__xludf.DUMMYFUNCTION("""COMPUTED_VALUE"""),"O-16647-00")</f>
        <v>O-16647-00</v>
      </c>
      <c r="K237" s="3" t="str">
        <f>IFERROR(__xludf.DUMMYFUNCTION("""COMPUTED_VALUE"""),"Approve")</f>
        <v>Approve</v>
      </c>
      <c r="L237" s="3" t="str">
        <f>IFERROR(__xludf.DUMMYFUNCTION("""COMPUTED_VALUE"""),"Normal")</f>
        <v>Normal</v>
      </c>
      <c r="M237" s="3" t="str">
        <f>IFERROR(__xludf.DUMMYFUNCTION("""COMPUTED_VALUE"""),"Non Urgent")</f>
        <v>Non Urgent</v>
      </c>
      <c r="N237" s="3">
        <f>IFERROR(__xludf.DUMMYFUNCTION("""COMPUTED_VALUE"""),45838.627190439816)</f>
        <v>45838.62719</v>
      </c>
    </row>
    <row r="238">
      <c r="A238" s="4">
        <f>IFERROR(__xludf.DUMMYFUNCTION("""COMPUTED_VALUE"""),45834.858387569446)</f>
        <v>45834.85839</v>
      </c>
      <c r="B238" s="3" t="str">
        <f>IFERROR(__xludf.DUMMYFUNCTION("""COMPUTED_VALUE"""),"MFHRO0104")</f>
        <v>MFHRO0104</v>
      </c>
      <c r="C238" s="3" t="str">
        <f>IFERROR(__xludf.DUMMYFUNCTION("""COMPUTED_VALUE"""),"Consumable")</f>
        <v>Consumable</v>
      </c>
      <c r="D238" s="3" t="str">
        <f>IFERROR(__xludf.DUMMYFUNCTION("""COMPUTED_VALUE"""),"-")</f>
        <v>-</v>
      </c>
      <c r="E238" s="3" t="str">
        <f>IFERROR(__xludf.DUMMYFUNCTION("""COMPUTED_VALUE"""),"General")</f>
        <v>General</v>
      </c>
      <c r="F238" s="3" t="str">
        <f>IFERROR(__xludf.DUMMYFUNCTION("""COMPUTED_VALUE"""),"General - Push-in Connector, QS-8; Festo; 153033; 1 pcs")</f>
        <v>General - Push-in Connector, QS-8; Festo; 153033; 1 pcs</v>
      </c>
      <c r="G238" s="3">
        <f>IFERROR(__xludf.DUMMYFUNCTION("""COMPUTED_VALUE"""),10.0)</f>
        <v>10</v>
      </c>
      <c r="H238" s="3" t="str">
        <f>IFERROR(__xludf.DUMMYFUNCTION("""COMPUTED_VALUE"""),"Pieces")</f>
        <v>Pieces</v>
      </c>
      <c r="I238" s="3" t="str">
        <f>IFERROR(__xludf.DUMMYFUNCTION("""COMPUTED_VALUE"""),"Untuk Consumable ENG 121702776 2307")</f>
        <v>Untuk Consumable ENG 121702776 2307</v>
      </c>
      <c r="J238" s="3" t="str">
        <f>IFERROR(__xludf.DUMMYFUNCTION("""COMPUTED_VALUE"""),"P-11184-00")</f>
        <v>P-11184-00</v>
      </c>
      <c r="K238" s="3" t="str">
        <f>IFERROR(__xludf.DUMMYFUNCTION("""COMPUTED_VALUE"""),"Approve")</f>
        <v>Approve</v>
      </c>
      <c r="L238" s="3" t="str">
        <f>IFERROR(__xludf.DUMMYFUNCTION("""COMPUTED_VALUE"""),"Normal")</f>
        <v>Normal</v>
      </c>
      <c r="M238" s="3" t="str">
        <f>IFERROR(__xludf.DUMMYFUNCTION("""COMPUTED_VALUE"""),"Non Urgent")</f>
        <v>Non Urgent</v>
      </c>
      <c r="N238" s="3">
        <f>IFERROR(__xludf.DUMMYFUNCTION("""COMPUTED_VALUE"""),45838.627637604164)</f>
        <v>45838.62764</v>
      </c>
    </row>
    <row r="239">
      <c r="A239" s="4">
        <f>IFERROR(__xludf.DUMMYFUNCTION("""COMPUTED_VALUE"""),45834.858387569446)</f>
        <v>45834.85839</v>
      </c>
      <c r="B239" s="3" t="str">
        <f>IFERROR(__xludf.DUMMYFUNCTION("""COMPUTED_VALUE"""),"MFHRO0105")</f>
        <v>MFHRO0105</v>
      </c>
      <c r="C239" s="3" t="str">
        <f>IFERROR(__xludf.DUMMYFUNCTION("""COMPUTED_VALUE"""),"Consumable")</f>
        <v>Consumable</v>
      </c>
      <c r="D239" s="3" t="str">
        <f>IFERROR(__xludf.DUMMYFUNCTION("""COMPUTED_VALUE"""),"-")</f>
        <v>-</v>
      </c>
      <c r="E239" s="3" t="str">
        <f>IFERROR(__xludf.DUMMYFUNCTION("""COMPUTED_VALUE"""),"General")</f>
        <v>General</v>
      </c>
      <c r="F239" s="3" t="str">
        <f>IFERROR(__xludf.DUMMYFUNCTION("""COMPUTED_VALUE"""),"General - Push-in Connector, QS-8-6; Festo; 153038; 1 pcs")</f>
        <v>General - Push-in Connector, QS-8-6; Festo; 153038; 1 pcs</v>
      </c>
      <c r="G239" s="3">
        <f>IFERROR(__xludf.DUMMYFUNCTION("""COMPUTED_VALUE"""),4.0)</f>
        <v>4</v>
      </c>
      <c r="H239" s="3" t="str">
        <f>IFERROR(__xludf.DUMMYFUNCTION("""COMPUTED_VALUE"""),"Pieces")</f>
        <v>Pieces</v>
      </c>
      <c r="I239" s="3" t="str">
        <f>IFERROR(__xludf.DUMMYFUNCTION("""COMPUTED_VALUE"""),"Untuk Consumable ENG 121702776 2308")</f>
        <v>Untuk Consumable ENG 121702776 2308</v>
      </c>
      <c r="J239" s="3" t="str">
        <f>IFERROR(__xludf.DUMMYFUNCTION("""COMPUTED_VALUE"""),"P-11185-00")</f>
        <v>P-11185-00</v>
      </c>
      <c r="K239" s="3" t="str">
        <f>IFERROR(__xludf.DUMMYFUNCTION("""COMPUTED_VALUE"""),"Approve")</f>
        <v>Approve</v>
      </c>
      <c r="L239" s="3" t="str">
        <f>IFERROR(__xludf.DUMMYFUNCTION("""COMPUTED_VALUE"""),"Normal")</f>
        <v>Normal</v>
      </c>
      <c r="M239" s="3" t="str">
        <f>IFERROR(__xludf.DUMMYFUNCTION("""COMPUTED_VALUE"""),"Non Urgent")</f>
        <v>Non Urgent</v>
      </c>
      <c r="N239" s="3">
        <f>IFERROR(__xludf.DUMMYFUNCTION("""COMPUTED_VALUE"""),45838.62789685185)</f>
        <v>45838.6279</v>
      </c>
    </row>
    <row r="240">
      <c r="A240" s="4">
        <f>IFERROR(__xludf.DUMMYFUNCTION("""COMPUTED_VALUE"""),45834.858387569446)</f>
        <v>45834.85839</v>
      </c>
      <c r="B240" s="3" t="str">
        <f>IFERROR(__xludf.DUMMYFUNCTION("""COMPUTED_VALUE"""),"MFHRO0106")</f>
        <v>MFHRO0106</v>
      </c>
      <c r="C240" s="3" t="str">
        <f>IFERROR(__xludf.DUMMYFUNCTION("""COMPUTED_VALUE"""),"MIn Stok")</f>
        <v>MIn Stok</v>
      </c>
      <c r="D240" s="3" t="str">
        <f>IFERROR(__xludf.DUMMYFUNCTION("""COMPUTED_VALUE"""),"-")</f>
        <v>-</v>
      </c>
      <c r="E240" s="3" t="str">
        <f>IFERROR(__xludf.DUMMYFUNCTION("""COMPUTED_VALUE"""),"Building")</f>
        <v>Building</v>
      </c>
      <c r="F240" s="3" t="str">
        <f>IFERROR(__xludf.DUMMYFUNCTION("""COMPUTED_VALUE"""),"Handle Pintu Bulat, Elbow Press Lock; Meroni; N13NE TB127;")</f>
        <v>Handle Pintu Bulat, Elbow Press Lock; Meroni; N13NE TB127;</v>
      </c>
      <c r="G240" s="3">
        <f>IFERROR(__xludf.DUMMYFUNCTION("""COMPUTED_VALUE"""),5.0)</f>
        <v>5</v>
      </c>
      <c r="H240" s="3" t="str">
        <f>IFERROR(__xludf.DUMMYFUNCTION("""COMPUTED_VALUE"""),"Pieces")</f>
        <v>Pieces</v>
      </c>
      <c r="I240" s="3" t="str">
        <f>IFERROR(__xludf.DUMMYFUNCTION("""COMPUTED_VALUE"""),"Untuk Handle Pintu Produksi 121702115 1812")</f>
        <v>Untuk Handle Pintu Produksi 121702115 1812</v>
      </c>
      <c r="J240" s="3" t="str">
        <f>IFERROR(__xludf.DUMMYFUNCTION("""COMPUTED_VALUE"""),"Q-60401-00")</f>
        <v>Q-60401-00</v>
      </c>
      <c r="K240" s="3" t="str">
        <f>IFERROR(__xludf.DUMMYFUNCTION("""COMPUTED_VALUE"""),"Approve")</f>
        <v>Approve</v>
      </c>
      <c r="L240" s="3" t="str">
        <f>IFERROR(__xludf.DUMMYFUNCTION("""COMPUTED_VALUE"""),"Normal")</f>
        <v>Normal</v>
      </c>
      <c r="M240" s="3" t="str">
        <f>IFERROR(__xludf.DUMMYFUNCTION("""COMPUTED_VALUE"""),"Non Urgent")</f>
        <v>Non Urgent</v>
      </c>
      <c r="N240" s="3">
        <f>IFERROR(__xludf.DUMMYFUNCTION("""COMPUTED_VALUE"""),45838.62813509259)</f>
        <v>45838.62814</v>
      </c>
    </row>
    <row r="241">
      <c r="A241" s="4">
        <f>IFERROR(__xludf.DUMMYFUNCTION("""COMPUTED_VALUE"""),45834.858387569446)</f>
        <v>45834.85839</v>
      </c>
      <c r="B241" s="3" t="str">
        <f>IFERROR(__xludf.DUMMYFUNCTION("""COMPUTED_VALUE"""),"MFHRO0107")</f>
        <v>MFHRO0107</v>
      </c>
      <c r="C241" s="3" t="str">
        <f>IFERROR(__xludf.DUMMYFUNCTION("""COMPUTED_VALUE"""),"Consumable")</f>
        <v>Consumable</v>
      </c>
      <c r="D241" s="3" t="str">
        <f>IFERROR(__xludf.DUMMYFUNCTION("""COMPUTED_VALUE"""),"-")</f>
        <v>-</v>
      </c>
      <c r="E241" s="3" t="str">
        <f>IFERROR(__xludf.DUMMYFUNCTION("""COMPUTED_VALUE"""),"HPLC")</f>
        <v>HPLC</v>
      </c>
      <c r="F241" s="3" t="str">
        <f>IFERROR(__xludf.DUMMYFUNCTION("""COMPUTED_VALUE"""),"Acquity PDA/TUV 2489/2998 Perf Main Kit (lampu HPLC); Waters; P/N 201000281; 1 pc")</f>
        <v>Acquity PDA/TUV 2489/2998 Perf Main Kit (lampu HPLC); Waters; P/N 201000281; 1 pc</v>
      </c>
      <c r="G241" s="3">
        <f>IFERROR(__xludf.DUMMYFUNCTION("""COMPUTED_VALUE"""),2.0)</f>
        <v>2</v>
      </c>
      <c r="H241" s="3" t="str">
        <f>IFERROR(__xludf.DUMMYFUNCTION("""COMPUTED_VALUE"""),"Pieces")</f>
        <v>Pieces</v>
      </c>
      <c r="I241" s="3" t="str">
        <f>IFERROR(__xludf.DUMMYFUNCTION("""COMPUTED_VALUE"""),"Untuk UV HPLC kurang 121702780 2315")</f>
        <v>Untuk UV HPLC kurang 121702780 2315</v>
      </c>
      <c r="J241" s="3" t="str">
        <f>IFERROR(__xludf.DUMMYFUNCTION("""COMPUTED_VALUE"""),"T-20123-00")</f>
        <v>T-20123-00</v>
      </c>
      <c r="K241" s="3" t="str">
        <f>IFERROR(__xludf.DUMMYFUNCTION("""COMPUTED_VALUE"""),"Approve")</f>
        <v>Approve</v>
      </c>
      <c r="L241" s="3" t="str">
        <f>IFERROR(__xludf.DUMMYFUNCTION("""COMPUTED_VALUE"""),"Normal")</f>
        <v>Normal</v>
      </c>
      <c r="M241" s="3" t="str">
        <f>IFERROR(__xludf.DUMMYFUNCTION("""COMPUTED_VALUE"""),"Non Urgent")</f>
        <v>Non Urgent</v>
      </c>
      <c r="N241" s="3">
        <f>IFERROR(__xludf.DUMMYFUNCTION("""COMPUTED_VALUE"""),45838.62834844907)</f>
        <v>45838.62835</v>
      </c>
    </row>
    <row r="242">
      <c r="A242" s="4">
        <f>IFERROR(__xludf.DUMMYFUNCTION("""COMPUTED_VALUE"""),45834.858387569446)</f>
        <v>45834.85839</v>
      </c>
      <c r="B242" s="3" t="str">
        <f>IFERROR(__xludf.DUMMYFUNCTION("""COMPUTED_VALUE"""),"MFHRO0108")</f>
        <v>MFHRO0108</v>
      </c>
      <c r="C242" s="3" t="str">
        <f>IFERROR(__xludf.DUMMYFUNCTION("""COMPUTED_VALUE"""),"Consumable")</f>
        <v>Consumable</v>
      </c>
      <c r="D242" s="3" t="str">
        <f>IFERROR(__xludf.DUMMYFUNCTION("""COMPUTED_VALUE"""),"-")</f>
        <v>-</v>
      </c>
      <c r="E242" s="3" t="str">
        <f>IFERROR(__xludf.DUMMYFUNCTION("""COMPUTED_VALUE"""),"General")</f>
        <v>General</v>
      </c>
      <c r="F242" s="3" t="str">
        <f>IFERROR(__xludf.DUMMYFUNCTION("""COMPUTED_VALUE"""),"General - Silicone Gasket for Ferrule dia. 3/4""; -; -; 1 Pc")</f>
        <v>General - Silicone Gasket for Ferrule dia. 3/4"; -; -; 1 Pc</v>
      </c>
      <c r="G242" s="3">
        <f>IFERROR(__xludf.DUMMYFUNCTION("""COMPUTED_VALUE"""),20.0)</f>
        <v>20</v>
      </c>
      <c r="H242" s="3" t="str">
        <f>IFERROR(__xludf.DUMMYFUNCTION("""COMPUTED_VALUE"""),"Pieces")</f>
        <v>Pieces</v>
      </c>
      <c r="I242" s="3" t="str">
        <f>IFERROR(__xludf.DUMMYFUNCTION("""COMPUTED_VALUE"""),"Untuk Consumble ENG 121702794 2338")</f>
        <v>Untuk Consumble ENG 121702794 2338</v>
      </c>
      <c r="J242" s="3" t="str">
        <f>IFERROR(__xludf.DUMMYFUNCTION("""COMPUTED_VALUE"""),"O-14640-00")</f>
        <v>O-14640-00</v>
      </c>
      <c r="K242" s="3" t="str">
        <f>IFERROR(__xludf.DUMMYFUNCTION("""COMPUTED_VALUE"""),"Approve")</f>
        <v>Approve</v>
      </c>
      <c r="L242" s="3" t="str">
        <f>IFERROR(__xludf.DUMMYFUNCTION("""COMPUTED_VALUE"""),"Normal")</f>
        <v>Normal</v>
      </c>
      <c r="M242" s="3" t="str">
        <f>IFERROR(__xludf.DUMMYFUNCTION("""COMPUTED_VALUE"""),"Non Urgent")</f>
        <v>Non Urgent</v>
      </c>
      <c r="N242" s="3">
        <f>IFERROR(__xludf.DUMMYFUNCTION("""COMPUTED_VALUE"""),45838.6285655324)</f>
        <v>45838.62857</v>
      </c>
    </row>
    <row r="243">
      <c r="A243" s="4">
        <f>IFERROR(__xludf.DUMMYFUNCTION("""COMPUTED_VALUE"""),45834.858387569446)</f>
        <v>45834.85839</v>
      </c>
      <c r="B243" s="3" t="str">
        <f>IFERROR(__xludf.DUMMYFUNCTION("""COMPUTED_VALUE"""),"MFHRO0109")</f>
        <v>MFHRO0109</v>
      </c>
      <c r="C243" s="3" t="str">
        <f>IFERROR(__xludf.DUMMYFUNCTION("""COMPUTED_VALUE"""),"Consumable")</f>
        <v>Consumable</v>
      </c>
      <c r="D243" s="3" t="str">
        <f>IFERROR(__xludf.DUMMYFUNCTION("""COMPUTED_VALUE"""),"-")</f>
        <v>-</v>
      </c>
      <c r="E243" s="3" t="str">
        <f>IFERROR(__xludf.DUMMYFUNCTION("""COMPUTED_VALUE"""),"PWG")</f>
        <v>PWG</v>
      </c>
      <c r="F243" s="3" t="str">
        <f>IFERROR(__xludf.DUMMYFUNCTION("""COMPUTED_VALUE"""),"General - Water Hardness Test Kit; No Brand; -; 1 Pc")</f>
        <v>General - Water Hardness Test Kit; No Brand; -; 1 Pc</v>
      </c>
      <c r="G243" s="3">
        <f>IFERROR(__xludf.DUMMYFUNCTION("""COMPUTED_VALUE"""),3.0)</f>
        <v>3</v>
      </c>
      <c r="H243" s="3" t="str">
        <f>IFERROR(__xludf.DUMMYFUNCTION("""COMPUTED_VALUE"""),"Box")</f>
        <v>Box</v>
      </c>
      <c r="I243" s="3" t="str">
        <f>IFERROR(__xludf.DUMMYFUNCTION("""COMPUTED_VALUE"""),"Untuk PWG habis stok 121702813 2348")</f>
        <v>Untuk PWG habis stok 121702813 2348</v>
      </c>
      <c r="J243" s="3" t="str">
        <f>IFERROR(__xludf.DUMMYFUNCTION("""COMPUTED_VALUE"""),"P-15938-00")</f>
        <v>P-15938-00</v>
      </c>
      <c r="K243" s="3" t="str">
        <f>IFERROR(__xludf.DUMMYFUNCTION("""COMPUTED_VALUE"""),"Approve")</f>
        <v>Approve</v>
      </c>
      <c r="L243" s="3" t="str">
        <f>IFERROR(__xludf.DUMMYFUNCTION("""COMPUTED_VALUE"""),"Normal")</f>
        <v>Normal</v>
      </c>
      <c r="M243" s="3" t="str">
        <f>IFERROR(__xludf.DUMMYFUNCTION("""COMPUTED_VALUE"""),"Non Urgent")</f>
        <v>Non Urgent</v>
      </c>
      <c r="N243" s="3">
        <f>IFERROR(__xludf.DUMMYFUNCTION("""COMPUTED_VALUE"""),45838.63125219908)</f>
        <v>45838.63125</v>
      </c>
    </row>
    <row r="244">
      <c r="A244" s="4">
        <f>IFERROR(__xludf.DUMMYFUNCTION("""COMPUTED_VALUE"""),45834.858387569446)</f>
        <v>45834.85839</v>
      </c>
      <c r="B244" s="3" t="str">
        <f>IFERROR(__xludf.DUMMYFUNCTION("""COMPUTED_VALUE"""),"MFHRO0110")</f>
        <v>MFHRO0110</v>
      </c>
      <c r="C244" s="3" t="str">
        <f>IFERROR(__xludf.DUMMYFUNCTION("""COMPUTED_VALUE"""),"Consumable")</f>
        <v>Consumable</v>
      </c>
      <c r="D244" s="3" t="str">
        <f>IFERROR(__xludf.DUMMYFUNCTION("""COMPUTED_VALUE"""),"-")</f>
        <v>-</v>
      </c>
      <c r="E244" s="3" t="str">
        <f>IFERROR(__xludf.DUMMYFUNCTION("""COMPUTED_VALUE"""),"General")</f>
        <v>General</v>
      </c>
      <c r="F244" s="3" t="str">
        <f>IFERROR(__xludf.DUMMYFUNCTION("""COMPUTED_VALUE"""),"General - Ampelas P500; EAGLE; -; 1 pcs")</f>
        <v>General - Ampelas P500; EAGLE; -; 1 pcs</v>
      </c>
      <c r="G244" s="3">
        <f>IFERROR(__xludf.DUMMYFUNCTION("""COMPUTED_VALUE"""),30.0)</f>
        <v>30</v>
      </c>
      <c r="H244" s="3" t="str">
        <f>IFERROR(__xludf.DUMMYFUNCTION("""COMPUTED_VALUE"""),"Pieces")</f>
        <v>Pieces</v>
      </c>
      <c r="I244" s="3" t="str">
        <f>IFERROR(__xludf.DUMMYFUNCTION("""COMPUTED_VALUE"""),"Untuk Consumable ENG 121702813 2349")</f>
        <v>Untuk Consumable ENG 121702813 2349</v>
      </c>
      <c r="J244" s="3" t="str">
        <f>IFERROR(__xludf.DUMMYFUNCTION("""COMPUTED_VALUE"""),"P-15852-00")</f>
        <v>P-15852-00</v>
      </c>
      <c r="K244" s="3" t="str">
        <f>IFERROR(__xludf.DUMMYFUNCTION("""COMPUTED_VALUE"""),"Approve")</f>
        <v>Approve</v>
      </c>
      <c r="L244" s="3" t="str">
        <f>IFERROR(__xludf.DUMMYFUNCTION("""COMPUTED_VALUE"""),"Normal")</f>
        <v>Normal</v>
      </c>
      <c r="M244" s="3" t="str">
        <f>IFERROR(__xludf.DUMMYFUNCTION("""COMPUTED_VALUE"""),"Non Urgent")</f>
        <v>Non Urgent</v>
      </c>
      <c r="N244" s="3">
        <f>IFERROR(__xludf.DUMMYFUNCTION("""COMPUTED_VALUE"""),45838.63690751157)</f>
        <v>45838.63691</v>
      </c>
    </row>
    <row r="245">
      <c r="A245" s="4">
        <f>IFERROR(__xludf.DUMMYFUNCTION("""COMPUTED_VALUE"""),45834.858387569446)</f>
        <v>45834.85839</v>
      </c>
      <c r="B245" s="3" t="str">
        <f>IFERROR(__xludf.DUMMYFUNCTION("""COMPUTED_VALUE"""),"MFHRO0111")</f>
        <v>MFHRO0111</v>
      </c>
      <c r="C245" s="3" t="str">
        <f>IFERROR(__xludf.DUMMYFUNCTION("""COMPUTED_VALUE"""),"MIn Stok")</f>
        <v>MIn Stok</v>
      </c>
      <c r="D245" s="3" t="str">
        <f>IFERROR(__xludf.DUMMYFUNCTION("""COMPUTED_VALUE"""),"-")</f>
        <v>-</v>
      </c>
      <c r="E245" s="3" t="str">
        <f>IFERROR(__xludf.DUMMYFUNCTION("""COMPUTED_VALUE"""),"Lift")</f>
        <v>Lift</v>
      </c>
      <c r="F245" s="3" t="str">
        <f>IFERROR(__xludf.DUMMYFUNCTION("""COMPUTED_VALUE"""),"SCHINDLER ELEVATOR - Interphone; Schindler; -; 1 pc")</f>
        <v>SCHINDLER ELEVATOR - Interphone; Schindler; -; 1 pc</v>
      </c>
      <c r="G245" s="3">
        <f>IFERROR(__xludf.DUMMYFUNCTION("""COMPUTED_VALUE"""),1.0)</f>
        <v>1</v>
      </c>
      <c r="H245" s="3" t="str">
        <f>IFERROR(__xludf.DUMMYFUNCTION("""COMPUTED_VALUE"""),"Pieces")</f>
        <v>Pieces</v>
      </c>
      <c r="I245" s="3" t="str">
        <f>IFERROR(__xludf.DUMMYFUNCTION("""COMPUTED_VALUE"""),"Untuk Perbaikan Lift 121702833 2366")</f>
        <v>Untuk Perbaikan Lift 121702833 2366</v>
      </c>
      <c r="J245" s="3" t="str">
        <f>IFERROR(__xludf.DUMMYFUNCTION("""COMPUTED_VALUE"""),"P-54284-00")</f>
        <v>P-54284-00</v>
      </c>
      <c r="K245" s="3" t="str">
        <f>IFERROR(__xludf.DUMMYFUNCTION("""COMPUTED_VALUE"""),"Approve")</f>
        <v>Approve</v>
      </c>
      <c r="L245" s="3" t="str">
        <f>IFERROR(__xludf.DUMMYFUNCTION("""COMPUTED_VALUE"""),"Normal")</f>
        <v>Normal</v>
      </c>
      <c r="M245" s="3" t="str">
        <f>IFERROR(__xludf.DUMMYFUNCTION("""COMPUTED_VALUE"""),"Non Urgent")</f>
        <v>Non Urgent</v>
      </c>
      <c r="N245" s="3">
        <f>IFERROR(__xludf.DUMMYFUNCTION("""COMPUTED_VALUE"""),45838.637092233796)</f>
        <v>45838.63709</v>
      </c>
    </row>
    <row r="246">
      <c r="A246" s="4">
        <f>IFERROR(__xludf.DUMMYFUNCTION("""COMPUTED_VALUE"""),45834.858387569446)</f>
        <v>45834.85839</v>
      </c>
      <c r="B246" s="3" t="str">
        <f>IFERROR(__xludf.DUMMYFUNCTION("""COMPUTED_VALUE"""),"MFHRO0112")</f>
        <v>MFHRO0112</v>
      </c>
      <c r="C246" s="3" t="str">
        <f>IFERROR(__xludf.DUMMYFUNCTION("""COMPUTED_VALUE"""),"MIn Stok")</f>
        <v>MIn Stok</v>
      </c>
      <c r="D246" s="3" t="str">
        <f>IFERROR(__xludf.DUMMYFUNCTION("""COMPUTED_VALUE"""),"-")</f>
        <v>-</v>
      </c>
      <c r="E246" s="3" t="str">
        <f>IFERROR(__xludf.DUMMYFUNCTION("""COMPUTED_VALUE"""),"Lift")</f>
        <v>Lift</v>
      </c>
      <c r="F246" s="3" t="str">
        <f>IFERROR(__xludf.DUMMYFUNCTION("""COMPUTED_VALUE"""),"SCHINDLER ELEVATOR - Door Shoe; ; ;")</f>
        <v>SCHINDLER ELEVATOR - Door Shoe; ; ;</v>
      </c>
      <c r="G246" s="3">
        <f>IFERROR(__xludf.DUMMYFUNCTION("""COMPUTED_VALUE"""),4.0)</f>
        <v>4</v>
      </c>
      <c r="H246" s="3" t="str">
        <f>IFERROR(__xludf.DUMMYFUNCTION("""COMPUTED_VALUE"""),"Pieces")</f>
        <v>Pieces</v>
      </c>
      <c r="I246" s="3" t="str">
        <f>IFERROR(__xludf.DUMMYFUNCTION("""COMPUTED_VALUE"""),"Untuk Perbaikan Lift 121702833 2367")</f>
        <v>Untuk Perbaikan Lift 121702833 2367</v>
      </c>
      <c r="J246" s="3" t="str">
        <f>IFERROR(__xludf.DUMMYFUNCTION("""COMPUTED_VALUE"""),"P-17899-00")</f>
        <v>P-17899-00</v>
      </c>
      <c r="K246" s="3" t="str">
        <f>IFERROR(__xludf.DUMMYFUNCTION("""COMPUTED_VALUE"""),"Approve")</f>
        <v>Approve</v>
      </c>
      <c r="L246" s="3" t="str">
        <f>IFERROR(__xludf.DUMMYFUNCTION("""COMPUTED_VALUE"""),"Normal")</f>
        <v>Normal</v>
      </c>
      <c r="M246" s="3" t="str">
        <f>IFERROR(__xludf.DUMMYFUNCTION("""COMPUTED_VALUE"""),"Non Urgent")</f>
        <v>Non Urgent</v>
      </c>
      <c r="N246" s="3">
        <f>IFERROR(__xludf.DUMMYFUNCTION("""COMPUTED_VALUE"""),45838.637279166665)</f>
        <v>45838.63728</v>
      </c>
    </row>
    <row r="247">
      <c r="A247" s="4">
        <f>IFERROR(__xludf.DUMMYFUNCTION("""COMPUTED_VALUE"""),45834.858387569446)</f>
        <v>45834.85839</v>
      </c>
      <c r="B247" s="3" t="str">
        <f>IFERROR(__xludf.DUMMYFUNCTION("""COMPUTED_VALUE"""),"MFHRO0113")</f>
        <v>MFHRO0113</v>
      </c>
      <c r="C247" s="3" t="str">
        <f>IFERROR(__xludf.DUMMYFUNCTION("""COMPUTED_VALUE"""),"MIn Stok")</f>
        <v>MIn Stok</v>
      </c>
      <c r="D247" s="3" t="str">
        <f>IFERROR(__xludf.DUMMYFUNCTION("""COMPUTED_VALUE"""),"-")</f>
        <v>-</v>
      </c>
      <c r="E247" s="3" t="str">
        <f>IFERROR(__xludf.DUMMYFUNCTION("""COMPUTED_VALUE"""),"Lift")</f>
        <v>Lift</v>
      </c>
      <c r="F247" s="3" t="str">
        <f>IFERROR(__xludf.DUMMYFUNCTION("""COMPUTED_VALUE"""),"SCHINDLER ELEVATOR - Ceiling Lamp Cover; ; ;")</f>
        <v>SCHINDLER ELEVATOR - Ceiling Lamp Cover; ; ;</v>
      </c>
      <c r="G247" s="3">
        <f>IFERROR(__xludf.DUMMYFUNCTION("""COMPUTED_VALUE"""),1.0)</f>
        <v>1</v>
      </c>
      <c r="H247" s="3" t="str">
        <f>IFERROR(__xludf.DUMMYFUNCTION("""COMPUTED_VALUE"""),"Pieces")</f>
        <v>Pieces</v>
      </c>
      <c r="I247" s="3" t="str">
        <f>IFERROR(__xludf.DUMMYFUNCTION("""COMPUTED_VALUE"""),"Untuk Perbaikan Lift 121702833 2368")</f>
        <v>Untuk Perbaikan Lift 121702833 2368</v>
      </c>
      <c r="J247" s="3" t="str">
        <f>IFERROR(__xludf.DUMMYFUNCTION("""COMPUTED_VALUE"""),"Q-10949-00")</f>
        <v>Q-10949-00</v>
      </c>
      <c r="K247" s="3" t="str">
        <f>IFERROR(__xludf.DUMMYFUNCTION("""COMPUTED_VALUE"""),"Approve")</f>
        <v>Approve</v>
      </c>
      <c r="L247" s="3" t="str">
        <f>IFERROR(__xludf.DUMMYFUNCTION("""COMPUTED_VALUE"""),"Normal")</f>
        <v>Normal</v>
      </c>
      <c r="M247" s="3" t="str">
        <f>IFERROR(__xludf.DUMMYFUNCTION("""COMPUTED_VALUE"""),"Non Urgent")</f>
        <v>Non Urgent</v>
      </c>
      <c r="N247" s="3">
        <f>IFERROR(__xludf.DUMMYFUNCTION("""COMPUTED_VALUE"""),45838.63766340278)</f>
        <v>45838.63766</v>
      </c>
    </row>
    <row r="248">
      <c r="A248" s="4">
        <f>IFERROR(__xludf.DUMMYFUNCTION("""COMPUTED_VALUE"""),45834.858387569446)</f>
        <v>45834.85839</v>
      </c>
      <c r="B248" s="3" t="str">
        <f>IFERROR(__xludf.DUMMYFUNCTION("""COMPUTED_VALUE"""),"MFHRO0114")</f>
        <v>MFHRO0114</v>
      </c>
      <c r="C248" s="3" t="str">
        <f>IFERROR(__xludf.DUMMYFUNCTION("""COMPUTED_VALUE"""),"MIn Stok")</f>
        <v>MIn Stok</v>
      </c>
      <c r="D248" s="3" t="str">
        <f>IFERROR(__xludf.DUMMYFUNCTION("""COMPUTED_VALUE"""),"-")</f>
        <v>-</v>
      </c>
      <c r="E248" s="3" t="str">
        <f>IFERROR(__xludf.DUMMYFUNCTION("""COMPUTED_VALUE"""),"Lift")</f>
        <v>Lift</v>
      </c>
      <c r="F248" s="3" t="str">
        <f>IFERROR(__xludf.DUMMYFUNCTION("""COMPUTED_VALUE"""),"PCBA LIFT SCOPCA 5.Q;Schindler Elevator;;pack size per unit")</f>
        <v>PCBA LIFT SCOPCA 5.Q;Schindler Elevator;;pack size per unit</v>
      </c>
      <c r="G248" s="3">
        <f>IFERROR(__xludf.DUMMYFUNCTION("""COMPUTED_VALUE"""),1.0)</f>
        <v>1</v>
      </c>
      <c r="H248" s="3" t="str">
        <f>IFERROR(__xludf.DUMMYFUNCTION("""COMPUTED_VALUE"""),"Unit")</f>
        <v>Unit</v>
      </c>
      <c r="I248" s="3" t="str">
        <f>IFERROR(__xludf.DUMMYFUNCTION("""COMPUTED_VALUE"""),"Untuk Perbaikan Lift 121702833 2369")</f>
        <v>Untuk Perbaikan Lift 121702833 2369</v>
      </c>
      <c r="J248" s="3" t="str">
        <f>IFERROR(__xludf.DUMMYFUNCTION("""COMPUTED_VALUE"""),"Q-54157-00")</f>
        <v>Q-54157-00</v>
      </c>
      <c r="K248" s="3" t="str">
        <f>IFERROR(__xludf.DUMMYFUNCTION("""COMPUTED_VALUE"""),"Approve")</f>
        <v>Approve</v>
      </c>
      <c r="L248" s="3" t="str">
        <f>IFERROR(__xludf.DUMMYFUNCTION("""COMPUTED_VALUE"""),"Normal")</f>
        <v>Normal</v>
      </c>
      <c r="M248" s="3" t="str">
        <f>IFERROR(__xludf.DUMMYFUNCTION("""COMPUTED_VALUE"""),"Non Urgent")</f>
        <v>Non Urgent</v>
      </c>
      <c r="N248" s="3">
        <f>IFERROR(__xludf.DUMMYFUNCTION("""COMPUTED_VALUE"""),45838.637841840275)</f>
        <v>45838.63784</v>
      </c>
    </row>
    <row r="249">
      <c r="A249" s="4">
        <f>IFERROR(__xludf.DUMMYFUNCTION("""COMPUTED_VALUE"""),45834.858387569446)</f>
        <v>45834.85839</v>
      </c>
      <c r="B249" s="3" t="str">
        <f>IFERROR(__xludf.DUMMYFUNCTION("""COMPUTED_VALUE"""),"MFHRO0115")</f>
        <v>MFHRO0115</v>
      </c>
      <c r="C249" s="3" t="str">
        <f>IFERROR(__xludf.DUMMYFUNCTION("""COMPUTED_VALUE"""),"MIn Stok")</f>
        <v>MIn Stok</v>
      </c>
      <c r="D249" s="3" t="str">
        <f>IFERROR(__xludf.DUMMYFUNCTION("""COMPUTED_VALUE"""),"-")</f>
        <v>-</v>
      </c>
      <c r="E249" s="3" t="str">
        <f>IFERROR(__xludf.DUMMYFUNCTION("""COMPUTED_VALUE"""),"HPLC")</f>
        <v>HPLC</v>
      </c>
      <c r="F249" s="3" t="str">
        <f>IFERROR(__xludf.DUMMYFUNCTION("""COMPUTED_VALUE"""),"PerformancePlus Check Valve Cartridge; Waters; p/n 700002399;")</f>
        <v>PerformancePlus Check Valve Cartridge; Waters; p/n 700002399;</v>
      </c>
      <c r="G249" s="3">
        <f>IFERROR(__xludf.DUMMYFUNCTION("""COMPUTED_VALUE"""),7.0)</f>
        <v>7</v>
      </c>
      <c r="H249" s="3" t="str">
        <f>IFERROR(__xludf.DUMMYFUNCTION("""COMPUTED_VALUE"""),"Pieces")</f>
        <v>Pieces</v>
      </c>
      <c r="I249" s="3" t="str">
        <f>IFERROR(__xludf.DUMMYFUNCTION("""COMPUTED_VALUE"""),"Untuk HPLC 121702762 2297")</f>
        <v>Untuk HPLC 121702762 2297</v>
      </c>
      <c r="J249" s="3" t="str">
        <f>IFERROR(__xludf.DUMMYFUNCTION("""COMPUTED_VALUE"""),"T-20055-00")</f>
        <v>T-20055-00</v>
      </c>
      <c r="K249" s="3" t="str">
        <f>IFERROR(__xludf.DUMMYFUNCTION("""COMPUTED_VALUE"""),"Approve")</f>
        <v>Approve</v>
      </c>
      <c r="L249" s="3" t="str">
        <f>IFERROR(__xludf.DUMMYFUNCTION("""COMPUTED_VALUE"""),"Normal")</f>
        <v>Normal</v>
      </c>
      <c r="M249" s="3" t="str">
        <f>IFERROR(__xludf.DUMMYFUNCTION("""COMPUTED_VALUE"""),"Non Urgent")</f>
        <v>Non Urgent</v>
      </c>
      <c r="N249" s="3">
        <f>IFERROR(__xludf.DUMMYFUNCTION("""COMPUTED_VALUE"""),45838.638504999995)</f>
        <v>45838.63851</v>
      </c>
    </row>
    <row r="250">
      <c r="A250" s="4">
        <f>IFERROR(__xludf.DUMMYFUNCTION("""COMPUTED_VALUE"""),45834.858387569446)</f>
        <v>45834.85839</v>
      </c>
      <c r="B250" s="3" t="str">
        <f>IFERROR(__xludf.DUMMYFUNCTION("""COMPUTED_VALUE"""),"MFHRO0116")</f>
        <v>MFHRO0116</v>
      </c>
      <c r="C250" s="3" t="str">
        <f>IFERROR(__xludf.DUMMYFUNCTION("""COMPUTED_VALUE"""),"MIn Stok")</f>
        <v>MIn Stok</v>
      </c>
      <c r="D250" s="3" t="str">
        <f>IFERROR(__xludf.DUMMYFUNCTION("""COMPUTED_VALUE"""),"-")</f>
        <v>-</v>
      </c>
      <c r="E250" s="3" t="str">
        <f>IFERROR(__xludf.DUMMYFUNCTION("""COMPUTED_VALUE"""),"Capping")</f>
        <v>Capping</v>
      </c>
      <c r="F250" s="3" t="str">
        <f>IFERROR(__xludf.DUMMYFUNCTION("""COMPUTED_VALUE"""),"General - Main Motor Caping; Bonfiglioli; BE80B4; 1 Unit")</f>
        <v>General - Main Motor Caping; Bonfiglioli; BE80B4; 1 Unit</v>
      </c>
      <c r="G250" s="3">
        <f>IFERROR(__xludf.DUMMYFUNCTION("""COMPUTED_VALUE"""),1.0)</f>
        <v>1</v>
      </c>
      <c r="H250" s="3" t="str">
        <f>IFERROR(__xludf.DUMMYFUNCTION("""COMPUTED_VALUE"""),"Unit")</f>
        <v>Unit</v>
      </c>
      <c r="I250" s="3" t="str">
        <f>IFERROR(__xludf.DUMMYFUNCTION("""COMPUTED_VALUE"""),"Untuk Capping 121702834 2370")</f>
        <v>Untuk Capping 121702834 2370</v>
      </c>
      <c r="J250" s="3" t="str">
        <f>IFERROR(__xludf.DUMMYFUNCTION("""COMPUTED_VALUE"""),"O-20500-00")</f>
        <v>O-20500-00</v>
      </c>
      <c r="K250" s="3" t="str">
        <f>IFERROR(__xludf.DUMMYFUNCTION("""COMPUTED_VALUE"""),"Approve")</f>
        <v>Approve</v>
      </c>
      <c r="L250" s="3" t="str">
        <f>IFERROR(__xludf.DUMMYFUNCTION("""COMPUTED_VALUE"""),"Normal")</f>
        <v>Normal</v>
      </c>
      <c r="M250" s="3" t="str">
        <f>IFERROR(__xludf.DUMMYFUNCTION("""COMPUTED_VALUE"""),"Non Urgent")</f>
        <v>Non Urgent</v>
      </c>
      <c r="N250" s="3">
        <f>IFERROR(__xludf.DUMMYFUNCTION("""COMPUTED_VALUE"""),45838.63866254629)</f>
        <v>45838.63866</v>
      </c>
    </row>
    <row r="251">
      <c r="A251" s="4">
        <f>IFERROR(__xludf.DUMMYFUNCTION("""COMPUTED_VALUE"""),45834.858387569446)</f>
        <v>45834.85839</v>
      </c>
      <c r="B251" s="3" t="str">
        <f>IFERROR(__xludf.DUMMYFUNCTION("""COMPUTED_VALUE"""),"MFHRO0117")</f>
        <v>MFHRO0117</v>
      </c>
      <c r="C251" s="3" t="str">
        <f>IFERROR(__xludf.DUMMYFUNCTION("""COMPUTED_VALUE"""),"MIn Stok")</f>
        <v>MIn Stok</v>
      </c>
      <c r="D251" s="3" t="str">
        <f>IFERROR(__xludf.DUMMYFUNCTION("""COMPUTED_VALUE"""),"-")</f>
        <v>-</v>
      </c>
      <c r="E251" s="3" t="str">
        <f>IFERROR(__xludf.DUMMYFUNCTION("""COMPUTED_VALUE"""),"Washing")</f>
        <v>Washing</v>
      </c>
      <c r="F251" s="3" t="str">
        <f>IFERROR(__xludf.DUMMYFUNCTION("""COMPUTED_VALUE"""),"General - Gearbox Washing; Bonfiglioli; VF44 A 60 B5 B3; 1 Unit")</f>
        <v>General - Gearbox Washing; Bonfiglioli; VF44 A 60 B5 B3; 1 Unit</v>
      </c>
      <c r="G251" s="3">
        <f>IFERROR(__xludf.DUMMYFUNCTION("""COMPUTED_VALUE"""),1.0)</f>
        <v>1</v>
      </c>
      <c r="H251" s="3" t="str">
        <f>IFERROR(__xludf.DUMMYFUNCTION("""COMPUTED_VALUE"""),"Unit")</f>
        <v>Unit</v>
      </c>
      <c r="I251" s="3" t="str">
        <f>IFERROR(__xludf.DUMMYFUNCTION("""COMPUTED_VALUE"""),"Untuk Washing 121702834 2371")</f>
        <v>Untuk Washing 121702834 2371</v>
      </c>
      <c r="J251" s="3" t="str">
        <f>IFERROR(__xludf.DUMMYFUNCTION("""COMPUTED_VALUE"""),"O-20501-00")</f>
        <v>O-20501-00</v>
      </c>
      <c r="K251" s="3" t="str">
        <f>IFERROR(__xludf.DUMMYFUNCTION("""COMPUTED_VALUE"""),"Approve")</f>
        <v>Approve</v>
      </c>
      <c r="L251" s="3" t="str">
        <f>IFERROR(__xludf.DUMMYFUNCTION("""COMPUTED_VALUE"""),"Normal")</f>
        <v>Normal</v>
      </c>
      <c r="M251" s="3" t="str">
        <f>IFERROR(__xludf.DUMMYFUNCTION("""COMPUTED_VALUE"""),"Non Urgent")</f>
        <v>Non Urgent</v>
      </c>
      <c r="N251" s="3">
        <f>IFERROR(__xludf.DUMMYFUNCTION("""COMPUTED_VALUE"""),45838.638822939814)</f>
        <v>45838.63882</v>
      </c>
    </row>
    <row r="252">
      <c r="A252" s="4">
        <f>IFERROR(__xludf.DUMMYFUNCTION("""COMPUTED_VALUE"""),45834.858387569446)</f>
        <v>45834.85839</v>
      </c>
      <c r="B252" s="3" t="str">
        <f>IFERROR(__xludf.DUMMYFUNCTION("""COMPUTED_VALUE"""),"MFHRO0118")</f>
        <v>MFHRO0118</v>
      </c>
      <c r="C252" s="3" t="str">
        <f>IFERROR(__xludf.DUMMYFUNCTION("""COMPUTED_VALUE"""),"MIn Stok")</f>
        <v>MIn Stok</v>
      </c>
      <c r="D252" s="3" t="str">
        <f>IFERROR(__xludf.DUMMYFUNCTION("""COMPUTED_VALUE"""),"-")</f>
        <v>-</v>
      </c>
      <c r="E252" s="3" t="str">
        <f>IFERROR(__xludf.DUMMYFUNCTION("""COMPUTED_VALUE"""),"Capping")</f>
        <v>Capping</v>
      </c>
      <c r="F252" s="3" t="str">
        <f>IFERROR(__xludf.DUMMYFUNCTION("""COMPUTED_VALUE"""),"General - Gearbox Naik Turun Turet; Bonfiglioli; VF30 P 7 B3; 1 Pc")</f>
        <v>General - Gearbox Naik Turun Turet; Bonfiglioli; VF30 P 7 B3; 1 Pc</v>
      </c>
      <c r="G252" s="3">
        <f>IFERROR(__xludf.DUMMYFUNCTION("""COMPUTED_VALUE"""),1.0)</f>
        <v>1</v>
      </c>
      <c r="H252" s="3" t="str">
        <f>IFERROR(__xludf.DUMMYFUNCTION("""COMPUTED_VALUE"""),"Pieces")</f>
        <v>Pieces</v>
      </c>
      <c r="I252" s="3" t="str">
        <f>IFERROR(__xludf.DUMMYFUNCTION("""COMPUTED_VALUE"""),"Untuk Capping 121702834 2372")</f>
        <v>Untuk Capping 121702834 2372</v>
      </c>
      <c r="J252" s="3" t="str">
        <f>IFERROR(__xludf.DUMMYFUNCTION("""COMPUTED_VALUE"""),"O-20498-00")</f>
        <v>O-20498-00</v>
      </c>
      <c r="K252" s="3" t="str">
        <f>IFERROR(__xludf.DUMMYFUNCTION("""COMPUTED_VALUE"""),"Approve")</f>
        <v>Approve</v>
      </c>
      <c r="L252" s="3" t="str">
        <f>IFERROR(__xludf.DUMMYFUNCTION("""COMPUTED_VALUE"""),"Normal")</f>
        <v>Normal</v>
      </c>
      <c r="M252" s="3" t="str">
        <f>IFERROR(__xludf.DUMMYFUNCTION("""COMPUTED_VALUE"""),"Non Urgent")</f>
        <v>Non Urgent</v>
      </c>
      <c r="N252" s="3">
        <f>IFERROR(__xludf.DUMMYFUNCTION("""COMPUTED_VALUE"""),45838.638997372684)</f>
        <v>45838.639</v>
      </c>
    </row>
    <row r="253">
      <c r="A253" s="4">
        <f>IFERROR(__xludf.DUMMYFUNCTION("""COMPUTED_VALUE"""),45834.858387569446)</f>
        <v>45834.85839</v>
      </c>
      <c r="B253" s="3" t="str">
        <f>IFERROR(__xludf.DUMMYFUNCTION("""COMPUTED_VALUE"""),"MFHRO0119")</f>
        <v>MFHRO0119</v>
      </c>
      <c r="C253" s="3" t="str">
        <f>IFERROR(__xludf.DUMMYFUNCTION("""COMPUTED_VALUE"""),"MIn Stok")</f>
        <v>MIn Stok</v>
      </c>
      <c r="D253" s="3" t="str">
        <f>IFERROR(__xludf.DUMMYFUNCTION("""COMPUTED_VALUE"""),"-")</f>
        <v>-</v>
      </c>
      <c r="E253" s="3" t="str">
        <f>IFERROR(__xludf.DUMMYFUNCTION("""COMPUTED_VALUE"""),"Capping")</f>
        <v>Capping</v>
      </c>
      <c r="F253" s="3" t="str">
        <f>IFERROR(__xludf.DUMMYFUNCTION("""COMPUTED_VALUE"""),"General - Gearbox Caps Chute; Bonfiglioli; VF44 P 7 B3; 1 Pc")</f>
        <v>General - Gearbox Caps Chute; Bonfiglioli; VF44 P 7 B3; 1 Pc</v>
      </c>
      <c r="G253" s="3">
        <f>IFERROR(__xludf.DUMMYFUNCTION("""COMPUTED_VALUE"""),1.0)</f>
        <v>1</v>
      </c>
      <c r="H253" s="3" t="str">
        <f>IFERROR(__xludf.DUMMYFUNCTION("""COMPUTED_VALUE"""),"Pieces")</f>
        <v>Pieces</v>
      </c>
      <c r="I253" s="3" t="str">
        <f>IFERROR(__xludf.DUMMYFUNCTION("""COMPUTED_VALUE"""),"Untuk Capping 121702834 2373")</f>
        <v>Untuk Capping 121702834 2373</v>
      </c>
      <c r="J253" s="3" t="str">
        <f>IFERROR(__xludf.DUMMYFUNCTION("""COMPUTED_VALUE"""),"O-20499-00")</f>
        <v>O-20499-00</v>
      </c>
      <c r="K253" s="3" t="str">
        <f>IFERROR(__xludf.DUMMYFUNCTION("""COMPUTED_VALUE"""),"Approve")</f>
        <v>Approve</v>
      </c>
      <c r="L253" s="3" t="str">
        <f>IFERROR(__xludf.DUMMYFUNCTION("""COMPUTED_VALUE"""),"Normal")</f>
        <v>Normal</v>
      </c>
      <c r="M253" s="3" t="str">
        <f>IFERROR(__xludf.DUMMYFUNCTION("""COMPUTED_VALUE"""),"Non Urgent")</f>
        <v>Non Urgent</v>
      </c>
      <c r="N253" s="3">
        <f>IFERROR(__xludf.DUMMYFUNCTION("""COMPUTED_VALUE"""),45838.63915850694)</f>
        <v>45838.63916</v>
      </c>
    </row>
    <row r="254">
      <c r="A254" s="4">
        <f>IFERROR(__xludf.DUMMYFUNCTION("""COMPUTED_VALUE"""),45834.858387569446)</f>
        <v>45834.85839</v>
      </c>
      <c r="B254" s="3" t="str">
        <f>IFERROR(__xludf.DUMMYFUNCTION("""COMPUTED_VALUE"""),"MFHRO0120")</f>
        <v>MFHRO0120</v>
      </c>
      <c r="C254" s="3" t="str">
        <f>IFERROR(__xludf.DUMMYFUNCTION("""COMPUTED_VALUE"""),"MIn Stok")</f>
        <v>MIn Stok</v>
      </c>
      <c r="D254" s="3" t="str">
        <f>IFERROR(__xludf.DUMMYFUNCTION("""COMPUTED_VALUE"""),"-")</f>
        <v>-</v>
      </c>
      <c r="E254" s="3" t="str">
        <f>IFERROR(__xludf.DUMMYFUNCTION("""COMPUTED_VALUE"""),"Capping")</f>
        <v>Capping</v>
      </c>
      <c r="F254" s="3" t="str">
        <f>IFERROR(__xludf.DUMMYFUNCTION("""COMPUTED_VALUE"""),"General - Gear Motor Infeed Caping; Bonfiglioli; VF30 P 20 P63 + BN63B 4; 1 Unit")</f>
        <v>General - Gear Motor Infeed Caping; Bonfiglioli; VF30 P 20 P63 + BN63B 4; 1 Unit</v>
      </c>
      <c r="G254" s="3">
        <f>IFERROR(__xludf.DUMMYFUNCTION("""COMPUTED_VALUE"""),1.0)</f>
        <v>1</v>
      </c>
      <c r="H254" s="3" t="str">
        <f>IFERROR(__xludf.DUMMYFUNCTION("""COMPUTED_VALUE"""),"Unit")</f>
        <v>Unit</v>
      </c>
      <c r="I254" s="3" t="str">
        <f>IFERROR(__xludf.DUMMYFUNCTION("""COMPUTED_VALUE"""),"Untuk Capping 121702834 2374")</f>
        <v>Untuk Capping 121702834 2374</v>
      </c>
      <c r="J254" s="3" t="str">
        <f>IFERROR(__xludf.DUMMYFUNCTION("""COMPUTED_VALUE"""),"O-20502-00")</f>
        <v>O-20502-00</v>
      </c>
      <c r="K254" s="3" t="str">
        <f>IFERROR(__xludf.DUMMYFUNCTION("""COMPUTED_VALUE"""),"Approve")</f>
        <v>Approve</v>
      </c>
      <c r="L254" s="3" t="str">
        <f>IFERROR(__xludf.DUMMYFUNCTION("""COMPUTED_VALUE"""),"Normal")</f>
        <v>Normal</v>
      </c>
      <c r="M254" s="3" t="str">
        <f>IFERROR(__xludf.DUMMYFUNCTION("""COMPUTED_VALUE"""),"Non Urgent")</f>
        <v>Non Urgent</v>
      </c>
      <c r="N254" s="3">
        <f>IFERROR(__xludf.DUMMYFUNCTION("""COMPUTED_VALUE"""),45838.63945608796)</f>
        <v>45838.63946</v>
      </c>
    </row>
    <row r="255">
      <c r="A255" s="4">
        <f>IFERROR(__xludf.DUMMYFUNCTION("""COMPUTED_VALUE"""),45834.858387569446)</f>
        <v>45834.85839</v>
      </c>
      <c r="B255" s="3" t="str">
        <f>IFERROR(__xludf.DUMMYFUNCTION("""COMPUTED_VALUE"""),"MFHRO0121")</f>
        <v>MFHRO0121</v>
      </c>
      <c r="C255" s="3" t="str">
        <f>IFERROR(__xludf.DUMMYFUNCTION("""COMPUTED_VALUE"""),"MIn Stok")</f>
        <v>MIn Stok</v>
      </c>
      <c r="D255" s="3" t="str">
        <f>IFERROR(__xludf.DUMMYFUNCTION("""COMPUTED_VALUE"""),"-")</f>
        <v>-</v>
      </c>
      <c r="E255" s="3" t="str">
        <f>IFERROR(__xludf.DUMMYFUNCTION("""COMPUTED_VALUE"""),"Washing")</f>
        <v>Washing</v>
      </c>
      <c r="F255" s="3" t="str">
        <f>IFERROR(__xludf.DUMMYFUNCTION("""COMPUTED_VALUE"""),"General - Gear Motor Rotary Tabel Washing; Bonfiglioli; VFR44 P 230 S44 B3 + BN44B 4; 1 Unit")</f>
        <v>General - Gear Motor Rotary Tabel Washing; Bonfiglioli; VFR44 P 230 S44 B3 + BN44B 4; 1 Unit</v>
      </c>
      <c r="G255" s="3">
        <f>IFERROR(__xludf.DUMMYFUNCTION("""COMPUTED_VALUE"""),1.0)</f>
        <v>1</v>
      </c>
      <c r="H255" s="3" t="str">
        <f>IFERROR(__xludf.DUMMYFUNCTION("""COMPUTED_VALUE"""),"Unit")</f>
        <v>Unit</v>
      </c>
      <c r="I255" s="3" t="str">
        <f>IFERROR(__xludf.DUMMYFUNCTION("""COMPUTED_VALUE"""),"Untuk Washing 121702834 2375")</f>
        <v>Untuk Washing 121702834 2375</v>
      </c>
      <c r="J255" s="3" t="str">
        <f>IFERROR(__xludf.DUMMYFUNCTION("""COMPUTED_VALUE"""),"O-20503-00")</f>
        <v>O-20503-00</v>
      </c>
      <c r="K255" s="3" t="str">
        <f>IFERROR(__xludf.DUMMYFUNCTION("""COMPUTED_VALUE"""),"Approve")</f>
        <v>Approve</v>
      </c>
      <c r="L255" s="3" t="str">
        <f>IFERROR(__xludf.DUMMYFUNCTION("""COMPUTED_VALUE"""),"Normal")</f>
        <v>Normal</v>
      </c>
      <c r="M255" s="3" t="str">
        <f>IFERROR(__xludf.DUMMYFUNCTION("""COMPUTED_VALUE"""),"Non Urgent")</f>
        <v>Non Urgent</v>
      </c>
      <c r="N255" s="3">
        <f>IFERROR(__xludf.DUMMYFUNCTION("""COMPUTED_VALUE"""),45838.639645)</f>
        <v>45838.63965</v>
      </c>
    </row>
    <row r="256">
      <c r="A256" s="4">
        <f>IFERROR(__xludf.DUMMYFUNCTION("""COMPUTED_VALUE"""),45841.40424186342)</f>
        <v>45841.40424</v>
      </c>
      <c r="B256" s="3" t="str">
        <f>IFERROR(__xludf.DUMMYFUNCTION("""COMPUTED_VALUE"""),"ANORO0006")</f>
        <v>ANORO0006</v>
      </c>
      <c r="C256" s="3" t="str">
        <f>IFERROR(__xludf.DUMMYFUNCTION("""COMPUTED_VALUE"""),"Consumable")</f>
        <v>Consumable</v>
      </c>
      <c r="D256" s="3" t="str">
        <f>IFERROR(__xludf.DUMMYFUNCTION("""COMPUTED_VALUE"""),"-")</f>
        <v>-</v>
      </c>
      <c r="E256" s="3" t="str">
        <f>IFERROR(__xludf.DUMMYFUNCTION("""COMPUTED_VALUE"""),"gerinda duduk")</f>
        <v>gerinda duduk</v>
      </c>
      <c r="F256" s="3" t="str">
        <f>IFERROR(__xludf.DUMMYFUNCTION("""COMPUTED_VALUE"""),"Cutting Wheel 14"" nippon resibon; ; ;")</f>
        <v>Cutting Wheel 14" nippon resibon; ; ;</v>
      </c>
      <c r="G256" s="3">
        <f>IFERROR(__xludf.DUMMYFUNCTION("""COMPUTED_VALUE"""),5.0)</f>
        <v>5</v>
      </c>
      <c r="H256" s="3" t="str">
        <f>IFERROR(__xludf.DUMMYFUNCTION("""COMPUTED_VALUE"""),"PCS")</f>
        <v>PCS</v>
      </c>
      <c r="I256" s="3" t="str">
        <f>IFERROR(__xludf.DUMMYFUNCTION("""COMPUTED_VALUE"""),"untuk keperluan memeotong plat plat")</f>
        <v>untuk keperluan memeotong plat plat</v>
      </c>
      <c r="J256" s="3" t="str">
        <f>IFERROR(__xludf.DUMMYFUNCTION("""COMPUTED_VALUE"""),"P-13365-00")</f>
        <v>P-13365-00</v>
      </c>
      <c r="K256" s="3" t="str">
        <f>IFERROR(__xludf.DUMMYFUNCTION("""COMPUTED_VALUE"""),"Approve")</f>
        <v>Approve</v>
      </c>
      <c r="L256" s="3" t="str">
        <f>IFERROR(__xludf.DUMMYFUNCTION("""COMPUTED_VALUE"""),"Normal")</f>
        <v>Normal</v>
      </c>
      <c r="M256" s="3" t="str">
        <f>IFERROR(__xludf.DUMMYFUNCTION("""COMPUTED_VALUE"""),"Non Urgent")</f>
        <v>Non Urgent</v>
      </c>
      <c r="N256" s="3">
        <f>IFERROR(__xludf.DUMMYFUNCTION("""COMPUTED_VALUE"""),45887.46703462963)</f>
        <v>45887.46703</v>
      </c>
    </row>
    <row r="257">
      <c r="A257" s="4">
        <f>IFERROR(__xludf.DUMMYFUNCTION("""COMPUTED_VALUE"""),45841.63937402778)</f>
        <v>45841.63937</v>
      </c>
      <c r="B257" s="3" t="str">
        <f>IFERROR(__xludf.DUMMYFUNCTION("""COMPUTED_VALUE"""),"ROSRO0009")</f>
        <v>ROSRO0009</v>
      </c>
      <c r="C257" s="3" t="str">
        <f>IFERROR(__xludf.DUMMYFUNCTION("""COMPUTED_VALUE"""),"Consumable")</f>
        <v>Consumable</v>
      </c>
      <c r="D257" s="3" t="str">
        <f>IFERROR(__xludf.DUMMYFUNCTION("""COMPUTED_VALUE"""),"-")</f>
        <v>-</v>
      </c>
      <c r="E257" s="3" t="str">
        <f>IFERROR(__xludf.DUMMYFUNCTION("""COMPUTED_VALUE"""),"tunnel")</f>
        <v>tunnel</v>
      </c>
      <c r="F257" s="3" t="str">
        <f>IFERROR(__xludf.DUMMYFUNCTION("""COMPUTED_VALUE"""),"Tunnel ST1L - Potentiometer Model 10K 3turns P/n: 3757; ; ;")</f>
        <v>Tunnel ST1L - Potentiometer Model 10K 3turns P/n: 3757; ; ;</v>
      </c>
      <c r="G257" s="3">
        <f>IFERROR(__xludf.DUMMYFUNCTION("""COMPUTED_VALUE"""),5.0)</f>
        <v>5</v>
      </c>
      <c r="H257" s="3" t="str">
        <f>IFERROR(__xludf.DUMMYFUNCTION("""COMPUTED_VALUE"""),"pcs")</f>
        <v>pcs</v>
      </c>
      <c r="I257" s="3" t="str">
        <f>IFERROR(__xludf.DUMMYFUNCTION("""COMPUTED_VALUE"""),"stok sparepart ")</f>
        <v>stok sparepart </v>
      </c>
      <c r="J257" s="3" t="str">
        <f>IFERROR(__xludf.DUMMYFUNCTION("""COMPUTED_VALUE"""),"O-16943-00")</f>
        <v>O-16943-00</v>
      </c>
      <c r="K257" s="3" t="str">
        <f>IFERROR(__xludf.DUMMYFUNCTION("""COMPUTED_VALUE"""),"Approve")</f>
        <v>Approve</v>
      </c>
      <c r="L257" s="3" t="str">
        <f>IFERROR(__xludf.DUMMYFUNCTION("""COMPUTED_VALUE"""),"Normal")</f>
        <v>Normal</v>
      </c>
      <c r="M257" s="3" t="str">
        <f>IFERROR(__xludf.DUMMYFUNCTION("""COMPUTED_VALUE"""),"Non Urgent")</f>
        <v>Non Urgent</v>
      </c>
      <c r="N257" s="3">
        <f>IFERROR(__xludf.DUMMYFUNCTION("""COMPUTED_VALUE"""),45895.12086946759)</f>
        <v>45895.12087</v>
      </c>
    </row>
    <row r="258">
      <c r="A258" s="4">
        <f>IFERROR(__xludf.DUMMYFUNCTION("""COMPUTED_VALUE"""),45845.63556138889)</f>
        <v>45845.63556</v>
      </c>
      <c r="B258" s="3" t="str">
        <f>IFERROR(__xludf.DUMMYFUNCTION("""COMPUTED_VALUE"""),"RIARO0043")</f>
        <v>RIARO0043</v>
      </c>
      <c r="C258" s="3" t="str">
        <f>IFERROR(__xludf.DUMMYFUNCTION("""COMPUTED_VALUE"""),"MIn Stok")</f>
        <v>MIn Stok</v>
      </c>
      <c r="D258" s="3" t="str">
        <f>IFERROR(__xludf.DUMMYFUNCTION("""COMPUTED_VALUE"""),"-")</f>
        <v>-</v>
      </c>
      <c r="E258" s="3" t="str">
        <f>IFERROR(__xludf.DUMMYFUNCTION("""COMPUTED_VALUE"""),"Water System ")</f>
        <v>Water System </v>
      </c>
      <c r="F258" s="3" t="str">
        <f>IFERROR(__xludf.DUMMYFUNCTION("""COMPUTED_VALUE"""),"Sodium metabisulfit")</f>
        <v>Sodium metabisulfit</v>
      </c>
      <c r="G258" s="3">
        <f>IFERROR(__xludf.DUMMYFUNCTION("""COMPUTED_VALUE"""),5.0)</f>
        <v>5</v>
      </c>
      <c r="H258" s="3" t="str">
        <f>IFERROR(__xludf.DUMMYFUNCTION("""COMPUTED_VALUE"""),"Sak")</f>
        <v>Sak</v>
      </c>
      <c r="I258" s="3" t="str">
        <f>IFERROR(__xludf.DUMMYFUNCTION("""COMPUTED_VALUE"""),"Untuk WWTP dan PWG urgent ya sudah habis")</f>
        <v>Untuk WWTP dan PWG urgent ya sudah habis</v>
      </c>
      <c r="J258" s="3" t="str">
        <f>IFERROR(__xludf.DUMMYFUNCTION("""COMPUTED_VALUE"""),"P-12830-00")</f>
        <v>P-12830-00</v>
      </c>
      <c r="K258" s="3" t="str">
        <f>IFERROR(__xludf.DUMMYFUNCTION("""COMPUTED_VALUE"""),"Approve")</f>
        <v>Approve</v>
      </c>
      <c r="L258" s="3" t="str">
        <f>IFERROR(__xludf.DUMMYFUNCTION("""COMPUTED_VALUE"""),"Normal")</f>
        <v>Normal</v>
      </c>
      <c r="M258" s="3" t="str">
        <f>IFERROR(__xludf.DUMMYFUNCTION("""COMPUTED_VALUE"""),"Non Urgent")</f>
        <v>Non Urgent</v>
      </c>
      <c r="N258" s="3">
        <f>IFERROR(__xludf.DUMMYFUNCTION("""COMPUTED_VALUE"""),46202.92727972222)</f>
        <v>46202.92728</v>
      </c>
    </row>
    <row r="259">
      <c r="A259" s="4">
        <f>IFERROR(__xludf.DUMMYFUNCTION("""COMPUTED_VALUE"""),45846.572498090274)</f>
        <v>45846.5725</v>
      </c>
      <c r="B259" s="3" t="str">
        <f>IFERROR(__xludf.DUMMYFUNCTION("""COMPUTED_VALUE"""),"ROSRO0010")</f>
        <v>ROSRO0010</v>
      </c>
      <c r="C259" s="3" t="str">
        <f>IFERROR(__xludf.DUMMYFUNCTION("""COMPUTED_VALUE"""),"Consumable")</f>
        <v>Consumable</v>
      </c>
      <c r="D259" s="3" t="str">
        <f>IFERROR(__xludf.DUMMYFUNCTION("""COMPUTED_VALUE"""),"-")</f>
        <v>-</v>
      </c>
      <c r="E259" s="3" t="str">
        <f>IFERROR(__xludf.DUMMYFUNCTION("""COMPUTED_VALUE"""),"Capping ")</f>
        <v>Capping </v>
      </c>
      <c r="F259" s="3" t="str">
        <f>IFERROR(__xludf.DUMMYFUNCTION("""COMPUTED_VALUE"""),"Bearing 6000 2RS H SKF")</f>
        <v>Bearing 6000 2RS H SKF</v>
      </c>
      <c r="G259" s="3">
        <f>IFERROR(__xludf.DUMMYFUNCTION("""COMPUTED_VALUE"""),30.0)</f>
        <v>30</v>
      </c>
      <c r="H259" s="3" t="str">
        <f>IFERROR(__xludf.DUMMYFUNCTION("""COMPUTED_VALUE"""),"pcs")</f>
        <v>pcs</v>
      </c>
      <c r="I259" s="3" t="str">
        <f>IFERROR(__xludf.DUMMYFUNCTION("""COMPUTED_VALUE"""),"Stok Sparepart 
Bearing base plate ")</f>
        <v>Stok Sparepart 
Bearing base plate </v>
      </c>
      <c r="J259" s="3" t="str">
        <f>IFERROR(__xludf.DUMMYFUNCTION("""COMPUTED_VALUE"""),"P-10564-00")</f>
        <v>P-10564-00</v>
      </c>
      <c r="K259" s="3" t="str">
        <f>IFERROR(__xludf.DUMMYFUNCTION("""COMPUTED_VALUE"""),"Approve")</f>
        <v>Approve</v>
      </c>
      <c r="L259" s="3" t="str">
        <f>IFERROR(__xludf.DUMMYFUNCTION("""COMPUTED_VALUE"""),"Normal")</f>
        <v>Normal</v>
      </c>
      <c r="M259" s="3" t="str">
        <f>IFERROR(__xludf.DUMMYFUNCTION("""COMPUTED_VALUE"""),"Non Urgent")</f>
        <v>Non Urgent</v>
      </c>
      <c r="N259" s="3">
        <f>IFERROR(__xludf.DUMMYFUNCTION("""COMPUTED_VALUE"""),45895.12115247685)</f>
        <v>45895.12115</v>
      </c>
    </row>
    <row r="260">
      <c r="A260" s="4">
        <f>IFERROR(__xludf.DUMMYFUNCTION("""COMPUTED_VALUE"""),45852.66715339121)</f>
        <v>45852.66715</v>
      </c>
      <c r="B260" s="3" t="str">
        <f>IFERROR(__xludf.DUMMYFUNCTION("""COMPUTED_VALUE"""),"RIARO0044")</f>
        <v>RIARO0044</v>
      </c>
      <c r="C260" s="3" t="str">
        <f>IFERROR(__xludf.DUMMYFUNCTION("""COMPUTED_VALUE"""),"MIn Stok")</f>
        <v>MIn Stok</v>
      </c>
      <c r="D260" s="3" t="str">
        <f>IFERROR(__xludf.DUMMYFUNCTION("""COMPUTED_VALUE"""),"-")</f>
        <v>-</v>
      </c>
      <c r="E260" s="3" t="str">
        <f>IFERROR(__xludf.DUMMYFUNCTION("""COMPUTED_VALUE"""),"Alarm System")</f>
        <v>Alarm System</v>
      </c>
      <c r="F260" s="3" t="str">
        <f>IFERROR(__xludf.DUMMYFUNCTION("""COMPUTED_VALUE"""),"General - Kabel Belden AWG 22 2 Pair; Belden; 8723; 305m/roll")</f>
        <v>General - Kabel Belden AWG 22 2 Pair; Belden; 8723; 305m/roll</v>
      </c>
      <c r="G260" s="3">
        <f>IFERROR(__xludf.DUMMYFUNCTION("""COMPUTED_VALUE"""),4.0)</f>
        <v>4</v>
      </c>
      <c r="H260" s="3" t="str">
        <f>IFERROR(__xludf.DUMMYFUNCTION("""COMPUTED_VALUE"""),"Roll")</f>
        <v>Roll</v>
      </c>
      <c r="I260" s="3" t="str">
        <f>IFERROR(__xludf.DUMMYFUNCTION("""COMPUTED_VALUE"""),"Alarm untuk API, Raw Material, Intermediate1 &amp; 2 OSD, Beli yang 2 kabel 100 meteran ya")</f>
        <v>Alarm untuk API, Raw Material, Intermediate1 &amp; 2 OSD, Beli yang 2 kabel 100 meteran ya</v>
      </c>
      <c r="J260" s="3" t="str">
        <f>IFERROR(__xludf.DUMMYFUNCTION("""COMPUTED_VALUE"""),"P-53133-00")</f>
        <v>P-53133-00</v>
      </c>
      <c r="K260" s="3" t="str">
        <f>IFERROR(__xludf.DUMMYFUNCTION("""COMPUTED_VALUE"""),"Approve")</f>
        <v>Approve</v>
      </c>
      <c r="L260" s="3" t="str">
        <f>IFERROR(__xludf.DUMMYFUNCTION("""COMPUTED_VALUE"""),"Normal")</f>
        <v>Normal</v>
      </c>
      <c r="M260" s="3" t="str">
        <f>IFERROR(__xludf.DUMMYFUNCTION("""COMPUTED_VALUE"""),"Non Urgent")</f>
        <v>Non Urgent</v>
      </c>
      <c r="N260" s="3">
        <f>IFERROR(__xludf.DUMMYFUNCTION("""COMPUTED_VALUE"""),45854.61468594907)</f>
        <v>45854.61469</v>
      </c>
    </row>
    <row r="261">
      <c r="A261" s="4">
        <f>IFERROR(__xludf.DUMMYFUNCTION("""COMPUTED_VALUE"""),45852.671271284715)</f>
        <v>45852.67127</v>
      </c>
      <c r="B261" s="3" t="str">
        <f>IFERROR(__xludf.DUMMYFUNCTION("""COMPUTED_VALUE"""),"RIARO0045")</f>
        <v>RIARO0045</v>
      </c>
      <c r="C261" s="3" t="str">
        <f>IFERROR(__xludf.DUMMYFUNCTION("""COMPUTED_VALUE"""),"MIn Stok")</f>
        <v>MIn Stok</v>
      </c>
      <c r="D261" s="3" t="str">
        <f>IFERROR(__xludf.DUMMYFUNCTION("""COMPUTED_VALUE"""),"-")</f>
        <v>-</v>
      </c>
      <c r="E261" s="3" t="str">
        <f>IFERROR(__xludf.DUMMYFUNCTION("""COMPUTED_VALUE"""),"Alarm System")</f>
        <v>Alarm System</v>
      </c>
      <c r="F261" s="3" t="str">
        <f>IFERROR(__xludf.DUMMYFUNCTION("""COMPUTED_VALUE"""),"Temperature Controller - TK4S- 24RN 100-240 VAC AUTONICS; ; ;")</f>
        <v>Temperature Controller - TK4S- 24RN 100-240 VAC AUTONICS; ; ;</v>
      </c>
      <c r="G261" s="3">
        <f>IFERROR(__xludf.DUMMYFUNCTION("""COMPUTED_VALUE"""),4.0)</f>
        <v>4</v>
      </c>
      <c r="H261" s="3" t="str">
        <f>IFERROR(__xludf.DUMMYFUNCTION("""COMPUTED_VALUE"""),"Pcs")</f>
        <v>Pcs</v>
      </c>
      <c r="I261" s="3" t="str">
        <f>IFERROR(__xludf.DUMMYFUNCTION("""COMPUTED_VALUE"""),"Alarm untuk API, Raw Material, Intermediate1 &amp; 2 OSD, Beli yang 2 kabel 100 meteran ya")</f>
        <v>Alarm untuk API, Raw Material, Intermediate1 &amp; 2 OSD, Beli yang 2 kabel 100 meteran ya</v>
      </c>
      <c r="J261" s="3" t="str">
        <f>IFERROR(__xludf.DUMMYFUNCTION("""COMPUTED_VALUE"""),"O-52859-00")</f>
        <v>O-52859-00</v>
      </c>
      <c r="K261" s="3" t="str">
        <f>IFERROR(__xludf.DUMMYFUNCTION("""COMPUTED_VALUE"""),"Approve")</f>
        <v>Approve</v>
      </c>
      <c r="L261" s="3" t="str">
        <f>IFERROR(__xludf.DUMMYFUNCTION("""COMPUTED_VALUE"""),"Normal")</f>
        <v>Normal</v>
      </c>
      <c r="M261" s="3" t="str">
        <f>IFERROR(__xludf.DUMMYFUNCTION("""COMPUTED_VALUE"""),"Non Urgent")</f>
        <v>Non Urgent</v>
      </c>
      <c r="N261" s="3">
        <f>IFERROR(__xludf.DUMMYFUNCTION("""COMPUTED_VALUE"""),45854.614856458335)</f>
        <v>45854.61486</v>
      </c>
    </row>
    <row r="262">
      <c r="A262" s="4">
        <f>IFERROR(__xludf.DUMMYFUNCTION("""COMPUTED_VALUE"""),45852.67165508102)</f>
        <v>45852.67166</v>
      </c>
      <c r="B262" s="3" t="str">
        <f>IFERROR(__xludf.DUMMYFUNCTION("""COMPUTED_VALUE"""),"RIARO0046")</f>
        <v>RIARO0046</v>
      </c>
      <c r="C262" s="3" t="str">
        <f>IFERROR(__xludf.DUMMYFUNCTION("""COMPUTED_VALUE"""),"MIn Stok")</f>
        <v>MIn Stok</v>
      </c>
      <c r="D262" s="3" t="str">
        <f>IFERROR(__xludf.DUMMYFUNCTION("""COMPUTED_VALUE"""),"-")</f>
        <v>-</v>
      </c>
      <c r="E262" s="3" t="str">
        <f>IFERROR(__xludf.DUMMYFUNCTION("""COMPUTED_VALUE"""),"Alarm System")</f>
        <v>Alarm System</v>
      </c>
      <c r="F262" s="3" t="str">
        <f>IFERROR(__xludf.DUMMYFUNCTION("""COMPUTED_VALUE"""),"Junction Box Plastik 12x12x10 cm; ; ;")</f>
        <v>Junction Box Plastik 12x12x10 cm; ; ;</v>
      </c>
      <c r="G262" s="3">
        <f>IFERROR(__xludf.DUMMYFUNCTION("""COMPUTED_VALUE"""),4.0)</f>
        <v>4</v>
      </c>
      <c r="H262" s="3" t="str">
        <f>IFERROR(__xludf.DUMMYFUNCTION("""COMPUTED_VALUE"""),"Pcs")</f>
        <v>Pcs</v>
      </c>
      <c r="I262" s="3" t="str">
        <f>IFERROR(__xludf.DUMMYFUNCTION("""COMPUTED_VALUE"""),"Alarm untuk API, Raw Material, Intermediate1 &amp; 2 OSD, Beli yang 2 kabel 100 meteran ya")</f>
        <v>Alarm untuk API, Raw Material, Intermediate1 &amp; 2 OSD, Beli yang 2 kabel 100 meteran ya</v>
      </c>
      <c r="J262" s="3" t="str">
        <f>IFERROR(__xludf.DUMMYFUNCTION("""COMPUTED_VALUE"""),"Q-10510-00")</f>
        <v>Q-10510-00</v>
      </c>
      <c r="K262" s="3" t="str">
        <f>IFERROR(__xludf.DUMMYFUNCTION("""COMPUTED_VALUE"""),"Approve")</f>
        <v>Approve</v>
      </c>
      <c r="L262" s="3" t="str">
        <f>IFERROR(__xludf.DUMMYFUNCTION("""COMPUTED_VALUE"""),"Normal")</f>
        <v>Normal</v>
      </c>
      <c r="M262" s="3" t="str">
        <f>IFERROR(__xludf.DUMMYFUNCTION("""COMPUTED_VALUE"""),"Non Urgent")</f>
        <v>Non Urgent</v>
      </c>
      <c r="N262" s="3">
        <f>IFERROR(__xludf.DUMMYFUNCTION("""COMPUTED_VALUE"""),45854.61503741898)</f>
        <v>45854.61504</v>
      </c>
    </row>
    <row r="263">
      <c r="A263" s="4">
        <f>IFERROR(__xludf.DUMMYFUNCTION("""COMPUTED_VALUE"""),45853.663975891206)</f>
        <v>45853.66398</v>
      </c>
      <c r="B263" s="3" t="str">
        <f>IFERROR(__xludf.DUMMYFUNCTION("""COMPUTED_VALUE"""),"RIARO0047")</f>
        <v>RIARO0047</v>
      </c>
      <c r="C263" s="3" t="str">
        <f>IFERROR(__xludf.DUMMYFUNCTION("""COMPUTED_VALUE"""),"EJO")</f>
        <v>EJO</v>
      </c>
      <c r="D263" s="3" t="str">
        <f>IFERROR(__xludf.DUMMYFUNCTION("""COMPUTED_VALUE"""),"EJO/2025/07/109")</f>
        <v>EJO/2025/07/109</v>
      </c>
      <c r="E263" s="3" t="str">
        <f>IFERROR(__xludf.DUMMYFUNCTION("""COMPUTED_VALUE"""),"AHU D3-1")</f>
        <v>AHU D3-1</v>
      </c>
      <c r="F263" s="3" t="str">
        <f>IFERROR(__xludf.DUMMYFUNCTION("""COMPUTED_VALUE"""),"General - Pulser SCR Heater Controller Wall Mounted 0-10 VD DC; Regin; 240-X010; 1 unit")</f>
        <v>General - Pulser SCR Heater Controller Wall Mounted 0-10 VD DC; Regin; 240-X010; 1 unit</v>
      </c>
      <c r="G263" s="3">
        <f>IFERROR(__xludf.DUMMYFUNCTION("""COMPUTED_VALUE"""),5.0)</f>
        <v>5</v>
      </c>
      <c r="H263" s="3" t="str">
        <f>IFERROR(__xludf.DUMMYFUNCTION("""COMPUTED_VALUE"""),"Pcs")</f>
        <v>Pcs</v>
      </c>
      <c r="I263" s="3" t="str">
        <f>IFERROR(__xludf.DUMMYFUNCTION("""COMPUTED_VALUE"""),"Buat D31")</f>
        <v>Buat D31</v>
      </c>
      <c r="J263" s="3" t="str">
        <f>IFERROR(__xludf.DUMMYFUNCTION("""COMPUTED_VALUE"""),"P-13370-00")</f>
        <v>P-13370-00</v>
      </c>
      <c r="K263" s="3" t="str">
        <f>IFERROR(__xludf.DUMMYFUNCTION("""COMPUTED_VALUE"""),"Approve")</f>
        <v>Approve</v>
      </c>
      <c r="L263" s="3" t="str">
        <f>IFERROR(__xludf.DUMMYFUNCTION("""COMPUTED_VALUE"""),"Normal")</f>
        <v>Normal</v>
      </c>
      <c r="M263" s="3" t="str">
        <f>IFERROR(__xludf.DUMMYFUNCTION("""COMPUTED_VALUE"""),"Non Urgent")</f>
        <v>Non Urgent</v>
      </c>
      <c r="N263" s="3">
        <f>IFERROR(__xludf.DUMMYFUNCTION("""COMPUTED_VALUE"""),45854.6152252662)</f>
        <v>45854.61523</v>
      </c>
    </row>
    <row r="264">
      <c r="A264" s="4">
        <f>IFERROR(__xludf.DUMMYFUNCTION("""COMPUTED_VALUE"""),45854.74795689815)</f>
        <v>45854.74796</v>
      </c>
      <c r="B264" s="3" t="str">
        <f>IFERROR(__xludf.DUMMYFUNCTION("""COMPUTED_VALUE"""),"SFHRO0011")</f>
        <v>SFHRO0011</v>
      </c>
      <c r="C264" s="3" t="str">
        <f>IFERROR(__xludf.DUMMYFUNCTION("""COMPUTED_VALUE"""),"MIn Stok")</f>
        <v>MIn Stok</v>
      </c>
      <c r="D264" s="3" t="str">
        <f>IFERROR(__xludf.DUMMYFUNCTION("""COMPUTED_VALUE"""),"-")</f>
        <v>-</v>
      </c>
      <c r="E264" s="3" t="str">
        <f>IFERROR(__xludf.DUMMYFUNCTION("""COMPUTED_VALUE"""),"lantai 2")</f>
        <v>lantai 2</v>
      </c>
      <c r="F264" s="3" t="str">
        <f>IFERROR(__xludf.DUMMYFUNCTION("""COMPUTED_VALUE"""),"Multipox MX-98-2K SB White;Propan;Type White;pack size per 20 kg pail")</f>
        <v>Multipox MX-98-2K SB White;Propan;Type White;pack size per 20 kg pail</v>
      </c>
      <c r="G264" s="3">
        <f>IFERROR(__xludf.DUMMYFUNCTION("""COMPUTED_VALUE"""),20.0)</f>
        <v>20</v>
      </c>
      <c r="H264" s="3" t="str">
        <f>IFERROR(__xludf.DUMMYFUNCTION("""COMPUTED_VALUE"""),"pel")</f>
        <v>pel</v>
      </c>
      <c r="I264" s="3" t="str">
        <f>IFERROR(__xludf.DUMMYFUNCTION("""COMPUTED_VALUE"""),"-")</f>
        <v>-</v>
      </c>
      <c r="J264" s="3" t="str">
        <f>IFERROR(__xludf.DUMMYFUNCTION("""COMPUTED_VALUE"""),"Q-10805-00")</f>
        <v>Q-10805-00</v>
      </c>
      <c r="K264" s="3" t="str">
        <f>IFERROR(__xludf.DUMMYFUNCTION("""COMPUTED_VALUE"""),"Approve")</f>
        <v>Approve</v>
      </c>
      <c r="L264" s="3" t="str">
        <f>IFERROR(__xludf.DUMMYFUNCTION("""COMPUTED_VALUE"""),"Normal")</f>
        <v>Normal</v>
      </c>
      <c r="M264" s="3" t="str">
        <f>IFERROR(__xludf.DUMMYFUNCTION("""COMPUTED_VALUE"""),"Non Urgent")</f>
        <v>Non Urgent</v>
      </c>
      <c r="N264" s="3">
        <f>IFERROR(__xludf.DUMMYFUNCTION("""COMPUTED_VALUE"""),45855.469743124995)</f>
        <v>45855.46974</v>
      </c>
    </row>
    <row r="265">
      <c r="A265" s="4">
        <f>IFERROR(__xludf.DUMMYFUNCTION("""COMPUTED_VALUE"""),45855.74678824074)</f>
        <v>45855.74679</v>
      </c>
      <c r="B265" s="3" t="str">
        <f>IFERROR(__xludf.DUMMYFUNCTION("""COMPUTED_VALUE"""),"NDSRO0004")</f>
        <v>NDSRO0004</v>
      </c>
      <c r="C265" s="3" t="str">
        <f>IFERROR(__xludf.DUMMYFUNCTION("""COMPUTED_VALUE"""),"MIn Stok")</f>
        <v>MIn Stok</v>
      </c>
      <c r="D265" s="3" t="str">
        <f>IFERROR(__xludf.DUMMYFUNCTION("""COMPUTED_VALUE"""),"-")</f>
        <v>-</v>
      </c>
      <c r="E265" s="3" t="str">
        <f>IFERROR(__xludf.DUMMYFUNCTION("""COMPUTED_VALUE"""),"MS 30")</f>
        <v>MS 30</v>
      </c>
      <c r="F265" s="3" t="str">
        <f>IFERROR(__xludf.DUMMYFUNCTION("""COMPUTED_VALUE"""),"Battery 12V 18AH merk LONG")</f>
        <v>Battery 12V 18AH merk LONG</v>
      </c>
      <c r="G265" s="3">
        <f>IFERROR(__xludf.DUMMYFUNCTION("""COMPUTED_VALUE"""),3.0)</f>
        <v>3</v>
      </c>
      <c r="H265" s="3" t="str">
        <f>IFERROR(__xludf.DUMMYFUNCTION("""COMPUTED_VALUE"""),"Pcs")</f>
        <v>Pcs</v>
      </c>
      <c r="I265" s="3" t="str">
        <f>IFERROR(__xludf.DUMMYFUNCTION("""COMPUTED_VALUE"""),"-")</f>
        <v>-</v>
      </c>
      <c r="J265" s="3" t="str">
        <f>IFERROR(__xludf.DUMMYFUNCTION("""COMPUTED_VALUE"""),"P-50781-00")</f>
        <v>P-50781-00</v>
      </c>
      <c r="K265" s="3" t="str">
        <f>IFERROR(__xludf.DUMMYFUNCTION("""COMPUTED_VALUE"""),"Approve")</f>
        <v>Approve</v>
      </c>
      <c r="L265" s="3" t="str">
        <f>IFERROR(__xludf.DUMMYFUNCTION("""COMPUTED_VALUE"""),"Normal")</f>
        <v>Normal</v>
      </c>
      <c r="M265" s="3" t="str">
        <f>IFERROR(__xludf.DUMMYFUNCTION("""COMPUTED_VALUE"""),"Non Urgent")</f>
        <v>Non Urgent</v>
      </c>
      <c r="N265" s="3">
        <f>IFERROR(__xludf.DUMMYFUNCTION("""COMPUTED_VALUE"""),45895.12607775463)</f>
        <v>45895.12608</v>
      </c>
    </row>
    <row r="266">
      <c r="A266" s="4">
        <f>IFERROR(__xludf.DUMMYFUNCTION("""COMPUTED_VALUE"""),45860.369664363425)</f>
        <v>45860.36966</v>
      </c>
      <c r="B266" s="3" t="str">
        <f>IFERROR(__xludf.DUMMYFUNCTION("""COMPUTED_VALUE"""),"ANORO0007")</f>
        <v>ANORO0007</v>
      </c>
      <c r="C266" s="3" t="str">
        <f>IFERROR(__xludf.DUMMYFUNCTION("""COMPUTED_VALUE"""),"Consumable")</f>
        <v>Consumable</v>
      </c>
      <c r="D266" s="3" t="str">
        <f>IFERROR(__xludf.DUMMYFUNCTION("""COMPUTED_VALUE"""),"-")</f>
        <v>-</v>
      </c>
      <c r="E266" s="3" t="str">
        <f>IFERROR(__xludf.DUMMYFUNCTION("""COMPUTED_VALUE"""),"Passbox")</f>
        <v>Passbox</v>
      </c>
      <c r="F266" s="3" t="str">
        <f>IFERROR(__xludf.DUMMYFUNCTION("""COMPUTED_VALUE"""),"Limit Switch LX19-001  250 VAC; ; ;")</f>
        <v>Limit Switch LX19-001  250 VAC; ; ;</v>
      </c>
      <c r="G266" s="3">
        <f>IFERROR(__xludf.DUMMYFUNCTION("""COMPUTED_VALUE"""),5.0)</f>
        <v>5</v>
      </c>
      <c r="H266" s="3" t="str">
        <f>IFERROR(__xludf.DUMMYFUNCTION("""COMPUTED_VALUE"""),"PCS")</f>
        <v>PCS</v>
      </c>
      <c r="I266" s="3" t="str">
        <f>IFERROR(__xludf.DUMMYFUNCTION("""COMPUTED_VALUE"""),"untuk spare jika ada yang rusak")</f>
        <v>untuk spare jika ada yang rusak</v>
      </c>
      <c r="J266" s="3" t="str">
        <f>IFERROR(__xludf.DUMMYFUNCTION("""COMPUTED_VALUE"""),"P-52569-00")</f>
        <v>P-52569-00</v>
      </c>
      <c r="K266" s="3" t="str">
        <f>IFERROR(__xludf.DUMMYFUNCTION("""COMPUTED_VALUE"""),"Approve")</f>
        <v>Approve</v>
      </c>
      <c r="L266" s="3" t="str">
        <f>IFERROR(__xludf.DUMMYFUNCTION("""COMPUTED_VALUE"""),"Normal")</f>
        <v>Normal</v>
      </c>
      <c r="M266" s="3" t="str">
        <f>IFERROR(__xludf.DUMMYFUNCTION("""COMPUTED_VALUE"""),"Non Urgent")</f>
        <v>Non Urgent</v>
      </c>
      <c r="N266" s="3">
        <f>IFERROR(__xludf.DUMMYFUNCTION("""COMPUTED_VALUE"""),45887.46743052083)</f>
        <v>45887.46743</v>
      </c>
    </row>
    <row r="267">
      <c r="A267" s="4">
        <f>IFERROR(__xludf.DUMMYFUNCTION("""COMPUTED_VALUE"""),45860.49651092592)</f>
        <v>45860.49651</v>
      </c>
      <c r="B267" s="3" t="str">
        <f>IFERROR(__xludf.DUMMYFUNCTION("""COMPUTED_VALUE"""),"SFHRO0012")</f>
        <v>SFHRO0012</v>
      </c>
      <c r="C267" s="3" t="str">
        <f>IFERROR(__xludf.DUMMYFUNCTION("""COMPUTED_VALUE"""),"MIn Stok")</f>
        <v>MIn Stok</v>
      </c>
      <c r="D267" s="3" t="str">
        <f>IFERROR(__xludf.DUMMYFUNCTION("""COMPUTED_VALUE"""),"-")</f>
        <v>-</v>
      </c>
      <c r="E267" s="3" t="str">
        <f>IFERROR(__xludf.DUMMYFUNCTION("""COMPUTED_VALUE"""),"lantai 2")</f>
        <v>lantai 2</v>
      </c>
      <c r="F267" s="3" t="str">
        <f>IFERROR(__xludf.DUMMYFUNCTION("""COMPUTED_VALUE"""),"Cat Durogloss DR-2000; Propan; Type Spiders Web 90YY 73/040; 0,9 L/can")</f>
        <v>Cat Durogloss DR-2000; Propan; Type Spiders Web 90YY 73/040; 0,9 L/can</v>
      </c>
      <c r="G267" s="3">
        <f>IFERROR(__xludf.DUMMYFUNCTION("""COMPUTED_VALUE"""),1.0)</f>
        <v>1</v>
      </c>
      <c r="H267" s="3" t="str">
        <f>IFERROR(__xludf.DUMMYFUNCTION("""COMPUTED_VALUE"""),"pel")</f>
        <v>pel</v>
      </c>
      <c r="I267" s="3" t="str">
        <f>IFERROR(__xludf.DUMMYFUNCTION("""COMPUTED_VALUE"""),"-")</f>
        <v>-</v>
      </c>
      <c r="J267" s="3" t="str">
        <f>IFERROR(__xludf.DUMMYFUNCTION("""COMPUTED_VALUE"""),"Q-60405-00")</f>
        <v>Q-60405-00</v>
      </c>
      <c r="K267" s="3" t="str">
        <f>IFERROR(__xludf.DUMMYFUNCTION("""COMPUTED_VALUE"""),"Approve")</f>
        <v>Approve</v>
      </c>
      <c r="L267" s="3" t="str">
        <f>IFERROR(__xludf.DUMMYFUNCTION("""COMPUTED_VALUE"""),"Normal")</f>
        <v>Normal</v>
      </c>
      <c r="M267" s="3" t="str">
        <f>IFERROR(__xludf.DUMMYFUNCTION("""COMPUTED_VALUE"""),"Non Urgent")</f>
        <v>Non Urgent</v>
      </c>
      <c r="N267" s="3">
        <f>IFERROR(__xludf.DUMMYFUNCTION("""COMPUTED_VALUE"""),45860.848399282404)</f>
        <v>45860.8484</v>
      </c>
    </row>
    <row r="268">
      <c r="A268" s="4">
        <f>IFERROR(__xludf.DUMMYFUNCTION("""COMPUTED_VALUE"""),45860.668564224536)</f>
        <v>45860.66856</v>
      </c>
      <c r="B268" s="3" t="str">
        <f>IFERROR(__xludf.DUMMYFUNCTION("""COMPUTED_VALUE"""),"MOBRO0055")</f>
        <v>MOBRO0055</v>
      </c>
      <c r="C268" s="3" t="str">
        <f>IFERROR(__xludf.DUMMYFUNCTION("""COMPUTED_VALUE"""),"MIn Stok")</f>
        <v>MIn Stok</v>
      </c>
      <c r="D268" s="3" t="str">
        <f>IFERROR(__xludf.DUMMYFUNCTION("""COMPUTED_VALUE"""),"-")</f>
        <v>-</v>
      </c>
      <c r="E268" s="3" t="str">
        <f>IFERROR(__xludf.DUMMYFUNCTION("""COMPUTED_VALUE"""),"AHU")</f>
        <v>AHU</v>
      </c>
      <c r="F268" s="3" t="str">
        <f>IFERROR(__xludf.DUMMYFUNCTION("""COMPUTED_VALUE"""),"Room Air Temp. &amp; RH Sensor, P/N. QFA2060D; ; ;")</f>
        <v>Room Air Temp. &amp; RH Sensor, P/N. QFA2060D; ; ;</v>
      </c>
      <c r="G268" s="3">
        <f>IFERROR(__xludf.DUMMYFUNCTION("""COMPUTED_VALUE"""),2.0)</f>
        <v>2</v>
      </c>
      <c r="H268" s="3" t="str">
        <f>IFERROR(__xludf.DUMMYFUNCTION("""COMPUTED_VALUE"""),"Pcs")</f>
        <v>Pcs</v>
      </c>
      <c r="I268" s="3" t="str">
        <f>IFERROR(__xludf.DUMMYFUNCTION("""COMPUTED_VALUE"""),"D3-1")</f>
        <v>D3-1</v>
      </c>
      <c r="J268" s="3" t="str">
        <f>IFERROR(__xludf.DUMMYFUNCTION("""COMPUTED_VALUE"""),"P-15002-00")</f>
        <v>P-15002-00</v>
      </c>
      <c r="K268" s="3" t="str">
        <f>IFERROR(__xludf.DUMMYFUNCTION("""COMPUTED_VALUE"""),"Approve")</f>
        <v>Approve</v>
      </c>
      <c r="L268" s="3" t="str">
        <f>IFERROR(__xludf.DUMMYFUNCTION("""COMPUTED_VALUE"""),"Normal")</f>
        <v>Normal</v>
      </c>
      <c r="M268" s="3" t="str">
        <f>IFERROR(__xludf.DUMMYFUNCTION("""COMPUTED_VALUE"""),"Non Urgent")</f>
        <v>Non Urgent</v>
      </c>
      <c r="N268" s="3">
        <f>IFERROR(__xludf.DUMMYFUNCTION("""COMPUTED_VALUE"""),45867.44718375)</f>
        <v>45867.44718</v>
      </c>
    </row>
    <row r="269">
      <c r="A269" s="4">
        <f>IFERROR(__xludf.DUMMYFUNCTION("""COMPUTED_VALUE"""),45861.33548637732)</f>
        <v>45861.33549</v>
      </c>
      <c r="B269" s="3" t="str">
        <f>IFERROR(__xludf.DUMMYFUNCTION("""COMPUTED_VALUE"""),"ANORO0008")</f>
        <v>ANORO0008</v>
      </c>
      <c r="C269" s="3" t="str">
        <f>IFERROR(__xludf.DUMMYFUNCTION("""COMPUTED_VALUE"""),"Consumable")</f>
        <v>Consumable</v>
      </c>
      <c r="D269" s="3" t="str">
        <f>IFERROR(__xludf.DUMMYFUNCTION("""COMPUTED_VALUE"""),"-")</f>
        <v>-</v>
      </c>
      <c r="E269" s="3" t="str">
        <f>IFERROR(__xludf.DUMMYFUNCTION("""COMPUTED_VALUE"""),"HPLC")</f>
        <v>HPLC</v>
      </c>
      <c r="F269" s="3" t="str">
        <f>IFERROR(__xludf.DUMMYFUNCTION("""COMPUTED_VALUE"""),"Performance Plus Check Valve Housing; Waters; 700002332;")</f>
        <v>Performance Plus Check Valve Housing; Waters; 700002332;</v>
      </c>
      <c r="G269" s="3">
        <f>IFERROR(__xludf.DUMMYFUNCTION("""COMPUTED_VALUE"""),3.0)</f>
        <v>3</v>
      </c>
      <c r="H269" s="3" t="str">
        <f>IFERROR(__xludf.DUMMYFUNCTION("""COMPUTED_VALUE"""),"PCS")</f>
        <v>PCS</v>
      </c>
      <c r="I269" s="3" t="str">
        <f>IFERROR(__xludf.DUMMYFUNCTION("""COMPUTED_VALUE"""),"untuk spare jika ada yang rusak")</f>
        <v>untuk spare jika ada yang rusak</v>
      </c>
      <c r="J269" s="3" t="str">
        <f>IFERROR(__xludf.DUMMYFUNCTION("""COMPUTED_VALUE"""),"T-20725-00")</f>
        <v>T-20725-00</v>
      </c>
      <c r="K269" s="3" t="str">
        <f>IFERROR(__xludf.DUMMYFUNCTION("""COMPUTED_VALUE"""),"Approve")</f>
        <v>Approve</v>
      </c>
      <c r="L269" s="3" t="str">
        <f>IFERROR(__xludf.DUMMYFUNCTION("""COMPUTED_VALUE"""),"Normal")</f>
        <v>Normal</v>
      </c>
      <c r="M269" s="3" t="str">
        <f>IFERROR(__xludf.DUMMYFUNCTION("""COMPUTED_VALUE"""),"Non Urgent")</f>
        <v>Non Urgent</v>
      </c>
      <c r="N269" s="3">
        <f>IFERROR(__xludf.DUMMYFUNCTION("""COMPUTED_VALUE"""),45887.46774173611)</f>
        <v>45887.46774</v>
      </c>
    </row>
    <row r="270">
      <c r="A270" s="4">
        <f>IFERROR(__xludf.DUMMYFUNCTION("""COMPUTED_VALUE"""),45865.63214635417)</f>
        <v>45865.63215</v>
      </c>
      <c r="B270" s="3" t="str">
        <f>IFERROR(__xludf.DUMMYFUNCTION("""COMPUTED_VALUE"""),"MRNRO0025")</f>
        <v>MRNRO0025</v>
      </c>
      <c r="C270" s="3" t="str">
        <f>IFERROR(__xludf.DUMMYFUNCTION("""COMPUTED_VALUE"""),"EJO")</f>
        <v>EJO</v>
      </c>
      <c r="D270" s="3" t="str">
        <f>IFERROR(__xludf.DUMMYFUNCTION("""COMPUTED_VALUE"""),"EJO/2025/07/42")</f>
        <v>EJO/2025/07/42</v>
      </c>
      <c r="E270" s="3" t="str">
        <f>IFERROR(__xludf.DUMMYFUNCTION("""COMPUTED_VALUE"""),"Ruang GC lab")</f>
        <v>Ruang GC lab</v>
      </c>
      <c r="F270" s="3" t="str">
        <f>IFERROR(__xludf.DUMMYFUNCTION("""COMPUTED_VALUE"""),"General - Push-in Fitting, QS-1/4-6; Festo; 153003; 1 pcs")</f>
        <v>General - Push-in Fitting, QS-1/4-6; Festo; 153003; 1 pcs</v>
      </c>
      <c r="G270" s="3">
        <f>IFERROR(__xludf.DUMMYFUNCTION("""COMPUTED_VALUE"""),8.0)</f>
        <v>8</v>
      </c>
      <c r="H270" s="3" t="str">
        <f>IFERROR(__xludf.DUMMYFUNCTION("""COMPUTED_VALUE"""),"pcs")</f>
        <v>pcs</v>
      </c>
      <c r="I270" s="3" t="str">
        <f>IFERROR(__xludf.DUMMYFUNCTION("""COMPUTED_VALUE"""),"Buat modifikasi gas N2 dan HE")</f>
        <v>Buat modifikasi gas N2 dan HE</v>
      </c>
      <c r="J270" s="3" t="str">
        <f>IFERROR(__xludf.DUMMYFUNCTION("""COMPUTED_VALUE"""),"P-11169-00")</f>
        <v>P-11169-00</v>
      </c>
      <c r="K270" s="3" t="str">
        <f>IFERROR(__xludf.DUMMYFUNCTION("""COMPUTED_VALUE"""),"Approve")</f>
        <v>Approve</v>
      </c>
      <c r="L270" s="3" t="str">
        <f>IFERROR(__xludf.DUMMYFUNCTION("""COMPUTED_VALUE"""),"Normal")</f>
        <v>Normal</v>
      </c>
      <c r="M270" s="3" t="str">
        <f>IFERROR(__xludf.DUMMYFUNCTION("""COMPUTED_VALUE"""),"Non Urgent")</f>
        <v>Non Urgent</v>
      </c>
      <c r="N270" s="3">
        <f>IFERROR(__xludf.DUMMYFUNCTION("""COMPUTED_VALUE"""),45867.45679300926)</f>
        <v>45867.45679</v>
      </c>
    </row>
    <row r="271">
      <c r="A271" s="4">
        <f>IFERROR(__xludf.DUMMYFUNCTION("""COMPUTED_VALUE"""),45865.633823854165)</f>
        <v>45865.63382</v>
      </c>
      <c r="B271" s="3" t="str">
        <f>IFERROR(__xludf.DUMMYFUNCTION("""COMPUTED_VALUE"""),"MRNRO0026")</f>
        <v>MRNRO0026</v>
      </c>
      <c r="C271" s="3" t="str">
        <f>IFERROR(__xludf.DUMMYFUNCTION("""COMPUTED_VALUE"""),"EJO")</f>
        <v>EJO</v>
      </c>
      <c r="D271" s="3" t="str">
        <f>IFERROR(__xludf.DUMMYFUNCTION("""COMPUTED_VALUE"""),"EJO/2025/07/42")</f>
        <v>EJO/2025/07/42</v>
      </c>
      <c r="E271" s="3" t="str">
        <f>IFERROR(__xludf.DUMMYFUNCTION("""COMPUTED_VALUE"""),"Ruang GC lab")</f>
        <v>Ruang GC lab</v>
      </c>
      <c r="F271" s="3" t="str">
        <f>IFERROR(__xludf.DUMMYFUNCTION("""COMPUTED_VALUE"""),"General - Panel Box Uk. 20 x 30 x 15cm; No Brand; -; 1 pc")</f>
        <v>General - Panel Box Uk. 20 x 30 x 15cm; No Brand; -; 1 pc</v>
      </c>
      <c r="G271" s="3">
        <f>IFERROR(__xludf.DUMMYFUNCTION("""COMPUTED_VALUE"""),1.0)</f>
        <v>1</v>
      </c>
      <c r="H271" s="3" t="str">
        <f>IFERROR(__xludf.DUMMYFUNCTION("""COMPUTED_VALUE"""),"pcs")</f>
        <v>pcs</v>
      </c>
      <c r="I271" s="3" t="str">
        <f>IFERROR(__xludf.DUMMYFUNCTION("""COMPUTED_VALUE"""),"Buat modifikasi gas N2 dan HE")</f>
        <v>Buat modifikasi gas N2 dan HE</v>
      </c>
      <c r="J271" s="3" t="str">
        <f>IFERROR(__xludf.DUMMYFUNCTION("""COMPUTED_VALUE"""),"P-51793-00")</f>
        <v>P-51793-00</v>
      </c>
      <c r="K271" s="3" t="str">
        <f>IFERROR(__xludf.DUMMYFUNCTION("""COMPUTED_VALUE"""),"Approve")</f>
        <v>Approve</v>
      </c>
      <c r="L271" s="3" t="str">
        <f>IFERROR(__xludf.DUMMYFUNCTION("""COMPUTED_VALUE"""),"Normal")</f>
        <v>Normal</v>
      </c>
      <c r="M271" s="3" t="str">
        <f>IFERROR(__xludf.DUMMYFUNCTION("""COMPUTED_VALUE"""),"Non Urgent")</f>
        <v>Non Urgent</v>
      </c>
      <c r="N271" s="3">
        <f>IFERROR(__xludf.DUMMYFUNCTION("""COMPUTED_VALUE"""),45867.45701052083)</f>
        <v>45867.45701</v>
      </c>
    </row>
    <row r="272">
      <c r="A272" s="4">
        <f>IFERROR(__xludf.DUMMYFUNCTION("""COMPUTED_VALUE"""),45865.641474814816)</f>
        <v>45865.64147</v>
      </c>
      <c r="B272" s="3" t="str">
        <f>IFERROR(__xludf.DUMMYFUNCTION("""COMPUTED_VALUE"""),"MRNRO0027")</f>
        <v>MRNRO0027</v>
      </c>
      <c r="C272" s="3" t="str">
        <f>IFERROR(__xludf.DUMMYFUNCTION("""COMPUTED_VALUE"""),"EJO")</f>
        <v>EJO</v>
      </c>
      <c r="D272" s="3" t="str">
        <f>IFERROR(__xludf.DUMMYFUNCTION("""COMPUTED_VALUE"""),"EJO/2025/07/42")</f>
        <v>EJO/2025/07/42</v>
      </c>
      <c r="E272" s="3" t="str">
        <f>IFERROR(__xludf.DUMMYFUNCTION("""COMPUTED_VALUE"""),"Ruang GC lab")</f>
        <v>Ruang GC lab</v>
      </c>
      <c r="F272" s="3" t="str">
        <f>IFERROR(__xludf.DUMMYFUNCTION("""COMPUTED_VALUE"""),"Pilot Lamps / Green / 220 VAC / AD22-22DS / AXLE")</f>
        <v>Pilot Lamps / Green / 220 VAC / AD22-22DS / AXLE</v>
      </c>
      <c r="G272" s="3">
        <f>IFERROR(__xludf.DUMMYFUNCTION("""COMPUTED_VALUE"""),5.0)</f>
        <v>5</v>
      </c>
      <c r="H272" s="3" t="str">
        <f>IFERROR(__xludf.DUMMYFUNCTION("""COMPUTED_VALUE"""),"pcs")</f>
        <v>pcs</v>
      </c>
      <c r="I272" s="3" t="str">
        <f>IFERROR(__xludf.DUMMYFUNCTION("""COMPUTED_VALUE"""),"Buat modifikasi gas N2 dan HE")</f>
        <v>Buat modifikasi gas N2 dan HE</v>
      </c>
      <c r="J272" s="3" t="str">
        <f>IFERROR(__xludf.DUMMYFUNCTION("""COMPUTED_VALUE"""),"P-50426-00")</f>
        <v>P-50426-00</v>
      </c>
      <c r="K272" s="3" t="str">
        <f>IFERROR(__xludf.DUMMYFUNCTION("""COMPUTED_VALUE"""),"Approve")</f>
        <v>Approve</v>
      </c>
      <c r="L272" s="3" t="str">
        <f>IFERROR(__xludf.DUMMYFUNCTION("""COMPUTED_VALUE"""),"Normal")</f>
        <v>Normal</v>
      </c>
      <c r="M272" s="3" t="str">
        <f>IFERROR(__xludf.DUMMYFUNCTION("""COMPUTED_VALUE"""),"Non Urgent")</f>
        <v>Non Urgent</v>
      </c>
      <c r="N272" s="3">
        <f>IFERROR(__xludf.DUMMYFUNCTION("""COMPUTED_VALUE"""),45867.45722548611)</f>
        <v>45867.45723</v>
      </c>
    </row>
    <row r="273">
      <c r="A273" s="4">
        <f>IFERROR(__xludf.DUMMYFUNCTION("""COMPUTED_VALUE"""),45865.641474814816)</f>
        <v>45865.64147</v>
      </c>
      <c r="B273" s="3" t="str">
        <f>IFERROR(__xludf.DUMMYFUNCTION("""COMPUTED_VALUE"""),"MRNRO0028")</f>
        <v>MRNRO0028</v>
      </c>
      <c r="C273" s="3" t="str">
        <f>IFERROR(__xludf.DUMMYFUNCTION("""COMPUTED_VALUE"""),"EJO")</f>
        <v>EJO</v>
      </c>
      <c r="D273" s="3" t="str">
        <f>IFERROR(__xludf.DUMMYFUNCTION("""COMPUTED_VALUE"""),"EJO/2025/07/44")</f>
        <v>EJO/2025/07/44</v>
      </c>
      <c r="E273" s="3" t="str">
        <f>IFERROR(__xludf.DUMMYFUNCTION("""COMPUTED_VALUE"""),"Ruang GC lab")</f>
        <v>Ruang GC lab</v>
      </c>
      <c r="F273" s="3" t="str">
        <f>IFERROR(__xludf.DUMMYFUNCTION("""COMPUTED_VALUE"""),"Pilot Lamps / Red / 24 VDC / AD22-221DSI / AXLE")</f>
        <v>Pilot Lamps / Red / 24 VDC / AD22-221DSI / AXLE</v>
      </c>
      <c r="G273" s="3">
        <f>IFERROR(__xludf.DUMMYFUNCTION("""COMPUTED_VALUE"""),5.0)</f>
        <v>5</v>
      </c>
      <c r="H273" s="3" t="str">
        <f>IFERROR(__xludf.DUMMYFUNCTION("""COMPUTED_VALUE"""),"pcs")</f>
        <v>pcs</v>
      </c>
      <c r="I273" s="3" t="str">
        <f>IFERROR(__xludf.DUMMYFUNCTION("""COMPUTED_VALUE"""),"Buat modifikasi gas N2 dan HE")</f>
        <v>Buat modifikasi gas N2 dan HE</v>
      </c>
      <c r="J273" s="3" t="str">
        <f>IFERROR(__xludf.DUMMYFUNCTION("""COMPUTED_VALUE"""),"P-50430-00")</f>
        <v>P-50430-00</v>
      </c>
      <c r="K273" s="3" t="str">
        <f>IFERROR(__xludf.DUMMYFUNCTION("""COMPUTED_VALUE"""),"Approve")</f>
        <v>Approve</v>
      </c>
      <c r="L273" s="3" t="str">
        <f>IFERROR(__xludf.DUMMYFUNCTION("""COMPUTED_VALUE"""),"Normal")</f>
        <v>Normal</v>
      </c>
      <c r="M273" s="3" t="str">
        <f>IFERROR(__xludf.DUMMYFUNCTION("""COMPUTED_VALUE"""),"Non Urgent")</f>
        <v>Non Urgent</v>
      </c>
      <c r="N273" s="3">
        <f>IFERROR(__xludf.DUMMYFUNCTION("""COMPUTED_VALUE"""),45867.45749724537)</f>
        <v>45867.4575</v>
      </c>
    </row>
    <row r="274">
      <c r="A274" s="4">
        <f>IFERROR(__xludf.DUMMYFUNCTION("""COMPUTED_VALUE"""),45865.64966880787)</f>
        <v>45865.64967</v>
      </c>
      <c r="B274" s="3" t="str">
        <f>IFERROR(__xludf.DUMMYFUNCTION("""COMPUTED_VALUE"""),"MFHRO0122")</f>
        <v>MFHRO0122</v>
      </c>
      <c r="C274" s="3" t="str">
        <f>IFERROR(__xludf.DUMMYFUNCTION("""COMPUTED_VALUE"""),"MIn Stok")</f>
        <v>MIn Stok</v>
      </c>
      <c r="D274" s="3" t="str">
        <f>IFERROR(__xludf.DUMMYFUNCTION("""COMPUTED_VALUE"""),"-")</f>
        <v>-</v>
      </c>
      <c r="E274" s="3" t="str">
        <f>IFERROR(__xludf.DUMMYFUNCTION("""COMPUTED_VALUE"""),"Lab")</f>
        <v>Lab</v>
      </c>
      <c r="F274" s="3" t="str">
        <f>IFERROR(__xludf.DUMMYFUNCTION("""COMPUTED_VALUE"""),"Inlet liner, Ultra Inert, split, low pressure drop, glass wool; Agilent; Part No. 5190-2295; 1/pk")</f>
        <v>Inlet liner, Ultra Inert, split, low pressure drop, glass wool; Agilent; Part No. 5190-2295; 1/pk</v>
      </c>
      <c r="G274" s="3">
        <f>IFERROR(__xludf.DUMMYFUNCTION("""COMPUTED_VALUE"""),2.0)</f>
        <v>2</v>
      </c>
      <c r="H274" s="3" t="str">
        <f>IFERROR(__xludf.DUMMYFUNCTION("""COMPUTED_VALUE"""),"Pieces")</f>
        <v>Pieces</v>
      </c>
      <c r="I274" s="3" t="str">
        <f>IFERROR(__xludf.DUMMYFUNCTION("""COMPUTED_VALUE"""),"Untuk Lab 121702839 2378")</f>
        <v>Untuk Lab 121702839 2378</v>
      </c>
      <c r="J274" s="3" t="str">
        <f>IFERROR(__xludf.DUMMYFUNCTION("""COMPUTED_VALUE"""),"T-20320-00")</f>
        <v>T-20320-00</v>
      </c>
      <c r="K274" s="3" t="str">
        <f>IFERROR(__xludf.DUMMYFUNCTION("""COMPUTED_VALUE"""),"Approve")</f>
        <v>Approve</v>
      </c>
      <c r="L274" s="3" t="str">
        <f>IFERROR(__xludf.DUMMYFUNCTION("""COMPUTED_VALUE"""),"Normal")</f>
        <v>Normal</v>
      </c>
      <c r="M274" s="3" t="str">
        <f>IFERROR(__xludf.DUMMYFUNCTION("""COMPUTED_VALUE"""),"Non Urgent")</f>
        <v>Non Urgent</v>
      </c>
      <c r="N274" s="3">
        <f>IFERROR(__xludf.DUMMYFUNCTION("""COMPUTED_VALUE"""),45865.916064247685)</f>
        <v>45865.91606</v>
      </c>
    </row>
    <row r="275">
      <c r="A275" s="4">
        <f>IFERROR(__xludf.DUMMYFUNCTION("""COMPUTED_VALUE"""),45865.64966880787)</f>
        <v>45865.64967</v>
      </c>
      <c r="B275" s="3" t="str">
        <f>IFERROR(__xludf.DUMMYFUNCTION("""COMPUTED_VALUE"""),"MFHRO0123")</f>
        <v>MFHRO0123</v>
      </c>
      <c r="C275" s="3" t="str">
        <f>IFERROR(__xludf.DUMMYFUNCTION("""COMPUTED_VALUE"""),"MIn Stok")</f>
        <v>MIn Stok</v>
      </c>
      <c r="D275" s="3" t="str">
        <f>IFERROR(__xludf.DUMMYFUNCTION("""COMPUTED_VALUE"""),"-")</f>
        <v>-</v>
      </c>
      <c r="E275" s="3" t="str">
        <f>IFERROR(__xludf.DUMMYFUNCTION("""COMPUTED_VALUE"""),"Lab")</f>
        <v>Lab</v>
      </c>
      <c r="F275" s="3" t="str">
        <f>IFERROR(__xludf.DUMMYFUNCTION("""COMPUTED_VALUE"""),"Septum Bleed/Temp Opt. Non-Stick 11 mm Septa ; Agilent; Part No. 5183-4757; 50/pk")</f>
        <v>Septum Bleed/Temp Opt. Non-Stick 11 mm Septa ; Agilent; Part No. 5183-4757; 50/pk</v>
      </c>
      <c r="G275" s="3">
        <f>IFERROR(__xludf.DUMMYFUNCTION("""COMPUTED_VALUE"""),1.0)</f>
        <v>1</v>
      </c>
      <c r="H275" s="3" t="str">
        <f>IFERROR(__xludf.DUMMYFUNCTION("""COMPUTED_VALUE"""),"Pack")</f>
        <v>Pack</v>
      </c>
      <c r="I275" s="3" t="str">
        <f>IFERROR(__xludf.DUMMYFUNCTION("""COMPUTED_VALUE"""),"Untuk Lab 121702839 2379")</f>
        <v>Untuk Lab 121702839 2379</v>
      </c>
      <c r="J275" s="3" t="str">
        <f>IFERROR(__xludf.DUMMYFUNCTION("""COMPUTED_VALUE"""),"T-20287-00")</f>
        <v>T-20287-00</v>
      </c>
      <c r="K275" s="3" t="str">
        <f>IFERROR(__xludf.DUMMYFUNCTION("""COMPUTED_VALUE"""),"Approve")</f>
        <v>Approve</v>
      </c>
      <c r="L275" s="3" t="str">
        <f>IFERROR(__xludf.DUMMYFUNCTION("""COMPUTED_VALUE"""),"Normal")</f>
        <v>Normal</v>
      </c>
      <c r="M275" s="3" t="str">
        <f>IFERROR(__xludf.DUMMYFUNCTION("""COMPUTED_VALUE"""),"Non Urgent")</f>
        <v>Non Urgent</v>
      </c>
      <c r="N275" s="3">
        <f>IFERROR(__xludf.DUMMYFUNCTION("""COMPUTED_VALUE"""),45865.91616284722)</f>
        <v>45865.91616</v>
      </c>
    </row>
    <row r="276">
      <c r="A276" s="4">
        <f>IFERROR(__xludf.DUMMYFUNCTION("""COMPUTED_VALUE"""),45865.64966880787)</f>
        <v>45865.64967</v>
      </c>
      <c r="B276" s="3" t="str">
        <f>IFERROR(__xludf.DUMMYFUNCTION("""COMPUTED_VALUE"""),"MFHRO0124")</f>
        <v>MFHRO0124</v>
      </c>
      <c r="C276" s="3" t="str">
        <f>IFERROR(__xludf.DUMMYFUNCTION("""COMPUTED_VALUE"""),"Consumable")</f>
        <v>Consumable</v>
      </c>
      <c r="D276" s="3" t="str">
        <f>IFERROR(__xludf.DUMMYFUNCTION("""COMPUTED_VALUE"""),"-")</f>
        <v>-</v>
      </c>
      <c r="E276" s="3" t="str">
        <f>IFERROR(__xludf.DUMMYFUNCTION("""COMPUTED_VALUE"""),"General")</f>
        <v>General</v>
      </c>
      <c r="F276" s="3" t="str">
        <f>IFERROR(__xludf.DUMMYFUNCTION("""COMPUTED_VALUE"""),"Isolasi AC- Sansui")</f>
        <v>Isolasi AC- Sansui</v>
      </c>
      <c r="G276" s="3">
        <f>IFERROR(__xludf.DUMMYFUNCTION("""COMPUTED_VALUE"""),15.0)</f>
        <v>15</v>
      </c>
      <c r="H276" s="3" t="str">
        <f>IFERROR(__xludf.DUMMYFUNCTION("""COMPUTED_VALUE"""),"Pieces")</f>
        <v>Pieces</v>
      </c>
      <c r="I276" s="3" t="str">
        <f>IFERROR(__xludf.DUMMYFUNCTION("""COMPUTED_VALUE"""),"Consumable 121702899 2451")</f>
        <v>Consumable 121702899 2451</v>
      </c>
      <c r="J276" s="3" t="str">
        <f>IFERROR(__xludf.DUMMYFUNCTION("""COMPUTED_VALUE"""),"P-12433-00")</f>
        <v>P-12433-00</v>
      </c>
      <c r="K276" s="3" t="str">
        <f>IFERROR(__xludf.DUMMYFUNCTION("""COMPUTED_VALUE"""),"Approve")</f>
        <v>Approve</v>
      </c>
      <c r="L276" s="3" t="str">
        <f>IFERROR(__xludf.DUMMYFUNCTION("""COMPUTED_VALUE"""),"Normal")</f>
        <v>Normal</v>
      </c>
      <c r="M276" s="3" t="str">
        <f>IFERROR(__xludf.DUMMYFUNCTION("""COMPUTED_VALUE"""),"Non Urgent")</f>
        <v>Non Urgent</v>
      </c>
      <c r="N276" s="3">
        <f>IFERROR(__xludf.DUMMYFUNCTION("""COMPUTED_VALUE"""),45865.91628430555)</f>
        <v>45865.91628</v>
      </c>
    </row>
    <row r="277">
      <c r="A277" s="4">
        <f>IFERROR(__xludf.DUMMYFUNCTION("""COMPUTED_VALUE"""),45865.64966880787)</f>
        <v>45865.64967</v>
      </c>
      <c r="B277" s="3" t="str">
        <f>IFERROR(__xludf.DUMMYFUNCTION("""COMPUTED_VALUE"""),"MFHRO0125")</f>
        <v>MFHRO0125</v>
      </c>
      <c r="C277" s="3" t="str">
        <f>IFERROR(__xludf.DUMMYFUNCTION("""COMPUTED_VALUE"""),"Consumable")</f>
        <v>Consumable</v>
      </c>
      <c r="D277" s="3" t="str">
        <f>IFERROR(__xludf.DUMMYFUNCTION("""COMPUTED_VALUE"""),"-")</f>
        <v>-</v>
      </c>
      <c r="E277" s="3" t="str">
        <f>IFERROR(__xludf.DUMMYFUNCTION("""COMPUTED_VALUE"""),"General")</f>
        <v>General</v>
      </c>
      <c r="F277" s="3" t="str">
        <f>IFERROR(__xludf.DUMMYFUNCTION("""COMPUTED_VALUE"""),"Pneumatic  Fitting - QS 10-8 / PN : 153039 / Festo")</f>
        <v>Pneumatic  Fitting - QS 10-8 / PN : 153039 / Festo</v>
      </c>
      <c r="G277" s="3">
        <f>IFERROR(__xludf.DUMMYFUNCTION("""COMPUTED_VALUE"""),10.0)</f>
        <v>10</v>
      </c>
      <c r="H277" s="3" t="str">
        <f>IFERROR(__xludf.DUMMYFUNCTION("""COMPUTED_VALUE"""),"Pieces")</f>
        <v>Pieces</v>
      </c>
      <c r="I277" s="3" t="str">
        <f>IFERROR(__xludf.DUMMYFUNCTION("""COMPUTED_VALUE"""),"Consumable 121702903 2453")</f>
        <v>Consumable 121702903 2453</v>
      </c>
      <c r="J277" s="3" t="str">
        <f>IFERROR(__xludf.DUMMYFUNCTION("""COMPUTED_VALUE"""),"P-11175-00")</f>
        <v>P-11175-00</v>
      </c>
      <c r="K277" s="3" t="str">
        <f>IFERROR(__xludf.DUMMYFUNCTION("""COMPUTED_VALUE"""),"Approve")</f>
        <v>Approve</v>
      </c>
      <c r="L277" s="3" t="str">
        <f>IFERROR(__xludf.DUMMYFUNCTION("""COMPUTED_VALUE"""),"Normal")</f>
        <v>Normal</v>
      </c>
      <c r="M277" s="3" t="str">
        <f>IFERROR(__xludf.DUMMYFUNCTION("""COMPUTED_VALUE"""),"Non Urgent")</f>
        <v>Non Urgent</v>
      </c>
      <c r="N277" s="3">
        <f>IFERROR(__xludf.DUMMYFUNCTION("""COMPUTED_VALUE"""),45865.91643024306)</f>
        <v>45865.91643</v>
      </c>
    </row>
    <row r="278">
      <c r="A278" s="4">
        <f>IFERROR(__xludf.DUMMYFUNCTION("""COMPUTED_VALUE"""),45865.64966880787)</f>
        <v>45865.64967</v>
      </c>
      <c r="B278" s="3" t="str">
        <f>IFERROR(__xludf.DUMMYFUNCTION("""COMPUTED_VALUE"""),"MFHRO0126")</f>
        <v>MFHRO0126</v>
      </c>
      <c r="C278" s="3" t="str">
        <f>IFERROR(__xludf.DUMMYFUNCTION("""COMPUTED_VALUE"""),"MIn Stok")</f>
        <v>MIn Stok</v>
      </c>
      <c r="D278" s="3" t="str">
        <f>IFERROR(__xludf.DUMMYFUNCTION("""COMPUTED_VALUE"""),"-")</f>
        <v>-</v>
      </c>
      <c r="E278" s="3" t="str">
        <f>IFERROR(__xludf.DUMMYFUNCTION("""COMPUTED_VALUE"""),"AHU")</f>
        <v>AHU</v>
      </c>
      <c r="F278" s="3" t="str">
        <f>IFERROR(__xludf.DUMMYFUNCTION("""COMPUTED_VALUE"""),"General - Flexible Ducting Pipa Alumunium 4inch; No Brand; -; 1 pc")</f>
        <v>General - Flexible Ducting Pipa Alumunium 4inch; No Brand; -; 1 pc</v>
      </c>
      <c r="G278" s="3">
        <f>IFERROR(__xludf.DUMMYFUNCTION("""COMPUTED_VALUE"""),3.0)</f>
        <v>3</v>
      </c>
      <c r="H278" s="3" t="str">
        <f>IFERROR(__xludf.DUMMYFUNCTION("""COMPUTED_VALUE"""),"Pieces")</f>
        <v>Pieces</v>
      </c>
      <c r="I278" s="3" t="str">
        <f>IFERROR(__xludf.DUMMYFUNCTION("""COMPUTED_VALUE"""),"Untuk Loker Sepatu 121702907 2460")</f>
        <v>Untuk Loker Sepatu 121702907 2460</v>
      </c>
      <c r="J278" s="3" t="str">
        <f>IFERROR(__xludf.DUMMYFUNCTION("""COMPUTED_VALUE"""),"P-19877-00")</f>
        <v>P-19877-00</v>
      </c>
      <c r="K278" s="3" t="str">
        <f>IFERROR(__xludf.DUMMYFUNCTION("""COMPUTED_VALUE"""),"Approve")</f>
        <v>Approve</v>
      </c>
      <c r="L278" s="3" t="str">
        <f>IFERROR(__xludf.DUMMYFUNCTION("""COMPUTED_VALUE"""),"Normal")</f>
        <v>Normal</v>
      </c>
      <c r="M278" s="3" t="str">
        <f>IFERROR(__xludf.DUMMYFUNCTION("""COMPUTED_VALUE"""),"Non Urgent")</f>
        <v>Non Urgent</v>
      </c>
      <c r="N278" s="3">
        <f>IFERROR(__xludf.DUMMYFUNCTION("""COMPUTED_VALUE"""),45865.91652328704)</f>
        <v>45865.91652</v>
      </c>
    </row>
    <row r="279">
      <c r="A279" s="4">
        <f>IFERROR(__xludf.DUMMYFUNCTION("""COMPUTED_VALUE"""),45865.64966880787)</f>
        <v>45865.64967</v>
      </c>
      <c r="B279" s="3" t="str">
        <f>IFERROR(__xludf.DUMMYFUNCTION("""COMPUTED_VALUE"""),"MFHRO0127")</f>
        <v>MFHRO0127</v>
      </c>
      <c r="C279" s="3" t="str">
        <f>IFERROR(__xludf.DUMMYFUNCTION("""COMPUTED_VALUE"""),"MIn Stok")</f>
        <v>MIn Stok</v>
      </c>
      <c r="D279" s="3" t="str">
        <f>IFERROR(__xludf.DUMMYFUNCTION("""COMPUTED_VALUE"""),"-")</f>
        <v>-</v>
      </c>
      <c r="E279" s="3" t="str">
        <f>IFERROR(__xludf.DUMMYFUNCTION("""COMPUTED_VALUE"""),"Washbay")</f>
        <v>Washbay</v>
      </c>
      <c r="F279" s="3" t="str">
        <f>IFERROR(__xludf.DUMMYFUNCTION("""COMPUTED_VALUE"""),"Button Box 3 hole dia 22 mm; ; ;")</f>
        <v>Button Box 3 hole dia 22 mm; ; ;</v>
      </c>
      <c r="G279" s="3">
        <f>IFERROR(__xludf.DUMMYFUNCTION("""COMPUTED_VALUE"""),1.0)</f>
        <v>1</v>
      </c>
      <c r="H279" s="3" t="str">
        <f>IFERROR(__xludf.DUMMYFUNCTION("""COMPUTED_VALUE"""),"Pieces")</f>
        <v>Pieces</v>
      </c>
      <c r="I279" s="3" t="str">
        <f>IFERROR(__xludf.DUMMYFUNCTION("""COMPUTED_VALUE"""),"Untuk Washbay 121702911 2473")</f>
        <v>Untuk Washbay 121702911 2473</v>
      </c>
      <c r="J279" s="3" t="str">
        <f>IFERROR(__xludf.DUMMYFUNCTION("""COMPUTED_VALUE"""),"P-51840-00")</f>
        <v>P-51840-00</v>
      </c>
      <c r="K279" s="3" t="str">
        <f>IFERROR(__xludf.DUMMYFUNCTION("""COMPUTED_VALUE"""),"Approve")</f>
        <v>Approve</v>
      </c>
      <c r="L279" s="3" t="str">
        <f>IFERROR(__xludf.DUMMYFUNCTION("""COMPUTED_VALUE"""),"Normal")</f>
        <v>Normal</v>
      </c>
      <c r="M279" s="3" t="str">
        <f>IFERROR(__xludf.DUMMYFUNCTION("""COMPUTED_VALUE"""),"Non Urgent")</f>
        <v>Non Urgent</v>
      </c>
      <c r="N279" s="3">
        <f>IFERROR(__xludf.DUMMYFUNCTION("""COMPUTED_VALUE"""),45865.916634988425)</f>
        <v>45865.91663</v>
      </c>
    </row>
    <row r="280">
      <c r="A280" s="4">
        <f>IFERROR(__xludf.DUMMYFUNCTION("""COMPUTED_VALUE"""),45865.64966880787)</f>
        <v>45865.64967</v>
      </c>
      <c r="B280" s="3" t="str">
        <f>IFERROR(__xludf.DUMMYFUNCTION("""COMPUTED_VALUE"""),"MFHRO0128")</f>
        <v>MFHRO0128</v>
      </c>
      <c r="C280" s="3" t="str">
        <f>IFERROR(__xludf.DUMMYFUNCTION("""COMPUTED_VALUE"""),"MIn Stok")</f>
        <v>MIn Stok</v>
      </c>
      <c r="D280" s="3" t="str">
        <f>IFERROR(__xludf.DUMMYFUNCTION("""COMPUTED_VALUE"""),"-")</f>
        <v>-</v>
      </c>
      <c r="E280" s="3" t="str">
        <f>IFERROR(__xludf.DUMMYFUNCTION("""COMPUTED_VALUE"""),"Washbay")</f>
        <v>Washbay</v>
      </c>
      <c r="F280" s="3" t="str">
        <f>IFERROR(__xludf.DUMMYFUNCTION("""COMPUTED_VALUE"""),"General - Plug Silincer 1/4inch; No Brand; -; 1 pc")</f>
        <v>General - Plug Silincer 1/4inch; No Brand; -; 1 pc</v>
      </c>
      <c r="G280" s="3">
        <f>IFERROR(__xludf.DUMMYFUNCTION("""COMPUTED_VALUE"""),1.0)</f>
        <v>1</v>
      </c>
      <c r="H280" s="3" t="str">
        <f>IFERROR(__xludf.DUMMYFUNCTION("""COMPUTED_VALUE"""),"Pieces")</f>
        <v>Pieces</v>
      </c>
      <c r="I280" s="3" t="str">
        <f>IFERROR(__xludf.DUMMYFUNCTION("""COMPUTED_VALUE"""),"Untuk Washbay 121702911 2474")</f>
        <v>Untuk Washbay 121702911 2474</v>
      </c>
      <c r="J280" s="3" t="str">
        <f>IFERROR(__xludf.DUMMYFUNCTION("""COMPUTED_VALUE"""),"P-19892-00")</f>
        <v>P-19892-00</v>
      </c>
      <c r="K280" s="3" t="str">
        <f>IFERROR(__xludf.DUMMYFUNCTION("""COMPUTED_VALUE"""),"Approve")</f>
        <v>Approve</v>
      </c>
      <c r="L280" s="3" t="str">
        <f>IFERROR(__xludf.DUMMYFUNCTION("""COMPUTED_VALUE"""),"Normal")</f>
        <v>Normal</v>
      </c>
      <c r="M280" s="3" t="str">
        <f>IFERROR(__xludf.DUMMYFUNCTION("""COMPUTED_VALUE"""),"Non Urgent")</f>
        <v>Non Urgent</v>
      </c>
      <c r="N280" s="3">
        <f>IFERROR(__xludf.DUMMYFUNCTION("""COMPUTED_VALUE"""),45865.91674350694)</f>
        <v>45865.91674</v>
      </c>
    </row>
    <row r="281">
      <c r="A281" s="4">
        <f>IFERROR(__xludf.DUMMYFUNCTION("""COMPUTED_VALUE"""),45865.64966880787)</f>
        <v>45865.64967</v>
      </c>
      <c r="B281" s="3" t="str">
        <f>IFERROR(__xludf.DUMMYFUNCTION("""COMPUTED_VALUE"""),"MFHRO0129")</f>
        <v>MFHRO0129</v>
      </c>
      <c r="C281" s="3" t="str">
        <f>IFERROR(__xludf.DUMMYFUNCTION("""COMPUTED_VALUE"""),"MIn Stok")</f>
        <v>MIn Stok</v>
      </c>
      <c r="D281" s="3" t="str">
        <f>IFERROR(__xludf.DUMMYFUNCTION("""COMPUTED_VALUE"""),"-")</f>
        <v>-</v>
      </c>
      <c r="E281" s="3" t="str">
        <f>IFERROR(__xludf.DUMMYFUNCTION("""COMPUTED_VALUE"""),"Washbay")</f>
        <v>Washbay</v>
      </c>
      <c r="F281" s="3" t="str">
        <f>IFERROR(__xludf.DUMMYFUNCTION("""COMPUTED_VALUE"""),"Selenoid Valve  4V210-08 24 VDC; ; ;")</f>
        <v>Selenoid Valve  4V210-08 24 VDC; ; ;</v>
      </c>
      <c r="G281" s="3">
        <f>IFERROR(__xludf.DUMMYFUNCTION("""COMPUTED_VALUE"""),1.0)</f>
        <v>1</v>
      </c>
      <c r="H281" s="3" t="str">
        <f>IFERROR(__xludf.DUMMYFUNCTION("""COMPUTED_VALUE"""),"Pieces")</f>
        <v>Pieces</v>
      </c>
      <c r="I281" s="3" t="str">
        <f>IFERROR(__xludf.DUMMYFUNCTION("""COMPUTED_VALUE"""),"Untuk Washbay 121702911 2475")</f>
        <v>Untuk Washbay 121702911 2475</v>
      </c>
      <c r="J281" s="3" t="str">
        <f>IFERROR(__xludf.DUMMYFUNCTION("""COMPUTED_VALUE"""),"P-13558-00")</f>
        <v>P-13558-00</v>
      </c>
      <c r="K281" s="3" t="str">
        <f>IFERROR(__xludf.DUMMYFUNCTION("""COMPUTED_VALUE"""),"Approve")</f>
        <v>Approve</v>
      </c>
      <c r="L281" s="3" t="str">
        <f>IFERROR(__xludf.DUMMYFUNCTION("""COMPUTED_VALUE"""),"Normal")</f>
        <v>Normal</v>
      </c>
      <c r="M281" s="3" t="str">
        <f>IFERROR(__xludf.DUMMYFUNCTION("""COMPUTED_VALUE"""),"Non Urgent")</f>
        <v>Non Urgent</v>
      </c>
      <c r="N281" s="3">
        <f>IFERROR(__xludf.DUMMYFUNCTION("""COMPUTED_VALUE"""),45865.91685944445)</f>
        <v>45865.91686</v>
      </c>
    </row>
    <row r="282">
      <c r="A282" s="4">
        <f>IFERROR(__xludf.DUMMYFUNCTION("""COMPUTED_VALUE"""),45865.64966880787)</f>
        <v>45865.64967</v>
      </c>
      <c r="B282" s="3" t="str">
        <f>IFERROR(__xludf.DUMMYFUNCTION("""COMPUTED_VALUE"""),"MFHRO0130")</f>
        <v>MFHRO0130</v>
      </c>
      <c r="C282" s="3" t="str">
        <f>IFERROR(__xludf.DUMMYFUNCTION("""COMPUTED_VALUE"""),"MIn Stok")</f>
        <v>MIn Stok</v>
      </c>
      <c r="D282" s="3" t="str">
        <f>IFERROR(__xludf.DUMMYFUNCTION("""COMPUTED_VALUE"""),"-")</f>
        <v>-</v>
      </c>
      <c r="E282" s="3" t="str">
        <f>IFERROR(__xludf.DUMMYFUNCTION("""COMPUTED_VALUE"""),"Washbay")</f>
        <v>Washbay</v>
      </c>
      <c r="F282" s="3" t="str">
        <f>IFERROR(__xludf.DUMMYFUNCTION("""COMPUTED_VALUE"""),"General - Selenoid 1/8inch, 24VDC; Airtac; 4V210-06; 1 pc")</f>
        <v>General - Selenoid 1/8inch, 24VDC; Airtac; 4V210-06; 1 pc</v>
      </c>
      <c r="G282" s="3">
        <f>IFERROR(__xludf.DUMMYFUNCTION("""COMPUTED_VALUE"""),3.0)</f>
        <v>3</v>
      </c>
      <c r="H282" s="3" t="str">
        <f>IFERROR(__xludf.DUMMYFUNCTION("""COMPUTED_VALUE"""),"Pieces")</f>
        <v>Pieces</v>
      </c>
      <c r="I282" s="3" t="str">
        <f>IFERROR(__xludf.DUMMYFUNCTION("""COMPUTED_VALUE"""),"Untuk Washbay 121702911 2476")</f>
        <v>Untuk Washbay 121702911 2476</v>
      </c>
      <c r="J282" s="3" t="str">
        <f>IFERROR(__xludf.DUMMYFUNCTION("""COMPUTED_VALUE"""),"P-54311-00")</f>
        <v>P-54311-00</v>
      </c>
      <c r="K282" s="3" t="str">
        <f>IFERROR(__xludf.DUMMYFUNCTION("""COMPUTED_VALUE"""),"Approve")</f>
        <v>Approve</v>
      </c>
      <c r="L282" s="3" t="str">
        <f>IFERROR(__xludf.DUMMYFUNCTION("""COMPUTED_VALUE"""),"Normal")</f>
        <v>Normal</v>
      </c>
      <c r="M282" s="3" t="str">
        <f>IFERROR(__xludf.DUMMYFUNCTION("""COMPUTED_VALUE"""),"Non Urgent")</f>
        <v>Non Urgent</v>
      </c>
      <c r="N282" s="3">
        <f>IFERROR(__xludf.DUMMYFUNCTION("""COMPUTED_VALUE"""),45865.91694549768)</f>
        <v>45865.91695</v>
      </c>
    </row>
    <row r="283">
      <c r="A283" s="4">
        <f>IFERROR(__xludf.DUMMYFUNCTION("""COMPUTED_VALUE"""),45865.64966880787)</f>
        <v>45865.64967</v>
      </c>
      <c r="B283" s="3" t="str">
        <f>IFERROR(__xludf.DUMMYFUNCTION("""COMPUTED_VALUE"""),"MFHRO0131")</f>
        <v>MFHRO0131</v>
      </c>
      <c r="C283" s="3" t="str">
        <f>IFERROR(__xludf.DUMMYFUNCTION("""COMPUTED_VALUE"""),"MIn Stok")</f>
        <v>MIn Stok</v>
      </c>
      <c r="D283" s="3" t="str">
        <f>IFERROR(__xludf.DUMMYFUNCTION("""COMPUTED_VALUE"""),"-")</f>
        <v>-</v>
      </c>
      <c r="E283" s="3" t="str">
        <f>IFERROR(__xludf.DUMMYFUNCTION("""COMPUTED_VALUE"""),"Washbay")</f>
        <v>Washbay</v>
      </c>
      <c r="F283" s="3" t="str">
        <f>IFERROR(__xludf.DUMMYFUNCTION("""COMPUTED_VALUE"""),"General - Fitting QS 1/8 x 6mm; EMC; -; 1 pc")</f>
        <v>General - Fitting QS 1/8 x 6mm; EMC; -; 1 pc</v>
      </c>
      <c r="G283" s="3">
        <f>IFERROR(__xludf.DUMMYFUNCTION("""COMPUTED_VALUE"""),10.0)</f>
        <v>10</v>
      </c>
      <c r="H283" s="3" t="str">
        <f>IFERROR(__xludf.DUMMYFUNCTION("""COMPUTED_VALUE"""),"Pieces")</f>
        <v>Pieces</v>
      </c>
      <c r="I283" s="3" t="str">
        <f>IFERROR(__xludf.DUMMYFUNCTION("""COMPUTED_VALUE"""),"Untuk Washbay 121702911 2477")</f>
        <v>Untuk Washbay 121702911 2477</v>
      </c>
      <c r="J283" s="3" t="str">
        <f>IFERROR(__xludf.DUMMYFUNCTION("""COMPUTED_VALUE"""),"P-19894-00")</f>
        <v>P-19894-00</v>
      </c>
      <c r="K283" s="3" t="str">
        <f>IFERROR(__xludf.DUMMYFUNCTION("""COMPUTED_VALUE"""),"Approve")</f>
        <v>Approve</v>
      </c>
      <c r="L283" s="3" t="str">
        <f>IFERROR(__xludf.DUMMYFUNCTION("""COMPUTED_VALUE"""),"Normal")</f>
        <v>Normal</v>
      </c>
      <c r="M283" s="3" t="str">
        <f>IFERROR(__xludf.DUMMYFUNCTION("""COMPUTED_VALUE"""),"Non Urgent")</f>
        <v>Non Urgent</v>
      </c>
      <c r="N283" s="3">
        <f>IFERROR(__xludf.DUMMYFUNCTION("""COMPUTED_VALUE"""),45865.91707944444)</f>
        <v>45865.91708</v>
      </c>
    </row>
    <row r="284">
      <c r="A284" s="4">
        <f>IFERROR(__xludf.DUMMYFUNCTION("""COMPUTED_VALUE"""),45865.64966880787)</f>
        <v>45865.64967</v>
      </c>
      <c r="B284" s="3" t="str">
        <f>IFERROR(__xludf.DUMMYFUNCTION("""COMPUTED_VALUE"""),"MFHRO0132")</f>
        <v>MFHRO0132</v>
      </c>
      <c r="C284" s="3" t="str">
        <f>IFERROR(__xludf.DUMMYFUNCTION("""COMPUTED_VALUE"""),"MIn Stok")</f>
        <v>MIn Stok</v>
      </c>
      <c r="D284" s="3" t="str">
        <f>IFERROR(__xludf.DUMMYFUNCTION("""COMPUTED_VALUE"""),"-")</f>
        <v>-</v>
      </c>
      <c r="E284" s="3" t="str">
        <f>IFERROR(__xludf.DUMMYFUNCTION("""COMPUTED_VALUE"""),"Washbay")</f>
        <v>Washbay</v>
      </c>
      <c r="F284" s="3" t="str">
        <f>IFERROR(__xludf.DUMMYFUNCTION("""COMPUTED_VALUE"""),"General - Plug Silincer 1/8inch SS304; No Brand; -; 1 pc")</f>
        <v>General - Plug Silincer 1/8inch SS304; No Brand; -; 1 pc</v>
      </c>
      <c r="G284" s="3">
        <f>IFERROR(__xludf.DUMMYFUNCTION("""COMPUTED_VALUE"""),3.0)</f>
        <v>3</v>
      </c>
      <c r="H284" s="3" t="str">
        <f>IFERROR(__xludf.DUMMYFUNCTION("""COMPUTED_VALUE"""),"Pieces")</f>
        <v>Pieces</v>
      </c>
      <c r="I284" s="3" t="str">
        <f>IFERROR(__xludf.DUMMYFUNCTION("""COMPUTED_VALUE"""),"Untuk Washbay 121702911 2478")</f>
        <v>Untuk Washbay 121702911 2478</v>
      </c>
      <c r="J284" s="3" t="str">
        <f>IFERROR(__xludf.DUMMYFUNCTION("""COMPUTED_VALUE"""),"P-19893-00")</f>
        <v>P-19893-00</v>
      </c>
      <c r="K284" s="3" t="str">
        <f>IFERROR(__xludf.DUMMYFUNCTION("""COMPUTED_VALUE"""),"Approve")</f>
        <v>Approve</v>
      </c>
      <c r="L284" s="3" t="str">
        <f>IFERROR(__xludf.DUMMYFUNCTION("""COMPUTED_VALUE"""),"Normal")</f>
        <v>Normal</v>
      </c>
      <c r="M284" s="3" t="str">
        <f>IFERROR(__xludf.DUMMYFUNCTION("""COMPUTED_VALUE"""),"Non Urgent")</f>
        <v>Non Urgent</v>
      </c>
      <c r="N284" s="3">
        <f>IFERROR(__xludf.DUMMYFUNCTION("""COMPUTED_VALUE"""),45865.91717944444)</f>
        <v>45865.91718</v>
      </c>
    </row>
    <row r="285">
      <c r="A285" s="4">
        <f>IFERROR(__xludf.DUMMYFUNCTION("""COMPUTED_VALUE"""),45865.64966880787)</f>
        <v>45865.64967</v>
      </c>
      <c r="B285" s="3" t="str">
        <f>IFERROR(__xludf.DUMMYFUNCTION("""COMPUTED_VALUE"""),"MFHRO0133")</f>
        <v>MFHRO0133</v>
      </c>
      <c r="C285" s="3" t="str">
        <f>IFERROR(__xludf.DUMMYFUNCTION("""COMPUTED_VALUE"""),"Consumable")</f>
        <v>Consumable</v>
      </c>
      <c r="D285" s="3" t="str">
        <f>IFERROR(__xludf.DUMMYFUNCTION("""COMPUTED_VALUE"""),"-")</f>
        <v>-</v>
      </c>
      <c r="E285" s="3" t="str">
        <f>IFERROR(__xludf.DUMMYFUNCTION("""COMPUTED_VALUE"""),"Washbay")</f>
        <v>Washbay</v>
      </c>
      <c r="F285" s="3" t="str">
        <f>IFERROR(__xludf.DUMMYFUNCTION("""COMPUTED_VALUE"""),"General - Double Tape 1"" Merah; 3M; -; 1 Pc")</f>
        <v>General - Double Tape 1" Merah; 3M; -; 1 Pc</v>
      </c>
      <c r="G285" s="3">
        <f>IFERROR(__xludf.DUMMYFUNCTION("""COMPUTED_VALUE"""),1.0)</f>
        <v>1</v>
      </c>
      <c r="H285" s="3" t="str">
        <f>IFERROR(__xludf.DUMMYFUNCTION("""COMPUTED_VALUE"""),"Pieces")</f>
        <v>Pieces</v>
      </c>
      <c r="I285" s="3" t="str">
        <f>IFERROR(__xludf.DUMMYFUNCTION("""COMPUTED_VALUE"""),"Untuk Washbay 121702911 2479")</f>
        <v>Untuk Washbay 121702911 2479</v>
      </c>
      <c r="J285" s="3" t="str">
        <f>IFERROR(__xludf.DUMMYFUNCTION("""COMPUTED_VALUE"""),"O-15931-00")</f>
        <v>O-15931-00</v>
      </c>
      <c r="K285" s="3" t="str">
        <f>IFERROR(__xludf.DUMMYFUNCTION("""COMPUTED_VALUE"""),"Approve")</f>
        <v>Approve</v>
      </c>
      <c r="L285" s="3" t="str">
        <f>IFERROR(__xludf.DUMMYFUNCTION("""COMPUTED_VALUE"""),"Normal")</f>
        <v>Normal</v>
      </c>
      <c r="M285" s="3" t="str">
        <f>IFERROR(__xludf.DUMMYFUNCTION("""COMPUTED_VALUE"""),"Non Urgent")</f>
        <v>Non Urgent</v>
      </c>
      <c r="N285" s="3">
        <f>IFERROR(__xludf.DUMMYFUNCTION("""COMPUTED_VALUE"""),45865.91728591435)</f>
        <v>45865.91729</v>
      </c>
    </row>
    <row r="286">
      <c r="A286" s="4">
        <f>IFERROR(__xludf.DUMMYFUNCTION("""COMPUTED_VALUE"""),45865.64966880787)</f>
        <v>45865.64967</v>
      </c>
      <c r="B286" s="3" t="str">
        <f>IFERROR(__xludf.DUMMYFUNCTION("""COMPUTED_VALUE"""),"MFHRO0134")</f>
        <v>MFHRO0134</v>
      </c>
      <c r="C286" s="3" t="str">
        <f>IFERROR(__xludf.DUMMYFUNCTION("""COMPUTED_VALUE"""),"MIn Stok")</f>
        <v>MIn Stok</v>
      </c>
      <c r="D286" s="3" t="str">
        <f>IFERROR(__xludf.DUMMYFUNCTION("""COMPUTED_VALUE"""),"-")</f>
        <v>-</v>
      </c>
      <c r="E286" s="3" t="str">
        <f>IFERROR(__xludf.DUMMYFUNCTION("""COMPUTED_VALUE"""),"Washbay")</f>
        <v>Washbay</v>
      </c>
      <c r="F286" s="3" t="str">
        <f>IFERROR(__xludf.DUMMYFUNCTION("""COMPUTED_VALUE"""),"General - Baut M4 x 60mm + Mur + Ring; No Brand; -; 1 pc")</f>
        <v>General - Baut M4 x 60mm + Mur + Ring; No Brand; -; 1 pc</v>
      </c>
      <c r="G286" s="3">
        <f>IFERROR(__xludf.DUMMYFUNCTION("""COMPUTED_VALUE"""),8.0)</f>
        <v>8</v>
      </c>
      <c r="H286" s="3" t="str">
        <f>IFERROR(__xludf.DUMMYFUNCTION("""COMPUTED_VALUE"""),"Pieces")</f>
        <v>Pieces</v>
      </c>
      <c r="I286" s="3" t="str">
        <f>IFERROR(__xludf.DUMMYFUNCTION("""COMPUTED_VALUE"""),"Untuk Washbay 121702911 2480")</f>
        <v>Untuk Washbay 121702911 2480</v>
      </c>
      <c r="J286" s="3" t="str">
        <f>IFERROR(__xludf.DUMMYFUNCTION("""COMPUTED_VALUE"""),"P-19895-00")</f>
        <v>P-19895-00</v>
      </c>
      <c r="K286" s="3" t="str">
        <f>IFERROR(__xludf.DUMMYFUNCTION("""COMPUTED_VALUE"""),"Approve")</f>
        <v>Approve</v>
      </c>
      <c r="L286" s="3" t="str">
        <f>IFERROR(__xludf.DUMMYFUNCTION("""COMPUTED_VALUE"""),"Normal")</f>
        <v>Normal</v>
      </c>
      <c r="M286" s="3" t="str">
        <f>IFERROR(__xludf.DUMMYFUNCTION("""COMPUTED_VALUE"""),"Non Urgent")</f>
        <v>Non Urgent</v>
      </c>
      <c r="N286" s="3">
        <f>IFERROR(__xludf.DUMMYFUNCTION("""COMPUTED_VALUE"""),45865.91738510417)</f>
        <v>45865.91739</v>
      </c>
    </row>
    <row r="287">
      <c r="A287" s="4">
        <f>IFERROR(__xludf.DUMMYFUNCTION("""COMPUTED_VALUE"""),45865.64966880787)</f>
        <v>45865.64967</v>
      </c>
      <c r="B287" s="3" t="str">
        <f>IFERROR(__xludf.DUMMYFUNCTION("""COMPUTED_VALUE"""),"MFHRO0135")</f>
        <v>MFHRO0135</v>
      </c>
      <c r="C287" s="3" t="str">
        <f>IFERROR(__xludf.DUMMYFUNCTION("""COMPUTED_VALUE"""),"MIn Stok")</f>
        <v>MIn Stok</v>
      </c>
      <c r="D287" s="3" t="str">
        <f>IFERROR(__xludf.DUMMYFUNCTION("""COMPUTED_VALUE"""),"-")</f>
        <v>-</v>
      </c>
      <c r="E287" s="3" t="str">
        <f>IFERROR(__xludf.DUMMYFUNCTION("""COMPUTED_VALUE"""),"Washbay")</f>
        <v>Washbay</v>
      </c>
      <c r="F287" s="3" t="str">
        <f>IFERROR(__xludf.DUMMYFUNCTION("""COMPUTED_VALUE"""),"Pilot Lamps / Green / 220 VAC / AD22-22DS / AXLE")</f>
        <v>Pilot Lamps / Green / 220 VAC / AD22-22DS / AXLE</v>
      </c>
      <c r="G287" s="3">
        <f>IFERROR(__xludf.DUMMYFUNCTION("""COMPUTED_VALUE"""),2.0)</f>
        <v>2</v>
      </c>
      <c r="H287" s="3" t="str">
        <f>IFERROR(__xludf.DUMMYFUNCTION("""COMPUTED_VALUE"""),"Pieces")</f>
        <v>Pieces</v>
      </c>
      <c r="I287" s="3" t="str">
        <f>IFERROR(__xludf.DUMMYFUNCTION("""COMPUTED_VALUE"""),"Untuk Washbay 121702911 2481")</f>
        <v>Untuk Washbay 121702911 2481</v>
      </c>
      <c r="J287" s="3" t="str">
        <f>IFERROR(__xludf.DUMMYFUNCTION("""COMPUTED_VALUE"""),"P-50426-00")</f>
        <v>P-50426-00</v>
      </c>
      <c r="K287" s="3" t="str">
        <f>IFERROR(__xludf.DUMMYFUNCTION("""COMPUTED_VALUE"""),"Approve")</f>
        <v>Approve</v>
      </c>
      <c r="L287" s="3" t="str">
        <f>IFERROR(__xludf.DUMMYFUNCTION("""COMPUTED_VALUE"""),"Normal")</f>
        <v>Normal</v>
      </c>
      <c r="M287" s="3" t="str">
        <f>IFERROR(__xludf.DUMMYFUNCTION("""COMPUTED_VALUE"""),"Non Urgent")</f>
        <v>Non Urgent</v>
      </c>
      <c r="N287" s="3">
        <f>IFERROR(__xludf.DUMMYFUNCTION("""COMPUTED_VALUE"""),45865.91748186343)</f>
        <v>45865.91748</v>
      </c>
    </row>
    <row r="288">
      <c r="A288" s="4">
        <f>IFERROR(__xludf.DUMMYFUNCTION("""COMPUTED_VALUE"""),45865.64966880787)</f>
        <v>45865.64967</v>
      </c>
      <c r="B288" s="3" t="str">
        <f>IFERROR(__xludf.DUMMYFUNCTION("""COMPUTED_VALUE"""),"MFHRO0136")</f>
        <v>MFHRO0136</v>
      </c>
      <c r="C288" s="3" t="str">
        <f>IFERROR(__xludf.DUMMYFUNCTION("""COMPUTED_VALUE"""),"MIn Stok")</f>
        <v>MIn Stok</v>
      </c>
      <c r="D288" s="3" t="str">
        <f>IFERROR(__xludf.DUMMYFUNCTION("""COMPUTED_VALUE"""),"-")</f>
        <v>-</v>
      </c>
      <c r="E288" s="3" t="str">
        <f>IFERROR(__xludf.DUMMYFUNCTION("""COMPUTED_VALUE"""),"Washbay")</f>
        <v>Washbay</v>
      </c>
      <c r="F288" s="3" t="str">
        <f>IFERROR(__xludf.DUMMYFUNCTION("""COMPUTED_VALUE"""),"General - Terminal Block, 4 Pin; No Brand; -; 1 pcs")</f>
        <v>General - Terminal Block, 4 Pin; No Brand; -; 1 pcs</v>
      </c>
      <c r="G288" s="3">
        <f>IFERROR(__xludf.DUMMYFUNCTION("""COMPUTED_VALUE"""),4.0)</f>
        <v>4</v>
      </c>
      <c r="H288" s="3" t="str">
        <f>IFERROR(__xludf.DUMMYFUNCTION("""COMPUTED_VALUE"""),"Pieces")</f>
        <v>Pieces</v>
      </c>
      <c r="I288" s="3" t="str">
        <f>IFERROR(__xludf.DUMMYFUNCTION("""COMPUTED_VALUE"""),"Untuk Washbay 121702911 2482")</f>
        <v>Untuk Washbay 121702911 2482</v>
      </c>
      <c r="J288" s="3" t="str">
        <f>IFERROR(__xludf.DUMMYFUNCTION("""COMPUTED_VALUE"""),"P-51706-00")</f>
        <v>P-51706-00</v>
      </c>
      <c r="K288" s="3" t="str">
        <f>IFERROR(__xludf.DUMMYFUNCTION("""COMPUTED_VALUE"""),"Approve")</f>
        <v>Approve</v>
      </c>
      <c r="L288" s="3" t="str">
        <f>IFERROR(__xludf.DUMMYFUNCTION("""COMPUTED_VALUE"""),"Normal")</f>
        <v>Normal</v>
      </c>
      <c r="M288" s="3" t="str">
        <f>IFERROR(__xludf.DUMMYFUNCTION("""COMPUTED_VALUE"""),"Non Urgent")</f>
        <v>Non Urgent</v>
      </c>
      <c r="N288" s="3">
        <f>IFERROR(__xludf.DUMMYFUNCTION("""COMPUTED_VALUE"""),45865.91759480324)</f>
        <v>45865.91759</v>
      </c>
    </row>
    <row r="289">
      <c r="A289" s="4">
        <f>IFERROR(__xludf.DUMMYFUNCTION("""COMPUTED_VALUE"""),45865.64966880787)</f>
        <v>45865.64967</v>
      </c>
      <c r="B289" s="3" t="str">
        <f>IFERROR(__xludf.DUMMYFUNCTION("""COMPUTED_VALUE"""),"MFHRO0137")</f>
        <v>MFHRO0137</v>
      </c>
      <c r="C289" s="3" t="str">
        <f>IFERROR(__xludf.DUMMYFUNCTION("""COMPUTED_VALUE"""),"MIn Stok")</f>
        <v>MIn Stok</v>
      </c>
      <c r="D289" s="3" t="str">
        <f>IFERROR(__xludf.DUMMYFUNCTION("""COMPUTED_VALUE"""),"-")</f>
        <v>-</v>
      </c>
      <c r="E289" s="3" t="str">
        <f>IFERROR(__xludf.DUMMYFUNCTION("""COMPUTED_VALUE"""),"Washbay")</f>
        <v>Washbay</v>
      </c>
      <c r="F289" s="3" t="str">
        <f>IFERROR(__xludf.DUMMYFUNCTION("""COMPUTED_VALUE"""),"General - Kabel NYAF 1 x 1.5 Hitam; Supreme; -; 50m/roll")</f>
        <v>General - Kabel NYAF 1 x 1.5 Hitam; Supreme; -; 50m/roll</v>
      </c>
      <c r="G289" s="3">
        <f>IFERROR(__xludf.DUMMYFUNCTION("""COMPUTED_VALUE"""),50.0)</f>
        <v>50</v>
      </c>
      <c r="H289" s="3" t="str">
        <f>IFERROR(__xludf.DUMMYFUNCTION("""COMPUTED_VALUE"""),"Pieces")</f>
        <v>Pieces</v>
      </c>
      <c r="I289" s="3" t="str">
        <f>IFERROR(__xludf.DUMMYFUNCTION("""COMPUTED_VALUE"""),"Untuk Washbay 121702911 2483")</f>
        <v>Untuk Washbay 121702911 2483</v>
      </c>
      <c r="J289" s="3" t="str">
        <f>IFERROR(__xludf.DUMMYFUNCTION("""COMPUTED_VALUE"""),"P-50277-00")</f>
        <v>P-50277-00</v>
      </c>
      <c r="K289" s="3" t="str">
        <f>IFERROR(__xludf.DUMMYFUNCTION("""COMPUTED_VALUE"""),"Approve")</f>
        <v>Approve</v>
      </c>
      <c r="L289" s="3" t="str">
        <f>IFERROR(__xludf.DUMMYFUNCTION("""COMPUTED_VALUE"""),"Normal")</f>
        <v>Normal</v>
      </c>
      <c r="M289" s="3" t="str">
        <f>IFERROR(__xludf.DUMMYFUNCTION("""COMPUTED_VALUE"""),"Non Urgent")</f>
        <v>Non Urgent</v>
      </c>
      <c r="N289" s="3">
        <f>IFERROR(__xludf.DUMMYFUNCTION("""COMPUTED_VALUE"""),45865.91773262732)</f>
        <v>45865.91773</v>
      </c>
    </row>
    <row r="290">
      <c r="A290" s="4">
        <f>IFERROR(__xludf.DUMMYFUNCTION("""COMPUTED_VALUE"""),45865.64966880787)</f>
        <v>45865.64967</v>
      </c>
      <c r="B290" s="3" t="str">
        <f>IFERROR(__xludf.DUMMYFUNCTION("""COMPUTED_VALUE"""),"MFHRO0138")</f>
        <v>MFHRO0138</v>
      </c>
      <c r="C290" s="3" t="str">
        <f>IFERROR(__xludf.DUMMYFUNCTION("""COMPUTED_VALUE"""),"Consumable")</f>
        <v>Consumable</v>
      </c>
      <c r="D290" s="3" t="str">
        <f>IFERROR(__xludf.DUMMYFUNCTION("""COMPUTED_VALUE"""),"-")</f>
        <v>-</v>
      </c>
      <c r="E290" s="3" t="str">
        <f>IFERROR(__xludf.DUMMYFUNCTION("""COMPUTED_VALUE"""),"General")</f>
        <v>General</v>
      </c>
      <c r="F290" s="3" t="str">
        <f>IFERROR(__xludf.DUMMYFUNCTION("""COMPUTED_VALUE"""),"General - Seal Tape 1inch; ONDA; -; 1 Pcs")</f>
        <v>General - Seal Tape 1inch; ONDA; -; 1 Pcs</v>
      </c>
      <c r="G290" s="3">
        <f>IFERROR(__xludf.DUMMYFUNCTION("""COMPUTED_VALUE"""),30.0)</f>
        <v>30</v>
      </c>
      <c r="H290" s="3" t="str">
        <f>IFERROR(__xludf.DUMMYFUNCTION("""COMPUTED_VALUE"""),"Pieces")</f>
        <v>Pieces</v>
      </c>
      <c r="I290" s="3" t="str">
        <f>IFERROR(__xludf.DUMMYFUNCTION("""COMPUTED_VALUE"""),"Consumable 121702920 2490")</f>
        <v>Consumable 121702920 2490</v>
      </c>
      <c r="J290" s="3" t="str">
        <f>IFERROR(__xludf.DUMMYFUNCTION("""COMPUTED_VALUE"""),"P-10945-00")</f>
        <v>P-10945-00</v>
      </c>
      <c r="K290" s="3" t="str">
        <f>IFERROR(__xludf.DUMMYFUNCTION("""COMPUTED_VALUE"""),"Approve")</f>
        <v>Approve</v>
      </c>
      <c r="L290" s="3" t="str">
        <f>IFERROR(__xludf.DUMMYFUNCTION("""COMPUTED_VALUE"""),"Normal")</f>
        <v>Normal</v>
      </c>
      <c r="M290" s="3" t="str">
        <f>IFERROR(__xludf.DUMMYFUNCTION("""COMPUTED_VALUE"""),"Non Urgent")</f>
        <v>Non Urgent</v>
      </c>
      <c r="N290" s="3">
        <f>IFERROR(__xludf.DUMMYFUNCTION("""COMPUTED_VALUE"""),45865.91784440972)</f>
        <v>45865.91784</v>
      </c>
    </row>
    <row r="291">
      <c r="A291" s="4">
        <f>IFERROR(__xludf.DUMMYFUNCTION("""COMPUTED_VALUE"""),45865.64966880787)</f>
        <v>45865.64967</v>
      </c>
      <c r="B291" s="3" t="str">
        <f>IFERROR(__xludf.DUMMYFUNCTION("""COMPUTED_VALUE"""),"MFHRO0139")</f>
        <v>MFHRO0139</v>
      </c>
      <c r="C291" s="3" t="str">
        <f>IFERROR(__xludf.DUMMYFUNCTION("""COMPUTED_VALUE"""),"MIn Stok")</f>
        <v>MIn Stok</v>
      </c>
      <c r="D291" s="3" t="str">
        <f>IFERROR(__xludf.DUMMYFUNCTION("""COMPUTED_VALUE"""),"-")</f>
        <v>-</v>
      </c>
      <c r="E291" s="3" t="str">
        <f>IFERROR(__xludf.DUMMYFUNCTION("""COMPUTED_VALUE"""),"Tunnel")</f>
        <v>Tunnel</v>
      </c>
      <c r="F291" s="3" t="str">
        <f>IFERROR(__xludf.DUMMYFUNCTION("""COMPUTED_VALUE"""),"Tunnel ST1L - Junction (15x15mm L=23,5mm) CA system Tight Door; ; ;")</f>
        <v>Tunnel ST1L - Junction (15x15mm L=23,5mm) CA system Tight Door; ; ;</v>
      </c>
      <c r="G291" s="3">
        <f>IFERROR(__xludf.DUMMYFUNCTION("""COMPUTED_VALUE"""),2.0)</f>
        <v>2</v>
      </c>
      <c r="H291" s="3" t="str">
        <f>IFERROR(__xludf.DUMMYFUNCTION("""COMPUTED_VALUE"""),"Pieces")</f>
        <v>Pieces</v>
      </c>
      <c r="I291" s="3" t="str">
        <f>IFERROR(__xludf.DUMMYFUNCTION("""COMPUTED_VALUE"""),"Untuk Tunnel 121702876 2425")</f>
        <v>Untuk Tunnel 121702876 2425</v>
      </c>
      <c r="J291" s="3" t="str">
        <f>IFERROR(__xludf.DUMMYFUNCTION("""COMPUTED_VALUE"""),"O-18346-00")</f>
        <v>O-18346-00</v>
      </c>
      <c r="K291" s="3" t="str">
        <f>IFERROR(__xludf.DUMMYFUNCTION("""COMPUTED_VALUE"""),"Approve")</f>
        <v>Approve</v>
      </c>
      <c r="L291" s="3" t="str">
        <f>IFERROR(__xludf.DUMMYFUNCTION("""COMPUTED_VALUE"""),"Normal")</f>
        <v>Normal</v>
      </c>
      <c r="M291" s="3" t="str">
        <f>IFERROR(__xludf.DUMMYFUNCTION("""COMPUTED_VALUE"""),"Non Urgent")</f>
        <v>Non Urgent</v>
      </c>
      <c r="N291" s="3">
        <f>IFERROR(__xludf.DUMMYFUNCTION("""COMPUTED_VALUE"""),45865.91794225694)</f>
        <v>45865.91794</v>
      </c>
    </row>
    <row r="292">
      <c r="A292" s="4">
        <f>IFERROR(__xludf.DUMMYFUNCTION("""COMPUTED_VALUE"""),45865.64966880787)</f>
        <v>45865.64967</v>
      </c>
      <c r="B292" s="3" t="str">
        <f>IFERROR(__xludf.DUMMYFUNCTION("""COMPUTED_VALUE"""),"MFHRO0140")</f>
        <v>MFHRO0140</v>
      </c>
      <c r="C292" s="3" t="str">
        <f>IFERROR(__xludf.DUMMYFUNCTION("""COMPUTED_VALUE"""),"MIn Stok")</f>
        <v>MIn Stok</v>
      </c>
      <c r="D292" s="3" t="str">
        <f>IFERROR(__xludf.DUMMYFUNCTION("""COMPUTED_VALUE"""),"-")</f>
        <v>-</v>
      </c>
      <c r="E292" s="3" t="str">
        <f>IFERROR(__xludf.DUMMYFUNCTION("""COMPUTED_VALUE"""),"Tunnel")</f>
        <v>Tunnel</v>
      </c>
      <c r="F292" s="3" t="str">
        <f>IFERROR(__xludf.DUMMYFUNCTION("""COMPUTED_VALUE"""),"Tunnel ST1L - Connections AISI 304 - 1/8 Inch for Tunnel Inflatable Gasket Substitution Dia. Tube 6; ; ;")</f>
        <v>Tunnel ST1L - Connections AISI 304 - 1/8 Inch for Tunnel Inflatable Gasket Substitution Dia. Tube 6; ; ;</v>
      </c>
      <c r="G292" s="3">
        <f>IFERROR(__xludf.DUMMYFUNCTION("""COMPUTED_VALUE"""),2.0)</f>
        <v>2</v>
      </c>
      <c r="H292" s="3" t="str">
        <f>IFERROR(__xludf.DUMMYFUNCTION("""COMPUTED_VALUE"""),"Pieces")</f>
        <v>Pieces</v>
      </c>
      <c r="I292" s="3" t="str">
        <f>IFERROR(__xludf.DUMMYFUNCTION("""COMPUTED_VALUE"""),"Untuk Tunnel 121702876 2426")</f>
        <v>Untuk Tunnel 121702876 2426</v>
      </c>
      <c r="J292" s="3" t="str">
        <f>IFERROR(__xludf.DUMMYFUNCTION("""COMPUTED_VALUE"""),"O-18348-00")</f>
        <v>O-18348-00</v>
      </c>
      <c r="K292" s="3" t="str">
        <f>IFERROR(__xludf.DUMMYFUNCTION("""COMPUTED_VALUE"""),"Approve")</f>
        <v>Approve</v>
      </c>
      <c r="L292" s="3" t="str">
        <f>IFERROR(__xludf.DUMMYFUNCTION("""COMPUTED_VALUE"""),"Normal")</f>
        <v>Normal</v>
      </c>
      <c r="M292" s="3" t="str">
        <f>IFERROR(__xludf.DUMMYFUNCTION("""COMPUTED_VALUE"""),"Non Urgent")</f>
        <v>Non Urgent</v>
      </c>
      <c r="N292" s="3">
        <f>IFERROR(__xludf.DUMMYFUNCTION("""COMPUTED_VALUE"""),45865.91813685185)</f>
        <v>45865.91814</v>
      </c>
    </row>
    <row r="293">
      <c r="A293" s="4">
        <f>IFERROR(__xludf.DUMMYFUNCTION("""COMPUTED_VALUE"""),45865.64966880787)</f>
        <v>45865.64967</v>
      </c>
      <c r="B293" s="3" t="str">
        <f>IFERROR(__xludf.DUMMYFUNCTION("""COMPUTED_VALUE"""),"MFHRO0141")</f>
        <v>MFHRO0141</v>
      </c>
      <c r="C293" s="3" t="str">
        <f>IFERROR(__xludf.DUMMYFUNCTION("""COMPUTED_VALUE"""),"MIn Stok")</f>
        <v>MIn Stok</v>
      </c>
      <c r="D293" s="3" t="str">
        <f>IFERROR(__xludf.DUMMYFUNCTION("""COMPUTED_VALUE"""),"-")</f>
        <v>-</v>
      </c>
      <c r="E293" s="3" t="str">
        <f>IFERROR(__xludf.DUMMYFUNCTION("""COMPUTED_VALUE"""),"Filling")</f>
        <v>Filling</v>
      </c>
      <c r="F293" s="3" t="str">
        <f>IFERROR(__xludf.DUMMYFUNCTION("""COMPUTED_VALUE"""),"Filling VFM100 - Cable 3g 1.5mq JZ-500; Steriline; 1111907; 1 Pc")</f>
        <v>Filling VFM100 - Cable 3g 1.5mq JZ-500; Steriline; 1111907; 1 Pc</v>
      </c>
      <c r="G293" s="3">
        <f>IFERROR(__xludf.DUMMYFUNCTION("""COMPUTED_VALUE"""),1.0)</f>
        <v>1</v>
      </c>
      <c r="H293" s="3" t="str">
        <f>IFERROR(__xludf.DUMMYFUNCTION("""COMPUTED_VALUE"""),"Pieces")</f>
        <v>Pieces</v>
      </c>
      <c r="I293" s="3" t="str">
        <f>IFERROR(__xludf.DUMMYFUNCTION("""COMPUTED_VALUE"""),"Untuk Filling 121702876 2428")</f>
        <v>Untuk Filling 121702876 2428</v>
      </c>
      <c r="J293" s="3" t="str">
        <f>IFERROR(__xludf.DUMMYFUNCTION("""COMPUTED_VALUE"""),"O-53319-00")</f>
        <v>O-53319-00</v>
      </c>
      <c r="K293" s="3" t="str">
        <f>IFERROR(__xludf.DUMMYFUNCTION("""COMPUTED_VALUE"""),"Approve")</f>
        <v>Approve</v>
      </c>
      <c r="L293" s="3" t="str">
        <f>IFERROR(__xludf.DUMMYFUNCTION("""COMPUTED_VALUE"""),"Normal")</f>
        <v>Normal</v>
      </c>
      <c r="M293" s="3" t="str">
        <f>IFERROR(__xludf.DUMMYFUNCTION("""COMPUTED_VALUE"""),"Non Urgent")</f>
        <v>Non Urgent</v>
      </c>
      <c r="N293" s="3">
        <f>IFERROR(__xludf.DUMMYFUNCTION("""COMPUTED_VALUE"""),45865.91924392361)</f>
        <v>45865.91924</v>
      </c>
    </row>
    <row r="294">
      <c r="A294" s="4">
        <f>IFERROR(__xludf.DUMMYFUNCTION("""COMPUTED_VALUE"""),45865.64966880787)</f>
        <v>45865.64967</v>
      </c>
      <c r="B294" s="3" t="str">
        <f>IFERROR(__xludf.DUMMYFUNCTION("""COMPUTED_VALUE"""),"MFHRO0142")</f>
        <v>MFHRO0142</v>
      </c>
      <c r="C294" s="3" t="str">
        <f>IFERROR(__xludf.DUMMYFUNCTION("""COMPUTED_VALUE"""),"MIn Stok")</f>
        <v>MIn Stok</v>
      </c>
      <c r="D294" s="3" t="str">
        <f>IFERROR(__xludf.DUMMYFUNCTION("""COMPUTED_VALUE"""),"-")</f>
        <v>-</v>
      </c>
      <c r="E294" s="3" t="str">
        <f>IFERROR(__xludf.DUMMYFUNCTION("""COMPUTED_VALUE"""),"Filling")</f>
        <v>Filling</v>
      </c>
      <c r="F294" s="3" t="str">
        <f>IFERROR(__xludf.DUMMYFUNCTION("""COMPUTED_VALUE"""),"Packing &amp; Other Charges; ; ;")</f>
        <v>Packing &amp; Other Charges; ; ;</v>
      </c>
      <c r="G294" s="3">
        <f>IFERROR(__xludf.DUMMYFUNCTION("""COMPUTED_VALUE"""),1.0)</f>
        <v>1</v>
      </c>
      <c r="H294" s="3" t="str">
        <f>IFERROR(__xludf.DUMMYFUNCTION("""COMPUTED_VALUE"""),"Lot")</f>
        <v>Lot</v>
      </c>
      <c r="I294" s="3" t="str">
        <f>IFERROR(__xludf.DUMMYFUNCTION("""COMPUTED_VALUE"""),"Untuk Pengiriman Steriline 121702876 2429")</f>
        <v>Untuk Pengiriman Steriline 121702876 2429</v>
      </c>
      <c r="J294" s="3" t="str">
        <f>IFERROR(__xludf.DUMMYFUNCTION("""COMPUTED_VALUE"""),"S-44000-00")</f>
        <v>S-44000-00</v>
      </c>
      <c r="K294" s="3" t="str">
        <f>IFERROR(__xludf.DUMMYFUNCTION("""COMPUTED_VALUE"""),"Approve")</f>
        <v>Approve</v>
      </c>
      <c r="L294" s="3" t="str">
        <f>IFERROR(__xludf.DUMMYFUNCTION("""COMPUTED_VALUE"""),"Normal")</f>
        <v>Normal</v>
      </c>
      <c r="M294" s="3" t="str">
        <f>IFERROR(__xludf.DUMMYFUNCTION("""COMPUTED_VALUE"""),"Non Urgent")</f>
        <v>Non Urgent</v>
      </c>
      <c r="N294" s="3">
        <f>IFERROR(__xludf.DUMMYFUNCTION("""COMPUTED_VALUE"""),45865.91933041667)</f>
        <v>45865.91933</v>
      </c>
    </row>
    <row r="295">
      <c r="A295" s="4">
        <f>IFERROR(__xludf.DUMMYFUNCTION("""COMPUTED_VALUE"""),45865.64966880787)</f>
        <v>45865.64967</v>
      </c>
      <c r="B295" s="3" t="str">
        <f>IFERROR(__xludf.DUMMYFUNCTION("""COMPUTED_VALUE"""),"MFHRO0143")</f>
        <v>MFHRO0143</v>
      </c>
      <c r="C295" s="3" t="str">
        <f>IFERROR(__xludf.DUMMYFUNCTION("""COMPUTED_VALUE"""),"Consumable")</f>
        <v>Consumable</v>
      </c>
      <c r="D295" s="3" t="str">
        <f>IFERROR(__xludf.DUMMYFUNCTION("""COMPUTED_VALUE"""),"-")</f>
        <v>-</v>
      </c>
      <c r="E295" s="3" t="str">
        <f>IFERROR(__xludf.DUMMYFUNCTION("""COMPUTED_VALUE"""),"General")</f>
        <v>General</v>
      </c>
      <c r="F295" s="3" t="str">
        <f>IFERROR(__xludf.DUMMYFUNCTION("""COMPUTED_VALUE"""),"General - Adhesive Tape -; Nippon; ASF-110FR; 1 pc")</f>
        <v>General - Adhesive Tape -; Nippon; ASF-110FR; 1 pc</v>
      </c>
      <c r="G295" s="3">
        <f>IFERROR(__xludf.DUMMYFUNCTION("""COMPUTED_VALUE"""),4.0)</f>
        <v>4</v>
      </c>
      <c r="H295" s="3" t="str">
        <f>IFERROR(__xludf.DUMMYFUNCTION("""COMPUTED_VALUE"""),"Pieces")</f>
        <v>Pieces</v>
      </c>
      <c r="I295" s="3" t="str">
        <f>IFERROR(__xludf.DUMMYFUNCTION("""COMPUTED_VALUE"""),"Consumable 121702942 2509")</f>
        <v>Consumable 121702942 2509</v>
      </c>
      <c r="J295" s="3" t="str">
        <f>IFERROR(__xludf.DUMMYFUNCTION("""COMPUTED_VALUE"""),"P-12994-00")</f>
        <v>P-12994-00</v>
      </c>
      <c r="K295" s="3" t="str">
        <f>IFERROR(__xludf.DUMMYFUNCTION("""COMPUTED_VALUE"""),"Approve")</f>
        <v>Approve</v>
      </c>
      <c r="L295" s="3" t="str">
        <f>IFERROR(__xludf.DUMMYFUNCTION("""COMPUTED_VALUE"""),"Normal")</f>
        <v>Normal</v>
      </c>
      <c r="M295" s="3" t="str">
        <f>IFERROR(__xludf.DUMMYFUNCTION("""COMPUTED_VALUE"""),"Non Urgent")</f>
        <v>Non Urgent</v>
      </c>
      <c r="N295" s="3">
        <f>IFERROR(__xludf.DUMMYFUNCTION("""COMPUTED_VALUE"""),45865.91942689815)</f>
        <v>45865.91943</v>
      </c>
    </row>
    <row r="296">
      <c r="A296" s="4">
        <f>IFERROR(__xludf.DUMMYFUNCTION("""COMPUTED_VALUE"""),45865.64966880787)</f>
        <v>45865.64967</v>
      </c>
      <c r="B296" s="3" t="str">
        <f>IFERROR(__xludf.DUMMYFUNCTION("""COMPUTED_VALUE"""),"MFHRO0144")</f>
        <v>MFHRO0144</v>
      </c>
      <c r="C296" s="3" t="str">
        <f>IFERROR(__xludf.DUMMYFUNCTION("""COMPUTED_VALUE"""),"Consumable")</f>
        <v>Consumable</v>
      </c>
      <c r="D296" s="3" t="str">
        <f>IFERROR(__xludf.DUMMYFUNCTION("""COMPUTED_VALUE"""),"-")</f>
        <v>-</v>
      </c>
      <c r="E296" s="3" t="str">
        <f>IFERROR(__xludf.DUMMYFUNCTION("""COMPUTED_VALUE"""),"General")</f>
        <v>General</v>
      </c>
      <c r="F296" s="3" t="str">
        <f>IFERROR(__xludf.DUMMYFUNCTION("""COMPUTED_VALUE"""),"Gas Argon (Ar); 1.5 M3; Refill;  Industrial Grade; Purity ? 99.95%")</f>
        <v>Gas Argon (Ar); 1.5 M3; Refill;  Industrial Grade; Purity ? 99.95%</v>
      </c>
      <c r="G296" s="3">
        <f>IFERROR(__xludf.DUMMYFUNCTION("""COMPUTED_VALUE"""),1.0)</f>
        <v>1</v>
      </c>
      <c r="H296" s="3" t="str">
        <f>IFERROR(__xludf.DUMMYFUNCTION("""COMPUTED_VALUE"""),"Tube")</f>
        <v>Tube</v>
      </c>
      <c r="I296" s="3" t="str">
        <f>IFERROR(__xludf.DUMMYFUNCTION("""COMPUTED_VALUE"""),"Consumable 121702943 2510")</f>
        <v>Consumable 121702943 2510</v>
      </c>
      <c r="J296" s="3" t="str">
        <f>IFERROR(__xludf.DUMMYFUNCTION("""COMPUTED_VALUE"""),"S-62032-00")</f>
        <v>S-62032-00</v>
      </c>
      <c r="K296" s="3" t="str">
        <f>IFERROR(__xludf.DUMMYFUNCTION("""COMPUTED_VALUE"""),"Approve")</f>
        <v>Approve</v>
      </c>
      <c r="L296" s="3" t="str">
        <f>IFERROR(__xludf.DUMMYFUNCTION("""COMPUTED_VALUE"""),"Normal")</f>
        <v>Normal</v>
      </c>
      <c r="M296" s="3" t="str">
        <f>IFERROR(__xludf.DUMMYFUNCTION("""COMPUTED_VALUE"""),"Non Urgent")</f>
        <v>Non Urgent</v>
      </c>
      <c r="N296" s="3">
        <f>IFERROR(__xludf.DUMMYFUNCTION("""COMPUTED_VALUE"""),45865.919530011575)</f>
        <v>45865.91953</v>
      </c>
    </row>
    <row r="297">
      <c r="A297" s="4">
        <f>IFERROR(__xludf.DUMMYFUNCTION("""COMPUTED_VALUE"""),45865.64966880787)</f>
        <v>45865.64967</v>
      </c>
      <c r="B297" s="3" t="str">
        <f>IFERROR(__xludf.DUMMYFUNCTION("""COMPUTED_VALUE"""),"MFHRO0145")</f>
        <v>MFHRO0145</v>
      </c>
      <c r="C297" s="3" t="str">
        <f>IFERROR(__xludf.DUMMYFUNCTION("""COMPUTED_VALUE"""),"MIn Stok")</f>
        <v>MIn Stok</v>
      </c>
      <c r="D297" s="3" t="str">
        <f>IFERROR(__xludf.DUMMYFUNCTION("""COMPUTED_VALUE"""),"-")</f>
        <v>-</v>
      </c>
      <c r="E297" s="3" t="str">
        <f>IFERROR(__xludf.DUMMYFUNCTION("""COMPUTED_VALUE"""),"HLD")</f>
        <v>HLD</v>
      </c>
      <c r="F297" s="3" t="str">
        <f>IFERROR(__xludf.DUMMYFUNCTION("""COMPUTED_VALUE"""),"General - Vacuum Ferrule KF25; No Brand; -; 1 pc")</f>
        <v>General - Vacuum Ferrule KF25; No Brand; -; 1 pc</v>
      </c>
      <c r="G297" s="3">
        <f>IFERROR(__xludf.DUMMYFUNCTION("""COMPUTED_VALUE"""),4.0)</f>
        <v>4</v>
      </c>
      <c r="H297" s="3" t="str">
        <f>IFERROR(__xludf.DUMMYFUNCTION("""COMPUTED_VALUE"""),"Pieces")</f>
        <v>Pieces</v>
      </c>
      <c r="I297" s="3" t="str">
        <f>IFERROR(__xludf.DUMMYFUNCTION("""COMPUTED_VALUE"""),"Untuk HLD 121702944 2512")</f>
        <v>Untuk HLD 121702944 2512</v>
      </c>
      <c r="J297" s="3" t="str">
        <f>IFERROR(__xludf.DUMMYFUNCTION("""COMPUTED_VALUE"""),"P-19957-00")</f>
        <v>P-19957-00</v>
      </c>
      <c r="K297" s="3" t="str">
        <f>IFERROR(__xludf.DUMMYFUNCTION("""COMPUTED_VALUE"""),"Approve")</f>
        <v>Approve</v>
      </c>
      <c r="L297" s="3" t="str">
        <f>IFERROR(__xludf.DUMMYFUNCTION("""COMPUTED_VALUE"""),"Normal")</f>
        <v>Normal</v>
      </c>
      <c r="M297" s="3" t="str">
        <f>IFERROR(__xludf.DUMMYFUNCTION("""COMPUTED_VALUE"""),"Non Urgent")</f>
        <v>Non Urgent</v>
      </c>
      <c r="N297" s="3">
        <f>IFERROR(__xludf.DUMMYFUNCTION("""COMPUTED_VALUE"""),45865.919620625005)</f>
        <v>45865.91962</v>
      </c>
    </row>
    <row r="298">
      <c r="A298" s="4">
        <f>IFERROR(__xludf.DUMMYFUNCTION("""COMPUTED_VALUE"""),45865.64966880787)</f>
        <v>45865.64967</v>
      </c>
      <c r="B298" s="3" t="str">
        <f>IFERROR(__xludf.DUMMYFUNCTION("""COMPUTED_VALUE"""),"MFHRO0146")</f>
        <v>MFHRO0146</v>
      </c>
      <c r="C298" s="3" t="str">
        <f>IFERROR(__xludf.DUMMYFUNCTION("""COMPUTED_VALUE"""),"MIn Stok")</f>
        <v>MIn Stok</v>
      </c>
      <c r="D298" s="3" t="str">
        <f>IFERROR(__xludf.DUMMYFUNCTION("""COMPUTED_VALUE"""),"-")</f>
        <v>-</v>
      </c>
      <c r="E298" s="3" t="str">
        <f>IFERROR(__xludf.DUMMYFUNCTION("""COMPUTED_VALUE"""),"HLD")</f>
        <v>HLD</v>
      </c>
      <c r="F298" s="3" t="str">
        <f>IFERROR(__xludf.DUMMYFUNCTION("""COMPUTED_VALUE"""),"General - Vacuum Ferrule KF16; No Brand; -; 1 pc")</f>
        <v>General - Vacuum Ferrule KF16; No Brand; -; 1 pc</v>
      </c>
      <c r="G298" s="3">
        <f>IFERROR(__xludf.DUMMYFUNCTION("""COMPUTED_VALUE"""),4.0)</f>
        <v>4</v>
      </c>
      <c r="H298" s="3" t="str">
        <f>IFERROR(__xludf.DUMMYFUNCTION("""COMPUTED_VALUE"""),"Pieces")</f>
        <v>Pieces</v>
      </c>
      <c r="I298" s="3" t="str">
        <f>IFERROR(__xludf.DUMMYFUNCTION("""COMPUTED_VALUE"""),"Untuk HLD 121702944 2513")</f>
        <v>Untuk HLD 121702944 2513</v>
      </c>
      <c r="J298" s="3" t="str">
        <f>IFERROR(__xludf.DUMMYFUNCTION("""COMPUTED_VALUE"""),"P-19958-00")</f>
        <v>P-19958-00</v>
      </c>
      <c r="K298" s="3" t="str">
        <f>IFERROR(__xludf.DUMMYFUNCTION("""COMPUTED_VALUE"""),"Approve")</f>
        <v>Approve</v>
      </c>
      <c r="L298" s="3" t="str">
        <f>IFERROR(__xludf.DUMMYFUNCTION("""COMPUTED_VALUE"""),"Normal")</f>
        <v>Normal</v>
      </c>
      <c r="M298" s="3" t="str">
        <f>IFERROR(__xludf.DUMMYFUNCTION("""COMPUTED_VALUE"""),"Non Urgent")</f>
        <v>Non Urgent</v>
      </c>
      <c r="N298" s="3">
        <f>IFERROR(__xludf.DUMMYFUNCTION("""COMPUTED_VALUE"""),45865.919714641204)</f>
        <v>45865.91971</v>
      </c>
    </row>
    <row r="299">
      <c r="A299" s="4">
        <f>IFERROR(__xludf.DUMMYFUNCTION("""COMPUTED_VALUE"""),45865.64966880787)</f>
        <v>45865.64967</v>
      </c>
      <c r="B299" s="3" t="str">
        <f>IFERROR(__xludf.DUMMYFUNCTION("""COMPUTED_VALUE"""),"MFHRO0147")</f>
        <v>MFHRO0147</v>
      </c>
      <c r="C299" s="3" t="str">
        <f>IFERROR(__xludf.DUMMYFUNCTION("""COMPUTED_VALUE"""),"MIn Stok")</f>
        <v>MIn Stok</v>
      </c>
      <c r="D299" s="3" t="str">
        <f>IFERROR(__xludf.DUMMYFUNCTION("""COMPUTED_VALUE"""),"-")</f>
        <v>-</v>
      </c>
      <c r="E299" s="3" t="str">
        <f>IFERROR(__xludf.DUMMYFUNCTION("""COMPUTED_VALUE"""),"HLD")</f>
        <v>HLD</v>
      </c>
      <c r="F299" s="3" t="str">
        <f>IFERROR(__xludf.DUMMYFUNCTION("""COMPUTED_VALUE"""),"General - Quick Coupler 3/8inch to Female Drat Dalam 3/8inch; No Brand; -; 1 pc")</f>
        <v>General - Quick Coupler 3/8inch to Female Drat Dalam 3/8inch; No Brand; -; 1 pc</v>
      </c>
      <c r="G299" s="3">
        <f>IFERROR(__xludf.DUMMYFUNCTION("""COMPUTED_VALUE"""),1.0)</f>
        <v>1</v>
      </c>
      <c r="H299" s="3" t="str">
        <f>IFERROR(__xludf.DUMMYFUNCTION("""COMPUTED_VALUE"""),"Pieces")</f>
        <v>Pieces</v>
      </c>
      <c r="I299" s="3" t="str">
        <f>IFERROR(__xludf.DUMMYFUNCTION("""COMPUTED_VALUE"""),"Untuk HLD 121702944 2514")</f>
        <v>Untuk HLD 121702944 2514</v>
      </c>
      <c r="J299" s="3" t="str">
        <f>IFERROR(__xludf.DUMMYFUNCTION("""COMPUTED_VALUE"""),"P-19896-00")</f>
        <v>P-19896-00</v>
      </c>
      <c r="K299" s="3" t="str">
        <f>IFERROR(__xludf.DUMMYFUNCTION("""COMPUTED_VALUE"""),"Approve")</f>
        <v>Approve</v>
      </c>
      <c r="L299" s="3" t="str">
        <f>IFERROR(__xludf.DUMMYFUNCTION("""COMPUTED_VALUE"""),"Normal")</f>
        <v>Normal</v>
      </c>
      <c r="M299" s="3" t="str">
        <f>IFERROR(__xludf.DUMMYFUNCTION("""COMPUTED_VALUE"""),"Non Urgent")</f>
        <v>Non Urgent</v>
      </c>
      <c r="N299" s="3">
        <f>IFERROR(__xludf.DUMMYFUNCTION("""COMPUTED_VALUE"""),45865.91982697917)</f>
        <v>45865.91983</v>
      </c>
    </row>
    <row r="300">
      <c r="A300" s="4">
        <f>IFERROR(__xludf.DUMMYFUNCTION("""COMPUTED_VALUE"""),45865.64966880787)</f>
        <v>45865.64967</v>
      </c>
      <c r="B300" s="3" t="str">
        <f>IFERROR(__xludf.DUMMYFUNCTION("""COMPUTED_VALUE"""),"MFHRO0148")</f>
        <v>MFHRO0148</v>
      </c>
      <c r="C300" s="3" t="str">
        <f>IFERROR(__xludf.DUMMYFUNCTION("""COMPUTED_VALUE"""),"MIn Stok")</f>
        <v>MIn Stok</v>
      </c>
      <c r="D300" s="3" t="str">
        <f>IFERROR(__xludf.DUMMYFUNCTION("""COMPUTED_VALUE"""),"-")</f>
        <v>-</v>
      </c>
      <c r="E300" s="3" t="str">
        <f>IFERROR(__xludf.DUMMYFUNCTION("""COMPUTED_VALUE"""),"HLD")</f>
        <v>HLD</v>
      </c>
      <c r="F300" s="3" t="str">
        <f>IFERROR(__xludf.DUMMYFUNCTION("""COMPUTED_VALUE"""),"General - Quick Coupler 3/8inch to Male Drat Luar 1/4inch; No Brand; -;  1 pc")</f>
        <v>General - Quick Coupler 3/8inch to Male Drat Luar 1/4inch; No Brand; -;  1 pc</v>
      </c>
      <c r="G300" s="3">
        <f>IFERROR(__xludf.DUMMYFUNCTION("""COMPUTED_VALUE"""),1.0)</f>
        <v>1</v>
      </c>
      <c r="H300" s="3" t="str">
        <f>IFERROR(__xludf.DUMMYFUNCTION("""COMPUTED_VALUE"""),"Pieces")</f>
        <v>Pieces</v>
      </c>
      <c r="I300" s="3" t="str">
        <f>IFERROR(__xludf.DUMMYFUNCTION("""COMPUTED_VALUE"""),"Untuk HLD 121702944 2515")</f>
        <v>Untuk HLD 121702944 2515</v>
      </c>
      <c r="J300" s="3" t="str">
        <f>IFERROR(__xludf.DUMMYFUNCTION("""COMPUTED_VALUE"""),"P-19897-00")</f>
        <v>P-19897-00</v>
      </c>
      <c r="K300" s="3" t="str">
        <f>IFERROR(__xludf.DUMMYFUNCTION("""COMPUTED_VALUE"""),"Approve")</f>
        <v>Approve</v>
      </c>
      <c r="L300" s="3" t="str">
        <f>IFERROR(__xludf.DUMMYFUNCTION("""COMPUTED_VALUE"""),"Normal")</f>
        <v>Normal</v>
      </c>
      <c r="M300" s="3" t="str">
        <f>IFERROR(__xludf.DUMMYFUNCTION("""COMPUTED_VALUE"""),"Non Urgent")</f>
        <v>Non Urgent</v>
      </c>
      <c r="N300" s="3">
        <f>IFERROR(__xludf.DUMMYFUNCTION("""COMPUTED_VALUE"""),45865.91995928241)</f>
        <v>45865.91996</v>
      </c>
    </row>
    <row r="301">
      <c r="A301" s="4">
        <f>IFERROR(__xludf.DUMMYFUNCTION("""COMPUTED_VALUE"""),45865.64966880787)</f>
        <v>45865.64967</v>
      </c>
      <c r="B301" s="3" t="str">
        <f>IFERROR(__xludf.DUMMYFUNCTION("""COMPUTED_VALUE"""),"MFHRO0149")</f>
        <v>MFHRO0149</v>
      </c>
      <c r="C301" s="3" t="str">
        <f>IFERROR(__xludf.DUMMYFUNCTION("""COMPUTED_VALUE"""),"MIn Stok")</f>
        <v>MIn Stok</v>
      </c>
      <c r="D301" s="3" t="str">
        <f>IFERROR(__xludf.DUMMYFUNCTION("""COMPUTED_VALUE"""),"-")</f>
        <v>-</v>
      </c>
      <c r="E301" s="3" t="str">
        <f>IFERROR(__xludf.DUMMYFUNCTION("""COMPUTED_VALUE"""),"HLD")</f>
        <v>HLD</v>
      </c>
      <c r="F301" s="3" t="str">
        <f>IFERROR(__xludf.DUMMYFUNCTION("""COMPUTED_VALUE"""),"General - Reducer SS316 Sanitary dia. 1inch x 3/4inch; No Brand; -; 1 pc")</f>
        <v>General - Reducer SS316 Sanitary dia. 1inch x 3/4inch; No Brand; -; 1 pc</v>
      </c>
      <c r="G301" s="3">
        <f>IFERROR(__xludf.DUMMYFUNCTION("""COMPUTED_VALUE"""),2.0)</f>
        <v>2</v>
      </c>
      <c r="H301" s="3" t="str">
        <f>IFERROR(__xludf.DUMMYFUNCTION("""COMPUTED_VALUE"""),"Pieces")</f>
        <v>Pieces</v>
      </c>
      <c r="I301" s="3" t="str">
        <f>IFERROR(__xludf.DUMMYFUNCTION("""COMPUTED_VALUE"""),"Untuk HLD 121702944 2516")</f>
        <v>Untuk HLD 121702944 2516</v>
      </c>
      <c r="J301" s="3" t="str">
        <f>IFERROR(__xludf.DUMMYFUNCTION("""COMPUTED_VALUE"""),"P-14995-00")</f>
        <v>P-14995-00</v>
      </c>
      <c r="K301" s="3" t="str">
        <f>IFERROR(__xludf.DUMMYFUNCTION("""COMPUTED_VALUE"""),"Approve")</f>
        <v>Approve</v>
      </c>
      <c r="L301" s="3" t="str">
        <f>IFERROR(__xludf.DUMMYFUNCTION("""COMPUTED_VALUE"""),"Normal")</f>
        <v>Normal</v>
      </c>
      <c r="M301" s="3" t="str">
        <f>IFERROR(__xludf.DUMMYFUNCTION("""COMPUTED_VALUE"""),"Non Urgent")</f>
        <v>Non Urgent</v>
      </c>
      <c r="N301" s="3">
        <f>IFERROR(__xludf.DUMMYFUNCTION("""COMPUTED_VALUE"""),45865.92006802083)</f>
        <v>45865.92007</v>
      </c>
    </row>
    <row r="302">
      <c r="A302" s="4">
        <f>IFERROR(__xludf.DUMMYFUNCTION("""COMPUTED_VALUE"""),45865.64966880787)</f>
        <v>45865.64967</v>
      </c>
      <c r="B302" s="3" t="str">
        <f>IFERROR(__xludf.DUMMYFUNCTION("""COMPUTED_VALUE"""),"MFHRO0150")</f>
        <v>MFHRO0150</v>
      </c>
      <c r="C302" s="3" t="str">
        <f>IFERROR(__xludf.DUMMYFUNCTION("""COMPUTED_VALUE"""),"MIn Stok")</f>
        <v>MIn Stok</v>
      </c>
      <c r="D302" s="3" t="str">
        <f>IFERROR(__xludf.DUMMYFUNCTION("""COMPUTED_VALUE"""),"-")</f>
        <v>-</v>
      </c>
      <c r="E302" s="3" t="str">
        <f>IFERROR(__xludf.DUMMYFUNCTION("""COMPUTED_VALUE"""),"HLD")</f>
        <v>HLD</v>
      </c>
      <c r="F302" s="3" t="str">
        <f>IFERROR(__xludf.DUMMYFUNCTION("""COMPUTED_VALUE"""),"General - Clamp Selang, SS, 1""; Tridon; -; 1 pcs")</f>
        <v>General - Clamp Selang, SS, 1"; Tridon; -; 1 pcs</v>
      </c>
      <c r="G302" s="3">
        <f>IFERROR(__xludf.DUMMYFUNCTION("""COMPUTED_VALUE"""),10.0)</f>
        <v>10</v>
      </c>
      <c r="H302" s="3" t="str">
        <f>IFERROR(__xludf.DUMMYFUNCTION("""COMPUTED_VALUE"""),"Pieces")</f>
        <v>Pieces</v>
      </c>
      <c r="I302" s="3" t="str">
        <f>IFERROR(__xludf.DUMMYFUNCTION("""COMPUTED_VALUE"""),"Untuk HLD 121702944 2517")</f>
        <v>Untuk HLD 121702944 2517</v>
      </c>
      <c r="J302" s="3" t="str">
        <f>IFERROR(__xludf.DUMMYFUNCTION("""COMPUTED_VALUE"""),"P-12080-00")</f>
        <v>P-12080-00</v>
      </c>
      <c r="K302" s="3" t="str">
        <f>IFERROR(__xludf.DUMMYFUNCTION("""COMPUTED_VALUE"""),"Approve")</f>
        <v>Approve</v>
      </c>
      <c r="L302" s="3" t="str">
        <f>IFERROR(__xludf.DUMMYFUNCTION("""COMPUTED_VALUE"""),"Normal")</f>
        <v>Normal</v>
      </c>
      <c r="M302" s="3" t="str">
        <f>IFERROR(__xludf.DUMMYFUNCTION("""COMPUTED_VALUE"""),"Non Urgent")</f>
        <v>Non Urgent</v>
      </c>
      <c r="N302" s="3">
        <f>IFERROR(__xludf.DUMMYFUNCTION("""COMPUTED_VALUE"""),45865.92024979167)</f>
        <v>45865.92025</v>
      </c>
    </row>
    <row r="303">
      <c r="A303" s="4">
        <f>IFERROR(__xludf.DUMMYFUNCTION("""COMPUTED_VALUE"""),45865.64966880787)</f>
        <v>45865.64967</v>
      </c>
      <c r="B303" s="3" t="str">
        <f>IFERROR(__xludf.DUMMYFUNCTION("""COMPUTED_VALUE"""),"MFHRO0151")</f>
        <v>MFHRO0151</v>
      </c>
      <c r="C303" s="3" t="str">
        <f>IFERROR(__xludf.DUMMYFUNCTION("""COMPUTED_VALUE"""),"MIn Stok")</f>
        <v>MIn Stok</v>
      </c>
      <c r="D303" s="3" t="str">
        <f>IFERROR(__xludf.DUMMYFUNCTION("""COMPUTED_VALUE"""),"-")</f>
        <v>-</v>
      </c>
      <c r="E303" s="3" t="str">
        <f>IFERROR(__xludf.DUMMYFUNCTION("""COMPUTED_VALUE"""),"HLD")</f>
        <v>HLD</v>
      </c>
      <c r="F303" s="3" t="str">
        <f>IFERROR(__xludf.DUMMYFUNCTION("""COMPUTED_VALUE"""),"Selang TS-25 (25x33) TOYOX P/N : -  pc")</f>
        <v>Selang TS-25 (25x33) TOYOX P/N : -  pc</v>
      </c>
      <c r="G303" s="3">
        <f>IFERROR(__xludf.DUMMYFUNCTION("""COMPUTED_VALUE"""),5.0)</f>
        <v>5</v>
      </c>
      <c r="H303" s="3" t="str">
        <f>IFERROR(__xludf.DUMMYFUNCTION("""COMPUTED_VALUE"""),"Pieces")</f>
        <v>Pieces</v>
      </c>
      <c r="I303" s="3" t="str">
        <f>IFERROR(__xludf.DUMMYFUNCTION("""COMPUTED_VALUE"""),"Untuk HLD 121702944 2518")</f>
        <v>Untuk HLD 121702944 2518</v>
      </c>
      <c r="J303" s="3" t="str">
        <f>IFERROR(__xludf.DUMMYFUNCTION("""COMPUTED_VALUE"""),"O-14099-00")</f>
        <v>O-14099-00</v>
      </c>
      <c r="K303" s="3" t="str">
        <f>IFERROR(__xludf.DUMMYFUNCTION("""COMPUTED_VALUE"""),"Approve")</f>
        <v>Approve</v>
      </c>
      <c r="L303" s="3" t="str">
        <f>IFERROR(__xludf.DUMMYFUNCTION("""COMPUTED_VALUE"""),"Normal")</f>
        <v>Normal</v>
      </c>
      <c r="M303" s="3" t="str">
        <f>IFERROR(__xludf.DUMMYFUNCTION("""COMPUTED_VALUE"""),"Non Urgent")</f>
        <v>Non Urgent</v>
      </c>
      <c r="N303" s="3">
        <f>IFERROR(__xludf.DUMMYFUNCTION("""COMPUTED_VALUE"""),45865.920374988425)</f>
        <v>45865.92037</v>
      </c>
    </row>
    <row r="304">
      <c r="A304" s="4">
        <f>IFERROR(__xludf.DUMMYFUNCTION("""COMPUTED_VALUE"""),45865.64966880787)</f>
        <v>45865.64967</v>
      </c>
      <c r="B304" s="3" t="str">
        <f>IFERROR(__xludf.DUMMYFUNCTION("""COMPUTED_VALUE"""),"MFHRO0152")</f>
        <v>MFHRO0152</v>
      </c>
      <c r="C304" s="3" t="str">
        <f>IFERROR(__xludf.DUMMYFUNCTION("""COMPUTED_VALUE"""),"MIn Stok")</f>
        <v>MIn Stok</v>
      </c>
      <c r="D304" s="3" t="str">
        <f>IFERROR(__xludf.DUMMYFUNCTION("""COMPUTED_VALUE"""),"-")</f>
        <v>-</v>
      </c>
      <c r="E304" s="3" t="str">
        <f>IFERROR(__xludf.DUMMYFUNCTION("""COMPUTED_VALUE"""),"BSC")</f>
        <v>BSC</v>
      </c>
      <c r="F304" s="3" t="str">
        <f>IFERROR(__xludf.DUMMYFUNCTION("""COMPUTED_VALUE"""),"Bio Safety Cabinet - Cover Cable Instrument 1 Ukuran 0.8x1200x2400mm, Mat Plat SS304 0.33 lbr; Custom/Lokal; -; 1 Unit")</f>
        <v>Bio Safety Cabinet - Cover Cable Instrument 1 Ukuran 0.8x1200x2400mm, Mat Plat SS304 0.33 lbr; Custom/Lokal; -; 1 Unit</v>
      </c>
      <c r="G304" s="3">
        <f>IFERROR(__xludf.DUMMYFUNCTION("""COMPUTED_VALUE"""),1.0)</f>
        <v>1</v>
      </c>
      <c r="H304" s="3" t="str">
        <f>IFERROR(__xludf.DUMMYFUNCTION("""COMPUTED_VALUE"""),"Unit")</f>
        <v>Unit</v>
      </c>
      <c r="I304" s="3" t="str">
        <f>IFERROR(__xludf.DUMMYFUNCTION("""COMPUTED_VALUE"""),"Untuk BSC 121702954 2528")</f>
        <v>Untuk BSC 121702954 2528</v>
      </c>
      <c r="J304" s="3" t="str">
        <f>IFERROR(__xludf.DUMMYFUNCTION("""COMPUTED_VALUE"""),"O-20841-00")</f>
        <v>O-20841-00</v>
      </c>
      <c r="K304" s="3" t="str">
        <f>IFERROR(__xludf.DUMMYFUNCTION("""COMPUTED_VALUE"""),"Approve")</f>
        <v>Approve</v>
      </c>
      <c r="L304" s="3" t="str">
        <f>IFERROR(__xludf.DUMMYFUNCTION("""COMPUTED_VALUE"""),"Normal")</f>
        <v>Normal</v>
      </c>
      <c r="M304" s="3" t="str">
        <f>IFERROR(__xludf.DUMMYFUNCTION("""COMPUTED_VALUE"""),"Non Urgent")</f>
        <v>Non Urgent</v>
      </c>
      <c r="N304" s="3">
        <f>IFERROR(__xludf.DUMMYFUNCTION("""COMPUTED_VALUE"""),45865.92048799769)</f>
        <v>45865.92049</v>
      </c>
    </row>
    <row r="305">
      <c r="A305" s="4">
        <f>IFERROR(__xludf.DUMMYFUNCTION("""COMPUTED_VALUE"""),45865.64966880787)</f>
        <v>45865.64967</v>
      </c>
      <c r="B305" s="3" t="str">
        <f>IFERROR(__xludf.DUMMYFUNCTION("""COMPUTED_VALUE"""),"MFHRO0153")</f>
        <v>MFHRO0153</v>
      </c>
      <c r="C305" s="3" t="str">
        <f>IFERROR(__xludf.DUMMYFUNCTION("""COMPUTED_VALUE"""),"MIn Stok")</f>
        <v>MIn Stok</v>
      </c>
      <c r="D305" s="3" t="str">
        <f>IFERROR(__xludf.DUMMYFUNCTION("""COMPUTED_VALUE"""),"-")</f>
        <v>-</v>
      </c>
      <c r="E305" s="3" t="str">
        <f>IFERROR(__xludf.DUMMYFUNCTION("""COMPUTED_VALUE"""),"BSC")</f>
        <v>BSC</v>
      </c>
      <c r="F305" s="3" t="str">
        <f>IFERROR(__xludf.DUMMYFUNCTION("""COMPUTED_VALUE"""),"Bio Safety Cabinet - Cover Cable Instrument 2 Ukuran 0.8x1200x2400mm, Mat Plat SS304 0.42 lbr; Custom/Lokal; -; 1 Unit")</f>
        <v>Bio Safety Cabinet - Cover Cable Instrument 2 Ukuran 0.8x1200x2400mm, Mat Plat SS304 0.42 lbr; Custom/Lokal; -; 1 Unit</v>
      </c>
      <c r="G305" s="3">
        <f>IFERROR(__xludf.DUMMYFUNCTION("""COMPUTED_VALUE"""),1.0)</f>
        <v>1</v>
      </c>
      <c r="H305" s="3" t="str">
        <f>IFERROR(__xludf.DUMMYFUNCTION("""COMPUTED_VALUE"""),"Unit")</f>
        <v>Unit</v>
      </c>
      <c r="I305" s="3" t="str">
        <f>IFERROR(__xludf.DUMMYFUNCTION("""COMPUTED_VALUE"""),"Untuk BSC 121702954 2529")</f>
        <v>Untuk BSC 121702954 2529</v>
      </c>
      <c r="J305" s="3" t="str">
        <f>IFERROR(__xludf.DUMMYFUNCTION("""COMPUTED_VALUE"""),"O-20842-00")</f>
        <v>O-20842-00</v>
      </c>
      <c r="K305" s="3" t="str">
        <f>IFERROR(__xludf.DUMMYFUNCTION("""COMPUTED_VALUE"""),"Approve")</f>
        <v>Approve</v>
      </c>
      <c r="L305" s="3" t="str">
        <f>IFERROR(__xludf.DUMMYFUNCTION("""COMPUTED_VALUE"""),"Normal")</f>
        <v>Normal</v>
      </c>
      <c r="M305" s="3" t="str">
        <f>IFERROR(__xludf.DUMMYFUNCTION("""COMPUTED_VALUE"""),"Non Urgent")</f>
        <v>Non Urgent</v>
      </c>
      <c r="N305" s="3">
        <f>IFERROR(__xludf.DUMMYFUNCTION("""COMPUTED_VALUE"""),45865.9206022338)</f>
        <v>45865.9206</v>
      </c>
    </row>
    <row r="306">
      <c r="A306" s="4">
        <f>IFERROR(__xludf.DUMMYFUNCTION("""COMPUTED_VALUE"""),45865.64966880787)</f>
        <v>45865.64967</v>
      </c>
      <c r="B306" s="3" t="str">
        <f>IFERROR(__xludf.DUMMYFUNCTION("""COMPUTED_VALUE"""),"MFHRO0154")</f>
        <v>MFHRO0154</v>
      </c>
      <c r="C306" s="3" t="str">
        <f>IFERROR(__xludf.DUMMYFUNCTION("""COMPUTED_VALUE"""),"MIn Stok")</f>
        <v>MIn Stok</v>
      </c>
      <c r="D306" s="3" t="str">
        <f>IFERROR(__xludf.DUMMYFUNCTION("""COMPUTED_VALUE"""),"-")</f>
        <v>-</v>
      </c>
      <c r="E306" s="3" t="str">
        <f>IFERROR(__xludf.DUMMYFUNCTION("""COMPUTED_VALUE"""),"BSC")</f>
        <v>BSC</v>
      </c>
      <c r="F306" s="3" t="str">
        <f>IFERROR(__xludf.DUMMYFUNCTION("""COMPUTED_VALUE"""),"Bio Safety Cabinet - Cover Cable Instrument 3 Ukuran 0.8x1200x2400mm, Mat Plat SS304 0.67 lbr; Custom/Lokal; -; 1 Unit")</f>
        <v>Bio Safety Cabinet - Cover Cable Instrument 3 Ukuran 0.8x1200x2400mm, Mat Plat SS304 0.67 lbr; Custom/Lokal; -; 1 Unit</v>
      </c>
      <c r="G306" s="3">
        <f>IFERROR(__xludf.DUMMYFUNCTION("""COMPUTED_VALUE"""),1.0)</f>
        <v>1</v>
      </c>
      <c r="H306" s="3" t="str">
        <f>IFERROR(__xludf.DUMMYFUNCTION("""COMPUTED_VALUE"""),"Unit")</f>
        <v>Unit</v>
      </c>
      <c r="I306" s="3" t="str">
        <f>IFERROR(__xludf.DUMMYFUNCTION("""COMPUTED_VALUE"""),"Untuk BSC 121702954 2530")</f>
        <v>Untuk BSC 121702954 2530</v>
      </c>
      <c r="J306" s="3" t="str">
        <f>IFERROR(__xludf.DUMMYFUNCTION("""COMPUTED_VALUE"""),"O-20843-00")</f>
        <v>O-20843-00</v>
      </c>
      <c r="K306" s="3" t="str">
        <f>IFERROR(__xludf.DUMMYFUNCTION("""COMPUTED_VALUE"""),"Approve")</f>
        <v>Approve</v>
      </c>
      <c r="L306" s="3" t="str">
        <f>IFERROR(__xludf.DUMMYFUNCTION("""COMPUTED_VALUE"""),"Normal")</f>
        <v>Normal</v>
      </c>
      <c r="M306" s="3" t="str">
        <f>IFERROR(__xludf.DUMMYFUNCTION("""COMPUTED_VALUE"""),"Non Urgent")</f>
        <v>Non Urgent</v>
      </c>
      <c r="N306" s="3">
        <f>IFERROR(__xludf.DUMMYFUNCTION("""COMPUTED_VALUE"""),45865.9207253125)</f>
        <v>45865.92073</v>
      </c>
    </row>
    <row r="307">
      <c r="A307" s="4">
        <f>IFERROR(__xludf.DUMMYFUNCTION("""COMPUTED_VALUE"""),45865.64966880787)</f>
        <v>45865.64967</v>
      </c>
      <c r="B307" s="3" t="str">
        <f>IFERROR(__xludf.DUMMYFUNCTION("""COMPUTED_VALUE"""),"MFHRO0155")</f>
        <v>MFHRO0155</v>
      </c>
      <c r="C307" s="3" t="str">
        <f>IFERROR(__xludf.DUMMYFUNCTION("""COMPUTED_VALUE"""),"MIn Stok")</f>
        <v>MIn Stok</v>
      </c>
      <c r="D307" s="3" t="str">
        <f>IFERROR(__xludf.DUMMYFUNCTION("""COMPUTED_VALUE"""),"-")</f>
        <v>-</v>
      </c>
      <c r="E307" s="3" t="str">
        <f>IFERROR(__xludf.DUMMYFUNCTION("""COMPUTED_VALUE"""),"FD")</f>
        <v>FD</v>
      </c>
      <c r="F307" s="3" t="str">
        <f>IFERROR(__xludf.DUMMYFUNCTION("""COMPUTED_VALUE"""),"Freeze Dryer MBE1207 - Condenser Drain Steam Trap TD600 1 inch NPT; WATSON; EB14-00117; 1 Pc")</f>
        <v>Freeze Dryer MBE1207 - Condenser Drain Steam Trap TD600 1 inch NPT; WATSON; EB14-00117; 1 Pc</v>
      </c>
      <c r="G307" s="3">
        <f>IFERROR(__xludf.DUMMYFUNCTION("""COMPUTED_VALUE"""),2.0)</f>
        <v>2</v>
      </c>
      <c r="H307" s="3" t="str">
        <f>IFERROR(__xludf.DUMMYFUNCTION("""COMPUTED_VALUE"""),"Pieces")</f>
        <v>Pieces</v>
      </c>
      <c r="I307" s="3" t="str">
        <f>IFERROR(__xludf.DUMMYFUNCTION("""COMPUTED_VALUE"""),"Min Stok FD 121702956 2534")</f>
        <v>Min Stok FD 121702956 2534</v>
      </c>
      <c r="J307" s="3" t="str">
        <f>IFERROR(__xludf.DUMMYFUNCTION("""COMPUTED_VALUE"""),"O-53337-00")</f>
        <v>O-53337-00</v>
      </c>
      <c r="K307" s="3" t="str">
        <f>IFERROR(__xludf.DUMMYFUNCTION("""COMPUTED_VALUE"""),"Approve")</f>
        <v>Approve</v>
      </c>
      <c r="L307" s="3" t="str">
        <f>IFERROR(__xludf.DUMMYFUNCTION("""COMPUTED_VALUE"""),"Normal")</f>
        <v>Normal</v>
      </c>
      <c r="M307" s="3" t="str">
        <f>IFERROR(__xludf.DUMMYFUNCTION("""COMPUTED_VALUE"""),"Non Urgent")</f>
        <v>Non Urgent</v>
      </c>
      <c r="N307" s="3">
        <f>IFERROR(__xludf.DUMMYFUNCTION("""COMPUTED_VALUE"""),45865.92083292824)</f>
        <v>45865.92083</v>
      </c>
    </row>
    <row r="308">
      <c r="A308" s="4">
        <f>IFERROR(__xludf.DUMMYFUNCTION("""COMPUTED_VALUE"""),45865.64966880787)</f>
        <v>45865.64967</v>
      </c>
      <c r="B308" s="3" t="str">
        <f>IFERROR(__xludf.DUMMYFUNCTION("""COMPUTED_VALUE"""),"MFHRO0156")</f>
        <v>MFHRO0156</v>
      </c>
      <c r="C308" s="3" t="str">
        <f>IFERROR(__xludf.DUMMYFUNCTION("""COMPUTED_VALUE"""),"Consumable")</f>
        <v>Consumable</v>
      </c>
      <c r="D308" s="3" t="str">
        <f>IFERROR(__xludf.DUMMYFUNCTION("""COMPUTED_VALUE"""),"-")</f>
        <v>-</v>
      </c>
      <c r="E308" s="3" t="str">
        <f>IFERROR(__xludf.DUMMYFUNCTION("""COMPUTED_VALUE"""),"General")</f>
        <v>General</v>
      </c>
      <c r="F308" s="3" t="str">
        <f>IFERROR(__xludf.DUMMYFUNCTION("""COMPUTED_VALUE"""),"Ballast Electronic EB-C 228 TL5, 2x28W; Phillips; ;")</f>
        <v>Ballast Electronic EB-C 228 TL5, 2x28W; Phillips; ;</v>
      </c>
      <c r="G308" s="3">
        <f>IFERROR(__xludf.DUMMYFUNCTION("""COMPUTED_VALUE"""),10.0)</f>
        <v>10</v>
      </c>
      <c r="H308" s="3" t="str">
        <f>IFERROR(__xludf.DUMMYFUNCTION("""COMPUTED_VALUE"""),"Pieces")</f>
        <v>Pieces</v>
      </c>
      <c r="I308" s="3" t="str">
        <f>IFERROR(__xludf.DUMMYFUNCTION("""COMPUTED_VALUE"""),"Consumable 121702966 2540")</f>
        <v>Consumable 121702966 2540</v>
      </c>
      <c r="J308" s="3" t="str">
        <f>IFERROR(__xludf.DUMMYFUNCTION("""COMPUTED_VALUE"""),"P-53169-00")</f>
        <v>P-53169-00</v>
      </c>
      <c r="K308" s="3" t="str">
        <f>IFERROR(__xludf.DUMMYFUNCTION("""COMPUTED_VALUE"""),"Approve")</f>
        <v>Approve</v>
      </c>
      <c r="L308" s="3" t="str">
        <f>IFERROR(__xludf.DUMMYFUNCTION("""COMPUTED_VALUE"""),"Normal")</f>
        <v>Normal</v>
      </c>
      <c r="M308" s="3" t="str">
        <f>IFERROR(__xludf.DUMMYFUNCTION("""COMPUTED_VALUE"""),"Non Urgent")</f>
        <v>Non Urgent</v>
      </c>
      <c r="N308" s="3">
        <f>IFERROR(__xludf.DUMMYFUNCTION("""COMPUTED_VALUE"""),45865.92112856482)</f>
        <v>45865.92113</v>
      </c>
    </row>
    <row r="309">
      <c r="A309" s="4">
        <f>IFERROR(__xludf.DUMMYFUNCTION("""COMPUTED_VALUE"""),45865.64966880787)</f>
        <v>45865.64967</v>
      </c>
      <c r="B309" s="3" t="str">
        <f>IFERROR(__xludf.DUMMYFUNCTION("""COMPUTED_VALUE"""),"MFHRO0157")</f>
        <v>MFHRO0157</v>
      </c>
      <c r="C309" s="3" t="str">
        <f>IFERROR(__xludf.DUMMYFUNCTION("""COMPUTED_VALUE"""),"Consumable")</f>
        <v>Consumable</v>
      </c>
      <c r="D309" s="3" t="str">
        <f>IFERROR(__xludf.DUMMYFUNCTION("""COMPUTED_VALUE"""),"-")</f>
        <v>-</v>
      </c>
      <c r="E309" s="3" t="str">
        <f>IFERROR(__xludf.DUMMYFUNCTION("""COMPUTED_VALUE"""),"General")</f>
        <v>General</v>
      </c>
      <c r="F309" s="3" t="str">
        <f>IFERROR(__xludf.DUMMYFUNCTION("""COMPUTED_VALUE"""),"Sodium metabisulfit")</f>
        <v>Sodium metabisulfit</v>
      </c>
      <c r="G309" s="3">
        <f>IFERROR(__xludf.DUMMYFUNCTION("""COMPUTED_VALUE"""),3.0)</f>
        <v>3</v>
      </c>
      <c r="H309" s="3" t="str">
        <f>IFERROR(__xludf.DUMMYFUNCTION("""COMPUTED_VALUE"""),"Pieces")</f>
        <v>Pieces</v>
      </c>
      <c r="I309" s="3" t="str">
        <f>IFERROR(__xludf.DUMMYFUNCTION("""COMPUTED_VALUE"""),"Consumable PWG 121702976 2551")</f>
        <v>Consumable PWG 121702976 2551</v>
      </c>
      <c r="J309" s="3" t="str">
        <f>IFERROR(__xludf.DUMMYFUNCTION("""COMPUTED_VALUE"""),"P-12830-00")</f>
        <v>P-12830-00</v>
      </c>
      <c r="K309" s="3" t="str">
        <f>IFERROR(__xludf.DUMMYFUNCTION("""COMPUTED_VALUE"""),"Approve")</f>
        <v>Approve</v>
      </c>
      <c r="L309" s="3" t="str">
        <f>IFERROR(__xludf.DUMMYFUNCTION("""COMPUTED_VALUE"""),"Normal")</f>
        <v>Normal</v>
      </c>
      <c r="M309" s="3" t="str">
        <f>IFERROR(__xludf.DUMMYFUNCTION("""COMPUTED_VALUE"""),"Non Urgent")</f>
        <v>Non Urgent</v>
      </c>
      <c r="N309" s="3">
        <f>IFERROR(__xludf.DUMMYFUNCTION("""COMPUTED_VALUE"""),45865.92123692129)</f>
        <v>45865.92124</v>
      </c>
    </row>
    <row r="310">
      <c r="A310" s="4">
        <f>IFERROR(__xludf.DUMMYFUNCTION("""COMPUTED_VALUE"""),45865.64966880787)</f>
        <v>45865.64967</v>
      </c>
      <c r="B310" s="3" t="str">
        <f>IFERROR(__xludf.DUMMYFUNCTION("""COMPUTED_VALUE"""),"MFHRO0158")</f>
        <v>MFHRO0158</v>
      </c>
      <c r="C310" s="3" t="str">
        <f>IFERROR(__xludf.DUMMYFUNCTION("""COMPUTED_VALUE"""),"Consumable")</f>
        <v>Consumable</v>
      </c>
      <c r="D310" s="3" t="str">
        <f>IFERROR(__xludf.DUMMYFUNCTION("""COMPUTED_VALUE"""),"-")</f>
        <v>-</v>
      </c>
      <c r="E310" s="3" t="str">
        <f>IFERROR(__xludf.DUMMYFUNCTION("""COMPUTED_VALUE"""),"FD")</f>
        <v>FD</v>
      </c>
      <c r="F310" s="3" t="str">
        <f>IFERROR(__xludf.DUMMYFUNCTION("""COMPUTED_VALUE"""),"General - Freon R507; Chemours; -; 1 pcs")</f>
        <v>General - Freon R507; Chemours; -; 1 pcs</v>
      </c>
      <c r="G310" s="3">
        <f>IFERROR(__xludf.DUMMYFUNCTION("""COMPUTED_VALUE"""),2.0)</f>
        <v>2</v>
      </c>
      <c r="H310" s="3" t="str">
        <f>IFERROR(__xludf.DUMMYFUNCTION("""COMPUTED_VALUE"""),"Can")</f>
        <v>Can</v>
      </c>
      <c r="I310" s="3" t="str">
        <f>IFERROR(__xludf.DUMMYFUNCTION("""COMPUTED_VALUE"""),"Min Stok FD 121702979 2555")</f>
        <v>Min Stok FD 121702979 2555</v>
      </c>
      <c r="J310" s="3" t="str">
        <f>IFERROR(__xludf.DUMMYFUNCTION("""COMPUTED_VALUE"""),"P-18725-00")</f>
        <v>P-18725-00</v>
      </c>
      <c r="K310" s="3" t="str">
        <f>IFERROR(__xludf.DUMMYFUNCTION("""COMPUTED_VALUE"""),"Approve")</f>
        <v>Approve</v>
      </c>
      <c r="L310" s="3" t="str">
        <f>IFERROR(__xludf.DUMMYFUNCTION("""COMPUTED_VALUE"""),"Normal")</f>
        <v>Normal</v>
      </c>
      <c r="M310" s="3" t="str">
        <f>IFERROR(__xludf.DUMMYFUNCTION("""COMPUTED_VALUE"""),"Non Urgent")</f>
        <v>Non Urgent</v>
      </c>
      <c r="N310" s="3">
        <f>IFERROR(__xludf.DUMMYFUNCTION("""COMPUTED_VALUE"""),45865.92134944444)</f>
        <v>45865.92135</v>
      </c>
    </row>
    <row r="311">
      <c r="A311" s="4">
        <f>IFERROR(__xludf.DUMMYFUNCTION("""COMPUTED_VALUE"""),45865.64966880787)</f>
        <v>45865.64967</v>
      </c>
      <c r="B311" s="3" t="str">
        <f>IFERROR(__xludf.DUMMYFUNCTION("""COMPUTED_VALUE"""),"MFHRO0159")</f>
        <v>MFHRO0159</v>
      </c>
      <c r="C311" s="3" t="str">
        <f>IFERROR(__xludf.DUMMYFUNCTION("""COMPUTED_VALUE"""),"MIn Stok")</f>
        <v>MIn Stok</v>
      </c>
      <c r="D311" s="3" t="str">
        <f>IFERROR(__xludf.DUMMYFUNCTION("""COMPUTED_VALUE"""),"-")</f>
        <v>-</v>
      </c>
      <c r="E311" s="3" t="str">
        <f>IFERROR(__xludf.DUMMYFUNCTION("""COMPUTED_VALUE"""),"FD")</f>
        <v>FD</v>
      </c>
      <c r="F311" s="3" t="str">
        <f>IFERROR(__xludf.DUMMYFUNCTION("""COMPUTED_VALUE"""),"O-RING 345X5.30; Freeze Dryer MBE1207; P/N EB41-00320; pack size per pc")</f>
        <v>O-RING 345X5.30; Freeze Dryer MBE1207; P/N EB41-00320; pack size per pc</v>
      </c>
      <c r="G311" s="3">
        <f>IFERROR(__xludf.DUMMYFUNCTION("""COMPUTED_VALUE"""),5.0)</f>
        <v>5</v>
      </c>
      <c r="H311" s="3" t="str">
        <f>IFERROR(__xludf.DUMMYFUNCTION("""COMPUTED_VALUE"""),"Pieces")</f>
        <v>Pieces</v>
      </c>
      <c r="I311" s="3" t="str">
        <f>IFERROR(__xludf.DUMMYFUNCTION("""COMPUTED_VALUE"""),"Min Stok FD 121702980 2556")</f>
        <v>Min Stok FD 121702980 2556</v>
      </c>
      <c r="J311" s="3" t="str">
        <f>IFERROR(__xludf.DUMMYFUNCTION("""COMPUTED_VALUE"""),"O-54124-00")</f>
        <v>O-54124-00</v>
      </c>
      <c r="K311" s="3" t="str">
        <f>IFERROR(__xludf.DUMMYFUNCTION("""COMPUTED_VALUE"""),"Approve")</f>
        <v>Approve</v>
      </c>
      <c r="L311" s="3" t="str">
        <f>IFERROR(__xludf.DUMMYFUNCTION("""COMPUTED_VALUE"""),"Normal")</f>
        <v>Normal</v>
      </c>
      <c r="M311" s="3" t="str">
        <f>IFERROR(__xludf.DUMMYFUNCTION("""COMPUTED_VALUE"""),"Non Urgent")</f>
        <v>Non Urgent</v>
      </c>
      <c r="N311" s="3">
        <f>IFERROR(__xludf.DUMMYFUNCTION("""COMPUTED_VALUE"""),45865.92144954861)</f>
        <v>45865.92145</v>
      </c>
    </row>
    <row r="312">
      <c r="A312" s="4">
        <f>IFERROR(__xludf.DUMMYFUNCTION("""COMPUTED_VALUE"""),45865.64966880787)</f>
        <v>45865.64967</v>
      </c>
      <c r="B312" s="3" t="str">
        <f>IFERROR(__xludf.DUMMYFUNCTION("""COMPUTED_VALUE"""),"MFHRO0160")</f>
        <v>MFHRO0160</v>
      </c>
      <c r="C312" s="3" t="str">
        <f>IFERROR(__xludf.DUMMYFUNCTION("""COMPUTED_VALUE"""),"MIn Stok")</f>
        <v>MIn Stok</v>
      </c>
      <c r="D312" s="3" t="str">
        <f>IFERROR(__xludf.DUMMYFUNCTION("""COMPUTED_VALUE"""),"-")</f>
        <v>-</v>
      </c>
      <c r="E312" s="3" t="str">
        <f>IFERROR(__xludf.DUMMYFUNCTION("""COMPUTED_VALUE"""),"FD")</f>
        <v>FD</v>
      </c>
      <c r="F312" s="3" t="str">
        <f>IFERROR(__xludf.DUMMYFUNCTION("""COMPUTED_VALUE"""),"Freeze Dryer MBE1207 - Silicone O-ring 243x5.3 for main valve bellows; ; EB41-00314;")</f>
        <v>Freeze Dryer MBE1207 - Silicone O-ring 243x5.3 for main valve bellows; ; EB41-00314;</v>
      </c>
      <c r="G312" s="3">
        <f>IFERROR(__xludf.DUMMYFUNCTION("""COMPUTED_VALUE"""),5.0)</f>
        <v>5</v>
      </c>
      <c r="H312" s="3" t="str">
        <f>IFERROR(__xludf.DUMMYFUNCTION("""COMPUTED_VALUE"""),"Pieces")</f>
        <v>Pieces</v>
      </c>
      <c r="I312" s="3" t="str">
        <f>IFERROR(__xludf.DUMMYFUNCTION("""COMPUTED_VALUE"""),"Min Stok FD 121702980 2557")</f>
        <v>Min Stok FD 121702980 2557</v>
      </c>
      <c r="J312" s="3" t="str">
        <f>IFERROR(__xludf.DUMMYFUNCTION("""COMPUTED_VALUE"""),"O-19777-00")</f>
        <v>O-19777-00</v>
      </c>
      <c r="K312" s="3" t="str">
        <f>IFERROR(__xludf.DUMMYFUNCTION("""COMPUTED_VALUE"""),"Approve")</f>
        <v>Approve</v>
      </c>
      <c r="L312" s="3" t="str">
        <f>IFERROR(__xludf.DUMMYFUNCTION("""COMPUTED_VALUE"""),"Normal")</f>
        <v>Normal</v>
      </c>
      <c r="M312" s="3" t="str">
        <f>IFERROR(__xludf.DUMMYFUNCTION("""COMPUTED_VALUE"""),"Non Urgent")</f>
        <v>Non Urgent</v>
      </c>
      <c r="N312" s="3">
        <f>IFERROR(__xludf.DUMMYFUNCTION("""COMPUTED_VALUE"""),45865.921544791665)</f>
        <v>45865.92154</v>
      </c>
    </row>
    <row r="313">
      <c r="A313" s="4">
        <f>IFERROR(__xludf.DUMMYFUNCTION("""COMPUTED_VALUE"""),45865.64966880787)</f>
        <v>45865.64967</v>
      </c>
      <c r="B313" s="3" t="str">
        <f>IFERROR(__xludf.DUMMYFUNCTION("""COMPUTED_VALUE"""),"MFHRO0161")</f>
        <v>MFHRO0161</v>
      </c>
      <c r="C313" s="3" t="str">
        <f>IFERROR(__xludf.DUMMYFUNCTION("""COMPUTED_VALUE"""),"MIn Stok")</f>
        <v>MIn Stok</v>
      </c>
      <c r="D313" s="3" t="str">
        <f>IFERROR(__xludf.DUMMYFUNCTION("""COMPUTED_VALUE"""),"-")</f>
        <v>-</v>
      </c>
      <c r="E313" s="3" t="str">
        <f>IFERROR(__xludf.DUMMYFUNCTION("""COMPUTED_VALUE"""),"FD")</f>
        <v>FD</v>
      </c>
      <c r="F313" s="3" t="str">
        <f>IFERROR(__xludf.DUMMYFUNCTION("""COMPUTED_VALUE"""),"O-RING 132X5.30; Freeze Dryer MBE1207; P/N EB41-00298; pack size per pc")</f>
        <v>O-RING 132X5.30; Freeze Dryer MBE1207; P/N EB41-00298; pack size per pc</v>
      </c>
      <c r="G313" s="3">
        <f>IFERROR(__xludf.DUMMYFUNCTION("""COMPUTED_VALUE"""),5.0)</f>
        <v>5</v>
      </c>
      <c r="H313" s="3" t="str">
        <f>IFERROR(__xludf.DUMMYFUNCTION("""COMPUTED_VALUE"""),"Pieces")</f>
        <v>Pieces</v>
      </c>
      <c r="I313" s="3" t="str">
        <f>IFERROR(__xludf.DUMMYFUNCTION("""COMPUTED_VALUE"""),"Min Stok FD 121702980 2558")</f>
        <v>Min Stok FD 121702980 2558</v>
      </c>
      <c r="J313" s="3" t="str">
        <f>IFERROR(__xludf.DUMMYFUNCTION("""COMPUTED_VALUE"""),"O-54123-00")</f>
        <v>O-54123-00</v>
      </c>
      <c r="K313" s="3" t="str">
        <f>IFERROR(__xludf.DUMMYFUNCTION("""COMPUTED_VALUE"""),"Approve")</f>
        <v>Approve</v>
      </c>
      <c r="L313" s="3" t="str">
        <f>IFERROR(__xludf.DUMMYFUNCTION("""COMPUTED_VALUE"""),"Normal")</f>
        <v>Normal</v>
      </c>
      <c r="M313" s="3" t="str">
        <f>IFERROR(__xludf.DUMMYFUNCTION("""COMPUTED_VALUE"""),"Non Urgent")</f>
        <v>Non Urgent</v>
      </c>
      <c r="N313" s="3">
        <f>IFERROR(__xludf.DUMMYFUNCTION("""COMPUTED_VALUE"""),45865.921634108796)</f>
        <v>45865.92163</v>
      </c>
    </row>
    <row r="314">
      <c r="A314" s="4">
        <f>IFERROR(__xludf.DUMMYFUNCTION("""COMPUTED_VALUE"""),45865.64966880787)</f>
        <v>45865.64967</v>
      </c>
      <c r="B314" s="3" t="str">
        <f>IFERROR(__xludf.DUMMYFUNCTION("""COMPUTED_VALUE"""),"MFHRO0162")</f>
        <v>MFHRO0162</v>
      </c>
      <c r="C314" s="3" t="str">
        <f>IFERROR(__xludf.DUMMYFUNCTION("""COMPUTED_VALUE"""),"MIn Stok")</f>
        <v>MIn Stok</v>
      </c>
      <c r="D314" s="3" t="str">
        <f>IFERROR(__xludf.DUMMYFUNCTION("""COMPUTED_VALUE"""),"-")</f>
        <v>-</v>
      </c>
      <c r="E314" s="3" t="str">
        <f>IFERROR(__xludf.DUMMYFUNCTION("""COMPUTED_VALUE"""),"FD")</f>
        <v>FD</v>
      </c>
      <c r="F314" s="3" t="str">
        <f>IFERROR(__xludf.DUMMYFUNCTION("""COMPUTED_VALUE"""),"O-RING 132X5.30; Freeze Dryer MBE1207; P/N EB41-00298; pack size per pc")</f>
        <v>O-RING 132X5.30; Freeze Dryer MBE1207; P/N EB41-00298; pack size per pc</v>
      </c>
      <c r="G314" s="3">
        <f>IFERROR(__xludf.DUMMYFUNCTION("""COMPUTED_VALUE"""),5.0)</f>
        <v>5</v>
      </c>
      <c r="H314" s="3" t="str">
        <f>IFERROR(__xludf.DUMMYFUNCTION("""COMPUTED_VALUE"""),"Pieces")</f>
        <v>Pieces</v>
      </c>
      <c r="I314" s="3" t="str">
        <f>IFERROR(__xludf.DUMMYFUNCTION("""COMPUTED_VALUE"""),"Min Stok FD 121702980 2559")</f>
        <v>Min Stok FD 121702980 2559</v>
      </c>
      <c r="J314" s="3" t="str">
        <f>IFERROR(__xludf.DUMMYFUNCTION("""COMPUTED_VALUE"""),"O-54123-00")</f>
        <v>O-54123-00</v>
      </c>
      <c r="K314" s="3" t="str">
        <f>IFERROR(__xludf.DUMMYFUNCTION("""COMPUTED_VALUE"""),"Approve")</f>
        <v>Approve</v>
      </c>
      <c r="L314" s="3" t="str">
        <f>IFERROR(__xludf.DUMMYFUNCTION("""COMPUTED_VALUE"""),"Normal")</f>
        <v>Normal</v>
      </c>
      <c r="M314" s="3" t="str">
        <f>IFERROR(__xludf.DUMMYFUNCTION("""COMPUTED_VALUE"""),"Non Urgent")</f>
        <v>Non Urgent</v>
      </c>
      <c r="N314" s="3">
        <f>IFERROR(__xludf.DUMMYFUNCTION("""COMPUTED_VALUE"""),45865.921727395835)</f>
        <v>45865.92173</v>
      </c>
    </row>
    <row r="315">
      <c r="A315" s="4">
        <f>IFERROR(__xludf.DUMMYFUNCTION("""COMPUTED_VALUE"""),45865.64966880787)</f>
        <v>45865.64967</v>
      </c>
      <c r="B315" s="3" t="str">
        <f>IFERROR(__xludf.DUMMYFUNCTION("""COMPUTED_VALUE"""),"MFHRO0163")</f>
        <v>MFHRO0163</v>
      </c>
      <c r="C315" s="3" t="str">
        <f>IFERROR(__xludf.DUMMYFUNCTION("""COMPUTED_VALUE"""),"MIn Stok")</f>
        <v>MIn Stok</v>
      </c>
      <c r="D315" s="3" t="str">
        <f>IFERROR(__xludf.DUMMYFUNCTION("""COMPUTED_VALUE"""),"-")</f>
        <v>-</v>
      </c>
      <c r="E315" s="3" t="str">
        <f>IFERROR(__xludf.DUMMYFUNCTION("""COMPUTED_VALUE"""),"FD")</f>
        <v>FD</v>
      </c>
      <c r="F315" s="3" t="str">
        <f>IFERROR(__xludf.DUMMYFUNCTION("""COMPUTED_VALUE"""),"O-RING 180X3.55; Freeze Dryer MBE1207; P/N EB41-00357; pack size per pc")</f>
        <v>O-RING 180X3.55; Freeze Dryer MBE1207; P/N EB41-00357; pack size per pc</v>
      </c>
      <c r="G315" s="3">
        <f>IFERROR(__xludf.DUMMYFUNCTION("""COMPUTED_VALUE"""),5.0)</f>
        <v>5</v>
      </c>
      <c r="H315" s="3" t="str">
        <f>IFERROR(__xludf.DUMMYFUNCTION("""COMPUTED_VALUE"""),"Pieces")</f>
        <v>Pieces</v>
      </c>
      <c r="I315" s="3" t="str">
        <f>IFERROR(__xludf.DUMMYFUNCTION("""COMPUTED_VALUE"""),"Min Stok FD 121702980 2560")</f>
        <v>Min Stok FD 121702980 2560</v>
      </c>
      <c r="J315" s="3" t="str">
        <f>IFERROR(__xludf.DUMMYFUNCTION("""COMPUTED_VALUE"""),"O-54121-00")</f>
        <v>O-54121-00</v>
      </c>
      <c r="K315" s="3" t="str">
        <f>IFERROR(__xludf.DUMMYFUNCTION("""COMPUTED_VALUE"""),"Approve")</f>
        <v>Approve</v>
      </c>
      <c r="L315" s="3" t="str">
        <f>IFERROR(__xludf.DUMMYFUNCTION("""COMPUTED_VALUE"""),"Normal")</f>
        <v>Normal</v>
      </c>
      <c r="M315" s="3" t="str">
        <f>IFERROR(__xludf.DUMMYFUNCTION("""COMPUTED_VALUE"""),"Non Urgent")</f>
        <v>Non Urgent</v>
      </c>
      <c r="N315" s="3">
        <f>IFERROR(__xludf.DUMMYFUNCTION("""COMPUTED_VALUE"""),45865.921825613426)</f>
        <v>45865.92183</v>
      </c>
    </row>
    <row r="316">
      <c r="A316" s="4">
        <f>IFERROR(__xludf.DUMMYFUNCTION("""COMPUTED_VALUE"""),45865.64966880787)</f>
        <v>45865.64967</v>
      </c>
      <c r="B316" s="3" t="str">
        <f>IFERROR(__xludf.DUMMYFUNCTION("""COMPUTED_VALUE"""),"MFHRO0164")</f>
        <v>MFHRO0164</v>
      </c>
      <c r="C316" s="3" t="str">
        <f>IFERROR(__xludf.DUMMYFUNCTION("""COMPUTED_VALUE"""),"MIn Stok")</f>
        <v>MIn Stok</v>
      </c>
      <c r="D316" s="3" t="str">
        <f>IFERROR(__xludf.DUMMYFUNCTION("""COMPUTED_VALUE"""),"-")</f>
        <v>-</v>
      </c>
      <c r="E316" s="3" t="str">
        <f>IFERROR(__xludf.DUMMYFUNCTION("""COMPUTED_VALUE"""),"FD")</f>
        <v>FD</v>
      </c>
      <c r="F316" s="3" t="str">
        <f>IFERROR(__xludf.DUMMYFUNCTION("""COMPUTED_VALUE"""),"O-RING 8X1.8; Freeze Dryer MBE1207; P/N EB41-00336; pack size per pc")</f>
        <v>O-RING 8X1.8; Freeze Dryer MBE1207; P/N EB41-00336; pack size per pc</v>
      </c>
      <c r="G316" s="3">
        <f>IFERROR(__xludf.DUMMYFUNCTION("""COMPUTED_VALUE"""),20.0)</f>
        <v>20</v>
      </c>
      <c r="H316" s="3" t="str">
        <f>IFERROR(__xludf.DUMMYFUNCTION("""COMPUTED_VALUE"""),"Pieces")</f>
        <v>Pieces</v>
      </c>
      <c r="I316" s="3" t="str">
        <f>IFERROR(__xludf.DUMMYFUNCTION("""COMPUTED_VALUE"""),"Min Stok FD 121702980 2561")</f>
        <v>Min Stok FD 121702980 2561</v>
      </c>
      <c r="J316" s="3" t="str">
        <f>IFERROR(__xludf.DUMMYFUNCTION("""COMPUTED_VALUE"""),"O-54120-00")</f>
        <v>O-54120-00</v>
      </c>
      <c r="K316" s="3" t="str">
        <f>IFERROR(__xludf.DUMMYFUNCTION("""COMPUTED_VALUE"""),"Approve")</f>
        <v>Approve</v>
      </c>
      <c r="L316" s="3" t="str">
        <f>IFERROR(__xludf.DUMMYFUNCTION("""COMPUTED_VALUE"""),"Normal")</f>
        <v>Normal</v>
      </c>
      <c r="M316" s="3" t="str">
        <f>IFERROR(__xludf.DUMMYFUNCTION("""COMPUTED_VALUE"""),"Non Urgent")</f>
        <v>Non Urgent</v>
      </c>
      <c r="N316" s="3">
        <f>IFERROR(__xludf.DUMMYFUNCTION("""COMPUTED_VALUE"""),45865.92191694444)</f>
        <v>45865.92192</v>
      </c>
    </row>
    <row r="317">
      <c r="A317" s="4">
        <f>IFERROR(__xludf.DUMMYFUNCTION("""COMPUTED_VALUE"""),45865.64966880787)</f>
        <v>45865.64967</v>
      </c>
      <c r="B317" s="3" t="str">
        <f>IFERROR(__xludf.DUMMYFUNCTION("""COMPUTED_VALUE"""),"MFHRO0165")</f>
        <v>MFHRO0165</v>
      </c>
      <c r="C317" s="3" t="str">
        <f>IFERROR(__xludf.DUMMYFUNCTION("""COMPUTED_VALUE"""),"MIn Stok")</f>
        <v>MIn Stok</v>
      </c>
      <c r="D317" s="3" t="str">
        <f>IFERROR(__xludf.DUMMYFUNCTION("""COMPUTED_VALUE"""),"-")</f>
        <v>-</v>
      </c>
      <c r="E317" s="3" t="str">
        <f>IFERROR(__xludf.DUMMYFUNCTION("""COMPUTED_VALUE"""),"FD")</f>
        <v>FD</v>
      </c>
      <c r="F317" s="3" t="str">
        <f>IFERROR(__xludf.DUMMYFUNCTION("""COMPUTED_VALUE"""),"Freeze Dryer MBE1207 - Gasket Slot Door Silicone dia 13 mm; ; ;")</f>
        <v>Freeze Dryer MBE1207 - Gasket Slot Door Silicone dia 13 mm; ; ;</v>
      </c>
      <c r="G317" s="3">
        <f>IFERROR(__xludf.DUMMYFUNCTION("""COMPUTED_VALUE"""),8.0)</f>
        <v>8</v>
      </c>
      <c r="H317" s="3" t="str">
        <f>IFERROR(__xludf.DUMMYFUNCTION("""COMPUTED_VALUE"""),"Meter")</f>
        <v>Meter</v>
      </c>
      <c r="I317" s="3" t="str">
        <f>IFERROR(__xludf.DUMMYFUNCTION("""COMPUTED_VALUE"""),"Min Stok FD 121702981 2562")</f>
        <v>Min Stok FD 121702981 2562</v>
      </c>
      <c r="J317" s="3" t="str">
        <f>IFERROR(__xludf.DUMMYFUNCTION("""COMPUTED_VALUE"""),"P-18667-00")</f>
        <v>P-18667-00</v>
      </c>
      <c r="K317" s="3" t="str">
        <f>IFERROR(__xludf.DUMMYFUNCTION("""COMPUTED_VALUE"""),"Approve")</f>
        <v>Approve</v>
      </c>
      <c r="L317" s="3" t="str">
        <f>IFERROR(__xludf.DUMMYFUNCTION("""COMPUTED_VALUE"""),"Normal")</f>
        <v>Normal</v>
      </c>
      <c r="M317" s="3" t="str">
        <f>IFERROR(__xludf.DUMMYFUNCTION("""COMPUTED_VALUE"""),"Non Urgent")</f>
        <v>Non Urgent</v>
      </c>
      <c r="N317" s="3">
        <f>IFERROR(__xludf.DUMMYFUNCTION("""COMPUTED_VALUE"""),45865.922035474534)</f>
        <v>45865.92204</v>
      </c>
    </row>
    <row r="318">
      <c r="A318" s="4">
        <f>IFERROR(__xludf.DUMMYFUNCTION("""COMPUTED_VALUE"""),45865.64966880787)</f>
        <v>45865.64967</v>
      </c>
      <c r="B318" s="3" t="str">
        <f>IFERROR(__xludf.DUMMYFUNCTION("""COMPUTED_VALUE"""),"MFHRO0166")</f>
        <v>MFHRO0166</v>
      </c>
      <c r="C318" s="3" t="str">
        <f>IFERROR(__xludf.DUMMYFUNCTION("""COMPUTED_VALUE"""),"MIn Stok")</f>
        <v>MIn Stok</v>
      </c>
      <c r="D318" s="3" t="str">
        <f>IFERROR(__xludf.DUMMYFUNCTION("""COMPUTED_VALUE"""),"-")</f>
        <v>-</v>
      </c>
      <c r="E318" s="3" t="str">
        <f>IFERROR(__xludf.DUMMYFUNCTION("""COMPUTED_VALUE"""),"General")</f>
        <v>General</v>
      </c>
      <c r="F318" s="3" t="str">
        <f>IFERROR(__xludf.DUMMYFUNCTION("""COMPUTED_VALUE"""),"Water Mur PVC dia 1inch")</f>
        <v>Water Mur PVC dia 1inch</v>
      </c>
      <c r="G318" s="3">
        <f>IFERROR(__xludf.DUMMYFUNCTION("""COMPUTED_VALUE"""),5.0)</f>
        <v>5</v>
      </c>
      <c r="H318" s="3" t="str">
        <f>IFERROR(__xludf.DUMMYFUNCTION("""COMPUTED_VALUE"""),"Pieces")</f>
        <v>Pieces</v>
      </c>
      <c r="I318" s="3" t="str">
        <f>IFERROR(__xludf.DUMMYFUNCTION("""COMPUTED_VALUE"""),"Consumable 121702969 2545")</f>
        <v>Consumable 121702969 2545</v>
      </c>
      <c r="J318" s="3" t="str">
        <f>IFERROR(__xludf.DUMMYFUNCTION("""COMPUTED_VALUE"""),"P-12942-00")</f>
        <v>P-12942-00</v>
      </c>
      <c r="K318" s="3" t="str">
        <f>IFERROR(__xludf.DUMMYFUNCTION("""COMPUTED_VALUE"""),"Approve")</f>
        <v>Approve</v>
      </c>
      <c r="L318" s="3" t="str">
        <f>IFERROR(__xludf.DUMMYFUNCTION("""COMPUTED_VALUE"""),"Normal")</f>
        <v>Normal</v>
      </c>
      <c r="M318" s="3" t="str">
        <f>IFERROR(__xludf.DUMMYFUNCTION("""COMPUTED_VALUE"""),"Non Urgent")</f>
        <v>Non Urgent</v>
      </c>
      <c r="N318" s="3">
        <f>IFERROR(__xludf.DUMMYFUNCTION("""COMPUTED_VALUE"""),45865.92212046296)</f>
        <v>45865.92212</v>
      </c>
    </row>
    <row r="319">
      <c r="A319" s="4">
        <f>IFERROR(__xludf.DUMMYFUNCTION("""COMPUTED_VALUE"""),45865.64966880787)</f>
        <v>45865.64967</v>
      </c>
      <c r="B319" s="3" t="str">
        <f>IFERROR(__xludf.DUMMYFUNCTION("""COMPUTED_VALUE"""),"MFHRO0167")</f>
        <v>MFHRO0167</v>
      </c>
      <c r="C319" s="3" t="str">
        <f>IFERROR(__xludf.DUMMYFUNCTION("""COMPUTED_VALUE"""),"MIn Stok")</f>
        <v>MIn Stok</v>
      </c>
      <c r="D319" s="3" t="str">
        <f>IFERROR(__xludf.DUMMYFUNCTION("""COMPUTED_VALUE"""),"-")</f>
        <v>-</v>
      </c>
      <c r="E319" s="3" t="str">
        <f>IFERROR(__xludf.DUMMYFUNCTION("""COMPUTED_VALUE"""),"Building")</f>
        <v>Building</v>
      </c>
      <c r="F319" s="3" t="str">
        <f>IFERROR(__xludf.DUMMYFUNCTION("""COMPUTED_VALUE"""),"Cat Decor Acrylic Enamel DAE - 550 / Solvent Based; Propan; TEAL 5412 - Warna Biru; pack size 20 liter per pail")</f>
        <v>Cat Decor Acrylic Enamel DAE - 550 / Solvent Based; Propan; TEAL 5412 - Warna Biru; pack size 20 liter per pail</v>
      </c>
      <c r="G319" s="3">
        <f>IFERROR(__xludf.DUMMYFUNCTION("""COMPUTED_VALUE"""),4.0)</f>
        <v>4</v>
      </c>
      <c r="H319" s="3" t="str">
        <f>IFERROR(__xludf.DUMMYFUNCTION("""COMPUTED_VALUE"""),"Pail")</f>
        <v>Pail</v>
      </c>
      <c r="I319" s="3" t="str">
        <f>IFERROR(__xludf.DUMMYFUNCTION("""COMPUTED_VALUE"""),"Untuk Builfing 121702965 2539")</f>
        <v>Untuk Builfing 121702965 2539</v>
      </c>
      <c r="J319" s="3" t="str">
        <f>IFERROR(__xludf.DUMMYFUNCTION("""COMPUTED_VALUE"""),"Q-60328-00")</f>
        <v>Q-60328-00</v>
      </c>
      <c r="K319" s="3" t="str">
        <f>IFERROR(__xludf.DUMMYFUNCTION("""COMPUTED_VALUE"""),"Approve")</f>
        <v>Approve</v>
      </c>
      <c r="L319" s="3" t="str">
        <f>IFERROR(__xludf.DUMMYFUNCTION("""COMPUTED_VALUE"""),"Normal")</f>
        <v>Normal</v>
      </c>
      <c r="M319" s="3" t="str">
        <f>IFERROR(__xludf.DUMMYFUNCTION("""COMPUTED_VALUE"""),"Non Urgent")</f>
        <v>Non Urgent</v>
      </c>
      <c r="N319" s="3">
        <f>IFERROR(__xludf.DUMMYFUNCTION("""COMPUTED_VALUE"""),45865.92220341435)</f>
        <v>45865.9222</v>
      </c>
    </row>
    <row r="320">
      <c r="A320" s="4">
        <f>IFERROR(__xludf.DUMMYFUNCTION("""COMPUTED_VALUE"""),45865.64966880787)</f>
        <v>45865.64967</v>
      </c>
      <c r="B320" s="3" t="str">
        <f>IFERROR(__xludf.DUMMYFUNCTION("""COMPUTED_VALUE"""),"MFHRO0168")</f>
        <v>MFHRO0168</v>
      </c>
      <c r="C320" s="3" t="str">
        <f>IFERROR(__xludf.DUMMYFUNCTION("""COMPUTED_VALUE"""),"MIn Stok")</f>
        <v>MIn Stok</v>
      </c>
      <c r="D320" s="3" t="str">
        <f>IFERROR(__xludf.DUMMYFUNCTION("""COMPUTED_VALUE"""),"-")</f>
        <v>-</v>
      </c>
      <c r="E320" s="3" t="str">
        <f>IFERROR(__xludf.DUMMYFUNCTION("""COMPUTED_VALUE"""),"Washing")</f>
        <v>Washing</v>
      </c>
      <c r="F320" s="3" t="str">
        <f>IFERROR(__xludf.DUMMYFUNCTION("""COMPUTED_VALUE"""),"General - Directional Valve Pin Lock; SMC; VHL210W-02; 1 pc")</f>
        <v>General - Directional Valve Pin Lock; SMC; VHL210W-02; 1 pc</v>
      </c>
      <c r="G320" s="3">
        <f>IFERROR(__xludf.DUMMYFUNCTION("""COMPUTED_VALUE"""),1.0)</f>
        <v>1</v>
      </c>
      <c r="H320" s="3" t="str">
        <f>IFERROR(__xludf.DUMMYFUNCTION("""COMPUTED_VALUE"""),"Pieces")</f>
        <v>Pieces</v>
      </c>
      <c r="I320" s="3" t="str">
        <f>IFERROR(__xludf.DUMMYFUNCTION("""COMPUTED_VALUE"""),"Untuk Washing 121702975 2547")</f>
        <v>Untuk Washing 121702975 2547</v>
      </c>
      <c r="J320" s="3" t="str">
        <f>IFERROR(__xludf.DUMMYFUNCTION("""COMPUTED_VALUE"""),"P-19950-00")</f>
        <v>P-19950-00</v>
      </c>
      <c r="K320" s="3" t="str">
        <f>IFERROR(__xludf.DUMMYFUNCTION("""COMPUTED_VALUE"""),"Approve")</f>
        <v>Approve</v>
      </c>
      <c r="L320" s="3" t="str">
        <f>IFERROR(__xludf.DUMMYFUNCTION("""COMPUTED_VALUE"""),"Normal")</f>
        <v>Normal</v>
      </c>
      <c r="M320" s="3" t="str">
        <f>IFERROR(__xludf.DUMMYFUNCTION("""COMPUTED_VALUE"""),"Non Urgent")</f>
        <v>Non Urgent</v>
      </c>
      <c r="N320" s="3">
        <f>IFERROR(__xludf.DUMMYFUNCTION("""COMPUTED_VALUE"""),45865.922322592596)</f>
        <v>45865.92232</v>
      </c>
    </row>
    <row r="321">
      <c r="A321" s="4">
        <f>IFERROR(__xludf.DUMMYFUNCTION("""COMPUTED_VALUE"""),45865.64966880787)</f>
        <v>45865.64967</v>
      </c>
      <c r="B321" s="3" t="str">
        <f>IFERROR(__xludf.DUMMYFUNCTION("""COMPUTED_VALUE"""),"MFHRO0169")</f>
        <v>MFHRO0169</v>
      </c>
      <c r="C321" s="3" t="str">
        <f>IFERROR(__xludf.DUMMYFUNCTION("""COMPUTED_VALUE"""),"MIn Stok")</f>
        <v>MIn Stok</v>
      </c>
      <c r="D321" s="3" t="str">
        <f>IFERROR(__xludf.DUMMYFUNCTION("""COMPUTED_VALUE"""),"-")</f>
        <v>-</v>
      </c>
      <c r="E321" s="3" t="str">
        <f>IFERROR(__xludf.DUMMYFUNCTION("""COMPUTED_VALUE"""),"Washing")</f>
        <v>Washing</v>
      </c>
      <c r="F321" s="3" t="str">
        <f>IFERROR(__xludf.DUMMYFUNCTION("""COMPUTED_VALUE"""),"General - Check Valve SMC; -; AKH08A-025; 1 pc")</f>
        <v>General - Check Valve SMC; -; AKH08A-025; 1 pc</v>
      </c>
      <c r="G321" s="3">
        <f>IFERROR(__xludf.DUMMYFUNCTION("""COMPUTED_VALUE"""),2.0)</f>
        <v>2</v>
      </c>
      <c r="H321" s="3" t="str">
        <f>IFERROR(__xludf.DUMMYFUNCTION("""COMPUTED_VALUE"""),"Pieces")</f>
        <v>Pieces</v>
      </c>
      <c r="I321" s="3" t="str">
        <f>IFERROR(__xludf.DUMMYFUNCTION("""COMPUTED_VALUE"""),"Untuk Washing 121702975 2548")</f>
        <v>Untuk Washing 121702975 2548</v>
      </c>
      <c r="J321" s="3" t="str">
        <f>IFERROR(__xludf.DUMMYFUNCTION("""COMPUTED_VALUE"""),"P-19951-00")</f>
        <v>P-19951-00</v>
      </c>
      <c r="K321" s="3" t="str">
        <f>IFERROR(__xludf.DUMMYFUNCTION("""COMPUTED_VALUE"""),"Approve")</f>
        <v>Approve</v>
      </c>
      <c r="L321" s="3" t="str">
        <f>IFERROR(__xludf.DUMMYFUNCTION("""COMPUTED_VALUE"""),"Normal")</f>
        <v>Normal</v>
      </c>
      <c r="M321" s="3" t="str">
        <f>IFERROR(__xludf.DUMMYFUNCTION("""COMPUTED_VALUE"""),"Non Urgent")</f>
        <v>Non Urgent</v>
      </c>
      <c r="N321" s="3">
        <f>IFERROR(__xludf.DUMMYFUNCTION("""COMPUTED_VALUE"""),45865.92241167824)</f>
        <v>45865.92241</v>
      </c>
    </row>
    <row r="322">
      <c r="A322" s="4">
        <f>IFERROR(__xludf.DUMMYFUNCTION("""COMPUTED_VALUE"""),45865.64966880787)</f>
        <v>45865.64967</v>
      </c>
      <c r="B322" s="3" t="str">
        <f>IFERROR(__xludf.DUMMYFUNCTION("""COMPUTED_VALUE"""),"MFHRO0170")</f>
        <v>MFHRO0170</v>
      </c>
      <c r="C322" s="3" t="str">
        <f>IFERROR(__xludf.DUMMYFUNCTION("""COMPUTED_VALUE"""),"MIn Stok")</f>
        <v>MIn Stok</v>
      </c>
      <c r="D322" s="3" t="str">
        <f>IFERROR(__xludf.DUMMYFUNCTION("""COMPUTED_VALUE"""),"-")</f>
        <v>-</v>
      </c>
      <c r="E322" s="3" t="str">
        <f>IFERROR(__xludf.DUMMYFUNCTION("""COMPUTED_VALUE"""),"Washing")</f>
        <v>Washing</v>
      </c>
      <c r="F322" s="3" t="str">
        <f>IFERROR(__xludf.DUMMYFUNCTION("""COMPUTED_VALUE"""),"General - Fitting SMC; SMC; KQ2U08-00A; 1 pc")</f>
        <v>General - Fitting SMC; SMC; KQ2U08-00A; 1 pc</v>
      </c>
      <c r="G322" s="3">
        <f>IFERROR(__xludf.DUMMYFUNCTION("""COMPUTED_VALUE"""),2.0)</f>
        <v>2</v>
      </c>
      <c r="H322" s="3" t="str">
        <f>IFERROR(__xludf.DUMMYFUNCTION("""COMPUTED_VALUE"""),"Pieces")</f>
        <v>Pieces</v>
      </c>
      <c r="I322" s="3" t="str">
        <f>IFERROR(__xludf.DUMMYFUNCTION("""COMPUTED_VALUE"""),"Untuk Washing 121702975 2549")</f>
        <v>Untuk Washing 121702975 2549</v>
      </c>
      <c r="J322" s="3" t="str">
        <f>IFERROR(__xludf.DUMMYFUNCTION("""COMPUTED_VALUE"""),"P-19952-00")</f>
        <v>P-19952-00</v>
      </c>
      <c r="K322" s="3" t="str">
        <f>IFERROR(__xludf.DUMMYFUNCTION("""COMPUTED_VALUE"""),"Approve")</f>
        <v>Approve</v>
      </c>
      <c r="L322" s="3" t="str">
        <f>IFERROR(__xludf.DUMMYFUNCTION("""COMPUTED_VALUE"""),"Normal")</f>
        <v>Normal</v>
      </c>
      <c r="M322" s="3" t="str">
        <f>IFERROR(__xludf.DUMMYFUNCTION("""COMPUTED_VALUE"""),"Non Urgent")</f>
        <v>Non Urgent</v>
      </c>
      <c r="N322" s="3">
        <f>IFERROR(__xludf.DUMMYFUNCTION("""COMPUTED_VALUE"""),45865.92250670139)</f>
        <v>45865.92251</v>
      </c>
    </row>
    <row r="323">
      <c r="A323" s="4">
        <f>IFERROR(__xludf.DUMMYFUNCTION("""COMPUTED_VALUE"""),45865.64966880787)</f>
        <v>45865.64967</v>
      </c>
      <c r="B323" s="3" t="str">
        <f>IFERROR(__xludf.DUMMYFUNCTION("""COMPUTED_VALUE"""),"MFHRO0171")</f>
        <v>MFHRO0171</v>
      </c>
      <c r="C323" s="3" t="str">
        <f>IFERROR(__xludf.DUMMYFUNCTION("""COMPUTED_VALUE"""),"MIn Stok")</f>
        <v>MIn Stok</v>
      </c>
      <c r="D323" s="3" t="str">
        <f>IFERROR(__xludf.DUMMYFUNCTION("""COMPUTED_VALUE"""),"-")</f>
        <v>-</v>
      </c>
      <c r="E323" s="3" t="str">
        <f>IFERROR(__xludf.DUMMYFUNCTION("""COMPUTED_VALUE"""),"Washing")</f>
        <v>Washing</v>
      </c>
      <c r="F323" s="3" t="str">
        <f>IFERROR(__xludf.DUMMYFUNCTION("""COMPUTED_VALUE"""),"General - Plug 1/4inch; SMC; -; 1 pc")</f>
        <v>General - Plug 1/4inch; SMC; -; 1 pc</v>
      </c>
      <c r="G323" s="3">
        <f>IFERROR(__xludf.DUMMYFUNCTION("""COMPUTED_VALUE"""),1.0)</f>
        <v>1</v>
      </c>
      <c r="H323" s="3" t="str">
        <f>IFERROR(__xludf.DUMMYFUNCTION("""COMPUTED_VALUE"""),"Pieces")</f>
        <v>Pieces</v>
      </c>
      <c r="I323" s="3" t="str">
        <f>IFERROR(__xludf.DUMMYFUNCTION("""COMPUTED_VALUE"""),"Untuk Washing 121702975 2550")</f>
        <v>Untuk Washing 121702975 2550</v>
      </c>
      <c r="J323" s="3" t="str">
        <f>IFERROR(__xludf.DUMMYFUNCTION("""COMPUTED_VALUE"""),"P-19953-00")</f>
        <v>P-19953-00</v>
      </c>
      <c r="K323" s="3" t="str">
        <f>IFERROR(__xludf.DUMMYFUNCTION("""COMPUTED_VALUE"""),"Approve")</f>
        <v>Approve</v>
      </c>
      <c r="L323" s="3" t="str">
        <f>IFERROR(__xludf.DUMMYFUNCTION("""COMPUTED_VALUE"""),"Normal")</f>
        <v>Normal</v>
      </c>
      <c r="M323" s="3" t="str">
        <f>IFERROR(__xludf.DUMMYFUNCTION("""COMPUTED_VALUE"""),"Non Urgent")</f>
        <v>Non Urgent</v>
      </c>
      <c r="N323" s="3">
        <f>IFERROR(__xludf.DUMMYFUNCTION("""COMPUTED_VALUE"""),45865.92306256945)</f>
        <v>45865.92306</v>
      </c>
    </row>
    <row r="324">
      <c r="A324" s="4">
        <f>IFERROR(__xludf.DUMMYFUNCTION("""COMPUTED_VALUE"""),45865.64966880787)</f>
        <v>45865.64967</v>
      </c>
      <c r="B324" s="3" t="str">
        <f>IFERROR(__xludf.DUMMYFUNCTION("""COMPUTED_VALUE"""),"MFHRO0172")</f>
        <v>MFHRO0172</v>
      </c>
      <c r="C324" s="3" t="str">
        <f>IFERROR(__xludf.DUMMYFUNCTION("""COMPUTED_VALUE"""),"MIn Stok")</f>
        <v>MIn Stok</v>
      </c>
      <c r="D324" s="3" t="str">
        <f>IFERROR(__xludf.DUMMYFUNCTION("""COMPUTED_VALUE"""),"-")</f>
        <v>-</v>
      </c>
      <c r="E324" s="3" t="str">
        <f>IFERROR(__xludf.DUMMYFUNCTION("""COMPUTED_VALUE"""),"Washbay")</f>
        <v>Washbay</v>
      </c>
      <c r="F324" s="3" t="str">
        <f>IFERROR(__xludf.DUMMYFUNCTION("""COMPUTED_VALUE"""),"SCHNEIDER - MCB 4A 1Phase; ; ;")</f>
        <v>SCHNEIDER - MCB 4A 1Phase; ; ;</v>
      </c>
      <c r="G324" s="3">
        <f>IFERROR(__xludf.DUMMYFUNCTION("""COMPUTED_VALUE"""),3.0)</f>
        <v>3</v>
      </c>
      <c r="H324" s="3" t="str">
        <f>IFERROR(__xludf.DUMMYFUNCTION("""COMPUTED_VALUE"""),"Pieces")</f>
        <v>Pieces</v>
      </c>
      <c r="I324" s="3" t="str">
        <f>IFERROR(__xludf.DUMMYFUNCTION("""COMPUTED_VALUE"""),"Untuk Washbay 121702985 2566")</f>
        <v>Untuk Washbay 121702985 2566</v>
      </c>
      <c r="J324" s="3" t="str">
        <f>IFERROR(__xludf.DUMMYFUNCTION("""COMPUTED_VALUE"""),"P-52375-00")</f>
        <v>P-52375-00</v>
      </c>
      <c r="K324" s="3" t="str">
        <f>IFERROR(__xludf.DUMMYFUNCTION("""COMPUTED_VALUE"""),"Approve")</f>
        <v>Approve</v>
      </c>
      <c r="L324" s="3" t="str">
        <f>IFERROR(__xludf.DUMMYFUNCTION("""COMPUTED_VALUE"""),"Normal")</f>
        <v>Normal</v>
      </c>
      <c r="M324" s="3" t="str">
        <f>IFERROR(__xludf.DUMMYFUNCTION("""COMPUTED_VALUE"""),"Non Urgent")</f>
        <v>Non Urgent</v>
      </c>
      <c r="N324" s="3">
        <f>IFERROR(__xludf.DUMMYFUNCTION("""COMPUTED_VALUE"""),45865.9231509838)</f>
        <v>45865.92315</v>
      </c>
    </row>
    <row r="325">
      <c r="A325" s="4">
        <f>IFERROR(__xludf.DUMMYFUNCTION("""COMPUTED_VALUE"""),45865.64966880787)</f>
        <v>45865.64967</v>
      </c>
      <c r="B325" s="3" t="str">
        <f>IFERROR(__xludf.DUMMYFUNCTION("""COMPUTED_VALUE"""),"MFHRO0173")</f>
        <v>MFHRO0173</v>
      </c>
      <c r="C325" s="3" t="str">
        <f>IFERROR(__xludf.DUMMYFUNCTION("""COMPUTED_VALUE"""),"MIn Stok")</f>
        <v>MIn Stok</v>
      </c>
      <c r="D325" s="3" t="str">
        <f>IFERROR(__xludf.DUMMYFUNCTION("""COMPUTED_VALUE"""),"-")</f>
        <v>-</v>
      </c>
      <c r="E325" s="3" t="str">
        <f>IFERROR(__xludf.DUMMYFUNCTION("""COMPUTED_VALUE"""),"General")</f>
        <v>General</v>
      </c>
      <c r="F325" s="3" t="str">
        <f>IFERROR(__xludf.DUMMYFUNCTION("""COMPUTED_VALUE"""),"Magnet Kotak Pintu Lemari Small Stainless Steel 1.5x3.6cm; ; ;")</f>
        <v>Magnet Kotak Pintu Lemari Small Stainless Steel 1.5x3.6cm; ; ;</v>
      </c>
      <c r="G325" s="3">
        <f>IFERROR(__xludf.DUMMYFUNCTION("""COMPUTED_VALUE"""),5.0)</f>
        <v>5</v>
      </c>
      <c r="H325" s="3" t="str">
        <f>IFERROR(__xludf.DUMMYFUNCTION("""COMPUTED_VALUE"""),"Pieces")</f>
        <v>Pieces</v>
      </c>
      <c r="I325" s="3" t="str">
        <f>IFERROR(__xludf.DUMMYFUNCTION("""COMPUTED_VALUE"""),"Untuk Magnet Passbox 121702993 2572")</f>
        <v>Untuk Magnet Passbox 121702993 2572</v>
      </c>
      <c r="J325" s="3" t="str">
        <f>IFERROR(__xludf.DUMMYFUNCTION("""COMPUTED_VALUE"""),"Q-10971-00")</f>
        <v>Q-10971-00</v>
      </c>
      <c r="K325" s="3" t="str">
        <f>IFERROR(__xludf.DUMMYFUNCTION("""COMPUTED_VALUE"""),"Approve")</f>
        <v>Approve</v>
      </c>
      <c r="L325" s="3" t="str">
        <f>IFERROR(__xludf.DUMMYFUNCTION("""COMPUTED_VALUE"""),"Normal")</f>
        <v>Normal</v>
      </c>
      <c r="M325" s="3" t="str">
        <f>IFERROR(__xludf.DUMMYFUNCTION("""COMPUTED_VALUE"""),"Non Urgent")</f>
        <v>Non Urgent</v>
      </c>
      <c r="N325" s="3">
        <f>IFERROR(__xludf.DUMMYFUNCTION("""COMPUTED_VALUE"""),45865.92327121527)</f>
        <v>45865.92327</v>
      </c>
    </row>
    <row r="326">
      <c r="A326" s="4">
        <f>IFERROR(__xludf.DUMMYFUNCTION("""COMPUTED_VALUE"""),45865.64966880787)</f>
        <v>45865.64967</v>
      </c>
      <c r="B326" s="3" t="str">
        <f>IFERROR(__xludf.DUMMYFUNCTION("""COMPUTED_VALUE"""),"MFHRO0174")</f>
        <v>MFHRO0174</v>
      </c>
      <c r="C326" s="3" t="str">
        <f>IFERROR(__xludf.DUMMYFUNCTION("""COMPUTED_VALUE"""),"MIn Stok")</f>
        <v>MIn Stok</v>
      </c>
      <c r="D326" s="3" t="str">
        <f>IFERROR(__xludf.DUMMYFUNCTION("""COMPUTED_VALUE"""),"-")</f>
        <v>-</v>
      </c>
      <c r="E326" s="3" t="str">
        <f>IFERROR(__xludf.DUMMYFUNCTION("""COMPUTED_VALUE"""),"HLD")</f>
        <v>HLD</v>
      </c>
      <c r="F326" s="3" t="str">
        <f>IFERROR(__xludf.DUMMYFUNCTION("""COMPUTED_VALUE"""),"General - Trolley Helium Leak Detector Uk. 600 x 750 x 800cm; Custom Agru Farma; -; 1 pc")</f>
        <v>General - Trolley Helium Leak Detector Uk. 600 x 750 x 800cm; Custom Agru Farma; -; 1 pc</v>
      </c>
      <c r="G326" s="3">
        <f>IFERROR(__xludf.DUMMYFUNCTION("""COMPUTED_VALUE"""),1.0)</f>
        <v>1</v>
      </c>
      <c r="H326" s="3" t="str">
        <f>IFERROR(__xludf.DUMMYFUNCTION("""COMPUTED_VALUE"""),"Pieces")</f>
        <v>Pieces</v>
      </c>
      <c r="I326" s="3" t="str">
        <f>IFERROR(__xludf.DUMMYFUNCTION("""COMPUTED_VALUE"""),"Untuk HLD 121702997 2575")</f>
        <v>Untuk HLD 121702997 2575</v>
      </c>
      <c r="J326" s="3" t="str">
        <f>IFERROR(__xludf.DUMMYFUNCTION("""COMPUTED_VALUE"""),"P-19987-00")</f>
        <v>P-19987-00</v>
      </c>
      <c r="K326" s="3" t="str">
        <f>IFERROR(__xludf.DUMMYFUNCTION("""COMPUTED_VALUE"""),"Approve")</f>
        <v>Approve</v>
      </c>
      <c r="L326" s="3" t="str">
        <f>IFERROR(__xludf.DUMMYFUNCTION("""COMPUTED_VALUE"""),"Normal")</f>
        <v>Normal</v>
      </c>
      <c r="M326" s="3" t="str">
        <f>IFERROR(__xludf.DUMMYFUNCTION("""COMPUTED_VALUE"""),"Non Urgent")</f>
        <v>Non Urgent</v>
      </c>
      <c r="N326" s="3">
        <f>IFERROR(__xludf.DUMMYFUNCTION("""COMPUTED_VALUE"""),45865.92338548611)</f>
        <v>45865.92339</v>
      </c>
    </row>
    <row r="327">
      <c r="A327" s="4">
        <f>IFERROR(__xludf.DUMMYFUNCTION("""COMPUTED_VALUE"""),45865.64966880787)</f>
        <v>45865.64967</v>
      </c>
      <c r="B327" s="3" t="str">
        <f>IFERROR(__xludf.DUMMYFUNCTION("""COMPUTED_VALUE"""),"MFHRO0175")</f>
        <v>MFHRO0175</v>
      </c>
      <c r="C327" s="3" t="str">
        <f>IFERROR(__xludf.DUMMYFUNCTION("""COMPUTED_VALUE"""),"MIn Stok")</f>
        <v>MIn Stok</v>
      </c>
      <c r="D327" s="3" t="str">
        <f>IFERROR(__xludf.DUMMYFUNCTION("""COMPUTED_VALUE"""),"-")</f>
        <v>-</v>
      </c>
      <c r="E327" s="3" t="str">
        <f>IFERROR(__xludf.DUMMYFUNCTION("""COMPUTED_VALUE"""),"PSG")</f>
        <v>PSG</v>
      </c>
      <c r="F327" s="3" t="str">
        <f>IFERROR(__xludf.DUMMYFUNCTION("""COMPUTED_VALUE"""),"General - Teflon Sheet 6 x 1000 x 1000mm; No Brand; -; 1 pc")</f>
        <v>General - Teflon Sheet 6 x 1000 x 1000mm; No Brand; -; 1 pc</v>
      </c>
      <c r="G327" s="3">
        <f>IFERROR(__xludf.DUMMYFUNCTION("""COMPUTED_VALUE"""),1.0)</f>
        <v>1</v>
      </c>
      <c r="H327" s="3" t="str">
        <f>IFERROR(__xludf.DUMMYFUNCTION("""COMPUTED_VALUE"""),"Pieces")</f>
        <v>Pieces</v>
      </c>
      <c r="I327" s="3" t="str">
        <f>IFERROR(__xludf.DUMMYFUNCTION("""COMPUTED_VALUE"""),"Untuk PSG 121703000 2578")</f>
        <v>Untuk PSG 121703000 2578</v>
      </c>
      <c r="J327" s="3" t="str">
        <f>IFERROR(__xludf.DUMMYFUNCTION("""COMPUTED_VALUE"""),"P-19899-00")</f>
        <v>P-19899-00</v>
      </c>
      <c r="K327" s="3" t="str">
        <f>IFERROR(__xludf.DUMMYFUNCTION("""COMPUTED_VALUE"""),"Approve")</f>
        <v>Approve</v>
      </c>
      <c r="L327" s="3" t="str">
        <f>IFERROR(__xludf.DUMMYFUNCTION("""COMPUTED_VALUE"""),"Normal")</f>
        <v>Normal</v>
      </c>
      <c r="M327" s="3" t="str">
        <f>IFERROR(__xludf.DUMMYFUNCTION("""COMPUTED_VALUE"""),"Non Urgent")</f>
        <v>Non Urgent</v>
      </c>
      <c r="N327" s="3">
        <f>IFERROR(__xludf.DUMMYFUNCTION("""COMPUTED_VALUE"""),45865.923471145834)</f>
        <v>45865.92347</v>
      </c>
    </row>
    <row r="328">
      <c r="A328" s="4">
        <f>IFERROR(__xludf.DUMMYFUNCTION("""COMPUTED_VALUE"""),45865.64966880787)</f>
        <v>45865.64967</v>
      </c>
      <c r="B328" s="3" t="str">
        <f>IFERROR(__xludf.DUMMYFUNCTION("""COMPUTED_VALUE"""),"MFHRO0176")</f>
        <v>MFHRO0176</v>
      </c>
      <c r="C328" s="3" t="str">
        <f>IFERROR(__xludf.DUMMYFUNCTION("""COMPUTED_VALUE"""),"MIn Stok")</f>
        <v>MIn Stok</v>
      </c>
      <c r="D328" s="3" t="str">
        <f>IFERROR(__xludf.DUMMYFUNCTION("""COMPUTED_VALUE"""),"-")</f>
        <v>-</v>
      </c>
      <c r="E328" s="3" t="str">
        <f>IFERROR(__xludf.DUMMYFUNCTION("""COMPUTED_VALUE"""),"Washing")</f>
        <v>Washing</v>
      </c>
      <c r="F328" s="3" t="str">
        <f>IFERROR(__xludf.DUMMYFUNCTION("""COMPUTED_VALUE"""),"Washing RAR4 - Needle CA, OD 15 x 168 mm, Mat. SS316; Custom/Lokal; -; 1 Pc")</f>
        <v>Washing RAR4 - Needle CA, OD 15 x 168 mm, Mat. SS316; Custom/Lokal; -; 1 Pc</v>
      </c>
      <c r="G328" s="3">
        <f>IFERROR(__xludf.DUMMYFUNCTION("""COMPUTED_VALUE"""),1.0)</f>
        <v>1</v>
      </c>
      <c r="H328" s="3" t="str">
        <f>IFERROR(__xludf.DUMMYFUNCTION("""COMPUTED_VALUE"""),"Pieces")</f>
        <v>Pieces</v>
      </c>
      <c r="I328" s="3" t="str">
        <f>IFERROR(__xludf.DUMMYFUNCTION("""COMPUTED_VALUE"""),"Untuk Washing 121702998 2576")</f>
        <v>Untuk Washing 121702998 2576</v>
      </c>
      <c r="J328" s="3" t="str">
        <f>IFERROR(__xludf.DUMMYFUNCTION("""COMPUTED_VALUE"""),"O-20857-00")</f>
        <v>O-20857-00</v>
      </c>
      <c r="K328" s="3" t="str">
        <f>IFERROR(__xludf.DUMMYFUNCTION("""COMPUTED_VALUE"""),"Approve")</f>
        <v>Approve</v>
      </c>
      <c r="L328" s="3" t="str">
        <f>IFERROR(__xludf.DUMMYFUNCTION("""COMPUTED_VALUE"""),"Normal")</f>
        <v>Normal</v>
      </c>
      <c r="M328" s="3" t="str">
        <f>IFERROR(__xludf.DUMMYFUNCTION("""COMPUTED_VALUE"""),"Non Urgent")</f>
        <v>Non Urgent</v>
      </c>
      <c r="N328" s="3">
        <f>IFERROR(__xludf.DUMMYFUNCTION("""COMPUTED_VALUE"""),45865.923562337965)</f>
        <v>45865.92356</v>
      </c>
    </row>
    <row r="329">
      <c r="A329" s="4">
        <f>IFERROR(__xludf.DUMMYFUNCTION("""COMPUTED_VALUE"""),45865.64966880787)</f>
        <v>45865.64967</v>
      </c>
      <c r="B329" s="3" t="str">
        <f>IFERROR(__xludf.DUMMYFUNCTION("""COMPUTED_VALUE"""),"MFHRO0177")</f>
        <v>MFHRO0177</v>
      </c>
      <c r="C329" s="3" t="str">
        <f>IFERROR(__xludf.DUMMYFUNCTION("""COMPUTED_VALUE"""),"Consumable")</f>
        <v>Consumable</v>
      </c>
      <c r="D329" s="3" t="str">
        <f>IFERROR(__xludf.DUMMYFUNCTION("""COMPUTED_VALUE"""),"-")</f>
        <v>-</v>
      </c>
      <c r="E329" s="3" t="str">
        <f>IFERROR(__xludf.DUMMYFUNCTION("""COMPUTED_VALUE"""),"General")</f>
        <v>General</v>
      </c>
      <c r="F329" s="3" t="str">
        <f>IFERROR(__xludf.DUMMYFUNCTION("""COMPUTED_VALUE"""),"Trolly - Roda ABUS 4inch (100 x 27mm), Without Brake; No Brand; -; 1 pc")</f>
        <v>Trolly - Roda ABUS 4inch (100 x 27mm), Without Brake; No Brand; -; 1 pc</v>
      </c>
      <c r="G329" s="3">
        <f>IFERROR(__xludf.DUMMYFUNCTION("""COMPUTED_VALUE"""),2.0)</f>
        <v>2</v>
      </c>
      <c r="H329" s="3" t="str">
        <f>IFERROR(__xludf.DUMMYFUNCTION("""COMPUTED_VALUE"""),"Pieces")</f>
        <v>Pieces</v>
      </c>
      <c r="I329" s="3" t="str">
        <f>IFERROR(__xludf.DUMMYFUNCTION("""COMPUTED_VALUE"""),"Consumable 121703015 2579")</f>
        <v>Consumable 121703015 2579</v>
      </c>
      <c r="J329" s="3" t="str">
        <f>IFERROR(__xludf.DUMMYFUNCTION("""COMPUTED_VALUE"""),"P-11356-00")</f>
        <v>P-11356-00</v>
      </c>
      <c r="K329" s="3" t="str">
        <f>IFERROR(__xludf.DUMMYFUNCTION("""COMPUTED_VALUE"""),"Approve")</f>
        <v>Approve</v>
      </c>
      <c r="L329" s="3" t="str">
        <f>IFERROR(__xludf.DUMMYFUNCTION("""COMPUTED_VALUE"""),"Normal")</f>
        <v>Normal</v>
      </c>
      <c r="M329" s="3" t="str">
        <f>IFERROR(__xludf.DUMMYFUNCTION("""COMPUTED_VALUE"""),"Non Urgent")</f>
        <v>Non Urgent</v>
      </c>
      <c r="N329" s="3">
        <f>IFERROR(__xludf.DUMMYFUNCTION("""COMPUTED_VALUE"""),45865.92366785879)</f>
        <v>45865.92367</v>
      </c>
    </row>
    <row r="330">
      <c r="A330" s="4">
        <f>IFERROR(__xludf.DUMMYFUNCTION("""COMPUTED_VALUE"""),45871.05542575232)</f>
        <v>45871.05543</v>
      </c>
      <c r="B330" s="3" t="str">
        <f>IFERROR(__xludf.DUMMYFUNCTION("""COMPUTED_VALUE"""),"SFHRO0013")</f>
        <v>SFHRO0013</v>
      </c>
      <c r="C330" s="3" t="str">
        <f>IFERROR(__xludf.DUMMYFUNCTION("""COMPUTED_VALUE"""),"MIn Stok")</f>
        <v>MIn Stok</v>
      </c>
      <c r="D330" s="3" t="str">
        <f>IFERROR(__xludf.DUMMYFUNCTION("""COMPUTED_VALUE"""),"-")</f>
        <v>-</v>
      </c>
      <c r="E330" s="3" t="str">
        <f>IFERROR(__xludf.DUMMYFUNCTION("""COMPUTED_VALUE"""),"lantai 2")</f>
        <v>lantai 2</v>
      </c>
      <c r="F330" s="3" t="str">
        <f>IFERROR(__xludf.DUMMYFUNCTION("""COMPUTED_VALUE"""),"Aquaproof Abu-Abu @4 Kg; ; ;")</f>
        <v>Aquaproof Abu-Abu @4 Kg; ; ;</v>
      </c>
      <c r="G330" s="3">
        <f>IFERROR(__xludf.DUMMYFUNCTION("""COMPUTED_VALUE"""),5.0)</f>
        <v>5</v>
      </c>
      <c r="H330" s="3" t="str">
        <f>IFERROR(__xludf.DUMMYFUNCTION("""COMPUTED_VALUE"""),"pel")</f>
        <v>pel</v>
      </c>
      <c r="I330" s="3" t="str">
        <f>IFERROR(__xludf.DUMMYFUNCTION("""COMPUTED_VALUE"""),"-")</f>
        <v>-</v>
      </c>
      <c r="J330" s="3" t="str">
        <f>IFERROR(__xludf.DUMMYFUNCTION("""COMPUTED_VALUE"""),"Q-10650-00")</f>
        <v>Q-10650-00</v>
      </c>
      <c r="K330" s="3" t="str">
        <f>IFERROR(__xludf.DUMMYFUNCTION("""COMPUTED_VALUE"""),"Approve")</f>
        <v>Approve</v>
      </c>
      <c r="L330" s="3" t="str">
        <f>IFERROR(__xludf.DUMMYFUNCTION("""COMPUTED_VALUE"""),"Normal")</f>
        <v>Normal</v>
      </c>
      <c r="M330" s="3" t="str">
        <f>IFERROR(__xludf.DUMMYFUNCTION("""COMPUTED_VALUE"""),"Non Urgent")</f>
        <v>Non Urgent</v>
      </c>
      <c r="N330" s="3">
        <f>IFERROR(__xludf.DUMMYFUNCTION("""COMPUTED_VALUE"""),45880.36084346064)</f>
        <v>45880.36084</v>
      </c>
    </row>
    <row r="331">
      <c r="A331" s="4">
        <f>IFERROR(__xludf.DUMMYFUNCTION("""COMPUTED_VALUE"""),45874.80960048611)</f>
        <v>45874.8096</v>
      </c>
      <c r="B331" s="3" t="str">
        <f>IFERROR(__xludf.DUMMYFUNCTION("""COMPUTED_VALUE"""),"NDSRO0005")</f>
        <v>NDSRO0005</v>
      </c>
      <c r="C331" s="3" t="str">
        <f>IFERROR(__xludf.DUMMYFUNCTION("""COMPUTED_VALUE"""),"MIn Stok")</f>
        <v>MIn Stok</v>
      </c>
      <c r="D331" s="3" t="str">
        <f>IFERROR(__xludf.DUMMYFUNCTION("""COMPUTED_VALUE"""),"-")</f>
        <v>-</v>
      </c>
      <c r="E331" s="3" t="str">
        <f>IFERROR(__xludf.DUMMYFUNCTION("""COMPUTED_VALUE"""),"Domino")</f>
        <v>Domino</v>
      </c>
      <c r="F331" s="3" t="str">
        <f>IFERROR(__xludf.DUMMYFUNCTION("""COMPUTED_VALUE"""),"Colamark - Print Head; Domino; EPP001359 SP; 1 Pc")</f>
        <v>Colamark - Print Head; Domino; EPP001359 SP; 1 Pc</v>
      </c>
      <c r="G331" s="3">
        <f>IFERROR(__xludf.DUMMYFUNCTION("""COMPUTED_VALUE"""),1.0)</f>
        <v>1</v>
      </c>
      <c r="H331" s="3" t="str">
        <f>IFERROR(__xludf.DUMMYFUNCTION("""COMPUTED_VALUE"""),"Pcs")</f>
        <v>Pcs</v>
      </c>
      <c r="I331" s="3" t="str">
        <f>IFERROR(__xludf.DUMMYFUNCTION("""COMPUTED_VALUE"""),"-")</f>
        <v>-</v>
      </c>
      <c r="J331" s="3" t="str">
        <f>IFERROR(__xludf.DUMMYFUNCTION("""COMPUTED_VALUE"""),"O-51000-00")</f>
        <v>O-51000-00</v>
      </c>
      <c r="K331" s="3" t="str">
        <f>IFERROR(__xludf.DUMMYFUNCTION("""COMPUTED_VALUE"""),"Approve")</f>
        <v>Approve</v>
      </c>
      <c r="L331" s="3" t="str">
        <f>IFERROR(__xludf.DUMMYFUNCTION("""COMPUTED_VALUE"""),"Normal")</f>
        <v>Normal</v>
      </c>
      <c r="M331" s="3" t="str">
        <f>IFERROR(__xludf.DUMMYFUNCTION("""COMPUTED_VALUE"""),"Non Urgent")</f>
        <v>Non Urgent</v>
      </c>
      <c r="N331" s="3">
        <f>IFERROR(__xludf.DUMMYFUNCTION("""COMPUTED_VALUE"""),45895.12643768519)</f>
        <v>45895.12644</v>
      </c>
    </row>
    <row r="332">
      <c r="A332" s="4">
        <f>IFERROR(__xludf.DUMMYFUNCTION("""COMPUTED_VALUE"""),45876.36047811343)</f>
        <v>45876.36048</v>
      </c>
      <c r="B332" s="3" t="str">
        <f>IFERROR(__xludf.DUMMYFUNCTION("""COMPUTED_VALUE"""),"MRNRO0029")</f>
        <v>MRNRO0029</v>
      </c>
      <c r="C332" s="3" t="str">
        <f>IFERROR(__xludf.DUMMYFUNCTION("""COMPUTED_VALUE"""),"EJO")</f>
        <v>EJO</v>
      </c>
      <c r="D332" s="3" t="str">
        <f>IFERROR(__xludf.DUMMYFUNCTION("""COMPUTED_VALUE"""),"EJO/2025/07/42")</f>
        <v>EJO/2025/07/42</v>
      </c>
      <c r="E332" s="3" t="str">
        <f>IFERROR(__xludf.DUMMYFUNCTION("""COMPUTED_VALUE"""),"Ruang GC lab")</f>
        <v>Ruang GC lab</v>
      </c>
      <c r="F332" s="3" t="str">
        <f>IFERROR(__xludf.DUMMYFUNCTION("""COMPUTED_VALUE"""),"OMRON - TIMER H3CR- A8 220 VAC; ; ;")</f>
        <v>OMRON - TIMER H3CR- A8 220 VAC; ; ;</v>
      </c>
      <c r="G332" s="3">
        <f>IFERROR(__xludf.DUMMYFUNCTION("""COMPUTED_VALUE"""),1.0)</f>
        <v>1</v>
      </c>
      <c r="H332" s="3" t="str">
        <f>IFERROR(__xludf.DUMMYFUNCTION("""COMPUTED_VALUE"""),"pcs")</f>
        <v>pcs</v>
      </c>
      <c r="I332" s="3" t="str">
        <f>IFERROR(__xludf.DUMMYFUNCTION("""COMPUTED_VALUE"""),"Beli sama socketnya")</f>
        <v>Beli sama socketnya</v>
      </c>
      <c r="J332" s="3" t="str">
        <f>IFERROR(__xludf.DUMMYFUNCTION("""COMPUTED_VALUE"""),"P-52501-00")</f>
        <v>P-52501-00</v>
      </c>
      <c r="K332" s="3" t="str">
        <f>IFERROR(__xludf.DUMMYFUNCTION("""COMPUTED_VALUE"""),"Approve")</f>
        <v>Approve</v>
      </c>
      <c r="L332" s="3" t="str">
        <f>IFERROR(__xludf.DUMMYFUNCTION("""COMPUTED_VALUE"""),"Normal")</f>
        <v>Normal</v>
      </c>
      <c r="M332" s="3" t="str">
        <f>IFERROR(__xludf.DUMMYFUNCTION("""COMPUTED_VALUE"""),"Non Urgent")</f>
        <v>Non Urgent</v>
      </c>
      <c r="N332" s="3">
        <f>IFERROR(__xludf.DUMMYFUNCTION("""COMPUTED_VALUE"""),45880.36402435185)</f>
        <v>45880.36402</v>
      </c>
    </row>
    <row r="333">
      <c r="A333" s="4">
        <f>IFERROR(__xludf.DUMMYFUNCTION("""COMPUTED_VALUE"""),45876.36128729167)</f>
        <v>45876.36129</v>
      </c>
      <c r="B333" s="3" t="str">
        <f>IFERROR(__xludf.DUMMYFUNCTION("""COMPUTED_VALUE"""),"MRNRO0030")</f>
        <v>MRNRO0030</v>
      </c>
      <c r="C333" s="3" t="str">
        <f>IFERROR(__xludf.DUMMYFUNCTION("""COMPUTED_VALUE"""),"EJO")</f>
        <v>EJO</v>
      </c>
      <c r="D333" s="3" t="str">
        <f>IFERROR(__xludf.DUMMYFUNCTION("""COMPUTED_VALUE"""),"EJO/2025/07/42")</f>
        <v>EJO/2025/07/42</v>
      </c>
      <c r="E333" s="3" t="str">
        <f>IFERROR(__xludf.DUMMYFUNCTION("""COMPUTED_VALUE"""),"Ruang GC lab")</f>
        <v>Ruang GC lab</v>
      </c>
      <c r="F333" s="3" t="str">
        <f>IFERROR(__xludf.DUMMYFUNCTION("""COMPUTED_VALUE"""),"Selector Switch 22mm On-Off XPB22-22A Fort; ; ;")</f>
        <v>Selector Switch 22mm On-Off XPB22-22A Fort; ; ;</v>
      </c>
      <c r="G333" s="3">
        <f>IFERROR(__xludf.DUMMYFUNCTION("""COMPUTED_VALUE"""),1.0)</f>
        <v>1</v>
      </c>
      <c r="H333" s="3" t="str">
        <f>IFERROR(__xludf.DUMMYFUNCTION("""COMPUTED_VALUE"""),"pcs")</f>
        <v>pcs</v>
      </c>
      <c r="I333" s="3" t="str">
        <f>IFERROR(__xludf.DUMMYFUNCTION("""COMPUTED_VALUE"""),"Buat modifikasi gas N2 dan HE")</f>
        <v>Buat modifikasi gas N2 dan HE</v>
      </c>
      <c r="J333" s="3" t="str">
        <f>IFERROR(__xludf.DUMMYFUNCTION("""COMPUTED_VALUE"""),"O-51307-00")</f>
        <v>O-51307-00</v>
      </c>
      <c r="K333" s="3" t="str">
        <f>IFERROR(__xludf.DUMMYFUNCTION("""COMPUTED_VALUE"""),"Approve")</f>
        <v>Approve</v>
      </c>
      <c r="L333" s="3" t="str">
        <f>IFERROR(__xludf.DUMMYFUNCTION("""COMPUTED_VALUE"""),"Normal")</f>
        <v>Normal</v>
      </c>
      <c r="M333" s="3" t="str">
        <f>IFERROR(__xludf.DUMMYFUNCTION("""COMPUTED_VALUE"""),"Non Urgent")</f>
        <v>Non Urgent</v>
      </c>
      <c r="N333" s="3">
        <f>IFERROR(__xludf.DUMMYFUNCTION("""COMPUTED_VALUE"""),45880.362379872684)</f>
        <v>45880.36238</v>
      </c>
    </row>
    <row r="334">
      <c r="A334" s="4">
        <f>IFERROR(__xludf.DUMMYFUNCTION("""COMPUTED_VALUE"""),45880.72706641204)</f>
        <v>45880.72707</v>
      </c>
      <c r="B334" s="3" t="str">
        <f>IFERROR(__xludf.DUMMYFUNCTION("""COMPUTED_VALUE"""),"MOBRO0056")</f>
        <v>MOBRO0056</v>
      </c>
      <c r="C334" s="3" t="str">
        <f>IFERROR(__xludf.DUMMYFUNCTION("""COMPUTED_VALUE"""),"MIn Stok")</f>
        <v>MIn Stok</v>
      </c>
      <c r="D334" s="3" t="str">
        <f>IFERROR(__xludf.DUMMYFUNCTION("""COMPUTED_VALUE"""),"-")</f>
        <v>-</v>
      </c>
      <c r="E334" s="3" t="str">
        <f>IFERROR(__xludf.DUMMYFUNCTION("""COMPUTED_VALUE"""),"Support Part")</f>
        <v>Support Part</v>
      </c>
      <c r="F334" s="3" t="str">
        <f>IFERROR(__xludf.DUMMYFUNCTION("""COMPUTED_VALUE"""),"Container Box; Claris; ;")</f>
        <v>Container Box; Claris; ;</v>
      </c>
      <c r="G334" s="3">
        <f>IFERROR(__xludf.DUMMYFUNCTION("""COMPUTED_VALUE"""),5.0)</f>
        <v>5</v>
      </c>
      <c r="H334" s="3" t="str">
        <f>IFERROR(__xludf.DUMMYFUNCTION("""COMPUTED_VALUE"""),"Pcs")</f>
        <v>Pcs</v>
      </c>
      <c r="I334" s="3" t="str">
        <f>IFERROR(__xludf.DUMMYFUNCTION("""COMPUTED_VALUE"""),"Perapihan ruang Filter")</f>
        <v>Perapihan ruang Filter</v>
      </c>
      <c r="J334" s="3" t="str">
        <f>IFERROR(__xludf.DUMMYFUNCTION("""COMPUTED_VALUE"""),"S-40586-00")</f>
        <v>S-40586-00</v>
      </c>
      <c r="K334" s="3" t="str">
        <f>IFERROR(__xludf.DUMMYFUNCTION("""COMPUTED_VALUE"""),"Approve")</f>
        <v>Approve</v>
      </c>
      <c r="L334" s="3" t="str">
        <f>IFERROR(__xludf.DUMMYFUNCTION("""COMPUTED_VALUE"""),"Normal")</f>
        <v>Normal</v>
      </c>
      <c r="M334" s="3" t="str">
        <f>IFERROR(__xludf.DUMMYFUNCTION("""COMPUTED_VALUE"""),"Non Urgent")</f>
        <v>Non Urgent</v>
      </c>
      <c r="N334" s="3">
        <f>IFERROR(__xludf.DUMMYFUNCTION("""COMPUTED_VALUE"""),45887.40840944444)</f>
        <v>45887.40841</v>
      </c>
    </row>
    <row r="335">
      <c r="A335" s="4">
        <f>IFERROR(__xludf.DUMMYFUNCTION("""COMPUTED_VALUE"""),45883.96953244213)</f>
        <v>45883.96953</v>
      </c>
      <c r="B335" s="3" t="str">
        <f>IFERROR(__xludf.DUMMYFUNCTION("""COMPUTED_VALUE"""),"RIARO0048")</f>
        <v>RIARO0048</v>
      </c>
      <c r="C335" s="3" t="str">
        <f>IFERROR(__xludf.DUMMYFUNCTION("""COMPUTED_VALUE"""),"Consumable")</f>
        <v>Consumable</v>
      </c>
      <c r="D335" s="3" t="str">
        <f>IFERROR(__xludf.DUMMYFUNCTION("""COMPUTED_VALUE"""),"-")</f>
        <v>-</v>
      </c>
      <c r="E335" s="3" t="str">
        <f>IFERROR(__xludf.DUMMYFUNCTION("""COMPUTED_VALUE"""),"EF C1-21")</f>
        <v>EF C1-21</v>
      </c>
      <c r="F335" s="3" t="str">
        <f>IFERROR(__xludf.DUMMYFUNCTION("""COMPUTED_VALUE"""),"SPA 1120 Brand : Optibelt / Bando Merah; Optibelt; ;")</f>
        <v>SPA 1120 Brand : Optibelt / Bando Merah; Optibelt; ;</v>
      </c>
      <c r="G335" s="3">
        <f>IFERROR(__xludf.DUMMYFUNCTION("""COMPUTED_VALUE"""),5.0)</f>
        <v>5</v>
      </c>
      <c r="H335" s="3" t="str">
        <f>IFERROR(__xludf.DUMMYFUNCTION("""COMPUTED_VALUE"""),"Pcs")</f>
        <v>Pcs</v>
      </c>
      <c r="I335" s="3" t="str">
        <f>IFERROR(__xludf.DUMMYFUNCTION("""COMPUTED_VALUE"""),"Buat EF C1-21 spare ga ada")</f>
        <v>Buat EF C1-21 spare ga ada</v>
      </c>
      <c r="J335" s="3" t="str">
        <f>IFERROR(__xludf.DUMMYFUNCTION("""COMPUTED_VALUE"""),"O-15489-00")</f>
        <v>O-15489-00</v>
      </c>
      <c r="K335" s="3" t="str">
        <f>IFERROR(__xludf.DUMMYFUNCTION("""COMPUTED_VALUE"""),"Approve")</f>
        <v>Approve</v>
      </c>
      <c r="L335" s="3" t="str">
        <f>IFERROR(__xludf.DUMMYFUNCTION("""COMPUTED_VALUE"""),"Normal")</f>
        <v>Normal</v>
      </c>
      <c r="M335" s="3" t="str">
        <f>IFERROR(__xludf.DUMMYFUNCTION("""COMPUTED_VALUE"""),"Non Urgent")</f>
        <v>Non Urgent</v>
      </c>
      <c r="N335" s="3">
        <f>IFERROR(__xludf.DUMMYFUNCTION("""COMPUTED_VALUE"""),45887.408651412035)</f>
        <v>45887.40865</v>
      </c>
    </row>
    <row r="336">
      <c r="A336" s="4">
        <f>IFERROR(__xludf.DUMMYFUNCTION("""COMPUTED_VALUE"""),45883.970259560185)</f>
        <v>45883.97026</v>
      </c>
      <c r="B336" s="3" t="str">
        <f>IFERROR(__xludf.DUMMYFUNCTION("""COMPUTED_VALUE"""),"RIARO0049")</f>
        <v>RIARO0049</v>
      </c>
      <c r="C336" s="3" t="str">
        <f>IFERROR(__xludf.DUMMYFUNCTION("""COMPUTED_VALUE"""),"MIn Stok")</f>
        <v>MIn Stok</v>
      </c>
      <c r="D336" s="3" t="str">
        <f>IFERROR(__xludf.DUMMYFUNCTION("""COMPUTED_VALUE"""),"-")</f>
        <v>-</v>
      </c>
      <c r="E336" s="3" t="str">
        <f>IFERROR(__xludf.DUMMYFUNCTION("""COMPUTED_VALUE"""),"UPS 40KVA")</f>
        <v>UPS 40KVA</v>
      </c>
      <c r="F336" s="3" t="str">
        <f>IFERROR(__xludf.DUMMYFUNCTION("""COMPUTED_VALUE"""),"General - Accu 6FM40, Baterai Kering, 12 V, 40 Ah; Vision; -; 1 pcs")</f>
        <v>General - Accu 6FM40, Baterai Kering, 12 V, 40 Ah; Vision; -; 1 pcs</v>
      </c>
      <c r="G336" s="3">
        <f>IFERROR(__xludf.DUMMYFUNCTION("""COMPUTED_VALUE"""),20.0)</f>
        <v>20</v>
      </c>
      <c r="H336" s="3" t="str">
        <f>IFERROR(__xludf.DUMMYFUNCTION("""COMPUTED_VALUE"""),"Pcs")</f>
        <v>Pcs</v>
      </c>
      <c r="I336" s="3" t="str">
        <f>IFERROR(__xludf.DUMMYFUNCTION("""COMPUTED_VALUE"""),"Untuk spare jika terjadi apa2 dan untuk jaga2 buat PM tahun depan. Boleh diproses dari sekarang biar tidak mendadak.")</f>
        <v>Untuk spare jika terjadi apa2 dan untuk jaga2 buat PM tahun depan. Boleh diproses dari sekarang biar tidak mendadak.</v>
      </c>
      <c r="J336" s="3" t="str">
        <f>IFERROR(__xludf.DUMMYFUNCTION("""COMPUTED_VALUE"""),"P-52119-00")</f>
        <v>P-52119-00</v>
      </c>
      <c r="K336" s="3" t="str">
        <f>IFERROR(__xludf.DUMMYFUNCTION("""COMPUTED_VALUE"""),"Approve")</f>
        <v>Approve</v>
      </c>
      <c r="L336" s="3" t="str">
        <f>IFERROR(__xludf.DUMMYFUNCTION("""COMPUTED_VALUE"""),"Normal")</f>
        <v>Normal</v>
      </c>
      <c r="M336" s="3" t="str">
        <f>IFERROR(__xludf.DUMMYFUNCTION("""COMPUTED_VALUE"""),"Non Urgent")</f>
        <v>Non Urgent</v>
      </c>
      <c r="N336" s="3">
        <f>IFERROR(__xludf.DUMMYFUNCTION("""COMPUTED_VALUE"""),45887.41637209491)</f>
        <v>45887.41637</v>
      </c>
    </row>
    <row r="337">
      <c r="A337" s="4">
        <f>IFERROR(__xludf.DUMMYFUNCTION("""COMPUTED_VALUE"""),45888.92774290509)</f>
        <v>45888.92774</v>
      </c>
      <c r="B337" s="3" t="str">
        <f>IFERROR(__xludf.DUMMYFUNCTION("""COMPUTED_VALUE"""),"MOBRO0057")</f>
        <v>MOBRO0057</v>
      </c>
      <c r="C337" s="3" t="str">
        <f>IFERROR(__xludf.DUMMYFUNCTION("""COMPUTED_VALUE"""),"EJO")</f>
        <v>EJO</v>
      </c>
      <c r="D337" s="3" t="str">
        <f>IFERROR(__xludf.DUMMYFUNCTION("""COMPUTED_VALUE"""),"EJO/2025/07/59")</f>
        <v>EJO/2025/07/59</v>
      </c>
      <c r="E337" s="3" t="str">
        <f>IFERROR(__xludf.DUMMYFUNCTION("""COMPUTED_VALUE"""),"FD")</f>
        <v>FD</v>
      </c>
      <c r="F337" s="3" t="str">
        <f>IFERROR(__xludf.DUMMYFUNCTION("""COMPUTED_VALUE"""),"Sparepart Maintenance Kit SRV66 Size 1-2 Inch (0,8 - 2,5 barg); Spirax Sarco; 6404141UA-1;")</f>
        <v>Sparepart Maintenance Kit SRV66 Size 1-2 Inch (0,8 - 2,5 barg); Spirax Sarco; 6404141UA-1;</v>
      </c>
      <c r="G337" s="3">
        <f>IFERROR(__xludf.DUMMYFUNCTION("""COMPUTED_VALUE"""),2.0)</f>
        <v>2</v>
      </c>
      <c r="H337" s="3" t="str">
        <f>IFERROR(__xludf.DUMMYFUNCTION("""COMPUTED_VALUE"""),"Pcs")</f>
        <v>Pcs</v>
      </c>
      <c r="I337" s="3" t="str">
        <f>IFERROR(__xludf.DUMMYFUNCTION("""COMPUTED_VALUE"""),"Bocor")</f>
        <v>Bocor</v>
      </c>
      <c r="J337" s="3" t="str">
        <f>IFERROR(__xludf.DUMMYFUNCTION("""COMPUTED_VALUE"""),"P-18965-00")</f>
        <v>P-18965-00</v>
      </c>
      <c r="K337" s="3" t="str">
        <f>IFERROR(__xludf.DUMMYFUNCTION("""COMPUTED_VALUE"""),"Approve")</f>
        <v>Approve</v>
      </c>
      <c r="L337" s="3" t="str">
        <f>IFERROR(__xludf.DUMMYFUNCTION("""COMPUTED_VALUE"""),"Normal")</f>
        <v>Normal</v>
      </c>
      <c r="M337" s="3" t="str">
        <f>IFERROR(__xludf.DUMMYFUNCTION("""COMPUTED_VALUE"""),"Non Urgent")</f>
        <v>Non Urgent</v>
      </c>
      <c r="N337" s="3">
        <f>IFERROR(__xludf.DUMMYFUNCTION("""COMPUTED_VALUE"""),45890.956928750005)</f>
        <v>45890.95693</v>
      </c>
    </row>
    <row r="338">
      <c r="A338" s="4">
        <f>IFERROR(__xludf.DUMMYFUNCTION("""COMPUTED_VALUE"""),45889.52683224537)</f>
        <v>45889.52683</v>
      </c>
      <c r="B338" s="3" t="str">
        <f>IFERROR(__xludf.DUMMYFUNCTION("""COMPUTED_VALUE"""),"RIARO0050")</f>
        <v>RIARO0050</v>
      </c>
      <c r="C338" s="3" t="str">
        <f>IFERROR(__xludf.DUMMYFUNCTION("""COMPUTED_VALUE"""),"MIn Stok")</f>
        <v>MIn Stok</v>
      </c>
      <c r="D338" s="3" t="str">
        <f>IFERROR(__xludf.DUMMYFUNCTION("""COMPUTED_VALUE"""),"-")</f>
        <v>-</v>
      </c>
      <c r="E338" s="3" t="str">
        <f>IFERROR(__xludf.DUMMYFUNCTION("""COMPUTED_VALUE"""),"UPS 20KVA")</f>
        <v>UPS 20KVA</v>
      </c>
      <c r="F338" s="3" t="str">
        <f>IFERROR(__xludf.DUMMYFUNCTION("""COMPUTED_VALUE"""),"General - Accu NP9-12, Baterai Kering, 12 V, 9 Ah; Yuasa; -; 1 pcs")</f>
        <v>General - Accu NP9-12, Baterai Kering, 12 V, 9 Ah; Yuasa; -; 1 pcs</v>
      </c>
      <c r="G338" s="3">
        <f>IFERROR(__xludf.DUMMYFUNCTION("""COMPUTED_VALUE"""),32.0)</f>
        <v>32</v>
      </c>
      <c r="H338" s="3" t="str">
        <f>IFERROR(__xludf.DUMMYFUNCTION("""COMPUTED_VALUE"""),"Pcs")</f>
        <v>Pcs</v>
      </c>
      <c r="I338" s="3" t="str">
        <f>IFERROR(__xludf.DUMMYFUNCTION("""COMPUTED_VALUE"""),"Untuk spare jika terjadi apa2 dan untuk jaga2 buat PM tahun depan. Boleh diproses dari sekarang biar tidak mendadak.")</f>
        <v>Untuk spare jika terjadi apa2 dan untuk jaga2 buat PM tahun depan. Boleh diproses dari sekarang biar tidak mendadak.</v>
      </c>
      <c r="J338" s="3" t="str">
        <f>IFERROR(__xludf.DUMMYFUNCTION("""COMPUTED_VALUE"""),"P-50140-00")</f>
        <v>P-50140-00</v>
      </c>
      <c r="K338" s="3" t="str">
        <f>IFERROR(__xludf.DUMMYFUNCTION("""COMPUTED_VALUE"""),"Approve")</f>
        <v>Approve</v>
      </c>
      <c r="L338" s="3" t="str">
        <f>IFERROR(__xludf.DUMMYFUNCTION("""COMPUTED_VALUE"""),"Normal")</f>
        <v>Normal</v>
      </c>
      <c r="M338" s="3" t="str">
        <f>IFERROR(__xludf.DUMMYFUNCTION("""COMPUTED_VALUE"""),"Non Urgent")</f>
        <v>Non Urgent</v>
      </c>
      <c r="N338" s="3">
        <f>IFERROR(__xludf.DUMMYFUNCTION("""COMPUTED_VALUE"""),45890.960550625)</f>
        <v>45890.96055</v>
      </c>
    </row>
    <row r="339">
      <c r="A339" s="4">
        <f>IFERROR(__xludf.DUMMYFUNCTION("""COMPUTED_VALUE"""),45890.59899346065)</f>
        <v>45890.59899</v>
      </c>
      <c r="B339" s="3" t="str">
        <f>IFERROR(__xludf.DUMMYFUNCTION("""COMPUTED_VALUE"""),"MRNRO0031")</f>
        <v>MRNRO0031</v>
      </c>
      <c r="C339" s="3" t="str">
        <f>IFERROR(__xludf.DUMMYFUNCTION("""COMPUTED_VALUE"""),"EJO")</f>
        <v>EJO</v>
      </c>
      <c r="D339" s="3" t="str">
        <f>IFERROR(__xludf.DUMMYFUNCTION("""COMPUTED_VALUE"""),"EJO/2025/01/13")</f>
        <v>EJO/2025/01/13</v>
      </c>
      <c r="E339" s="3" t="str">
        <f>IFERROR(__xludf.DUMMYFUNCTION("""COMPUTED_VALUE"""),"Pipa chiller")</f>
        <v>Pipa chiller</v>
      </c>
      <c r="F339" s="3" t="str">
        <f>IFERROR(__xludf.DUMMYFUNCTION("""COMPUTED_VALUE"""),"LEM, K-FLEX, 1 CAN : 2.6LTR")</f>
        <v>LEM, K-FLEX, 1 CAN : 2.6LTR</v>
      </c>
      <c r="G339" s="3">
        <f>IFERROR(__xludf.DUMMYFUNCTION("""COMPUTED_VALUE"""),2.0)</f>
        <v>2</v>
      </c>
      <c r="H339" s="3" t="str">
        <f>IFERROR(__xludf.DUMMYFUNCTION("""COMPUTED_VALUE"""),"pcs")</f>
        <v>pcs</v>
      </c>
      <c r="I339" s="3" t="str">
        <f>IFERROR(__xludf.DUMMYFUNCTION("""COMPUTED_VALUE"""),"Buat ducting dan pipa chiller")</f>
        <v>Buat ducting dan pipa chiller</v>
      </c>
      <c r="J339" s="3" t="str">
        <f>IFERROR(__xludf.DUMMYFUNCTION("""COMPUTED_VALUE"""),"P-15860-00")</f>
        <v>P-15860-00</v>
      </c>
      <c r="K339" s="3" t="str">
        <f>IFERROR(__xludf.DUMMYFUNCTION("""COMPUTED_VALUE"""),"Approve")</f>
        <v>Approve</v>
      </c>
      <c r="L339" s="3" t="str">
        <f>IFERROR(__xludf.DUMMYFUNCTION("""COMPUTED_VALUE"""),"Normal")</f>
        <v>Normal</v>
      </c>
      <c r="M339" s="3" t="str">
        <f>IFERROR(__xludf.DUMMYFUNCTION("""COMPUTED_VALUE"""),"Non Urgent")</f>
        <v>Non Urgent</v>
      </c>
      <c r="N339" s="3">
        <f>IFERROR(__xludf.DUMMYFUNCTION("""COMPUTED_VALUE"""),45890.963271898145)</f>
        <v>45890.96327</v>
      </c>
    </row>
    <row r="340">
      <c r="A340" s="4">
        <f>IFERROR(__xludf.DUMMYFUNCTION("""COMPUTED_VALUE"""),45890.60302190972)</f>
        <v>45890.60302</v>
      </c>
      <c r="B340" s="3" t="str">
        <f>IFERROR(__xludf.DUMMYFUNCTION("""COMPUTED_VALUE"""),"MRNRO0032")</f>
        <v>MRNRO0032</v>
      </c>
      <c r="C340" s="3" t="str">
        <f>IFERROR(__xludf.DUMMYFUNCTION("""COMPUTED_VALUE"""),"EJO")</f>
        <v>EJO</v>
      </c>
      <c r="D340" s="3" t="str">
        <f>IFERROR(__xludf.DUMMYFUNCTION("""COMPUTED_VALUE"""),"EJO/2025/01/13")</f>
        <v>EJO/2025/01/13</v>
      </c>
      <c r="E340" s="3" t="str">
        <f>IFERROR(__xludf.DUMMYFUNCTION("""COMPUTED_VALUE"""),"Pipa chiller")</f>
        <v>Pipa chiller</v>
      </c>
      <c r="F340" s="3" t="str">
        <f>IFERROR(__xludf.DUMMYFUNCTION("""COMPUTED_VALUE"""),"LEM ISOLASI, ARMAFLEX, 1 CAN")</f>
        <v>LEM ISOLASI, ARMAFLEX, 1 CAN</v>
      </c>
      <c r="G340" s="3">
        <f>IFERROR(__xludf.DUMMYFUNCTION("""COMPUTED_VALUE"""),2.0)</f>
        <v>2</v>
      </c>
      <c r="H340" s="3" t="str">
        <f>IFERROR(__xludf.DUMMYFUNCTION("""COMPUTED_VALUE"""),"pcs")</f>
        <v>pcs</v>
      </c>
      <c r="I340" s="3" t="str">
        <f>IFERROR(__xludf.DUMMYFUNCTION("""COMPUTED_VALUE"""),"Buat ducting dan pipa chiller")</f>
        <v>Buat ducting dan pipa chiller</v>
      </c>
      <c r="J340" s="3" t="str">
        <f>IFERROR(__xludf.DUMMYFUNCTION("""COMPUTED_VALUE"""),"P-15858-00")</f>
        <v>P-15858-00</v>
      </c>
      <c r="K340" s="3" t="str">
        <f>IFERROR(__xludf.DUMMYFUNCTION("""COMPUTED_VALUE"""),"Approve")</f>
        <v>Approve</v>
      </c>
      <c r="L340" s="3" t="str">
        <f>IFERROR(__xludf.DUMMYFUNCTION("""COMPUTED_VALUE"""),"Normal")</f>
        <v>Normal</v>
      </c>
      <c r="M340" s="3" t="str">
        <f>IFERROR(__xludf.DUMMYFUNCTION("""COMPUTED_VALUE"""),"Non Urgent")</f>
        <v>Non Urgent</v>
      </c>
      <c r="N340" s="3">
        <f>IFERROR(__xludf.DUMMYFUNCTION("""COMPUTED_VALUE"""),45890.963934178246)</f>
        <v>45890.96393</v>
      </c>
    </row>
    <row r="341">
      <c r="A341" s="4">
        <f>IFERROR(__xludf.DUMMYFUNCTION("""COMPUTED_VALUE"""),45894.66047828704)</f>
        <v>45894.66048</v>
      </c>
      <c r="B341" s="3" t="str">
        <f>IFERROR(__xludf.DUMMYFUNCTION("""COMPUTED_VALUE"""),"SFHRO0014")</f>
        <v>SFHRO0014</v>
      </c>
      <c r="C341" s="3" t="str">
        <f>IFERROR(__xludf.DUMMYFUNCTION("""COMPUTED_VALUE"""),"EJO")</f>
        <v>EJO</v>
      </c>
      <c r="D341" s="3" t="str">
        <f>IFERROR(__xludf.DUMMYFUNCTION("""COMPUTED_VALUE"""),"EJO/2025/08/42")</f>
        <v>EJO/2025/08/42</v>
      </c>
      <c r="E341" s="3" t="str">
        <f>IFERROR(__xludf.DUMMYFUNCTION("""COMPUTED_VALUE"""),"lantai 1")</f>
        <v>lantai 1</v>
      </c>
      <c r="F341" s="3" t="str">
        <f>IFERROR(__xludf.DUMMYFUNCTION("""COMPUTED_VALUE"""),"Kaca Cermin; Lokal; Ukuran custom; pack size per pcs")</f>
        <v>Kaca Cermin; Lokal; Ukuran custom; pack size per pcs</v>
      </c>
      <c r="G341" s="3">
        <f>IFERROR(__xludf.DUMMYFUNCTION("""COMPUTED_VALUE"""),2.0)</f>
        <v>2</v>
      </c>
      <c r="H341" s="3" t="str">
        <f>IFERROR(__xludf.DUMMYFUNCTION("""COMPUTED_VALUE"""),"pcs")</f>
        <v>pcs</v>
      </c>
      <c r="I341" s="3" t="str">
        <f>IFERROR(__xludf.DUMMYFUNCTION("""COMPUTED_VALUE"""),"-")</f>
        <v>-</v>
      </c>
      <c r="J341" s="3" t="str">
        <f>IFERROR(__xludf.DUMMYFUNCTION("""COMPUTED_VALUE"""),"Q-10528-00")</f>
        <v>Q-10528-00</v>
      </c>
      <c r="K341" s="3" t="str">
        <f>IFERROR(__xludf.DUMMYFUNCTION("""COMPUTED_VALUE"""),"Approve")</f>
        <v>Approve</v>
      </c>
      <c r="L341" s="3" t="str">
        <f>IFERROR(__xludf.DUMMYFUNCTION("""COMPUTED_VALUE"""),"Normal")</f>
        <v>Normal</v>
      </c>
      <c r="M341" s="3" t="str">
        <f>IFERROR(__xludf.DUMMYFUNCTION("""COMPUTED_VALUE"""),"Non Urgent")</f>
        <v>Non Urgent</v>
      </c>
      <c r="N341" s="3">
        <f>IFERROR(__xludf.DUMMYFUNCTION("""COMPUTED_VALUE"""),45895.61407887732)</f>
        <v>45895.61408</v>
      </c>
    </row>
    <row r="342">
      <c r="A342" s="4">
        <f>IFERROR(__xludf.DUMMYFUNCTION("""COMPUTED_VALUE"""),45896.67039060185)</f>
        <v>45896.67039</v>
      </c>
      <c r="B342" s="3" t="str">
        <f>IFERROR(__xludf.DUMMYFUNCTION("""COMPUTED_VALUE"""),"SFHRO0016")</f>
        <v>SFHRO0016</v>
      </c>
      <c r="C342" s="3" t="str">
        <f>IFERROR(__xludf.DUMMYFUNCTION("""COMPUTED_VALUE"""),"Consumable")</f>
        <v>Consumable</v>
      </c>
      <c r="D342" s="3" t="str">
        <f>IFERROR(__xludf.DUMMYFUNCTION("""COMPUTED_VALUE"""),"-")</f>
        <v>-</v>
      </c>
      <c r="E342" s="3" t="str">
        <f>IFERROR(__xludf.DUMMYFUNCTION("""COMPUTED_VALUE"""),"lantai 2")</f>
        <v>lantai 2</v>
      </c>
      <c r="F342" s="3" t="str">
        <f>IFERROR(__xludf.DUMMYFUNCTION("""COMPUTED_VALUE"""),"Polyurethane (PU) Foam Sealent Spray; No Brand; LX-100; pack size 750 ml per botol")</f>
        <v>Polyurethane (PU) Foam Sealent Spray; No Brand; LX-100; pack size 750 ml per botol</v>
      </c>
      <c r="G342" s="3">
        <f>IFERROR(__xludf.DUMMYFUNCTION("""COMPUTED_VALUE"""),50.0)</f>
        <v>50</v>
      </c>
      <c r="H342" s="3" t="str">
        <f>IFERROR(__xludf.DUMMYFUNCTION("""COMPUTED_VALUE"""),"pcs")</f>
        <v>pcs</v>
      </c>
      <c r="I342" s="3" t="str">
        <f>IFERROR(__xludf.DUMMYFUNCTION("""COMPUTED_VALUE"""),"-")</f>
        <v>-</v>
      </c>
      <c r="J342" s="3" t="str">
        <f>IFERROR(__xludf.DUMMYFUNCTION("""COMPUTED_VALUE"""),"Q-12060-00")</f>
        <v>Q-12060-00</v>
      </c>
      <c r="K342" s="3" t="str">
        <f>IFERROR(__xludf.DUMMYFUNCTION("""COMPUTED_VALUE"""),"Approve")</f>
        <v>Approve</v>
      </c>
      <c r="L342" s="3" t="str">
        <f>IFERROR(__xludf.DUMMYFUNCTION("""COMPUTED_VALUE"""),"Normal")</f>
        <v>Normal</v>
      </c>
      <c r="M342" s="3" t="str">
        <f>IFERROR(__xludf.DUMMYFUNCTION("""COMPUTED_VALUE"""),"Non Urgent")</f>
        <v>Non Urgent</v>
      </c>
      <c r="N342" s="3">
        <f>IFERROR(__xludf.DUMMYFUNCTION("""COMPUTED_VALUE"""),45901.85455986111)</f>
        <v>45901.85456</v>
      </c>
    </row>
    <row r="343">
      <c r="A343" s="4">
        <f>IFERROR(__xludf.DUMMYFUNCTION("""COMPUTED_VALUE"""),45898.39283141204)</f>
        <v>45898.39283</v>
      </c>
      <c r="B343" s="3" t="str">
        <f>IFERROR(__xludf.DUMMYFUNCTION("""COMPUTED_VALUE"""),"MOBRO0060")</f>
        <v>MOBRO0060</v>
      </c>
      <c r="C343" s="3" t="str">
        <f>IFERROR(__xludf.DUMMYFUNCTION("""COMPUTED_VALUE"""),"Consumable")</f>
        <v>Consumable</v>
      </c>
      <c r="D343" s="3" t="str">
        <f>IFERROR(__xludf.DUMMYFUNCTION("""COMPUTED_VALUE"""),"-")</f>
        <v>-</v>
      </c>
      <c r="E343" s="3" t="str">
        <f>IFERROR(__xludf.DUMMYFUNCTION("""COMPUTED_VALUE"""),"Water System")</f>
        <v>Water System</v>
      </c>
      <c r="F343" s="3" t="str">
        <f>IFERROR(__xludf.DUMMYFUNCTION("""COMPUTED_VALUE"""),"PAPER RECORD YOKOGAWA; FOLDING CHART B9565AW")</f>
        <v>PAPER RECORD YOKOGAWA; FOLDING CHART B9565AW</v>
      </c>
      <c r="G343" s="3">
        <f>IFERROR(__xludf.DUMMYFUNCTION("""COMPUTED_VALUE"""),10.0)</f>
        <v>10</v>
      </c>
      <c r="H343" s="3" t="str">
        <f>IFERROR(__xludf.DUMMYFUNCTION("""COMPUTED_VALUE"""),"Pcs")</f>
        <v>Pcs</v>
      </c>
      <c r="I343" s="3" t="str">
        <f>IFERROR(__xludf.DUMMYFUNCTION("""COMPUTED_VALUE"""),"Habis")</f>
        <v>Habis</v>
      </c>
      <c r="J343" s="3" t="str">
        <f>IFERROR(__xludf.DUMMYFUNCTION("""COMPUTED_VALUE"""),"P-15862-00")</f>
        <v>P-15862-00</v>
      </c>
      <c r="K343" s="3" t="str">
        <f>IFERROR(__xludf.DUMMYFUNCTION("""COMPUTED_VALUE"""),"Approve")</f>
        <v>Approve</v>
      </c>
      <c r="L343" s="3" t="str">
        <f>IFERROR(__xludf.DUMMYFUNCTION("""COMPUTED_VALUE"""),"Normal")</f>
        <v>Normal</v>
      </c>
      <c r="M343" s="3" t="str">
        <f>IFERROR(__xludf.DUMMYFUNCTION("""COMPUTED_VALUE"""),"Non Urgent")</f>
        <v>Non Urgent</v>
      </c>
      <c r="N343" s="3">
        <f>IFERROR(__xludf.DUMMYFUNCTION("""COMPUTED_VALUE"""),45901.85920730324)</f>
        <v>45901.85921</v>
      </c>
    </row>
    <row r="344">
      <c r="A344" s="4">
        <f>IFERROR(__xludf.DUMMYFUNCTION("""COMPUTED_VALUE"""),45901.50169790509)</f>
        <v>45901.5017</v>
      </c>
      <c r="B344" s="3" t="str">
        <f>IFERROR(__xludf.DUMMYFUNCTION("""COMPUTED_VALUE"""),"SFHRO0017")</f>
        <v>SFHRO0017</v>
      </c>
      <c r="C344" s="3" t="str">
        <f>IFERROR(__xludf.DUMMYFUNCTION("""COMPUTED_VALUE"""),"Consumable")</f>
        <v>Consumable</v>
      </c>
      <c r="D344" s="3" t="str">
        <f>IFERROR(__xludf.DUMMYFUNCTION("""COMPUTED_VALUE"""),"-")</f>
        <v>-</v>
      </c>
      <c r="E344" s="3" t="str">
        <f>IFERROR(__xludf.DUMMYFUNCTION("""COMPUTED_VALUE"""),"lantai 2")</f>
        <v>lantai 2</v>
      </c>
      <c r="F344" s="3" t="str">
        <f>IFERROR(__xludf.DUMMYFUNCTION("""COMPUTED_VALUE"""),"Silicone Sealant;Silglaze;Type N10 Light Grey;pack size per pcs")</f>
        <v>Silicone Sealant;Silglaze;Type N10 Light Grey;pack size per pcs</v>
      </c>
      <c r="G344" s="3">
        <f>IFERROR(__xludf.DUMMYFUNCTION("""COMPUTED_VALUE"""),10.0)</f>
        <v>10</v>
      </c>
      <c r="H344" s="3" t="str">
        <f>IFERROR(__xludf.DUMMYFUNCTION("""COMPUTED_VALUE"""),"pcs")</f>
        <v>pcs</v>
      </c>
      <c r="I344" s="3" t="str">
        <f>IFERROR(__xludf.DUMMYFUNCTION("""COMPUTED_VALUE"""),"-")</f>
        <v>-</v>
      </c>
      <c r="J344" s="3" t="str">
        <f>IFERROR(__xludf.DUMMYFUNCTION("""COMPUTED_VALUE"""),"Q-10946-00")</f>
        <v>Q-10946-00</v>
      </c>
      <c r="K344" s="3" t="str">
        <f>IFERROR(__xludf.DUMMYFUNCTION("""COMPUTED_VALUE"""),"Approve")</f>
        <v>Approve</v>
      </c>
      <c r="L344" s="3" t="str">
        <f>IFERROR(__xludf.DUMMYFUNCTION("""COMPUTED_VALUE"""),"Normal")</f>
        <v>Normal</v>
      </c>
      <c r="M344" s="3" t="str">
        <f>IFERROR(__xludf.DUMMYFUNCTION("""COMPUTED_VALUE"""),"Non Urgent")</f>
        <v>Non Urgent</v>
      </c>
      <c r="N344" s="3">
        <f>IFERROR(__xludf.DUMMYFUNCTION("""COMPUTED_VALUE"""),45901.85939091435)</f>
        <v>45901.85939</v>
      </c>
    </row>
    <row r="345">
      <c r="A345" s="4">
        <f>IFERROR(__xludf.DUMMYFUNCTION("""COMPUTED_VALUE"""),45901.50193063657)</f>
        <v>45901.50193</v>
      </c>
      <c r="B345" s="3" t="str">
        <f>IFERROR(__xludf.DUMMYFUNCTION("""COMPUTED_VALUE"""),"SFHRO0018")</f>
        <v>SFHRO0018</v>
      </c>
      <c r="C345" s="3" t="str">
        <f>IFERROR(__xludf.DUMMYFUNCTION("""COMPUTED_VALUE"""),"Consumable")</f>
        <v>Consumable</v>
      </c>
      <c r="D345" s="3" t="str">
        <f>IFERROR(__xludf.DUMMYFUNCTION("""COMPUTED_VALUE"""),"-")</f>
        <v>-</v>
      </c>
      <c r="E345" s="3" t="str">
        <f>IFERROR(__xludf.DUMMYFUNCTION("""COMPUTED_VALUE"""),"lantai 2")</f>
        <v>lantai 2</v>
      </c>
      <c r="F345" s="3" t="str">
        <f>IFERROR(__xludf.DUMMYFUNCTION("""COMPUTED_VALUE"""),"Silicone Sealant, Silglaze, Type N10 Grey, pack size per pcs")</f>
        <v>Silicone Sealant, Silglaze, Type N10 Grey, pack size per pcs</v>
      </c>
      <c r="G345" s="3">
        <f>IFERROR(__xludf.DUMMYFUNCTION("""COMPUTED_VALUE"""),10.0)</f>
        <v>10</v>
      </c>
      <c r="H345" s="3" t="str">
        <f>IFERROR(__xludf.DUMMYFUNCTION("""COMPUTED_VALUE"""),"pcs")</f>
        <v>pcs</v>
      </c>
      <c r="I345" s="3" t="str">
        <f>IFERROR(__xludf.DUMMYFUNCTION("""COMPUTED_VALUE"""),"-")</f>
        <v>-</v>
      </c>
      <c r="J345" s="3" t="str">
        <f>IFERROR(__xludf.DUMMYFUNCTION("""COMPUTED_VALUE"""),"Q-60500-00")</f>
        <v>Q-60500-00</v>
      </c>
      <c r="K345" s="3" t="str">
        <f>IFERROR(__xludf.DUMMYFUNCTION("""COMPUTED_VALUE"""),"Approve")</f>
        <v>Approve</v>
      </c>
      <c r="L345" s="3" t="str">
        <f>IFERROR(__xludf.DUMMYFUNCTION("""COMPUTED_VALUE"""),"Normal")</f>
        <v>Normal</v>
      </c>
      <c r="M345" s="3" t="str">
        <f>IFERROR(__xludf.DUMMYFUNCTION("""COMPUTED_VALUE"""),"Non Urgent")</f>
        <v>Non Urgent</v>
      </c>
      <c r="N345" s="3">
        <f>IFERROR(__xludf.DUMMYFUNCTION("""COMPUTED_VALUE"""),45901.859574988426)</f>
        <v>45901.85957</v>
      </c>
    </row>
    <row r="346">
      <c r="A346" s="4">
        <f>IFERROR(__xludf.DUMMYFUNCTION("""COMPUTED_VALUE"""),45901.50270204861)</f>
        <v>45901.5027</v>
      </c>
      <c r="B346" s="3" t="str">
        <f>IFERROR(__xludf.DUMMYFUNCTION("""COMPUTED_VALUE"""),"SFHRO0019")</f>
        <v>SFHRO0019</v>
      </c>
      <c r="C346" s="3" t="str">
        <f>IFERROR(__xludf.DUMMYFUNCTION("""COMPUTED_VALUE"""),"Consumable")</f>
        <v>Consumable</v>
      </c>
      <c r="D346" s="3" t="str">
        <f>IFERROR(__xludf.DUMMYFUNCTION("""COMPUTED_VALUE"""),"-")</f>
        <v>-</v>
      </c>
      <c r="E346" s="3" t="str">
        <f>IFERROR(__xludf.DUMMYFUNCTION("""COMPUTED_VALUE"""),"lantai 2")</f>
        <v>lantai 2</v>
      </c>
      <c r="F346" s="3" t="str">
        <f>IFERROR(__xludf.DUMMYFUNCTION("""COMPUTED_VALUE"""),"Kuas Cat Uk. 1 inch;Eterna;Tipe 611;pack size per pcs")</f>
        <v>Kuas Cat Uk. 1 inch;Eterna;Tipe 611;pack size per pcs</v>
      </c>
      <c r="G346" s="3">
        <f>IFERROR(__xludf.DUMMYFUNCTION("""COMPUTED_VALUE"""),10.0)</f>
        <v>10</v>
      </c>
      <c r="H346" s="3" t="str">
        <f>IFERROR(__xludf.DUMMYFUNCTION("""COMPUTED_VALUE"""),"pcs")</f>
        <v>pcs</v>
      </c>
      <c r="I346" s="3" t="str">
        <f>IFERROR(__xludf.DUMMYFUNCTION("""COMPUTED_VALUE"""),"-")</f>
        <v>-</v>
      </c>
      <c r="J346" s="3" t="str">
        <f>IFERROR(__xludf.DUMMYFUNCTION("""COMPUTED_VALUE"""),"Q-60025-00")</f>
        <v>Q-60025-00</v>
      </c>
      <c r="K346" s="3" t="str">
        <f>IFERROR(__xludf.DUMMYFUNCTION("""COMPUTED_VALUE"""),"Approve")</f>
        <v>Approve</v>
      </c>
      <c r="L346" s="3" t="str">
        <f>IFERROR(__xludf.DUMMYFUNCTION("""COMPUTED_VALUE"""),"Normal")</f>
        <v>Normal</v>
      </c>
      <c r="M346" s="3" t="str">
        <f>IFERROR(__xludf.DUMMYFUNCTION("""COMPUTED_VALUE"""),"Non Urgent")</f>
        <v>Non Urgent</v>
      </c>
      <c r="N346" s="3">
        <f>IFERROR(__xludf.DUMMYFUNCTION("""COMPUTED_VALUE"""),45901.859724953705)</f>
        <v>45901.85972</v>
      </c>
    </row>
    <row r="347">
      <c r="A347" s="4">
        <f>IFERROR(__xludf.DUMMYFUNCTION("""COMPUTED_VALUE"""),45903.62681039352)</f>
        <v>45903.62681</v>
      </c>
      <c r="B347" s="3" t="str">
        <f>IFERROR(__xludf.DUMMYFUNCTION("""COMPUTED_VALUE"""),"NDSRO0007")</f>
        <v>NDSRO0007</v>
      </c>
      <c r="C347" s="3" t="str">
        <f>IFERROR(__xludf.DUMMYFUNCTION("""COMPUTED_VALUE"""),"MIn Stok")</f>
        <v>MIn Stok</v>
      </c>
      <c r="D347" s="3" t="str">
        <f>IFERROR(__xludf.DUMMYFUNCTION("""COMPUTED_VALUE"""),"-")</f>
        <v>-</v>
      </c>
      <c r="E347" s="3" t="str">
        <f>IFERROR(__xludf.DUMMYFUNCTION("""COMPUTED_VALUE"""),"HPLC")</f>
        <v>HPLC</v>
      </c>
      <c r="F347" s="3" t="str">
        <f>IFERROR(__xludf.DUMMYFUNCTION("""COMPUTED_VALUE"""),"Performance Plus Check Valve Housing; Waters; 700002332;")</f>
        <v>Performance Plus Check Valve Housing; Waters; 700002332;</v>
      </c>
      <c r="G347" s="3">
        <f>IFERROR(__xludf.DUMMYFUNCTION("""COMPUTED_VALUE"""),3.0)</f>
        <v>3</v>
      </c>
      <c r="H347" s="3" t="str">
        <f>IFERROR(__xludf.DUMMYFUNCTION("""COMPUTED_VALUE"""),"PCS")</f>
        <v>PCS</v>
      </c>
      <c r="I347" s="3" t="str">
        <f>IFERROR(__xludf.DUMMYFUNCTION("""COMPUTED_VALUE"""),"-")</f>
        <v>-</v>
      </c>
      <c r="J347" s="3" t="str">
        <f>IFERROR(__xludf.DUMMYFUNCTION("""COMPUTED_VALUE"""),"T-20725-00")</f>
        <v>T-20725-00</v>
      </c>
      <c r="K347" s="3" t="str">
        <f>IFERROR(__xludf.DUMMYFUNCTION("""COMPUTED_VALUE"""),"Approve")</f>
        <v>Approve</v>
      </c>
      <c r="L347" s="3" t="str">
        <f>IFERROR(__xludf.DUMMYFUNCTION("""COMPUTED_VALUE"""),"Normal")</f>
        <v>Normal</v>
      </c>
      <c r="M347" s="3" t="str">
        <f>IFERROR(__xludf.DUMMYFUNCTION("""COMPUTED_VALUE"""),"Non Urgent")</f>
        <v>Non Urgent</v>
      </c>
      <c r="N347" s="3">
        <f>IFERROR(__xludf.DUMMYFUNCTION("""COMPUTED_VALUE"""),45930.2400319213)</f>
        <v>45930.24003</v>
      </c>
    </row>
    <row r="348">
      <c r="A348" s="4">
        <f>IFERROR(__xludf.DUMMYFUNCTION("""COMPUTED_VALUE"""),45910.79408479167)</f>
        <v>45910.79408</v>
      </c>
      <c r="B348" s="3" t="str">
        <f>IFERROR(__xludf.DUMMYFUNCTION("""COMPUTED_VALUE"""),"SFHRO0020")</f>
        <v>SFHRO0020</v>
      </c>
      <c r="C348" s="3" t="str">
        <f>IFERROR(__xludf.DUMMYFUNCTION("""COMPUTED_VALUE"""),"Consumable")</f>
        <v>Consumable</v>
      </c>
      <c r="D348" s="3" t="str">
        <f>IFERROR(__xludf.DUMMYFUNCTION("""COMPUTED_VALUE"""),"-")</f>
        <v>-</v>
      </c>
      <c r="E348" s="3" t="str">
        <f>IFERROR(__xludf.DUMMYFUNCTION("""COMPUTED_VALUE"""),"lantai 2")</f>
        <v>lantai 2</v>
      </c>
      <c r="F348" s="3" t="str">
        <f>IFERROR(__xludf.DUMMYFUNCTION("""COMPUTED_VALUE"""),"Sodium metabisulfit")</f>
        <v>Sodium metabisulfit</v>
      </c>
      <c r="G348" s="3">
        <f>IFERROR(__xludf.DUMMYFUNCTION("""COMPUTED_VALUE"""),5.0)</f>
        <v>5</v>
      </c>
      <c r="H348" s="3" t="str">
        <f>IFERROR(__xludf.DUMMYFUNCTION("""COMPUTED_VALUE"""),"sak")</f>
        <v>sak</v>
      </c>
      <c r="I348" s="3" t="str">
        <f>IFERROR(__xludf.DUMMYFUNCTION("""COMPUTED_VALUE"""),"stock habis")</f>
        <v>stock habis</v>
      </c>
      <c r="J348" s="3" t="str">
        <f>IFERROR(__xludf.DUMMYFUNCTION("""COMPUTED_VALUE"""),"P-12830-00")</f>
        <v>P-12830-00</v>
      </c>
      <c r="K348" s="3" t="str">
        <f>IFERROR(__xludf.DUMMYFUNCTION("""COMPUTED_VALUE"""),"Approve")</f>
        <v>Approve</v>
      </c>
      <c r="L348" s="3" t="str">
        <f>IFERROR(__xludf.DUMMYFUNCTION("""COMPUTED_VALUE"""),"Normal")</f>
        <v>Normal</v>
      </c>
      <c r="M348" s="3" t="str">
        <f>IFERROR(__xludf.DUMMYFUNCTION("""COMPUTED_VALUE"""),"Non Urgent")</f>
        <v>Non Urgent</v>
      </c>
      <c r="N348" s="3">
        <f>IFERROR(__xludf.DUMMYFUNCTION("""COMPUTED_VALUE"""),45912.41568825232)</f>
        <v>45912.41569</v>
      </c>
    </row>
    <row r="349">
      <c r="A349" s="4">
        <f>IFERROR(__xludf.DUMMYFUNCTION("""COMPUTED_VALUE"""),45910.92617467592)</f>
        <v>45910.92617</v>
      </c>
      <c r="B349" s="3" t="str">
        <f>IFERROR(__xludf.DUMMYFUNCTION("""COMPUTED_VALUE"""),"MFHRO0178")</f>
        <v>MFHRO0178</v>
      </c>
      <c r="C349" s="3" t="str">
        <f>IFERROR(__xludf.DUMMYFUNCTION("""COMPUTED_VALUE"""),"Consumable")</f>
        <v>Consumable</v>
      </c>
      <c r="D349" s="3" t="str">
        <f>IFERROR(__xludf.DUMMYFUNCTION("""COMPUTED_VALUE"""),"-")</f>
        <v>-</v>
      </c>
      <c r="E349" s="3" t="str">
        <f>IFERROR(__xludf.DUMMYFUNCTION("""COMPUTED_VALUE"""),"General")</f>
        <v>General</v>
      </c>
      <c r="F349" s="3" t="str">
        <f>IFERROR(__xludf.DUMMYFUNCTION("""COMPUTED_VALUE"""),"Cellotape / Lakban Kertas 1 inch warna Putih ; No Brand ; pack size per pcs")</f>
        <v>Cellotape / Lakban Kertas 1 inch warna Putih ; No Brand ; pack size per pcs</v>
      </c>
      <c r="G349" s="3">
        <f>IFERROR(__xludf.DUMMYFUNCTION("""COMPUTED_VALUE"""),40.0)</f>
        <v>40</v>
      </c>
      <c r="H349" s="3" t="str">
        <f>IFERROR(__xludf.DUMMYFUNCTION("""COMPUTED_VALUE"""),"Pieces")</f>
        <v>Pieces</v>
      </c>
      <c r="I349" s="3" t="str">
        <f>IFERROR(__xludf.DUMMYFUNCTION("""COMPUTED_VALUE"""),"Consumable 121702671 2229")</f>
        <v>Consumable 121702671 2229</v>
      </c>
      <c r="J349" s="3" t="str">
        <f>IFERROR(__xludf.DUMMYFUNCTION("""COMPUTED_VALUE"""),"T-80109-00")</f>
        <v>T-80109-00</v>
      </c>
      <c r="K349" s="3" t="str">
        <f>IFERROR(__xludf.DUMMYFUNCTION("""COMPUTED_VALUE"""),"Approve")</f>
        <v>Approve</v>
      </c>
      <c r="L349" s="3" t="str">
        <f>IFERROR(__xludf.DUMMYFUNCTION("""COMPUTED_VALUE"""),"Normal")</f>
        <v>Normal</v>
      </c>
      <c r="M349" s="3" t="str">
        <f>IFERROR(__xludf.DUMMYFUNCTION("""COMPUTED_VALUE"""),"Non Urgent")</f>
        <v>Non Urgent</v>
      </c>
      <c r="N349" s="3">
        <f>IFERROR(__xludf.DUMMYFUNCTION("""COMPUTED_VALUE"""),45911.888544155096)</f>
        <v>45911.88854</v>
      </c>
    </row>
    <row r="350">
      <c r="A350" s="4">
        <f>IFERROR(__xludf.DUMMYFUNCTION("""COMPUTED_VALUE"""),45910.93840724537)</f>
        <v>45910.93841</v>
      </c>
      <c r="B350" s="3" t="str">
        <f>IFERROR(__xludf.DUMMYFUNCTION("""COMPUTED_VALUE"""),"MFHRO0179")</f>
        <v>MFHRO0179</v>
      </c>
      <c r="C350" s="3" t="str">
        <f>IFERROR(__xludf.DUMMYFUNCTION("""COMPUTED_VALUE"""),"MIn Stok")</f>
        <v>MIn Stok</v>
      </c>
      <c r="D350" s="3" t="str">
        <f>IFERROR(__xludf.DUMMYFUNCTION("""COMPUTED_VALUE"""),"-")</f>
        <v>-</v>
      </c>
      <c r="E350" s="3" t="str">
        <f>IFERROR(__xludf.DUMMYFUNCTION("""COMPUTED_VALUE"""),"Capping")</f>
        <v>Capping</v>
      </c>
      <c r="F350" s="3" t="str">
        <f>IFERROR(__xludf.DUMMYFUNCTION("""COMPUTED_VALUE"""),"Capping VCM200 - Adjuster Screw Blade; ; ;")</f>
        <v>Capping VCM200 - Adjuster Screw Blade; ; ;</v>
      </c>
      <c r="G350" s="3">
        <f>IFERROR(__xludf.DUMMYFUNCTION("""COMPUTED_VALUE"""),1.0)</f>
        <v>1</v>
      </c>
      <c r="H350" s="3" t="str">
        <f>IFERROR(__xludf.DUMMYFUNCTION("""COMPUTED_VALUE"""),"Pieces")</f>
        <v>Pieces</v>
      </c>
      <c r="I350" s="3" t="str">
        <f>IFERROR(__xludf.DUMMYFUNCTION("""COMPUTED_VALUE"""),"Min Stok Capping 121703059 2597")</f>
        <v>Min Stok Capping 121703059 2597</v>
      </c>
      <c r="J350" s="3" t="str">
        <f>IFERROR(__xludf.DUMMYFUNCTION("""COMPUTED_VALUE"""),"O-18962-00")</f>
        <v>O-18962-00</v>
      </c>
      <c r="K350" s="3" t="str">
        <f>IFERROR(__xludf.DUMMYFUNCTION("""COMPUTED_VALUE"""),"Approve")</f>
        <v>Approve</v>
      </c>
      <c r="L350" s="3" t="str">
        <f>IFERROR(__xludf.DUMMYFUNCTION("""COMPUTED_VALUE"""),"Normal")</f>
        <v>Normal</v>
      </c>
      <c r="M350" s="3" t="str">
        <f>IFERROR(__xludf.DUMMYFUNCTION("""COMPUTED_VALUE"""),"Non Urgent")</f>
        <v>Non Urgent</v>
      </c>
      <c r="N350" s="3">
        <f>IFERROR(__xludf.DUMMYFUNCTION("""COMPUTED_VALUE"""),45911.888740625)</f>
        <v>45911.88874</v>
      </c>
    </row>
    <row r="351">
      <c r="A351" s="4">
        <f>IFERROR(__xludf.DUMMYFUNCTION("""COMPUTED_VALUE"""),45910.93840724537)</f>
        <v>45910.93841</v>
      </c>
      <c r="B351" s="3" t="str">
        <f>IFERROR(__xludf.DUMMYFUNCTION("""COMPUTED_VALUE"""),"MFHRO0180")</f>
        <v>MFHRO0180</v>
      </c>
      <c r="C351" s="3" t="str">
        <f>IFERROR(__xludf.DUMMYFUNCTION("""COMPUTED_VALUE"""),"MIn Stok")</f>
        <v>MIn Stok</v>
      </c>
      <c r="D351" s="3" t="str">
        <f>IFERROR(__xludf.DUMMYFUNCTION("""COMPUTED_VALUE"""),"-")</f>
        <v>-</v>
      </c>
      <c r="E351" s="3" t="str">
        <f>IFERROR(__xludf.DUMMYFUNCTION("""COMPUTED_VALUE"""),"Capping")</f>
        <v>Capping</v>
      </c>
      <c r="F351" s="3" t="str">
        <f>IFERROR(__xludf.DUMMYFUNCTION("""COMPUTED_VALUE"""),"Capping VCM200 - Clamp Holder; ; ;")</f>
        <v>Capping VCM200 - Clamp Holder; ; ;</v>
      </c>
      <c r="G351" s="3">
        <f>IFERROR(__xludf.DUMMYFUNCTION("""COMPUTED_VALUE"""),1.0)</f>
        <v>1</v>
      </c>
      <c r="H351" s="3" t="str">
        <f>IFERROR(__xludf.DUMMYFUNCTION("""COMPUTED_VALUE"""),"Pieces")</f>
        <v>Pieces</v>
      </c>
      <c r="I351" s="3" t="str">
        <f>IFERROR(__xludf.DUMMYFUNCTION("""COMPUTED_VALUE"""),"Min Stok Capping 121703059 2598")</f>
        <v>Min Stok Capping 121703059 2598</v>
      </c>
      <c r="J351" s="3" t="str">
        <f>IFERROR(__xludf.DUMMYFUNCTION("""COMPUTED_VALUE"""),"O-18963-00")</f>
        <v>O-18963-00</v>
      </c>
      <c r="K351" s="3" t="str">
        <f>IFERROR(__xludf.DUMMYFUNCTION("""COMPUTED_VALUE"""),"Approve")</f>
        <v>Approve</v>
      </c>
      <c r="L351" s="3" t="str">
        <f>IFERROR(__xludf.DUMMYFUNCTION("""COMPUTED_VALUE"""),"Normal")</f>
        <v>Normal</v>
      </c>
      <c r="M351" s="3" t="str">
        <f>IFERROR(__xludf.DUMMYFUNCTION("""COMPUTED_VALUE"""),"Non Urgent")</f>
        <v>Non Urgent</v>
      </c>
      <c r="N351" s="3">
        <f>IFERROR(__xludf.DUMMYFUNCTION("""COMPUTED_VALUE"""),45911.88887222222)</f>
        <v>45911.88887</v>
      </c>
    </row>
    <row r="352">
      <c r="A352" s="4">
        <f>IFERROR(__xludf.DUMMYFUNCTION("""COMPUTED_VALUE"""),45910.93841335648)</f>
        <v>45910.93841</v>
      </c>
      <c r="B352" s="3" t="str">
        <f>IFERROR(__xludf.DUMMYFUNCTION("""COMPUTED_VALUE"""),"MFHRO0181")</f>
        <v>MFHRO0181</v>
      </c>
      <c r="C352" s="3" t="str">
        <f>IFERROR(__xludf.DUMMYFUNCTION("""COMPUTED_VALUE"""),"MIn Stok")</f>
        <v>MIn Stok</v>
      </c>
      <c r="D352" s="3" t="str">
        <f>IFERROR(__xludf.DUMMYFUNCTION("""COMPUTED_VALUE"""),"-")</f>
        <v>-</v>
      </c>
      <c r="E352" s="3" t="str">
        <f>IFERROR(__xludf.DUMMYFUNCTION("""COMPUTED_VALUE"""),"Capping")</f>
        <v>Capping</v>
      </c>
      <c r="F352" s="3" t="str">
        <f>IFERROR(__xludf.DUMMYFUNCTION("""COMPUTED_VALUE"""),"Capping VCM200 - Holder; ; ;")</f>
        <v>Capping VCM200 - Holder; ; ;</v>
      </c>
      <c r="G352" s="3">
        <f>IFERROR(__xludf.DUMMYFUNCTION("""COMPUTED_VALUE"""),1.0)</f>
        <v>1</v>
      </c>
      <c r="H352" s="3" t="str">
        <f>IFERROR(__xludf.DUMMYFUNCTION("""COMPUTED_VALUE"""),"Pieces")</f>
        <v>Pieces</v>
      </c>
      <c r="I352" s="3" t="str">
        <f>IFERROR(__xludf.DUMMYFUNCTION("""COMPUTED_VALUE"""),"Min Stok Capping 121703059 2599")</f>
        <v>Min Stok Capping 121703059 2599</v>
      </c>
      <c r="J352" s="3" t="str">
        <f>IFERROR(__xludf.DUMMYFUNCTION("""COMPUTED_VALUE"""),"O-18964-00")</f>
        <v>O-18964-00</v>
      </c>
      <c r="K352" s="3" t="str">
        <f>IFERROR(__xludf.DUMMYFUNCTION("""COMPUTED_VALUE"""),"Approve")</f>
        <v>Approve</v>
      </c>
      <c r="L352" s="3" t="str">
        <f>IFERROR(__xludf.DUMMYFUNCTION("""COMPUTED_VALUE"""),"Normal")</f>
        <v>Normal</v>
      </c>
      <c r="M352" s="3" t="str">
        <f>IFERROR(__xludf.DUMMYFUNCTION("""COMPUTED_VALUE"""),"Non Urgent")</f>
        <v>Non Urgent</v>
      </c>
      <c r="N352" s="3">
        <f>IFERROR(__xludf.DUMMYFUNCTION("""COMPUTED_VALUE"""),45911.889003923614)</f>
        <v>45911.889</v>
      </c>
    </row>
    <row r="353">
      <c r="A353" s="4">
        <f>IFERROR(__xludf.DUMMYFUNCTION("""COMPUTED_VALUE"""),45910.93841335648)</f>
        <v>45910.93841</v>
      </c>
      <c r="B353" s="3" t="str">
        <f>IFERROR(__xludf.DUMMYFUNCTION("""COMPUTED_VALUE"""),"MFHRO0182")</f>
        <v>MFHRO0182</v>
      </c>
      <c r="C353" s="3" t="str">
        <f>IFERROR(__xludf.DUMMYFUNCTION("""COMPUTED_VALUE"""),"MIn Stok")</f>
        <v>MIn Stok</v>
      </c>
      <c r="D353" s="3" t="str">
        <f>IFERROR(__xludf.DUMMYFUNCTION("""COMPUTED_VALUE"""),"-")</f>
        <v>-</v>
      </c>
      <c r="E353" s="3" t="str">
        <f>IFERROR(__xludf.DUMMYFUNCTION("""COMPUTED_VALUE"""),"Capping")</f>
        <v>Capping</v>
      </c>
      <c r="F353" s="3" t="str">
        <f>IFERROR(__xludf.DUMMYFUNCTION("""COMPUTED_VALUE"""),"Capping VCM200 - Spring Head; ; ;")</f>
        <v>Capping VCM200 - Spring Head; ; ;</v>
      </c>
      <c r="G353" s="3">
        <f>IFERROR(__xludf.DUMMYFUNCTION("""COMPUTED_VALUE"""),1.0)</f>
        <v>1</v>
      </c>
      <c r="H353" s="3" t="str">
        <f>IFERROR(__xludf.DUMMYFUNCTION("""COMPUTED_VALUE"""),"Pieces")</f>
        <v>Pieces</v>
      </c>
      <c r="I353" s="3" t="str">
        <f>IFERROR(__xludf.DUMMYFUNCTION("""COMPUTED_VALUE"""),"Min Stok Capping 121703059 2600")</f>
        <v>Min Stok Capping 121703059 2600</v>
      </c>
      <c r="J353" s="3" t="str">
        <f>IFERROR(__xludf.DUMMYFUNCTION("""COMPUTED_VALUE"""),"O-18965-00")</f>
        <v>O-18965-00</v>
      </c>
      <c r="K353" s="3" t="str">
        <f>IFERROR(__xludf.DUMMYFUNCTION("""COMPUTED_VALUE"""),"Approve")</f>
        <v>Approve</v>
      </c>
      <c r="L353" s="3" t="str">
        <f>IFERROR(__xludf.DUMMYFUNCTION("""COMPUTED_VALUE"""),"Normal")</f>
        <v>Normal</v>
      </c>
      <c r="M353" s="3" t="str">
        <f>IFERROR(__xludf.DUMMYFUNCTION("""COMPUTED_VALUE"""),"Non Urgent")</f>
        <v>Non Urgent</v>
      </c>
      <c r="N353" s="3">
        <f>IFERROR(__xludf.DUMMYFUNCTION("""COMPUTED_VALUE"""),45911.88912290509)</f>
        <v>45911.88912</v>
      </c>
    </row>
    <row r="354">
      <c r="A354" s="4">
        <f>IFERROR(__xludf.DUMMYFUNCTION("""COMPUTED_VALUE"""),45910.93842200232)</f>
        <v>45910.93842</v>
      </c>
      <c r="B354" s="3" t="str">
        <f>IFERROR(__xludf.DUMMYFUNCTION("""COMPUTED_VALUE"""),"MFHRO0183")</f>
        <v>MFHRO0183</v>
      </c>
      <c r="C354" s="3" t="str">
        <f>IFERROR(__xludf.DUMMYFUNCTION("""COMPUTED_VALUE"""),"MIn Stok")</f>
        <v>MIn Stok</v>
      </c>
      <c r="D354" s="3" t="str">
        <f>IFERROR(__xludf.DUMMYFUNCTION("""COMPUTED_VALUE"""),"-")</f>
        <v>-</v>
      </c>
      <c r="E354" s="3" t="str">
        <f>IFERROR(__xludf.DUMMYFUNCTION("""COMPUTED_VALUE"""),"Capping")</f>
        <v>Capping</v>
      </c>
      <c r="F354" s="3" t="str">
        <f>IFERROR(__xludf.DUMMYFUNCTION("""COMPUTED_VALUE"""),"Capping VCM200 -  Ring Washer; ; ;")</f>
        <v>Capping VCM200 -  Ring Washer; ; ;</v>
      </c>
      <c r="G354" s="3">
        <f>IFERROR(__xludf.DUMMYFUNCTION("""COMPUTED_VALUE"""),1.0)</f>
        <v>1</v>
      </c>
      <c r="H354" s="3" t="str">
        <f>IFERROR(__xludf.DUMMYFUNCTION("""COMPUTED_VALUE"""),"Pieces")</f>
        <v>Pieces</v>
      </c>
      <c r="I354" s="3" t="str">
        <f>IFERROR(__xludf.DUMMYFUNCTION("""COMPUTED_VALUE"""),"Min Stok Capping 121703059 2601")</f>
        <v>Min Stok Capping 121703059 2601</v>
      </c>
      <c r="J354" s="3" t="str">
        <f>IFERROR(__xludf.DUMMYFUNCTION("""COMPUTED_VALUE"""),"O-18966-00")</f>
        <v>O-18966-00</v>
      </c>
      <c r="K354" s="3" t="str">
        <f>IFERROR(__xludf.DUMMYFUNCTION("""COMPUTED_VALUE"""),"Approve")</f>
        <v>Approve</v>
      </c>
      <c r="L354" s="3" t="str">
        <f>IFERROR(__xludf.DUMMYFUNCTION("""COMPUTED_VALUE"""),"Normal")</f>
        <v>Normal</v>
      </c>
      <c r="M354" s="3" t="str">
        <f>IFERROR(__xludf.DUMMYFUNCTION("""COMPUTED_VALUE"""),"Non Urgent")</f>
        <v>Non Urgent</v>
      </c>
      <c r="N354" s="3">
        <f>IFERROR(__xludf.DUMMYFUNCTION("""COMPUTED_VALUE"""),45911.88924421296)</f>
        <v>45911.88924</v>
      </c>
    </row>
    <row r="355">
      <c r="A355" s="4">
        <f>IFERROR(__xludf.DUMMYFUNCTION("""COMPUTED_VALUE"""),45910.93842200232)</f>
        <v>45910.93842</v>
      </c>
      <c r="B355" s="3" t="str">
        <f>IFERROR(__xludf.DUMMYFUNCTION("""COMPUTED_VALUE"""),"MFHRO0184")</f>
        <v>MFHRO0184</v>
      </c>
      <c r="C355" s="3" t="str">
        <f>IFERROR(__xludf.DUMMYFUNCTION("""COMPUTED_VALUE"""),"MIn Stok")</f>
        <v>MIn Stok</v>
      </c>
      <c r="D355" s="3" t="str">
        <f>IFERROR(__xludf.DUMMYFUNCTION("""COMPUTED_VALUE"""),"-")</f>
        <v>-</v>
      </c>
      <c r="E355" s="3" t="str">
        <f>IFERROR(__xludf.DUMMYFUNCTION("""COMPUTED_VALUE"""),"Capping")</f>
        <v>Capping</v>
      </c>
      <c r="F355" s="3" t="str">
        <f>IFERROR(__xludf.DUMMYFUNCTION("""COMPUTED_VALUE"""),"Capping VCM200 - Washer B; ; ;")</f>
        <v>Capping VCM200 - Washer B; ; ;</v>
      </c>
      <c r="G355" s="3">
        <f>IFERROR(__xludf.DUMMYFUNCTION("""COMPUTED_VALUE"""),1.0)</f>
        <v>1</v>
      </c>
      <c r="H355" s="3" t="str">
        <f>IFERROR(__xludf.DUMMYFUNCTION("""COMPUTED_VALUE"""),"Pieces")</f>
        <v>Pieces</v>
      </c>
      <c r="I355" s="3" t="str">
        <f>IFERROR(__xludf.DUMMYFUNCTION("""COMPUTED_VALUE"""),"Min Stok Capping 121703059 2602")</f>
        <v>Min Stok Capping 121703059 2602</v>
      </c>
      <c r="J355" s="3" t="str">
        <f>IFERROR(__xludf.DUMMYFUNCTION("""COMPUTED_VALUE"""),"O-18968-00")</f>
        <v>O-18968-00</v>
      </c>
      <c r="K355" s="3" t="str">
        <f>IFERROR(__xludf.DUMMYFUNCTION("""COMPUTED_VALUE"""),"Approve")</f>
        <v>Approve</v>
      </c>
      <c r="L355" s="3" t="str">
        <f>IFERROR(__xludf.DUMMYFUNCTION("""COMPUTED_VALUE"""),"Normal")</f>
        <v>Normal</v>
      </c>
      <c r="M355" s="3" t="str">
        <f>IFERROR(__xludf.DUMMYFUNCTION("""COMPUTED_VALUE"""),"Non Urgent")</f>
        <v>Non Urgent</v>
      </c>
      <c r="N355" s="3">
        <f>IFERROR(__xludf.DUMMYFUNCTION("""COMPUTED_VALUE"""),45911.889376747684)</f>
        <v>45911.88938</v>
      </c>
    </row>
    <row r="356">
      <c r="A356" s="4">
        <f>IFERROR(__xludf.DUMMYFUNCTION("""COMPUTED_VALUE"""),45910.93842200232)</f>
        <v>45910.93842</v>
      </c>
      <c r="B356" s="3" t="str">
        <f>IFERROR(__xludf.DUMMYFUNCTION("""COMPUTED_VALUE"""),"MFHRO0185")</f>
        <v>MFHRO0185</v>
      </c>
      <c r="C356" s="3" t="str">
        <f>IFERROR(__xludf.DUMMYFUNCTION("""COMPUTED_VALUE"""),"MIn Stok")</f>
        <v>MIn Stok</v>
      </c>
      <c r="D356" s="3" t="str">
        <f>IFERROR(__xludf.DUMMYFUNCTION("""COMPUTED_VALUE"""),"-")</f>
        <v>-</v>
      </c>
      <c r="E356" s="3" t="str">
        <f>IFERROR(__xludf.DUMMYFUNCTION("""COMPUTED_VALUE"""),"Capping")</f>
        <v>Capping</v>
      </c>
      <c r="F356" s="3" t="str">
        <f>IFERROR(__xludf.DUMMYFUNCTION("""COMPUTED_VALUE"""),"Capping VCM200 - Washer A; ; ;")</f>
        <v>Capping VCM200 - Washer A; ; ;</v>
      </c>
      <c r="G356" s="3">
        <f>IFERROR(__xludf.DUMMYFUNCTION("""COMPUTED_VALUE"""),1.0)</f>
        <v>1</v>
      </c>
      <c r="H356" s="3" t="str">
        <f>IFERROR(__xludf.DUMMYFUNCTION("""COMPUTED_VALUE"""),"Pieces")</f>
        <v>Pieces</v>
      </c>
      <c r="I356" s="3" t="str">
        <f>IFERROR(__xludf.DUMMYFUNCTION("""COMPUTED_VALUE"""),"Min Stok Capping 121703059 2603")</f>
        <v>Min Stok Capping 121703059 2603</v>
      </c>
      <c r="J356" s="3" t="str">
        <f>IFERROR(__xludf.DUMMYFUNCTION("""COMPUTED_VALUE"""),"O-18967-00")</f>
        <v>O-18967-00</v>
      </c>
      <c r="K356" s="3" t="str">
        <f>IFERROR(__xludf.DUMMYFUNCTION("""COMPUTED_VALUE"""),"Approve")</f>
        <v>Approve</v>
      </c>
      <c r="L356" s="3" t="str">
        <f>IFERROR(__xludf.DUMMYFUNCTION("""COMPUTED_VALUE"""),"Normal")</f>
        <v>Normal</v>
      </c>
      <c r="M356" s="3" t="str">
        <f>IFERROR(__xludf.DUMMYFUNCTION("""COMPUTED_VALUE"""),"Non Urgent")</f>
        <v>Non Urgent</v>
      </c>
      <c r="N356" s="3">
        <f>IFERROR(__xludf.DUMMYFUNCTION("""COMPUTED_VALUE"""),45911.88950502315)</f>
        <v>45911.88951</v>
      </c>
    </row>
    <row r="357">
      <c r="A357" s="4">
        <f>IFERROR(__xludf.DUMMYFUNCTION("""COMPUTED_VALUE"""),45912.69110270834)</f>
        <v>45912.6911</v>
      </c>
      <c r="B357" s="3" t="str">
        <f>IFERROR(__xludf.DUMMYFUNCTION("""COMPUTED_VALUE"""),"SFHRO0021")</f>
        <v>SFHRO0021</v>
      </c>
      <c r="C357" s="3" t="str">
        <f>IFERROR(__xludf.DUMMYFUNCTION("""COMPUTED_VALUE"""),"MIn Stok")</f>
        <v>MIn Stok</v>
      </c>
      <c r="D357" s="3" t="str">
        <f>IFERROR(__xludf.DUMMYFUNCTION("""COMPUTED_VALUE"""),"-")</f>
        <v>-</v>
      </c>
      <c r="E357" s="3" t="str">
        <f>IFERROR(__xludf.DUMMYFUNCTION("""COMPUTED_VALUE"""),"lantai 2")</f>
        <v>lantai 2</v>
      </c>
      <c r="F357" s="3" t="str">
        <f>IFERROR(__xludf.DUMMYFUNCTION("""COMPUTED_VALUE"""),"General - Lem Adhesive; Superlon; -; 1kg/can")</f>
        <v>General - Lem Adhesive; Superlon; -; 1kg/can</v>
      </c>
      <c r="G357" s="3">
        <f>IFERROR(__xludf.DUMMYFUNCTION("""COMPUTED_VALUE"""),6.0)</f>
        <v>6</v>
      </c>
      <c r="H357" s="3" t="str">
        <f>IFERROR(__xludf.DUMMYFUNCTION("""COMPUTED_VALUE"""),"can")</f>
        <v>can</v>
      </c>
      <c r="I357" s="3" t="str">
        <f>IFERROR(__xludf.DUMMYFUNCTION("""COMPUTED_VALUE"""),"stock habis")</f>
        <v>stock habis</v>
      </c>
      <c r="J357" s="3" t="str">
        <f>IFERROR(__xludf.DUMMYFUNCTION("""COMPUTED_VALUE"""),"P-19693-00")</f>
        <v>P-19693-00</v>
      </c>
      <c r="K357" s="3" t="str">
        <f>IFERROR(__xludf.DUMMYFUNCTION("""COMPUTED_VALUE"""),"Approve")</f>
        <v>Approve</v>
      </c>
      <c r="L357" s="3" t="str">
        <f>IFERROR(__xludf.DUMMYFUNCTION("""COMPUTED_VALUE"""),"Normal")</f>
        <v>Normal</v>
      </c>
      <c r="M357" s="3" t="str">
        <f>IFERROR(__xludf.DUMMYFUNCTION("""COMPUTED_VALUE"""),"Non Urgent")</f>
        <v>Non Urgent</v>
      </c>
      <c r="N357" s="3">
        <f>IFERROR(__xludf.DUMMYFUNCTION("""COMPUTED_VALUE"""),45915.682258217596)</f>
        <v>45915.68226</v>
      </c>
    </row>
    <row r="358">
      <c r="A358" s="4">
        <f>IFERROR(__xludf.DUMMYFUNCTION("""COMPUTED_VALUE"""),45917.94341568287)</f>
        <v>45917.94342</v>
      </c>
      <c r="B358" s="3" t="str">
        <f>IFERROR(__xludf.DUMMYFUNCTION("""COMPUTED_VALUE"""),"ANORO0009")</f>
        <v>ANORO0009</v>
      </c>
      <c r="C358" s="3" t="str">
        <f>IFERROR(__xludf.DUMMYFUNCTION("""COMPUTED_VALUE"""),"Consumable")</f>
        <v>Consumable</v>
      </c>
      <c r="D358" s="3" t="str">
        <f>IFERROR(__xludf.DUMMYFUNCTION("""COMPUTED_VALUE"""),"-")</f>
        <v>-</v>
      </c>
      <c r="E358" s="3" t="str">
        <f>IFERROR(__xludf.DUMMYFUNCTION("""COMPUTED_VALUE"""),"tunnel ")</f>
        <v>tunnel </v>
      </c>
      <c r="F358" s="3" t="str">
        <f>IFERROR(__xludf.DUMMYFUNCTION("""COMPUTED_VALUE"""),"Pneumatic Actuator Double Acting-063 Festork; ; ;")</f>
        <v>Pneumatic Actuator Double Acting-063 Festork; ; ;</v>
      </c>
      <c r="G358" s="3">
        <f>IFERROR(__xludf.DUMMYFUNCTION("""COMPUTED_VALUE"""),3.0)</f>
        <v>3</v>
      </c>
      <c r="H358" s="3" t="str">
        <f>IFERROR(__xludf.DUMMYFUNCTION("""COMPUTED_VALUE"""),"PCS")</f>
        <v>PCS</v>
      </c>
      <c r="I358" s="3" t="str">
        <f>IFERROR(__xludf.DUMMYFUNCTION("""COMPUTED_VALUE"""),"untuk mengembalikan pinjaman dari FPP dan untuk spare jika ada yang rusak")</f>
        <v>untuk mengembalikan pinjaman dari FPP dan untuk spare jika ada yang rusak</v>
      </c>
      <c r="J358" s="3" t="str">
        <f>IFERROR(__xludf.DUMMYFUNCTION("""COMPUTED_VALUE"""),"O-51793-00")</f>
        <v>O-51793-00</v>
      </c>
      <c r="K358" s="3" t="str">
        <f>IFERROR(__xludf.DUMMYFUNCTION("""COMPUTED_VALUE"""),"Approve")</f>
        <v>Approve</v>
      </c>
      <c r="L358" s="3" t="str">
        <f>IFERROR(__xludf.DUMMYFUNCTION("""COMPUTED_VALUE"""),"Normal")</f>
        <v>Normal</v>
      </c>
      <c r="M358" s="3" t="str">
        <f>IFERROR(__xludf.DUMMYFUNCTION("""COMPUTED_VALUE"""),"Non Urgent")</f>
        <v>Non Urgent</v>
      </c>
      <c r="N358" s="3">
        <f>IFERROR(__xludf.DUMMYFUNCTION("""COMPUTED_VALUE"""),45936.578436550924)</f>
        <v>45936.57844</v>
      </c>
    </row>
    <row r="359">
      <c r="A359" s="4">
        <f>IFERROR(__xludf.DUMMYFUNCTION("""COMPUTED_VALUE"""),45921.41750222222)</f>
        <v>45921.4175</v>
      </c>
      <c r="B359" s="3" t="str">
        <f>IFERROR(__xludf.DUMMYFUNCTION("""COMPUTED_VALUE"""),"MFHRO0186")</f>
        <v>MFHRO0186</v>
      </c>
      <c r="C359" s="3" t="str">
        <f>IFERROR(__xludf.DUMMYFUNCTION("""COMPUTED_VALUE"""),"MIn Stok")</f>
        <v>MIn Stok</v>
      </c>
      <c r="D359" s="3" t="str">
        <f>IFERROR(__xludf.DUMMYFUNCTION("""COMPUTED_VALUE"""),"-")</f>
        <v>-</v>
      </c>
      <c r="E359" s="3" t="str">
        <f>IFERROR(__xludf.DUMMYFUNCTION("""COMPUTED_VALUE"""),"Autoclave")</f>
        <v>Autoclave</v>
      </c>
      <c r="F359" s="3" t="str">
        <f>IFERROR(__xludf.DUMMYFUNCTION("""COMPUTED_VALUE"""),"Fedegari FVA2/A1 - O-RING 34.52x3.53; Code : CC150171; ; ;")</f>
        <v>Fedegari FVA2/A1 - O-RING 34.52x3.53; Code : CC150171; ; ;</v>
      </c>
      <c r="G359" s="3">
        <f>IFERROR(__xludf.DUMMYFUNCTION("""COMPUTED_VALUE"""),18.0)</f>
        <v>18</v>
      </c>
      <c r="H359" s="3" t="str">
        <f>IFERROR(__xludf.DUMMYFUNCTION("""COMPUTED_VALUE"""),"Pcs")</f>
        <v>Pcs</v>
      </c>
      <c r="I359" s="3" t="str">
        <f>IFERROR(__xludf.DUMMYFUNCTION("""COMPUTED_VALUE"""),"Min Stok Autoclave 121703066 2616")</f>
        <v>Min Stok Autoclave 121703066 2616</v>
      </c>
      <c r="J359" s="3" t="str">
        <f>IFERROR(__xludf.DUMMYFUNCTION("""COMPUTED_VALUE"""),"O-15914-00")</f>
        <v>O-15914-00</v>
      </c>
      <c r="K359" s="3" t="str">
        <f>IFERROR(__xludf.DUMMYFUNCTION("""COMPUTED_VALUE"""),"Approve")</f>
        <v>Approve</v>
      </c>
      <c r="L359" s="3" t="str">
        <f>IFERROR(__xludf.DUMMYFUNCTION("""COMPUTED_VALUE"""),"Normal")</f>
        <v>Normal</v>
      </c>
      <c r="M359" s="3" t="str">
        <f>IFERROR(__xludf.DUMMYFUNCTION("""COMPUTED_VALUE"""),"Non Urgent")</f>
        <v>Non Urgent</v>
      </c>
      <c r="N359" s="3">
        <f>IFERROR(__xludf.DUMMYFUNCTION("""COMPUTED_VALUE"""),45921.6902875463)</f>
        <v>45921.69029</v>
      </c>
    </row>
    <row r="360">
      <c r="A360" s="4">
        <f>IFERROR(__xludf.DUMMYFUNCTION("""COMPUTED_VALUE"""),45921.42266859953)</f>
        <v>45921.42267</v>
      </c>
      <c r="B360" s="3" t="str">
        <f>IFERROR(__xludf.DUMMYFUNCTION("""COMPUTED_VALUE"""),"MFHRO0187")</f>
        <v>MFHRO0187</v>
      </c>
      <c r="C360" s="3" t="str">
        <f>IFERROR(__xludf.DUMMYFUNCTION("""COMPUTED_VALUE"""),"MIn Stok")</f>
        <v>MIn Stok</v>
      </c>
      <c r="D360" s="3" t="str">
        <f>IFERROR(__xludf.DUMMYFUNCTION("""COMPUTED_VALUE"""),"-")</f>
        <v>-</v>
      </c>
      <c r="E360" s="3" t="str">
        <f>IFERROR(__xludf.DUMMYFUNCTION("""COMPUTED_VALUE"""),"Washing")</f>
        <v>Washing</v>
      </c>
      <c r="F360" s="3" t="str">
        <f>IFERROR(__xludf.DUMMYFUNCTION("""COMPUTED_VALUE"""),"Vent Filter HE Press 6.5 bar, temp. 40C ; Brand : NOVASIP ( PALL ) ; P/N : C3PFRPI , IT09556493 ; Pack Size : pcs")</f>
        <v>Vent Filter HE Press 6.5 bar, temp. 40C ; Brand : NOVASIP ( PALL ) ; P/N : C3PFRPI , IT09556493 ; Pack Size : pcs</v>
      </c>
      <c r="G360" s="3">
        <f>IFERROR(__xludf.DUMMYFUNCTION("""COMPUTED_VALUE"""),2.0)</f>
        <v>2</v>
      </c>
      <c r="H360" s="3" t="str">
        <f>IFERROR(__xludf.DUMMYFUNCTION("""COMPUTED_VALUE"""),"Unit")</f>
        <v>Unit</v>
      </c>
      <c r="I360" s="3" t="str">
        <f>IFERROR(__xludf.DUMMYFUNCTION("""COMPUTED_VALUE"""),"Min Stok Washing 121703067 2618")</f>
        <v>Min Stok Washing 121703067 2618</v>
      </c>
      <c r="J360" s="3" t="str">
        <f>IFERROR(__xludf.DUMMYFUNCTION("""COMPUTED_VALUE"""),"P-16972-00")</f>
        <v>P-16972-00</v>
      </c>
      <c r="K360" s="3" t="str">
        <f>IFERROR(__xludf.DUMMYFUNCTION("""COMPUTED_VALUE"""),"Approve")</f>
        <v>Approve</v>
      </c>
      <c r="L360" s="3" t="str">
        <f>IFERROR(__xludf.DUMMYFUNCTION("""COMPUTED_VALUE"""),"Normal")</f>
        <v>Normal</v>
      </c>
      <c r="M360" s="3" t="str">
        <f>IFERROR(__xludf.DUMMYFUNCTION("""COMPUTED_VALUE"""),"Non Urgent")</f>
        <v>Non Urgent</v>
      </c>
      <c r="N360" s="3">
        <f>IFERROR(__xludf.DUMMYFUNCTION("""COMPUTED_VALUE"""),45921.69039694444)</f>
        <v>45921.6904</v>
      </c>
    </row>
    <row r="361">
      <c r="A361" s="4">
        <f>IFERROR(__xludf.DUMMYFUNCTION("""COMPUTED_VALUE"""),45921.42266859953)</f>
        <v>45921.42267</v>
      </c>
      <c r="B361" s="3" t="str">
        <f>IFERROR(__xludf.DUMMYFUNCTION("""COMPUTED_VALUE"""),"MFHRO0188")</f>
        <v>MFHRO0188</v>
      </c>
      <c r="C361" s="3" t="str">
        <f>IFERROR(__xludf.DUMMYFUNCTION("""COMPUTED_VALUE"""),"MIn Stok")</f>
        <v>MIn Stok</v>
      </c>
      <c r="D361" s="3" t="str">
        <f>IFERROR(__xludf.DUMMYFUNCTION("""COMPUTED_VALUE"""),"-")</f>
        <v>-</v>
      </c>
      <c r="E361" s="3" t="str">
        <f>IFERROR(__xludf.DUMMYFUNCTION("""COMPUTED_VALUE"""),"Filling")</f>
        <v>Filling</v>
      </c>
      <c r="F361" s="3" t="str">
        <f>IFERROR(__xludf.DUMMYFUNCTION("""COMPUTED_VALUE"""),"Ferrule to Hose 1,5 inch x 7mm; ; ;")</f>
        <v>Ferrule to Hose 1,5 inch x 7mm; ; ;</v>
      </c>
      <c r="G361" s="3">
        <f>IFERROR(__xludf.DUMMYFUNCTION("""COMPUTED_VALUE"""),2.0)</f>
        <v>2</v>
      </c>
      <c r="H361" s="3" t="str">
        <f>IFERROR(__xludf.DUMMYFUNCTION("""COMPUTED_VALUE"""),"Pieces")</f>
        <v>Pieces</v>
      </c>
      <c r="I361" s="3" t="str">
        <f>IFERROR(__xludf.DUMMYFUNCTION("""COMPUTED_VALUE"""),"Min Stok Filling 121703068 2619")</f>
        <v>Min Stok Filling 121703068 2619</v>
      </c>
      <c r="J361" s="3" t="str">
        <f>IFERROR(__xludf.DUMMYFUNCTION("""COMPUTED_VALUE"""),"P-14993-00")</f>
        <v>P-14993-00</v>
      </c>
      <c r="K361" s="3" t="str">
        <f>IFERROR(__xludf.DUMMYFUNCTION("""COMPUTED_VALUE"""),"Approve")</f>
        <v>Approve</v>
      </c>
      <c r="L361" s="3" t="str">
        <f>IFERROR(__xludf.DUMMYFUNCTION("""COMPUTED_VALUE"""),"Normal")</f>
        <v>Normal</v>
      </c>
      <c r="M361" s="3" t="str">
        <f>IFERROR(__xludf.DUMMYFUNCTION("""COMPUTED_VALUE"""),"Non Urgent")</f>
        <v>Non Urgent</v>
      </c>
      <c r="N361" s="3">
        <f>IFERROR(__xludf.DUMMYFUNCTION("""COMPUTED_VALUE"""),45921.690480289355)</f>
        <v>45921.69048</v>
      </c>
    </row>
    <row r="362">
      <c r="A362" s="4">
        <f>IFERROR(__xludf.DUMMYFUNCTION("""COMPUTED_VALUE"""),45921.42267392362)</f>
        <v>45921.42267</v>
      </c>
      <c r="B362" s="3" t="str">
        <f>IFERROR(__xludf.DUMMYFUNCTION("""COMPUTED_VALUE"""),"MFHRO0189")</f>
        <v>MFHRO0189</v>
      </c>
      <c r="C362" s="3" t="str">
        <f>IFERROR(__xludf.DUMMYFUNCTION("""COMPUTED_VALUE"""),"MIn Stok")</f>
        <v>MIn Stok</v>
      </c>
      <c r="D362" s="3" t="str">
        <f>IFERROR(__xludf.DUMMYFUNCTION("""COMPUTED_VALUE"""),"-")</f>
        <v>-</v>
      </c>
      <c r="E362" s="3" t="str">
        <f>IFERROR(__xludf.DUMMYFUNCTION("""COMPUTED_VALUE"""),"Washing")</f>
        <v>Washing</v>
      </c>
      <c r="F362" s="3" t="str">
        <f>IFERROR(__xludf.DUMMYFUNCTION("""COMPUTED_VALUE"""),"Washing RAR4 - Pincers Jaws 4 Positions 10R Vial Neck d=15.5 HARRISA CIPTARINDO ENGINEERING, CV. P/N : -  pc")</f>
        <v>Washing RAR4 - Pincers Jaws 4 Positions 10R Vial Neck d=15.5 HARRISA CIPTARINDO ENGINEERING, CV. P/N : -  pc</v>
      </c>
      <c r="G362" s="3">
        <f>IFERROR(__xludf.DUMMYFUNCTION("""COMPUTED_VALUE"""),14.0)</f>
        <v>14</v>
      </c>
      <c r="H362" s="3" t="str">
        <f>IFERROR(__xludf.DUMMYFUNCTION("""COMPUTED_VALUE"""),"Pieces")</f>
        <v>Pieces</v>
      </c>
      <c r="I362" s="3" t="str">
        <f>IFERROR(__xludf.DUMMYFUNCTION("""COMPUTED_VALUE"""),"Min Stok Washing 121703070 2620")</f>
        <v>Min Stok Washing 121703070 2620</v>
      </c>
      <c r="J362" s="3" t="str">
        <f>IFERROR(__xludf.DUMMYFUNCTION("""COMPUTED_VALUE"""),"O-17068-00")</f>
        <v>O-17068-00</v>
      </c>
      <c r="K362" s="3" t="str">
        <f>IFERROR(__xludf.DUMMYFUNCTION("""COMPUTED_VALUE"""),"Approve")</f>
        <v>Approve</v>
      </c>
      <c r="L362" s="3" t="str">
        <f>IFERROR(__xludf.DUMMYFUNCTION("""COMPUTED_VALUE"""),"Normal")</f>
        <v>Normal</v>
      </c>
      <c r="M362" s="3" t="str">
        <f>IFERROR(__xludf.DUMMYFUNCTION("""COMPUTED_VALUE"""),"Non Urgent")</f>
        <v>Non Urgent</v>
      </c>
      <c r="N362" s="3">
        <f>IFERROR(__xludf.DUMMYFUNCTION("""COMPUTED_VALUE"""),45921.69065502315)</f>
        <v>45921.69066</v>
      </c>
    </row>
    <row r="363">
      <c r="A363" s="4">
        <f>IFERROR(__xludf.DUMMYFUNCTION("""COMPUTED_VALUE"""),45921.42267392362)</f>
        <v>45921.42267</v>
      </c>
      <c r="B363" s="3" t="str">
        <f>IFERROR(__xludf.DUMMYFUNCTION("""COMPUTED_VALUE"""),"MFHRO0190")</f>
        <v>MFHRO0190</v>
      </c>
      <c r="C363" s="3" t="str">
        <f>IFERROR(__xludf.DUMMYFUNCTION("""COMPUTED_VALUE"""),"MIn Stok")</f>
        <v>MIn Stok</v>
      </c>
      <c r="D363" s="3" t="str">
        <f>IFERROR(__xludf.DUMMYFUNCTION("""COMPUTED_VALUE"""),"-")</f>
        <v>-</v>
      </c>
      <c r="E363" s="3" t="str">
        <f>IFERROR(__xludf.DUMMYFUNCTION("""COMPUTED_VALUE"""),"Washing")</f>
        <v>Washing</v>
      </c>
      <c r="F363" s="3" t="str">
        <f>IFERROR(__xludf.DUMMYFUNCTION("""COMPUTED_VALUE"""),"Washing RAR4 - Pincers Jaws for Vial 6mL HARRISA CIPTARINDO ENGINEERING, CV. P/N : -  pc")</f>
        <v>Washing RAR4 - Pincers Jaws for Vial 6mL HARRISA CIPTARINDO ENGINEERING, CV. P/N : -  pc</v>
      </c>
      <c r="G363" s="3">
        <f>IFERROR(__xludf.DUMMYFUNCTION("""COMPUTED_VALUE"""),18.0)</f>
        <v>18</v>
      </c>
      <c r="H363" s="3" t="str">
        <f>IFERROR(__xludf.DUMMYFUNCTION("""COMPUTED_VALUE"""),"Pieces")</f>
        <v>Pieces</v>
      </c>
      <c r="I363" s="3" t="str">
        <f>IFERROR(__xludf.DUMMYFUNCTION("""COMPUTED_VALUE"""),"Min Stok Washing 121703070 2621")</f>
        <v>Min Stok Washing 121703070 2621</v>
      </c>
      <c r="J363" s="3" t="str">
        <f>IFERROR(__xludf.DUMMYFUNCTION("""COMPUTED_VALUE"""),"O-17071-00")</f>
        <v>O-17071-00</v>
      </c>
      <c r="K363" s="3" t="str">
        <f>IFERROR(__xludf.DUMMYFUNCTION("""COMPUTED_VALUE"""),"Approve")</f>
        <v>Approve</v>
      </c>
      <c r="L363" s="3" t="str">
        <f>IFERROR(__xludf.DUMMYFUNCTION("""COMPUTED_VALUE"""),"Normal")</f>
        <v>Normal</v>
      </c>
      <c r="M363" s="3" t="str">
        <f>IFERROR(__xludf.DUMMYFUNCTION("""COMPUTED_VALUE"""),"Non Urgent")</f>
        <v>Non Urgent</v>
      </c>
      <c r="N363" s="3">
        <f>IFERROR(__xludf.DUMMYFUNCTION("""COMPUTED_VALUE"""),45921.69094118055)</f>
        <v>45921.69094</v>
      </c>
    </row>
    <row r="364">
      <c r="A364" s="4">
        <f>IFERROR(__xludf.DUMMYFUNCTION("""COMPUTED_VALUE"""),45921.42267392362)</f>
        <v>45921.42267</v>
      </c>
      <c r="B364" s="3" t="str">
        <f>IFERROR(__xludf.DUMMYFUNCTION("""COMPUTED_VALUE"""),"MFHRO0191")</f>
        <v>MFHRO0191</v>
      </c>
      <c r="C364" s="3" t="str">
        <f>IFERROR(__xludf.DUMMYFUNCTION("""COMPUTED_VALUE"""),"MIn Stok")</f>
        <v>MIn Stok</v>
      </c>
      <c r="D364" s="3" t="str">
        <f>IFERROR(__xludf.DUMMYFUNCTION("""COMPUTED_VALUE"""),"-")</f>
        <v>-</v>
      </c>
      <c r="E364" s="3" t="str">
        <f>IFERROR(__xludf.DUMMYFUNCTION("""COMPUTED_VALUE"""),"Filling")</f>
        <v>Filling</v>
      </c>
      <c r="F364" s="3" t="str">
        <f>IFERROR(__xludf.DUMMYFUNCTION("""COMPUTED_VALUE"""),"Filling VFM100 - Base Plate Loadcell 163.5x28x4mm; Custom/Lokal; -; 1 Pc")</f>
        <v>Filling VFM100 - Base Plate Loadcell 163.5x28x4mm; Custom/Lokal; -; 1 Pc</v>
      </c>
      <c r="G364" s="3">
        <f>IFERROR(__xludf.DUMMYFUNCTION("""COMPUTED_VALUE"""),1.0)</f>
        <v>1</v>
      </c>
      <c r="H364" s="3" t="str">
        <f>IFERROR(__xludf.DUMMYFUNCTION("""COMPUTED_VALUE"""),"Pieces")</f>
        <v>Pieces</v>
      </c>
      <c r="I364" s="3" t="str">
        <f>IFERROR(__xludf.DUMMYFUNCTION("""COMPUTED_VALUE"""),"Untuk Loadcell Filling 121703070 2622")</f>
        <v>Untuk Loadcell Filling 121703070 2622</v>
      </c>
      <c r="J364" s="3" t="str">
        <f>IFERROR(__xludf.DUMMYFUNCTION("""COMPUTED_VALUE"""),"O-20903-00")</f>
        <v>O-20903-00</v>
      </c>
      <c r="K364" s="3" t="str">
        <f>IFERROR(__xludf.DUMMYFUNCTION("""COMPUTED_VALUE"""),"Approve")</f>
        <v>Approve</v>
      </c>
      <c r="L364" s="3" t="str">
        <f>IFERROR(__xludf.DUMMYFUNCTION("""COMPUTED_VALUE"""),"Normal")</f>
        <v>Normal</v>
      </c>
      <c r="M364" s="3" t="str">
        <f>IFERROR(__xludf.DUMMYFUNCTION("""COMPUTED_VALUE"""),"Non Urgent")</f>
        <v>Non Urgent</v>
      </c>
      <c r="N364" s="3">
        <f>IFERROR(__xludf.DUMMYFUNCTION("""COMPUTED_VALUE"""),45921.69105310185)</f>
        <v>45921.69105</v>
      </c>
    </row>
    <row r="365">
      <c r="A365" s="4">
        <f>IFERROR(__xludf.DUMMYFUNCTION("""COMPUTED_VALUE"""),45921.42268065973)</f>
        <v>45921.42268</v>
      </c>
      <c r="B365" s="3" t="str">
        <f>IFERROR(__xludf.DUMMYFUNCTION("""COMPUTED_VALUE"""),"MFHRO0192")</f>
        <v>MFHRO0192</v>
      </c>
      <c r="C365" s="3" t="str">
        <f>IFERROR(__xludf.DUMMYFUNCTION("""COMPUTED_VALUE"""),"MIn Stok")</f>
        <v>MIn Stok</v>
      </c>
      <c r="D365" s="3" t="str">
        <f>IFERROR(__xludf.DUMMYFUNCTION("""COMPUTED_VALUE"""),"-")</f>
        <v>-</v>
      </c>
      <c r="E365" s="3" t="str">
        <f>IFERROR(__xludf.DUMMYFUNCTION("""COMPUTED_VALUE"""),"Filling")</f>
        <v>Filling</v>
      </c>
      <c r="F365" s="3" t="str">
        <f>IFERROR(__xludf.DUMMYFUNCTION("""COMPUTED_VALUE"""),"Filling VFM100 - Adapter Loadcell 30x30x4mm; Custom/Lokal; -; 1 Pc")</f>
        <v>Filling VFM100 - Adapter Loadcell 30x30x4mm; Custom/Lokal; -; 1 Pc</v>
      </c>
      <c r="G365" s="3">
        <f>IFERROR(__xludf.DUMMYFUNCTION("""COMPUTED_VALUE"""),1.0)</f>
        <v>1</v>
      </c>
      <c r="H365" s="3" t="str">
        <f>IFERROR(__xludf.DUMMYFUNCTION("""COMPUTED_VALUE"""),"Pieces")</f>
        <v>Pieces</v>
      </c>
      <c r="I365" s="3" t="str">
        <f>IFERROR(__xludf.DUMMYFUNCTION("""COMPUTED_VALUE"""),"Untuk Loadcell Filling 121703070 2623")</f>
        <v>Untuk Loadcell Filling 121703070 2623</v>
      </c>
      <c r="J365" s="3" t="str">
        <f>IFERROR(__xludf.DUMMYFUNCTION("""COMPUTED_VALUE"""),"O-20904-00")</f>
        <v>O-20904-00</v>
      </c>
      <c r="K365" s="3" t="str">
        <f>IFERROR(__xludf.DUMMYFUNCTION("""COMPUTED_VALUE"""),"Approve")</f>
        <v>Approve</v>
      </c>
      <c r="L365" s="3" t="str">
        <f>IFERROR(__xludf.DUMMYFUNCTION("""COMPUTED_VALUE"""),"Normal")</f>
        <v>Normal</v>
      </c>
      <c r="M365" s="3" t="str">
        <f>IFERROR(__xludf.DUMMYFUNCTION("""COMPUTED_VALUE"""),"Non Urgent")</f>
        <v>Non Urgent</v>
      </c>
      <c r="N365" s="3">
        <f>IFERROR(__xludf.DUMMYFUNCTION("""COMPUTED_VALUE"""),45921.69116418982)</f>
        <v>45921.69116</v>
      </c>
    </row>
    <row r="366">
      <c r="A366" s="4">
        <f>IFERROR(__xludf.DUMMYFUNCTION("""COMPUTED_VALUE"""),45921.42268065973)</f>
        <v>45921.42268</v>
      </c>
      <c r="B366" s="3" t="str">
        <f>IFERROR(__xludf.DUMMYFUNCTION("""COMPUTED_VALUE"""),"MFHRO0193")</f>
        <v>MFHRO0193</v>
      </c>
      <c r="C366" s="3" t="str">
        <f>IFERROR(__xludf.DUMMYFUNCTION("""COMPUTED_VALUE"""),"MIn Stok")</f>
        <v>MIn Stok</v>
      </c>
      <c r="D366" s="3" t="str">
        <f>IFERROR(__xludf.DUMMYFUNCTION("""COMPUTED_VALUE"""),"-")</f>
        <v>-</v>
      </c>
      <c r="E366" s="3" t="str">
        <f>IFERROR(__xludf.DUMMYFUNCTION("""COMPUTED_VALUE"""),"Filling")</f>
        <v>Filling</v>
      </c>
      <c r="F366" s="3" t="str">
        <f>IFERROR(__xludf.DUMMYFUNCTION("""COMPUTED_VALUE"""),"Filling VFM100 - Dudukan Piringan 30x14x9mm; Custom/Lokal; -; 1 Pc")</f>
        <v>Filling VFM100 - Dudukan Piringan 30x14x9mm; Custom/Lokal; -; 1 Pc</v>
      </c>
      <c r="G366" s="3">
        <f>IFERROR(__xludf.DUMMYFUNCTION("""COMPUTED_VALUE"""),1.0)</f>
        <v>1</v>
      </c>
      <c r="H366" s="3" t="str">
        <f>IFERROR(__xludf.DUMMYFUNCTION("""COMPUTED_VALUE"""),"Pieces")</f>
        <v>Pieces</v>
      </c>
      <c r="I366" s="3" t="str">
        <f>IFERROR(__xludf.DUMMYFUNCTION("""COMPUTED_VALUE"""),"Untuk Loadcell Filling 121703070 2624")</f>
        <v>Untuk Loadcell Filling 121703070 2624</v>
      </c>
      <c r="J366" s="3" t="str">
        <f>IFERROR(__xludf.DUMMYFUNCTION("""COMPUTED_VALUE"""),"O-20905-00")</f>
        <v>O-20905-00</v>
      </c>
      <c r="K366" s="3" t="str">
        <f>IFERROR(__xludf.DUMMYFUNCTION("""COMPUTED_VALUE"""),"Approve")</f>
        <v>Approve</v>
      </c>
      <c r="L366" s="3" t="str">
        <f>IFERROR(__xludf.DUMMYFUNCTION("""COMPUTED_VALUE"""),"Normal")</f>
        <v>Normal</v>
      </c>
      <c r="M366" s="3" t="str">
        <f>IFERROR(__xludf.DUMMYFUNCTION("""COMPUTED_VALUE"""),"Non Urgent")</f>
        <v>Non Urgent</v>
      </c>
      <c r="N366" s="3">
        <f>IFERROR(__xludf.DUMMYFUNCTION("""COMPUTED_VALUE"""),45921.69133444445)</f>
        <v>45921.69133</v>
      </c>
    </row>
    <row r="367">
      <c r="A367" s="4">
        <f>IFERROR(__xludf.DUMMYFUNCTION("""COMPUTED_VALUE"""),45921.42268065973)</f>
        <v>45921.42268</v>
      </c>
      <c r="B367" s="3" t="str">
        <f>IFERROR(__xludf.DUMMYFUNCTION("""COMPUTED_VALUE"""),"MFHRO0194")</f>
        <v>MFHRO0194</v>
      </c>
      <c r="C367" s="3" t="str">
        <f>IFERROR(__xludf.DUMMYFUNCTION("""COMPUTED_VALUE"""),"MIn Stok")</f>
        <v>MIn Stok</v>
      </c>
      <c r="D367" s="3" t="str">
        <f>IFERROR(__xludf.DUMMYFUNCTION("""COMPUTED_VALUE"""),"-")</f>
        <v>-</v>
      </c>
      <c r="E367" s="3" t="str">
        <f>IFERROR(__xludf.DUMMYFUNCTION("""COMPUTED_VALUE"""),"cRABS")</f>
        <v>cRABS</v>
      </c>
      <c r="F367" s="3" t="str">
        <f>IFERROR(__xludf.DUMMYFUNCTION("""COMPUTED_VALUE"""),"cRABS Z064CR - Glove Port Pom White Uk: 227x310x15.25mm; Custom/Lokal; -; 1 Pc")</f>
        <v>cRABS Z064CR - Glove Port Pom White Uk: 227x310x15.25mm; Custom/Lokal; -; 1 Pc</v>
      </c>
      <c r="G367" s="3">
        <f>IFERROR(__xludf.DUMMYFUNCTION("""COMPUTED_VALUE"""),2.0)</f>
        <v>2</v>
      </c>
      <c r="H367" s="3" t="str">
        <f>IFERROR(__xludf.DUMMYFUNCTION("""COMPUTED_VALUE"""),"Pieces")</f>
        <v>Pieces</v>
      </c>
      <c r="I367" s="3" t="str">
        <f>IFERROR(__xludf.DUMMYFUNCTION("""COMPUTED_VALUE"""),"Untuk Glove Port cRABS 121703070 2625")</f>
        <v>Untuk Glove Port cRABS 121703070 2625</v>
      </c>
      <c r="J367" s="3" t="str">
        <f>IFERROR(__xludf.DUMMYFUNCTION("""COMPUTED_VALUE"""),"O-20918-00")</f>
        <v>O-20918-00</v>
      </c>
      <c r="K367" s="3" t="str">
        <f>IFERROR(__xludf.DUMMYFUNCTION("""COMPUTED_VALUE"""),"Approve")</f>
        <v>Approve</v>
      </c>
      <c r="L367" s="3" t="str">
        <f>IFERROR(__xludf.DUMMYFUNCTION("""COMPUTED_VALUE"""),"Normal")</f>
        <v>Normal</v>
      </c>
      <c r="M367" s="3" t="str">
        <f>IFERROR(__xludf.DUMMYFUNCTION("""COMPUTED_VALUE"""),"Non Urgent")</f>
        <v>Non Urgent</v>
      </c>
      <c r="N367" s="3">
        <f>IFERROR(__xludf.DUMMYFUNCTION("""COMPUTED_VALUE"""),45921.69154097222)</f>
        <v>45921.69154</v>
      </c>
    </row>
    <row r="368">
      <c r="A368" s="4">
        <f>IFERROR(__xludf.DUMMYFUNCTION("""COMPUTED_VALUE"""),45921.5119862963)</f>
        <v>45921.51199</v>
      </c>
      <c r="B368" s="3" t="str">
        <f>IFERROR(__xludf.DUMMYFUNCTION("""COMPUTED_VALUE"""),"MFHRO0195")</f>
        <v>MFHRO0195</v>
      </c>
      <c r="C368" s="3" t="str">
        <f>IFERROR(__xludf.DUMMYFUNCTION("""COMPUTED_VALUE"""),"MIn Stok")</f>
        <v>MIn Stok</v>
      </c>
      <c r="D368" s="3" t="str">
        <f>IFERROR(__xludf.DUMMYFUNCTION("""COMPUTED_VALUE"""),"-")</f>
        <v>-</v>
      </c>
      <c r="E368" s="3" t="str">
        <f>IFERROR(__xludf.DUMMYFUNCTION("""COMPUTED_VALUE"""),"Tunnel")</f>
        <v>Tunnel</v>
      </c>
      <c r="F368" s="3" t="str">
        <f>IFERROR(__xludf.DUMMYFUNCTION("""COMPUTED_VALUE"""),"FILTER ABSOLUTE, CAMFILL - 1ER(GS) - 1PU; DIN EN 1822 : H14; EFFICIENCY: 99,995% MPPS; DIMENSION: 305X457X150; SERIAL NO. 060052-15122")</f>
        <v>FILTER ABSOLUTE, CAMFILL - 1ER(GS) - 1PU; DIN EN 1822 : H14; EFFICIENCY: 99,995% MPPS; DIMENSION: 305X457X150; SERIAL NO. 060052-15122</v>
      </c>
      <c r="G368" s="3">
        <f>IFERROR(__xludf.DUMMYFUNCTION("""COMPUTED_VALUE"""),1.0)</f>
        <v>1</v>
      </c>
      <c r="H368" s="3" t="str">
        <f>IFERROR(__xludf.DUMMYFUNCTION("""COMPUTED_VALUE"""),"Unit")</f>
        <v>Unit</v>
      </c>
      <c r="I368" s="3" t="str">
        <f>IFERROR(__xludf.DUMMYFUNCTION("""COMPUTED_VALUE"""),"Min Stok Tunnel 121703076 2633")</f>
        <v>Min Stok Tunnel 121703076 2633</v>
      </c>
      <c r="J368" s="3" t="str">
        <f>IFERROR(__xludf.DUMMYFUNCTION("""COMPUTED_VALUE"""),"O-15592-00")</f>
        <v>O-15592-00</v>
      </c>
      <c r="K368" s="3" t="str">
        <f>IFERROR(__xludf.DUMMYFUNCTION("""COMPUTED_VALUE"""),"Approve")</f>
        <v>Approve</v>
      </c>
      <c r="L368" s="3" t="str">
        <f>IFERROR(__xludf.DUMMYFUNCTION("""COMPUTED_VALUE"""),"Normal")</f>
        <v>Normal</v>
      </c>
      <c r="M368" s="3" t="str">
        <f>IFERROR(__xludf.DUMMYFUNCTION("""COMPUTED_VALUE"""),"Non Urgent")</f>
        <v>Non Urgent</v>
      </c>
      <c r="N368" s="3">
        <f>IFERROR(__xludf.DUMMYFUNCTION("""COMPUTED_VALUE"""),45921.69383737269)</f>
        <v>45921.69384</v>
      </c>
    </row>
    <row r="369">
      <c r="A369" s="4">
        <f>IFERROR(__xludf.DUMMYFUNCTION("""COMPUTED_VALUE"""),45921.5119862963)</f>
        <v>45921.51199</v>
      </c>
      <c r="B369" s="3" t="str">
        <f>IFERROR(__xludf.DUMMYFUNCTION("""COMPUTED_VALUE"""),"MFHRO0196")</f>
        <v>MFHRO0196</v>
      </c>
      <c r="C369" s="3" t="str">
        <f>IFERROR(__xludf.DUMMYFUNCTION("""COMPUTED_VALUE"""),"MIn Stok")</f>
        <v>MIn Stok</v>
      </c>
      <c r="D369" s="3" t="str">
        <f>IFERROR(__xludf.DUMMYFUNCTION("""COMPUTED_VALUE"""),"-")</f>
        <v>-</v>
      </c>
      <c r="E369" s="3" t="str">
        <f>IFERROR(__xludf.DUMMYFUNCTION("""COMPUTED_VALUE"""),"cRABS")</f>
        <v>cRABS</v>
      </c>
      <c r="F369" s="3" t="str">
        <f>IFERROR(__xludf.DUMMYFUNCTION("""COMPUTED_VALUE"""),"HEPA filter minipleat, size: 457x610x69 Class (EN 1822) : H14 - 99,995% MPPS; Hencolin; ;")</f>
        <v>HEPA filter minipleat, size: 457x610x69 Class (EN 1822) : H14 - 99,995% MPPS; Hencolin; ;</v>
      </c>
      <c r="G369" s="3">
        <f>IFERROR(__xludf.DUMMYFUNCTION("""COMPUTED_VALUE"""),2.0)</f>
        <v>2</v>
      </c>
      <c r="H369" s="3" t="str">
        <f>IFERROR(__xludf.DUMMYFUNCTION("""COMPUTED_VALUE"""),"Pieces")</f>
        <v>Pieces</v>
      </c>
      <c r="I369" s="3" t="str">
        <f>IFERROR(__xludf.DUMMYFUNCTION("""COMPUTED_VALUE"""),"Min Stok cRABS 121703076 2634")</f>
        <v>Min Stok cRABS 121703076 2634</v>
      </c>
      <c r="J369" s="3" t="str">
        <f>IFERROR(__xludf.DUMMYFUNCTION("""COMPUTED_VALUE"""),"O-19382-00")</f>
        <v>O-19382-00</v>
      </c>
      <c r="K369" s="3" t="str">
        <f>IFERROR(__xludf.DUMMYFUNCTION("""COMPUTED_VALUE"""),"Approve")</f>
        <v>Approve</v>
      </c>
      <c r="L369" s="3" t="str">
        <f>IFERROR(__xludf.DUMMYFUNCTION("""COMPUTED_VALUE"""),"Normal")</f>
        <v>Normal</v>
      </c>
      <c r="M369" s="3" t="str">
        <f>IFERROR(__xludf.DUMMYFUNCTION("""COMPUTED_VALUE"""),"Non Urgent")</f>
        <v>Non Urgent</v>
      </c>
      <c r="N369" s="3">
        <f>IFERROR(__xludf.DUMMYFUNCTION("""COMPUTED_VALUE"""),45921.69398319445)</f>
        <v>45921.69398</v>
      </c>
    </row>
    <row r="370">
      <c r="A370" s="4">
        <f>IFERROR(__xludf.DUMMYFUNCTION("""COMPUTED_VALUE"""),45921.5119862963)</f>
        <v>45921.51199</v>
      </c>
      <c r="B370" s="3" t="str">
        <f>IFERROR(__xludf.DUMMYFUNCTION("""COMPUTED_VALUE"""),"MFHRO0197")</f>
        <v>MFHRO0197</v>
      </c>
      <c r="C370" s="3" t="str">
        <f>IFERROR(__xludf.DUMMYFUNCTION("""COMPUTED_VALUE"""),"MIn Stok")</f>
        <v>MIn Stok</v>
      </c>
      <c r="D370" s="3" t="str">
        <f>IFERROR(__xludf.DUMMYFUNCTION("""COMPUTED_VALUE"""),"-")</f>
        <v>-</v>
      </c>
      <c r="E370" s="3" t="str">
        <f>IFERROR(__xludf.DUMMYFUNCTION("""COMPUTED_VALUE"""),"cRABS")</f>
        <v>cRABS</v>
      </c>
      <c r="F370" s="3" t="str">
        <f>IFERROR(__xludf.DUMMYFUNCTION("""COMPUTED_VALUE"""),"HEPA filter minipleat, size: 762x457x69 Class (EN 1822) : H14 - 99,995% MPPS; Hencolin; ;")</f>
        <v>HEPA filter minipleat, size: 762x457x69 Class (EN 1822) : H14 - 99,995% MPPS; Hencolin; ;</v>
      </c>
      <c r="G370" s="3">
        <f>IFERROR(__xludf.DUMMYFUNCTION("""COMPUTED_VALUE"""),2.0)</f>
        <v>2</v>
      </c>
      <c r="H370" s="3" t="str">
        <f>IFERROR(__xludf.DUMMYFUNCTION("""COMPUTED_VALUE"""),"Pieces")</f>
        <v>Pieces</v>
      </c>
      <c r="I370" s="3" t="str">
        <f>IFERROR(__xludf.DUMMYFUNCTION("""COMPUTED_VALUE"""),"Min Stok cRABS 121703076 2635")</f>
        <v>Min Stok cRABS 121703076 2635</v>
      </c>
      <c r="J370" s="3" t="str">
        <f>IFERROR(__xludf.DUMMYFUNCTION("""COMPUTED_VALUE"""),"O-19383-00")</f>
        <v>O-19383-00</v>
      </c>
      <c r="K370" s="3" t="str">
        <f>IFERROR(__xludf.DUMMYFUNCTION("""COMPUTED_VALUE"""),"Approve")</f>
        <v>Approve</v>
      </c>
      <c r="L370" s="3" t="str">
        <f>IFERROR(__xludf.DUMMYFUNCTION("""COMPUTED_VALUE"""),"Normal")</f>
        <v>Normal</v>
      </c>
      <c r="M370" s="3" t="str">
        <f>IFERROR(__xludf.DUMMYFUNCTION("""COMPUTED_VALUE"""),"Non Urgent")</f>
        <v>Non Urgent</v>
      </c>
      <c r="N370" s="3">
        <f>IFERROR(__xludf.DUMMYFUNCTION("""COMPUTED_VALUE"""),45921.694135185186)</f>
        <v>45921.69414</v>
      </c>
    </row>
    <row r="371">
      <c r="A371" s="4">
        <f>IFERROR(__xludf.DUMMYFUNCTION("""COMPUTED_VALUE"""),45921.5119862963)</f>
        <v>45921.51199</v>
      </c>
      <c r="B371" s="3" t="str">
        <f>IFERROR(__xludf.DUMMYFUNCTION("""COMPUTED_VALUE"""),"MFHRO0198")</f>
        <v>MFHRO0198</v>
      </c>
      <c r="C371" s="3" t="str">
        <f>IFERROR(__xludf.DUMMYFUNCTION("""COMPUTED_VALUE"""),"MIn Stok")</f>
        <v>MIn Stok</v>
      </c>
      <c r="D371" s="3" t="str">
        <f>IFERROR(__xludf.DUMMYFUNCTION("""COMPUTED_VALUE"""),"-")</f>
        <v>-</v>
      </c>
      <c r="E371" s="3" t="str">
        <f>IFERROR(__xludf.DUMMYFUNCTION("""COMPUTED_VALUE"""),"cRABS")</f>
        <v>cRABS</v>
      </c>
      <c r="F371" s="3" t="str">
        <f>IFERROR(__xludf.DUMMYFUNCTION("""COMPUTED_VALUE"""),"HEPA filter minipleat, size: 610X305X93 H13; Hencolin; ;")</f>
        <v>HEPA filter minipleat, size: 610X305X93 H13; Hencolin; ;</v>
      </c>
      <c r="G371" s="3">
        <f>IFERROR(__xludf.DUMMYFUNCTION("""COMPUTED_VALUE"""),2.0)</f>
        <v>2</v>
      </c>
      <c r="H371" s="3" t="str">
        <f>IFERROR(__xludf.DUMMYFUNCTION("""COMPUTED_VALUE"""),"Pieces")</f>
        <v>Pieces</v>
      </c>
      <c r="I371" s="3" t="str">
        <f>IFERROR(__xludf.DUMMYFUNCTION("""COMPUTED_VALUE"""),"Min Stok cRABS 121703076 2636")</f>
        <v>Min Stok cRABS 121703076 2636</v>
      </c>
      <c r="J371" s="3" t="str">
        <f>IFERROR(__xludf.DUMMYFUNCTION("""COMPUTED_VALUE"""),"O-19391-00")</f>
        <v>O-19391-00</v>
      </c>
      <c r="K371" s="3" t="str">
        <f>IFERROR(__xludf.DUMMYFUNCTION("""COMPUTED_VALUE"""),"Approve")</f>
        <v>Approve</v>
      </c>
      <c r="L371" s="3" t="str">
        <f>IFERROR(__xludf.DUMMYFUNCTION("""COMPUTED_VALUE"""),"Normal")</f>
        <v>Normal</v>
      </c>
      <c r="M371" s="3" t="str">
        <f>IFERROR(__xludf.DUMMYFUNCTION("""COMPUTED_VALUE"""),"Non Urgent")</f>
        <v>Non Urgent</v>
      </c>
      <c r="N371" s="3">
        <f>IFERROR(__xludf.DUMMYFUNCTION("""COMPUTED_VALUE"""),45921.69427451389)</f>
        <v>45921.69427</v>
      </c>
    </row>
    <row r="372">
      <c r="A372" s="4">
        <f>IFERROR(__xludf.DUMMYFUNCTION("""COMPUTED_VALUE"""),45921.5119862963)</f>
        <v>45921.51199</v>
      </c>
      <c r="B372" s="3" t="str">
        <f>IFERROR(__xludf.DUMMYFUNCTION("""COMPUTED_VALUE"""),"MFHRO0199")</f>
        <v>MFHRO0199</v>
      </c>
      <c r="C372" s="3" t="str">
        <f>IFERROR(__xludf.DUMMYFUNCTION("""COMPUTED_VALUE"""),"MIn Stok")</f>
        <v>MIn Stok</v>
      </c>
      <c r="D372" s="3" t="str">
        <f>IFERROR(__xludf.DUMMYFUNCTION("""COMPUTED_VALUE"""),"-")</f>
        <v>-</v>
      </c>
      <c r="E372" s="3" t="str">
        <f>IFERROR(__xludf.DUMMYFUNCTION("""COMPUTED_VALUE"""),"Capping")</f>
        <v>Capping</v>
      </c>
      <c r="F372" s="3" t="str">
        <f>IFERROR(__xludf.DUMMYFUNCTION("""COMPUTED_VALUE"""),"Capping VCM200 - Coupling for Encoder NBK MST 32 - P/N : -  pc")</f>
        <v>Capping VCM200 - Coupling for Encoder NBK MST 32 - P/N : -  pc</v>
      </c>
      <c r="G372" s="3">
        <f>IFERROR(__xludf.DUMMYFUNCTION("""COMPUTED_VALUE"""),2.0)</f>
        <v>2</v>
      </c>
      <c r="H372" s="3" t="str">
        <f>IFERROR(__xludf.DUMMYFUNCTION("""COMPUTED_VALUE"""),"Pieces")</f>
        <v>Pieces</v>
      </c>
      <c r="I372" s="3" t="str">
        <f>IFERROR(__xludf.DUMMYFUNCTION("""COMPUTED_VALUE"""),"Min Stok Capping 121703078 2637")</f>
        <v>Min Stok Capping 121703078 2637</v>
      </c>
      <c r="J372" s="3" t="str">
        <f>IFERROR(__xludf.DUMMYFUNCTION("""COMPUTED_VALUE"""),"O-16706-00")</f>
        <v>O-16706-00</v>
      </c>
      <c r="K372" s="3" t="str">
        <f>IFERROR(__xludf.DUMMYFUNCTION("""COMPUTED_VALUE"""),"Approve")</f>
        <v>Approve</v>
      </c>
      <c r="L372" s="3" t="str">
        <f>IFERROR(__xludf.DUMMYFUNCTION("""COMPUTED_VALUE"""),"Normal")</f>
        <v>Normal</v>
      </c>
      <c r="M372" s="3" t="str">
        <f>IFERROR(__xludf.DUMMYFUNCTION("""COMPUTED_VALUE"""),"Non Urgent")</f>
        <v>Non Urgent</v>
      </c>
      <c r="N372" s="3">
        <f>IFERROR(__xludf.DUMMYFUNCTION("""COMPUTED_VALUE"""),45921.6957337037)</f>
        <v>45921.69573</v>
      </c>
    </row>
    <row r="373">
      <c r="A373" s="4">
        <f>IFERROR(__xludf.DUMMYFUNCTION("""COMPUTED_VALUE"""),45921.5119862963)</f>
        <v>45921.51199</v>
      </c>
      <c r="B373" s="3" t="str">
        <f>IFERROR(__xludf.DUMMYFUNCTION("""COMPUTED_VALUE"""),"MFHRO0200")</f>
        <v>MFHRO0200</v>
      </c>
      <c r="C373" s="3" t="str">
        <f>IFERROR(__xludf.DUMMYFUNCTION("""COMPUTED_VALUE"""),"Consumable")</f>
        <v>Consumable</v>
      </c>
      <c r="D373" s="3" t="str">
        <f>IFERROR(__xludf.DUMMYFUNCTION("""COMPUTED_VALUE"""),"-")</f>
        <v>-</v>
      </c>
      <c r="E373" s="3" t="str">
        <f>IFERROR(__xludf.DUMMYFUNCTION("""COMPUTED_VALUE"""),"Washing")</f>
        <v>Washing</v>
      </c>
      <c r="F373" s="3" t="str">
        <f>IFERROR(__xludf.DUMMYFUNCTION("""COMPUTED_VALUE"""),"General - Air Gripper; SMC; MHZJ2 20DS X43 X81B; 1 Pc")</f>
        <v>General - Air Gripper; SMC; MHZJ2 20DS X43 X81B; 1 Pc</v>
      </c>
      <c r="G373" s="3">
        <f>IFERROR(__xludf.DUMMYFUNCTION("""COMPUTED_VALUE"""),5.0)</f>
        <v>5</v>
      </c>
      <c r="H373" s="3" t="str">
        <f>IFERROR(__xludf.DUMMYFUNCTION("""COMPUTED_VALUE"""),"Pieces")</f>
        <v>Pieces</v>
      </c>
      <c r="I373" s="3" t="str">
        <f>IFERROR(__xludf.DUMMYFUNCTION("""COMPUTED_VALUE"""),"Untuk Washing 121703081 2640")</f>
        <v>Untuk Washing 121703081 2640</v>
      </c>
      <c r="J373" s="3" t="str">
        <f>IFERROR(__xludf.DUMMYFUNCTION("""COMPUTED_VALUE"""),"O-20913-00")</f>
        <v>O-20913-00</v>
      </c>
      <c r="K373" s="3" t="str">
        <f>IFERROR(__xludf.DUMMYFUNCTION("""COMPUTED_VALUE"""),"Approve")</f>
        <v>Approve</v>
      </c>
      <c r="L373" s="3" t="str">
        <f>IFERROR(__xludf.DUMMYFUNCTION("""COMPUTED_VALUE"""),"Normal")</f>
        <v>Normal</v>
      </c>
      <c r="M373" s="3" t="str">
        <f>IFERROR(__xludf.DUMMYFUNCTION("""COMPUTED_VALUE"""),"Non Urgent")</f>
        <v>Non Urgent</v>
      </c>
      <c r="N373" s="3">
        <f>IFERROR(__xludf.DUMMYFUNCTION("""COMPUTED_VALUE"""),45921.69586424768)</f>
        <v>45921.69586</v>
      </c>
    </row>
    <row r="374">
      <c r="A374" s="4">
        <f>IFERROR(__xludf.DUMMYFUNCTION("""COMPUTED_VALUE"""),45921.5119862963)</f>
        <v>45921.51199</v>
      </c>
      <c r="B374" s="3" t="str">
        <f>IFERROR(__xludf.DUMMYFUNCTION("""COMPUTED_VALUE"""),"MFHRO0201")</f>
        <v>MFHRO0201</v>
      </c>
      <c r="C374" s="3" t="str">
        <f>IFERROR(__xludf.DUMMYFUNCTION("""COMPUTED_VALUE"""),"MIn Stok")</f>
        <v>MIn Stok</v>
      </c>
      <c r="D374" s="3" t="str">
        <f>IFERROR(__xludf.DUMMYFUNCTION("""COMPUTED_VALUE"""),"-")</f>
        <v>-</v>
      </c>
      <c r="E374" s="3" t="str">
        <f>IFERROR(__xludf.DUMMYFUNCTION("""COMPUTED_VALUE"""),"Capping")</f>
        <v>Capping</v>
      </c>
      <c r="F374" s="3" t="str">
        <f>IFERROR(__xludf.DUMMYFUNCTION("""COMPUTED_VALUE"""),"Misumi - Linear Shaft PSFAA8-46-F11-P6-M3-N3; ; ;")</f>
        <v>Misumi - Linear Shaft PSFAA8-46-F11-P6-M3-N3; ; ;</v>
      </c>
      <c r="G374" s="3">
        <f>IFERROR(__xludf.DUMMYFUNCTION("""COMPUTED_VALUE"""),1.0)</f>
        <v>1</v>
      </c>
      <c r="H374" s="3" t="str">
        <f>IFERROR(__xludf.DUMMYFUNCTION("""COMPUTED_VALUE"""),"Pieces")</f>
        <v>Pieces</v>
      </c>
      <c r="I374" s="3" t="str">
        <f>IFERROR(__xludf.DUMMYFUNCTION("""COMPUTED_VALUE"""),"Min Stok Capping 121703083 2641")</f>
        <v>Min Stok Capping 121703083 2641</v>
      </c>
      <c r="J374" s="3" t="str">
        <f>IFERROR(__xludf.DUMMYFUNCTION("""COMPUTED_VALUE"""),"O-19005-00")</f>
        <v>O-19005-00</v>
      </c>
      <c r="K374" s="3" t="str">
        <f>IFERROR(__xludf.DUMMYFUNCTION("""COMPUTED_VALUE"""),"Approve")</f>
        <v>Approve</v>
      </c>
      <c r="L374" s="3" t="str">
        <f>IFERROR(__xludf.DUMMYFUNCTION("""COMPUTED_VALUE"""),"Normal")</f>
        <v>Normal</v>
      </c>
      <c r="M374" s="3" t="str">
        <f>IFERROR(__xludf.DUMMYFUNCTION("""COMPUTED_VALUE"""),"Non Urgent")</f>
        <v>Non Urgent</v>
      </c>
      <c r="N374" s="3">
        <f>IFERROR(__xludf.DUMMYFUNCTION("""COMPUTED_VALUE"""),45921.69599518519)</f>
        <v>45921.696</v>
      </c>
    </row>
    <row r="375">
      <c r="A375" s="4">
        <f>IFERROR(__xludf.DUMMYFUNCTION("""COMPUTED_VALUE"""),45921.5119862963)</f>
        <v>45921.51199</v>
      </c>
      <c r="B375" s="3" t="str">
        <f>IFERROR(__xludf.DUMMYFUNCTION("""COMPUTED_VALUE"""),"MFHRO0202")</f>
        <v>MFHRO0202</v>
      </c>
      <c r="C375" s="3" t="str">
        <f>IFERROR(__xludf.DUMMYFUNCTION("""COMPUTED_VALUE"""),"Consumable")</f>
        <v>Consumable</v>
      </c>
      <c r="D375" s="3" t="str">
        <f>IFERROR(__xludf.DUMMYFUNCTION("""COMPUTED_VALUE"""),"-")</f>
        <v>-</v>
      </c>
      <c r="E375" s="3" t="str">
        <f>IFERROR(__xludf.DUMMYFUNCTION("""COMPUTED_VALUE"""),"Tools")</f>
        <v>Tools</v>
      </c>
      <c r="F375" s="3" t="str">
        <f>IFERROR(__xludf.DUMMYFUNCTION("""COMPUTED_VALUE"""),"Jangka Sorong Digital / Digital Caliper; Mitutoyo; CN: 500-197-30; pc")</f>
        <v>Jangka Sorong Digital / Digital Caliper; Mitutoyo; CN: 500-197-30; pc</v>
      </c>
      <c r="G375" s="3">
        <f>IFERROR(__xludf.DUMMYFUNCTION("""COMPUTED_VALUE"""),1.0)</f>
        <v>1</v>
      </c>
      <c r="H375" s="3" t="str">
        <f>IFERROR(__xludf.DUMMYFUNCTION("""COMPUTED_VALUE"""),"Pieces")</f>
        <v>Pieces</v>
      </c>
      <c r="I375" s="3" t="str">
        <f>IFERROR(__xludf.DUMMYFUNCTION("""COMPUTED_VALUE"""),"Untuk Tools Engineering 121703089 2648")</f>
        <v>Untuk Tools Engineering 121703089 2648</v>
      </c>
      <c r="J375" s="3" t="str">
        <f>IFERROR(__xludf.DUMMYFUNCTION("""COMPUTED_VALUE"""),"Q-70149-00")</f>
        <v>Q-70149-00</v>
      </c>
      <c r="K375" s="3" t="str">
        <f>IFERROR(__xludf.DUMMYFUNCTION("""COMPUTED_VALUE"""),"Approve")</f>
        <v>Approve</v>
      </c>
      <c r="L375" s="3" t="str">
        <f>IFERROR(__xludf.DUMMYFUNCTION("""COMPUTED_VALUE"""),"Normal")</f>
        <v>Normal</v>
      </c>
      <c r="M375" s="3" t="str">
        <f>IFERROR(__xludf.DUMMYFUNCTION("""COMPUTED_VALUE"""),"Non Urgent")</f>
        <v>Non Urgent</v>
      </c>
      <c r="N375" s="3">
        <f>IFERROR(__xludf.DUMMYFUNCTION("""COMPUTED_VALUE"""),45921.69652503473)</f>
        <v>45921.69653</v>
      </c>
    </row>
    <row r="376">
      <c r="A376" s="4">
        <f>IFERROR(__xludf.DUMMYFUNCTION("""COMPUTED_VALUE"""),45921.5119862963)</f>
        <v>45921.51199</v>
      </c>
      <c r="B376" s="3" t="str">
        <f>IFERROR(__xludf.DUMMYFUNCTION("""COMPUTED_VALUE"""),"MFHRO0203")</f>
        <v>MFHRO0203</v>
      </c>
      <c r="C376" s="3" t="str">
        <f>IFERROR(__xludf.DUMMYFUNCTION("""COMPUTED_VALUE"""),"Consumable")</f>
        <v>Consumable</v>
      </c>
      <c r="D376" s="3" t="str">
        <f>IFERROR(__xludf.DUMMYFUNCTION("""COMPUTED_VALUE"""),"-")</f>
        <v>-</v>
      </c>
      <c r="E376" s="3" t="str">
        <f>IFERROR(__xludf.DUMMYFUNCTION("""COMPUTED_VALUE"""),"Tools")</f>
        <v>Tools</v>
      </c>
      <c r="F376" s="3" t="str">
        <f>IFERROR(__xludf.DUMMYFUNCTION("""COMPUTED_VALUE"""),"Kunci L Bintang / Torx Key Uk. 10 mm; Tekiro; HK-TL1221; pc")</f>
        <v>Kunci L Bintang / Torx Key Uk. 10 mm; Tekiro; HK-TL1221; pc</v>
      </c>
      <c r="G376" s="3">
        <f>IFERROR(__xludf.DUMMYFUNCTION("""COMPUTED_VALUE"""),1.0)</f>
        <v>1</v>
      </c>
      <c r="H376" s="3" t="str">
        <f>IFERROR(__xludf.DUMMYFUNCTION("""COMPUTED_VALUE"""),"Pieces")</f>
        <v>Pieces</v>
      </c>
      <c r="I376" s="3" t="str">
        <f>IFERROR(__xludf.DUMMYFUNCTION("""COMPUTED_VALUE"""),"Untuk Tools Engineering 121703089 2649")</f>
        <v>Untuk Tools Engineering 121703089 2649</v>
      </c>
      <c r="J376" s="3" t="str">
        <f>IFERROR(__xludf.DUMMYFUNCTION("""COMPUTED_VALUE"""),"Q-70167-00")</f>
        <v>Q-70167-00</v>
      </c>
      <c r="K376" s="3" t="str">
        <f>IFERROR(__xludf.DUMMYFUNCTION("""COMPUTED_VALUE"""),"Approve")</f>
        <v>Approve</v>
      </c>
      <c r="L376" s="3" t="str">
        <f>IFERROR(__xludf.DUMMYFUNCTION("""COMPUTED_VALUE"""),"Normal")</f>
        <v>Normal</v>
      </c>
      <c r="M376" s="3" t="str">
        <f>IFERROR(__xludf.DUMMYFUNCTION("""COMPUTED_VALUE"""),"Non Urgent")</f>
        <v>Non Urgent</v>
      </c>
      <c r="N376" s="3">
        <f>IFERROR(__xludf.DUMMYFUNCTION("""COMPUTED_VALUE"""),45921.70288387731)</f>
        <v>45921.70288</v>
      </c>
    </row>
    <row r="377">
      <c r="A377" s="4">
        <f>IFERROR(__xludf.DUMMYFUNCTION("""COMPUTED_VALUE"""),45921.5119862963)</f>
        <v>45921.51199</v>
      </c>
      <c r="B377" s="3" t="str">
        <f>IFERROR(__xludf.DUMMYFUNCTION("""COMPUTED_VALUE"""),"MFHRO0204")</f>
        <v>MFHRO0204</v>
      </c>
      <c r="C377" s="3" t="str">
        <f>IFERROR(__xludf.DUMMYFUNCTION("""COMPUTED_VALUE"""),"Consumable")</f>
        <v>Consumable</v>
      </c>
      <c r="D377" s="3" t="str">
        <f>IFERROR(__xludf.DUMMYFUNCTION("""COMPUTED_VALUE"""),"-")</f>
        <v>-</v>
      </c>
      <c r="E377" s="3" t="str">
        <f>IFERROR(__xludf.DUMMYFUNCTION("""COMPUTED_VALUE"""),"Tools")</f>
        <v>Tools</v>
      </c>
      <c r="F377" s="3" t="str">
        <f>IFERROR(__xludf.DUMMYFUNCTION("""COMPUTED_VALUE"""),"Kunci L Uk. 1,5 mm; Tekiro; HK-LO1164; pc")</f>
        <v>Kunci L Uk. 1,5 mm; Tekiro; HK-LO1164; pc</v>
      </c>
      <c r="G377" s="3">
        <f>IFERROR(__xludf.DUMMYFUNCTION("""COMPUTED_VALUE"""),3.0)</f>
        <v>3</v>
      </c>
      <c r="H377" s="3" t="str">
        <f>IFERROR(__xludf.DUMMYFUNCTION("""COMPUTED_VALUE"""),"Pieces")</f>
        <v>Pieces</v>
      </c>
      <c r="I377" s="3" t="str">
        <f>IFERROR(__xludf.DUMMYFUNCTION("""COMPUTED_VALUE"""),"Untuk Tools Engineering 121703089 2652")</f>
        <v>Untuk Tools Engineering 121703089 2652</v>
      </c>
      <c r="J377" s="3" t="str">
        <f>IFERROR(__xludf.DUMMYFUNCTION("""COMPUTED_VALUE"""),"Q-70170-00")</f>
        <v>Q-70170-00</v>
      </c>
      <c r="K377" s="3" t="str">
        <f>IFERROR(__xludf.DUMMYFUNCTION("""COMPUTED_VALUE"""),"Approve")</f>
        <v>Approve</v>
      </c>
      <c r="L377" s="3" t="str">
        <f>IFERROR(__xludf.DUMMYFUNCTION("""COMPUTED_VALUE"""),"Normal")</f>
        <v>Normal</v>
      </c>
      <c r="M377" s="3" t="str">
        <f>IFERROR(__xludf.DUMMYFUNCTION("""COMPUTED_VALUE"""),"Non Urgent")</f>
        <v>Non Urgent</v>
      </c>
      <c r="N377" s="3">
        <f>IFERROR(__xludf.DUMMYFUNCTION("""COMPUTED_VALUE"""),45921.70307644676)</f>
        <v>45921.70308</v>
      </c>
    </row>
    <row r="378">
      <c r="A378" s="4">
        <f>IFERROR(__xludf.DUMMYFUNCTION("""COMPUTED_VALUE"""),45921.5119862963)</f>
        <v>45921.51199</v>
      </c>
      <c r="B378" s="3" t="str">
        <f>IFERROR(__xludf.DUMMYFUNCTION("""COMPUTED_VALUE"""),"MFHRO0205")</f>
        <v>MFHRO0205</v>
      </c>
      <c r="C378" s="3" t="str">
        <f>IFERROR(__xludf.DUMMYFUNCTION("""COMPUTED_VALUE"""),"Consumable")</f>
        <v>Consumable</v>
      </c>
      <c r="D378" s="3" t="str">
        <f>IFERROR(__xludf.DUMMYFUNCTION("""COMPUTED_VALUE"""),"-")</f>
        <v>-</v>
      </c>
      <c r="E378" s="3" t="str">
        <f>IFERROR(__xludf.DUMMYFUNCTION("""COMPUTED_VALUE"""),"Tools")</f>
        <v>Tools</v>
      </c>
      <c r="F378" s="3" t="str">
        <f>IFERROR(__xludf.DUMMYFUNCTION("""COMPUTED_VALUE"""),"Kunci L Uk 2 mm; Tekiro; HK-LO1165; pc")</f>
        <v>Kunci L Uk 2 mm; Tekiro; HK-LO1165; pc</v>
      </c>
      <c r="G378" s="3">
        <f>IFERROR(__xludf.DUMMYFUNCTION("""COMPUTED_VALUE"""),1.0)</f>
        <v>1</v>
      </c>
      <c r="H378" s="3" t="str">
        <f>IFERROR(__xludf.DUMMYFUNCTION("""COMPUTED_VALUE"""),"Pieces")</f>
        <v>Pieces</v>
      </c>
      <c r="I378" s="3" t="str">
        <f>IFERROR(__xludf.DUMMYFUNCTION("""COMPUTED_VALUE"""),"Untuk Tools Engineering 121703089 2653")</f>
        <v>Untuk Tools Engineering 121703089 2653</v>
      </c>
      <c r="J378" s="3" t="str">
        <f>IFERROR(__xludf.DUMMYFUNCTION("""COMPUTED_VALUE"""),"Q-70171-00")</f>
        <v>Q-70171-00</v>
      </c>
      <c r="K378" s="3" t="str">
        <f>IFERROR(__xludf.DUMMYFUNCTION("""COMPUTED_VALUE"""),"Approve")</f>
        <v>Approve</v>
      </c>
      <c r="L378" s="3" t="str">
        <f>IFERROR(__xludf.DUMMYFUNCTION("""COMPUTED_VALUE"""),"Normal")</f>
        <v>Normal</v>
      </c>
      <c r="M378" s="3" t="str">
        <f>IFERROR(__xludf.DUMMYFUNCTION("""COMPUTED_VALUE"""),"Non Urgent")</f>
        <v>Non Urgent</v>
      </c>
      <c r="N378" s="3">
        <f>IFERROR(__xludf.DUMMYFUNCTION("""COMPUTED_VALUE"""),45921.703233900465)</f>
        <v>45921.70323</v>
      </c>
    </row>
    <row r="379">
      <c r="A379" s="4">
        <f>IFERROR(__xludf.DUMMYFUNCTION("""COMPUTED_VALUE"""),45921.5119862963)</f>
        <v>45921.51199</v>
      </c>
      <c r="B379" s="3" t="str">
        <f>IFERROR(__xludf.DUMMYFUNCTION("""COMPUTED_VALUE"""),"MFHRO0206")</f>
        <v>MFHRO0206</v>
      </c>
      <c r="C379" s="3" t="str">
        <f>IFERROR(__xludf.DUMMYFUNCTION("""COMPUTED_VALUE"""),"Consumable")</f>
        <v>Consumable</v>
      </c>
      <c r="D379" s="3" t="str">
        <f>IFERROR(__xludf.DUMMYFUNCTION("""COMPUTED_VALUE"""),"-")</f>
        <v>-</v>
      </c>
      <c r="E379" s="3" t="str">
        <f>IFERROR(__xludf.DUMMYFUNCTION("""COMPUTED_VALUE"""),"Tools")</f>
        <v>Tools</v>
      </c>
      <c r="F379" s="3" t="str">
        <f>IFERROR(__xludf.DUMMYFUNCTION("""COMPUTED_VALUE"""),"Kunci L uk. 3 mm; Tekiro; HK-LO1166; pc")</f>
        <v>Kunci L uk. 3 mm; Tekiro; HK-LO1166; pc</v>
      </c>
      <c r="G379" s="3">
        <f>IFERROR(__xludf.DUMMYFUNCTION("""COMPUTED_VALUE"""),1.0)</f>
        <v>1</v>
      </c>
      <c r="H379" s="3" t="str">
        <f>IFERROR(__xludf.DUMMYFUNCTION("""COMPUTED_VALUE"""),"Pieces")</f>
        <v>Pieces</v>
      </c>
      <c r="I379" s="3" t="str">
        <f>IFERROR(__xludf.DUMMYFUNCTION("""COMPUTED_VALUE"""),"Untuk Tools Engineering 121703089 2654")</f>
        <v>Untuk Tools Engineering 121703089 2654</v>
      </c>
      <c r="J379" s="3" t="str">
        <f>IFERROR(__xludf.DUMMYFUNCTION("""COMPUTED_VALUE"""),"Q-70172-00")</f>
        <v>Q-70172-00</v>
      </c>
      <c r="K379" s="3" t="str">
        <f>IFERROR(__xludf.DUMMYFUNCTION("""COMPUTED_VALUE"""),"Approve")</f>
        <v>Approve</v>
      </c>
      <c r="L379" s="3" t="str">
        <f>IFERROR(__xludf.DUMMYFUNCTION("""COMPUTED_VALUE"""),"Normal")</f>
        <v>Normal</v>
      </c>
      <c r="M379" s="3" t="str">
        <f>IFERROR(__xludf.DUMMYFUNCTION("""COMPUTED_VALUE"""),"Non Urgent")</f>
        <v>Non Urgent</v>
      </c>
      <c r="N379" s="3">
        <f>IFERROR(__xludf.DUMMYFUNCTION("""COMPUTED_VALUE"""),45921.70336849537)</f>
        <v>45921.70337</v>
      </c>
    </row>
    <row r="380">
      <c r="A380" s="4">
        <f>IFERROR(__xludf.DUMMYFUNCTION("""COMPUTED_VALUE"""),45921.5119862963)</f>
        <v>45921.51199</v>
      </c>
      <c r="B380" s="3" t="str">
        <f>IFERROR(__xludf.DUMMYFUNCTION("""COMPUTED_VALUE"""),"MFHRO0207")</f>
        <v>MFHRO0207</v>
      </c>
      <c r="C380" s="3" t="str">
        <f>IFERROR(__xludf.DUMMYFUNCTION("""COMPUTED_VALUE"""),"Consumable")</f>
        <v>Consumable</v>
      </c>
      <c r="D380" s="3" t="str">
        <f>IFERROR(__xludf.DUMMYFUNCTION("""COMPUTED_VALUE"""),"-")</f>
        <v>-</v>
      </c>
      <c r="E380" s="3" t="str">
        <f>IFERROR(__xludf.DUMMYFUNCTION("""COMPUTED_VALUE"""),"Tools")</f>
        <v>Tools</v>
      </c>
      <c r="F380" s="3" t="str">
        <f>IFERROR(__xludf.DUMMYFUNCTION("""COMPUTED_VALUE"""),"Kunci L Bintang / Torx Key Uk. 20 mm; Tekiro; HK-TL1223; pc")</f>
        <v>Kunci L Bintang / Torx Key Uk. 20 mm; Tekiro; HK-TL1223; pc</v>
      </c>
      <c r="G380" s="3">
        <f>IFERROR(__xludf.DUMMYFUNCTION("""COMPUTED_VALUE"""),1.0)</f>
        <v>1</v>
      </c>
      <c r="H380" s="3" t="str">
        <f>IFERROR(__xludf.DUMMYFUNCTION("""COMPUTED_VALUE"""),"Pieces")</f>
        <v>Pieces</v>
      </c>
      <c r="I380" s="3" t="str">
        <f>IFERROR(__xludf.DUMMYFUNCTION("""COMPUTED_VALUE"""),"Untuk Tools Engineering 121703089 2655")</f>
        <v>Untuk Tools Engineering 121703089 2655</v>
      </c>
      <c r="J380" s="3" t="str">
        <f>IFERROR(__xludf.DUMMYFUNCTION("""COMPUTED_VALUE"""),"Q-70173-00")</f>
        <v>Q-70173-00</v>
      </c>
      <c r="K380" s="3" t="str">
        <f>IFERROR(__xludf.DUMMYFUNCTION("""COMPUTED_VALUE"""),"Approve")</f>
        <v>Approve</v>
      </c>
      <c r="L380" s="3" t="str">
        <f>IFERROR(__xludf.DUMMYFUNCTION("""COMPUTED_VALUE"""),"Normal")</f>
        <v>Normal</v>
      </c>
      <c r="M380" s="3" t="str">
        <f>IFERROR(__xludf.DUMMYFUNCTION("""COMPUTED_VALUE"""),"Non Urgent")</f>
        <v>Non Urgent</v>
      </c>
      <c r="N380" s="3">
        <f>IFERROR(__xludf.DUMMYFUNCTION("""COMPUTED_VALUE"""),45921.70352631944)</f>
        <v>45921.70353</v>
      </c>
    </row>
    <row r="381">
      <c r="A381" s="4">
        <f>IFERROR(__xludf.DUMMYFUNCTION("""COMPUTED_VALUE"""),45921.5119862963)</f>
        <v>45921.51199</v>
      </c>
      <c r="B381" s="3" t="str">
        <f>IFERROR(__xludf.DUMMYFUNCTION("""COMPUTED_VALUE"""),"MFHRO0208")</f>
        <v>MFHRO0208</v>
      </c>
      <c r="C381" s="3" t="str">
        <f>IFERROR(__xludf.DUMMYFUNCTION("""COMPUTED_VALUE"""),"Consumable")</f>
        <v>Consumable</v>
      </c>
      <c r="D381" s="3" t="str">
        <f>IFERROR(__xludf.DUMMYFUNCTION("""COMPUTED_VALUE"""),"-")</f>
        <v>-</v>
      </c>
      <c r="E381" s="3" t="str">
        <f>IFERROR(__xludf.DUMMYFUNCTION("""COMPUTED_VALUE"""),"Tools")</f>
        <v>Tools</v>
      </c>
      <c r="F381" s="3" t="str">
        <f>IFERROR(__xludf.DUMMYFUNCTION("""COMPUTED_VALUE"""),"Kunci L Bintang / Torx Key Uk. 25 mm; Tekiro; HK-TL1224; pc")</f>
        <v>Kunci L Bintang / Torx Key Uk. 25 mm; Tekiro; HK-TL1224; pc</v>
      </c>
      <c r="G381" s="3">
        <f>IFERROR(__xludf.DUMMYFUNCTION("""COMPUTED_VALUE"""),1.0)</f>
        <v>1</v>
      </c>
      <c r="H381" s="3" t="str">
        <f>IFERROR(__xludf.DUMMYFUNCTION("""COMPUTED_VALUE"""),"Pieces")</f>
        <v>Pieces</v>
      </c>
      <c r="I381" s="3" t="str">
        <f>IFERROR(__xludf.DUMMYFUNCTION("""COMPUTED_VALUE"""),"Untuk Tools Engineering 121703089 2656")</f>
        <v>Untuk Tools Engineering 121703089 2656</v>
      </c>
      <c r="J381" s="3" t="str">
        <f>IFERROR(__xludf.DUMMYFUNCTION("""COMPUTED_VALUE"""),"Q-70174-00")</f>
        <v>Q-70174-00</v>
      </c>
      <c r="K381" s="3" t="str">
        <f>IFERROR(__xludf.DUMMYFUNCTION("""COMPUTED_VALUE"""),"Approve")</f>
        <v>Approve</v>
      </c>
      <c r="L381" s="3" t="str">
        <f>IFERROR(__xludf.DUMMYFUNCTION("""COMPUTED_VALUE"""),"Normal")</f>
        <v>Normal</v>
      </c>
      <c r="M381" s="3" t="str">
        <f>IFERROR(__xludf.DUMMYFUNCTION("""COMPUTED_VALUE"""),"Non Urgent")</f>
        <v>Non Urgent</v>
      </c>
      <c r="N381" s="3">
        <f>IFERROR(__xludf.DUMMYFUNCTION("""COMPUTED_VALUE"""),45921.7043553588)</f>
        <v>45921.70436</v>
      </c>
    </row>
    <row r="382">
      <c r="A382" s="4">
        <f>IFERROR(__xludf.DUMMYFUNCTION("""COMPUTED_VALUE"""),45921.5119862963)</f>
        <v>45921.51199</v>
      </c>
      <c r="B382" s="3" t="str">
        <f>IFERROR(__xludf.DUMMYFUNCTION("""COMPUTED_VALUE"""),"MFHRO0209")</f>
        <v>MFHRO0209</v>
      </c>
      <c r="C382" s="3" t="str">
        <f>IFERROR(__xludf.DUMMYFUNCTION("""COMPUTED_VALUE"""),"Consumable")</f>
        <v>Consumable</v>
      </c>
      <c r="D382" s="3" t="str">
        <f>IFERROR(__xludf.DUMMYFUNCTION("""COMPUTED_VALUE"""),"-")</f>
        <v>-</v>
      </c>
      <c r="E382" s="3" t="str">
        <f>IFERROR(__xludf.DUMMYFUNCTION("""COMPUTED_VALUE"""),"Tools")</f>
        <v>Tools</v>
      </c>
      <c r="F382" s="3" t="str">
        <f>IFERROR(__xludf.DUMMYFUNCTION("""COMPUTED_VALUE"""),"Kunci L Bintang / Torx Key Uk. 50 mm; Tekiro; HK-TL1228; pc")</f>
        <v>Kunci L Bintang / Torx Key Uk. 50 mm; Tekiro; HK-TL1228; pc</v>
      </c>
      <c r="G382" s="3">
        <f>IFERROR(__xludf.DUMMYFUNCTION("""COMPUTED_VALUE"""),1.0)</f>
        <v>1</v>
      </c>
      <c r="H382" s="3" t="str">
        <f>IFERROR(__xludf.DUMMYFUNCTION("""COMPUTED_VALUE"""),"Pieces")</f>
        <v>Pieces</v>
      </c>
      <c r="I382" s="3" t="str">
        <f>IFERROR(__xludf.DUMMYFUNCTION("""COMPUTED_VALUE"""),"Untuk Tools Engineering 121703089 2657")</f>
        <v>Untuk Tools Engineering 121703089 2657</v>
      </c>
      <c r="J382" s="3" t="str">
        <f>IFERROR(__xludf.DUMMYFUNCTION("""COMPUTED_VALUE"""),"Q-70175-00")</f>
        <v>Q-70175-00</v>
      </c>
      <c r="K382" s="3" t="str">
        <f>IFERROR(__xludf.DUMMYFUNCTION("""COMPUTED_VALUE"""),"Approve")</f>
        <v>Approve</v>
      </c>
      <c r="L382" s="3" t="str">
        <f>IFERROR(__xludf.DUMMYFUNCTION("""COMPUTED_VALUE"""),"Normal")</f>
        <v>Normal</v>
      </c>
      <c r="M382" s="3" t="str">
        <f>IFERROR(__xludf.DUMMYFUNCTION("""COMPUTED_VALUE"""),"Non Urgent")</f>
        <v>Non Urgent</v>
      </c>
      <c r="N382" s="3">
        <f>IFERROR(__xludf.DUMMYFUNCTION("""COMPUTED_VALUE"""),45921.704543263884)</f>
        <v>45921.70454</v>
      </c>
    </row>
    <row r="383">
      <c r="A383" s="4">
        <f>IFERROR(__xludf.DUMMYFUNCTION("""COMPUTED_VALUE"""),45921.5119862963)</f>
        <v>45921.51199</v>
      </c>
      <c r="B383" s="3" t="str">
        <f>IFERROR(__xludf.DUMMYFUNCTION("""COMPUTED_VALUE"""),"MFHRO0210")</f>
        <v>MFHRO0210</v>
      </c>
      <c r="C383" s="3" t="str">
        <f>IFERROR(__xludf.DUMMYFUNCTION("""COMPUTED_VALUE"""),"Consumable")</f>
        <v>Consumable</v>
      </c>
      <c r="D383" s="3" t="str">
        <f>IFERROR(__xludf.DUMMYFUNCTION("""COMPUTED_VALUE"""),"-")</f>
        <v>-</v>
      </c>
      <c r="E383" s="3" t="str">
        <f>IFERROR(__xludf.DUMMYFUNCTION("""COMPUTED_VALUE"""),"Tools")</f>
        <v>Tools</v>
      </c>
      <c r="F383" s="3" t="str">
        <f>IFERROR(__xludf.DUMMYFUNCTION("""COMPUTED_VALUE"""),"Kunci Pas No 21 &amp; 23; Tekiro; WR-OE0086; pc")</f>
        <v>Kunci Pas No 21 &amp; 23; Tekiro; WR-OE0086; pc</v>
      </c>
      <c r="G383" s="3">
        <f>IFERROR(__xludf.DUMMYFUNCTION("""COMPUTED_VALUE"""),1.0)</f>
        <v>1</v>
      </c>
      <c r="H383" s="3" t="str">
        <f>IFERROR(__xludf.DUMMYFUNCTION("""COMPUTED_VALUE"""),"Pieces")</f>
        <v>Pieces</v>
      </c>
      <c r="I383" s="3" t="str">
        <f>IFERROR(__xludf.DUMMYFUNCTION("""COMPUTED_VALUE"""),"Untuk Tools Engineering 121703089 2658")</f>
        <v>Untuk Tools Engineering 121703089 2658</v>
      </c>
      <c r="J383" s="3" t="str">
        <f>IFERROR(__xludf.DUMMYFUNCTION("""COMPUTED_VALUE"""),"Q-70176-00")</f>
        <v>Q-70176-00</v>
      </c>
      <c r="K383" s="3" t="str">
        <f>IFERROR(__xludf.DUMMYFUNCTION("""COMPUTED_VALUE"""),"Approve")</f>
        <v>Approve</v>
      </c>
      <c r="L383" s="3" t="str">
        <f>IFERROR(__xludf.DUMMYFUNCTION("""COMPUTED_VALUE"""),"Normal")</f>
        <v>Normal</v>
      </c>
      <c r="M383" s="3" t="str">
        <f>IFERROR(__xludf.DUMMYFUNCTION("""COMPUTED_VALUE"""),"Non Urgent")</f>
        <v>Non Urgent</v>
      </c>
      <c r="N383" s="3">
        <f>IFERROR(__xludf.DUMMYFUNCTION("""COMPUTED_VALUE"""),45921.70772074074)</f>
        <v>45921.70772</v>
      </c>
    </row>
    <row r="384">
      <c r="A384" s="4">
        <f>IFERROR(__xludf.DUMMYFUNCTION("""COMPUTED_VALUE"""),45921.5119862963)</f>
        <v>45921.51199</v>
      </c>
      <c r="B384" s="3" t="str">
        <f>IFERROR(__xludf.DUMMYFUNCTION("""COMPUTED_VALUE"""),"MFHRO0211")</f>
        <v>MFHRO0211</v>
      </c>
      <c r="C384" s="3" t="str">
        <f>IFERROR(__xludf.DUMMYFUNCTION("""COMPUTED_VALUE"""),"Consumable")</f>
        <v>Consumable</v>
      </c>
      <c r="D384" s="3" t="str">
        <f>IFERROR(__xludf.DUMMYFUNCTION("""COMPUTED_VALUE"""),"-")</f>
        <v>-</v>
      </c>
      <c r="E384" s="3" t="str">
        <f>IFERROR(__xludf.DUMMYFUNCTION("""COMPUTED_VALUE"""),"Tools")</f>
        <v>Tools</v>
      </c>
      <c r="F384" s="3" t="str">
        <f>IFERROR(__xludf.DUMMYFUNCTION("""COMPUTED_VALUE"""),"Tang Potong Uk. 5 Inch; SATA; CN: 05522; pc")</f>
        <v>Tang Potong Uk. 5 Inch; SATA; CN: 05522; pc</v>
      </c>
      <c r="G384" s="3">
        <f>IFERROR(__xludf.DUMMYFUNCTION("""COMPUTED_VALUE"""),3.0)</f>
        <v>3</v>
      </c>
      <c r="H384" s="3" t="str">
        <f>IFERROR(__xludf.DUMMYFUNCTION("""COMPUTED_VALUE"""),"Pieces")</f>
        <v>Pieces</v>
      </c>
      <c r="I384" s="3" t="str">
        <f>IFERROR(__xludf.DUMMYFUNCTION("""COMPUTED_VALUE"""),"Untuk Tools Engineering 121703089 2659")</f>
        <v>Untuk Tools Engineering 121703089 2659</v>
      </c>
      <c r="J384" s="3" t="str">
        <f>IFERROR(__xludf.DUMMYFUNCTION("""COMPUTED_VALUE"""),"Q-70178-00")</f>
        <v>Q-70178-00</v>
      </c>
      <c r="K384" s="3" t="str">
        <f>IFERROR(__xludf.DUMMYFUNCTION("""COMPUTED_VALUE"""),"Approve")</f>
        <v>Approve</v>
      </c>
      <c r="L384" s="3" t="str">
        <f>IFERROR(__xludf.DUMMYFUNCTION("""COMPUTED_VALUE"""),"Normal")</f>
        <v>Normal</v>
      </c>
      <c r="M384" s="3" t="str">
        <f>IFERROR(__xludf.DUMMYFUNCTION("""COMPUTED_VALUE"""),"Non Urgent")</f>
        <v>Non Urgent</v>
      </c>
      <c r="N384" s="3">
        <f>IFERROR(__xludf.DUMMYFUNCTION("""COMPUTED_VALUE"""),45921.70788212963)</f>
        <v>45921.70788</v>
      </c>
    </row>
    <row r="385">
      <c r="A385" s="4">
        <f>IFERROR(__xludf.DUMMYFUNCTION("""COMPUTED_VALUE"""),45921.5119862963)</f>
        <v>45921.51199</v>
      </c>
      <c r="B385" s="3" t="str">
        <f>IFERROR(__xludf.DUMMYFUNCTION("""COMPUTED_VALUE"""),"MFHRO0212")</f>
        <v>MFHRO0212</v>
      </c>
      <c r="C385" s="3" t="str">
        <f>IFERROR(__xludf.DUMMYFUNCTION("""COMPUTED_VALUE"""),"Consumable")</f>
        <v>Consumable</v>
      </c>
      <c r="D385" s="3" t="str">
        <f>IFERROR(__xludf.DUMMYFUNCTION("""COMPUTED_VALUE"""),"-")</f>
        <v>-</v>
      </c>
      <c r="E385" s="3" t="str">
        <f>IFERROR(__xludf.DUMMYFUNCTION("""COMPUTED_VALUE"""),"Tools")</f>
        <v>Tools</v>
      </c>
      <c r="F385" s="3" t="str">
        <f>IFERROR(__xludf.DUMMYFUNCTION("""COMPUTED_VALUE"""),"Obeng Listrik Presisi / Insulation Precision Screwdriver; Tekiro; SD-IP0930; 6 pc/set")</f>
        <v>Obeng Listrik Presisi / Insulation Precision Screwdriver; Tekiro; SD-IP0930; 6 pc/set</v>
      </c>
      <c r="G385" s="3">
        <f>IFERROR(__xludf.DUMMYFUNCTION("""COMPUTED_VALUE"""),1.0)</f>
        <v>1</v>
      </c>
      <c r="H385" s="3" t="str">
        <f>IFERROR(__xludf.DUMMYFUNCTION("""COMPUTED_VALUE"""),"Set")</f>
        <v>Set</v>
      </c>
      <c r="I385" s="3" t="str">
        <f>IFERROR(__xludf.DUMMYFUNCTION("""COMPUTED_VALUE"""),"Untuk Tools Engineering 121703090 2660")</f>
        <v>Untuk Tools Engineering 121703090 2660</v>
      </c>
      <c r="J385" s="3" t="str">
        <f>IFERROR(__xludf.DUMMYFUNCTION("""COMPUTED_VALUE"""),"Q-70181-00")</f>
        <v>Q-70181-00</v>
      </c>
      <c r="K385" s="3" t="str">
        <f>IFERROR(__xludf.DUMMYFUNCTION("""COMPUTED_VALUE"""),"Approve")</f>
        <v>Approve</v>
      </c>
      <c r="L385" s="3" t="str">
        <f>IFERROR(__xludf.DUMMYFUNCTION("""COMPUTED_VALUE"""),"Normal")</f>
        <v>Normal</v>
      </c>
      <c r="M385" s="3" t="str">
        <f>IFERROR(__xludf.DUMMYFUNCTION("""COMPUTED_VALUE"""),"Non Urgent")</f>
        <v>Non Urgent</v>
      </c>
      <c r="N385" s="3">
        <f>IFERROR(__xludf.DUMMYFUNCTION("""COMPUTED_VALUE"""),45921.70804644676)</f>
        <v>45921.70805</v>
      </c>
    </row>
    <row r="386">
      <c r="A386" s="4">
        <f>IFERROR(__xludf.DUMMYFUNCTION("""COMPUTED_VALUE"""),45921.5119862963)</f>
        <v>45921.51199</v>
      </c>
      <c r="B386" s="3" t="str">
        <f>IFERROR(__xludf.DUMMYFUNCTION("""COMPUTED_VALUE"""),"MFHRO0213")</f>
        <v>MFHRO0213</v>
      </c>
      <c r="C386" s="3" t="str">
        <f>IFERROR(__xludf.DUMMYFUNCTION("""COMPUTED_VALUE"""),"Consumable")</f>
        <v>Consumable</v>
      </c>
      <c r="D386" s="3" t="str">
        <f>IFERROR(__xludf.DUMMYFUNCTION("""COMPUTED_VALUE"""),"-")</f>
        <v>-</v>
      </c>
      <c r="E386" s="3" t="str">
        <f>IFERROR(__xludf.DUMMYFUNCTION("""COMPUTED_VALUE"""),"Tools")</f>
        <v>Tools</v>
      </c>
      <c r="F386" s="3" t="str">
        <f>IFERROR(__xludf.DUMMYFUNCTION("""COMPUTED_VALUE"""),"Obeng Listrik / Insulated Screwdriver Plus 2x100mm PH2; SATA; 61223; pc")</f>
        <v>Obeng Listrik / Insulated Screwdriver Plus 2x100mm PH2; SATA; 61223; pc</v>
      </c>
      <c r="G386" s="3">
        <f>IFERROR(__xludf.DUMMYFUNCTION("""COMPUTED_VALUE"""),6.0)</f>
        <v>6</v>
      </c>
      <c r="H386" s="3" t="str">
        <f>IFERROR(__xludf.DUMMYFUNCTION("""COMPUTED_VALUE"""),"Pieces")</f>
        <v>Pieces</v>
      </c>
      <c r="I386" s="3" t="str">
        <f>IFERROR(__xludf.DUMMYFUNCTION("""COMPUTED_VALUE"""),"Untuk Tools Engineering 121703090 2661")</f>
        <v>Untuk Tools Engineering 121703090 2661</v>
      </c>
      <c r="J386" s="3" t="str">
        <f>IFERROR(__xludf.DUMMYFUNCTION("""COMPUTED_VALUE"""),"Q-70184-00")</f>
        <v>Q-70184-00</v>
      </c>
      <c r="K386" s="3" t="str">
        <f>IFERROR(__xludf.DUMMYFUNCTION("""COMPUTED_VALUE"""),"Approve")</f>
        <v>Approve</v>
      </c>
      <c r="L386" s="3" t="str">
        <f>IFERROR(__xludf.DUMMYFUNCTION("""COMPUTED_VALUE"""),"Normal")</f>
        <v>Normal</v>
      </c>
      <c r="M386" s="3" t="str">
        <f>IFERROR(__xludf.DUMMYFUNCTION("""COMPUTED_VALUE"""),"Non Urgent")</f>
        <v>Non Urgent</v>
      </c>
      <c r="N386" s="3">
        <f>IFERROR(__xludf.DUMMYFUNCTION("""COMPUTED_VALUE"""),45921.708189247685)</f>
        <v>45921.70819</v>
      </c>
    </row>
    <row r="387">
      <c r="A387" s="4">
        <f>IFERROR(__xludf.DUMMYFUNCTION("""COMPUTED_VALUE"""),45921.5119862963)</f>
        <v>45921.51199</v>
      </c>
      <c r="B387" s="3" t="str">
        <f>IFERROR(__xludf.DUMMYFUNCTION("""COMPUTED_VALUE"""),"MFHRO0214")</f>
        <v>MFHRO0214</v>
      </c>
      <c r="C387" s="3" t="str">
        <f>IFERROR(__xludf.DUMMYFUNCTION("""COMPUTED_VALUE"""),"Consumable")</f>
        <v>Consumable</v>
      </c>
      <c r="D387" s="3" t="str">
        <f>IFERROR(__xludf.DUMMYFUNCTION("""COMPUTED_VALUE"""),"-")</f>
        <v>-</v>
      </c>
      <c r="E387" s="3" t="str">
        <f>IFERROR(__xludf.DUMMYFUNCTION("""COMPUTED_VALUE"""),"ATK")</f>
        <v>ATK</v>
      </c>
      <c r="F387" s="3" t="str">
        <f>IFERROR(__xludf.DUMMYFUNCTION("""COMPUTED_VALUE"""),"Kertas HVS Putih A4 70 gram;")</f>
        <v>Kertas HVS Putih A4 70 gram;</v>
      </c>
      <c r="G387" s="3">
        <f>IFERROR(__xludf.DUMMYFUNCTION("""COMPUTED_VALUE"""),10.0)</f>
        <v>10</v>
      </c>
      <c r="H387" s="3" t="str">
        <f>IFERROR(__xludf.DUMMYFUNCTION("""COMPUTED_VALUE"""),"Rim")</f>
        <v>Rim</v>
      </c>
      <c r="I387" s="3" t="str">
        <f>IFERROR(__xludf.DUMMYFUNCTION("""COMPUTED_VALUE"""),"Untuk ATK Engineering 121703106 2677")</f>
        <v>Untuk ATK Engineering 121703106 2677</v>
      </c>
      <c r="J387" s="3" t="str">
        <f>IFERROR(__xludf.DUMMYFUNCTION("""COMPUTED_VALUE"""),"T-80635-00")</f>
        <v>T-80635-00</v>
      </c>
      <c r="K387" s="3" t="str">
        <f>IFERROR(__xludf.DUMMYFUNCTION("""COMPUTED_VALUE"""),"Approve")</f>
        <v>Approve</v>
      </c>
      <c r="L387" s="3" t="str">
        <f>IFERROR(__xludf.DUMMYFUNCTION("""COMPUTED_VALUE"""),"Normal")</f>
        <v>Normal</v>
      </c>
      <c r="M387" s="3" t="str">
        <f>IFERROR(__xludf.DUMMYFUNCTION("""COMPUTED_VALUE"""),"Non Urgent")</f>
        <v>Non Urgent</v>
      </c>
      <c r="N387" s="3">
        <f>IFERROR(__xludf.DUMMYFUNCTION("""COMPUTED_VALUE"""),45921.70830957176)</f>
        <v>45921.70831</v>
      </c>
    </row>
    <row r="388">
      <c r="A388" s="4">
        <f>IFERROR(__xludf.DUMMYFUNCTION("""COMPUTED_VALUE"""),45921.5119862963)</f>
        <v>45921.51199</v>
      </c>
      <c r="B388" s="3" t="str">
        <f>IFERROR(__xludf.DUMMYFUNCTION("""COMPUTED_VALUE"""),"MFHRO0215")</f>
        <v>MFHRO0215</v>
      </c>
      <c r="C388" s="3" t="str">
        <f>IFERROR(__xludf.DUMMYFUNCTION("""COMPUTED_VALUE"""),"MIn Stok")</f>
        <v>MIn Stok</v>
      </c>
      <c r="D388" s="3" t="str">
        <f>IFERROR(__xludf.DUMMYFUNCTION("""COMPUTED_VALUE"""),"-")</f>
        <v>-</v>
      </c>
      <c r="E388" s="3" t="str">
        <f>IFERROR(__xludf.DUMMYFUNCTION("""COMPUTED_VALUE"""),"Autoclave")</f>
        <v>Autoclave</v>
      </c>
      <c r="F388" s="3" t="str">
        <f>IFERROR(__xludf.DUMMYFUNCTION("""COMPUTED_VALUE"""),"Fedegari FVA2/A1 S/N : NB2964AT - Cover Seal FVM-A/2 FOB2 (Code: PP600265); ; ;")</f>
        <v>Fedegari FVA2/A1 S/N : NB2964AT - Cover Seal FVM-A/2 FOB2 (Code: PP600265); ; ;</v>
      </c>
      <c r="G388" s="3">
        <f>IFERROR(__xludf.DUMMYFUNCTION("""COMPUTED_VALUE"""),2.0)</f>
        <v>2</v>
      </c>
      <c r="H388" s="3" t="str">
        <f>IFERROR(__xludf.DUMMYFUNCTION("""COMPUTED_VALUE"""),"Unit")</f>
        <v>Unit</v>
      </c>
      <c r="I388" s="3" t="str">
        <f>IFERROR(__xludf.DUMMYFUNCTION("""COMPUTED_VALUE"""),"Min Stok Autoclave 121703114 2680")</f>
        <v>Min Stok Autoclave 121703114 2680</v>
      </c>
      <c r="J388" s="3" t="str">
        <f>IFERROR(__xludf.DUMMYFUNCTION("""COMPUTED_VALUE"""),"P-15429-00")</f>
        <v>P-15429-00</v>
      </c>
      <c r="K388" s="3" t="str">
        <f>IFERROR(__xludf.DUMMYFUNCTION("""COMPUTED_VALUE"""),"Approve")</f>
        <v>Approve</v>
      </c>
      <c r="L388" s="3" t="str">
        <f>IFERROR(__xludf.DUMMYFUNCTION("""COMPUTED_VALUE"""),"Normal")</f>
        <v>Normal</v>
      </c>
      <c r="M388" s="3" t="str">
        <f>IFERROR(__xludf.DUMMYFUNCTION("""COMPUTED_VALUE"""),"Non Urgent")</f>
        <v>Non Urgent</v>
      </c>
      <c r="N388" s="3">
        <f>IFERROR(__xludf.DUMMYFUNCTION("""COMPUTED_VALUE"""),45921.70845464121)</f>
        <v>45921.70845</v>
      </c>
    </row>
    <row r="389">
      <c r="A389" s="4">
        <f>IFERROR(__xludf.DUMMYFUNCTION("""COMPUTED_VALUE"""),45921.5119862963)</f>
        <v>45921.51199</v>
      </c>
      <c r="B389" s="3" t="str">
        <f>IFERROR(__xludf.DUMMYFUNCTION("""COMPUTED_VALUE"""),"MFHRO0216")</f>
        <v>MFHRO0216</v>
      </c>
      <c r="C389" s="3" t="str">
        <f>IFERROR(__xludf.DUMMYFUNCTION("""COMPUTED_VALUE"""),"Consumable")</f>
        <v>Consumable</v>
      </c>
      <c r="D389" s="3" t="str">
        <f>IFERROR(__xludf.DUMMYFUNCTION("""COMPUTED_VALUE"""),"-")</f>
        <v>-</v>
      </c>
      <c r="E389" s="3" t="str">
        <f>IFERROR(__xludf.DUMMYFUNCTION("""COMPUTED_VALUE"""),"Tools")</f>
        <v>Tools</v>
      </c>
      <c r="F389" s="3" t="str">
        <f>IFERROR(__xludf.DUMMYFUNCTION("""COMPUTED_VALUE"""),"Jolly Box ; JX-3 No. 300; Lion Star; ;")</f>
        <v>Jolly Box ; JX-3 No. 300; Lion Star; ;</v>
      </c>
      <c r="G389" s="3">
        <f>IFERROR(__xludf.DUMMYFUNCTION("""COMPUTED_VALUE"""),250.0)</f>
        <v>250</v>
      </c>
      <c r="H389" s="3" t="str">
        <f>IFERROR(__xludf.DUMMYFUNCTION("""COMPUTED_VALUE"""),"Pieces")</f>
        <v>Pieces</v>
      </c>
      <c r="I389" s="3" t="str">
        <f>IFERROR(__xludf.DUMMYFUNCTION("""COMPUTED_VALUE"""),"Untuk Tools Engineering 121703115 2681")</f>
        <v>Untuk Tools Engineering 121703115 2681</v>
      </c>
      <c r="J389" s="3" t="str">
        <f>IFERROR(__xludf.DUMMYFUNCTION("""COMPUTED_VALUE"""),"S-46525-00")</f>
        <v>S-46525-00</v>
      </c>
      <c r="K389" s="3" t="str">
        <f>IFERROR(__xludf.DUMMYFUNCTION("""COMPUTED_VALUE"""),"Approve")</f>
        <v>Approve</v>
      </c>
      <c r="L389" s="3" t="str">
        <f>IFERROR(__xludf.DUMMYFUNCTION("""COMPUTED_VALUE"""),"Normal")</f>
        <v>Normal</v>
      </c>
      <c r="M389" s="3" t="str">
        <f>IFERROR(__xludf.DUMMYFUNCTION("""COMPUTED_VALUE"""),"Non Urgent")</f>
        <v>Non Urgent</v>
      </c>
      <c r="N389" s="3">
        <f>IFERROR(__xludf.DUMMYFUNCTION("""COMPUTED_VALUE"""),45921.87443439815)</f>
        <v>45921.87443</v>
      </c>
    </row>
    <row r="390">
      <c r="A390" s="4">
        <f>IFERROR(__xludf.DUMMYFUNCTION("""COMPUTED_VALUE"""),45921.5119862963)</f>
        <v>45921.51199</v>
      </c>
      <c r="B390" s="3" t="str">
        <f>IFERROR(__xludf.DUMMYFUNCTION("""COMPUTED_VALUE"""),"MFHRO0217")</f>
        <v>MFHRO0217</v>
      </c>
      <c r="C390" s="3" t="str">
        <f>IFERROR(__xludf.DUMMYFUNCTION("""COMPUTED_VALUE"""),"Consumable")</f>
        <v>Consumable</v>
      </c>
      <c r="D390" s="3" t="str">
        <f>IFERROR(__xludf.DUMMYFUNCTION("""COMPUTED_VALUE"""),"-")</f>
        <v>-</v>
      </c>
      <c r="E390" s="3" t="str">
        <f>IFERROR(__xludf.DUMMYFUNCTION("""COMPUTED_VALUE"""),"TOC")</f>
        <v>TOC</v>
      </c>
      <c r="F390" s="3" t="str">
        <f>IFERROR(__xludf.DUMMYFUNCTION("""COMPUTED_VALUE"""),"900 Resin Bed for TOC Sievers; ; ;")</f>
        <v>900 Resin Bed for TOC Sievers; ; ;</v>
      </c>
      <c r="G390" s="3">
        <f>IFERROR(__xludf.DUMMYFUNCTION("""COMPUTED_VALUE"""),1.0)</f>
        <v>1</v>
      </c>
      <c r="H390" s="3" t="str">
        <f>IFERROR(__xludf.DUMMYFUNCTION("""COMPUTED_VALUE"""),"Pieces")</f>
        <v>Pieces</v>
      </c>
      <c r="I390" s="3" t="str">
        <f>IFERROR(__xludf.DUMMYFUNCTION("""COMPUTED_VALUE"""),"Untuk TOC Lab 121703122 2690")</f>
        <v>Untuk TOC Lab 121703122 2690</v>
      </c>
      <c r="J390" s="3" t="str">
        <f>IFERROR(__xludf.DUMMYFUNCTION("""COMPUTED_VALUE"""),"T-20105-00")</f>
        <v>T-20105-00</v>
      </c>
      <c r="K390" s="3" t="str">
        <f>IFERROR(__xludf.DUMMYFUNCTION("""COMPUTED_VALUE"""),"Approve")</f>
        <v>Approve</v>
      </c>
      <c r="L390" s="3" t="str">
        <f>IFERROR(__xludf.DUMMYFUNCTION("""COMPUTED_VALUE"""),"Normal")</f>
        <v>Normal</v>
      </c>
      <c r="M390" s="3" t="str">
        <f>IFERROR(__xludf.DUMMYFUNCTION("""COMPUTED_VALUE"""),"Non Urgent")</f>
        <v>Non Urgent</v>
      </c>
      <c r="N390" s="3">
        <f>IFERROR(__xludf.DUMMYFUNCTION("""COMPUTED_VALUE"""),45921.87454078704)</f>
        <v>45921.87454</v>
      </c>
    </row>
    <row r="391">
      <c r="A391" s="4">
        <f>IFERROR(__xludf.DUMMYFUNCTION("""COMPUTED_VALUE"""),45921.5119862963)</f>
        <v>45921.51199</v>
      </c>
      <c r="B391" s="3" t="str">
        <f>IFERROR(__xludf.DUMMYFUNCTION("""COMPUTED_VALUE"""),"MFHRO0218")</f>
        <v>MFHRO0218</v>
      </c>
      <c r="C391" s="3" t="str">
        <f>IFERROR(__xludf.DUMMYFUNCTION("""COMPUTED_VALUE"""),"Consumable")</f>
        <v>Consumable</v>
      </c>
      <c r="D391" s="3" t="str">
        <f>IFERROR(__xludf.DUMMYFUNCTION("""COMPUTED_VALUE"""),"-")</f>
        <v>-</v>
      </c>
      <c r="E391" s="3" t="str">
        <f>IFERROR(__xludf.DUMMYFUNCTION("""COMPUTED_VALUE"""),"TOC")</f>
        <v>TOC</v>
      </c>
      <c r="F391" s="3" t="str">
        <f>IFERROR(__xludf.DUMMYFUNCTION("""COMPUTED_VALUE"""),"900 UV lamp; Sievers; P/N CARK35010-01; 1 pc")</f>
        <v>900 UV lamp; Sievers; P/N CARK35010-01; 1 pc</v>
      </c>
      <c r="G391" s="3">
        <f>IFERROR(__xludf.DUMMYFUNCTION("""COMPUTED_VALUE"""),1.0)</f>
        <v>1</v>
      </c>
      <c r="H391" s="3" t="str">
        <f>IFERROR(__xludf.DUMMYFUNCTION("""COMPUTED_VALUE"""),"Pieces")</f>
        <v>Pieces</v>
      </c>
      <c r="I391" s="3" t="str">
        <f>IFERROR(__xludf.DUMMYFUNCTION("""COMPUTED_VALUE"""),"Untuk TOC Lab 121703122 2691")</f>
        <v>Untuk TOC Lab 121703122 2691</v>
      </c>
      <c r="J391" s="3" t="str">
        <f>IFERROR(__xludf.DUMMYFUNCTION("""COMPUTED_VALUE"""),"T-20113-00")</f>
        <v>T-20113-00</v>
      </c>
      <c r="K391" s="3" t="str">
        <f>IFERROR(__xludf.DUMMYFUNCTION("""COMPUTED_VALUE"""),"Approve")</f>
        <v>Approve</v>
      </c>
      <c r="L391" s="3" t="str">
        <f>IFERROR(__xludf.DUMMYFUNCTION("""COMPUTED_VALUE"""),"Normal")</f>
        <v>Normal</v>
      </c>
      <c r="M391" s="3" t="str">
        <f>IFERROR(__xludf.DUMMYFUNCTION("""COMPUTED_VALUE"""),"Non Urgent")</f>
        <v>Non Urgent</v>
      </c>
      <c r="N391" s="3">
        <f>IFERROR(__xludf.DUMMYFUNCTION("""COMPUTED_VALUE"""),45921.874636238426)</f>
        <v>45921.87464</v>
      </c>
    </row>
    <row r="392">
      <c r="A392" s="4">
        <f>IFERROR(__xludf.DUMMYFUNCTION("""COMPUTED_VALUE"""),45921.5119862963)</f>
        <v>45921.51199</v>
      </c>
      <c r="B392" s="3" t="str">
        <f>IFERROR(__xludf.DUMMYFUNCTION("""COMPUTED_VALUE"""),"MFHRO0219")</f>
        <v>MFHRO0219</v>
      </c>
      <c r="C392" s="3" t="str">
        <f>IFERROR(__xludf.DUMMYFUNCTION("""COMPUTED_VALUE"""),"Consumable")</f>
        <v>Consumable</v>
      </c>
      <c r="D392" s="3" t="str">
        <f>IFERROR(__xludf.DUMMYFUNCTION("""COMPUTED_VALUE"""),"-")</f>
        <v>-</v>
      </c>
      <c r="E392" s="3" t="str">
        <f>IFERROR(__xludf.DUMMYFUNCTION("""COMPUTED_VALUE"""),"TOC")</f>
        <v>TOC</v>
      </c>
      <c r="F392" s="3" t="str">
        <f>IFERROR(__xludf.DUMMYFUNCTION("""COMPUTED_VALUE"""),"900 Sample pump tubing; Sievers; P/N CATU 96200; 1 pc")</f>
        <v>900 Sample pump tubing; Sievers; P/N CATU 96200; 1 pc</v>
      </c>
      <c r="G392" s="3">
        <f>IFERROR(__xludf.DUMMYFUNCTION("""COMPUTED_VALUE"""),1.0)</f>
        <v>1</v>
      </c>
      <c r="H392" s="3" t="str">
        <f>IFERROR(__xludf.DUMMYFUNCTION("""COMPUTED_VALUE"""),"Pieces")</f>
        <v>Pieces</v>
      </c>
      <c r="I392" s="3" t="str">
        <f>IFERROR(__xludf.DUMMYFUNCTION("""COMPUTED_VALUE"""),"Untuk TOC Lab 121703122 2692")</f>
        <v>Untuk TOC Lab 121703122 2692</v>
      </c>
      <c r="J392" s="3" t="str">
        <f>IFERROR(__xludf.DUMMYFUNCTION("""COMPUTED_VALUE"""),"T-20112-00")</f>
        <v>T-20112-00</v>
      </c>
      <c r="K392" s="3" t="str">
        <f>IFERROR(__xludf.DUMMYFUNCTION("""COMPUTED_VALUE"""),"Approve")</f>
        <v>Approve</v>
      </c>
      <c r="L392" s="3" t="str">
        <f>IFERROR(__xludf.DUMMYFUNCTION("""COMPUTED_VALUE"""),"Normal")</f>
        <v>Normal</v>
      </c>
      <c r="M392" s="3" t="str">
        <f>IFERROR(__xludf.DUMMYFUNCTION("""COMPUTED_VALUE"""),"Non Urgent")</f>
        <v>Non Urgent</v>
      </c>
      <c r="N392" s="3">
        <f>IFERROR(__xludf.DUMMYFUNCTION("""COMPUTED_VALUE"""),45921.87474868055)</f>
        <v>45921.87475</v>
      </c>
    </row>
    <row r="393">
      <c r="A393" s="4">
        <f>IFERROR(__xludf.DUMMYFUNCTION("""COMPUTED_VALUE"""),45921.5119862963)</f>
        <v>45921.51199</v>
      </c>
      <c r="B393" s="3" t="str">
        <f>IFERROR(__xludf.DUMMYFUNCTION("""COMPUTED_VALUE"""),"MFHRO0220")</f>
        <v>MFHRO0220</v>
      </c>
      <c r="C393" s="3" t="str">
        <f>IFERROR(__xludf.DUMMYFUNCTION("""COMPUTED_VALUE"""),"Consumable")</f>
        <v>Consumable</v>
      </c>
      <c r="D393" s="3" t="str">
        <f>IFERROR(__xludf.DUMMYFUNCTION("""COMPUTED_VALUE"""),"-")</f>
        <v>-</v>
      </c>
      <c r="E393" s="3" t="str">
        <f>IFERROR(__xludf.DUMMYFUNCTION("""COMPUTED_VALUE"""),"Tools")</f>
        <v>Tools</v>
      </c>
      <c r="F393" s="3" t="str">
        <f>IFERROR(__xludf.DUMMYFUNCTION("""COMPUTED_VALUE"""),"Kunci L Hex Key Stubby Uk. 1,5 - 10 mm; Tekiro; HK-ST1210 ; 9 pc/set")</f>
        <v>Kunci L Hex Key Stubby Uk. 1,5 - 10 mm; Tekiro; HK-ST1210 ; 9 pc/set</v>
      </c>
      <c r="G393" s="3">
        <f>IFERROR(__xludf.DUMMYFUNCTION("""COMPUTED_VALUE"""),1.0)</f>
        <v>1</v>
      </c>
      <c r="H393" s="3" t="str">
        <f>IFERROR(__xludf.DUMMYFUNCTION("""COMPUTED_VALUE"""),"Set")</f>
        <v>Set</v>
      </c>
      <c r="I393" s="3" t="str">
        <f>IFERROR(__xludf.DUMMYFUNCTION("""COMPUTED_VALUE"""),"Untuk Tools Engineering 121703123 2693")</f>
        <v>Untuk Tools Engineering 121703123 2693</v>
      </c>
      <c r="J393" s="3" t="str">
        <f>IFERROR(__xludf.DUMMYFUNCTION("""COMPUTED_VALUE"""),"Q-70169-00")</f>
        <v>Q-70169-00</v>
      </c>
      <c r="K393" s="3" t="str">
        <f>IFERROR(__xludf.DUMMYFUNCTION("""COMPUTED_VALUE"""),"Approve")</f>
        <v>Approve</v>
      </c>
      <c r="L393" s="3" t="str">
        <f>IFERROR(__xludf.DUMMYFUNCTION("""COMPUTED_VALUE"""),"Normal")</f>
        <v>Normal</v>
      </c>
      <c r="M393" s="3" t="str">
        <f>IFERROR(__xludf.DUMMYFUNCTION("""COMPUTED_VALUE"""),"Non Urgent")</f>
        <v>Non Urgent</v>
      </c>
      <c r="N393" s="3">
        <f>IFERROR(__xludf.DUMMYFUNCTION("""COMPUTED_VALUE"""),45921.87491180556)</f>
        <v>45921.87491</v>
      </c>
    </row>
    <row r="394">
      <c r="A394" s="4">
        <f>IFERROR(__xludf.DUMMYFUNCTION("""COMPUTED_VALUE"""),45921.5119862963)</f>
        <v>45921.51199</v>
      </c>
      <c r="B394" s="3" t="str">
        <f>IFERROR(__xludf.DUMMYFUNCTION("""COMPUTED_VALUE"""),"MFHRO0221")</f>
        <v>MFHRO0221</v>
      </c>
      <c r="C394" s="3" t="str">
        <f>IFERROR(__xludf.DUMMYFUNCTION("""COMPUTED_VALUE"""),"MIn Stok")</f>
        <v>MIn Stok</v>
      </c>
      <c r="D394" s="3" t="str">
        <f>IFERROR(__xludf.DUMMYFUNCTION("""COMPUTED_VALUE"""),"-")</f>
        <v>-</v>
      </c>
      <c r="E394" s="3" t="str">
        <f>IFERROR(__xludf.DUMMYFUNCTION("""COMPUTED_VALUE"""),"Cartonning")</f>
        <v>Cartonning</v>
      </c>
      <c r="F394" s="3" t="str">
        <f>IFERROR(__xludf.DUMMYFUNCTION("""COMPUTED_VALUE"""),"Marchesini FB220-PN. 7301604 MODULE,E.DOT+, 0,35MM NOZZLE  Nordson; Nordson; ;")</f>
        <v>Marchesini FB220-PN. 7301604 MODULE,E.DOT+, 0,35MM NOZZLE  Nordson; Nordson; ;</v>
      </c>
      <c r="G394" s="3">
        <f>IFERROR(__xludf.DUMMYFUNCTION("""COMPUTED_VALUE"""),1.0)</f>
        <v>1</v>
      </c>
      <c r="H394" s="3" t="str">
        <f>IFERROR(__xludf.DUMMYFUNCTION("""COMPUTED_VALUE"""),"Pieces")</f>
        <v>Pieces</v>
      </c>
      <c r="I394" s="3" t="str">
        <f>IFERROR(__xludf.DUMMYFUNCTION("""COMPUTED_VALUE"""),"Untuk Cartonning 121703130 2695")</f>
        <v>Untuk Cartonning 121703130 2695</v>
      </c>
      <c r="J394" s="3" t="str">
        <f>IFERROR(__xludf.DUMMYFUNCTION("""COMPUTED_VALUE"""),"O-16752-00")</f>
        <v>O-16752-00</v>
      </c>
      <c r="K394" s="3" t="str">
        <f>IFERROR(__xludf.DUMMYFUNCTION("""COMPUTED_VALUE"""),"Approve")</f>
        <v>Approve</v>
      </c>
      <c r="L394" s="3" t="str">
        <f>IFERROR(__xludf.DUMMYFUNCTION("""COMPUTED_VALUE"""),"Normal")</f>
        <v>Normal</v>
      </c>
      <c r="M394" s="3" t="str">
        <f>IFERROR(__xludf.DUMMYFUNCTION("""COMPUTED_VALUE"""),"Non Urgent")</f>
        <v>Non Urgent</v>
      </c>
      <c r="N394" s="3">
        <f>IFERROR(__xludf.DUMMYFUNCTION("""COMPUTED_VALUE"""),45921.87501471065)</f>
        <v>45921.87501</v>
      </c>
    </row>
    <row r="395">
      <c r="A395" s="4">
        <f>IFERROR(__xludf.DUMMYFUNCTION("""COMPUTED_VALUE"""),45921.5119862963)</f>
        <v>45921.51199</v>
      </c>
      <c r="B395" s="3" t="str">
        <f>IFERROR(__xludf.DUMMYFUNCTION("""COMPUTED_VALUE"""),"MFHRO0222")</f>
        <v>MFHRO0222</v>
      </c>
      <c r="C395" s="3" t="str">
        <f>IFERROR(__xludf.DUMMYFUNCTION("""COMPUTED_VALUE"""),"MIn Stok")</f>
        <v>MIn Stok</v>
      </c>
      <c r="D395" s="3" t="str">
        <f>IFERROR(__xludf.DUMMYFUNCTION("""COMPUTED_VALUE"""),"-")</f>
        <v>-</v>
      </c>
      <c r="E395" s="3" t="str">
        <f>IFERROR(__xludf.DUMMYFUNCTION("""COMPUTED_VALUE"""),"Sparepart")</f>
        <v>Sparepart</v>
      </c>
      <c r="F395" s="3" t="str">
        <f>IFERROR(__xludf.DUMMYFUNCTION("""COMPUTED_VALUE"""),"Socket Relay PF083A-E; Omron; PF083A; 1 pieces")</f>
        <v>Socket Relay PF083A-E; Omron; PF083A; 1 pieces</v>
      </c>
      <c r="G395" s="3">
        <f>IFERROR(__xludf.DUMMYFUNCTION("""COMPUTED_VALUE"""),5.0)</f>
        <v>5</v>
      </c>
      <c r="H395" s="3" t="str">
        <f>IFERROR(__xludf.DUMMYFUNCTION("""COMPUTED_VALUE"""),"Pieces")</f>
        <v>Pieces</v>
      </c>
      <c r="I395" s="3" t="str">
        <f>IFERROR(__xludf.DUMMYFUNCTION("""COMPUTED_VALUE"""),"Consumable Engineering 121703139 2705")</f>
        <v>Consumable Engineering 121703139 2705</v>
      </c>
      <c r="J395" s="3" t="str">
        <f>IFERROR(__xludf.DUMMYFUNCTION("""COMPUTED_VALUE"""),"P-50562-00")</f>
        <v>P-50562-00</v>
      </c>
      <c r="K395" s="3" t="str">
        <f>IFERROR(__xludf.DUMMYFUNCTION("""COMPUTED_VALUE"""),"Approve")</f>
        <v>Approve</v>
      </c>
      <c r="L395" s="3" t="str">
        <f>IFERROR(__xludf.DUMMYFUNCTION("""COMPUTED_VALUE"""),"Normal")</f>
        <v>Normal</v>
      </c>
      <c r="M395" s="3" t="str">
        <f>IFERROR(__xludf.DUMMYFUNCTION("""COMPUTED_VALUE"""),"Non Urgent")</f>
        <v>Non Urgent</v>
      </c>
      <c r="N395" s="3">
        <f>IFERROR(__xludf.DUMMYFUNCTION("""COMPUTED_VALUE"""),45921.87512146991)</f>
        <v>45921.87512</v>
      </c>
    </row>
    <row r="396">
      <c r="A396" s="4">
        <f>IFERROR(__xludf.DUMMYFUNCTION("""COMPUTED_VALUE"""),45921.5119862963)</f>
        <v>45921.51199</v>
      </c>
      <c r="B396" s="3" t="str">
        <f>IFERROR(__xludf.DUMMYFUNCTION("""COMPUTED_VALUE"""),"MFHRO0223")</f>
        <v>MFHRO0223</v>
      </c>
      <c r="C396" s="3" t="str">
        <f>IFERROR(__xludf.DUMMYFUNCTION("""COMPUTED_VALUE"""),"Consumable")</f>
        <v>Consumable</v>
      </c>
      <c r="D396" s="3" t="str">
        <f>IFERROR(__xludf.DUMMYFUNCTION("""COMPUTED_VALUE"""),"-")</f>
        <v>-</v>
      </c>
      <c r="E396" s="3" t="str">
        <f>IFERROR(__xludf.DUMMYFUNCTION("""COMPUTED_VALUE"""),"HPLC")</f>
        <v>HPLC</v>
      </c>
      <c r="F396" s="3" t="str">
        <f>IFERROR(__xludf.DUMMYFUNCTION("""COMPUTED_VALUE"""),"Performance Plus Check Valve Housing; Waters; 700002332;")</f>
        <v>Performance Plus Check Valve Housing; Waters; 700002332;</v>
      </c>
      <c r="G396" s="3">
        <f>IFERROR(__xludf.DUMMYFUNCTION("""COMPUTED_VALUE"""),2.0)</f>
        <v>2</v>
      </c>
      <c r="H396" s="3" t="str">
        <f>IFERROR(__xludf.DUMMYFUNCTION("""COMPUTED_VALUE"""),"Pack")</f>
        <v>Pack</v>
      </c>
      <c r="I396" s="3" t="str">
        <f>IFERROR(__xludf.DUMMYFUNCTION("""COMPUTED_VALUE"""),"Consumable HPLC 121703149 2727")</f>
        <v>Consumable HPLC 121703149 2727</v>
      </c>
      <c r="J396" s="3" t="str">
        <f>IFERROR(__xludf.DUMMYFUNCTION("""COMPUTED_VALUE"""),"T-20725-00")</f>
        <v>T-20725-00</v>
      </c>
      <c r="K396" s="3" t="str">
        <f>IFERROR(__xludf.DUMMYFUNCTION("""COMPUTED_VALUE"""),"Approve")</f>
        <v>Approve</v>
      </c>
      <c r="L396" s="3" t="str">
        <f>IFERROR(__xludf.DUMMYFUNCTION("""COMPUTED_VALUE"""),"Normal")</f>
        <v>Normal</v>
      </c>
      <c r="M396" s="3" t="str">
        <f>IFERROR(__xludf.DUMMYFUNCTION("""COMPUTED_VALUE"""),"Non Urgent")</f>
        <v>Non Urgent</v>
      </c>
      <c r="N396" s="3">
        <f>IFERROR(__xludf.DUMMYFUNCTION("""COMPUTED_VALUE"""),45921.87521871528)</f>
        <v>45921.87522</v>
      </c>
    </row>
    <row r="397">
      <c r="A397" s="4">
        <f>IFERROR(__xludf.DUMMYFUNCTION("""COMPUTED_VALUE"""),45921.5119862963)</f>
        <v>45921.51199</v>
      </c>
      <c r="B397" s="3" t="str">
        <f>IFERROR(__xludf.DUMMYFUNCTION("""COMPUTED_VALUE"""),"MFHRO0224")</f>
        <v>MFHRO0224</v>
      </c>
      <c r="C397" s="3" t="str">
        <f>IFERROR(__xludf.DUMMYFUNCTION("""COMPUTED_VALUE"""),"MIn Stok")</f>
        <v>MIn Stok</v>
      </c>
      <c r="D397" s="3" t="str">
        <f>IFERROR(__xludf.DUMMYFUNCTION("""COMPUTED_VALUE"""),"-")</f>
        <v>-</v>
      </c>
      <c r="E397" s="3" t="str">
        <f>IFERROR(__xludf.DUMMYFUNCTION("""COMPUTED_VALUE"""),"OSD")</f>
        <v>OSD</v>
      </c>
      <c r="F397" s="3" t="str">
        <f>IFERROR(__xludf.DUMMYFUNCTION("""COMPUTED_VALUE"""),"General - Hygrothermo Transducer, 907021/161-2-34-005/000, Output 4...20mA, 2 Wire, 0-100%, 0-50DegC; Jumo; JU.90.7021.050; 1 pc")</f>
        <v>General - Hygrothermo Transducer, 907021/161-2-34-005/000, Output 4...20mA, 2 Wire, 0-100%, 0-50DegC; Jumo; JU.90.7021.050; 1 pc</v>
      </c>
      <c r="G397" s="3">
        <f>IFERROR(__xludf.DUMMYFUNCTION("""COMPUTED_VALUE"""),2.0)</f>
        <v>2</v>
      </c>
      <c r="H397" s="3" t="str">
        <f>IFERROR(__xludf.DUMMYFUNCTION("""COMPUTED_VALUE"""),"Pieces")</f>
        <v>Pieces</v>
      </c>
      <c r="I397" s="3" t="str">
        <f>IFERROR(__xludf.DUMMYFUNCTION("""COMPUTED_VALUE"""),"BQ Mas Umar 121703150 2728")</f>
        <v>BQ Mas Umar 121703150 2728</v>
      </c>
      <c r="J397" s="3" t="str">
        <f>IFERROR(__xludf.DUMMYFUNCTION("""COMPUTED_VALUE"""),"P-20129-00")</f>
        <v>P-20129-00</v>
      </c>
      <c r="K397" s="3" t="str">
        <f>IFERROR(__xludf.DUMMYFUNCTION("""COMPUTED_VALUE"""),"Approve")</f>
        <v>Approve</v>
      </c>
      <c r="L397" s="3" t="str">
        <f>IFERROR(__xludf.DUMMYFUNCTION("""COMPUTED_VALUE"""),"Normal")</f>
        <v>Normal</v>
      </c>
      <c r="M397" s="3" t="str">
        <f>IFERROR(__xludf.DUMMYFUNCTION("""COMPUTED_VALUE"""),"Non Urgent")</f>
        <v>Non Urgent</v>
      </c>
      <c r="N397" s="3">
        <f>IFERROR(__xludf.DUMMYFUNCTION("""COMPUTED_VALUE"""),45921.87534061343)</f>
        <v>45921.87534</v>
      </c>
    </row>
    <row r="398">
      <c r="A398" s="4">
        <f>IFERROR(__xludf.DUMMYFUNCTION("""COMPUTED_VALUE"""),45921.5119862963)</f>
        <v>45921.51199</v>
      </c>
      <c r="B398" s="3" t="str">
        <f>IFERROR(__xludf.DUMMYFUNCTION("""COMPUTED_VALUE"""),"MFHRO0225")</f>
        <v>MFHRO0225</v>
      </c>
      <c r="C398" s="3" t="str">
        <f>IFERROR(__xludf.DUMMYFUNCTION("""COMPUTED_VALUE"""),"MIn Stok")</f>
        <v>MIn Stok</v>
      </c>
      <c r="D398" s="3" t="str">
        <f>IFERROR(__xludf.DUMMYFUNCTION("""COMPUTED_VALUE"""),"-")</f>
        <v>-</v>
      </c>
      <c r="E398" s="3" t="str">
        <f>IFERROR(__xludf.DUMMYFUNCTION("""COMPUTED_VALUE"""),"Mixing")</f>
        <v>Mixing</v>
      </c>
      <c r="F398" s="3" t="str">
        <f>IFERROR(__xludf.DUMMYFUNCTION("""COMPUTED_VALUE"""),"Mixing Tank Adam - Cable VP8-ST/35m; Mettler Toledo; 52300359; 1 Pc")</f>
        <v>Mixing Tank Adam - Cable VP8-ST/35m; Mettler Toledo; 52300359; 1 Pc</v>
      </c>
      <c r="G398" s="3">
        <f>IFERROR(__xludf.DUMMYFUNCTION("""COMPUTED_VALUE"""),1.0)</f>
        <v>1</v>
      </c>
      <c r="H398" s="3" t="str">
        <f>IFERROR(__xludf.DUMMYFUNCTION("""COMPUTED_VALUE"""),"Pieces")</f>
        <v>Pieces</v>
      </c>
      <c r="I398" s="3" t="str">
        <f>IFERROR(__xludf.DUMMYFUNCTION("""COMPUTED_VALUE"""),"Untuk Mixing 121703157 2729")</f>
        <v>Untuk Mixing 121703157 2729</v>
      </c>
      <c r="J398" s="3" t="str">
        <f>IFERROR(__xludf.DUMMYFUNCTION("""COMPUTED_VALUE"""),"O-53398-00")</f>
        <v>O-53398-00</v>
      </c>
      <c r="K398" s="3" t="str">
        <f>IFERROR(__xludf.DUMMYFUNCTION("""COMPUTED_VALUE"""),"Approve")</f>
        <v>Approve</v>
      </c>
      <c r="L398" s="3" t="str">
        <f>IFERROR(__xludf.DUMMYFUNCTION("""COMPUTED_VALUE"""),"Normal")</f>
        <v>Normal</v>
      </c>
      <c r="M398" s="3" t="str">
        <f>IFERROR(__xludf.DUMMYFUNCTION("""COMPUTED_VALUE"""),"Non Urgent")</f>
        <v>Non Urgent</v>
      </c>
      <c r="N398" s="3">
        <f>IFERROR(__xludf.DUMMYFUNCTION("""COMPUTED_VALUE"""),45921.87542615741)</f>
        <v>45921.87543</v>
      </c>
    </row>
    <row r="399">
      <c r="A399" s="4">
        <f>IFERROR(__xludf.DUMMYFUNCTION("""COMPUTED_VALUE"""),45921.5119862963)</f>
        <v>45921.51199</v>
      </c>
      <c r="B399" s="3" t="str">
        <f>IFERROR(__xludf.DUMMYFUNCTION("""COMPUTED_VALUE"""),"MFHRO0226")</f>
        <v>MFHRO0226</v>
      </c>
      <c r="C399" s="3" t="str">
        <f>IFERROR(__xludf.DUMMYFUNCTION("""COMPUTED_VALUE"""),"MIn Stok")</f>
        <v>MIn Stok</v>
      </c>
      <c r="D399" s="3" t="str">
        <f>IFERROR(__xludf.DUMMYFUNCTION("""COMPUTED_VALUE"""),"-")</f>
        <v>-</v>
      </c>
      <c r="E399" s="3" t="str">
        <f>IFERROR(__xludf.DUMMYFUNCTION("""COMPUTED_VALUE"""),"FD")</f>
        <v>FD</v>
      </c>
      <c r="F399" s="3" t="str">
        <f>IFERROR(__xludf.DUMMYFUNCTION("""COMPUTED_VALUE"""),"Flexible Front End 916 - (125.0 - 125.0)")</f>
        <v>Flexible Front End 916 - (125.0 - 125.0)</v>
      </c>
      <c r="G399" s="3">
        <f>IFERROR(__xludf.DUMMYFUNCTION("""COMPUTED_VALUE"""),1.0)</f>
        <v>1</v>
      </c>
      <c r="H399" s="3" t="str">
        <f>IFERROR(__xludf.DUMMYFUNCTION("""COMPUTED_VALUE"""),"Pieces")</f>
        <v>Pieces</v>
      </c>
      <c r="I399" s="3" t="str">
        <f>IFERROR(__xludf.DUMMYFUNCTION("""COMPUTED_VALUE"""),"Min Stok FD 121703158 2730")</f>
        <v>Min Stok FD 121703158 2730</v>
      </c>
      <c r="J399" s="3" t="str">
        <f>IFERROR(__xludf.DUMMYFUNCTION("""COMPUTED_VALUE"""),"O-19822-00")</f>
        <v>O-19822-00</v>
      </c>
      <c r="K399" s="3" t="str">
        <f>IFERROR(__xludf.DUMMYFUNCTION("""COMPUTED_VALUE"""),"Approve")</f>
        <v>Approve</v>
      </c>
      <c r="L399" s="3" t="str">
        <f>IFERROR(__xludf.DUMMYFUNCTION("""COMPUTED_VALUE"""),"Normal")</f>
        <v>Normal</v>
      </c>
      <c r="M399" s="3" t="str">
        <f>IFERROR(__xludf.DUMMYFUNCTION("""COMPUTED_VALUE"""),"Non Urgent")</f>
        <v>Non Urgent</v>
      </c>
      <c r="N399" s="3">
        <f>IFERROR(__xludf.DUMMYFUNCTION("""COMPUTED_VALUE"""),45921.87551716436)</f>
        <v>45921.87552</v>
      </c>
    </row>
    <row r="400">
      <c r="A400" s="4">
        <f>IFERROR(__xludf.DUMMYFUNCTION("""COMPUTED_VALUE"""),45921.5119862963)</f>
        <v>45921.51199</v>
      </c>
      <c r="B400" s="3" t="str">
        <f>IFERROR(__xludf.DUMMYFUNCTION("""COMPUTED_VALUE"""),"MFHRO0227")</f>
        <v>MFHRO0227</v>
      </c>
      <c r="C400" s="3" t="str">
        <f>IFERROR(__xludf.DUMMYFUNCTION("""COMPUTED_VALUE"""),"MIn Stok")</f>
        <v>MIn Stok</v>
      </c>
      <c r="D400" s="3" t="str">
        <f>IFERROR(__xludf.DUMMYFUNCTION("""COMPUTED_VALUE"""),"-")</f>
        <v>-</v>
      </c>
      <c r="E400" s="3" t="str">
        <f>IFERROR(__xludf.DUMMYFUNCTION("""COMPUTED_VALUE"""),"SKAN")</f>
        <v>SKAN</v>
      </c>
      <c r="F400" s="3" t="str">
        <f>IFERROR(__xludf.DUMMYFUNCTION("""COMPUTED_VALUE"""),"Isolator - Pneumatic Gasket Front Door DICHT.PNEU. 1784X0724 MVQ; SKAN; 1015746; 1 Pc")</f>
        <v>Isolator - Pneumatic Gasket Front Door DICHT.PNEU. 1784X0724 MVQ; SKAN; 1015746; 1 Pc</v>
      </c>
      <c r="G400" s="3">
        <f>IFERROR(__xludf.DUMMYFUNCTION("""COMPUTED_VALUE"""),1.0)</f>
        <v>1</v>
      </c>
      <c r="H400" s="3" t="str">
        <f>IFERROR(__xludf.DUMMYFUNCTION("""COMPUTED_VALUE"""),"Pieces")</f>
        <v>Pieces</v>
      </c>
      <c r="I400" s="3" t="str">
        <f>IFERROR(__xludf.DUMMYFUNCTION("""COMPUTED_VALUE"""),"Untuk Isolator SKAN 121703159 2731")</f>
        <v>Untuk Isolator SKAN 121703159 2731</v>
      </c>
      <c r="J400" s="3" t="str">
        <f>IFERROR(__xludf.DUMMYFUNCTION("""COMPUTED_VALUE"""),"O-20895-00")</f>
        <v>O-20895-00</v>
      </c>
      <c r="K400" s="3" t="str">
        <f>IFERROR(__xludf.DUMMYFUNCTION("""COMPUTED_VALUE"""),"Approve")</f>
        <v>Approve</v>
      </c>
      <c r="L400" s="3" t="str">
        <f>IFERROR(__xludf.DUMMYFUNCTION("""COMPUTED_VALUE"""),"Normal")</f>
        <v>Normal</v>
      </c>
      <c r="M400" s="3" t="str">
        <f>IFERROR(__xludf.DUMMYFUNCTION("""COMPUTED_VALUE"""),"Non Urgent")</f>
        <v>Non Urgent</v>
      </c>
      <c r="N400" s="3">
        <f>IFERROR(__xludf.DUMMYFUNCTION("""COMPUTED_VALUE"""),45921.8756059838)</f>
        <v>45921.87561</v>
      </c>
    </row>
    <row r="401">
      <c r="A401" s="4">
        <f>IFERROR(__xludf.DUMMYFUNCTION("""COMPUTED_VALUE"""),45921.5119862963)</f>
        <v>45921.51199</v>
      </c>
      <c r="B401" s="3" t="str">
        <f>IFERROR(__xludf.DUMMYFUNCTION("""COMPUTED_VALUE"""),"MFHRO0228")</f>
        <v>MFHRO0228</v>
      </c>
      <c r="C401" s="3" t="str">
        <f>IFERROR(__xludf.DUMMYFUNCTION("""COMPUTED_VALUE"""),"MIn Stok")</f>
        <v>MIn Stok</v>
      </c>
      <c r="D401" s="3" t="str">
        <f>IFERROR(__xludf.DUMMYFUNCTION("""COMPUTED_VALUE"""),"-")</f>
        <v>-</v>
      </c>
      <c r="E401" s="3" t="str">
        <f>IFERROR(__xludf.DUMMYFUNCTION("""COMPUTED_VALUE"""),"SKAN")</f>
        <v>SKAN</v>
      </c>
      <c r="F401" s="3" t="str">
        <f>IFERROR(__xludf.DUMMYFUNCTION("""COMPUTED_VALUE"""),"Isolator - Silicon Tube Pump 913.A016.016; SKAN; 1002902; 1 Pc")</f>
        <v>Isolator - Silicon Tube Pump 913.A016.016; SKAN; 1002902; 1 Pc</v>
      </c>
      <c r="G401" s="3">
        <f>IFERROR(__xludf.DUMMYFUNCTION("""COMPUTED_VALUE"""),3.0)</f>
        <v>3</v>
      </c>
      <c r="H401" s="3" t="str">
        <f>IFERROR(__xludf.DUMMYFUNCTION("""COMPUTED_VALUE"""),"Pieces")</f>
        <v>Pieces</v>
      </c>
      <c r="I401" s="3" t="str">
        <f>IFERROR(__xludf.DUMMYFUNCTION("""COMPUTED_VALUE"""),"Untuk Isolator SKAN 121703159 2732")</f>
        <v>Untuk Isolator SKAN 121703159 2732</v>
      </c>
      <c r="J401" s="3" t="str">
        <f>IFERROR(__xludf.DUMMYFUNCTION("""COMPUTED_VALUE"""),"O-20896-00")</f>
        <v>O-20896-00</v>
      </c>
      <c r="K401" s="3" t="str">
        <f>IFERROR(__xludf.DUMMYFUNCTION("""COMPUTED_VALUE"""),"Approve")</f>
        <v>Approve</v>
      </c>
      <c r="L401" s="3" t="str">
        <f>IFERROR(__xludf.DUMMYFUNCTION("""COMPUTED_VALUE"""),"Normal")</f>
        <v>Normal</v>
      </c>
      <c r="M401" s="3" t="str">
        <f>IFERROR(__xludf.DUMMYFUNCTION("""COMPUTED_VALUE"""),"Non Urgent")</f>
        <v>Non Urgent</v>
      </c>
      <c r="N401" s="3">
        <f>IFERROR(__xludf.DUMMYFUNCTION("""COMPUTED_VALUE"""),45921.87570512731)</f>
        <v>45921.87571</v>
      </c>
    </row>
    <row r="402">
      <c r="A402" s="4">
        <f>IFERROR(__xludf.DUMMYFUNCTION("""COMPUTED_VALUE"""),45921.5119862963)</f>
        <v>45921.51199</v>
      </c>
      <c r="B402" s="3" t="str">
        <f>IFERROR(__xludf.DUMMYFUNCTION("""COMPUTED_VALUE"""),"MFHRO0229")</f>
        <v>MFHRO0229</v>
      </c>
      <c r="C402" s="3" t="str">
        <f>IFERROR(__xludf.DUMMYFUNCTION("""COMPUTED_VALUE"""),"MIn Stok")</f>
        <v>MIn Stok</v>
      </c>
      <c r="D402" s="3" t="str">
        <f>IFERROR(__xludf.DUMMYFUNCTION("""COMPUTED_VALUE"""),"-")</f>
        <v>-</v>
      </c>
      <c r="E402" s="3" t="str">
        <f>IFERROR(__xludf.DUMMYFUNCTION("""COMPUTED_VALUE"""),"SKAN")</f>
        <v>SKAN</v>
      </c>
      <c r="F402" s="3" t="str">
        <f>IFERROR(__xludf.DUMMYFUNCTION("""COMPUTED_VALUE"""),"Isolator Machine - Pneumatic Gasket Transfer Door (Left + Right) DICHT.PNEU. 1784X0724 MVQ; SKAN; 1015668; 1 Pc")</f>
        <v>Isolator Machine - Pneumatic Gasket Transfer Door (Left + Right) DICHT.PNEU. 1784X0724 MVQ; SKAN; 1015668; 1 Pc</v>
      </c>
      <c r="G402" s="3">
        <f>IFERROR(__xludf.DUMMYFUNCTION("""COMPUTED_VALUE"""),1.0)</f>
        <v>1</v>
      </c>
      <c r="H402" s="3" t="str">
        <f>IFERROR(__xludf.DUMMYFUNCTION("""COMPUTED_VALUE"""),"Pieces")</f>
        <v>Pieces</v>
      </c>
      <c r="I402" s="3" t="str">
        <f>IFERROR(__xludf.DUMMYFUNCTION("""COMPUTED_VALUE"""),"Untuk Isolator SKAN 121703159 2733")</f>
        <v>Untuk Isolator SKAN 121703159 2733</v>
      </c>
      <c r="J402" s="3" t="str">
        <f>IFERROR(__xludf.DUMMYFUNCTION("""COMPUTED_VALUE"""),"O-20910-00")</f>
        <v>O-20910-00</v>
      </c>
      <c r="K402" s="3" t="str">
        <f>IFERROR(__xludf.DUMMYFUNCTION("""COMPUTED_VALUE"""),"Approve")</f>
        <v>Approve</v>
      </c>
      <c r="L402" s="3" t="str">
        <f>IFERROR(__xludf.DUMMYFUNCTION("""COMPUTED_VALUE"""),"Normal")</f>
        <v>Normal</v>
      </c>
      <c r="M402" s="3" t="str">
        <f>IFERROR(__xludf.DUMMYFUNCTION("""COMPUTED_VALUE"""),"Non Urgent")</f>
        <v>Non Urgent</v>
      </c>
      <c r="N402" s="3">
        <f>IFERROR(__xludf.DUMMYFUNCTION("""COMPUTED_VALUE"""),45921.875805868054)</f>
        <v>45921.87581</v>
      </c>
    </row>
    <row r="403">
      <c r="A403" s="4">
        <f>IFERROR(__xludf.DUMMYFUNCTION("""COMPUTED_VALUE"""),45921.5119862963)</f>
        <v>45921.51199</v>
      </c>
      <c r="B403" s="3" t="str">
        <f>IFERROR(__xludf.DUMMYFUNCTION("""COMPUTED_VALUE"""),"MFHRO0230")</f>
        <v>MFHRO0230</v>
      </c>
      <c r="C403" s="3" t="str">
        <f>IFERROR(__xludf.DUMMYFUNCTION("""COMPUTED_VALUE"""),"MIn Stok")</f>
        <v>MIn Stok</v>
      </c>
      <c r="D403" s="3" t="str">
        <f>IFERROR(__xludf.DUMMYFUNCTION("""COMPUTED_VALUE"""),"-")</f>
        <v>-</v>
      </c>
      <c r="E403" s="3" t="str">
        <f>IFERROR(__xludf.DUMMYFUNCTION("""COMPUTED_VALUE"""),"Sparepart")</f>
        <v>Sparepart</v>
      </c>
      <c r="F403" s="3" t="str">
        <f>IFERROR(__xludf.DUMMYFUNCTION("""COMPUTED_VALUE"""),"Chemical - NIKKO steel Type: NS-stain clean = 1kg (stainless steel pickling gel)")</f>
        <v>Chemical - NIKKO steel Type: NS-stain clean = 1kg (stainless steel pickling gel)</v>
      </c>
      <c r="G403" s="3">
        <f>IFERROR(__xludf.DUMMYFUNCTION("""COMPUTED_VALUE"""),5.0)</f>
        <v>5</v>
      </c>
      <c r="H403" s="3" t="str">
        <f>IFERROR(__xludf.DUMMYFUNCTION("""COMPUTED_VALUE"""),"Pieces")</f>
        <v>Pieces</v>
      </c>
      <c r="I403" s="3" t="str">
        <f>IFERROR(__xludf.DUMMYFUNCTION("""COMPUTED_VALUE"""),"Untuk Pipa 121703160 2734")</f>
        <v>Untuk Pipa 121703160 2734</v>
      </c>
      <c r="J403" s="3" t="str">
        <f>IFERROR(__xludf.DUMMYFUNCTION("""COMPUTED_VALUE"""),"P-12029-00")</f>
        <v>P-12029-00</v>
      </c>
      <c r="K403" s="3" t="str">
        <f>IFERROR(__xludf.DUMMYFUNCTION("""COMPUTED_VALUE"""),"Approve")</f>
        <v>Approve</v>
      </c>
      <c r="L403" s="3" t="str">
        <f>IFERROR(__xludf.DUMMYFUNCTION("""COMPUTED_VALUE"""),"Normal")</f>
        <v>Normal</v>
      </c>
      <c r="M403" s="3" t="str">
        <f>IFERROR(__xludf.DUMMYFUNCTION("""COMPUTED_VALUE"""),"Non Urgent")</f>
        <v>Non Urgent</v>
      </c>
      <c r="N403" s="3">
        <f>IFERROR(__xludf.DUMMYFUNCTION("""COMPUTED_VALUE"""),45921.875910902774)</f>
        <v>45921.87591</v>
      </c>
    </row>
    <row r="404">
      <c r="A404" s="4">
        <f>IFERROR(__xludf.DUMMYFUNCTION("""COMPUTED_VALUE"""),45921.5119862963)</f>
        <v>45921.51199</v>
      </c>
      <c r="B404" s="3" t="str">
        <f>IFERROR(__xludf.DUMMYFUNCTION("""COMPUTED_VALUE"""),"MFHRO0231")</f>
        <v>MFHRO0231</v>
      </c>
      <c r="C404" s="3" t="str">
        <f>IFERROR(__xludf.DUMMYFUNCTION("""COMPUTED_VALUE"""),"EJO")</f>
        <v>EJO</v>
      </c>
      <c r="D404" s="3" t="str">
        <f>IFERROR(__xludf.DUMMYFUNCTION("""COMPUTED_VALUE"""),"-")</f>
        <v>-</v>
      </c>
      <c r="E404" s="3" t="str">
        <f>IFERROR(__xludf.DUMMYFUNCTION("""COMPUTED_VALUE"""),"BSC")</f>
        <v>BSC</v>
      </c>
      <c r="F404" s="3" t="str">
        <f>IFERROR(__xludf.DUMMYFUNCTION("""COMPUTED_VALUE"""),"Bio Safety Cabinet - Cover Timbangan Presision Balance 3x167x237, Mat. Acrylic; Custom/Lokal; -; 1 Pc")</f>
        <v>Bio Safety Cabinet - Cover Timbangan Presision Balance 3x167x237, Mat. Acrylic; Custom/Lokal; -; 1 Pc</v>
      </c>
      <c r="G404" s="3">
        <f>IFERROR(__xludf.DUMMYFUNCTION("""COMPUTED_VALUE"""),1.0)</f>
        <v>1</v>
      </c>
      <c r="H404" s="3" t="str">
        <f>IFERROR(__xludf.DUMMYFUNCTION("""COMPUTED_VALUE"""),"Pieces")</f>
        <v>Pieces</v>
      </c>
      <c r="I404" s="3" t="str">
        <f>IFERROR(__xludf.DUMMYFUNCTION("""COMPUTED_VALUE"""),"Untuk BSC 121703178 2740")</f>
        <v>Untuk BSC 121703178 2740</v>
      </c>
      <c r="J404" s="3" t="str">
        <f>IFERROR(__xludf.DUMMYFUNCTION("""COMPUTED_VALUE"""),"O-20983-00")</f>
        <v>O-20983-00</v>
      </c>
      <c r="K404" s="3" t="str">
        <f>IFERROR(__xludf.DUMMYFUNCTION("""COMPUTED_VALUE"""),"Approve")</f>
        <v>Approve</v>
      </c>
      <c r="L404" s="3" t="str">
        <f>IFERROR(__xludf.DUMMYFUNCTION("""COMPUTED_VALUE"""),"Normal")</f>
        <v>Normal</v>
      </c>
      <c r="M404" s="3" t="str">
        <f>IFERROR(__xludf.DUMMYFUNCTION("""COMPUTED_VALUE"""),"Non Urgent")</f>
        <v>Non Urgent</v>
      </c>
      <c r="N404" s="3">
        <f>IFERROR(__xludf.DUMMYFUNCTION("""COMPUTED_VALUE"""),45921.87601416667)</f>
        <v>45921.87601</v>
      </c>
    </row>
    <row r="405">
      <c r="A405" s="4">
        <f>IFERROR(__xludf.DUMMYFUNCTION("""COMPUTED_VALUE"""),45921.5119862963)</f>
        <v>45921.51199</v>
      </c>
      <c r="B405" s="3" t="str">
        <f>IFERROR(__xludf.DUMMYFUNCTION("""COMPUTED_VALUE"""),"MFHRO0232")</f>
        <v>MFHRO0232</v>
      </c>
      <c r="C405" s="3" t="str">
        <f>IFERROR(__xludf.DUMMYFUNCTION("""COMPUTED_VALUE"""),"Consumable")</f>
        <v>Consumable</v>
      </c>
      <c r="D405" s="3" t="str">
        <f>IFERROR(__xludf.DUMMYFUNCTION("""COMPUTED_VALUE"""),"-")</f>
        <v>-</v>
      </c>
      <c r="E405" s="3" t="str">
        <f>IFERROR(__xludf.DUMMYFUNCTION("""COMPUTED_VALUE"""),"Sparepart")</f>
        <v>Sparepart</v>
      </c>
      <c r="F405" s="3" t="str">
        <f>IFERROR(__xludf.DUMMYFUNCTION("""COMPUTED_VALUE"""),"General - Push-in Connector, QS-6; Festo; 153032; 1 pcs")</f>
        <v>General - Push-in Connector, QS-6; Festo; 153032; 1 pcs</v>
      </c>
      <c r="G405" s="3">
        <f>IFERROR(__xludf.DUMMYFUNCTION("""COMPUTED_VALUE"""),10.0)</f>
        <v>10</v>
      </c>
      <c r="H405" s="3" t="str">
        <f>IFERROR(__xludf.DUMMYFUNCTION("""COMPUTED_VALUE"""),"Pieces")</f>
        <v>Pieces</v>
      </c>
      <c r="I405" s="3" t="str">
        <f>IFERROR(__xludf.DUMMYFUNCTION("""COMPUTED_VALUE"""),"Consumable Engineering 121703178 2741")</f>
        <v>Consumable Engineering 121703178 2741</v>
      </c>
      <c r="J405" s="3" t="str">
        <f>IFERROR(__xludf.DUMMYFUNCTION("""COMPUTED_VALUE"""),"P-11182-00")</f>
        <v>P-11182-00</v>
      </c>
      <c r="K405" s="3" t="str">
        <f>IFERROR(__xludf.DUMMYFUNCTION("""COMPUTED_VALUE"""),"Approve")</f>
        <v>Approve</v>
      </c>
      <c r="L405" s="3" t="str">
        <f>IFERROR(__xludf.DUMMYFUNCTION("""COMPUTED_VALUE"""),"Normal")</f>
        <v>Normal</v>
      </c>
      <c r="M405" s="3" t="str">
        <f>IFERROR(__xludf.DUMMYFUNCTION("""COMPUTED_VALUE"""),"Non Urgent")</f>
        <v>Non Urgent</v>
      </c>
      <c r="N405" s="3">
        <f>IFERROR(__xludf.DUMMYFUNCTION("""COMPUTED_VALUE"""),45921.876120243054)</f>
        <v>45921.87612</v>
      </c>
    </row>
    <row r="406">
      <c r="A406" s="4">
        <f>IFERROR(__xludf.DUMMYFUNCTION("""COMPUTED_VALUE"""),45923.41597983796)</f>
        <v>45923.41598</v>
      </c>
      <c r="B406" s="3" t="str">
        <f>IFERROR(__xludf.DUMMYFUNCTION("""COMPUTED_VALUE"""),"ROSRO0011")</f>
        <v>ROSRO0011</v>
      </c>
      <c r="C406" s="3" t="str">
        <f>IFERROR(__xludf.DUMMYFUNCTION("""COMPUTED_VALUE"""),"Consumable")</f>
        <v>Consumable</v>
      </c>
      <c r="D406" s="3" t="str">
        <f>IFERROR(__xludf.DUMMYFUNCTION("""COMPUTED_VALUE"""),"-")</f>
        <v>-</v>
      </c>
      <c r="E406" s="3" t="str">
        <f>IFERROR(__xludf.DUMMYFUNCTION("""COMPUTED_VALUE"""),"Filling ")</f>
        <v>Filling </v>
      </c>
      <c r="F406" s="3" t="str">
        <f>IFERROR(__xludf.DUMMYFUNCTION("""COMPUTED_VALUE"""),"Oring Silicone Merah 18.4x13x2.7 mm; ; ;")</f>
        <v>Oring Silicone Merah 18.4x13x2.7 mm; ; ;</v>
      </c>
      <c r="G406" s="3">
        <f>IFERROR(__xludf.DUMMYFUNCTION("""COMPUTED_VALUE"""),20.0)</f>
        <v>20</v>
      </c>
      <c r="H406" s="3" t="str">
        <f>IFERROR(__xludf.DUMMYFUNCTION("""COMPUTED_VALUE"""),"Pcs")</f>
        <v>Pcs</v>
      </c>
      <c r="I406" s="3" t="str">
        <f>IFERROR(__xludf.DUMMYFUNCTION("""COMPUTED_VALUE"""),"Oring Filling pump stroke sudah ada yang putus ")</f>
        <v>Oring Filling pump stroke sudah ada yang putus </v>
      </c>
      <c r="J406" s="3" t="str">
        <f>IFERROR(__xludf.DUMMYFUNCTION("""COMPUTED_VALUE"""),"O-18870-00")</f>
        <v>O-18870-00</v>
      </c>
      <c r="K406" s="3" t="str">
        <f>IFERROR(__xludf.DUMMYFUNCTION("""COMPUTED_VALUE"""),"Approve")</f>
        <v>Approve</v>
      </c>
      <c r="L406" s="3" t="str">
        <f>IFERROR(__xludf.DUMMYFUNCTION("""COMPUTED_VALUE"""),"Normal")</f>
        <v>Normal</v>
      </c>
      <c r="M406" s="3" t="str">
        <f>IFERROR(__xludf.DUMMYFUNCTION("""COMPUTED_VALUE"""),"Non Urgent")</f>
        <v>Non Urgent</v>
      </c>
      <c r="N406" s="3">
        <f>IFERROR(__xludf.DUMMYFUNCTION("""COMPUTED_VALUE"""),45930.210313240736)</f>
        <v>45930.21031</v>
      </c>
    </row>
    <row r="407">
      <c r="A407" s="4">
        <f>IFERROR(__xludf.DUMMYFUNCTION("""COMPUTED_VALUE"""),45923.67971131945)</f>
        <v>45923.67971</v>
      </c>
      <c r="B407" s="3" t="str">
        <f>IFERROR(__xludf.DUMMYFUNCTION("""COMPUTED_VALUE"""),"NDSRO0008")</f>
        <v>NDSRO0008</v>
      </c>
      <c r="C407" s="3" t="str">
        <f>IFERROR(__xludf.DUMMYFUNCTION("""COMPUTED_VALUE"""),"MIn Stok")</f>
        <v>MIn Stok</v>
      </c>
      <c r="D407" s="3" t="str">
        <f>IFERROR(__xludf.DUMMYFUNCTION("""COMPUTED_VALUE"""),"-")</f>
        <v>-</v>
      </c>
      <c r="E407" s="3" t="str">
        <f>IFERROR(__xludf.DUMMYFUNCTION("""COMPUTED_VALUE"""),"Freeze Dryer")</f>
        <v>Freeze Dryer</v>
      </c>
      <c r="F407" s="3" t="str">
        <f>IFERROR(__xludf.DUMMYFUNCTION("""COMPUTED_VALUE"""),"Freeze Dryer MBE1207 - SV54 14193T 330 S.S+FKM I/O: G1/4 Inch Orifice 4mm Kv=0.28 m3/h NO DC24V p/n:; BURKERT; ;")</f>
        <v>Freeze Dryer MBE1207 - SV54 14193T 330 S.S+FKM I/O: G1/4 Inch Orifice 4mm Kv=0.28 m3/h NO DC24V p/n:; BURKERT; ;</v>
      </c>
      <c r="G407" s="3">
        <f>IFERROR(__xludf.DUMMYFUNCTION("""COMPUTED_VALUE"""),4.0)</f>
        <v>4</v>
      </c>
      <c r="H407" s="3" t="str">
        <f>IFERROR(__xludf.DUMMYFUNCTION("""COMPUTED_VALUE"""),"Pcs")</f>
        <v>Pcs</v>
      </c>
      <c r="I407" s="3" t="str">
        <f>IFERROR(__xludf.DUMMYFUNCTION("""COMPUTED_VALUE"""),"-")</f>
        <v>-</v>
      </c>
      <c r="J407" s="3" t="str">
        <f>IFERROR(__xludf.DUMMYFUNCTION("""COMPUTED_VALUE"""),"O-52825-00")</f>
        <v>O-52825-00</v>
      </c>
      <c r="K407" s="3" t="str">
        <f>IFERROR(__xludf.DUMMYFUNCTION("""COMPUTED_VALUE"""),"Approve")</f>
        <v>Approve</v>
      </c>
      <c r="L407" s="3" t="str">
        <f>IFERROR(__xludf.DUMMYFUNCTION("""COMPUTED_VALUE"""),"Normal")</f>
        <v>Normal</v>
      </c>
      <c r="M407" s="3" t="str">
        <f>IFERROR(__xludf.DUMMYFUNCTION("""COMPUTED_VALUE"""),"Non Urgent")</f>
        <v>Non Urgent</v>
      </c>
      <c r="N407" s="3">
        <f>IFERROR(__xludf.DUMMYFUNCTION("""COMPUTED_VALUE"""),45930.24040922454)</f>
        <v>45930.24041</v>
      </c>
    </row>
    <row r="408">
      <c r="A408" s="4">
        <f>IFERROR(__xludf.DUMMYFUNCTION("""COMPUTED_VALUE"""),45926.880745277784)</f>
        <v>45926.88075</v>
      </c>
      <c r="B408" s="3" t="str">
        <f>IFERROR(__xludf.DUMMYFUNCTION("""COMPUTED_VALUE"""),"RIARO0051")</f>
        <v>RIARO0051</v>
      </c>
      <c r="C408" s="3" t="str">
        <f>IFERROR(__xludf.DUMMYFUNCTION("""COMPUTED_VALUE"""),"EJO")</f>
        <v>EJO</v>
      </c>
      <c r="D408" s="3" t="str">
        <f>IFERROR(__xludf.DUMMYFUNCTION("""COMPUTED_VALUE"""),"EJO/2025/09/129")</f>
        <v>EJO/2025/09/129</v>
      </c>
      <c r="E408" s="3" t="str">
        <f>IFERROR(__xludf.DUMMYFUNCTION("""COMPUTED_VALUE"""),"Coating")</f>
        <v>Coating</v>
      </c>
      <c r="F408" s="3" t="str">
        <f>IFERROR(__xludf.DUMMYFUNCTION("""COMPUTED_VALUE"""),"Membrane Diaphragm Valve EPDM PTFE DN 50 p/n: 600 50M5E-221 Gemu; ; ;")</f>
        <v>Membrane Diaphragm Valve EPDM PTFE DN 50 p/n: 600 50M5E-221 Gemu; ; ;</v>
      </c>
      <c r="G408" s="3">
        <f>IFERROR(__xludf.DUMMYFUNCTION("""COMPUTED_VALUE"""),1.0)</f>
        <v>1</v>
      </c>
      <c r="H408" s="3" t="str">
        <f>IFERROR(__xludf.DUMMYFUNCTION("""COMPUTED_VALUE"""),"Pcs")</f>
        <v>Pcs</v>
      </c>
      <c r="I408" s="3" t="str">
        <f>IFERROR(__xludf.DUMMYFUNCTION("""COMPUTED_VALUE"""),"Untuk ganti membrane PW Washkit Coating")</f>
        <v>Untuk ganti membrane PW Washkit Coating</v>
      </c>
      <c r="J408" s="3" t="str">
        <f>IFERROR(__xludf.DUMMYFUNCTION("""COMPUTED_VALUE"""),"O-14364-00")</f>
        <v>O-14364-00</v>
      </c>
      <c r="K408" s="3" t="str">
        <f>IFERROR(__xludf.DUMMYFUNCTION("""COMPUTED_VALUE"""),"Approve")</f>
        <v>Approve</v>
      </c>
      <c r="L408" s="3" t="str">
        <f>IFERROR(__xludf.DUMMYFUNCTION("""COMPUTED_VALUE"""),"Normal")</f>
        <v>Normal</v>
      </c>
      <c r="M408" s="3" t="str">
        <f>IFERROR(__xludf.DUMMYFUNCTION("""COMPUTED_VALUE"""),"Non Urgent")</f>
        <v>Non Urgent</v>
      </c>
      <c r="N408" s="3">
        <f>IFERROR(__xludf.DUMMYFUNCTION("""COMPUTED_VALUE"""),46202.92251226852)</f>
        <v>46202.92251</v>
      </c>
    </row>
    <row r="409">
      <c r="A409" s="4">
        <f>IFERROR(__xludf.DUMMYFUNCTION("""COMPUTED_VALUE"""),45931.60714554398)</f>
        <v>45931.60715</v>
      </c>
      <c r="B409" s="3" t="str">
        <f>IFERROR(__xludf.DUMMYFUNCTION("""COMPUTED_VALUE"""),"MOBRO0061")</f>
        <v>MOBRO0061</v>
      </c>
      <c r="C409" s="3" t="str">
        <f>IFERROR(__xludf.DUMMYFUNCTION("""COMPUTED_VALUE"""),"EJO")</f>
        <v>EJO</v>
      </c>
      <c r="D409" s="3" t="str">
        <f>IFERROR(__xludf.DUMMYFUNCTION("""COMPUTED_VALUE"""),"EJO/2025/08/153")</f>
        <v>EJO/2025/08/153</v>
      </c>
      <c r="E409" s="3" t="str">
        <f>IFERROR(__xludf.DUMMYFUNCTION("""COMPUTED_VALUE"""),"Movable Drawer")</f>
        <v>Movable Drawer</v>
      </c>
      <c r="F409" s="3" t="str">
        <f>IFERROR(__xludf.DUMMYFUNCTION("""COMPUTED_VALUE"""),"Roda Caster Supo Dia : 3"" ( 75 x 38 mm) / Swivel Flange / With Breake")</f>
        <v>Roda Caster Supo Dia : 3" ( 75 x 38 mm) / Swivel Flange / With Breake</v>
      </c>
      <c r="G409" s="3">
        <f>IFERROR(__xludf.DUMMYFUNCTION("""COMPUTED_VALUE"""),8.0)</f>
        <v>8</v>
      </c>
      <c r="H409" s="3" t="str">
        <f>IFERROR(__xludf.DUMMYFUNCTION("""COMPUTED_VALUE"""),"Pcs")</f>
        <v>Pcs</v>
      </c>
      <c r="I409" s="3" t="str">
        <f>IFERROR(__xludf.DUMMYFUNCTION("""COMPUTED_VALUE"""),"Flange, Putar")</f>
        <v>Flange, Putar</v>
      </c>
      <c r="J409" s="3" t="str">
        <f>IFERROR(__xludf.DUMMYFUNCTION("""COMPUTED_VALUE"""),"P-11348-00")</f>
        <v>P-11348-00</v>
      </c>
      <c r="K409" s="3" t="str">
        <f>IFERROR(__xludf.DUMMYFUNCTION("""COMPUTED_VALUE"""),"Approve")</f>
        <v>Approve</v>
      </c>
      <c r="L409" s="3" t="str">
        <f>IFERROR(__xludf.DUMMYFUNCTION("""COMPUTED_VALUE"""),"Normal")</f>
        <v>Normal</v>
      </c>
      <c r="M409" s="3" t="str">
        <f>IFERROR(__xludf.DUMMYFUNCTION("""COMPUTED_VALUE"""),"Non Urgent")</f>
        <v>Non Urgent</v>
      </c>
      <c r="N409" s="3">
        <f>IFERROR(__xludf.DUMMYFUNCTION("""COMPUTED_VALUE"""),45937.65022649306)</f>
        <v>45937.65023</v>
      </c>
    </row>
    <row r="410">
      <c r="A410" s="4">
        <f>IFERROR(__xludf.DUMMYFUNCTION("""COMPUTED_VALUE"""),45932.45394005787)</f>
        <v>45932.45394</v>
      </c>
      <c r="B410" s="3" t="str">
        <f>IFERROR(__xludf.DUMMYFUNCTION("""COMPUTED_VALUE"""),"SFHRO0023")</f>
        <v>SFHRO0023</v>
      </c>
      <c r="C410" s="3" t="str">
        <f>IFERROR(__xludf.DUMMYFUNCTION("""COMPUTED_VALUE"""),"MIn Stok")</f>
        <v>MIn Stok</v>
      </c>
      <c r="D410" s="3" t="str">
        <f>IFERROR(__xludf.DUMMYFUNCTION("""COMPUTED_VALUE"""),"-")</f>
        <v>-</v>
      </c>
      <c r="E410" s="3" t="str">
        <f>IFERROR(__xludf.DUMMYFUNCTION("""COMPUTED_VALUE"""),"lantai 2")</f>
        <v>lantai 2</v>
      </c>
      <c r="F410" s="3" t="str">
        <f>IFERROR(__xludf.DUMMYFUNCTION("""COMPUTED_VALUE"""),"Kuas Cat Roller uk. 110 mm;No Brand;;pack size per set")</f>
        <v>Kuas Cat Roller uk. 110 mm;No Brand;;pack size per set</v>
      </c>
      <c r="G410" s="3">
        <f>IFERROR(__xludf.DUMMYFUNCTION("""COMPUTED_VALUE"""),10.0)</f>
        <v>10</v>
      </c>
      <c r="H410" s="3" t="str">
        <f>IFERROR(__xludf.DUMMYFUNCTION("""COMPUTED_VALUE"""),"pcs")</f>
        <v>pcs</v>
      </c>
      <c r="I410" s="3" t="str">
        <f>IFERROR(__xludf.DUMMYFUNCTION("""COMPUTED_VALUE"""),"stok habis")</f>
        <v>stok habis</v>
      </c>
      <c r="J410" s="3" t="str">
        <f>IFERROR(__xludf.DUMMYFUNCTION("""COMPUTED_VALUE"""),"Q-10153-00")</f>
        <v>Q-10153-00</v>
      </c>
      <c r="K410" s="3" t="str">
        <f>IFERROR(__xludf.DUMMYFUNCTION("""COMPUTED_VALUE"""),"Approve")</f>
        <v>Approve</v>
      </c>
      <c r="L410" s="3" t="str">
        <f>IFERROR(__xludf.DUMMYFUNCTION("""COMPUTED_VALUE"""),"Normal")</f>
        <v>Normal</v>
      </c>
      <c r="M410" s="3" t="str">
        <f>IFERROR(__xludf.DUMMYFUNCTION("""COMPUTED_VALUE"""),"Non Urgent")</f>
        <v>Non Urgent</v>
      </c>
      <c r="N410" s="3">
        <f>IFERROR(__xludf.DUMMYFUNCTION("""COMPUTED_VALUE"""),45937.6527922338)</f>
        <v>45937.65279</v>
      </c>
    </row>
    <row r="411">
      <c r="A411" s="4">
        <f>IFERROR(__xludf.DUMMYFUNCTION("""COMPUTED_VALUE"""),45933.065253981484)</f>
        <v>45933.06525</v>
      </c>
      <c r="B411" s="3" t="str">
        <f>IFERROR(__xludf.DUMMYFUNCTION("""COMPUTED_VALUE"""),"RIARO0052")</f>
        <v>RIARO0052</v>
      </c>
      <c r="C411" s="3" t="str">
        <f>IFERROR(__xludf.DUMMYFUNCTION("""COMPUTED_VALUE"""),"Consumable")</f>
        <v>Consumable</v>
      </c>
      <c r="D411" s="3" t="str">
        <f>IFERROR(__xludf.DUMMYFUNCTION("""COMPUTED_VALUE"""),"-")</f>
        <v>-</v>
      </c>
      <c r="E411" s="3" t="str">
        <f>IFERROR(__xludf.DUMMYFUNCTION("""COMPUTED_VALUE"""),"WWTP")</f>
        <v>WWTP</v>
      </c>
      <c r="F411" s="3" t="str">
        <f>IFERROR(__xludf.DUMMYFUNCTION("""COMPUTED_VALUE"""),"ORP Transmitter (Field mounted) Type: 202551/05-8-01-4-0-00-25/000; JUMO; ;")</f>
        <v>ORP Transmitter (Field mounted) Type: 202551/05-8-01-4-0-00-25/000; JUMO; ;</v>
      </c>
      <c r="G411" s="3">
        <f>IFERROR(__xludf.DUMMYFUNCTION("""COMPUTED_VALUE"""),1.0)</f>
        <v>1</v>
      </c>
      <c r="H411" s="3" t="str">
        <f>IFERROR(__xludf.DUMMYFUNCTION("""COMPUTED_VALUE"""),"Pcs")</f>
        <v>Pcs</v>
      </c>
      <c r="I411" s="3" t="str">
        <f>IFERROR(__xludf.DUMMYFUNCTION("""COMPUTED_VALUE"""),"Untuk ORP Tangki Reactor 1")</f>
        <v>Untuk ORP Tangki Reactor 1</v>
      </c>
      <c r="J411" s="3" t="str">
        <f>IFERROR(__xludf.DUMMYFUNCTION("""COMPUTED_VALUE"""),"P-52694-00")</f>
        <v>P-52694-00</v>
      </c>
      <c r="K411" s="3" t="str">
        <f>IFERROR(__xludf.DUMMYFUNCTION("""COMPUTED_VALUE"""),"Approve")</f>
        <v>Approve</v>
      </c>
      <c r="L411" s="3" t="str">
        <f>IFERROR(__xludf.DUMMYFUNCTION("""COMPUTED_VALUE"""),"Normal")</f>
        <v>Normal</v>
      </c>
      <c r="M411" s="3" t="str">
        <f>IFERROR(__xludf.DUMMYFUNCTION("""COMPUTED_VALUE"""),"Non Urgent")</f>
        <v>Non Urgent</v>
      </c>
      <c r="N411" s="3">
        <f>IFERROR(__xludf.DUMMYFUNCTION("""COMPUTED_VALUE"""),45937.65219769676)</f>
        <v>45937.6522</v>
      </c>
    </row>
    <row r="412">
      <c r="A412" s="4">
        <f>IFERROR(__xludf.DUMMYFUNCTION("""COMPUTED_VALUE"""),45933.06527746528)</f>
        <v>45933.06528</v>
      </c>
      <c r="B412" s="3" t="str">
        <f>IFERROR(__xludf.DUMMYFUNCTION("""COMPUTED_VALUE"""),"RIARO0053")</f>
        <v>RIARO0053</v>
      </c>
      <c r="C412" s="3" t="str">
        <f>IFERROR(__xludf.DUMMYFUNCTION("""COMPUTED_VALUE"""),"Consumable")</f>
        <v>Consumable</v>
      </c>
      <c r="D412" s="3" t="str">
        <f>IFERROR(__xludf.DUMMYFUNCTION("""COMPUTED_VALUE"""),"-")</f>
        <v>-</v>
      </c>
      <c r="E412" s="3" t="str">
        <f>IFERROR(__xludf.DUMMYFUNCTION("""COMPUTED_VALUE"""),"WWTP")</f>
        <v>WWTP</v>
      </c>
      <c r="F412" s="3" t="str">
        <f>IFERROR(__xludf.DUMMYFUNCTION("""COMPUTED_VALUE"""),"ORP Electrode Type: 201027/10-22-07-82-120/000; JUMO; ;")</f>
        <v>ORP Electrode Type: 201027/10-22-07-82-120/000; JUMO; ;</v>
      </c>
      <c r="G412" s="3">
        <f>IFERROR(__xludf.DUMMYFUNCTION("""COMPUTED_VALUE"""),1.0)</f>
        <v>1</v>
      </c>
      <c r="H412" s="3" t="str">
        <f>IFERROR(__xludf.DUMMYFUNCTION("""COMPUTED_VALUE"""),"Pcs")</f>
        <v>Pcs</v>
      </c>
      <c r="I412" s="3" t="str">
        <f>IFERROR(__xludf.DUMMYFUNCTION("""COMPUTED_VALUE"""),"Untuk ORP Tangki Reactor 2")</f>
        <v>Untuk ORP Tangki Reactor 2</v>
      </c>
      <c r="J412" s="3" t="str">
        <f>IFERROR(__xludf.DUMMYFUNCTION("""COMPUTED_VALUE"""),"P-52695-00")</f>
        <v>P-52695-00</v>
      </c>
      <c r="K412" s="3" t="str">
        <f>IFERROR(__xludf.DUMMYFUNCTION("""COMPUTED_VALUE"""),"Approve")</f>
        <v>Approve</v>
      </c>
      <c r="L412" s="3" t="str">
        <f>IFERROR(__xludf.DUMMYFUNCTION("""COMPUTED_VALUE"""),"Normal")</f>
        <v>Normal</v>
      </c>
      <c r="M412" s="3" t="str">
        <f>IFERROR(__xludf.DUMMYFUNCTION("""COMPUTED_VALUE"""),"Non Urgent")</f>
        <v>Non Urgent</v>
      </c>
      <c r="N412" s="3">
        <f>IFERROR(__xludf.DUMMYFUNCTION("""COMPUTED_VALUE"""),45937.65241380787)</f>
        <v>45937.65241</v>
      </c>
    </row>
    <row r="413">
      <c r="A413" s="4">
        <f>IFERROR(__xludf.DUMMYFUNCTION("""COMPUTED_VALUE"""),45933.06527746528)</f>
        <v>45933.06528</v>
      </c>
      <c r="B413" s="3" t="str">
        <f>IFERROR(__xludf.DUMMYFUNCTION("""COMPUTED_VALUE"""),"RIARO0054")</f>
        <v>RIARO0054</v>
      </c>
      <c r="C413" s="3" t="str">
        <f>IFERROR(__xludf.DUMMYFUNCTION("""COMPUTED_VALUE"""),"Consumable")</f>
        <v>Consumable</v>
      </c>
      <c r="D413" s="3" t="str">
        <f>IFERROR(__xludf.DUMMYFUNCTION("""COMPUTED_VALUE"""),"-")</f>
        <v>-</v>
      </c>
      <c r="E413" s="3" t="str">
        <f>IFERROR(__xludf.DUMMYFUNCTION("""COMPUTED_VALUE"""),"WWTP")</f>
        <v>WWTP</v>
      </c>
      <c r="F413" s="3" t="str">
        <f>IFERROR(__xludf.DUMMYFUNCTION("""COMPUTED_VALUE"""),"ORP Cable Type: 202990/02; JUMO; ;")</f>
        <v>ORP Cable Type: 202990/02; JUMO; ;</v>
      </c>
      <c r="G413" s="3">
        <f>IFERROR(__xludf.DUMMYFUNCTION("""COMPUTED_VALUE"""),1.0)</f>
        <v>1</v>
      </c>
      <c r="H413" s="3" t="str">
        <f>IFERROR(__xludf.DUMMYFUNCTION("""COMPUTED_VALUE"""),"Pcs")</f>
        <v>Pcs</v>
      </c>
      <c r="I413" s="3" t="str">
        <f>IFERROR(__xludf.DUMMYFUNCTION("""COMPUTED_VALUE"""),"Untuk ORP Tangki Reactor 3")</f>
        <v>Untuk ORP Tangki Reactor 3</v>
      </c>
      <c r="J413" s="3" t="str">
        <f>IFERROR(__xludf.DUMMYFUNCTION("""COMPUTED_VALUE"""),"P-52696-00")</f>
        <v>P-52696-00</v>
      </c>
      <c r="K413" s="3" t="str">
        <f>IFERROR(__xludf.DUMMYFUNCTION("""COMPUTED_VALUE"""),"Approve")</f>
        <v>Approve</v>
      </c>
      <c r="L413" s="3" t="str">
        <f>IFERROR(__xludf.DUMMYFUNCTION("""COMPUTED_VALUE"""),"Normal")</f>
        <v>Normal</v>
      </c>
      <c r="M413" s="3" t="str">
        <f>IFERROR(__xludf.DUMMYFUNCTION("""COMPUTED_VALUE"""),"Non Urgent")</f>
        <v>Non Urgent</v>
      </c>
      <c r="N413" s="3">
        <f>IFERROR(__xludf.DUMMYFUNCTION("""COMPUTED_VALUE"""),45937.652633136575)</f>
        <v>45937.65263</v>
      </c>
    </row>
    <row r="414">
      <c r="A414" s="4">
        <f>IFERROR(__xludf.DUMMYFUNCTION("""COMPUTED_VALUE"""),45933.67468950231)</f>
        <v>45933.67469</v>
      </c>
      <c r="B414" s="3" t="str">
        <f>IFERROR(__xludf.DUMMYFUNCTION("""COMPUTED_VALUE"""),"MRNRO0033")</f>
        <v>MRNRO0033</v>
      </c>
      <c r="C414" s="3" t="str">
        <f>IFERROR(__xludf.DUMMYFUNCTION("""COMPUTED_VALUE"""),"EJO")</f>
        <v>EJO</v>
      </c>
      <c r="D414" s="3" t="str">
        <f>IFERROR(__xludf.DUMMYFUNCTION("""COMPUTED_VALUE"""),"EJO/2025/02/66")</f>
        <v>EJO/2025/02/66</v>
      </c>
      <c r="E414" s="3" t="str">
        <f>IFERROR(__xludf.DUMMYFUNCTION("""COMPUTED_VALUE"""),"EF AHU")</f>
        <v>EF AHU</v>
      </c>
      <c r="F414" s="3" t="str">
        <f>IFERROR(__xludf.DUMMYFUNCTION("""COMPUTED_VALUE"""),"Belt SPA 1132 LW")</f>
        <v>Belt SPA 1132 LW</v>
      </c>
      <c r="G414" s="3">
        <f>IFERROR(__xludf.DUMMYFUNCTION("""COMPUTED_VALUE"""),10.0)</f>
        <v>10</v>
      </c>
      <c r="H414" s="3" t="str">
        <f>IFERROR(__xludf.DUMMYFUNCTION("""COMPUTED_VALUE"""),"pcs")</f>
        <v>pcs</v>
      </c>
      <c r="I414" s="3" t="str">
        <f>IFERROR(__xludf.DUMMYFUNCTION("""COMPUTED_VALUE"""),"Buat Exhaust Fan AHU")</f>
        <v>Buat Exhaust Fan AHU</v>
      </c>
      <c r="J414" s="3" t="str">
        <f>IFERROR(__xludf.DUMMYFUNCTION("""COMPUTED_VALUE"""),"P-17451-00")</f>
        <v>P-17451-00</v>
      </c>
      <c r="K414" s="3" t="str">
        <f>IFERROR(__xludf.DUMMYFUNCTION("""COMPUTED_VALUE"""),"Approve")</f>
        <v>Approve</v>
      </c>
      <c r="L414" s="3" t="str">
        <f>IFERROR(__xludf.DUMMYFUNCTION("""COMPUTED_VALUE"""),"Normal")</f>
        <v>Normal</v>
      </c>
      <c r="M414" s="3" t="str">
        <f>IFERROR(__xludf.DUMMYFUNCTION("""COMPUTED_VALUE"""),"Non Urgent")</f>
        <v>Non Urgent</v>
      </c>
      <c r="N414" s="3">
        <f>IFERROR(__xludf.DUMMYFUNCTION("""COMPUTED_VALUE"""),45937.65046711806)</f>
        <v>45937.65047</v>
      </c>
    </row>
    <row r="415">
      <c r="A415" s="4">
        <f>IFERROR(__xludf.DUMMYFUNCTION("""COMPUTED_VALUE"""),45935.32112350695)</f>
        <v>45935.32112</v>
      </c>
      <c r="B415" s="3" t="str">
        <f>IFERROR(__xludf.DUMMYFUNCTION("""COMPUTED_VALUE"""),"SFHRO0024")</f>
        <v>SFHRO0024</v>
      </c>
      <c r="C415" s="3" t="str">
        <f>IFERROR(__xludf.DUMMYFUNCTION("""COMPUTED_VALUE"""),"MIn Stok")</f>
        <v>MIn Stok</v>
      </c>
      <c r="D415" s="3" t="str">
        <f>IFERROR(__xludf.DUMMYFUNCTION("""COMPUTED_VALUE"""),"-")</f>
        <v>-</v>
      </c>
      <c r="E415" s="3" t="str">
        <f>IFERROR(__xludf.DUMMYFUNCTION("""COMPUTED_VALUE"""),"lantai 2")</f>
        <v>lantai 2</v>
      </c>
      <c r="F415" s="3" t="str">
        <f>IFERROR(__xludf.DUMMYFUNCTION("""COMPUTED_VALUE"""),"Kape Besi / Scraper / Skrap Besi;No Brand;;pack size per pcs")</f>
        <v>Kape Besi / Scraper / Skrap Besi;No Brand;;pack size per pcs</v>
      </c>
      <c r="G415" s="3">
        <f>IFERROR(__xludf.DUMMYFUNCTION("""COMPUTED_VALUE"""),5.0)</f>
        <v>5</v>
      </c>
      <c r="H415" s="3" t="str">
        <f>IFERROR(__xludf.DUMMYFUNCTION("""COMPUTED_VALUE"""),"pcs")</f>
        <v>pcs</v>
      </c>
      <c r="I415" s="3" t="str">
        <f>IFERROR(__xludf.DUMMYFUNCTION("""COMPUTED_VALUE"""),"stok habis")</f>
        <v>stok habis</v>
      </c>
      <c r="J415" s="3" t="str">
        <f>IFERROR(__xludf.DUMMYFUNCTION("""COMPUTED_VALUE"""),"Q-10517-00")</f>
        <v>Q-10517-00</v>
      </c>
      <c r="K415" s="3" t="str">
        <f>IFERROR(__xludf.DUMMYFUNCTION("""COMPUTED_VALUE"""),"Approve")</f>
        <v>Approve</v>
      </c>
      <c r="L415" s="3" t="str">
        <f>IFERROR(__xludf.DUMMYFUNCTION("""COMPUTED_VALUE"""),"Normal")</f>
        <v>Normal</v>
      </c>
      <c r="M415" s="3" t="str">
        <f>IFERROR(__xludf.DUMMYFUNCTION("""COMPUTED_VALUE"""),"Non Urgent")</f>
        <v>Non Urgent</v>
      </c>
      <c r="N415" s="3">
        <f>IFERROR(__xludf.DUMMYFUNCTION("""COMPUTED_VALUE"""),45937.652944490736)</f>
        <v>45937.65294</v>
      </c>
    </row>
    <row r="416">
      <c r="A416" s="4">
        <f>IFERROR(__xludf.DUMMYFUNCTION("""COMPUTED_VALUE"""),45936.885937812505)</f>
        <v>45936.88594</v>
      </c>
      <c r="B416" s="3" t="str">
        <f>IFERROR(__xludf.DUMMYFUNCTION("""COMPUTED_VALUE"""),"SFHRO0025")</f>
        <v>SFHRO0025</v>
      </c>
      <c r="C416" s="3" t="str">
        <f>IFERROR(__xludf.DUMMYFUNCTION("""COMPUTED_VALUE"""),"MIn Stok")</f>
        <v>MIn Stok</v>
      </c>
      <c r="D416" s="3" t="str">
        <f>IFERROR(__xludf.DUMMYFUNCTION("""COMPUTED_VALUE"""),"-")</f>
        <v>-</v>
      </c>
      <c r="E416" s="3" t="str">
        <f>IFERROR(__xludf.DUMMYFUNCTION("""COMPUTED_VALUE"""),"lantai 2")</f>
        <v>lantai 2</v>
      </c>
      <c r="F416" s="3" t="str">
        <f>IFERROR(__xludf.DUMMYFUNCTION("""COMPUTED_VALUE"""),"Thinner Super End/Impala @ 1 Liter")</f>
        <v>Thinner Super End/Impala @ 1 Liter</v>
      </c>
      <c r="G416" s="3">
        <f>IFERROR(__xludf.DUMMYFUNCTION("""COMPUTED_VALUE"""),15.0)</f>
        <v>15</v>
      </c>
      <c r="H416" s="3" t="str">
        <f>IFERROR(__xludf.DUMMYFUNCTION("""COMPUTED_VALUE"""),"liter")</f>
        <v>liter</v>
      </c>
      <c r="I416" s="3" t="str">
        <f>IFERROR(__xludf.DUMMYFUNCTION("""COMPUTED_VALUE"""),"stok habis")</f>
        <v>stok habis</v>
      </c>
      <c r="J416" s="3" t="str">
        <f>IFERROR(__xludf.DUMMYFUNCTION("""COMPUTED_VALUE"""),"Q-10128-00")</f>
        <v>Q-10128-00</v>
      </c>
      <c r="K416" s="3" t="str">
        <f>IFERROR(__xludf.DUMMYFUNCTION("""COMPUTED_VALUE"""),"Approve")</f>
        <v>Approve</v>
      </c>
      <c r="L416" s="3" t="str">
        <f>IFERROR(__xludf.DUMMYFUNCTION("""COMPUTED_VALUE"""),"Normal")</f>
        <v>Normal</v>
      </c>
      <c r="M416" s="3" t="str">
        <f>IFERROR(__xludf.DUMMYFUNCTION("""COMPUTED_VALUE"""),"Non Urgent")</f>
        <v>Non Urgent</v>
      </c>
      <c r="N416" s="3">
        <f>IFERROR(__xludf.DUMMYFUNCTION("""COMPUTED_VALUE"""),45943.98720548611)</f>
        <v>45943.98721</v>
      </c>
    </row>
    <row r="417">
      <c r="A417" s="4">
        <f>IFERROR(__xludf.DUMMYFUNCTION("""COMPUTED_VALUE"""),45943.567489490735)</f>
        <v>45943.56749</v>
      </c>
      <c r="B417" s="3" t="str">
        <f>IFERROR(__xludf.DUMMYFUNCTION("""COMPUTED_VALUE"""),"MOBRO0062")</f>
        <v>MOBRO0062</v>
      </c>
      <c r="C417" s="3" t="str">
        <f>IFERROR(__xludf.DUMMYFUNCTION("""COMPUTED_VALUE"""),"Consumable")</f>
        <v>Consumable</v>
      </c>
      <c r="D417" s="3" t="str">
        <f>IFERROR(__xludf.DUMMYFUNCTION("""COMPUTED_VALUE"""),"-")</f>
        <v>-</v>
      </c>
      <c r="E417" s="3" t="str">
        <f>IFERROR(__xludf.DUMMYFUNCTION("""COMPUTED_VALUE"""),"Universal")</f>
        <v>Universal</v>
      </c>
      <c r="F417" s="3" t="str">
        <f>IFERROR(__xludf.DUMMYFUNCTION("""COMPUTED_VALUE"""),"General - Kabel UTP 4 Pairs Cat 6; Belden; -; 305m/roll")</f>
        <v>General - Kabel UTP 4 Pairs Cat 6; Belden; -; 305m/roll</v>
      </c>
      <c r="G417" s="3">
        <f>IFERROR(__xludf.DUMMYFUNCTION("""COMPUTED_VALUE"""),1220.0)</f>
        <v>1220</v>
      </c>
      <c r="H417" s="3" t="str">
        <f>IFERROR(__xludf.DUMMYFUNCTION("""COMPUTED_VALUE"""),"Meter")</f>
        <v>Meter</v>
      </c>
      <c r="I417" s="3" t="str">
        <f>IFERROR(__xludf.DUMMYFUNCTION("""COMPUTED_VALUE"""),"Consumable")</f>
        <v>Consumable</v>
      </c>
      <c r="J417" s="3" t="str">
        <f>IFERROR(__xludf.DUMMYFUNCTION("""COMPUTED_VALUE"""),"P-50717-00")</f>
        <v>P-50717-00</v>
      </c>
      <c r="K417" s="3" t="str">
        <f>IFERROR(__xludf.DUMMYFUNCTION("""COMPUTED_VALUE"""),"Approve")</f>
        <v>Approve</v>
      </c>
      <c r="L417" s="3" t="str">
        <f>IFERROR(__xludf.DUMMYFUNCTION("""COMPUTED_VALUE"""),"Normal")</f>
        <v>Normal</v>
      </c>
      <c r="M417" s="3" t="str">
        <f>IFERROR(__xludf.DUMMYFUNCTION("""COMPUTED_VALUE"""),"Non Urgent")</f>
        <v>Non Urgent</v>
      </c>
      <c r="N417" s="3">
        <f>IFERROR(__xludf.DUMMYFUNCTION("""COMPUTED_VALUE"""),45947.89190177083)</f>
        <v>45947.8919</v>
      </c>
    </row>
    <row r="418">
      <c r="A418" s="4">
        <f>IFERROR(__xludf.DUMMYFUNCTION("""COMPUTED_VALUE"""),45945.27239075232)</f>
        <v>45945.27239</v>
      </c>
      <c r="B418" s="3" t="str">
        <f>IFERROR(__xludf.DUMMYFUNCTION("""COMPUTED_VALUE"""),"MRNRO0034")</f>
        <v>MRNRO0034</v>
      </c>
      <c r="C418" s="3" t="str">
        <f>IFERROR(__xludf.DUMMYFUNCTION("""COMPUTED_VALUE"""),"EJO")</f>
        <v>EJO</v>
      </c>
      <c r="D418" s="3" t="str">
        <f>IFERROR(__xludf.DUMMYFUNCTION("""COMPUTED_VALUE"""),"EJO/2025/08/165")</f>
        <v>EJO/2025/08/165</v>
      </c>
      <c r="E418" s="3" t="str">
        <f>IFERROR(__xludf.DUMMYFUNCTION("""COMPUTED_VALUE"""),"EF D1-1")</f>
        <v>EF D1-1</v>
      </c>
      <c r="F418" s="3" t="str">
        <f>IFERROR(__xludf.DUMMYFUNCTION("""COMPUTED_VALUE"""),"General - Pulser SCR Heater Controller Wall Mounted 0-10 VD DC; Regin; 240-X010; 1 unit")</f>
        <v>General - Pulser SCR Heater Controller Wall Mounted 0-10 VD DC; Regin; 240-X010; 1 unit</v>
      </c>
      <c r="G418" s="3">
        <f>IFERROR(__xludf.DUMMYFUNCTION("""COMPUTED_VALUE"""),1.0)</f>
        <v>1</v>
      </c>
      <c r="H418" s="3" t="str">
        <f>IFERROR(__xludf.DUMMYFUNCTION("""COMPUTED_VALUE"""),"pcs")</f>
        <v>pcs</v>
      </c>
      <c r="I418" s="3" t="str">
        <f>IFERROR(__xludf.DUMMYFUNCTION("""COMPUTED_VALUE"""),"Buat AHU D1-1")</f>
        <v>Buat AHU D1-1</v>
      </c>
      <c r="J418" s="3" t="str">
        <f>IFERROR(__xludf.DUMMYFUNCTION("""COMPUTED_VALUE"""),"P-13370-00")</f>
        <v>P-13370-00</v>
      </c>
      <c r="K418" s="3" t="str">
        <f>IFERROR(__xludf.DUMMYFUNCTION("""COMPUTED_VALUE"""),"Approve")</f>
        <v>Approve</v>
      </c>
      <c r="L418" s="3" t="str">
        <f>IFERROR(__xludf.DUMMYFUNCTION("""COMPUTED_VALUE"""),"Normal")</f>
        <v>Normal</v>
      </c>
      <c r="M418" s="3" t="str">
        <f>IFERROR(__xludf.DUMMYFUNCTION("""COMPUTED_VALUE"""),"Non Urgent")</f>
        <v>Non Urgent</v>
      </c>
      <c r="N418" s="3">
        <f>IFERROR(__xludf.DUMMYFUNCTION("""COMPUTED_VALUE"""),45947.8922771875)</f>
        <v>45947.89228</v>
      </c>
    </row>
    <row r="419">
      <c r="A419" s="4">
        <f>IFERROR(__xludf.DUMMYFUNCTION("""COMPUTED_VALUE"""),45945.36438557871)</f>
        <v>45945.36439</v>
      </c>
      <c r="B419" s="3" t="str">
        <f>IFERROR(__xludf.DUMMYFUNCTION("""COMPUTED_VALUE"""),"MOBRO0063")</f>
        <v>MOBRO0063</v>
      </c>
      <c r="C419" s="3" t="str">
        <f>IFERROR(__xludf.DUMMYFUNCTION("""COMPUTED_VALUE"""),"Consumable")</f>
        <v>Consumable</v>
      </c>
      <c r="D419" s="3" t="str">
        <f>IFERROR(__xludf.DUMMYFUNCTION("""COMPUTED_VALUE"""),"-")</f>
        <v>-</v>
      </c>
      <c r="E419" s="3" t="str">
        <f>IFERROR(__xludf.DUMMYFUNCTION("""COMPUTED_VALUE"""),"PWG")</f>
        <v>PWG</v>
      </c>
      <c r="F419" s="3" t="str">
        <f>IFERROR(__xludf.DUMMYFUNCTION("""COMPUTED_VALUE"""),"Filter SO 5 micron 30 inch O-ring 222 Bayonet; ; ;")</f>
        <v>Filter SO 5 micron 30 inch O-ring 222 Bayonet; ; ;</v>
      </c>
      <c r="G419" s="3">
        <f>IFERROR(__xludf.DUMMYFUNCTION("""COMPUTED_VALUE"""),10.0)</f>
        <v>10</v>
      </c>
      <c r="H419" s="3" t="str">
        <f>IFERROR(__xludf.DUMMYFUNCTION("""COMPUTED_VALUE"""),"Pcs")</f>
        <v>Pcs</v>
      </c>
      <c r="I419" s="3" t="str">
        <f>IFERROR(__xludf.DUMMYFUNCTION("""COMPUTED_VALUE"""),"Urgent untuk PWG")</f>
        <v>Urgent untuk PWG</v>
      </c>
      <c r="J419" s="3" t="str">
        <f>IFERROR(__xludf.DUMMYFUNCTION("""COMPUTED_VALUE"""),"P-13641-00")</f>
        <v>P-13641-00</v>
      </c>
      <c r="K419" s="3" t="str">
        <f>IFERROR(__xludf.DUMMYFUNCTION("""COMPUTED_VALUE"""),"Approve")</f>
        <v>Approve</v>
      </c>
      <c r="L419" s="3" t="str">
        <f>IFERROR(__xludf.DUMMYFUNCTION("""COMPUTED_VALUE"""),"Normal")</f>
        <v>Normal</v>
      </c>
      <c r="M419" s="3" t="str">
        <f>IFERROR(__xludf.DUMMYFUNCTION("""COMPUTED_VALUE"""),"Non Urgent")</f>
        <v>Non Urgent</v>
      </c>
      <c r="N419" s="3">
        <f>IFERROR(__xludf.DUMMYFUNCTION("""COMPUTED_VALUE"""),45947.892049988426)</f>
        <v>45947.89205</v>
      </c>
    </row>
    <row r="420">
      <c r="A420" s="4">
        <f>IFERROR(__xludf.DUMMYFUNCTION("""COMPUTED_VALUE"""),45945.835900659724)</f>
        <v>45945.8359</v>
      </c>
      <c r="B420" s="3" t="str">
        <f>IFERROR(__xludf.DUMMYFUNCTION("""COMPUTED_VALUE"""),"INNRO0008")</f>
        <v>INNRO0008</v>
      </c>
      <c r="C420" s="3" t="str">
        <f>IFERROR(__xludf.DUMMYFUNCTION("""COMPUTED_VALUE"""),"Consumable")</f>
        <v>Consumable</v>
      </c>
      <c r="D420" s="3" t="str">
        <f>IFERROR(__xludf.DUMMYFUNCTION("""COMPUTED_VALUE"""),"-")</f>
        <v>-</v>
      </c>
      <c r="E420" s="3" t="str">
        <f>IFERROR(__xludf.DUMMYFUNCTION("""COMPUTED_VALUE"""),"Autoclave")</f>
        <v>Autoclave</v>
      </c>
      <c r="F420" s="3" t="str">
        <f>IFERROR(__xludf.DUMMYFUNCTION("""COMPUTED_VALUE"""),"Autoclave Fedegari FOF / 6 AC - Kit DN22 Valve Mod; p/n: KK000310; ; ;")</f>
        <v>Autoclave Fedegari FOF / 6 AC - Kit DN22 Valve Mod; p/n: KK000310; ; ;</v>
      </c>
      <c r="G420" s="3">
        <f>IFERROR(__xludf.DUMMYFUNCTION("""COMPUTED_VALUE"""),8.0)</f>
        <v>8</v>
      </c>
      <c r="H420" s="3" t="str">
        <f>IFERROR(__xludf.DUMMYFUNCTION("""COMPUTED_VALUE"""),"Pcs")</f>
        <v>Pcs</v>
      </c>
      <c r="I420" s="3" t="str">
        <f>IFERROR(__xludf.DUMMYFUNCTION("""COMPUTED_VALUE"""),"Untuk Autoclave Service dan Terminal")</f>
        <v>Untuk Autoclave Service dan Terminal</v>
      </c>
      <c r="J420" s="3" t="str">
        <f>IFERROR(__xludf.DUMMYFUNCTION("""COMPUTED_VALUE"""),"O-17376-00")</f>
        <v>O-17376-00</v>
      </c>
      <c r="K420" s="3" t="str">
        <f>IFERROR(__xludf.DUMMYFUNCTION("""COMPUTED_VALUE"""),"Approve")</f>
        <v>Approve</v>
      </c>
      <c r="L420" s="3" t="str">
        <f>IFERROR(__xludf.DUMMYFUNCTION("""COMPUTED_VALUE"""),"Normal")</f>
        <v>Normal</v>
      </c>
      <c r="M420" s="3" t="str">
        <f>IFERROR(__xludf.DUMMYFUNCTION("""COMPUTED_VALUE"""),"Non Urgent")</f>
        <v>Non Urgent</v>
      </c>
      <c r="N420" s="3">
        <f>IFERROR(__xludf.DUMMYFUNCTION("""COMPUTED_VALUE"""),45951.454341122684)</f>
        <v>45951.45434</v>
      </c>
    </row>
    <row r="421">
      <c r="A421" s="4">
        <f>IFERROR(__xludf.DUMMYFUNCTION("""COMPUTED_VALUE"""),45946.906290810184)</f>
        <v>45946.90629</v>
      </c>
      <c r="B421" s="3" t="str">
        <f>IFERROR(__xludf.DUMMYFUNCTION("""COMPUTED_VALUE"""),"ROSRO0012")</f>
        <v>ROSRO0012</v>
      </c>
      <c r="C421" s="3" t="str">
        <f>IFERROR(__xludf.DUMMYFUNCTION("""COMPUTED_VALUE"""),"Consumable")</f>
        <v>Consumable</v>
      </c>
      <c r="D421" s="3" t="str">
        <f>IFERROR(__xludf.DUMMYFUNCTION("""COMPUTED_VALUE"""),"-")</f>
        <v>-</v>
      </c>
      <c r="E421" s="3" t="str">
        <f>IFERROR(__xludf.DUMMYFUNCTION("""COMPUTED_VALUE"""),"autoclave fedegari")</f>
        <v>autoclave fedegari</v>
      </c>
      <c r="F421" s="3" t="str">
        <f>IFERROR(__xludf.DUMMYFUNCTION("""COMPUTED_VALUE"""),"Autoclave Fedegari FVA2/A1 NB2963AT - KIT Ricambi Valv. DN10 ON-OFF FEDEGARI ASIA PTE LTD P/N : KS000025 pc")</f>
        <v>Autoclave Fedegari FVA2/A1 NB2963AT - KIT Ricambi Valv. DN10 ON-OFF FEDEGARI ASIA PTE LTD P/N : KS000025 pc</v>
      </c>
      <c r="G421" s="3">
        <f>IFERROR(__xludf.DUMMYFUNCTION("""COMPUTED_VALUE"""),10.0)</f>
        <v>10</v>
      </c>
      <c r="H421" s="3" t="str">
        <f>IFERROR(__xludf.DUMMYFUNCTION("""COMPUTED_VALUE"""),"pcs")</f>
        <v>pcs</v>
      </c>
      <c r="I421" s="3" t="str">
        <f>IFERROR(__xludf.DUMMYFUNCTION("""COMPUTED_VALUE"""),"-")</f>
        <v>-</v>
      </c>
      <c r="J421" s="3" t="str">
        <f>IFERROR(__xludf.DUMMYFUNCTION("""COMPUTED_VALUE"""),"O-16732-00")</f>
        <v>O-16732-00</v>
      </c>
      <c r="K421" s="3" t="str">
        <f>IFERROR(__xludf.DUMMYFUNCTION("""COMPUTED_VALUE"""),"Approve")</f>
        <v>Approve</v>
      </c>
      <c r="L421" s="3" t="str">
        <f>IFERROR(__xludf.DUMMYFUNCTION("""COMPUTED_VALUE"""),"Normal")</f>
        <v>Normal</v>
      </c>
      <c r="M421" s="3" t="str">
        <f>IFERROR(__xludf.DUMMYFUNCTION("""COMPUTED_VALUE"""),"Non Urgent")</f>
        <v>Non Urgent</v>
      </c>
      <c r="N421" s="3">
        <f>IFERROR(__xludf.DUMMYFUNCTION("""COMPUTED_VALUE"""),45951.45782252315)</f>
        <v>45951.45782</v>
      </c>
    </row>
    <row r="422">
      <c r="A422" s="4">
        <f>IFERROR(__xludf.DUMMYFUNCTION("""COMPUTED_VALUE"""),45947.654087407405)</f>
        <v>45947.65409</v>
      </c>
      <c r="B422" s="3" t="str">
        <f>IFERROR(__xludf.DUMMYFUNCTION("""COMPUTED_VALUE"""),"MOBRO0064")</f>
        <v>MOBRO0064</v>
      </c>
      <c r="C422" s="3" t="str">
        <f>IFERROR(__xludf.DUMMYFUNCTION("""COMPUTED_VALUE"""),"EJO")</f>
        <v>EJO</v>
      </c>
      <c r="D422" s="3" t="str">
        <f>IFERROR(__xludf.DUMMYFUNCTION("""COMPUTED_VALUE"""),"EJO/2025/10/65")</f>
        <v>EJO/2025/10/65</v>
      </c>
      <c r="E422" s="3" t="str">
        <f>IFERROR(__xludf.DUMMYFUNCTION("""COMPUTED_VALUE"""),"Universal")</f>
        <v>Universal</v>
      </c>
      <c r="F422" s="3" t="str">
        <f>IFERROR(__xludf.DUMMYFUNCTION("""COMPUTED_VALUE"""),"General - Socket RJ45 Cat 6; Belden; -; 50pcs/pack")</f>
        <v>General - Socket RJ45 Cat 6; Belden; -; 50pcs/pack</v>
      </c>
      <c r="G422" s="3">
        <f>IFERROR(__xludf.DUMMYFUNCTION("""COMPUTED_VALUE"""),2.0)</f>
        <v>2</v>
      </c>
      <c r="H422" s="3" t="str">
        <f>IFERROR(__xludf.DUMMYFUNCTION("""COMPUTED_VALUE"""),"Box")</f>
        <v>Box</v>
      </c>
      <c r="I422" s="3" t="str">
        <f>IFERROR(__xludf.DUMMYFUNCTION("""COMPUTED_VALUE"""),"Urgent buat TC Baru QA")</f>
        <v>Urgent buat TC Baru QA</v>
      </c>
      <c r="J422" s="3" t="str">
        <f>IFERROR(__xludf.DUMMYFUNCTION("""COMPUTED_VALUE"""),"P-52854-00")</f>
        <v>P-52854-00</v>
      </c>
      <c r="K422" s="3" t="str">
        <f>IFERROR(__xludf.DUMMYFUNCTION("""COMPUTED_VALUE"""),"Approve")</f>
        <v>Approve</v>
      </c>
      <c r="L422" s="3" t="str">
        <f>IFERROR(__xludf.DUMMYFUNCTION("""COMPUTED_VALUE"""),"Normal")</f>
        <v>Normal</v>
      </c>
      <c r="M422" s="3" t="str">
        <f>IFERROR(__xludf.DUMMYFUNCTION("""COMPUTED_VALUE"""),"Non Urgent")</f>
        <v>Non Urgent</v>
      </c>
      <c r="N422" s="3">
        <f>IFERROR(__xludf.DUMMYFUNCTION("""COMPUTED_VALUE"""),45951.443867256945)</f>
        <v>45951.44387</v>
      </c>
    </row>
    <row r="423">
      <c r="A423" s="4">
        <f>IFERROR(__xludf.DUMMYFUNCTION("""COMPUTED_VALUE"""),45951.93201094908)</f>
        <v>45951.93201</v>
      </c>
      <c r="B423" s="3" t="str">
        <f>IFERROR(__xludf.DUMMYFUNCTION("""COMPUTED_VALUE"""),"SFHRO0027")</f>
        <v>SFHRO0027</v>
      </c>
      <c r="C423" s="3" t="str">
        <f>IFERROR(__xludf.DUMMYFUNCTION("""COMPUTED_VALUE"""),"MIn Stok")</f>
        <v>MIn Stok</v>
      </c>
      <c r="D423" s="3" t="str">
        <f>IFERROR(__xludf.DUMMYFUNCTION("""COMPUTED_VALUE"""),"-")</f>
        <v>-</v>
      </c>
      <c r="E423" s="3" t="str">
        <f>IFERROR(__xludf.DUMMYFUNCTION("""COMPUTED_VALUE"""),"lantai 2")</f>
        <v>lantai 2</v>
      </c>
      <c r="F423" s="3" t="str">
        <f>IFERROR(__xludf.DUMMYFUNCTION("""COMPUTED_VALUE"""),"Silicone Sealant;Silglaze;Type N10 White;pack size per pcs")</f>
        <v>Silicone Sealant;Silglaze;Type N10 White;pack size per pcs</v>
      </c>
      <c r="G423" s="3">
        <f>IFERROR(__xludf.DUMMYFUNCTION("""COMPUTED_VALUE"""),30.0)</f>
        <v>30</v>
      </c>
      <c r="H423" s="3" t="str">
        <f>IFERROR(__xludf.DUMMYFUNCTION("""COMPUTED_VALUE"""),"pcs")</f>
        <v>pcs</v>
      </c>
      <c r="I423" s="3" t="str">
        <f>IFERROR(__xludf.DUMMYFUNCTION("""COMPUTED_VALUE"""),"stok habis")</f>
        <v>stok habis</v>
      </c>
      <c r="J423" s="3" t="str">
        <f>IFERROR(__xludf.DUMMYFUNCTION("""COMPUTED_VALUE"""),"Q-60502-00")</f>
        <v>Q-60502-00</v>
      </c>
      <c r="K423" s="3" t="str">
        <f>IFERROR(__xludf.DUMMYFUNCTION("""COMPUTED_VALUE"""),"Approve")</f>
        <v>Approve</v>
      </c>
      <c r="L423" s="3" t="str">
        <f>IFERROR(__xludf.DUMMYFUNCTION("""COMPUTED_VALUE"""),"Normal")</f>
        <v>Normal</v>
      </c>
      <c r="M423" s="3" t="str">
        <f>IFERROR(__xludf.DUMMYFUNCTION("""COMPUTED_VALUE"""),"Non Urgent")</f>
        <v>Non Urgent</v>
      </c>
      <c r="N423" s="3">
        <f>IFERROR(__xludf.DUMMYFUNCTION("""COMPUTED_VALUE"""),45953.73792880787)</f>
        <v>45953.73793</v>
      </c>
    </row>
    <row r="424">
      <c r="A424" s="4">
        <f>IFERROR(__xludf.DUMMYFUNCTION("""COMPUTED_VALUE"""),45953.85406237269)</f>
        <v>45953.85406</v>
      </c>
      <c r="B424" s="3" t="str">
        <f>IFERROR(__xludf.DUMMYFUNCTION("""COMPUTED_VALUE"""),"NDSRO0009")</f>
        <v>NDSRO0009</v>
      </c>
      <c r="C424" s="3" t="str">
        <f>IFERROR(__xludf.DUMMYFUNCTION("""COMPUTED_VALUE"""),"EJO")</f>
        <v>EJO</v>
      </c>
      <c r="D424" s="3" t="str">
        <f>IFERROR(__xludf.DUMMYFUNCTION("""COMPUTED_VALUE"""),"EJO/2025/10/113")</f>
        <v>EJO/2025/10/113</v>
      </c>
      <c r="E424" s="3" t="str">
        <f>IFERROR(__xludf.DUMMYFUNCTION("""COMPUTED_VALUE"""),"Washing")</f>
        <v>Washing</v>
      </c>
      <c r="F424" s="3" t="str">
        <f>IFERROR(__xludf.DUMMYFUNCTION("""COMPUTED_VALUE"""),"Washing RAR4 - Outfeed Teflon Left; ; ;")</f>
        <v>Washing RAR4 - Outfeed Teflon Left; ; ;</v>
      </c>
      <c r="G424" s="3">
        <f>IFERROR(__xludf.DUMMYFUNCTION("""COMPUTED_VALUE"""),1.0)</f>
        <v>1</v>
      </c>
      <c r="H424" s="3" t="str">
        <f>IFERROR(__xludf.DUMMYFUNCTION("""COMPUTED_VALUE"""),"Pcs")</f>
        <v>Pcs</v>
      </c>
      <c r="I424" s="3" t="str">
        <f>IFERROR(__xludf.DUMMYFUNCTION("""COMPUTED_VALUE"""),"-")</f>
        <v>-</v>
      </c>
      <c r="J424" s="3" t="str">
        <f>IFERROR(__xludf.DUMMYFUNCTION("""COMPUTED_VALUE"""),"O-17832-00")</f>
        <v>O-17832-00</v>
      </c>
      <c r="K424" s="3" t="str">
        <f>IFERROR(__xludf.DUMMYFUNCTION("""COMPUTED_VALUE"""),"Approve")</f>
        <v>Approve</v>
      </c>
      <c r="L424" s="3" t="str">
        <f>IFERROR(__xludf.DUMMYFUNCTION("""COMPUTED_VALUE"""),"Normal")</f>
        <v>Normal</v>
      </c>
      <c r="M424" s="3" t="str">
        <f>IFERROR(__xludf.DUMMYFUNCTION("""COMPUTED_VALUE"""),"Non Urgent")</f>
        <v>Non Urgent</v>
      </c>
      <c r="N424" s="3">
        <f>IFERROR(__xludf.DUMMYFUNCTION("""COMPUTED_VALUE"""),45976.22809709491)</f>
        <v>45976.2281</v>
      </c>
    </row>
    <row r="425">
      <c r="A425" s="4">
        <f>IFERROR(__xludf.DUMMYFUNCTION("""COMPUTED_VALUE"""),45953.8545642824)</f>
        <v>45953.85456</v>
      </c>
      <c r="B425" s="3" t="str">
        <f>IFERROR(__xludf.DUMMYFUNCTION("""COMPUTED_VALUE"""),"NDSRO0010")</f>
        <v>NDSRO0010</v>
      </c>
      <c r="C425" s="3" t="str">
        <f>IFERROR(__xludf.DUMMYFUNCTION("""COMPUTED_VALUE"""),"EJO")</f>
        <v>EJO</v>
      </c>
      <c r="D425" s="3" t="str">
        <f>IFERROR(__xludf.DUMMYFUNCTION("""COMPUTED_VALUE"""),"EJO/2025/10/113")</f>
        <v>EJO/2025/10/113</v>
      </c>
      <c r="E425" s="3" t="str">
        <f>IFERROR(__xludf.DUMMYFUNCTION("""COMPUTED_VALUE"""),"Washing")</f>
        <v>Washing</v>
      </c>
      <c r="F425" s="3" t="str">
        <f>IFERROR(__xludf.DUMMYFUNCTION("""COMPUTED_VALUE"""),"Washing RAR4 - Outfeed Teflon Right; ; ;")</f>
        <v>Washing RAR4 - Outfeed Teflon Right; ; ;</v>
      </c>
      <c r="G425" s="3">
        <f>IFERROR(__xludf.DUMMYFUNCTION("""COMPUTED_VALUE"""),1.0)</f>
        <v>1</v>
      </c>
      <c r="H425" s="3" t="str">
        <f>IFERROR(__xludf.DUMMYFUNCTION("""COMPUTED_VALUE"""),"Pcs")</f>
        <v>Pcs</v>
      </c>
      <c r="I425" s="3" t="str">
        <f>IFERROR(__xludf.DUMMYFUNCTION("""COMPUTED_VALUE"""),"-")</f>
        <v>-</v>
      </c>
      <c r="J425" s="3" t="str">
        <f>IFERROR(__xludf.DUMMYFUNCTION("""COMPUTED_VALUE"""),"O-17833-00")</f>
        <v>O-17833-00</v>
      </c>
      <c r="K425" s="3" t="str">
        <f>IFERROR(__xludf.DUMMYFUNCTION("""COMPUTED_VALUE"""),"Approve")</f>
        <v>Approve</v>
      </c>
      <c r="L425" s="3" t="str">
        <f>IFERROR(__xludf.DUMMYFUNCTION("""COMPUTED_VALUE"""),"Normal")</f>
        <v>Normal</v>
      </c>
      <c r="M425" s="3" t="str">
        <f>IFERROR(__xludf.DUMMYFUNCTION("""COMPUTED_VALUE"""),"Non Urgent")</f>
        <v>Non Urgent</v>
      </c>
      <c r="N425" s="3">
        <f>IFERROR(__xludf.DUMMYFUNCTION("""COMPUTED_VALUE"""),45976.228428981485)</f>
        <v>45976.22843</v>
      </c>
    </row>
    <row r="426">
      <c r="A426" s="4">
        <f>IFERROR(__xludf.DUMMYFUNCTION("""COMPUTED_VALUE"""),45954.74381146991)</f>
        <v>45954.74381</v>
      </c>
      <c r="B426" s="3" t="str">
        <f>IFERROR(__xludf.DUMMYFUNCTION("""COMPUTED_VALUE"""),"SFHRO0028")</f>
        <v>SFHRO0028</v>
      </c>
      <c r="C426" s="3" t="str">
        <f>IFERROR(__xludf.DUMMYFUNCTION("""COMPUTED_VALUE"""),"MIn Stok")</f>
        <v>MIn Stok</v>
      </c>
      <c r="D426" s="3" t="str">
        <f>IFERROR(__xludf.DUMMYFUNCTION("""COMPUTED_VALUE"""),"-")</f>
        <v>-</v>
      </c>
      <c r="E426" s="3" t="str">
        <f>IFERROR(__xludf.DUMMYFUNCTION("""COMPUTED_VALUE"""),"lanati 1")</f>
        <v>lanati 1</v>
      </c>
      <c r="F426" s="3" t="str">
        <f>IFERROR(__xludf.DUMMYFUNCTION("""COMPUTED_VALUE"""),"Cat Durogloss DR-2000; Propan; Type Spiders Web 90YY 73/040; 0,9 L/can")</f>
        <v>Cat Durogloss DR-2000; Propan; Type Spiders Web 90YY 73/040; 0,9 L/can</v>
      </c>
      <c r="G426" s="3">
        <f>IFERROR(__xludf.DUMMYFUNCTION("""COMPUTED_VALUE"""),6.0)</f>
        <v>6</v>
      </c>
      <c r="H426" s="3" t="str">
        <f>IFERROR(__xludf.DUMMYFUNCTION("""COMPUTED_VALUE"""),"liter")</f>
        <v>liter</v>
      </c>
      <c r="I426" s="3" t="str">
        <f>IFERROR(__xludf.DUMMYFUNCTION("""COMPUTED_VALUE"""),"-")</f>
        <v>-</v>
      </c>
      <c r="J426" s="3" t="str">
        <f>IFERROR(__xludf.DUMMYFUNCTION("""COMPUTED_VALUE"""),"Q-60405-00")</f>
        <v>Q-60405-00</v>
      </c>
      <c r="K426" s="3" t="str">
        <f>IFERROR(__xludf.DUMMYFUNCTION("""COMPUTED_VALUE"""),"Approve")</f>
        <v>Approve</v>
      </c>
      <c r="L426" s="3" t="str">
        <f>IFERROR(__xludf.DUMMYFUNCTION("""COMPUTED_VALUE"""),"Normal")</f>
        <v>Normal</v>
      </c>
      <c r="M426" s="3" t="str">
        <f>IFERROR(__xludf.DUMMYFUNCTION("""COMPUTED_VALUE"""),"Non Urgent")</f>
        <v>Non Urgent</v>
      </c>
      <c r="N426" s="3">
        <f>IFERROR(__xludf.DUMMYFUNCTION("""COMPUTED_VALUE"""),45958.393644421296)</f>
        <v>45958.39364</v>
      </c>
    </row>
    <row r="427">
      <c r="A427" s="4">
        <f>IFERROR(__xludf.DUMMYFUNCTION("""COMPUTED_VALUE"""),45954.8366171412)</f>
        <v>45954.83662</v>
      </c>
      <c r="B427" s="3" t="str">
        <f>IFERROR(__xludf.DUMMYFUNCTION("""COMPUTED_VALUE"""),"SFHRO0029")</f>
        <v>SFHRO0029</v>
      </c>
      <c r="C427" s="3" t="str">
        <f>IFERROR(__xludf.DUMMYFUNCTION("""COMPUTED_VALUE"""),"MIn Stok")</f>
        <v>MIn Stok</v>
      </c>
      <c r="D427" s="3" t="str">
        <f>IFERROR(__xludf.DUMMYFUNCTION("""COMPUTED_VALUE"""),"-")</f>
        <v>-</v>
      </c>
      <c r="E427" s="3" t="str">
        <f>IFERROR(__xludf.DUMMYFUNCTION("""COMPUTED_VALUE"""),"Lantai 1")</f>
        <v>Lantai 1</v>
      </c>
      <c r="F427" s="3" t="str">
        <f>IFERROR(__xludf.DUMMYFUNCTION("""COMPUTED_VALUE"""),"Thinner Super End/Impala @ 1 Liter")</f>
        <v>Thinner Super End/Impala @ 1 Liter</v>
      </c>
      <c r="G427" s="3">
        <f>IFERROR(__xludf.DUMMYFUNCTION("""COMPUTED_VALUE"""),10.0)</f>
        <v>10</v>
      </c>
      <c r="H427" s="3" t="str">
        <f>IFERROR(__xludf.DUMMYFUNCTION("""COMPUTED_VALUE"""),"liter")</f>
        <v>liter</v>
      </c>
      <c r="I427" s="3" t="str">
        <f>IFERROR(__xludf.DUMMYFUNCTION("""COMPUTED_VALUE"""),"-")</f>
        <v>-</v>
      </c>
      <c r="J427" s="3" t="str">
        <f>IFERROR(__xludf.DUMMYFUNCTION("""COMPUTED_VALUE"""),"Q-10128-00")</f>
        <v>Q-10128-00</v>
      </c>
      <c r="K427" s="3" t="str">
        <f>IFERROR(__xludf.DUMMYFUNCTION("""COMPUTED_VALUE"""),"Approve")</f>
        <v>Approve</v>
      </c>
      <c r="L427" s="3" t="str">
        <f>IFERROR(__xludf.DUMMYFUNCTION("""COMPUTED_VALUE"""),"Normal")</f>
        <v>Normal</v>
      </c>
      <c r="M427" s="3" t="str">
        <f>IFERROR(__xludf.DUMMYFUNCTION("""COMPUTED_VALUE"""),"Non Urgent")</f>
        <v>Non Urgent</v>
      </c>
      <c r="N427" s="3">
        <f>IFERROR(__xludf.DUMMYFUNCTION("""COMPUTED_VALUE"""),45958.394221689814)</f>
        <v>45958.39422</v>
      </c>
    </row>
    <row r="428">
      <c r="A428" s="4">
        <f>IFERROR(__xludf.DUMMYFUNCTION("""COMPUTED_VALUE"""),45960.66146262731)</f>
        <v>45960.66146</v>
      </c>
      <c r="B428" s="3" t="str">
        <f>IFERROR(__xludf.DUMMYFUNCTION("""COMPUTED_VALUE"""),"MRNRO0035")</f>
        <v>MRNRO0035</v>
      </c>
      <c r="C428" s="3" t="str">
        <f>IFERROR(__xludf.DUMMYFUNCTION("""COMPUTED_VALUE"""),"EJO")</f>
        <v>EJO</v>
      </c>
      <c r="D428" s="3" t="str">
        <f>IFERROR(__xludf.DUMMYFUNCTION("""COMPUTED_VALUE"""),"EJO/2025/10/141")</f>
        <v>EJO/2025/10/141</v>
      </c>
      <c r="E428" s="3" t="str">
        <f>IFERROR(__xludf.DUMMYFUNCTION("""COMPUTED_VALUE"""),"Exhaust janitor D1-4")</f>
        <v>Exhaust janitor D1-4</v>
      </c>
      <c r="F428" s="3" t="str">
        <f>IFERROR(__xludf.DUMMYFUNCTION("""COMPUTED_VALUE"""),"General - Exhaust Fan; KDK; 24CDQNA; 1 unit")</f>
        <v>General - Exhaust Fan; KDK; 24CDQNA; 1 unit</v>
      </c>
      <c r="G428" s="3">
        <f>IFERROR(__xludf.DUMMYFUNCTION("""COMPUTED_VALUE"""),1.0)</f>
        <v>1</v>
      </c>
      <c r="H428" s="3" t="str">
        <f>IFERROR(__xludf.DUMMYFUNCTION("""COMPUTED_VALUE"""),"pcs")</f>
        <v>pcs</v>
      </c>
      <c r="I428" s="3" t="str">
        <f>IFERROR(__xludf.DUMMYFUNCTION("""COMPUTED_VALUE"""),"Buat ruangan janitor produksi")</f>
        <v>Buat ruangan janitor produksi</v>
      </c>
      <c r="J428" s="3" t="str">
        <f>IFERROR(__xludf.DUMMYFUNCTION("""COMPUTED_VALUE"""),"P-53382-00")</f>
        <v>P-53382-00</v>
      </c>
      <c r="K428" s="3" t="str">
        <f>IFERROR(__xludf.DUMMYFUNCTION("""COMPUTED_VALUE"""),"Approve")</f>
        <v>Approve</v>
      </c>
      <c r="L428" s="3" t="str">
        <f>IFERROR(__xludf.DUMMYFUNCTION("""COMPUTED_VALUE"""),"Normal")</f>
        <v>Normal</v>
      </c>
      <c r="M428" s="3" t="str">
        <f>IFERROR(__xludf.DUMMYFUNCTION("""COMPUTED_VALUE"""),"Non Urgent")</f>
        <v>Non Urgent</v>
      </c>
      <c r="N428" s="3">
        <f>IFERROR(__xludf.DUMMYFUNCTION("""COMPUTED_VALUE"""),45964.848315208335)</f>
        <v>45964.84832</v>
      </c>
    </row>
    <row r="429">
      <c r="A429" s="4">
        <f>IFERROR(__xludf.DUMMYFUNCTION("""COMPUTED_VALUE"""),45960.979109988424)</f>
        <v>45960.97911</v>
      </c>
      <c r="B429" s="3" t="str">
        <f>IFERROR(__xludf.DUMMYFUNCTION("""COMPUTED_VALUE"""),"INNRO0009")</f>
        <v>INNRO0009</v>
      </c>
      <c r="C429" s="3" t="str">
        <f>IFERROR(__xludf.DUMMYFUNCTION("""COMPUTED_VALUE"""),"Consumable")</f>
        <v>Consumable</v>
      </c>
      <c r="D429" s="3" t="str">
        <f>IFERROR(__xludf.DUMMYFUNCTION("""COMPUTED_VALUE"""),"NA")</f>
        <v>NA</v>
      </c>
      <c r="E429" s="3" t="str">
        <f>IFERROR(__xludf.DUMMYFUNCTION("""COMPUTED_VALUE"""),"Washing")</f>
        <v>Washing</v>
      </c>
      <c r="F429" s="3" t="str">
        <f>IFERROR(__xludf.DUMMYFUNCTION("""COMPUTED_VALUE"""),"Misumi - HXNHFFLT-SUS-M5-10; ; ;")</f>
        <v>Misumi - HXNHFFLT-SUS-M5-10; ; ;</v>
      </c>
      <c r="G429" s="3">
        <f>IFERROR(__xludf.DUMMYFUNCTION("""COMPUTED_VALUE"""),20.0)</f>
        <v>20</v>
      </c>
      <c r="H429" s="3" t="str">
        <f>IFERROR(__xludf.DUMMYFUNCTION("""COMPUTED_VALUE"""),"Pcs")</f>
        <v>Pcs</v>
      </c>
      <c r="I429" s="3" t="str">
        <f>IFERROR(__xludf.DUMMYFUNCTION("""COMPUTED_VALUE"""),"Untuk mesin Washing Baut pungunci pincer")</f>
        <v>Untuk mesin Washing Baut pungunci pincer</v>
      </c>
      <c r="J429" s="3" t="str">
        <f>IFERROR(__xludf.DUMMYFUNCTION("""COMPUTED_VALUE"""),"P-18470-00")</f>
        <v>P-18470-00</v>
      </c>
      <c r="K429" s="3" t="str">
        <f>IFERROR(__xludf.DUMMYFUNCTION("""COMPUTED_VALUE"""),"Approve")</f>
        <v>Approve</v>
      </c>
      <c r="L429" s="3" t="str">
        <f>IFERROR(__xludf.DUMMYFUNCTION("""COMPUTED_VALUE"""),"Normal")</f>
        <v>Normal</v>
      </c>
      <c r="M429" s="3" t="str">
        <f>IFERROR(__xludf.DUMMYFUNCTION("""COMPUTED_VALUE"""),"Non Urgent")</f>
        <v>Non Urgent</v>
      </c>
      <c r="N429" s="3">
        <f>IFERROR(__xludf.DUMMYFUNCTION("""COMPUTED_VALUE"""),45976.21555721065)</f>
        <v>45976.21556</v>
      </c>
    </row>
    <row r="430">
      <c r="A430" s="4">
        <f>IFERROR(__xludf.DUMMYFUNCTION("""COMPUTED_VALUE"""),45964.39124854167)</f>
        <v>45964.39125</v>
      </c>
      <c r="B430" s="3" t="str">
        <f>IFERROR(__xludf.DUMMYFUNCTION("""COMPUTED_VALUE"""),"MRNRO0038")</f>
        <v>MRNRO0038</v>
      </c>
      <c r="C430" s="3" t="str">
        <f>IFERROR(__xludf.DUMMYFUNCTION("""COMPUTED_VALUE"""),"Consumable")</f>
        <v>Consumable</v>
      </c>
      <c r="D430" s="3" t="str">
        <f>IFERROR(__xludf.DUMMYFUNCTION("""COMPUTED_VALUE"""),"-")</f>
        <v>-</v>
      </c>
      <c r="E430" s="3" t="str">
        <f>IFERROR(__xludf.DUMMYFUNCTION("""COMPUTED_VALUE"""),"Building")</f>
        <v>Building</v>
      </c>
      <c r="F430" s="3" t="str">
        <f>IFERROR(__xludf.DUMMYFUNCTION("""COMPUTED_VALUE"""),"Ballast Electronic EB-C 228 TL5, 2x28W; Phillips; ;")</f>
        <v>Ballast Electronic EB-C 228 TL5, 2x28W; Phillips; ;</v>
      </c>
      <c r="G430" s="3">
        <f>IFERROR(__xludf.DUMMYFUNCTION("""COMPUTED_VALUE"""),20.0)</f>
        <v>20</v>
      </c>
      <c r="H430" s="3" t="str">
        <f>IFERROR(__xludf.DUMMYFUNCTION("""COMPUTED_VALUE"""),"Pcs")</f>
        <v>Pcs</v>
      </c>
      <c r="I430" s="3" t="str">
        <f>IFERROR(__xludf.DUMMYFUNCTION("""COMPUTED_VALUE"""),"Spare Ballast")</f>
        <v>Spare Ballast</v>
      </c>
      <c r="J430" s="3" t="str">
        <f>IFERROR(__xludf.DUMMYFUNCTION("""COMPUTED_VALUE"""),"P-53169-00")</f>
        <v>P-53169-00</v>
      </c>
      <c r="K430" s="3" t="str">
        <f>IFERROR(__xludf.DUMMYFUNCTION("""COMPUTED_VALUE"""),"Approve")</f>
        <v>Approve</v>
      </c>
      <c r="L430" s="3" t="str">
        <f>IFERROR(__xludf.DUMMYFUNCTION("""COMPUTED_VALUE"""),"Normal")</f>
        <v>Normal</v>
      </c>
      <c r="M430" s="3" t="str">
        <f>IFERROR(__xludf.DUMMYFUNCTION("""COMPUTED_VALUE"""),"Non Urgent")</f>
        <v>Non Urgent</v>
      </c>
      <c r="N430" s="3">
        <f>IFERROR(__xludf.DUMMYFUNCTION("""COMPUTED_VALUE"""),45964.844183368055)</f>
        <v>45964.84418</v>
      </c>
    </row>
    <row r="431">
      <c r="A431" s="4">
        <f>IFERROR(__xludf.DUMMYFUNCTION("""COMPUTED_VALUE"""),45965.746508738426)</f>
        <v>45965.74651</v>
      </c>
      <c r="B431" s="3" t="str">
        <f>IFERROR(__xludf.DUMMYFUNCTION("""COMPUTED_VALUE"""),"SFHRO0030")</f>
        <v>SFHRO0030</v>
      </c>
      <c r="C431" s="3" t="str">
        <f>IFERROR(__xludf.DUMMYFUNCTION("""COMPUTED_VALUE"""),"Consumable")</f>
        <v>Consumable</v>
      </c>
      <c r="D431" s="3" t="str">
        <f>IFERROR(__xludf.DUMMYFUNCTION("""COMPUTED_VALUE"""),"-")</f>
        <v>-</v>
      </c>
      <c r="E431" s="3" t="str">
        <f>IFERROR(__xludf.DUMMYFUNCTION("""COMPUTED_VALUE"""),"lantai 2")</f>
        <v>lantai 2</v>
      </c>
      <c r="F431" s="3" t="str">
        <f>IFERROR(__xludf.DUMMYFUNCTION("""COMPUTED_VALUE"""),"Plastik Cor Bagunan;No Brand;;pack size per pcs - Per 10kg")</f>
        <v>Plastik Cor Bagunan;No Brand;;pack size per pcs - Per 10kg</v>
      </c>
      <c r="G431" s="3">
        <f>IFERROR(__xludf.DUMMYFUNCTION("""COMPUTED_VALUE"""),50.0)</f>
        <v>50</v>
      </c>
      <c r="H431" s="3" t="str">
        <f>IFERROR(__xludf.DUMMYFUNCTION("""COMPUTED_VALUE"""),"kg")</f>
        <v>kg</v>
      </c>
      <c r="I431" s="3" t="str">
        <f>IFERROR(__xludf.DUMMYFUNCTION("""COMPUTED_VALUE"""),"-")</f>
        <v>-</v>
      </c>
      <c r="J431" s="3" t="str">
        <f>IFERROR(__xludf.DUMMYFUNCTION("""COMPUTED_VALUE"""),"Q-10947-00")</f>
        <v>Q-10947-00</v>
      </c>
      <c r="K431" s="3" t="str">
        <f>IFERROR(__xludf.DUMMYFUNCTION("""COMPUTED_VALUE"""),"Approve")</f>
        <v>Approve</v>
      </c>
      <c r="L431" s="3" t="str">
        <f>IFERROR(__xludf.DUMMYFUNCTION("""COMPUTED_VALUE"""),"Normal")</f>
        <v>Normal</v>
      </c>
      <c r="M431" s="3" t="str">
        <f>IFERROR(__xludf.DUMMYFUNCTION("""COMPUTED_VALUE"""),"Non Urgent")</f>
        <v>Non Urgent</v>
      </c>
      <c r="N431" s="3">
        <f>IFERROR(__xludf.DUMMYFUNCTION("""COMPUTED_VALUE"""),45966.9799687037)</f>
        <v>45966.97997</v>
      </c>
    </row>
    <row r="432">
      <c r="A432" s="4">
        <f>IFERROR(__xludf.DUMMYFUNCTION("""COMPUTED_VALUE"""),45971.323612430555)</f>
        <v>45971.32361</v>
      </c>
      <c r="B432" s="3" t="str">
        <f>IFERROR(__xludf.DUMMYFUNCTION("""COMPUTED_VALUE"""),"MRNRO0039")</f>
        <v>MRNRO0039</v>
      </c>
      <c r="C432" s="3" t="str">
        <f>IFERROR(__xludf.DUMMYFUNCTION("""COMPUTED_VALUE"""),"EJO")</f>
        <v>EJO</v>
      </c>
      <c r="D432" s="3" t="str">
        <f>IFERROR(__xludf.DUMMYFUNCTION("""COMPUTED_VALUE"""),"EJO/2025/07/105")</f>
        <v>EJO/2025/07/105</v>
      </c>
      <c r="E432" s="3" t="str">
        <f>IFERROR(__xludf.DUMMYFUNCTION("""COMPUTED_VALUE"""),"Wicc wip")</f>
        <v>Wicc wip</v>
      </c>
      <c r="F432" s="3" t="str">
        <f>IFERROR(__xludf.DUMMYFUNCTION("""COMPUTED_VALUE"""),"Chemours - Freon 404A;; ; ;")</f>
        <v>Chemours - Freon 404A;; ; ;</v>
      </c>
      <c r="G432" s="3">
        <f>IFERROR(__xludf.DUMMYFUNCTION("""COMPUTED_VALUE"""),2.0)</f>
        <v>2</v>
      </c>
      <c r="H432" s="3" t="str">
        <f>IFERROR(__xludf.DUMMYFUNCTION("""COMPUTED_VALUE"""),"klg")</f>
        <v>klg</v>
      </c>
      <c r="I432" s="3" t="str">
        <f>IFERROR(__xludf.DUMMYFUNCTION("""COMPUTED_VALUE"""),"untuk chamber")</f>
        <v>untuk chamber</v>
      </c>
      <c r="J432" s="3" t="str">
        <f>IFERROR(__xludf.DUMMYFUNCTION("""COMPUTED_VALUE"""),"P-18504-00")</f>
        <v>P-18504-00</v>
      </c>
      <c r="K432" s="3" t="str">
        <f>IFERROR(__xludf.DUMMYFUNCTION("""COMPUTED_VALUE"""),"Approve")</f>
        <v>Approve</v>
      </c>
      <c r="L432" s="3" t="str">
        <f>IFERROR(__xludf.DUMMYFUNCTION("""COMPUTED_VALUE"""),"Normal")</f>
        <v>Normal</v>
      </c>
      <c r="M432" s="3" t="str">
        <f>IFERROR(__xludf.DUMMYFUNCTION("""COMPUTED_VALUE"""),"Non Urgent")</f>
        <v>Non Urgent</v>
      </c>
      <c r="N432" s="3">
        <f>IFERROR(__xludf.DUMMYFUNCTION("""COMPUTED_VALUE"""),45972.58524197916)</f>
        <v>45972.58524</v>
      </c>
    </row>
    <row r="433">
      <c r="A433" s="4">
        <f>IFERROR(__xludf.DUMMYFUNCTION("""COMPUTED_VALUE"""),45971.32446430556)</f>
        <v>45971.32446</v>
      </c>
      <c r="B433" s="3" t="str">
        <f>IFERROR(__xludf.DUMMYFUNCTION("""COMPUTED_VALUE"""),"MRNRO0040")</f>
        <v>MRNRO0040</v>
      </c>
      <c r="C433" s="3" t="str">
        <f>IFERROR(__xludf.DUMMYFUNCTION("""COMPUTED_VALUE"""),"EJO")</f>
        <v>EJO</v>
      </c>
      <c r="D433" s="3" t="str">
        <f>IFERROR(__xludf.DUMMYFUNCTION("""COMPUTED_VALUE"""),"EJO/2025/07/105")</f>
        <v>EJO/2025/07/105</v>
      </c>
      <c r="E433" s="3" t="str">
        <f>IFERROR(__xludf.DUMMYFUNCTION("""COMPUTED_VALUE"""),"heat pump")</f>
        <v>heat pump</v>
      </c>
      <c r="F433" s="3" t="str">
        <f>IFERROR(__xludf.DUMMYFUNCTION("""COMPUTED_VALUE"""),"Freon R410A; Dupont; ;")</f>
        <v>Freon R410A; Dupont; ;</v>
      </c>
      <c r="G433" s="3">
        <f>IFERROR(__xludf.DUMMYFUNCTION("""COMPUTED_VALUE"""),2.0)</f>
        <v>2</v>
      </c>
      <c r="H433" s="3" t="str">
        <f>IFERROR(__xludf.DUMMYFUNCTION("""COMPUTED_VALUE"""),"klg")</f>
        <v>klg</v>
      </c>
      <c r="I433" s="3" t="str">
        <f>IFERROR(__xludf.DUMMYFUNCTION("""COMPUTED_VALUE"""),"stok untuk heat pump")</f>
        <v>stok untuk heat pump</v>
      </c>
      <c r="J433" s="3" t="str">
        <f>IFERROR(__xludf.DUMMYFUNCTION("""COMPUTED_VALUE"""),"P-14521-00")</f>
        <v>P-14521-00</v>
      </c>
      <c r="K433" s="3" t="str">
        <f>IFERROR(__xludf.DUMMYFUNCTION("""COMPUTED_VALUE"""),"Approve")</f>
        <v>Approve</v>
      </c>
      <c r="L433" s="3" t="str">
        <f>IFERROR(__xludf.DUMMYFUNCTION("""COMPUTED_VALUE"""),"Normal")</f>
        <v>Normal</v>
      </c>
      <c r="M433" s="3" t="str">
        <f>IFERROR(__xludf.DUMMYFUNCTION("""COMPUTED_VALUE"""),"Non Urgent")</f>
        <v>Non Urgent</v>
      </c>
      <c r="N433" s="3">
        <f>IFERROR(__xludf.DUMMYFUNCTION("""COMPUTED_VALUE"""),45972.585108796295)</f>
        <v>45972.58511</v>
      </c>
    </row>
    <row r="434">
      <c r="A434" s="4">
        <f>IFERROR(__xludf.DUMMYFUNCTION("""COMPUTED_VALUE"""),45973.66713084491)</f>
        <v>45973.66713</v>
      </c>
      <c r="B434" s="3" t="str">
        <f>IFERROR(__xludf.DUMMYFUNCTION("""COMPUTED_VALUE"""),"ROSRO0013")</f>
        <v>ROSRO0013</v>
      </c>
      <c r="C434" s="3" t="str">
        <f>IFERROR(__xludf.DUMMYFUNCTION("""COMPUTED_VALUE"""),"Consumable")</f>
        <v>Consumable</v>
      </c>
      <c r="D434" s="3" t="str">
        <f>IFERROR(__xludf.DUMMYFUNCTION("""COMPUTED_VALUE"""),"-")</f>
        <v>-</v>
      </c>
      <c r="E434" s="3" t="str">
        <f>IFERROR(__xludf.DUMMYFUNCTION("""COMPUTED_VALUE"""),"Autoclave Service fedegari")</f>
        <v>Autoclave Service fedegari</v>
      </c>
      <c r="F434" s="3" t="str">
        <f>IFERROR(__xludf.DUMMYFUNCTION("""COMPUTED_VALUE"""),"Autoclave Fedegari FOF / 6 AC - P/N. KK000304-KIT RICAMBI VALV.DN16 ON-OFF")</f>
        <v>Autoclave Fedegari FOF / 6 AC - P/N. KK000304-KIT RICAMBI VALV.DN16 ON-OFF</v>
      </c>
      <c r="G434" s="3">
        <f>IFERROR(__xludf.DUMMYFUNCTION("""COMPUTED_VALUE"""),5.0)</f>
        <v>5</v>
      </c>
      <c r="H434" s="3" t="str">
        <f>IFERROR(__xludf.DUMMYFUNCTION("""COMPUTED_VALUE"""),"pcs")</f>
        <v>pcs</v>
      </c>
      <c r="I434" s="3" t="str">
        <f>IFERROR(__xludf.DUMMYFUNCTION("""COMPUTED_VALUE"""),"-")</f>
        <v>-</v>
      </c>
      <c r="J434" s="3" t="str">
        <f>IFERROR(__xludf.DUMMYFUNCTION("""COMPUTED_VALUE"""),"O-50697-00")</f>
        <v>O-50697-00</v>
      </c>
      <c r="K434" s="3" t="str">
        <f>IFERROR(__xludf.DUMMYFUNCTION("""COMPUTED_VALUE"""),"Approve")</f>
        <v>Approve</v>
      </c>
      <c r="L434" s="3" t="str">
        <f>IFERROR(__xludf.DUMMYFUNCTION("""COMPUTED_VALUE"""),"Normal")</f>
        <v>Normal</v>
      </c>
      <c r="M434" s="3" t="str">
        <f>IFERROR(__xludf.DUMMYFUNCTION("""COMPUTED_VALUE"""),"Non Urgent")</f>
        <v>Non Urgent</v>
      </c>
      <c r="N434" s="3">
        <f>IFERROR(__xludf.DUMMYFUNCTION("""COMPUTED_VALUE"""),45976.25224636574)</f>
        <v>45976.25225</v>
      </c>
    </row>
    <row r="435">
      <c r="A435" s="4">
        <f>IFERROR(__xludf.DUMMYFUNCTION("""COMPUTED_VALUE"""),45975.81316135417)</f>
        <v>45975.81316</v>
      </c>
      <c r="B435" s="3" t="str">
        <f>IFERROR(__xludf.DUMMYFUNCTION("""COMPUTED_VALUE"""),"ROSRO0014")</f>
        <v>ROSRO0014</v>
      </c>
      <c r="C435" s="3" t="str">
        <f>IFERROR(__xludf.DUMMYFUNCTION("""COMPUTED_VALUE"""),"Consumable")</f>
        <v>Consumable</v>
      </c>
      <c r="D435" s="3" t="str">
        <f>IFERROR(__xludf.DUMMYFUNCTION("""COMPUTED_VALUE"""),"-")</f>
        <v>-</v>
      </c>
      <c r="E435" s="3" t="str">
        <f>IFERROR(__xludf.DUMMYFUNCTION("""COMPUTED_VALUE"""),"Isolator Dispensing Solid ")</f>
        <v>Isolator Dispensing Solid </v>
      </c>
      <c r="F435" s="3" t="str">
        <f>IFERROR(__xludf.DUMMYFUNCTION("""COMPUTED_VALUE"""),"General - Isolator Glove CSM Port size 10 Inch (AS : 97800 Y 8.5 E4 5); Austar; AU10Y1532/9AWN; 1 Pc")</f>
        <v>General - Isolator Glove CSM Port size 10 Inch (AS : 97800 Y 8.5 E4 5); Austar; AU10Y1532/9AWN; 1 Pc</v>
      </c>
      <c r="G435" s="3">
        <f>IFERROR(__xludf.DUMMYFUNCTION("""COMPUTED_VALUE"""),20.0)</f>
        <v>20</v>
      </c>
      <c r="H435" s="3" t="str">
        <f>IFERROR(__xludf.DUMMYFUNCTION("""COMPUTED_VALUE"""),"pcs")</f>
        <v>pcs</v>
      </c>
      <c r="I435" s="3" t="str">
        <f>IFERROR(__xludf.DUMMYFUNCTION("""COMPUTED_VALUE"""),"buat spare gloove isolator dispensing Solid ")</f>
        <v>buat spare gloove isolator dispensing Solid </v>
      </c>
      <c r="J435" s="3" t="str">
        <f>IFERROR(__xludf.DUMMYFUNCTION("""COMPUTED_VALUE"""),"O-20489-00")</f>
        <v>O-20489-00</v>
      </c>
      <c r="K435" s="3" t="str">
        <f>IFERROR(__xludf.DUMMYFUNCTION("""COMPUTED_VALUE"""),"Approve")</f>
        <v>Approve</v>
      </c>
      <c r="L435" s="3" t="str">
        <f>IFERROR(__xludf.DUMMYFUNCTION("""COMPUTED_VALUE"""),"Normal")</f>
        <v>Normal</v>
      </c>
      <c r="M435" s="3" t="str">
        <f>IFERROR(__xludf.DUMMYFUNCTION("""COMPUTED_VALUE"""),"Non Urgent")</f>
        <v>Non Urgent</v>
      </c>
      <c r="N435" s="3">
        <f>IFERROR(__xludf.DUMMYFUNCTION("""COMPUTED_VALUE"""),45976.252827523145)</f>
        <v>45976.25283</v>
      </c>
    </row>
    <row r="436">
      <c r="A436" s="4">
        <f>IFERROR(__xludf.DUMMYFUNCTION("""COMPUTED_VALUE"""),45989.63322773148)</f>
        <v>45989.63323</v>
      </c>
      <c r="B436" s="3" t="str">
        <f>IFERROR(__xludf.DUMMYFUNCTION("""COMPUTED_VALUE"""),"ROSRO0015")</f>
        <v>ROSRO0015</v>
      </c>
      <c r="C436" s="3" t="str">
        <f>IFERROR(__xludf.DUMMYFUNCTION("""COMPUTED_VALUE"""),"Consumable")</f>
        <v>Consumable</v>
      </c>
      <c r="D436" s="3" t="str">
        <f>IFERROR(__xludf.DUMMYFUNCTION("""COMPUTED_VALUE"""),"-")</f>
        <v>-</v>
      </c>
      <c r="E436" s="3" t="str">
        <f>IFERROR(__xludf.DUMMYFUNCTION("""COMPUTED_VALUE"""),"FD")</f>
        <v>FD</v>
      </c>
      <c r="F436" s="3" t="str">
        <f>IFERROR(__xludf.DUMMYFUNCTION("""COMPUTED_VALUE"""),"General - Seal Ferrule Teflon 1 1/2inch; No Brand; -; 1 pcs")</f>
        <v>General - Seal Ferrule Teflon 1 1/2inch; No Brand; -; 1 pcs</v>
      </c>
      <c r="G436" s="3">
        <f>IFERROR(__xludf.DUMMYFUNCTION("""COMPUTED_VALUE"""),20.0)</f>
        <v>20</v>
      </c>
      <c r="H436" s="3" t="str">
        <f>IFERROR(__xludf.DUMMYFUNCTION("""COMPUTED_VALUE"""),"pcs ")</f>
        <v>pcs </v>
      </c>
      <c r="I436" s="3" t="str">
        <f>IFERROR(__xludf.DUMMYFUNCTION("""COMPUTED_VALUE"""),"-")</f>
        <v>-</v>
      </c>
      <c r="J436" s="3" t="str">
        <f>IFERROR(__xludf.DUMMYFUNCTION("""COMPUTED_VALUE"""),"P-11404-00")</f>
        <v>P-11404-00</v>
      </c>
      <c r="K436" s="3" t="str">
        <f>IFERROR(__xludf.DUMMYFUNCTION("""COMPUTED_VALUE"""),"Approve")</f>
        <v>Approve</v>
      </c>
      <c r="L436" s="3" t="str">
        <f>IFERROR(__xludf.DUMMYFUNCTION("""COMPUTED_VALUE"""),"Normal")</f>
        <v>Normal</v>
      </c>
      <c r="M436" s="3" t="str">
        <f>IFERROR(__xludf.DUMMYFUNCTION("""COMPUTED_VALUE"""),"Non Urgent")</f>
        <v>Non Urgent</v>
      </c>
      <c r="N436" s="3">
        <f>IFERROR(__xludf.DUMMYFUNCTION("""COMPUTED_VALUE"""),46010.25072570602)</f>
        <v>46010.25073</v>
      </c>
    </row>
    <row r="437">
      <c r="A437" s="4">
        <f>IFERROR(__xludf.DUMMYFUNCTION("""COMPUTED_VALUE"""),45989.63322773148)</f>
        <v>45989.63323</v>
      </c>
      <c r="B437" s="3" t="str">
        <f>IFERROR(__xludf.DUMMYFUNCTION("""COMPUTED_VALUE"""),"ROSRO0016")</f>
        <v>ROSRO0016</v>
      </c>
      <c r="C437" s="3" t="str">
        <f>IFERROR(__xludf.DUMMYFUNCTION("""COMPUTED_VALUE"""),"Consumable")</f>
        <v>Consumable</v>
      </c>
      <c r="D437" s="3" t="str">
        <f>IFERROR(__xludf.DUMMYFUNCTION("""COMPUTED_VALUE"""),"-")</f>
        <v>-</v>
      </c>
      <c r="E437" s="3" t="str">
        <f>IFERROR(__xludf.DUMMYFUNCTION("""COMPUTED_VALUE"""),"FD")</f>
        <v>FD</v>
      </c>
      <c r="F437" s="3" t="str">
        <f>IFERROR(__xludf.DUMMYFUNCTION("""COMPUTED_VALUE"""),"General - Seal Ferrule Teflon 3/4inch; No Brand; -; 1 pcs")</f>
        <v>General - Seal Ferrule Teflon 3/4inch; No Brand; -; 1 pcs</v>
      </c>
      <c r="G437" s="3">
        <f>IFERROR(__xludf.DUMMYFUNCTION("""COMPUTED_VALUE"""),20.0)</f>
        <v>20</v>
      </c>
      <c r="H437" s="3" t="str">
        <f>IFERROR(__xludf.DUMMYFUNCTION("""COMPUTED_VALUE"""),"pcs")</f>
        <v>pcs</v>
      </c>
      <c r="I437" s="3" t="str">
        <f>IFERROR(__xludf.DUMMYFUNCTION("""COMPUTED_VALUE"""),"-")</f>
        <v>-</v>
      </c>
      <c r="J437" s="3" t="str">
        <f>IFERROR(__xludf.DUMMYFUNCTION("""COMPUTED_VALUE"""),"P-14980-00")</f>
        <v>P-14980-00</v>
      </c>
      <c r="K437" s="3" t="str">
        <f>IFERROR(__xludf.DUMMYFUNCTION("""COMPUTED_VALUE"""),"Approve")</f>
        <v>Approve</v>
      </c>
      <c r="L437" s="3" t="str">
        <f>IFERROR(__xludf.DUMMYFUNCTION("""COMPUTED_VALUE"""),"Normal")</f>
        <v>Normal</v>
      </c>
      <c r="M437" s="3" t="str">
        <f>IFERROR(__xludf.DUMMYFUNCTION("""COMPUTED_VALUE"""),"Non Urgent")</f>
        <v>Non Urgent</v>
      </c>
      <c r="N437" s="3">
        <f>IFERROR(__xludf.DUMMYFUNCTION("""COMPUTED_VALUE"""),46010.250906817135)</f>
        <v>46010.25091</v>
      </c>
    </row>
    <row r="438">
      <c r="A438" s="4">
        <f>IFERROR(__xludf.DUMMYFUNCTION("""COMPUTED_VALUE"""),45989.63322773148)</f>
        <v>45989.63323</v>
      </c>
      <c r="B438" s="3" t="str">
        <f>IFERROR(__xludf.DUMMYFUNCTION("""COMPUTED_VALUE"""),"ROSRO0017")</f>
        <v>ROSRO0017</v>
      </c>
      <c r="C438" s="3" t="str">
        <f>IFERROR(__xludf.DUMMYFUNCTION("""COMPUTED_VALUE"""),"Consumable")</f>
        <v>Consumable</v>
      </c>
      <c r="D438" s="3" t="str">
        <f>IFERROR(__xludf.DUMMYFUNCTION("""COMPUTED_VALUE"""),"-")</f>
        <v>-</v>
      </c>
      <c r="E438" s="3" t="str">
        <f>IFERROR(__xludf.DUMMYFUNCTION("""COMPUTED_VALUE"""),"FD")</f>
        <v>FD</v>
      </c>
      <c r="F438" s="3" t="str">
        <f>IFERROR(__xludf.DUMMYFUNCTION("""COMPUTED_VALUE"""),"General - Seal Ferrule Teflon 1 1/2inch; No Brand; -; 1 pcs")</f>
        <v>General - Seal Ferrule Teflon 1 1/2inch; No Brand; -; 1 pcs</v>
      </c>
      <c r="G438" s="3">
        <f>IFERROR(__xludf.DUMMYFUNCTION("""COMPUTED_VALUE"""),20.0)</f>
        <v>20</v>
      </c>
      <c r="H438" s="3" t="str">
        <f>IFERROR(__xludf.DUMMYFUNCTION("""COMPUTED_VALUE"""),"pcs")</f>
        <v>pcs</v>
      </c>
      <c r="I438" s="3" t="str">
        <f>IFERROR(__xludf.DUMMYFUNCTION("""COMPUTED_VALUE"""),"-")</f>
        <v>-</v>
      </c>
      <c r="J438" s="3" t="str">
        <f>IFERROR(__xludf.DUMMYFUNCTION("""COMPUTED_VALUE"""),"P-11404-00")</f>
        <v>P-11404-00</v>
      </c>
      <c r="K438" s="3" t="str">
        <f>IFERROR(__xludf.DUMMYFUNCTION("""COMPUTED_VALUE"""),"Approve")</f>
        <v>Approve</v>
      </c>
      <c r="L438" s="3" t="str">
        <f>IFERROR(__xludf.DUMMYFUNCTION("""COMPUTED_VALUE"""),"Normal")</f>
        <v>Normal</v>
      </c>
      <c r="M438" s="3" t="str">
        <f>IFERROR(__xludf.DUMMYFUNCTION("""COMPUTED_VALUE"""),"Non Urgent")</f>
        <v>Non Urgent</v>
      </c>
      <c r="N438" s="3">
        <f>IFERROR(__xludf.DUMMYFUNCTION("""COMPUTED_VALUE"""),46010.2510975926)</f>
        <v>46010.2511</v>
      </c>
    </row>
    <row r="439">
      <c r="A439" s="4">
        <f>IFERROR(__xludf.DUMMYFUNCTION("""COMPUTED_VALUE"""),45993.49177363426)</f>
        <v>45993.49177</v>
      </c>
      <c r="B439" s="3" t="str">
        <f>IFERROR(__xludf.DUMMYFUNCTION("""COMPUTED_VALUE"""),"MOBRO0065")</f>
        <v>MOBRO0065</v>
      </c>
      <c r="C439" s="3" t="str">
        <f>IFERROR(__xludf.DUMMYFUNCTION("""COMPUTED_VALUE"""),"Consumable")</f>
        <v>Consumable</v>
      </c>
      <c r="D439" s="3" t="str">
        <f>IFERROR(__xludf.DUMMYFUNCTION("""COMPUTED_VALUE"""),"-")</f>
        <v>-</v>
      </c>
      <c r="E439" s="3" t="str">
        <f>IFERROR(__xludf.DUMMYFUNCTION("""COMPUTED_VALUE"""),"Pneumatic Fitting")</f>
        <v>Pneumatic Fitting</v>
      </c>
      <c r="F439" s="3" t="str">
        <f>IFERROR(__xludf.DUMMYFUNCTION("""COMPUTED_VALUE"""),"Pneumatic  Fitting - QS 1/2-10 / PN : 190646 / Festo")</f>
        <v>Pneumatic  Fitting - QS 1/2-10 / PN : 190646 / Festo</v>
      </c>
      <c r="G439" s="3">
        <f>IFERROR(__xludf.DUMMYFUNCTION("""COMPUTED_VALUE"""),10.0)</f>
        <v>10</v>
      </c>
      <c r="H439" s="3" t="str">
        <f>IFERROR(__xludf.DUMMYFUNCTION("""COMPUTED_VALUE"""),"pcs")</f>
        <v>pcs</v>
      </c>
      <c r="I439" s="3" t="str">
        <f>IFERROR(__xludf.DUMMYFUNCTION("""COMPUTED_VALUE"""),"Consumable")</f>
        <v>Consumable</v>
      </c>
      <c r="J439" s="3" t="str">
        <f>IFERROR(__xludf.DUMMYFUNCTION("""COMPUTED_VALUE"""),"P-11164-00")</f>
        <v>P-11164-00</v>
      </c>
      <c r="K439" s="3" t="str">
        <f>IFERROR(__xludf.DUMMYFUNCTION("""COMPUTED_VALUE"""),"Approve")</f>
        <v>Approve</v>
      </c>
      <c r="L439" s="3" t="str">
        <f>IFERROR(__xludf.DUMMYFUNCTION("""COMPUTED_VALUE"""),"Normal")</f>
        <v>Normal</v>
      </c>
      <c r="M439" s="3" t="str">
        <f>IFERROR(__xludf.DUMMYFUNCTION("""COMPUTED_VALUE"""),"Non Urgent")</f>
        <v>Non Urgent</v>
      </c>
      <c r="N439" s="3">
        <f>IFERROR(__xludf.DUMMYFUNCTION("""COMPUTED_VALUE"""),46002.465597766204)</f>
        <v>46002.4656</v>
      </c>
    </row>
    <row r="440">
      <c r="A440" s="4">
        <f>IFERROR(__xludf.DUMMYFUNCTION("""COMPUTED_VALUE"""),45993.49864751157)</f>
        <v>45993.49865</v>
      </c>
      <c r="B440" s="3" t="str">
        <f>IFERROR(__xludf.DUMMYFUNCTION("""COMPUTED_VALUE"""),"MOBRO0066")</f>
        <v>MOBRO0066</v>
      </c>
      <c r="C440" s="3" t="str">
        <f>IFERROR(__xludf.DUMMYFUNCTION("""COMPUTED_VALUE"""),"Consumable")</f>
        <v>Consumable</v>
      </c>
      <c r="D440" s="3" t="str">
        <f>IFERROR(__xludf.DUMMYFUNCTION("""COMPUTED_VALUE"""),"-")</f>
        <v>-</v>
      </c>
      <c r="E440" s="3" t="str">
        <f>IFERROR(__xludf.DUMMYFUNCTION("""COMPUTED_VALUE"""),"Pneumatic Fitting")</f>
        <v>Pneumatic Fitting</v>
      </c>
      <c r="F440" s="3" t="str">
        <f>IFERROR(__xludf.DUMMYFUNCTION("""COMPUTED_VALUE"""),"Pneumatic Fitting - QS 1/4-10 / PN : 153007 / Festo")</f>
        <v>Pneumatic Fitting - QS 1/4-10 / PN : 153007 / Festo</v>
      </c>
      <c r="G440" s="3">
        <f>IFERROR(__xludf.DUMMYFUNCTION("""COMPUTED_VALUE"""),10.0)</f>
        <v>10</v>
      </c>
      <c r="H440" s="3" t="str">
        <f>IFERROR(__xludf.DUMMYFUNCTION("""COMPUTED_VALUE"""),"pcs")</f>
        <v>pcs</v>
      </c>
      <c r="I440" s="3" t="str">
        <f>IFERROR(__xludf.DUMMYFUNCTION("""COMPUTED_VALUE"""),"Consumable")</f>
        <v>Consumable</v>
      </c>
      <c r="J440" s="3" t="str">
        <f>IFERROR(__xludf.DUMMYFUNCTION("""COMPUTED_VALUE"""),"P-11167-00")</f>
        <v>P-11167-00</v>
      </c>
      <c r="K440" s="3" t="str">
        <f>IFERROR(__xludf.DUMMYFUNCTION("""COMPUTED_VALUE"""),"Approve")</f>
        <v>Approve</v>
      </c>
      <c r="L440" s="3" t="str">
        <f>IFERROR(__xludf.DUMMYFUNCTION("""COMPUTED_VALUE"""),"Normal")</f>
        <v>Normal</v>
      </c>
      <c r="M440" s="3" t="str">
        <f>IFERROR(__xludf.DUMMYFUNCTION("""COMPUTED_VALUE"""),"Non Urgent")</f>
        <v>Non Urgent</v>
      </c>
      <c r="N440" s="3">
        <f>IFERROR(__xludf.DUMMYFUNCTION("""COMPUTED_VALUE"""),46002.46575488426)</f>
        <v>46002.46575</v>
      </c>
    </row>
    <row r="441">
      <c r="A441" s="4">
        <f>IFERROR(__xludf.DUMMYFUNCTION("""COMPUTED_VALUE"""),45993.49905060185)</f>
        <v>45993.49905</v>
      </c>
      <c r="B441" s="3" t="str">
        <f>IFERROR(__xludf.DUMMYFUNCTION("""COMPUTED_VALUE"""),"MOBRO0067")</f>
        <v>MOBRO0067</v>
      </c>
      <c r="C441" s="3" t="str">
        <f>IFERROR(__xludf.DUMMYFUNCTION("""COMPUTED_VALUE"""),"Consumable")</f>
        <v>Consumable</v>
      </c>
      <c r="D441" s="3" t="str">
        <f>IFERROR(__xludf.DUMMYFUNCTION("""COMPUTED_VALUE"""),"-")</f>
        <v>-</v>
      </c>
      <c r="E441" s="3" t="str">
        <f>IFERROR(__xludf.DUMMYFUNCTION("""COMPUTED_VALUE"""),"Pneumatic Fitting")</f>
        <v>Pneumatic Fitting</v>
      </c>
      <c r="F441" s="3" t="str">
        <f>IFERROR(__xludf.DUMMYFUNCTION("""COMPUTED_VALUE"""),"General - Push-in Fitting, QS-1/4-6; Festo; 153003; 1 pcs")</f>
        <v>General - Push-in Fitting, QS-1/4-6; Festo; 153003; 1 pcs</v>
      </c>
      <c r="G441" s="3">
        <f>IFERROR(__xludf.DUMMYFUNCTION("""COMPUTED_VALUE"""),10.0)</f>
        <v>10</v>
      </c>
      <c r="H441" s="3" t="str">
        <f>IFERROR(__xludf.DUMMYFUNCTION("""COMPUTED_VALUE"""),"pcs")</f>
        <v>pcs</v>
      </c>
      <c r="I441" s="3" t="str">
        <f>IFERROR(__xludf.DUMMYFUNCTION("""COMPUTED_VALUE"""),"Consumable")</f>
        <v>Consumable</v>
      </c>
      <c r="J441" s="3" t="str">
        <f>IFERROR(__xludf.DUMMYFUNCTION("""COMPUTED_VALUE"""),"P-11169-00")</f>
        <v>P-11169-00</v>
      </c>
      <c r="K441" s="3" t="str">
        <f>IFERROR(__xludf.DUMMYFUNCTION("""COMPUTED_VALUE"""),"Approve")</f>
        <v>Approve</v>
      </c>
      <c r="L441" s="3" t="str">
        <f>IFERROR(__xludf.DUMMYFUNCTION("""COMPUTED_VALUE"""),"Normal")</f>
        <v>Normal</v>
      </c>
      <c r="M441" s="3" t="str">
        <f>IFERROR(__xludf.DUMMYFUNCTION("""COMPUTED_VALUE"""),"Non Urgent")</f>
        <v>Non Urgent</v>
      </c>
      <c r="N441" s="3">
        <f>IFERROR(__xludf.DUMMYFUNCTION("""COMPUTED_VALUE"""),46002.465884606485)</f>
        <v>46002.46588</v>
      </c>
    </row>
    <row r="442">
      <c r="A442" s="4">
        <f>IFERROR(__xludf.DUMMYFUNCTION("""COMPUTED_VALUE"""),45993.5010647338)</f>
        <v>45993.50106</v>
      </c>
      <c r="B442" s="3" t="str">
        <f>IFERROR(__xludf.DUMMYFUNCTION("""COMPUTED_VALUE"""),"MOBRO0068")</f>
        <v>MOBRO0068</v>
      </c>
      <c r="C442" s="3" t="str">
        <f>IFERROR(__xludf.DUMMYFUNCTION("""COMPUTED_VALUE"""),"Consumable")</f>
        <v>Consumable</v>
      </c>
      <c r="D442" s="3" t="str">
        <f>IFERROR(__xludf.DUMMYFUNCTION("""COMPUTED_VALUE"""),"-")</f>
        <v>-</v>
      </c>
      <c r="E442" s="3" t="str">
        <f>IFERROR(__xludf.DUMMYFUNCTION("""COMPUTED_VALUE"""),"Pneumatic Fitting")</f>
        <v>Pneumatic Fitting</v>
      </c>
      <c r="F442" s="3" t="str">
        <f>IFERROR(__xludf.DUMMYFUNCTION("""COMPUTED_VALUE"""),"FESTO - QS-10-8 Push In Connector p/n 153039")</f>
        <v>FESTO - QS-10-8 Push In Connector p/n 153039</v>
      </c>
      <c r="G442" s="3">
        <f>IFERROR(__xludf.DUMMYFUNCTION("""COMPUTED_VALUE"""),10.0)</f>
        <v>10</v>
      </c>
      <c r="H442" s="3" t="str">
        <f>IFERROR(__xludf.DUMMYFUNCTION("""COMPUTED_VALUE"""),"pcs")</f>
        <v>pcs</v>
      </c>
      <c r="I442" s="3" t="str">
        <f>IFERROR(__xludf.DUMMYFUNCTION("""COMPUTED_VALUE"""),"Consumable")</f>
        <v>Consumable</v>
      </c>
      <c r="J442" s="3" t="str">
        <f>IFERROR(__xludf.DUMMYFUNCTION("""COMPUTED_VALUE"""),"P-12281-00")</f>
        <v>P-12281-00</v>
      </c>
      <c r="K442" s="3" t="str">
        <f>IFERROR(__xludf.DUMMYFUNCTION("""COMPUTED_VALUE"""),"Approve")</f>
        <v>Approve</v>
      </c>
      <c r="L442" s="3" t="str">
        <f>IFERROR(__xludf.DUMMYFUNCTION("""COMPUTED_VALUE"""),"Normal")</f>
        <v>Normal</v>
      </c>
      <c r="M442" s="3" t="str">
        <f>IFERROR(__xludf.DUMMYFUNCTION("""COMPUTED_VALUE"""),"Non Urgent")</f>
        <v>Non Urgent</v>
      </c>
      <c r="N442" s="3">
        <f>IFERROR(__xludf.DUMMYFUNCTION("""COMPUTED_VALUE"""),46002.466014502315)</f>
        <v>46002.46601</v>
      </c>
    </row>
    <row r="443">
      <c r="A443" s="4">
        <f>IFERROR(__xludf.DUMMYFUNCTION("""COMPUTED_VALUE"""),45993.50336865741)</f>
        <v>45993.50337</v>
      </c>
      <c r="B443" s="3" t="str">
        <f>IFERROR(__xludf.DUMMYFUNCTION("""COMPUTED_VALUE"""),"MOBRO0069")</f>
        <v>MOBRO0069</v>
      </c>
      <c r="C443" s="3" t="str">
        <f>IFERROR(__xludf.DUMMYFUNCTION("""COMPUTED_VALUE"""),"Consumable")</f>
        <v>Consumable</v>
      </c>
      <c r="D443" s="3" t="str">
        <f>IFERROR(__xludf.DUMMYFUNCTION("""COMPUTED_VALUE"""),"-")</f>
        <v>-</v>
      </c>
      <c r="E443" s="3" t="str">
        <f>IFERROR(__xludf.DUMMYFUNCTION("""COMPUTED_VALUE"""),"Pneumatic Fitting")</f>
        <v>Pneumatic Fitting</v>
      </c>
      <c r="F443" s="3" t="str">
        <f>IFERROR(__xludf.DUMMYFUNCTION("""COMPUTED_VALUE"""),"General - Push-in Connector, QS-8-6; Festo; 153038; 1 pcs")</f>
        <v>General - Push-in Connector, QS-8-6; Festo; 153038; 1 pcs</v>
      </c>
      <c r="G443" s="3">
        <f>IFERROR(__xludf.DUMMYFUNCTION("""COMPUTED_VALUE"""),10.0)</f>
        <v>10</v>
      </c>
      <c r="H443" s="3" t="str">
        <f>IFERROR(__xludf.DUMMYFUNCTION("""COMPUTED_VALUE"""),"pcs")</f>
        <v>pcs</v>
      </c>
      <c r="I443" s="3" t="str">
        <f>IFERROR(__xludf.DUMMYFUNCTION("""COMPUTED_VALUE"""),"Consumable")</f>
        <v>Consumable</v>
      </c>
      <c r="J443" s="3" t="str">
        <f>IFERROR(__xludf.DUMMYFUNCTION("""COMPUTED_VALUE"""),"P-11185-00")</f>
        <v>P-11185-00</v>
      </c>
      <c r="K443" s="3" t="str">
        <f>IFERROR(__xludf.DUMMYFUNCTION("""COMPUTED_VALUE"""),"Approve")</f>
        <v>Approve</v>
      </c>
      <c r="L443" s="3" t="str">
        <f>IFERROR(__xludf.DUMMYFUNCTION("""COMPUTED_VALUE"""),"Normal")</f>
        <v>Normal</v>
      </c>
      <c r="M443" s="3" t="str">
        <f>IFERROR(__xludf.DUMMYFUNCTION("""COMPUTED_VALUE"""),"Non Urgent")</f>
        <v>Non Urgent</v>
      </c>
      <c r="N443" s="3">
        <f>IFERROR(__xludf.DUMMYFUNCTION("""COMPUTED_VALUE"""),46002.46614402778)</f>
        <v>46002.46614</v>
      </c>
    </row>
    <row r="444">
      <c r="A444" s="4">
        <f>IFERROR(__xludf.DUMMYFUNCTION("""COMPUTED_VALUE"""),46008.262979189814)</f>
        <v>46008.26298</v>
      </c>
      <c r="B444" s="3" t="str">
        <f>IFERROR(__xludf.DUMMYFUNCTION("""COMPUTED_VALUE"""),"RIARO0056")</f>
        <v>RIARO0056</v>
      </c>
      <c r="C444" s="3" t="str">
        <f>IFERROR(__xludf.DUMMYFUNCTION("""COMPUTED_VALUE"""),"EJO")</f>
        <v>EJO</v>
      </c>
      <c r="D444" s="3" t="str">
        <f>IFERROR(__xludf.DUMMYFUNCTION("""COMPUTED_VALUE"""),"EJO/2025/10/146")</f>
        <v>EJO/2025/10/146</v>
      </c>
      <c r="E444" s="3" t="str">
        <f>IFERROR(__xludf.DUMMYFUNCTION("""COMPUTED_VALUE"""),"PW SKID")</f>
        <v>PW SKID</v>
      </c>
      <c r="F444" s="3" t="str">
        <f>IFERROR(__xludf.DUMMYFUNCTION("""COMPUTED_VALUE"""),"General - UV Lamp SD55-320W; Hanovia; 130071-0320-C; 1 pc")</f>
        <v>General - UV Lamp SD55-320W; Hanovia; 130071-0320-C; 1 pc</v>
      </c>
      <c r="G444" s="3">
        <f>IFERROR(__xludf.DUMMYFUNCTION("""COMPUTED_VALUE"""),2.0)</f>
        <v>2</v>
      </c>
      <c r="H444" s="3" t="str">
        <f>IFERROR(__xludf.DUMMYFUNCTION("""COMPUTED_VALUE"""),"Pcs")</f>
        <v>Pcs</v>
      </c>
      <c r="I444" s="3" t="str">
        <f>IFERROR(__xludf.DUMMYFUNCTION("""COMPUTED_VALUE"""),"Untuk penggantian lampu UV PW SKID")</f>
        <v>Untuk penggantian lampu UV PW SKID</v>
      </c>
      <c r="J444" s="3" t="str">
        <f>IFERROR(__xludf.DUMMYFUNCTION("""COMPUTED_VALUE"""),"P-14244-00")</f>
        <v>P-14244-00</v>
      </c>
      <c r="K444" s="3" t="str">
        <f>IFERROR(__xludf.DUMMYFUNCTION("""COMPUTED_VALUE"""),"Approve")</f>
        <v>Approve</v>
      </c>
      <c r="L444" s="3" t="str">
        <f>IFERROR(__xludf.DUMMYFUNCTION("""COMPUTED_VALUE"""),"Normal")</f>
        <v>Normal</v>
      </c>
      <c r="M444" s="3" t="str">
        <f>IFERROR(__xludf.DUMMYFUNCTION("""COMPUTED_VALUE"""),"Non Urgent")</f>
        <v>Non Urgent</v>
      </c>
      <c r="N444" s="3">
        <f>IFERROR(__xludf.DUMMYFUNCTION("""COMPUTED_VALUE"""),46010.40665071759)</f>
        <v>46010.40665</v>
      </c>
    </row>
    <row r="445">
      <c r="A445" s="4">
        <f>IFERROR(__xludf.DUMMYFUNCTION("""COMPUTED_VALUE"""),46017.09970445602)</f>
        <v>46017.0997</v>
      </c>
      <c r="B445" s="3" t="str">
        <f>IFERROR(__xludf.DUMMYFUNCTION("""COMPUTED_VALUE"""),"BDURO0001")</f>
        <v>BDURO0001</v>
      </c>
      <c r="C445" s="3" t="str">
        <f>IFERROR(__xludf.DUMMYFUNCTION("""COMPUTED_VALUE"""),"EJO")</f>
        <v>EJO</v>
      </c>
      <c r="D445" s="3" t="str">
        <f>IFERROR(__xludf.DUMMYFUNCTION("""COMPUTED_VALUE"""),"EJO/2025/11/117")</f>
        <v>EJO/2025/11/117</v>
      </c>
      <c r="E445" s="3" t="str">
        <f>IFERROR(__xludf.DUMMYFUNCTION("""COMPUTED_VALUE"""),"inkubator 1 (Micro Lab)")</f>
        <v>inkubator 1 (Micro Lab)</v>
      </c>
      <c r="F445" s="3" t="str">
        <f>IFERROR(__xludf.DUMMYFUNCTION("""COMPUTED_VALUE"""),"General - Lampu TL LED T5 16 W 6000 K; No Brand; -; 1 unt")</f>
        <v>General - Lampu TL LED T5 16 W 6000 K; No Brand; -; 1 unt</v>
      </c>
      <c r="G445" s="3">
        <f>IFERROR(__xludf.DUMMYFUNCTION("""COMPUTED_VALUE"""),5.0)</f>
        <v>5</v>
      </c>
      <c r="H445" s="3" t="str">
        <f>IFERROR(__xludf.DUMMYFUNCTION("""COMPUTED_VALUE"""),"pcs")</f>
        <v>pcs</v>
      </c>
      <c r="I445" s="3" t="str">
        <f>IFERROR(__xludf.DUMMYFUNCTION("""COMPUTED_VALUE"""),"1 dipasang pada inkubator 1, dan 4 pcs untuk spare")</f>
        <v>1 dipasang pada inkubator 1, dan 4 pcs untuk spare</v>
      </c>
      <c r="J445" s="3" t="str">
        <f>IFERROR(__xludf.DUMMYFUNCTION("""COMPUTED_VALUE"""),"P-18067-00")</f>
        <v>P-18067-00</v>
      </c>
      <c r="K445" s="3" t="str">
        <f>IFERROR(__xludf.DUMMYFUNCTION("""COMPUTED_VALUE"""),"Approve")</f>
        <v>Approve</v>
      </c>
      <c r="L445" s="3" t="str">
        <f>IFERROR(__xludf.DUMMYFUNCTION("""COMPUTED_VALUE"""),"Normal")</f>
        <v>Normal</v>
      </c>
      <c r="M445" s="3" t="str">
        <f>IFERROR(__xludf.DUMMYFUNCTION("""COMPUTED_VALUE"""),"Non Urgent")</f>
        <v>Non Urgent</v>
      </c>
      <c r="N445" s="3">
        <f>IFERROR(__xludf.DUMMYFUNCTION("""COMPUTED_VALUE"""),46020.413390601854)</f>
        <v>46020.41339</v>
      </c>
    </row>
    <row r="446">
      <c r="A446" s="4">
        <f>IFERROR(__xludf.DUMMYFUNCTION("""COMPUTED_VALUE"""),46026.93657457176)</f>
        <v>46026.93657</v>
      </c>
      <c r="B446" s="3" t="str">
        <f>IFERROR(__xludf.DUMMYFUNCTION("""COMPUTED_VALUE"""),"NDSRO0014")</f>
        <v>NDSRO0014</v>
      </c>
      <c r="C446" s="3" t="str">
        <f>IFERROR(__xludf.DUMMYFUNCTION("""COMPUTED_VALUE"""),"MIn Stok")</f>
        <v>MIn Stok</v>
      </c>
      <c r="D446" s="3" t="str">
        <f>IFERROR(__xludf.DUMMYFUNCTION("""COMPUTED_VALUE"""),"-")</f>
        <v>-</v>
      </c>
      <c r="E446" s="3" t="str">
        <f>IFERROR(__xludf.DUMMYFUNCTION("""COMPUTED_VALUE"""),"Filling Steriline")</f>
        <v>Filling Steriline</v>
      </c>
      <c r="F446" s="3" t="str">
        <f>IFERROR(__xludf.DUMMYFUNCTION("""COMPUTED_VALUE"""),"General - Silicone Gasket for Ferrule dia. 3/4""; -; -; 1 Pc")</f>
        <v>General - Silicone Gasket for Ferrule dia. 3/4"; -; -; 1 Pc</v>
      </c>
      <c r="G446" s="3">
        <f>IFERROR(__xludf.DUMMYFUNCTION("""COMPUTED_VALUE"""),50.0)</f>
        <v>50</v>
      </c>
      <c r="H446" s="3" t="str">
        <f>IFERROR(__xludf.DUMMYFUNCTION("""COMPUTED_VALUE"""),"pcs")</f>
        <v>pcs</v>
      </c>
      <c r="I446" s="3" t="str">
        <f>IFERROR(__xludf.DUMMYFUNCTION("""COMPUTED_VALUE"""),"-")</f>
        <v>-</v>
      </c>
      <c r="J446" s="3" t="str">
        <f>IFERROR(__xludf.DUMMYFUNCTION("""COMPUTED_VALUE"""),"O-14640-00")</f>
        <v>O-14640-00</v>
      </c>
      <c r="K446" s="3" t="str">
        <f>IFERROR(__xludf.DUMMYFUNCTION("""COMPUTED_VALUE"""),"Approve")</f>
        <v>Approve</v>
      </c>
      <c r="L446" s="3" t="str">
        <f>IFERROR(__xludf.DUMMYFUNCTION("""COMPUTED_VALUE"""),"Normal")</f>
        <v>Normal</v>
      </c>
      <c r="M446" s="3" t="str">
        <f>IFERROR(__xludf.DUMMYFUNCTION("""COMPUTED_VALUE"""),"Non Urgent")</f>
        <v>Non Urgent</v>
      </c>
      <c r="N446" s="3">
        <f>IFERROR(__xludf.DUMMYFUNCTION("""COMPUTED_VALUE"""),46027.765782083334)</f>
        <v>46027.76578</v>
      </c>
    </row>
    <row r="447">
      <c r="A447" s="4">
        <f>IFERROR(__xludf.DUMMYFUNCTION("""COMPUTED_VALUE"""),46026.937808634255)</f>
        <v>46026.93781</v>
      </c>
      <c r="B447" s="3" t="str">
        <f>IFERROR(__xludf.DUMMYFUNCTION("""COMPUTED_VALUE"""),"NDSRO0015")</f>
        <v>NDSRO0015</v>
      </c>
      <c r="C447" s="3" t="str">
        <f>IFERROR(__xludf.DUMMYFUNCTION("""COMPUTED_VALUE"""),"MIn Stok")</f>
        <v>MIn Stok</v>
      </c>
      <c r="D447" s="3" t="str">
        <f>IFERROR(__xludf.DUMMYFUNCTION("""COMPUTED_VALUE"""),"-")</f>
        <v>-</v>
      </c>
      <c r="E447" s="3" t="str">
        <f>IFERROR(__xludf.DUMMYFUNCTION("""COMPUTED_VALUE"""),"Produksi")</f>
        <v>Produksi</v>
      </c>
      <c r="F447" s="3" t="str">
        <f>IFERROR(__xludf.DUMMYFUNCTION("""COMPUTED_VALUE"""),"General - Baut L, SS, M5 x 20 mm + Mur + Ring; No Brand; -; 1 pcs")</f>
        <v>General - Baut L, SS, M5 x 20 mm + Mur + Ring; No Brand; -; 1 pcs</v>
      </c>
      <c r="G447" s="3">
        <f>IFERROR(__xludf.DUMMYFUNCTION("""COMPUTED_VALUE"""),100.0)</f>
        <v>100</v>
      </c>
      <c r="H447" s="3" t="str">
        <f>IFERROR(__xludf.DUMMYFUNCTION("""COMPUTED_VALUE"""),"Pcs")</f>
        <v>Pcs</v>
      </c>
      <c r="I447" s="3" t="str">
        <f>IFERROR(__xludf.DUMMYFUNCTION("""COMPUTED_VALUE"""),"-")</f>
        <v>-</v>
      </c>
      <c r="J447" s="3" t="str">
        <f>IFERROR(__xludf.DUMMYFUNCTION("""COMPUTED_VALUE"""),"O-19430-00")</f>
        <v>O-19430-00</v>
      </c>
      <c r="K447" s="3" t="str">
        <f>IFERROR(__xludf.DUMMYFUNCTION("""COMPUTED_VALUE"""),"Approve")</f>
        <v>Approve</v>
      </c>
      <c r="L447" s="3" t="str">
        <f>IFERROR(__xludf.DUMMYFUNCTION("""COMPUTED_VALUE"""),"Normal")</f>
        <v>Normal</v>
      </c>
      <c r="M447" s="3" t="str">
        <f>IFERROR(__xludf.DUMMYFUNCTION("""COMPUTED_VALUE"""),"Non Urgent")</f>
        <v>Non Urgent</v>
      </c>
      <c r="N447" s="3">
        <f>IFERROR(__xludf.DUMMYFUNCTION("""COMPUTED_VALUE"""),46027.76602829861)</f>
        <v>46027.76603</v>
      </c>
    </row>
    <row r="448">
      <c r="A448" s="4">
        <f>IFERROR(__xludf.DUMMYFUNCTION("""COMPUTED_VALUE"""),46031.41487912037)</f>
        <v>46031.41488</v>
      </c>
      <c r="B448" s="3" t="str">
        <f>IFERROR(__xludf.DUMMYFUNCTION("""COMPUTED_VALUE"""),"BDURO0002")</f>
        <v>BDURO0002</v>
      </c>
      <c r="C448" s="3" t="str">
        <f>IFERROR(__xludf.DUMMYFUNCTION("""COMPUTED_VALUE"""),"Consumable")</f>
        <v>Consumable</v>
      </c>
      <c r="D448" s="3" t="str">
        <f>IFERROR(__xludf.DUMMYFUNCTION("""COMPUTED_VALUE"""),"EJO/2026/01/28")</f>
        <v>EJO/2026/01/28</v>
      </c>
      <c r="E448" s="3" t="str">
        <f>IFERROR(__xludf.DUMMYFUNCTION("""COMPUTED_VALUE"""),"HO")</f>
        <v>HO</v>
      </c>
      <c r="F448" s="3" t="str">
        <f>IFERROR(__xludf.DUMMYFUNCTION("""COMPUTED_VALUE"""),"Terminal Krustin 6 Terminal; ; ;")</f>
        <v>Terminal Krustin 6 Terminal; ; ;</v>
      </c>
      <c r="G448" s="3">
        <f>IFERROR(__xludf.DUMMYFUNCTION("""COMPUTED_VALUE"""),1.0)</f>
        <v>1</v>
      </c>
      <c r="H448" s="3" t="str">
        <f>IFERROR(__xludf.DUMMYFUNCTION("""COMPUTED_VALUE"""),"Pack")</f>
        <v>Pack</v>
      </c>
      <c r="I448" s="3" t="str">
        <f>IFERROR(__xludf.DUMMYFUNCTION("""COMPUTED_VALUE"""),"Untuk sambungan terminal pada HO")</f>
        <v>Untuk sambungan terminal pada HO</v>
      </c>
      <c r="J448" s="3" t="str">
        <f>IFERROR(__xludf.DUMMYFUNCTION("""COMPUTED_VALUE"""),"P-51704-00")</f>
        <v>P-51704-00</v>
      </c>
      <c r="K448" s="3" t="str">
        <f>IFERROR(__xludf.DUMMYFUNCTION("""COMPUTED_VALUE"""),"Approve")</f>
        <v>Approve</v>
      </c>
      <c r="L448" s="3" t="str">
        <f>IFERROR(__xludf.DUMMYFUNCTION("""COMPUTED_VALUE"""),"Normal")</f>
        <v>Normal</v>
      </c>
      <c r="M448" s="3" t="str">
        <f>IFERROR(__xludf.DUMMYFUNCTION("""COMPUTED_VALUE"""),"Non Urgent")</f>
        <v>Non Urgent</v>
      </c>
      <c r="N448" s="3">
        <f>IFERROR(__xludf.DUMMYFUNCTION("""COMPUTED_VALUE"""),46036.53648556713)</f>
        <v>46036.53649</v>
      </c>
    </row>
    <row r="449">
      <c r="A449" s="4">
        <f>IFERROR(__xludf.DUMMYFUNCTION("""COMPUTED_VALUE"""),46034.655956574075)</f>
        <v>46034.65596</v>
      </c>
      <c r="B449" s="3" t="str">
        <f>IFERROR(__xludf.DUMMYFUNCTION("""COMPUTED_VALUE"""),"MOBRO0070")</f>
        <v>MOBRO0070</v>
      </c>
      <c r="C449" s="3" t="str">
        <f>IFERROR(__xludf.DUMMYFUNCTION("""COMPUTED_VALUE"""),"MIn Stok")</f>
        <v>MIn Stok</v>
      </c>
      <c r="D449" s="3" t="str">
        <f>IFERROR(__xludf.DUMMYFUNCTION("""COMPUTED_VALUE"""),"-")</f>
        <v>-</v>
      </c>
      <c r="E449" s="3" t="str">
        <f>IFERROR(__xludf.DUMMYFUNCTION("""COMPUTED_VALUE"""),"PSG")</f>
        <v>PSG</v>
      </c>
      <c r="F449" s="3" t="str">
        <f>IFERROR(__xludf.DUMMYFUNCTION("""COMPUTED_VALUE"""),"General - Thermostatic Steam Trap LV6-CE DN20 SS; TLV; -; 1 Pc")</f>
        <v>General - Thermostatic Steam Trap LV6-CE DN20 SS; TLV; -; 1 Pc</v>
      </c>
      <c r="G449" s="3">
        <f>IFERROR(__xludf.DUMMYFUNCTION("""COMPUTED_VALUE"""),1.0)</f>
        <v>1</v>
      </c>
      <c r="H449" s="3" t="str">
        <f>IFERROR(__xludf.DUMMYFUNCTION("""COMPUTED_VALUE"""),"Pcs")</f>
        <v>Pcs</v>
      </c>
      <c r="I449" s="3" t="str">
        <f>IFERROR(__xludf.DUMMYFUNCTION("""COMPUTED_VALUE"""),"Untuk Sampling Dryness Pure Steam di PSG")</f>
        <v>Untuk Sampling Dryness Pure Steam di PSG</v>
      </c>
      <c r="J449" s="3" t="str">
        <f>IFERROR(__xludf.DUMMYFUNCTION("""COMPUTED_VALUE"""),"P-18472-00")</f>
        <v>P-18472-00</v>
      </c>
      <c r="K449" s="3" t="str">
        <f>IFERROR(__xludf.DUMMYFUNCTION("""COMPUTED_VALUE"""),"Approve")</f>
        <v>Approve</v>
      </c>
      <c r="L449" s="3" t="str">
        <f>IFERROR(__xludf.DUMMYFUNCTION("""COMPUTED_VALUE"""),"Normal")</f>
        <v>Normal</v>
      </c>
      <c r="M449" s="3" t="str">
        <f>IFERROR(__xludf.DUMMYFUNCTION("""COMPUTED_VALUE"""),"Non Urgent")</f>
        <v>Non Urgent</v>
      </c>
      <c r="N449" s="3">
        <f>IFERROR(__xludf.DUMMYFUNCTION("""COMPUTED_VALUE"""),46048.63076128472)</f>
        <v>46048.63076</v>
      </c>
    </row>
    <row r="450">
      <c r="A450" s="4">
        <f>IFERROR(__xludf.DUMMYFUNCTION("""COMPUTED_VALUE"""),46036.28344309027)</f>
        <v>46036.28344</v>
      </c>
      <c r="B450" s="3" t="str">
        <f>IFERROR(__xludf.DUMMYFUNCTION("""COMPUTED_VALUE"""),"MRNRO0041")</f>
        <v>MRNRO0041</v>
      </c>
      <c r="C450" s="3" t="str">
        <f>IFERROR(__xludf.DUMMYFUNCTION("""COMPUTED_VALUE"""),"EJO")</f>
        <v>EJO</v>
      </c>
      <c r="D450" s="3" t="str">
        <f>IFERROR(__xludf.DUMMYFUNCTION("""COMPUTED_VALUE"""),"EJO/2026/01/74")</f>
        <v>EJO/2026/01/74</v>
      </c>
      <c r="E450" s="3" t="str">
        <f>IFERROR(__xludf.DUMMYFUNCTION("""COMPUTED_VALUE"""),"selang wastafel")</f>
        <v>selang wastafel</v>
      </c>
      <c r="F450" s="3" t="str">
        <f>IFERROR(__xludf.DUMMYFUNCTION("""COMPUTED_VALUE"""),"General - Stang Sealant; Tekiro; -; 1 Pc")</f>
        <v>General - Stang Sealant; Tekiro; -; 1 Pc</v>
      </c>
      <c r="G450" s="3">
        <f>IFERROR(__xludf.DUMMYFUNCTION("""COMPUTED_VALUE"""),4.0)</f>
        <v>4</v>
      </c>
      <c r="H450" s="3" t="str">
        <f>IFERROR(__xludf.DUMMYFUNCTION("""COMPUTED_VALUE"""),"pcs")</f>
        <v>pcs</v>
      </c>
      <c r="I450" s="3" t="str">
        <f>IFERROR(__xludf.DUMMYFUNCTION("""COMPUTED_VALUE"""),"buat pekerjaan tidak tunggu tungguan karena stang sealant bergantian")</f>
        <v>buat pekerjaan tidak tunggu tungguan karena stang sealant bergantian</v>
      </c>
      <c r="J450" s="3" t="str">
        <f>IFERROR(__xludf.DUMMYFUNCTION("""COMPUTED_VALUE"""),"P-18240-00")</f>
        <v>P-18240-00</v>
      </c>
      <c r="K450" s="3" t="str">
        <f>IFERROR(__xludf.DUMMYFUNCTION("""COMPUTED_VALUE"""),"Approve")</f>
        <v>Approve</v>
      </c>
      <c r="L450" s="3" t="str">
        <f>IFERROR(__xludf.DUMMYFUNCTION("""COMPUTED_VALUE"""),"Normal")</f>
        <v>Normal</v>
      </c>
      <c r="M450" s="3" t="str">
        <f>IFERROR(__xludf.DUMMYFUNCTION("""COMPUTED_VALUE"""),"Non Urgent")</f>
        <v>Non Urgent</v>
      </c>
      <c r="N450" s="3">
        <f>IFERROR(__xludf.DUMMYFUNCTION("""COMPUTED_VALUE"""),46037.41566423611)</f>
        <v>46037.41566</v>
      </c>
    </row>
    <row r="451">
      <c r="A451" s="4">
        <f>IFERROR(__xludf.DUMMYFUNCTION("""COMPUTED_VALUE"""),46036.444023090284)</f>
        <v>46036.44402</v>
      </c>
      <c r="B451" s="3" t="str">
        <f>IFERROR(__xludf.DUMMYFUNCTION("""COMPUTED_VALUE"""),"RIARO0057")</f>
        <v>RIARO0057</v>
      </c>
      <c r="C451" s="3" t="str">
        <f>IFERROR(__xludf.DUMMYFUNCTION("""COMPUTED_VALUE"""),"EJO")</f>
        <v>EJO</v>
      </c>
      <c r="D451" s="3" t="str">
        <f>IFERROR(__xludf.DUMMYFUNCTION("""COMPUTED_VALUE"""),"EJO/2026/01/33")</f>
        <v>EJO/2026/01/33</v>
      </c>
      <c r="E451" s="3" t="str">
        <f>IFERROR(__xludf.DUMMYFUNCTION("""COMPUTED_VALUE"""),"P Pen 1")</f>
        <v>P Pen 1</v>
      </c>
      <c r="F451" s="3" t="str">
        <f>IFERROR(__xludf.DUMMYFUNCTION("""COMPUTED_VALUE"""),"General - Terminal Block, 10 mm; Fort; -; 1 pcs")</f>
        <v>General - Terminal Block, 10 mm; Fort; -; 1 pcs</v>
      </c>
      <c r="G451" s="3">
        <f>IFERROR(__xludf.DUMMYFUNCTION("""COMPUTED_VALUE"""),10.0)</f>
        <v>10</v>
      </c>
      <c r="H451" s="3" t="str">
        <f>IFERROR(__xludf.DUMMYFUNCTION("""COMPUTED_VALUE"""),"Pcs")</f>
        <v>Pcs</v>
      </c>
      <c r="I451" s="3" t="str">
        <f>IFERROR(__xludf.DUMMYFUNCTION("""COMPUTED_VALUE"""),"Untuk ganti terminal yang leleh")</f>
        <v>Untuk ganti terminal yang leleh</v>
      </c>
      <c r="J451" s="3" t="str">
        <f>IFERROR(__xludf.DUMMYFUNCTION("""COMPUTED_VALUE"""),"O-54138-00")</f>
        <v>O-54138-00</v>
      </c>
      <c r="K451" s="3" t="str">
        <f>IFERROR(__xludf.DUMMYFUNCTION("""COMPUTED_VALUE"""),"Approve")</f>
        <v>Approve</v>
      </c>
      <c r="L451" s="3" t="str">
        <f>IFERROR(__xludf.DUMMYFUNCTION("""COMPUTED_VALUE"""),"Normal")</f>
        <v>Normal</v>
      </c>
      <c r="M451" s="3" t="str">
        <f>IFERROR(__xludf.DUMMYFUNCTION("""COMPUTED_VALUE"""),"Non Urgent")</f>
        <v>Non Urgent</v>
      </c>
      <c r="N451" s="3">
        <f>IFERROR(__xludf.DUMMYFUNCTION("""COMPUTED_VALUE"""),46037.41094502315)</f>
        <v>46037.41095</v>
      </c>
    </row>
    <row r="452">
      <c r="A452" s="4">
        <f>IFERROR(__xludf.DUMMYFUNCTION("""COMPUTED_VALUE"""),46036.44468798611)</f>
        <v>46036.44469</v>
      </c>
      <c r="B452" s="3" t="str">
        <f>IFERROR(__xludf.DUMMYFUNCTION("""COMPUTED_VALUE"""),"RIARO0058")</f>
        <v>RIARO0058</v>
      </c>
      <c r="C452" s="3" t="str">
        <f>IFERROR(__xludf.DUMMYFUNCTION("""COMPUTED_VALUE"""),"EJO")</f>
        <v>EJO</v>
      </c>
      <c r="D452" s="3" t="str">
        <f>IFERROR(__xludf.DUMMYFUNCTION("""COMPUTED_VALUE"""),"EJO/2026/01/33")</f>
        <v>EJO/2026/01/33</v>
      </c>
      <c r="E452" s="3" t="str">
        <f>IFERROR(__xludf.DUMMYFUNCTION("""COMPUTED_VALUE"""),"P Pen 1")</f>
        <v>P Pen 1</v>
      </c>
      <c r="F452" s="3" t="str">
        <f>IFERROR(__xludf.DUMMYFUNCTION("""COMPUTED_VALUE"""),"General - MCB 1 PHASE 25 AMPERE; Schneider; -; 1 Pc")</f>
        <v>General - MCB 1 PHASE 25 AMPERE; Schneider; -; 1 Pc</v>
      </c>
      <c r="G452" s="3">
        <f>IFERROR(__xludf.DUMMYFUNCTION("""COMPUTED_VALUE"""),5.0)</f>
        <v>5</v>
      </c>
      <c r="H452" s="3" t="str">
        <f>IFERROR(__xludf.DUMMYFUNCTION("""COMPUTED_VALUE"""),"Pcs")</f>
        <v>Pcs</v>
      </c>
      <c r="I452" s="3" t="str">
        <f>IFERROR(__xludf.DUMMYFUNCTION("""COMPUTED_VALUE"""),"Untuk ganti MCB yang rusak")</f>
        <v>Untuk ganti MCB yang rusak</v>
      </c>
      <c r="J452" s="3" t="str">
        <f>IFERROR(__xludf.DUMMYFUNCTION("""COMPUTED_VALUE"""),"O-54008-00")</f>
        <v>O-54008-00</v>
      </c>
      <c r="K452" s="3" t="str">
        <f>IFERROR(__xludf.DUMMYFUNCTION("""COMPUTED_VALUE"""),"Approve")</f>
        <v>Approve</v>
      </c>
      <c r="L452" s="3" t="str">
        <f>IFERROR(__xludf.DUMMYFUNCTION("""COMPUTED_VALUE"""),"Normal")</f>
        <v>Normal</v>
      </c>
      <c r="M452" s="3" t="str">
        <f>IFERROR(__xludf.DUMMYFUNCTION("""COMPUTED_VALUE"""),"Non Urgent")</f>
        <v>Non Urgent</v>
      </c>
      <c r="N452" s="3">
        <f>IFERROR(__xludf.DUMMYFUNCTION("""COMPUTED_VALUE"""),46037.41119987269)</f>
        <v>46037.4112</v>
      </c>
    </row>
    <row r="453">
      <c r="A453" s="4">
        <f>IFERROR(__xludf.DUMMYFUNCTION("""COMPUTED_VALUE"""),46036.46866061343)</f>
        <v>46036.46866</v>
      </c>
      <c r="B453" s="3" t="str">
        <f>IFERROR(__xludf.DUMMYFUNCTION("""COMPUTED_VALUE"""),"RIARO0059")</f>
        <v>RIARO0059</v>
      </c>
      <c r="C453" s="3" t="str">
        <f>IFERROR(__xludf.DUMMYFUNCTION("""COMPUTED_VALUE"""),"Consumable")</f>
        <v>Consumable</v>
      </c>
      <c r="D453" s="3" t="str">
        <f>IFERROR(__xludf.DUMMYFUNCTION("""COMPUTED_VALUE"""),"-")</f>
        <v>-</v>
      </c>
      <c r="E453" s="3" t="str">
        <f>IFERROR(__xludf.DUMMYFUNCTION("""COMPUTED_VALUE"""),"All Area")</f>
        <v>All Area</v>
      </c>
      <c r="F453" s="3" t="str">
        <f>IFERROR(__xludf.DUMMYFUNCTION("""COMPUTED_VALUE"""),"OMRON - Relay MY4N 220/240VAC")</f>
        <v>OMRON - Relay MY4N 220/240VAC</v>
      </c>
      <c r="G453" s="3">
        <f>IFERROR(__xludf.DUMMYFUNCTION("""COMPUTED_VALUE"""),20.0)</f>
        <v>20</v>
      </c>
      <c r="H453" s="3" t="str">
        <f>IFERROR(__xludf.DUMMYFUNCTION("""COMPUTED_VALUE"""),"Pcs")</f>
        <v>Pcs</v>
      </c>
      <c r="I453" s="3" t="str">
        <f>IFERROR(__xludf.DUMMYFUNCTION("""COMPUTED_VALUE"""),"Sudah habis stoknya")</f>
        <v>Sudah habis stoknya</v>
      </c>
      <c r="J453" s="3" t="str">
        <f>IFERROR(__xludf.DUMMYFUNCTION("""COMPUTED_VALUE"""),"P-51410-00")</f>
        <v>P-51410-00</v>
      </c>
      <c r="K453" s="3" t="str">
        <f>IFERROR(__xludf.DUMMYFUNCTION("""COMPUTED_VALUE"""),"Approve")</f>
        <v>Approve</v>
      </c>
      <c r="L453" s="3" t="str">
        <f>IFERROR(__xludf.DUMMYFUNCTION("""COMPUTED_VALUE"""),"Normal")</f>
        <v>Normal</v>
      </c>
      <c r="M453" s="3" t="str">
        <f>IFERROR(__xludf.DUMMYFUNCTION("""COMPUTED_VALUE"""),"Non Urgent")</f>
        <v>Non Urgent</v>
      </c>
      <c r="N453" s="3">
        <f>IFERROR(__xludf.DUMMYFUNCTION("""COMPUTED_VALUE"""),46037.41499431713)</f>
        <v>46037.41499</v>
      </c>
    </row>
    <row r="454">
      <c r="A454" s="4">
        <f>IFERROR(__xludf.DUMMYFUNCTION("""COMPUTED_VALUE"""),46036.47074423611)</f>
        <v>46036.47074</v>
      </c>
      <c r="B454" s="3" t="str">
        <f>IFERROR(__xludf.DUMMYFUNCTION("""COMPUTED_VALUE"""),"RIARO0060")</f>
        <v>RIARO0060</v>
      </c>
      <c r="C454" s="3" t="str">
        <f>IFERROR(__xludf.DUMMYFUNCTION("""COMPUTED_VALUE"""),"Consumable")</f>
        <v>Consumable</v>
      </c>
      <c r="D454" s="3" t="str">
        <f>IFERROR(__xludf.DUMMYFUNCTION("""COMPUTED_VALUE"""),"-")</f>
        <v>-</v>
      </c>
      <c r="E454" s="3" t="str">
        <f>IFERROR(__xludf.DUMMYFUNCTION("""COMPUTED_VALUE"""),"All Area")</f>
        <v>All Area</v>
      </c>
      <c r="F454" s="3" t="str">
        <f>IFERROR(__xludf.DUMMYFUNCTION("""COMPUTED_VALUE"""),"General - Power Supply 220 VAC 12 VDC, 3 Ampere; -; -; 1 Pc")</f>
        <v>General - Power Supply 220 VAC 12 VDC, 3 Ampere; -; -; 1 Pc</v>
      </c>
      <c r="G454" s="3">
        <f>IFERROR(__xludf.DUMMYFUNCTION("""COMPUTED_VALUE"""),3.0)</f>
        <v>3</v>
      </c>
      <c r="H454" s="3" t="str">
        <f>IFERROR(__xludf.DUMMYFUNCTION("""COMPUTED_VALUE"""),"Pcs")</f>
        <v>Pcs</v>
      </c>
      <c r="I454" s="3" t="str">
        <f>IFERROR(__xludf.DUMMYFUNCTION("""COMPUTED_VALUE"""),"Sudah habis stoknya")</f>
        <v>Sudah habis stoknya</v>
      </c>
      <c r="J454" s="3" t="str">
        <f>IFERROR(__xludf.DUMMYFUNCTION("""COMPUTED_VALUE"""),"O-51850-00")</f>
        <v>O-51850-00</v>
      </c>
      <c r="K454" s="3" t="str">
        <f>IFERROR(__xludf.DUMMYFUNCTION("""COMPUTED_VALUE"""),"Approve")</f>
        <v>Approve</v>
      </c>
      <c r="L454" s="3" t="str">
        <f>IFERROR(__xludf.DUMMYFUNCTION("""COMPUTED_VALUE"""),"Normal")</f>
        <v>Normal</v>
      </c>
      <c r="M454" s="3" t="str">
        <f>IFERROR(__xludf.DUMMYFUNCTION("""COMPUTED_VALUE"""),"Non Urgent")</f>
        <v>Non Urgent</v>
      </c>
      <c r="N454" s="3">
        <f>IFERROR(__xludf.DUMMYFUNCTION("""COMPUTED_VALUE"""),46037.41515930556)</f>
        <v>46037.41516</v>
      </c>
    </row>
    <row r="455">
      <c r="A455" s="4">
        <f>IFERROR(__xludf.DUMMYFUNCTION("""COMPUTED_VALUE"""),46036.47156795138)</f>
        <v>46036.47157</v>
      </c>
      <c r="B455" s="3" t="str">
        <f>IFERROR(__xludf.DUMMYFUNCTION("""COMPUTED_VALUE"""),"RIARO0061")</f>
        <v>RIARO0061</v>
      </c>
      <c r="C455" s="3" t="str">
        <f>IFERROR(__xludf.DUMMYFUNCTION("""COMPUTED_VALUE"""),"Consumable")</f>
        <v>Consumable</v>
      </c>
      <c r="D455" s="3" t="str">
        <f>IFERROR(__xludf.DUMMYFUNCTION("""COMPUTED_VALUE"""),"-")</f>
        <v>-</v>
      </c>
      <c r="E455" s="3" t="str">
        <f>IFERROR(__xludf.DUMMYFUNCTION("""COMPUTED_VALUE"""),"All Area")</f>
        <v>All Area</v>
      </c>
      <c r="F455" s="3" t="str">
        <f>IFERROR(__xludf.DUMMYFUNCTION("""COMPUTED_VALUE"""),"UV lamp for TOC Sievers M500; TOC Sievers; ; pack size per pc")</f>
        <v>UV lamp for TOC Sievers M500; TOC Sievers; ; pack size per pc</v>
      </c>
      <c r="G455" s="3">
        <f>IFERROR(__xludf.DUMMYFUNCTION("""COMPUTED_VALUE"""),2.0)</f>
        <v>2</v>
      </c>
      <c r="H455" s="3" t="str">
        <f>IFERROR(__xludf.DUMMYFUNCTION("""COMPUTED_VALUE"""),"Pcs")</f>
        <v>Pcs</v>
      </c>
      <c r="I455" s="3" t="str">
        <f>IFERROR(__xludf.DUMMYFUNCTION("""COMPUTED_VALUE"""),"Sudah habis stoknya")</f>
        <v>Sudah habis stoknya</v>
      </c>
      <c r="J455" s="3" t="str">
        <f>IFERROR(__xludf.DUMMYFUNCTION("""COMPUTED_VALUE"""),"P-54181-00")</f>
        <v>P-54181-00</v>
      </c>
      <c r="K455" s="3" t="str">
        <f>IFERROR(__xludf.DUMMYFUNCTION("""COMPUTED_VALUE"""),"Approve")</f>
        <v>Approve</v>
      </c>
      <c r="L455" s="3" t="str">
        <f>IFERROR(__xludf.DUMMYFUNCTION("""COMPUTED_VALUE"""),"Normal")</f>
        <v>Normal</v>
      </c>
      <c r="M455" s="3" t="str">
        <f>IFERROR(__xludf.DUMMYFUNCTION("""COMPUTED_VALUE"""),"Non Urgent")</f>
        <v>Non Urgent</v>
      </c>
      <c r="N455" s="3">
        <f>IFERROR(__xludf.DUMMYFUNCTION("""COMPUTED_VALUE"""),46037.41543246528)</f>
        <v>46037.41543</v>
      </c>
    </row>
    <row r="456">
      <c r="A456" s="4">
        <f>IFERROR(__xludf.DUMMYFUNCTION("""COMPUTED_VALUE"""),46036.47243618056)</f>
        <v>46036.47244</v>
      </c>
      <c r="B456" s="3" t="str">
        <f>IFERROR(__xludf.DUMMYFUNCTION("""COMPUTED_VALUE"""),"RIARO0062")</f>
        <v>RIARO0062</v>
      </c>
      <c r="C456" s="3" t="str">
        <f>IFERROR(__xludf.DUMMYFUNCTION("""COMPUTED_VALUE"""),"Consumable")</f>
        <v>Consumable</v>
      </c>
      <c r="D456" s="3" t="str">
        <f>IFERROR(__xludf.DUMMYFUNCTION("""COMPUTED_VALUE"""),"-")</f>
        <v>-</v>
      </c>
      <c r="E456" s="3" t="str">
        <f>IFERROR(__xludf.DUMMYFUNCTION("""COMPUTED_VALUE"""),"All Area")</f>
        <v>All Area</v>
      </c>
      <c r="F456" s="3" t="str">
        <f>IFERROR(__xludf.DUMMYFUNCTION("""COMPUTED_VALUE"""),"General - Kabel NYAF Uk. 1 x 0.75mm, Warna Merah; Supreme; -; 100meter/roll")</f>
        <v>General - Kabel NYAF Uk. 1 x 0.75mm, Warna Merah; Supreme; -; 100meter/roll</v>
      </c>
      <c r="G456" s="3">
        <f>IFERROR(__xludf.DUMMYFUNCTION("""COMPUTED_VALUE"""),1.0)</f>
        <v>1</v>
      </c>
      <c r="H456" s="3" t="str">
        <f>IFERROR(__xludf.DUMMYFUNCTION("""COMPUTED_VALUE"""),"Roll")</f>
        <v>Roll</v>
      </c>
      <c r="I456" s="3" t="str">
        <f>IFERROR(__xludf.DUMMYFUNCTION("""COMPUTED_VALUE"""),"Sudah habis stoknya")</f>
        <v>Sudah habis stoknya</v>
      </c>
      <c r="J456" s="3" t="str">
        <f>IFERROR(__xludf.DUMMYFUNCTION("""COMPUTED_VALUE"""),"P-50274-00")</f>
        <v>P-50274-00</v>
      </c>
      <c r="K456" s="3" t="str">
        <f>IFERROR(__xludf.DUMMYFUNCTION("""COMPUTED_VALUE"""),"Approve")</f>
        <v>Approve</v>
      </c>
      <c r="L456" s="3" t="str">
        <f>IFERROR(__xludf.DUMMYFUNCTION("""COMPUTED_VALUE"""),"Normal")</f>
        <v>Normal</v>
      </c>
      <c r="M456" s="3" t="str">
        <f>IFERROR(__xludf.DUMMYFUNCTION("""COMPUTED_VALUE"""),"Non Urgent")</f>
        <v>Non Urgent</v>
      </c>
      <c r="N456" s="3">
        <f>IFERROR(__xludf.DUMMYFUNCTION("""COMPUTED_VALUE"""),46037.415839884256)</f>
        <v>46037.41584</v>
      </c>
    </row>
    <row r="457">
      <c r="A457" s="4">
        <f>IFERROR(__xludf.DUMMYFUNCTION("""COMPUTED_VALUE"""),46036.47279770833)</f>
        <v>46036.4728</v>
      </c>
      <c r="B457" s="3" t="str">
        <f>IFERROR(__xludf.DUMMYFUNCTION("""COMPUTED_VALUE"""),"RIARO0063")</f>
        <v>RIARO0063</v>
      </c>
      <c r="C457" s="3" t="str">
        <f>IFERROR(__xludf.DUMMYFUNCTION("""COMPUTED_VALUE"""),"Consumable")</f>
        <v>Consumable</v>
      </c>
      <c r="D457" s="3" t="str">
        <f>IFERROR(__xludf.DUMMYFUNCTION("""COMPUTED_VALUE"""),"-")</f>
        <v>-</v>
      </c>
      <c r="E457" s="3" t="str">
        <f>IFERROR(__xludf.DUMMYFUNCTION("""COMPUTED_VALUE"""),"All Area")</f>
        <v>All Area</v>
      </c>
      <c r="F457" s="3" t="str">
        <f>IFERROR(__xludf.DUMMYFUNCTION("""COMPUTED_VALUE"""),"General - Kabel NYAF 1x0.75mm, Warna Biru; JEMBO; -; 1 meter")</f>
        <v>General - Kabel NYAF 1x0.75mm, Warna Biru; JEMBO; -; 1 meter</v>
      </c>
      <c r="G457" s="3">
        <f>IFERROR(__xludf.DUMMYFUNCTION("""COMPUTED_VALUE"""),1.0)</f>
        <v>1</v>
      </c>
      <c r="H457" s="3" t="str">
        <f>IFERROR(__xludf.DUMMYFUNCTION("""COMPUTED_VALUE"""),"Roll")</f>
        <v>Roll</v>
      </c>
      <c r="I457" s="3" t="str">
        <f>IFERROR(__xludf.DUMMYFUNCTION("""COMPUTED_VALUE"""),"Sudah habis stoknya")</f>
        <v>Sudah habis stoknya</v>
      </c>
      <c r="J457" s="3" t="str">
        <f>IFERROR(__xludf.DUMMYFUNCTION("""COMPUTED_VALUE"""),"P-51030-00")</f>
        <v>P-51030-00</v>
      </c>
      <c r="K457" s="3" t="str">
        <f>IFERROR(__xludf.DUMMYFUNCTION("""COMPUTED_VALUE"""),"Approve")</f>
        <v>Approve</v>
      </c>
      <c r="L457" s="3" t="str">
        <f>IFERROR(__xludf.DUMMYFUNCTION("""COMPUTED_VALUE"""),"Normal")</f>
        <v>Normal</v>
      </c>
      <c r="M457" s="3" t="str">
        <f>IFERROR(__xludf.DUMMYFUNCTION("""COMPUTED_VALUE"""),"Non Urgent")</f>
        <v>Non Urgent</v>
      </c>
      <c r="N457" s="3">
        <f>IFERROR(__xludf.DUMMYFUNCTION("""COMPUTED_VALUE"""),46037.41648587963)</f>
        <v>46037.41649</v>
      </c>
    </row>
    <row r="458">
      <c r="A458" s="4">
        <f>IFERROR(__xludf.DUMMYFUNCTION("""COMPUTED_VALUE"""),46036.47339395833)</f>
        <v>46036.47339</v>
      </c>
      <c r="B458" s="3" t="str">
        <f>IFERROR(__xludf.DUMMYFUNCTION("""COMPUTED_VALUE"""),"RIARO0064")</f>
        <v>RIARO0064</v>
      </c>
      <c r="C458" s="3" t="str">
        <f>IFERROR(__xludf.DUMMYFUNCTION("""COMPUTED_VALUE"""),"Consumable")</f>
        <v>Consumable</v>
      </c>
      <c r="D458" s="3" t="str">
        <f>IFERROR(__xludf.DUMMYFUNCTION("""COMPUTED_VALUE"""),"-")</f>
        <v>-</v>
      </c>
      <c r="E458" s="3" t="str">
        <f>IFERROR(__xludf.DUMMYFUNCTION("""COMPUTED_VALUE"""),"All Area")</f>
        <v>All Area</v>
      </c>
      <c r="F458" s="3" t="str">
        <f>IFERROR(__xludf.DUMMYFUNCTION("""COMPUTED_VALUE"""),"General - Terminal Block, 6 mm; Fort; -; 1 pcs")</f>
        <v>General - Terminal Block, 6 mm; Fort; -; 1 pcs</v>
      </c>
      <c r="G458" s="3">
        <f>IFERROR(__xludf.DUMMYFUNCTION("""COMPUTED_VALUE"""),1.0)</f>
        <v>1</v>
      </c>
      <c r="H458" s="3" t="str">
        <f>IFERROR(__xludf.DUMMYFUNCTION("""COMPUTED_VALUE"""),"Pack")</f>
        <v>Pack</v>
      </c>
      <c r="I458" s="3" t="str">
        <f>IFERROR(__xludf.DUMMYFUNCTION("""COMPUTED_VALUE"""),"Sudah habis stoknya")</f>
        <v>Sudah habis stoknya</v>
      </c>
      <c r="J458" s="3" t="str">
        <f>IFERROR(__xludf.DUMMYFUNCTION("""COMPUTED_VALUE"""),"O-54137-00")</f>
        <v>O-54137-00</v>
      </c>
      <c r="K458" s="3" t="str">
        <f>IFERROR(__xludf.DUMMYFUNCTION("""COMPUTED_VALUE"""),"Approve")</f>
        <v>Approve</v>
      </c>
      <c r="L458" s="3" t="str">
        <f>IFERROR(__xludf.DUMMYFUNCTION("""COMPUTED_VALUE"""),"Normal")</f>
        <v>Normal</v>
      </c>
      <c r="M458" s="3" t="str">
        <f>IFERROR(__xludf.DUMMYFUNCTION("""COMPUTED_VALUE"""),"Non Urgent")</f>
        <v>Non Urgent</v>
      </c>
      <c r="N458" s="3">
        <f>IFERROR(__xludf.DUMMYFUNCTION("""COMPUTED_VALUE"""),46037.41664415509)</f>
        <v>46037.41664</v>
      </c>
    </row>
    <row r="459">
      <c r="A459" s="4">
        <f>IFERROR(__xludf.DUMMYFUNCTION("""COMPUTED_VALUE"""),46043.286751932865)</f>
        <v>46043.28675</v>
      </c>
      <c r="B459" s="3" t="str">
        <f>IFERROR(__xludf.DUMMYFUNCTION("""COMPUTED_VALUE"""),"SFHRO0031")</f>
        <v>SFHRO0031</v>
      </c>
      <c r="C459" s="3" t="str">
        <f>IFERROR(__xludf.DUMMYFUNCTION("""COMPUTED_VALUE"""),"Consumable")</f>
        <v>Consumable</v>
      </c>
      <c r="D459" s="3" t="str">
        <f>IFERROR(__xludf.DUMMYFUNCTION("""COMPUTED_VALUE"""),"-")</f>
        <v>-</v>
      </c>
      <c r="E459" s="3" t="str">
        <f>IFERROR(__xludf.DUMMYFUNCTION("""COMPUTED_VALUE"""),"LANTAI 2")</f>
        <v>LANTAI 2</v>
      </c>
      <c r="F459" s="3" t="str">
        <f>IFERROR(__xludf.DUMMYFUNCTION("""COMPUTED_VALUE"""),"Keramik Roman Warna Putih 40 x 40 cm;Roman;CN: 447106;pack size per pack")</f>
        <v>Keramik Roman Warna Putih 40 x 40 cm;Roman;CN: 447106;pack size per pack</v>
      </c>
      <c r="G459" s="3">
        <f>IFERROR(__xludf.DUMMYFUNCTION("""COMPUTED_VALUE"""),6.0)</f>
        <v>6</v>
      </c>
      <c r="H459" s="3" t="str">
        <f>IFERROR(__xludf.DUMMYFUNCTION("""COMPUTED_VALUE"""),"dus")</f>
        <v>dus</v>
      </c>
      <c r="I459" s="3" t="str">
        <f>IFERROR(__xludf.DUMMYFUNCTION("""COMPUTED_VALUE"""),"stock habis")</f>
        <v>stock habis</v>
      </c>
      <c r="J459" s="3" t="str">
        <f>IFERROR(__xludf.DUMMYFUNCTION("""COMPUTED_VALUE"""),"Q-10207-00")</f>
        <v>Q-10207-00</v>
      </c>
      <c r="K459" s="3" t="str">
        <f>IFERROR(__xludf.DUMMYFUNCTION("""COMPUTED_VALUE"""),"Approve")</f>
        <v>Approve</v>
      </c>
      <c r="L459" s="3" t="str">
        <f>IFERROR(__xludf.DUMMYFUNCTION("""COMPUTED_VALUE"""),"Normal")</f>
        <v>Normal</v>
      </c>
      <c r="M459" s="3" t="str">
        <f>IFERROR(__xludf.DUMMYFUNCTION("""COMPUTED_VALUE"""),"Non Urgent")</f>
        <v>Non Urgent</v>
      </c>
      <c r="N459" s="3">
        <f>IFERROR(__xludf.DUMMYFUNCTION("""COMPUTED_VALUE"""),46048.623725833335)</f>
        <v>46048.62373</v>
      </c>
    </row>
    <row r="460">
      <c r="A460" s="4">
        <f>IFERROR(__xludf.DUMMYFUNCTION("""COMPUTED_VALUE"""),46044.58087050926)</f>
        <v>46044.58087</v>
      </c>
      <c r="B460" s="3" t="str">
        <f>IFERROR(__xludf.DUMMYFUNCTION("""COMPUTED_VALUE"""),"ROSRO0018")</f>
        <v>ROSRO0018</v>
      </c>
      <c r="C460" s="3" t="str">
        <f>IFERROR(__xludf.DUMMYFUNCTION("""COMPUTED_VALUE"""),"MIn Stok")</f>
        <v>MIn Stok</v>
      </c>
      <c r="D460" s="3" t="str">
        <f>IFERROR(__xludf.DUMMYFUNCTION("""COMPUTED_VALUE"""),"-")</f>
        <v>-</v>
      </c>
      <c r="E460" s="3" t="str">
        <f>IFERROR(__xludf.DUMMYFUNCTION("""COMPUTED_VALUE"""),"Washing")</f>
        <v>Washing</v>
      </c>
      <c r="F460" s="3" t="str">
        <f>IFERROR(__xludf.DUMMYFUNCTION("""COMPUTED_VALUE"""),"General - Air Gripper; SMC; MHZJ2 20DS X43 X81B; 1 Pc")</f>
        <v>General - Air Gripper; SMC; MHZJ2 20DS X43 X81B; 1 Pc</v>
      </c>
      <c r="G460" s="3">
        <f>IFERROR(__xludf.DUMMYFUNCTION("""COMPUTED_VALUE"""),5.0)</f>
        <v>5</v>
      </c>
      <c r="H460" s="3" t="str">
        <f>IFERROR(__xludf.DUMMYFUNCTION("""COMPUTED_VALUE"""),"set")</f>
        <v>set</v>
      </c>
      <c r="I460" s="3" t="str">
        <f>IFERROR(__xludf.DUMMYFUNCTION("""COMPUTED_VALUE"""),"-")</f>
        <v>-</v>
      </c>
      <c r="J460" s="3" t="str">
        <f>IFERROR(__xludf.DUMMYFUNCTION("""COMPUTED_VALUE"""),"O-20913-00")</f>
        <v>O-20913-00</v>
      </c>
      <c r="K460" s="3" t="str">
        <f>IFERROR(__xludf.DUMMYFUNCTION("""COMPUTED_VALUE"""),"Approve")</f>
        <v>Approve</v>
      </c>
      <c r="L460" s="3" t="str">
        <f>IFERROR(__xludf.DUMMYFUNCTION("""COMPUTED_VALUE"""),"Normal")</f>
        <v>Normal</v>
      </c>
      <c r="M460" s="3" t="str">
        <f>IFERROR(__xludf.DUMMYFUNCTION("""COMPUTED_VALUE"""),"Non Urgent")</f>
        <v>Non Urgent</v>
      </c>
      <c r="N460" s="3">
        <f>IFERROR(__xludf.DUMMYFUNCTION("""COMPUTED_VALUE"""),46050.98289292824)</f>
        <v>46050.98289</v>
      </c>
    </row>
    <row r="461">
      <c r="A461" s="4">
        <f>IFERROR(__xludf.DUMMYFUNCTION("""COMPUTED_VALUE"""),46045.70816622685)</f>
        <v>46045.70817</v>
      </c>
      <c r="B461" s="3" t="str">
        <f>IFERROR(__xludf.DUMMYFUNCTION("""COMPUTED_VALUE"""),"ROSRO0019")</f>
        <v>ROSRO0019</v>
      </c>
      <c r="C461" s="3" t="str">
        <f>IFERROR(__xludf.DUMMYFUNCTION("""COMPUTED_VALUE"""),"MIn Stok")</f>
        <v>MIn Stok</v>
      </c>
      <c r="D461" s="3" t="str">
        <f>IFERROR(__xludf.DUMMYFUNCTION("""COMPUTED_VALUE"""),"-")</f>
        <v>-</v>
      </c>
      <c r="E461" s="3" t="str">
        <f>IFERROR(__xludf.DUMMYFUNCTION("""COMPUTED_VALUE"""),"Autoclave ")</f>
        <v>Autoclave </v>
      </c>
      <c r="F461" s="3" t="str">
        <f>IFERROR(__xludf.DUMMYFUNCTION("""COMPUTED_VALUE"""),"Autoclave Fedegari FOF / 6 AC - Transition Joint RTD Sensor RTJ201 (SG-060503) PT100 4W Duplex; Radix; RTJ201-1-C-D-3-0-NA-XNA-05-00070-10-Si-PN-XXX; 1 Pc")</f>
        <v>Autoclave Fedegari FOF / 6 AC - Transition Joint RTD Sensor RTJ201 (SG-060503) PT100 4W Duplex; Radix; RTJ201-1-C-D-3-0-NA-XNA-05-00070-10-Si-PN-XXX; 1 Pc</v>
      </c>
      <c r="G461" s="3">
        <f>IFERROR(__xludf.DUMMYFUNCTION("""COMPUTED_VALUE"""),5.0)</f>
        <v>5</v>
      </c>
      <c r="H461" s="3" t="str">
        <f>IFERROR(__xludf.DUMMYFUNCTION("""COMPUTED_VALUE"""),"set")</f>
        <v>set</v>
      </c>
      <c r="I461" s="3" t="str">
        <f>IFERROR(__xludf.DUMMYFUNCTION("""COMPUTED_VALUE"""),"-")</f>
        <v>-</v>
      </c>
      <c r="J461" s="3" t="str">
        <f>IFERROR(__xludf.DUMMYFUNCTION("""COMPUTED_VALUE"""),"O-53568-00")</f>
        <v>O-53568-00</v>
      </c>
      <c r="K461" s="3" t="str">
        <f>IFERROR(__xludf.DUMMYFUNCTION("""COMPUTED_VALUE"""),"Approve")</f>
        <v>Approve</v>
      </c>
      <c r="L461" s="3" t="str">
        <f>IFERROR(__xludf.DUMMYFUNCTION("""COMPUTED_VALUE"""),"Normal")</f>
        <v>Normal</v>
      </c>
      <c r="M461" s="3" t="str">
        <f>IFERROR(__xludf.DUMMYFUNCTION("""COMPUTED_VALUE"""),"Non Urgent")</f>
        <v>Non Urgent</v>
      </c>
      <c r="N461" s="3">
        <f>IFERROR(__xludf.DUMMYFUNCTION("""COMPUTED_VALUE"""),46050.98385613426)</f>
        <v>46050.98386</v>
      </c>
    </row>
    <row r="462">
      <c r="A462" s="4">
        <f>IFERROR(__xludf.DUMMYFUNCTION("""COMPUTED_VALUE"""),46045.714394386574)</f>
        <v>46045.71439</v>
      </c>
      <c r="B462" s="3" t="str">
        <f>IFERROR(__xludf.DUMMYFUNCTION("""COMPUTED_VALUE"""),"NDSRO0017")</f>
        <v>NDSRO0017</v>
      </c>
      <c r="C462" s="3" t="str">
        <f>IFERROR(__xludf.DUMMYFUNCTION("""COMPUTED_VALUE"""),"MIn Stok")</f>
        <v>MIn Stok</v>
      </c>
      <c r="D462" s="3" t="str">
        <f>IFERROR(__xludf.DUMMYFUNCTION("""COMPUTED_VALUE"""),"-")</f>
        <v>-</v>
      </c>
      <c r="E462" s="3" t="str">
        <f>IFERROR(__xludf.DUMMYFUNCTION("""COMPUTED_VALUE"""),"Circulation fan")</f>
        <v>Circulation fan</v>
      </c>
      <c r="F462" s="3" t="str">
        <f>IFERROR(__xludf.DUMMYFUNCTION("""COMPUTED_VALUE"""),"Bearing 6202 ZZ - P/N : -  pc")</f>
        <v>Bearing 6202 ZZ - P/N : -  pc</v>
      </c>
      <c r="G462" s="3">
        <f>IFERROR(__xludf.DUMMYFUNCTION("""COMPUTED_VALUE"""),10.0)</f>
        <v>10</v>
      </c>
      <c r="H462" s="3" t="str">
        <f>IFERROR(__xludf.DUMMYFUNCTION("""COMPUTED_VALUE"""),"pcs")</f>
        <v>pcs</v>
      </c>
      <c r="I462" s="3" t="str">
        <f>IFERROR(__xludf.DUMMYFUNCTION("""COMPUTED_VALUE"""),"-")</f>
        <v>-</v>
      </c>
      <c r="J462" s="3" t="str">
        <f>IFERROR(__xludf.DUMMYFUNCTION("""COMPUTED_VALUE"""),"O-11149-00")</f>
        <v>O-11149-00</v>
      </c>
      <c r="K462" s="3" t="str">
        <f>IFERROR(__xludf.DUMMYFUNCTION("""COMPUTED_VALUE"""),"Approve")</f>
        <v>Approve</v>
      </c>
      <c r="L462" s="3" t="str">
        <f>IFERROR(__xludf.DUMMYFUNCTION("""COMPUTED_VALUE"""),"Normal")</f>
        <v>Normal</v>
      </c>
      <c r="M462" s="3" t="str">
        <f>IFERROR(__xludf.DUMMYFUNCTION("""COMPUTED_VALUE"""),"Non Urgent")</f>
        <v>Non Urgent</v>
      </c>
      <c r="N462" s="3">
        <f>IFERROR(__xludf.DUMMYFUNCTION("""COMPUTED_VALUE"""),46050.87978135417)</f>
        <v>46050.87978</v>
      </c>
    </row>
    <row r="463">
      <c r="A463" s="4">
        <f>IFERROR(__xludf.DUMMYFUNCTION("""COMPUTED_VALUE"""),46045.90621429399)</f>
        <v>46045.90621</v>
      </c>
      <c r="B463" s="3" t="str">
        <f>IFERROR(__xludf.DUMMYFUNCTION("""COMPUTED_VALUE"""),"MOBRO0071")</f>
        <v>MOBRO0071</v>
      </c>
      <c r="C463" s="3" t="str">
        <f>IFERROR(__xludf.DUMMYFUNCTION("""COMPUTED_VALUE"""),"Consumable")</f>
        <v>Consumable</v>
      </c>
      <c r="D463" s="3" t="str">
        <f>IFERROR(__xludf.DUMMYFUNCTION("""COMPUTED_VALUE"""),"-")</f>
        <v>-</v>
      </c>
      <c r="E463" s="3" t="str">
        <f>IFERROR(__xludf.DUMMYFUNCTION("""COMPUTED_VALUE"""),"Pneumatic Fitting")</f>
        <v>Pneumatic Fitting</v>
      </c>
      <c r="F463" s="3" t="str">
        <f>IFERROR(__xludf.DUMMYFUNCTION("""COMPUTED_VALUE"""),"General - Push-in Connector, QS-8-6; Festo; 153038; 1 pcs")</f>
        <v>General - Push-in Connector, QS-8-6; Festo; 153038; 1 pcs</v>
      </c>
      <c r="G463" s="3">
        <f>IFERROR(__xludf.DUMMYFUNCTION("""COMPUTED_VALUE"""),10.0)</f>
        <v>10</v>
      </c>
      <c r="H463" s="3" t="str">
        <f>IFERROR(__xludf.DUMMYFUNCTION("""COMPUTED_VALUE"""),"Pcs")</f>
        <v>Pcs</v>
      </c>
      <c r="I463" s="3" t="str">
        <f>IFERROR(__xludf.DUMMYFUNCTION("""COMPUTED_VALUE"""),"Consumable")</f>
        <v>Consumable</v>
      </c>
      <c r="J463" s="3" t="str">
        <f>IFERROR(__xludf.DUMMYFUNCTION("""COMPUTED_VALUE"""),"P-11185-00")</f>
        <v>P-11185-00</v>
      </c>
      <c r="K463" s="3" t="str">
        <f>IFERROR(__xludf.DUMMYFUNCTION("""COMPUTED_VALUE"""),"Approve")</f>
        <v>Approve</v>
      </c>
      <c r="L463" s="3" t="str">
        <f>IFERROR(__xludf.DUMMYFUNCTION("""COMPUTED_VALUE"""),"Normal")</f>
        <v>Normal</v>
      </c>
      <c r="M463" s="3" t="str">
        <f>IFERROR(__xludf.DUMMYFUNCTION("""COMPUTED_VALUE"""),"Non Urgent")</f>
        <v>Non Urgent</v>
      </c>
      <c r="N463" s="3">
        <f>IFERROR(__xludf.DUMMYFUNCTION("""COMPUTED_VALUE"""),46050.70804429398)</f>
        <v>46050.70804</v>
      </c>
    </row>
    <row r="464">
      <c r="A464" s="4">
        <f>IFERROR(__xludf.DUMMYFUNCTION("""COMPUTED_VALUE"""),46045.90758798611)</f>
        <v>46045.90759</v>
      </c>
      <c r="B464" s="3" t="str">
        <f>IFERROR(__xludf.DUMMYFUNCTION("""COMPUTED_VALUE"""),"MOBRO0072")</f>
        <v>MOBRO0072</v>
      </c>
      <c r="C464" s="3" t="str">
        <f>IFERROR(__xludf.DUMMYFUNCTION("""COMPUTED_VALUE"""),"Consumable")</f>
        <v>Consumable</v>
      </c>
      <c r="D464" s="3" t="str">
        <f>IFERROR(__xludf.DUMMYFUNCTION("""COMPUTED_VALUE"""),"-")</f>
        <v>-</v>
      </c>
      <c r="E464" s="3" t="str">
        <f>IFERROR(__xludf.DUMMYFUNCTION("""COMPUTED_VALUE"""),"Pneumatic Fitting")</f>
        <v>Pneumatic Fitting</v>
      </c>
      <c r="F464" s="3" t="str">
        <f>IFERROR(__xludf.DUMMYFUNCTION("""COMPUTED_VALUE"""),"FESTO - QS-10-8 Push In Connector p/n 153039")</f>
        <v>FESTO - QS-10-8 Push In Connector p/n 153039</v>
      </c>
      <c r="G464" s="3">
        <f>IFERROR(__xludf.DUMMYFUNCTION("""COMPUTED_VALUE"""),10.0)</f>
        <v>10</v>
      </c>
      <c r="H464" s="3" t="str">
        <f>IFERROR(__xludf.DUMMYFUNCTION("""COMPUTED_VALUE"""),"Pcs")</f>
        <v>Pcs</v>
      </c>
      <c r="I464" s="3" t="str">
        <f>IFERROR(__xludf.DUMMYFUNCTION("""COMPUTED_VALUE"""),"Consumable")</f>
        <v>Consumable</v>
      </c>
      <c r="J464" s="3" t="str">
        <f>IFERROR(__xludf.DUMMYFUNCTION("""COMPUTED_VALUE"""),"P-12281-00")</f>
        <v>P-12281-00</v>
      </c>
      <c r="K464" s="3" t="str">
        <f>IFERROR(__xludf.DUMMYFUNCTION("""COMPUTED_VALUE"""),"Approve")</f>
        <v>Approve</v>
      </c>
      <c r="L464" s="3" t="str">
        <f>IFERROR(__xludf.DUMMYFUNCTION("""COMPUTED_VALUE"""),"Normal")</f>
        <v>Normal</v>
      </c>
      <c r="M464" s="3" t="str">
        <f>IFERROR(__xludf.DUMMYFUNCTION("""COMPUTED_VALUE"""),"Non Urgent")</f>
        <v>Non Urgent</v>
      </c>
      <c r="N464" s="3">
        <f>IFERROR(__xludf.DUMMYFUNCTION("""COMPUTED_VALUE"""),46050.70790432871)</f>
        <v>46050.7079</v>
      </c>
    </row>
    <row r="465">
      <c r="A465" s="4">
        <f>IFERROR(__xludf.DUMMYFUNCTION("""COMPUTED_VALUE"""),46045.90941965278)</f>
        <v>46045.90942</v>
      </c>
      <c r="B465" s="3" t="str">
        <f>IFERROR(__xludf.DUMMYFUNCTION("""COMPUTED_VALUE"""),"MOBRO0074")</f>
        <v>MOBRO0074</v>
      </c>
      <c r="C465" s="3" t="str">
        <f>IFERROR(__xludf.DUMMYFUNCTION("""COMPUTED_VALUE"""),"Consumable")</f>
        <v>Consumable</v>
      </c>
      <c r="D465" s="3" t="str">
        <f>IFERROR(__xludf.DUMMYFUNCTION("""COMPUTED_VALUE"""),"-")</f>
        <v>-</v>
      </c>
      <c r="E465" s="3" t="str">
        <f>IFERROR(__xludf.DUMMYFUNCTION("""COMPUTED_VALUE"""),"Pneumatic Fitting")</f>
        <v>Pneumatic Fitting</v>
      </c>
      <c r="F465" s="3" t="str">
        <f>IFERROR(__xludf.DUMMYFUNCTION("""COMPUTED_VALUE"""),"General - Push-in Connector, QS-10; Festo; 153034; 1 pcs")</f>
        <v>General - Push-in Connector, QS-10; Festo; 153034; 1 pcs</v>
      </c>
      <c r="G465" s="3">
        <f>IFERROR(__xludf.DUMMYFUNCTION("""COMPUTED_VALUE"""),10.0)</f>
        <v>10</v>
      </c>
      <c r="H465" s="3" t="str">
        <f>IFERROR(__xludf.DUMMYFUNCTION("""COMPUTED_VALUE"""),"Pcs")</f>
        <v>Pcs</v>
      </c>
      <c r="I465" s="3" t="str">
        <f>IFERROR(__xludf.DUMMYFUNCTION("""COMPUTED_VALUE"""),"Consumable")</f>
        <v>Consumable</v>
      </c>
      <c r="J465" s="3" t="str">
        <f>IFERROR(__xludf.DUMMYFUNCTION("""COMPUTED_VALUE"""),"P-11173-00")</f>
        <v>P-11173-00</v>
      </c>
      <c r="K465" s="3" t="str">
        <f>IFERROR(__xludf.DUMMYFUNCTION("""COMPUTED_VALUE"""),"Approve")</f>
        <v>Approve</v>
      </c>
      <c r="L465" s="3" t="str">
        <f>IFERROR(__xludf.DUMMYFUNCTION("""COMPUTED_VALUE"""),"Normal")</f>
        <v>Normal</v>
      </c>
      <c r="M465" s="3" t="str">
        <f>IFERROR(__xludf.DUMMYFUNCTION("""COMPUTED_VALUE"""),"Non Urgent")</f>
        <v>Non Urgent</v>
      </c>
      <c r="N465" s="3">
        <f>IFERROR(__xludf.DUMMYFUNCTION("""COMPUTED_VALUE"""),46050.70754309028)</f>
        <v>46050.70754</v>
      </c>
    </row>
    <row r="466">
      <c r="A466" s="4">
        <f>IFERROR(__xludf.DUMMYFUNCTION("""COMPUTED_VALUE"""),46045.90941965278)</f>
        <v>46045.90942</v>
      </c>
      <c r="B466" s="3" t="str">
        <f>IFERROR(__xludf.DUMMYFUNCTION("""COMPUTED_VALUE"""),"MOBRO0075")</f>
        <v>MOBRO0075</v>
      </c>
      <c r="C466" s="3" t="str">
        <f>IFERROR(__xludf.DUMMYFUNCTION("""COMPUTED_VALUE"""),"Consumable")</f>
        <v>Consumable</v>
      </c>
      <c r="D466" s="3" t="str">
        <f>IFERROR(__xludf.DUMMYFUNCTION("""COMPUTED_VALUE"""),"-")</f>
        <v>-</v>
      </c>
      <c r="E466" s="3" t="str">
        <f>IFERROR(__xludf.DUMMYFUNCTION("""COMPUTED_VALUE"""),"Pneumatic Fitting")</f>
        <v>Pneumatic Fitting</v>
      </c>
      <c r="F466" s="3" t="str">
        <f>IFERROR(__xludf.DUMMYFUNCTION("""COMPUTED_VALUE"""),"General - Push-in Connector, QS-6; Festo; 153032; 1 pcs")</f>
        <v>General - Push-in Connector, QS-6; Festo; 153032; 1 pcs</v>
      </c>
      <c r="G466" s="3">
        <f>IFERROR(__xludf.DUMMYFUNCTION("""COMPUTED_VALUE"""),10.0)</f>
        <v>10</v>
      </c>
      <c r="H466" s="3" t="str">
        <f>IFERROR(__xludf.DUMMYFUNCTION("""COMPUTED_VALUE"""),"Pcs")</f>
        <v>Pcs</v>
      </c>
      <c r="I466" s="3" t="str">
        <f>IFERROR(__xludf.DUMMYFUNCTION("""COMPUTED_VALUE"""),"Consumable")</f>
        <v>Consumable</v>
      </c>
      <c r="J466" s="3" t="str">
        <f>IFERROR(__xludf.DUMMYFUNCTION("""COMPUTED_VALUE"""),"P-11182-00")</f>
        <v>P-11182-00</v>
      </c>
      <c r="K466" s="3" t="str">
        <f>IFERROR(__xludf.DUMMYFUNCTION("""COMPUTED_VALUE"""),"Approve")</f>
        <v>Approve</v>
      </c>
      <c r="L466" s="3" t="str">
        <f>IFERROR(__xludf.DUMMYFUNCTION("""COMPUTED_VALUE"""),"Normal")</f>
        <v>Normal</v>
      </c>
      <c r="M466" s="3" t="str">
        <f>IFERROR(__xludf.DUMMYFUNCTION("""COMPUTED_VALUE"""),"Non Urgent")</f>
        <v>Non Urgent</v>
      </c>
      <c r="N466" s="3">
        <f>IFERROR(__xludf.DUMMYFUNCTION("""COMPUTED_VALUE"""),46050.70740409722)</f>
        <v>46050.7074</v>
      </c>
    </row>
    <row r="467">
      <c r="A467" s="4">
        <f>IFERROR(__xludf.DUMMYFUNCTION("""COMPUTED_VALUE"""),46045.911177141206)</f>
        <v>46045.91118</v>
      </c>
      <c r="B467" s="3" t="str">
        <f>IFERROR(__xludf.DUMMYFUNCTION("""COMPUTED_VALUE"""),"MOBRO0076")</f>
        <v>MOBRO0076</v>
      </c>
      <c r="C467" s="3" t="str">
        <f>IFERROR(__xludf.DUMMYFUNCTION("""COMPUTED_VALUE"""),"Consumable")</f>
        <v>Consumable</v>
      </c>
      <c r="D467" s="3" t="str">
        <f>IFERROR(__xludf.DUMMYFUNCTION("""COMPUTED_VALUE"""),"-")</f>
        <v>-</v>
      </c>
      <c r="E467" s="3" t="str">
        <f>IFERROR(__xludf.DUMMYFUNCTION("""COMPUTED_VALUE"""),"Pneumatic Fitting")</f>
        <v>Pneumatic Fitting</v>
      </c>
      <c r="F467" s="3" t="str">
        <f>IFERROR(__xludf.DUMMYFUNCTION("""COMPUTED_VALUE"""),"FESTO - Push In Connector QS-8 p/n 153033")</f>
        <v>FESTO - Push In Connector QS-8 p/n 153033</v>
      </c>
      <c r="G467" s="3">
        <f>IFERROR(__xludf.DUMMYFUNCTION("""COMPUTED_VALUE"""),10.0)</f>
        <v>10</v>
      </c>
      <c r="H467" s="3" t="str">
        <f>IFERROR(__xludf.DUMMYFUNCTION("""COMPUTED_VALUE"""),"Pcs")</f>
        <v>Pcs</v>
      </c>
      <c r="I467" s="3" t="str">
        <f>IFERROR(__xludf.DUMMYFUNCTION("""COMPUTED_VALUE"""),"Consumable")</f>
        <v>Consumable</v>
      </c>
      <c r="J467" s="3" t="str">
        <f>IFERROR(__xludf.DUMMYFUNCTION("""COMPUTED_VALUE"""),"P-12263-00")</f>
        <v>P-12263-00</v>
      </c>
      <c r="K467" s="3" t="str">
        <f>IFERROR(__xludf.DUMMYFUNCTION("""COMPUTED_VALUE"""),"Approve")</f>
        <v>Approve</v>
      </c>
      <c r="L467" s="3" t="str">
        <f>IFERROR(__xludf.DUMMYFUNCTION("""COMPUTED_VALUE"""),"Normal")</f>
        <v>Normal</v>
      </c>
      <c r="M467" s="3" t="str">
        <f>IFERROR(__xludf.DUMMYFUNCTION("""COMPUTED_VALUE"""),"Non Urgent")</f>
        <v>Non Urgent</v>
      </c>
      <c r="N467" s="3">
        <f>IFERROR(__xludf.DUMMYFUNCTION("""COMPUTED_VALUE"""),46050.70725399305)</f>
        <v>46050.70725</v>
      </c>
    </row>
    <row r="468">
      <c r="A468" s="4">
        <f>IFERROR(__xludf.DUMMYFUNCTION("""COMPUTED_VALUE"""),46046.339860555556)</f>
        <v>46046.33986</v>
      </c>
      <c r="B468" s="3" t="str">
        <f>IFERROR(__xludf.DUMMYFUNCTION("""COMPUTED_VALUE"""),"MRNRO0043")</f>
        <v>MRNRO0043</v>
      </c>
      <c r="C468" s="3" t="str">
        <f>IFERROR(__xludf.DUMMYFUNCTION("""COMPUTED_VALUE"""),"EJO")</f>
        <v>EJO</v>
      </c>
      <c r="D468" s="3" t="str">
        <f>IFERROR(__xludf.DUMMYFUNCTION("""COMPUTED_VALUE"""),"EJO/2025/02/01")</f>
        <v>EJO/2025/02/01</v>
      </c>
      <c r="E468" s="3" t="str">
        <f>IFERROR(__xludf.DUMMYFUNCTION("""COMPUTED_VALUE"""),"toilet lantai 2")</f>
        <v>toilet lantai 2</v>
      </c>
      <c r="F468" s="3" t="str">
        <f>IFERROR(__xludf.DUMMYFUNCTION("""COMPUTED_VALUE"""),"Tutup Wastafel TOTO; ; ;")</f>
        <v>Tutup Wastafel TOTO; ; ;</v>
      </c>
      <c r="G468" s="3">
        <f>IFERROR(__xludf.DUMMYFUNCTION("""COMPUTED_VALUE"""),5.0)</f>
        <v>5</v>
      </c>
      <c r="H468" s="3" t="str">
        <f>IFERROR(__xludf.DUMMYFUNCTION("""COMPUTED_VALUE"""),"pcs")</f>
        <v>pcs</v>
      </c>
      <c r="I468" s="3" t="str">
        <f>IFERROR(__xludf.DUMMYFUNCTION("""COMPUTED_VALUE"""),"tutup wastafel rusak")</f>
        <v>tutup wastafel rusak</v>
      </c>
      <c r="J468" s="3" t="str">
        <f>IFERROR(__xludf.DUMMYFUNCTION("""COMPUTED_VALUE"""),"Q-10487-00")</f>
        <v>Q-10487-00</v>
      </c>
      <c r="K468" s="3" t="str">
        <f>IFERROR(__xludf.DUMMYFUNCTION("""COMPUTED_VALUE"""),"Approve")</f>
        <v>Approve</v>
      </c>
      <c r="L468" s="3" t="str">
        <f>IFERROR(__xludf.DUMMYFUNCTION("""COMPUTED_VALUE"""),"Normal")</f>
        <v>Normal</v>
      </c>
      <c r="M468" s="3" t="str">
        <f>IFERROR(__xludf.DUMMYFUNCTION("""COMPUTED_VALUE"""),"Non Urgent")</f>
        <v>Non Urgent</v>
      </c>
      <c r="N468" s="3">
        <f>IFERROR(__xludf.DUMMYFUNCTION("""COMPUTED_VALUE"""),46048.60855693287)</f>
        <v>46048.60856</v>
      </c>
    </row>
    <row r="469">
      <c r="A469" s="4">
        <f>IFERROR(__xludf.DUMMYFUNCTION("""COMPUTED_VALUE"""),46047.42031945602)</f>
        <v>46047.42032</v>
      </c>
      <c r="B469" s="3" t="str">
        <f>IFERROR(__xludf.DUMMYFUNCTION("""COMPUTED_VALUE"""),"MFHRO0233")</f>
        <v>MFHRO0233</v>
      </c>
      <c r="C469" s="3" t="str">
        <f>IFERROR(__xludf.DUMMYFUNCTION("""COMPUTED_VALUE"""),"MIn Stok")</f>
        <v>MIn Stok</v>
      </c>
      <c r="D469" s="3" t="str">
        <f>IFERROR(__xludf.DUMMYFUNCTION("""COMPUTED_VALUE"""),"-")</f>
        <v>-</v>
      </c>
      <c r="E469" s="3" t="str">
        <f>IFERROR(__xludf.DUMMYFUNCTION("""COMPUTED_VALUE"""),"Granulasi")</f>
        <v>Granulasi</v>
      </c>
      <c r="F469" s="3" t="str">
        <f>IFERROR(__xludf.DUMMYFUNCTION("""COMPUTED_VALUE"""),"Integrated Granulation Line - Temperature Probe PT-100 55mm Long 3 Wire 1/10 DIN 316L")</f>
        <v>Integrated Granulation Line - Temperature Probe PT-100 55mm Long 3 Wire 1/10 DIN 316L</v>
      </c>
      <c r="G469" s="3">
        <f>IFERROR(__xludf.DUMMYFUNCTION("""COMPUTED_VALUE"""),1.0)</f>
        <v>1</v>
      </c>
      <c r="H469" s="3" t="str">
        <f>IFERROR(__xludf.DUMMYFUNCTION("""COMPUTED_VALUE"""),"Pieces")</f>
        <v>Pieces</v>
      </c>
      <c r="I469" s="3" t="str">
        <f>IFERROR(__xludf.DUMMYFUNCTION("""COMPUTED_VALUE"""),"121703303 - APPROVED")</f>
        <v>121703303 - APPROVED</v>
      </c>
      <c r="J469" s="3" t="str">
        <f>IFERROR(__xludf.DUMMYFUNCTION("""COMPUTED_VALUE"""),"O-53275-00")</f>
        <v>O-53275-00</v>
      </c>
      <c r="K469" s="3" t="str">
        <f>IFERROR(__xludf.DUMMYFUNCTION("""COMPUTED_VALUE"""),"Approve")</f>
        <v>Approve</v>
      </c>
      <c r="L469" s="3" t="str">
        <f>IFERROR(__xludf.DUMMYFUNCTION("""COMPUTED_VALUE"""),"Normal")</f>
        <v>Normal</v>
      </c>
      <c r="M469" s="3" t="str">
        <f>IFERROR(__xludf.DUMMYFUNCTION("""COMPUTED_VALUE"""),"Non Urgent")</f>
        <v>Non Urgent</v>
      </c>
      <c r="N469" s="3">
        <f>IFERROR(__xludf.DUMMYFUNCTION("""COMPUTED_VALUE"""),46047.87531369213)</f>
        <v>46047.87531</v>
      </c>
    </row>
    <row r="470">
      <c r="A470" s="4">
        <f>IFERROR(__xludf.DUMMYFUNCTION("""COMPUTED_VALUE"""),46047.42031945602)</f>
        <v>46047.42032</v>
      </c>
      <c r="B470" s="3" t="str">
        <f>IFERROR(__xludf.DUMMYFUNCTION("""COMPUTED_VALUE"""),"MFHRO0234")</f>
        <v>MFHRO0234</v>
      </c>
      <c r="C470" s="3" t="str">
        <f>IFERROR(__xludf.DUMMYFUNCTION("""COMPUTED_VALUE"""),"MIn Stok")</f>
        <v>MIn Stok</v>
      </c>
      <c r="D470" s="3" t="str">
        <f>IFERROR(__xludf.DUMMYFUNCTION("""COMPUTED_VALUE"""),"-")</f>
        <v>-</v>
      </c>
      <c r="E470" s="3" t="str">
        <f>IFERROR(__xludf.DUMMYFUNCTION("""COMPUTED_VALUE"""),"Granulasi")</f>
        <v>Granulasi</v>
      </c>
      <c r="F470" s="3" t="str">
        <f>IFERROR(__xludf.DUMMYFUNCTION("""COMPUTED_VALUE"""),"Integrated Granulation Line - Blowback Cone Seal PTFE")</f>
        <v>Integrated Granulation Line - Blowback Cone Seal PTFE</v>
      </c>
      <c r="G470" s="3">
        <f>IFERROR(__xludf.DUMMYFUNCTION("""COMPUTED_VALUE"""),4.0)</f>
        <v>4</v>
      </c>
      <c r="H470" s="3" t="str">
        <f>IFERROR(__xludf.DUMMYFUNCTION("""COMPUTED_VALUE"""),"Pieces")</f>
        <v>Pieces</v>
      </c>
      <c r="I470" s="3" t="str">
        <f>IFERROR(__xludf.DUMMYFUNCTION("""COMPUTED_VALUE"""),"121703303 - APPROVED")</f>
        <v>121703303 - APPROVED</v>
      </c>
      <c r="J470" s="3" t="str">
        <f>IFERROR(__xludf.DUMMYFUNCTION("""COMPUTED_VALUE"""),"O-20652-00")</f>
        <v>O-20652-00</v>
      </c>
      <c r="K470" s="3" t="str">
        <f>IFERROR(__xludf.DUMMYFUNCTION("""COMPUTED_VALUE"""),"Approve")</f>
        <v>Approve</v>
      </c>
      <c r="L470" s="3" t="str">
        <f>IFERROR(__xludf.DUMMYFUNCTION("""COMPUTED_VALUE"""),"Normal")</f>
        <v>Normal</v>
      </c>
      <c r="M470" s="3" t="str">
        <f>IFERROR(__xludf.DUMMYFUNCTION("""COMPUTED_VALUE"""),"Non Urgent")</f>
        <v>Non Urgent</v>
      </c>
      <c r="N470" s="3">
        <f>IFERROR(__xludf.DUMMYFUNCTION("""COMPUTED_VALUE"""),46047.875399745375)</f>
        <v>46047.8754</v>
      </c>
    </row>
    <row r="471">
      <c r="A471" s="4">
        <f>IFERROR(__xludf.DUMMYFUNCTION("""COMPUTED_VALUE"""),46047.42031945602)</f>
        <v>46047.42032</v>
      </c>
      <c r="B471" s="3" t="str">
        <f>IFERROR(__xludf.DUMMYFUNCTION("""COMPUTED_VALUE"""),"MFHRO0235")</f>
        <v>MFHRO0235</v>
      </c>
      <c r="C471" s="3" t="str">
        <f>IFERROR(__xludf.DUMMYFUNCTION("""COMPUTED_VALUE"""),"MIn Stok")</f>
        <v>MIn Stok</v>
      </c>
      <c r="D471" s="3" t="str">
        <f>IFERROR(__xludf.DUMMYFUNCTION("""COMPUTED_VALUE"""),"-")</f>
        <v>-</v>
      </c>
      <c r="E471" s="3" t="str">
        <f>IFERROR(__xludf.DUMMYFUNCTION("""COMPUTED_VALUE"""),"Granulasi")</f>
        <v>Granulasi</v>
      </c>
      <c r="F471" s="3" t="str">
        <f>IFERROR(__xludf.DUMMYFUNCTION("""COMPUTED_VALUE"""),"Integrated Granulation Line - Temperature Probe Product 72mm Bayonet 3 Wire Cable=5m")</f>
        <v>Integrated Granulation Line - Temperature Probe Product 72mm Bayonet 3 Wire Cable=5m</v>
      </c>
      <c r="G471" s="3">
        <f>IFERROR(__xludf.DUMMYFUNCTION("""COMPUTED_VALUE"""),1.0)</f>
        <v>1</v>
      </c>
      <c r="H471" s="3" t="str">
        <f>IFERROR(__xludf.DUMMYFUNCTION("""COMPUTED_VALUE"""),"Pieces")</f>
        <v>Pieces</v>
      </c>
      <c r="I471" s="3" t="str">
        <f>IFERROR(__xludf.DUMMYFUNCTION("""COMPUTED_VALUE"""),"121703303 - APPROVED")</f>
        <v>121703303 - APPROVED</v>
      </c>
      <c r="J471" s="3" t="str">
        <f>IFERROR(__xludf.DUMMYFUNCTION("""COMPUTED_VALUE"""),"O-53273-00")</f>
        <v>O-53273-00</v>
      </c>
      <c r="K471" s="3" t="str">
        <f>IFERROR(__xludf.DUMMYFUNCTION("""COMPUTED_VALUE"""),"Approve")</f>
        <v>Approve</v>
      </c>
      <c r="L471" s="3" t="str">
        <f>IFERROR(__xludf.DUMMYFUNCTION("""COMPUTED_VALUE"""),"Normal")</f>
        <v>Normal</v>
      </c>
      <c r="M471" s="3" t="str">
        <f>IFERROR(__xludf.DUMMYFUNCTION("""COMPUTED_VALUE"""),"Non Urgent")</f>
        <v>Non Urgent</v>
      </c>
      <c r="N471" s="3">
        <f>IFERROR(__xludf.DUMMYFUNCTION("""COMPUTED_VALUE"""),46047.87549583333)</f>
        <v>46047.8755</v>
      </c>
    </row>
    <row r="472">
      <c r="A472" s="4">
        <f>IFERROR(__xludf.DUMMYFUNCTION("""COMPUTED_VALUE"""),46047.42031945602)</f>
        <v>46047.42032</v>
      </c>
      <c r="B472" s="3" t="str">
        <f>IFERROR(__xludf.DUMMYFUNCTION("""COMPUTED_VALUE"""),"MFHRO0236")</f>
        <v>MFHRO0236</v>
      </c>
      <c r="C472" s="3" t="str">
        <f>IFERROR(__xludf.DUMMYFUNCTION("""COMPUTED_VALUE"""),"MIn Stok")</f>
        <v>MIn Stok</v>
      </c>
      <c r="D472" s="3" t="str">
        <f>IFERROR(__xludf.DUMMYFUNCTION("""COMPUTED_VALUE"""),"-")</f>
        <v>-</v>
      </c>
      <c r="E472" s="3" t="str">
        <f>IFERROR(__xludf.DUMMYFUNCTION("""COMPUTED_VALUE"""),"Granulasi")</f>
        <v>Granulasi</v>
      </c>
      <c r="F472" s="3" t="str">
        <f>IFERROR(__xludf.DUMMYFUNCTION("""COMPUTED_VALUE"""),"Integrated Granulation Line - Temperature Probe Product 72mm Bayonet 3 Wire Cable=5m")</f>
        <v>Integrated Granulation Line - Temperature Probe Product 72mm Bayonet 3 Wire Cable=5m</v>
      </c>
      <c r="G472" s="3">
        <f>IFERROR(__xludf.DUMMYFUNCTION("""COMPUTED_VALUE"""),1.0)</f>
        <v>1</v>
      </c>
      <c r="H472" s="3" t="str">
        <f>IFERROR(__xludf.DUMMYFUNCTION("""COMPUTED_VALUE"""),"Pieces")</f>
        <v>Pieces</v>
      </c>
      <c r="I472" s="3" t="str">
        <f>IFERROR(__xludf.DUMMYFUNCTION("""COMPUTED_VALUE"""),"121703303 - APPROVED")</f>
        <v>121703303 - APPROVED</v>
      </c>
      <c r="J472" s="3" t="str">
        <f>IFERROR(__xludf.DUMMYFUNCTION("""COMPUTED_VALUE"""),"O-53273-00")</f>
        <v>O-53273-00</v>
      </c>
      <c r="K472" s="3" t="str">
        <f>IFERROR(__xludf.DUMMYFUNCTION("""COMPUTED_VALUE"""),"Approve")</f>
        <v>Approve</v>
      </c>
      <c r="L472" s="3" t="str">
        <f>IFERROR(__xludf.DUMMYFUNCTION("""COMPUTED_VALUE"""),"Normal")</f>
        <v>Normal</v>
      </c>
      <c r="M472" s="3" t="str">
        <f>IFERROR(__xludf.DUMMYFUNCTION("""COMPUTED_VALUE"""),"Non Urgent")</f>
        <v>Non Urgent</v>
      </c>
      <c r="N472" s="3">
        <f>IFERROR(__xludf.DUMMYFUNCTION("""COMPUTED_VALUE"""),46047.8755890162)</f>
        <v>46047.87559</v>
      </c>
    </row>
    <row r="473">
      <c r="A473" s="4">
        <f>IFERROR(__xludf.DUMMYFUNCTION("""COMPUTED_VALUE"""),46047.42031945602)</f>
        <v>46047.42032</v>
      </c>
      <c r="B473" s="3" t="str">
        <f>IFERROR(__xludf.DUMMYFUNCTION("""COMPUTED_VALUE"""),"MFHRO0237")</f>
        <v>MFHRO0237</v>
      </c>
      <c r="C473" s="3" t="str">
        <f>IFERROR(__xludf.DUMMYFUNCTION("""COMPUTED_VALUE"""),"MIn Stok")</f>
        <v>MIn Stok</v>
      </c>
      <c r="D473" s="3" t="str">
        <f>IFERROR(__xludf.DUMMYFUNCTION("""COMPUTED_VALUE"""),"-")</f>
        <v>-</v>
      </c>
      <c r="E473" s="3" t="str">
        <f>IFERROR(__xludf.DUMMYFUNCTION("""COMPUTED_VALUE"""),"Granulasi")</f>
        <v>Granulasi</v>
      </c>
      <c r="F473" s="3" t="str">
        <f>IFERROR(__xludf.DUMMYFUNCTION("""COMPUTED_VALUE"""),"Integrated Granulation Line - Collar HC100")</f>
        <v>Integrated Granulation Line - Collar HC100</v>
      </c>
      <c r="G473" s="3">
        <f>IFERROR(__xludf.DUMMYFUNCTION("""COMPUTED_VALUE"""),4.0)</f>
        <v>4</v>
      </c>
      <c r="H473" s="3" t="str">
        <f>IFERROR(__xludf.DUMMYFUNCTION("""COMPUTED_VALUE"""),"Pieces")</f>
        <v>Pieces</v>
      </c>
      <c r="I473" s="3" t="str">
        <f>IFERROR(__xludf.DUMMYFUNCTION("""COMPUTED_VALUE"""),"121703303 - APPROVED")</f>
        <v>121703303 - APPROVED</v>
      </c>
      <c r="J473" s="3" t="str">
        <f>IFERROR(__xludf.DUMMYFUNCTION("""COMPUTED_VALUE"""),"O-20651-00")</f>
        <v>O-20651-00</v>
      </c>
      <c r="K473" s="3" t="str">
        <f>IFERROR(__xludf.DUMMYFUNCTION("""COMPUTED_VALUE"""),"Approve")</f>
        <v>Approve</v>
      </c>
      <c r="L473" s="3" t="str">
        <f>IFERROR(__xludf.DUMMYFUNCTION("""COMPUTED_VALUE"""),"Normal")</f>
        <v>Normal</v>
      </c>
      <c r="M473" s="3" t="str">
        <f>IFERROR(__xludf.DUMMYFUNCTION("""COMPUTED_VALUE"""),"Non Urgent")</f>
        <v>Non Urgent</v>
      </c>
      <c r="N473" s="3">
        <f>IFERROR(__xludf.DUMMYFUNCTION("""COMPUTED_VALUE"""),46047.87568431713)</f>
        <v>46047.87568</v>
      </c>
    </row>
    <row r="474">
      <c r="A474" s="4">
        <f>IFERROR(__xludf.DUMMYFUNCTION("""COMPUTED_VALUE"""),46047.42031945602)</f>
        <v>46047.42032</v>
      </c>
      <c r="B474" s="3" t="str">
        <f>IFERROR(__xludf.DUMMYFUNCTION("""COMPUTED_VALUE"""),"MFHRO0238")</f>
        <v>MFHRO0238</v>
      </c>
      <c r="C474" s="3" t="str">
        <f>IFERROR(__xludf.DUMMYFUNCTION("""COMPUTED_VALUE"""),"MIn Stok")</f>
        <v>MIn Stok</v>
      </c>
      <c r="D474" s="3" t="str">
        <f>IFERROR(__xludf.DUMMYFUNCTION("""COMPUTED_VALUE"""),"-")</f>
        <v>-</v>
      </c>
      <c r="E474" s="3" t="str">
        <f>IFERROR(__xludf.DUMMYFUNCTION("""COMPUTED_VALUE"""),"Granulasi")</f>
        <v>Granulasi</v>
      </c>
      <c r="F474" s="3" t="str">
        <f>IFERROR(__xludf.DUMMYFUNCTION("""COMPUTED_VALUE"""),"Integrated Granulation Line - Flap Disc Seal MC DN100 (2.M10.0110X)")</f>
        <v>Integrated Granulation Line - Flap Disc Seal MC DN100 (2.M10.0110X)</v>
      </c>
      <c r="G474" s="3">
        <f>IFERROR(__xludf.DUMMYFUNCTION("""COMPUTED_VALUE"""),2.0)</f>
        <v>2</v>
      </c>
      <c r="H474" s="3" t="str">
        <f>IFERROR(__xludf.DUMMYFUNCTION("""COMPUTED_VALUE"""),"Pieces")</f>
        <v>Pieces</v>
      </c>
      <c r="I474" s="3" t="str">
        <f>IFERROR(__xludf.DUMMYFUNCTION("""COMPUTED_VALUE"""),"121703303 - APPROVED")</f>
        <v>121703303 - APPROVED</v>
      </c>
      <c r="J474" s="3" t="str">
        <f>IFERROR(__xludf.DUMMYFUNCTION("""COMPUTED_VALUE"""),"O-20650-00")</f>
        <v>O-20650-00</v>
      </c>
      <c r="K474" s="3" t="str">
        <f>IFERROR(__xludf.DUMMYFUNCTION("""COMPUTED_VALUE"""),"Approve")</f>
        <v>Approve</v>
      </c>
      <c r="L474" s="3" t="str">
        <f>IFERROR(__xludf.DUMMYFUNCTION("""COMPUTED_VALUE"""),"Normal")</f>
        <v>Normal</v>
      </c>
      <c r="M474" s="3" t="str">
        <f>IFERROR(__xludf.DUMMYFUNCTION("""COMPUTED_VALUE"""),"Non Urgent")</f>
        <v>Non Urgent</v>
      </c>
      <c r="N474" s="3">
        <f>IFERROR(__xludf.DUMMYFUNCTION("""COMPUTED_VALUE"""),46047.87576725695)</f>
        <v>46047.87577</v>
      </c>
    </row>
    <row r="475">
      <c r="A475" s="4">
        <f>IFERROR(__xludf.DUMMYFUNCTION("""COMPUTED_VALUE"""),46047.42031945602)</f>
        <v>46047.42032</v>
      </c>
      <c r="B475" s="3" t="str">
        <f>IFERROR(__xludf.DUMMYFUNCTION("""COMPUTED_VALUE"""),"MFHRO0239")</f>
        <v>MFHRO0239</v>
      </c>
      <c r="C475" s="3" t="str">
        <f>IFERROR(__xludf.DUMMYFUNCTION("""COMPUTED_VALUE"""),"MIn Stok")</f>
        <v>MIn Stok</v>
      </c>
      <c r="D475" s="3" t="str">
        <f>IFERROR(__xludf.DUMMYFUNCTION("""COMPUTED_VALUE"""),"-")</f>
        <v>-</v>
      </c>
      <c r="E475" s="3" t="str">
        <f>IFERROR(__xludf.DUMMYFUNCTION("""COMPUTED_VALUE"""),"Granulasi")</f>
        <v>Granulasi</v>
      </c>
      <c r="F475" s="3" t="str">
        <f>IFERROR(__xludf.DUMMYFUNCTION("""COMPUTED_VALUE"""),"Integrated Granulation Line - Temperature Probe CIP 60mm MK3: 3 Wire")</f>
        <v>Integrated Granulation Line - Temperature Probe CIP 60mm MK3: 3 Wire</v>
      </c>
      <c r="G475" s="3">
        <f>IFERROR(__xludf.DUMMYFUNCTION("""COMPUTED_VALUE"""),1.0)</f>
        <v>1</v>
      </c>
      <c r="H475" s="3" t="str">
        <f>IFERROR(__xludf.DUMMYFUNCTION("""COMPUTED_VALUE"""),"Pieces")</f>
        <v>Pieces</v>
      </c>
      <c r="I475" s="3" t="str">
        <f>IFERROR(__xludf.DUMMYFUNCTION("""COMPUTED_VALUE"""),"121703303 - APPROVED")</f>
        <v>121703303 - APPROVED</v>
      </c>
      <c r="J475" s="3" t="str">
        <f>IFERROR(__xludf.DUMMYFUNCTION("""COMPUTED_VALUE"""),"O-53272-00")</f>
        <v>O-53272-00</v>
      </c>
      <c r="K475" s="3" t="str">
        <f>IFERROR(__xludf.DUMMYFUNCTION("""COMPUTED_VALUE"""),"Approve")</f>
        <v>Approve</v>
      </c>
      <c r="L475" s="3" t="str">
        <f>IFERROR(__xludf.DUMMYFUNCTION("""COMPUTED_VALUE"""),"Normal")</f>
        <v>Normal</v>
      </c>
      <c r="M475" s="3" t="str">
        <f>IFERROR(__xludf.DUMMYFUNCTION("""COMPUTED_VALUE"""),"Non Urgent")</f>
        <v>Non Urgent</v>
      </c>
      <c r="N475" s="3">
        <f>IFERROR(__xludf.DUMMYFUNCTION("""COMPUTED_VALUE"""),46047.87588208333)</f>
        <v>46047.87588</v>
      </c>
    </row>
    <row r="476">
      <c r="A476" s="4">
        <f>IFERROR(__xludf.DUMMYFUNCTION("""COMPUTED_VALUE"""),46047.42031945602)</f>
        <v>46047.42032</v>
      </c>
      <c r="B476" s="3" t="str">
        <f>IFERROR(__xludf.DUMMYFUNCTION("""COMPUTED_VALUE"""),"MFHRO0240")</f>
        <v>MFHRO0240</v>
      </c>
      <c r="C476" s="3" t="str">
        <f>IFERROR(__xludf.DUMMYFUNCTION("""COMPUTED_VALUE"""),"MIn Stok")</f>
        <v>MIn Stok</v>
      </c>
      <c r="D476" s="3" t="str">
        <f>IFERROR(__xludf.DUMMYFUNCTION("""COMPUTED_VALUE"""),"-")</f>
        <v>-</v>
      </c>
      <c r="E476" s="3" t="str">
        <f>IFERROR(__xludf.DUMMYFUNCTION("""COMPUTED_VALUE"""),"Granulasi")</f>
        <v>Granulasi</v>
      </c>
      <c r="F476" s="3" t="str">
        <f>IFERROR(__xludf.DUMMYFUNCTION("""COMPUTED_VALUE"""),"Integrated Granulation Line - Housing Seal MC DN 100")</f>
        <v>Integrated Granulation Line - Housing Seal MC DN 100</v>
      </c>
      <c r="G476" s="3">
        <f>IFERROR(__xludf.DUMMYFUNCTION("""COMPUTED_VALUE"""),1.0)</f>
        <v>1</v>
      </c>
      <c r="H476" s="3" t="str">
        <f>IFERROR(__xludf.DUMMYFUNCTION("""COMPUTED_VALUE"""),"Pieces")</f>
        <v>Pieces</v>
      </c>
      <c r="I476" s="3" t="str">
        <f>IFERROR(__xludf.DUMMYFUNCTION("""COMPUTED_VALUE"""),"121703303 - APPROVED")</f>
        <v>121703303 - APPROVED</v>
      </c>
      <c r="J476" s="3" t="str">
        <f>IFERROR(__xludf.DUMMYFUNCTION("""COMPUTED_VALUE"""),"O-20649-00")</f>
        <v>O-20649-00</v>
      </c>
      <c r="K476" s="3" t="str">
        <f>IFERROR(__xludf.DUMMYFUNCTION("""COMPUTED_VALUE"""),"Approve")</f>
        <v>Approve</v>
      </c>
      <c r="L476" s="3" t="str">
        <f>IFERROR(__xludf.DUMMYFUNCTION("""COMPUTED_VALUE"""),"Normal")</f>
        <v>Normal</v>
      </c>
      <c r="M476" s="3" t="str">
        <f>IFERROR(__xludf.DUMMYFUNCTION("""COMPUTED_VALUE"""),"Non Urgent")</f>
        <v>Non Urgent</v>
      </c>
      <c r="N476" s="3">
        <f>IFERROR(__xludf.DUMMYFUNCTION("""COMPUTED_VALUE"""),46047.87597414352)</f>
        <v>46047.87597</v>
      </c>
    </row>
    <row r="477">
      <c r="A477" s="4">
        <f>IFERROR(__xludf.DUMMYFUNCTION("""COMPUTED_VALUE"""),46047.42031945602)</f>
        <v>46047.42032</v>
      </c>
      <c r="B477" s="3" t="str">
        <f>IFERROR(__xludf.DUMMYFUNCTION("""COMPUTED_VALUE"""),"MFHRO0241")</f>
        <v>MFHRO0241</v>
      </c>
      <c r="C477" s="3" t="str">
        <f>IFERROR(__xludf.DUMMYFUNCTION("""COMPUTED_VALUE"""),"MIn Stok")</f>
        <v>MIn Stok</v>
      </c>
      <c r="D477" s="3" t="str">
        <f>IFERROR(__xludf.DUMMYFUNCTION("""COMPUTED_VALUE"""),"-")</f>
        <v>-</v>
      </c>
      <c r="E477" s="3" t="str">
        <f>IFERROR(__xludf.DUMMYFUNCTION("""COMPUTED_VALUE"""),"Granulasi")</f>
        <v>Granulasi</v>
      </c>
      <c r="F477" s="3" t="str">
        <f>IFERROR(__xludf.DUMMYFUNCTION("""COMPUTED_VALUE"""),"Integrated Granulation Line - Inflatable Seal CIP G281 S2P Dm=286mm Silicone Transparent")</f>
        <v>Integrated Granulation Line - Inflatable Seal CIP G281 S2P Dm=286mm Silicone Transparent</v>
      </c>
      <c r="G477" s="3">
        <f>IFERROR(__xludf.DUMMYFUNCTION("""COMPUTED_VALUE"""),1.0)</f>
        <v>1</v>
      </c>
      <c r="H477" s="3" t="str">
        <f>IFERROR(__xludf.DUMMYFUNCTION("""COMPUTED_VALUE"""),"Pieces")</f>
        <v>Pieces</v>
      </c>
      <c r="I477" s="3" t="str">
        <f>IFERROR(__xludf.DUMMYFUNCTION("""COMPUTED_VALUE"""),"121703303 - APPROVED")</f>
        <v>121703303 - APPROVED</v>
      </c>
      <c r="J477" s="3" t="str">
        <f>IFERROR(__xludf.DUMMYFUNCTION("""COMPUTED_VALUE"""),"O-20648-00")</f>
        <v>O-20648-00</v>
      </c>
      <c r="K477" s="3" t="str">
        <f>IFERROR(__xludf.DUMMYFUNCTION("""COMPUTED_VALUE"""),"Approve")</f>
        <v>Approve</v>
      </c>
      <c r="L477" s="3" t="str">
        <f>IFERROR(__xludf.DUMMYFUNCTION("""COMPUTED_VALUE"""),"Normal")</f>
        <v>Normal</v>
      </c>
      <c r="M477" s="3" t="str">
        <f>IFERROR(__xludf.DUMMYFUNCTION("""COMPUTED_VALUE"""),"Non Urgent")</f>
        <v>Non Urgent</v>
      </c>
      <c r="N477" s="3">
        <f>IFERROR(__xludf.DUMMYFUNCTION("""COMPUTED_VALUE"""),46047.8760553125)</f>
        <v>46047.87606</v>
      </c>
    </row>
    <row r="478">
      <c r="A478" s="4">
        <f>IFERROR(__xludf.DUMMYFUNCTION("""COMPUTED_VALUE"""),46047.42031945602)</f>
        <v>46047.42032</v>
      </c>
      <c r="B478" s="3" t="str">
        <f>IFERROR(__xludf.DUMMYFUNCTION("""COMPUTED_VALUE"""),"MFHRO0242")</f>
        <v>MFHRO0242</v>
      </c>
      <c r="C478" s="3" t="str">
        <f>IFERROR(__xludf.DUMMYFUNCTION("""COMPUTED_VALUE"""),"MIn Stok")</f>
        <v>MIn Stok</v>
      </c>
      <c r="D478" s="3" t="str">
        <f>IFERROR(__xludf.DUMMYFUNCTION("""COMPUTED_VALUE"""),"-")</f>
        <v>-</v>
      </c>
      <c r="E478" s="3" t="str">
        <f>IFERROR(__xludf.DUMMYFUNCTION("""COMPUTED_VALUE"""),"Granulasi")</f>
        <v>Granulasi</v>
      </c>
      <c r="F478" s="3" t="str">
        <f>IFERROR(__xludf.DUMMYFUNCTION("""COMPUTED_VALUE"""),"Integrated Granulation Line - Inflatable Seal CIP G281 S2F Dm=474mm Silicone Transparent")</f>
        <v>Integrated Granulation Line - Inflatable Seal CIP G281 S2F Dm=474mm Silicone Transparent</v>
      </c>
      <c r="G478" s="3">
        <f>IFERROR(__xludf.DUMMYFUNCTION("""COMPUTED_VALUE"""),1.0)</f>
        <v>1</v>
      </c>
      <c r="H478" s="3" t="str">
        <f>IFERROR(__xludf.DUMMYFUNCTION("""COMPUTED_VALUE"""),"Pieces")</f>
        <v>Pieces</v>
      </c>
      <c r="I478" s="3" t="str">
        <f>IFERROR(__xludf.DUMMYFUNCTION("""COMPUTED_VALUE"""),"121703303 - APPROVED")</f>
        <v>121703303 - APPROVED</v>
      </c>
      <c r="J478" s="3" t="str">
        <f>IFERROR(__xludf.DUMMYFUNCTION("""COMPUTED_VALUE"""),"O-20647-00")</f>
        <v>O-20647-00</v>
      </c>
      <c r="K478" s="3" t="str">
        <f>IFERROR(__xludf.DUMMYFUNCTION("""COMPUTED_VALUE"""),"Approve")</f>
        <v>Approve</v>
      </c>
      <c r="L478" s="3" t="str">
        <f>IFERROR(__xludf.DUMMYFUNCTION("""COMPUTED_VALUE"""),"Normal")</f>
        <v>Normal</v>
      </c>
      <c r="M478" s="3" t="str">
        <f>IFERROR(__xludf.DUMMYFUNCTION("""COMPUTED_VALUE"""),"Non Urgent")</f>
        <v>Non Urgent</v>
      </c>
      <c r="N478" s="3">
        <f>IFERROR(__xludf.DUMMYFUNCTION("""COMPUTED_VALUE"""),46047.876140266206)</f>
        <v>46047.87614</v>
      </c>
    </row>
    <row r="479">
      <c r="A479" s="4">
        <f>IFERROR(__xludf.DUMMYFUNCTION("""COMPUTED_VALUE"""),46047.42031945602)</f>
        <v>46047.42032</v>
      </c>
      <c r="B479" s="3" t="str">
        <f>IFERROR(__xludf.DUMMYFUNCTION("""COMPUTED_VALUE"""),"MFHRO0243")</f>
        <v>MFHRO0243</v>
      </c>
      <c r="C479" s="3" t="str">
        <f>IFERROR(__xludf.DUMMYFUNCTION("""COMPUTED_VALUE"""),"MIn Stok")</f>
        <v>MIn Stok</v>
      </c>
      <c r="D479" s="3" t="str">
        <f>IFERROR(__xludf.DUMMYFUNCTION("""COMPUTED_VALUE"""),"-")</f>
        <v>-</v>
      </c>
      <c r="E479" s="3" t="str">
        <f>IFERROR(__xludf.DUMMYFUNCTION("""COMPUTED_VALUE"""),"Granulasi")</f>
        <v>Granulasi</v>
      </c>
      <c r="F479" s="3" t="str">
        <f>IFERROR(__xludf.DUMMYFUNCTION("""COMPUTED_VALUE"""),"Integrated Granulation Line - Inflatable Seal CIP FC111VS DS=117.2mm Silicone Transparent")</f>
        <v>Integrated Granulation Line - Inflatable Seal CIP FC111VS DS=117.2mm Silicone Transparent</v>
      </c>
      <c r="G479" s="3">
        <f>IFERROR(__xludf.DUMMYFUNCTION("""COMPUTED_VALUE"""),1.0)</f>
        <v>1</v>
      </c>
      <c r="H479" s="3" t="str">
        <f>IFERROR(__xludf.DUMMYFUNCTION("""COMPUTED_VALUE"""),"Pieces")</f>
        <v>Pieces</v>
      </c>
      <c r="I479" s="3" t="str">
        <f>IFERROR(__xludf.DUMMYFUNCTION("""COMPUTED_VALUE"""),"121703307 - APPROVED")</f>
        <v>121703307 - APPROVED</v>
      </c>
      <c r="J479" s="3" t="str">
        <f>IFERROR(__xludf.DUMMYFUNCTION("""COMPUTED_VALUE"""),"O-20646-00")</f>
        <v>O-20646-00</v>
      </c>
      <c r="K479" s="3" t="str">
        <f>IFERROR(__xludf.DUMMYFUNCTION("""COMPUTED_VALUE"""),"Approve")</f>
        <v>Approve</v>
      </c>
      <c r="L479" s="3" t="str">
        <f>IFERROR(__xludf.DUMMYFUNCTION("""COMPUTED_VALUE"""),"Normal")</f>
        <v>Normal</v>
      </c>
      <c r="M479" s="3" t="str">
        <f>IFERROR(__xludf.DUMMYFUNCTION("""COMPUTED_VALUE"""),"Non Urgent")</f>
        <v>Non Urgent</v>
      </c>
      <c r="N479" s="3">
        <f>IFERROR(__xludf.DUMMYFUNCTION("""COMPUTED_VALUE"""),46047.876227245375)</f>
        <v>46047.87623</v>
      </c>
    </row>
    <row r="480">
      <c r="A480" s="4">
        <f>IFERROR(__xludf.DUMMYFUNCTION("""COMPUTED_VALUE"""),46047.42031945602)</f>
        <v>46047.42032</v>
      </c>
      <c r="B480" s="3" t="str">
        <f>IFERROR(__xludf.DUMMYFUNCTION("""COMPUTED_VALUE"""),"MFHRO0244")</f>
        <v>MFHRO0244</v>
      </c>
      <c r="C480" s="3" t="str">
        <f>IFERROR(__xludf.DUMMYFUNCTION("""COMPUTED_VALUE"""),"MIn Stok")</f>
        <v>MIn Stok</v>
      </c>
      <c r="D480" s="3" t="str">
        <f>IFERROR(__xludf.DUMMYFUNCTION("""COMPUTED_VALUE"""),"-")</f>
        <v>-</v>
      </c>
      <c r="E480" s="3" t="str">
        <f>IFERROR(__xludf.DUMMYFUNCTION("""COMPUTED_VALUE"""),"Granulasi")</f>
        <v>Granulasi</v>
      </c>
      <c r="F480" s="3" t="str">
        <f>IFERROR(__xludf.DUMMYFUNCTION("""COMPUTED_VALUE"""),"Integrated Granulation Line - Inflatable Seal CIP FC111VS DS=340.2mm Silicone Transparent")</f>
        <v>Integrated Granulation Line - Inflatable Seal CIP FC111VS DS=340.2mm Silicone Transparent</v>
      </c>
      <c r="G480" s="3">
        <f>IFERROR(__xludf.DUMMYFUNCTION("""COMPUTED_VALUE"""),1.0)</f>
        <v>1</v>
      </c>
      <c r="H480" s="3" t="str">
        <f>IFERROR(__xludf.DUMMYFUNCTION("""COMPUTED_VALUE"""),"Pieces")</f>
        <v>Pieces</v>
      </c>
      <c r="I480" s="3" t="str">
        <f>IFERROR(__xludf.DUMMYFUNCTION("""COMPUTED_VALUE"""),"121703307 - APPROVED")</f>
        <v>121703307 - APPROVED</v>
      </c>
      <c r="J480" s="3" t="str">
        <f>IFERROR(__xludf.DUMMYFUNCTION("""COMPUTED_VALUE"""),"O-20645-00")</f>
        <v>O-20645-00</v>
      </c>
      <c r="K480" s="3" t="str">
        <f>IFERROR(__xludf.DUMMYFUNCTION("""COMPUTED_VALUE"""),"Approve")</f>
        <v>Approve</v>
      </c>
      <c r="L480" s="3" t="str">
        <f>IFERROR(__xludf.DUMMYFUNCTION("""COMPUTED_VALUE"""),"Normal")</f>
        <v>Normal</v>
      </c>
      <c r="M480" s="3" t="str">
        <f>IFERROR(__xludf.DUMMYFUNCTION("""COMPUTED_VALUE"""),"Non Urgent")</f>
        <v>Non Urgent</v>
      </c>
      <c r="N480" s="3">
        <f>IFERROR(__xludf.DUMMYFUNCTION("""COMPUTED_VALUE"""),46047.876308969906)</f>
        <v>46047.87631</v>
      </c>
    </row>
    <row r="481">
      <c r="A481" s="4">
        <f>IFERROR(__xludf.DUMMYFUNCTION("""COMPUTED_VALUE"""),46047.42031945602)</f>
        <v>46047.42032</v>
      </c>
      <c r="B481" s="3" t="str">
        <f>IFERROR(__xludf.DUMMYFUNCTION("""COMPUTED_VALUE"""),"MFHRO0245")</f>
        <v>MFHRO0245</v>
      </c>
      <c r="C481" s="3" t="str">
        <f>IFERROR(__xludf.DUMMYFUNCTION("""COMPUTED_VALUE"""),"MIn Stok")</f>
        <v>MIn Stok</v>
      </c>
      <c r="D481" s="3" t="str">
        <f>IFERROR(__xludf.DUMMYFUNCTION("""COMPUTED_VALUE"""),"-")</f>
        <v>-</v>
      </c>
      <c r="E481" s="3" t="str">
        <f>IFERROR(__xludf.DUMMYFUNCTION("""COMPUTED_VALUE"""),"Granulasi")</f>
        <v>Granulasi</v>
      </c>
      <c r="F481" s="3" t="str">
        <f>IFERROR(__xludf.DUMMYFUNCTION("""COMPUTED_VALUE"""),"Integrated Granulation Line - Inflatable Seal Filter Ring ER/ABB 1 Valve MK3 Size 2; GEA; 214261; 1 Pc")</f>
        <v>Integrated Granulation Line - Inflatable Seal Filter Ring ER/ABB 1 Valve MK3 Size 2; GEA; 214261; 1 Pc</v>
      </c>
      <c r="G481" s="3">
        <f>IFERROR(__xludf.DUMMYFUNCTION("""COMPUTED_VALUE"""),1.0)</f>
        <v>1</v>
      </c>
      <c r="H481" s="3" t="str">
        <f>IFERROR(__xludf.DUMMYFUNCTION("""COMPUTED_VALUE"""),"Pieces")</f>
        <v>Pieces</v>
      </c>
      <c r="I481" s="3" t="str">
        <f>IFERROR(__xludf.DUMMYFUNCTION("""COMPUTED_VALUE"""),"121703307 - APPROVED")</f>
        <v>121703307 - APPROVED</v>
      </c>
      <c r="J481" s="3" t="str">
        <f>IFERROR(__xludf.DUMMYFUNCTION("""COMPUTED_VALUE"""),"O-21068-00")</f>
        <v>O-21068-00</v>
      </c>
      <c r="K481" s="3" t="str">
        <f>IFERROR(__xludf.DUMMYFUNCTION("""COMPUTED_VALUE"""),"Approve")</f>
        <v>Approve</v>
      </c>
      <c r="L481" s="3" t="str">
        <f>IFERROR(__xludf.DUMMYFUNCTION("""COMPUTED_VALUE"""),"Normal")</f>
        <v>Normal</v>
      </c>
      <c r="M481" s="3" t="str">
        <f>IFERROR(__xludf.DUMMYFUNCTION("""COMPUTED_VALUE"""),"Non Urgent")</f>
        <v>Non Urgent</v>
      </c>
      <c r="N481" s="3">
        <f>IFERROR(__xludf.DUMMYFUNCTION("""COMPUTED_VALUE"""),46047.87643633102)</f>
        <v>46047.87644</v>
      </c>
    </row>
    <row r="482">
      <c r="A482" s="4">
        <f>IFERROR(__xludf.DUMMYFUNCTION("""COMPUTED_VALUE"""),46047.42031945602)</f>
        <v>46047.42032</v>
      </c>
      <c r="B482" s="3" t="str">
        <f>IFERROR(__xludf.DUMMYFUNCTION("""COMPUTED_VALUE"""),"MFHRO0246")</f>
        <v>MFHRO0246</v>
      </c>
      <c r="C482" s="3" t="str">
        <f>IFERROR(__xludf.DUMMYFUNCTION("""COMPUTED_VALUE"""),"MIn Stok")</f>
        <v>MIn Stok</v>
      </c>
      <c r="D482" s="3" t="str">
        <f>IFERROR(__xludf.DUMMYFUNCTION("""COMPUTED_VALUE"""),"-")</f>
        <v>-</v>
      </c>
      <c r="E482" s="3" t="str">
        <f>IFERROR(__xludf.DUMMYFUNCTION("""COMPUTED_VALUE"""),"Granulasi")</f>
        <v>Granulasi</v>
      </c>
      <c r="F482" s="3" t="str">
        <f>IFERROR(__xludf.DUMMYFUNCTION("""COMPUTED_VALUE"""),"Integrated Granulation Line - Bellow V3 MC DN100 L=292x2 EPDM White; GEA; 179947; 1 Pc")</f>
        <v>Integrated Granulation Line - Bellow V3 MC DN100 L=292x2 EPDM White; GEA; 179947; 1 Pc</v>
      </c>
      <c r="G482" s="3">
        <f>IFERROR(__xludf.DUMMYFUNCTION("""COMPUTED_VALUE"""),1.0)</f>
        <v>1</v>
      </c>
      <c r="H482" s="3" t="str">
        <f>IFERROR(__xludf.DUMMYFUNCTION("""COMPUTED_VALUE"""),"Pieces")</f>
        <v>Pieces</v>
      </c>
      <c r="I482" s="3" t="str">
        <f>IFERROR(__xludf.DUMMYFUNCTION("""COMPUTED_VALUE"""),"121703307 - APPROVED")</f>
        <v>121703307 - APPROVED</v>
      </c>
      <c r="J482" s="3" t="str">
        <f>IFERROR(__xludf.DUMMYFUNCTION("""COMPUTED_VALUE"""),"O-21067-00")</f>
        <v>O-21067-00</v>
      </c>
      <c r="K482" s="3" t="str">
        <f>IFERROR(__xludf.DUMMYFUNCTION("""COMPUTED_VALUE"""),"Approve")</f>
        <v>Approve</v>
      </c>
      <c r="L482" s="3" t="str">
        <f>IFERROR(__xludf.DUMMYFUNCTION("""COMPUTED_VALUE"""),"Normal")</f>
        <v>Normal</v>
      </c>
      <c r="M482" s="3" t="str">
        <f>IFERROR(__xludf.DUMMYFUNCTION("""COMPUTED_VALUE"""),"Non Urgent")</f>
        <v>Non Urgent</v>
      </c>
      <c r="N482" s="3">
        <f>IFERROR(__xludf.DUMMYFUNCTION("""COMPUTED_VALUE"""),46047.87687172454)</f>
        <v>46047.87687</v>
      </c>
    </row>
    <row r="483">
      <c r="A483" s="4">
        <f>IFERROR(__xludf.DUMMYFUNCTION("""COMPUTED_VALUE"""),46047.83255263889)</f>
        <v>46047.83255</v>
      </c>
      <c r="B483" s="3" t="str">
        <f>IFERROR(__xludf.DUMMYFUNCTION("""COMPUTED_VALUE"""),"MFHRO0247")</f>
        <v>MFHRO0247</v>
      </c>
      <c r="C483" s="3" t="str">
        <f>IFERROR(__xludf.DUMMYFUNCTION("""COMPUTED_VALUE"""),"MIn Stok")</f>
        <v>MIn Stok</v>
      </c>
      <c r="D483" s="3" t="str">
        <f>IFERROR(__xludf.DUMMYFUNCTION("""COMPUTED_VALUE"""),"-")</f>
        <v>-</v>
      </c>
      <c r="E483" s="3" t="str">
        <f>IFERROR(__xludf.DUMMYFUNCTION("""COMPUTED_VALUE"""),"Building")</f>
        <v>Building</v>
      </c>
      <c r="F483" s="3" t="str">
        <f>IFERROR(__xludf.DUMMYFUNCTION("""COMPUTED_VALUE"""),"General - Door Sticker T30-X; Austar; -; 1 pc")</f>
        <v>General - Door Sticker T30-X; Austar; -; 1 pc</v>
      </c>
      <c r="G483" s="3">
        <f>IFERROR(__xludf.DUMMYFUNCTION("""COMPUTED_VALUE"""),20.0)</f>
        <v>20</v>
      </c>
      <c r="H483" s="3" t="str">
        <f>IFERROR(__xludf.DUMMYFUNCTION("""COMPUTED_VALUE"""),"Pieces")</f>
        <v>Pieces</v>
      </c>
      <c r="I483" s="3" t="str">
        <f>IFERROR(__xludf.DUMMYFUNCTION("""COMPUTED_VALUE"""),"121703406 - APPROVED")</f>
        <v>121703406 - APPROVED</v>
      </c>
      <c r="J483" s="3" t="str">
        <f>IFERROR(__xludf.DUMMYFUNCTION("""COMPUTED_VALUE"""),"P-20019-00")</f>
        <v>P-20019-00</v>
      </c>
      <c r="K483" s="3" t="str">
        <f>IFERROR(__xludf.DUMMYFUNCTION("""COMPUTED_VALUE"""),"Approve")</f>
        <v>Approve</v>
      </c>
      <c r="L483" s="3" t="str">
        <f>IFERROR(__xludf.DUMMYFUNCTION("""COMPUTED_VALUE"""),"Normal")</f>
        <v>Normal</v>
      </c>
      <c r="M483" s="3" t="str">
        <f>IFERROR(__xludf.DUMMYFUNCTION("""COMPUTED_VALUE"""),"Non Urgent")</f>
        <v>Non Urgent</v>
      </c>
      <c r="N483" s="3">
        <f>IFERROR(__xludf.DUMMYFUNCTION("""COMPUTED_VALUE"""),46047.877010185184)</f>
        <v>46047.87701</v>
      </c>
    </row>
    <row r="484">
      <c r="A484" s="4">
        <f>IFERROR(__xludf.DUMMYFUNCTION("""COMPUTED_VALUE"""),46047.83255263889)</f>
        <v>46047.83255</v>
      </c>
      <c r="B484" s="3" t="str">
        <f>IFERROR(__xludf.DUMMYFUNCTION("""COMPUTED_VALUE"""),"MFHRO0248")</f>
        <v>MFHRO0248</v>
      </c>
      <c r="C484" s="3" t="str">
        <f>IFERROR(__xludf.DUMMYFUNCTION("""COMPUTED_VALUE"""),"MIn Stok")</f>
        <v>MIn Stok</v>
      </c>
      <c r="D484" s="3" t="str">
        <f>IFERROR(__xludf.DUMMYFUNCTION("""COMPUTED_VALUE"""),"-")</f>
        <v>-</v>
      </c>
      <c r="E484" s="3" t="str">
        <f>IFERROR(__xludf.DUMMYFUNCTION("""COMPUTED_VALUE"""),"FD")</f>
        <v>FD</v>
      </c>
      <c r="F484" s="3" t="str">
        <f>IFERROR(__xludf.DUMMYFUNCTION("""COMPUTED_VALUE"""),"General - Diaphragm Grade ER SQUARE Type A EPDM Diaphragm Screw; Saunders; DP008ER; 1 Pc")</f>
        <v>General - Diaphragm Grade ER SQUARE Type A EPDM Diaphragm Screw; Saunders; DP008ER; 1 Pc</v>
      </c>
      <c r="G484" s="3">
        <f>IFERROR(__xludf.DUMMYFUNCTION("""COMPUTED_VALUE"""),3.0)</f>
        <v>3</v>
      </c>
      <c r="H484" s="3" t="str">
        <f>IFERROR(__xludf.DUMMYFUNCTION("""COMPUTED_VALUE"""),"Pieces")</f>
        <v>Pieces</v>
      </c>
      <c r="I484" s="3" t="str">
        <f>IFERROR(__xludf.DUMMYFUNCTION("""COMPUTED_VALUE"""),"121703434 - APPROVED")</f>
        <v>121703434 - APPROVED</v>
      </c>
      <c r="J484" s="3" t="str">
        <f>IFERROR(__xludf.DUMMYFUNCTION("""COMPUTED_VALUE"""),"O-20496-00")</f>
        <v>O-20496-00</v>
      </c>
      <c r="K484" s="3" t="str">
        <f>IFERROR(__xludf.DUMMYFUNCTION("""COMPUTED_VALUE"""),"Approve")</f>
        <v>Approve</v>
      </c>
      <c r="L484" s="3" t="str">
        <f>IFERROR(__xludf.DUMMYFUNCTION("""COMPUTED_VALUE"""),"Normal")</f>
        <v>Normal</v>
      </c>
      <c r="M484" s="3" t="str">
        <f>IFERROR(__xludf.DUMMYFUNCTION("""COMPUTED_VALUE"""),"Non Urgent")</f>
        <v>Non Urgent</v>
      </c>
      <c r="N484" s="3">
        <f>IFERROR(__xludf.DUMMYFUNCTION("""COMPUTED_VALUE"""),46047.87711084491)</f>
        <v>46047.87711</v>
      </c>
    </row>
    <row r="485">
      <c r="A485" s="4">
        <f>IFERROR(__xludf.DUMMYFUNCTION("""COMPUTED_VALUE"""),46047.83255263889)</f>
        <v>46047.83255</v>
      </c>
      <c r="B485" s="3" t="str">
        <f>IFERROR(__xludf.DUMMYFUNCTION("""COMPUTED_VALUE"""),"MFHRO0249")</f>
        <v>MFHRO0249</v>
      </c>
      <c r="C485" s="3" t="str">
        <f>IFERROR(__xludf.DUMMYFUNCTION("""COMPUTED_VALUE"""),"MIn Stok")</f>
        <v>MIn Stok</v>
      </c>
      <c r="D485" s="3" t="str">
        <f>IFERROR(__xludf.DUMMYFUNCTION("""COMPUTED_VALUE"""),"-")</f>
        <v>-</v>
      </c>
      <c r="E485" s="3" t="str">
        <f>IFERROR(__xludf.DUMMYFUNCTION("""COMPUTED_VALUE"""),"Autoclave")</f>
        <v>Autoclave</v>
      </c>
      <c r="F485" s="3" t="str">
        <f>IFERROR(__xludf.DUMMYFUNCTION("""COMPUTED_VALUE"""),"Autoclave Service NA2247AU - Pressure Transducer MOD. PBMH 24; Fedegari; CD230063; 1 Pc")</f>
        <v>Autoclave Service NA2247AU - Pressure Transducer MOD. PBMH 24; Fedegari; CD230063; 1 Pc</v>
      </c>
      <c r="G485" s="3">
        <f>IFERROR(__xludf.DUMMYFUNCTION("""COMPUTED_VALUE"""),1.0)</f>
        <v>1</v>
      </c>
      <c r="H485" s="3" t="str">
        <f>IFERROR(__xludf.DUMMYFUNCTION("""COMPUTED_VALUE"""),"Pieces")</f>
        <v>Pieces</v>
      </c>
      <c r="I485" s="3" t="str">
        <f>IFERROR(__xludf.DUMMYFUNCTION("""COMPUTED_VALUE"""),"121703435 - APPROVED")</f>
        <v>121703435 - APPROVED</v>
      </c>
      <c r="J485" s="3" t="str">
        <f>IFERROR(__xludf.DUMMYFUNCTION("""COMPUTED_VALUE"""),"O-53441-00")</f>
        <v>O-53441-00</v>
      </c>
      <c r="K485" s="3" t="str">
        <f>IFERROR(__xludf.DUMMYFUNCTION("""COMPUTED_VALUE"""),"Approve")</f>
        <v>Approve</v>
      </c>
      <c r="L485" s="3" t="str">
        <f>IFERROR(__xludf.DUMMYFUNCTION("""COMPUTED_VALUE"""),"Normal")</f>
        <v>Normal</v>
      </c>
      <c r="M485" s="3" t="str">
        <f>IFERROR(__xludf.DUMMYFUNCTION("""COMPUTED_VALUE"""),"Non Urgent")</f>
        <v>Non Urgent</v>
      </c>
      <c r="N485" s="3">
        <f>IFERROR(__xludf.DUMMYFUNCTION("""COMPUTED_VALUE"""),46047.87721039352)</f>
        <v>46047.87721</v>
      </c>
    </row>
    <row r="486">
      <c r="A486" s="4">
        <f>IFERROR(__xludf.DUMMYFUNCTION("""COMPUTED_VALUE"""),46047.83255263889)</f>
        <v>46047.83255</v>
      </c>
      <c r="B486" s="3" t="str">
        <f>IFERROR(__xludf.DUMMYFUNCTION("""COMPUTED_VALUE"""),"MFHRO0250")</f>
        <v>MFHRO0250</v>
      </c>
      <c r="C486" s="3" t="str">
        <f>IFERROR(__xludf.DUMMYFUNCTION("""COMPUTED_VALUE"""),"MIn Stok")</f>
        <v>MIn Stok</v>
      </c>
      <c r="D486" s="3" t="str">
        <f>IFERROR(__xludf.DUMMYFUNCTION("""COMPUTED_VALUE"""),"-")</f>
        <v>-</v>
      </c>
      <c r="E486" s="3" t="str">
        <f>IFERROR(__xludf.DUMMYFUNCTION("""COMPUTED_VALUE"""),"Autoclave")</f>
        <v>Autoclave</v>
      </c>
      <c r="F486" s="3" t="str">
        <f>IFERROR(__xludf.DUMMYFUNCTION("""COMPUTED_VALUE"""),"Autoclave FVA2/A1 - SILICONE GASKET FO-5 900X1300; Fedegari; PP600076; 1 Pc")</f>
        <v>Autoclave FVA2/A1 - SILICONE GASKET FO-5 900X1300; Fedegari; PP600076; 1 Pc</v>
      </c>
      <c r="G486" s="3">
        <f>IFERROR(__xludf.DUMMYFUNCTION("""COMPUTED_VALUE"""),1.0)</f>
        <v>1</v>
      </c>
      <c r="H486" s="3" t="str">
        <f>IFERROR(__xludf.DUMMYFUNCTION("""COMPUTED_VALUE"""),"Pieces")</f>
        <v>Pieces</v>
      </c>
      <c r="I486" s="3" t="str">
        <f>IFERROR(__xludf.DUMMYFUNCTION("""COMPUTED_VALUE"""),"121703435 - APPROVED")</f>
        <v>121703435 - APPROVED</v>
      </c>
      <c r="J486" s="3" t="str">
        <f>IFERROR(__xludf.DUMMYFUNCTION("""COMPUTED_VALUE"""),"O-20982-00")</f>
        <v>O-20982-00</v>
      </c>
      <c r="K486" s="3" t="str">
        <f>IFERROR(__xludf.DUMMYFUNCTION("""COMPUTED_VALUE"""),"Approve")</f>
        <v>Approve</v>
      </c>
      <c r="L486" s="3" t="str">
        <f>IFERROR(__xludf.DUMMYFUNCTION("""COMPUTED_VALUE"""),"Normal")</f>
        <v>Normal</v>
      </c>
      <c r="M486" s="3" t="str">
        <f>IFERROR(__xludf.DUMMYFUNCTION("""COMPUTED_VALUE"""),"Non Urgent")</f>
        <v>Non Urgent</v>
      </c>
      <c r="N486" s="3">
        <f>IFERROR(__xludf.DUMMYFUNCTION("""COMPUTED_VALUE"""),46047.877314722224)</f>
        <v>46047.87731</v>
      </c>
    </row>
    <row r="487">
      <c r="A487" s="4">
        <f>IFERROR(__xludf.DUMMYFUNCTION("""COMPUTED_VALUE"""),46047.83255263889)</f>
        <v>46047.83255</v>
      </c>
      <c r="B487" s="3" t="str">
        <f>IFERROR(__xludf.DUMMYFUNCTION("""COMPUTED_VALUE"""),"MFHRO0251")</f>
        <v>MFHRO0251</v>
      </c>
      <c r="C487" s="3" t="str">
        <f>IFERROR(__xludf.DUMMYFUNCTION("""COMPUTED_VALUE"""),"MIn Stok")</f>
        <v>MIn Stok</v>
      </c>
      <c r="D487" s="3" t="str">
        <f>IFERROR(__xludf.DUMMYFUNCTION("""COMPUTED_VALUE"""),"-")</f>
        <v>-</v>
      </c>
      <c r="E487" s="3" t="str">
        <f>IFERROR(__xludf.DUMMYFUNCTION("""COMPUTED_VALUE"""),"Autoclave")</f>
        <v>Autoclave</v>
      </c>
      <c r="F487" s="3" t="str">
        <f>IFERROR(__xludf.DUMMYFUNCTION("""COMPUTED_VALUE"""),"Autoclave Service NA2247AU - Pressure Switch Alco Controls PS3-AJR 0.8-1 bar Assy; Fedegari; GP00045; 1 Pc")</f>
        <v>Autoclave Service NA2247AU - Pressure Switch Alco Controls PS3-AJR 0.8-1 bar Assy; Fedegari; GP00045; 1 Pc</v>
      </c>
      <c r="G487" s="3">
        <f>IFERROR(__xludf.DUMMYFUNCTION("""COMPUTED_VALUE"""),1.0)</f>
        <v>1</v>
      </c>
      <c r="H487" s="3" t="str">
        <f>IFERROR(__xludf.DUMMYFUNCTION("""COMPUTED_VALUE"""),"Pieces")</f>
        <v>Pieces</v>
      </c>
      <c r="I487" s="3" t="str">
        <f>IFERROR(__xludf.DUMMYFUNCTION("""COMPUTED_VALUE"""),"121703437 - APPROVED")</f>
        <v>121703437 - APPROVED</v>
      </c>
      <c r="J487" s="3" t="str">
        <f>IFERROR(__xludf.DUMMYFUNCTION("""COMPUTED_VALUE"""),"O-53442-00")</f>
        <v>O-53442-00</v>
      </c>
      <c r="K487" s="3" t="str">
        <f>IFERROR(__xludf.DUMMYFUNCTION("""COMPUTED_VALUE"""),"Approve")</f>
        <v>Approve</v>
      </c>
      <c r="L487" s="3" t="str">
        <f>IFERROR(__xludf.DUMMYFUNCTION("""COMPUTED_VALUE"""),"Normal")</f>
        <v>Normal</v>
      </c>
      <c r="M487" s="3" t="str">
        <f>IFERROR(__xludf.DUMMYFUNCTION("""COMPUTED_VALUE"""),"Non Urgent")</f>
        <v>Non Urgent</v>
      </c>
      <c r="N487" s="3">
        <f>IFERROR(__xludf.DUMMYFUNCTION("""COMPUTED_VALUE"""),46047.87740561343)</f>
        <v>46047.87741</v>
      </c>
    </row>
    <row r="488">
      <c r="A488" s="4">
        <f>IFERROR(__xludf.DUMMYFUNCTION("""COMPUTED_VALUE"""),46047.83255263889)</f>
        <v>46047.83255</v>
      </c>
      <c r="B488" s="3" t="str">
        <f>IFERROR(__xludf.DUMMYFUNCTION("""COMPUTED_VALUE"""),"MFHRO0252")</f>
        <v>MFHRO0252</v>
      </c>
      <c r="C488" s="3" t="str">
        <f>IFERROR(__xludf.DUMMYFUNCTION("""COMPUTED_VALUE"""),"MIn Stok")</f>
        <v>MIn Stok</v>
      </c>
      <c r="D488" s="3" t="str">
        <f>IFERROR(__xludf.DUMMYFUNCTION("""COMPUTED_VALUE"""),"-")</f>
        <v>-</v>
      </c>
      <c r="E488" s="3" t="str">
        <f>IFERROR(__xludf.DUMMYFUNCTION("""COMPUTED_VALUE"""),"Autoclave")</f>
        <v>Autoclave</v>
      </c>
      <c r="F488" s="3" t="str">
        <f>IFERROR(__xludf.DUMMYFUNCTION("""COMPUTED_VALUE"""),"Autoclave Service NA2247AU - O ring 15.47x3.53; Fedegari; CC150170; 1 Pc")</f>
        <v>Autoclave Service NA2247AU - O ring 15.47x3.53; Fedegari; CC150170; 1 Pc</v>
      </c>
      <c r="G488" s="3">
        <f>IFERROR(__xludf.DUMMYFUNCTION("""COMPUTED_VALUE"""),5.0)</f>
        <v>5</v>
      </c>
      <c r="H488" s="3" t="str">
        <f>IFERROR(__xludf.DUMMYFUNCTION("""COMPUTED_VALUE"""),"Pieces")</f>
        <v>Pieces</v>
      </c>
      <c r="I488" s="3" t="str">
        <f>IFERROR(__xludf.DUMMYFUNCTION("""COMPUTED_VALUE"""),"121703437 - APPROVED")</f>
        <v>121703437 - APPROVED</v>
      </c>
      <c r="J488" s="3" t="str">
        <f>IFERROR(__xludf.DUMMYFUNCTION("""COMPUTED_VALUE"""),"O-21124-00")</f>
        <v>O-21124-00</v>
      </c>
      <c r="K488" s="3" t="str">
        <f>IFERROR(__xludf.DUMMYFUNCTION("""COMPUTED_VALUE"""),"Approve")</f>
        <v>Approve</v>
      </c>
      <c r="L488" s="3" t="str">
        <f>IFERROR(__xludf.DUMMYFUNCTION("""COMPUTED_VALUE"""),"Normal")</f>
        <v>Normal</v>
      </c>
      <c r="M488" s="3" t="str">
        <f>IFERROR(__xludf.DUMMYFUNCTION("""COMPUTED_VALUE"""),"Non Urgent")</f>
        <v>Non Urgent</v>
      </c>
      <c r="N488" s="3">
        <f>IFERROR(__xludf.DUMMYFUNCTION("""COMPUTED_VALUE"""),46047.877495196764)</f>
        <v>46047.8775</v>
      </c>
    </row>
    <row r="489">
      <c r="A489" s="4">
        <f>IFERROR(__xludf.DUMMYFUNCTION("""COMPUTED_VALUE"""),46047.83255263889)</f>
        <v>46047.83255</v>
      </c>
      <c r="B489" s="3" t="str">
        <f>IFERROR(__xludf.DUMMYFUNCTION("""COMPUTED_VALUE"""),"MFHRO0253")</f>
        <v>MFHRO0253</v>
      </c>
      <c r="C489" s="3" t="str">
        <f>IFERROR(__xludf.DUMMYFUNCTION("""COMPUTED_VALUE"""),"MIn Stok")</f>
        <v>MIn Stok</v>
      </c>
      <c r="D489" s="3" t="str">
        <f>IFERROR(__xludf.DUMMYFUNCTION("""COMPUTED_VALUE"""),"-")</f>
        <v>-</v>
      </c>
      <c r="E489" s="3" t="str">
        <f>IFERROR(__xludf.DUMMYFUNCTION("""COMPUTED_VALUE"""),"Autoclave")</f>
        <v>Autoclave</v>
      </c>
      <c r="F489" s="3" t="str">
        <f>IFERROR(__xludf.DUMMYFUNCTION("""COMPUTED_VALUE"""),"Autoclave Service NA2247AU - O ring 34.52x3.53; Fedegari; CC150171; 1 Pc")</f>
        <v>Autoclave Service NA2247AU - O ring 34.52x3.53; Fedegari; CC150171; 1 Pc</v>
      </c>
      <c r="G489" s="3">
        <f>IFERROR(__xludf.DUMMYFUNCTION("""COMPUTED_VALUE"""),5.0)</f>
        <v>5</v>
      </c>
      <c r="H489" s="3" t="str">
        <f>IFERROR(__xludf.DUMMYFUNCTION("""COMPUTED_VALUE"""),"Pieces")</f>
        <v>Pieces</v>
      </c>
      <c r="I489" s="3" t="str">
        <f>IFERROR(__xludf.DUMMYFUNCTION("""COMPUTED_VALUE"""),"121703437 - APPROVED")</f>
        <v>121703437 - APPROVED</v>
      </c>
      <c r="J489" s="3" t="str">
        <f>IFERROR(__xludf.DUMMYFUNCTION("""COMPUTED_VALUE"""),"O-21125-00")</f>
        <v>O-21125-00</v>
      </c>
      <c r="K489" s="3" t="str">
        <f>IFERROR(__xludf.DUMMYFUNCTION("""COMPUTED_VALUE"""),"Approve")</f>
        <v>Approve</v>
      </c>
      <c r="L489" s="3" t="str">
        <f>IFERROR(__xludf.DUMMYFUNCTION("""COMPUTED_VALUE"""),"Normal")</f>
        <v>Normal</v>
      </c>
      <c r="M489" s="3" t="str">
        <f>IFERROR(__xludf.DUMMYFUNCTION("""COMPUTED_VALUE"""),"Non Urgent")</f>
        <v>Non Urgent</v>
      </c>
      <c r="N489" s="3">
        <f>IFERROR(__xludf.DUMMYFUNCTION("""COMPUTED_VALUE"""),46047.87764648148)</f>
        <v>46047.87765</v>
      </c>
    </row>
    <row r="490">
      <c r="A490" s="4">
        <f>IFERROR(__xludf.DUMMYFUNCTION("""COMPUTED_VALUE"""),46047.83255263889)</f>
        <v>46047.83255</v>
      </c>
      <c r="B490" s="3" t="str">
        <f>IFERROR(__xludf.DUMMYFUNCTION("""COMPUTED_VALUE"""),"MFHRO0254")</f>
        <v>MFHRO0254</v>
      </c>
      <c r="C490" s="3" t="str">
        <f>IFERROR(__xludf.DUMMYFUNCTION("""COMPUTED_VALUE"""),"MIn Stok")</f>
        <v>MIn Stok</v>
      </c>
      <c r="D490" s="3" t="str">
        <f>IFERROR(__xludf.DUMMYFUNCTION("""COMPUTED_VALUE"""),"-")</f>
        <v>-</v>
      </c>
      <c r="E490" s="3" t="str">
        <f>IFERROR(__xludf.DUMMYFUNCTION("""COMPUTED_VALUE"""),"cRABS")</f>
        <v>cRABS</v>
      </c>
      <c r="F490" s="3" t="str">
        <f>IFERROR(__xludf.DUMMYFUNCTION("""COMPUTED_VALUE"""),"cRABS Z064CR - DOOR SAFETY SWITCHES ; SCHMERSAL ; MAGNET BPS-260; ; 14061; 1 Pc")</f>
        <v>cRABS Z064CR - DOOR SAFETY SWITCHES ; SCHMERSAL ; MAGNET BPS-260; ; 14061; 1 Pc</v>
      </c>
      <c r="G490" s="3">
        <f>IFERROR(__xludf.DUMMYFUNCTION("""COMPUTED_VALUE"""),1.0)</f>
        <v>1</v>
      </c>
      <c r="H490" s="3" t="str">
        <f>IFERROR(__xludf.DUMMYFUNCTION("""COMPUTED_VALUE"""),"Pieces")</f>
        <v>Pieces</v>
      </c>
      <c r="I490" s="3" t="str">
        <f>IFERROR(__xludf.DUMMYFUNCTION("""COMPUTED_VALUE"""),"121703438 - APPROVED")</f>
        <v>121703438 - APPROVED</v>
      </c>
      <c r="J490" s="3" t="str">
        <f>IFERROR(__xludf.DUMMYFUNCTION("""COMPUTED_VALUE"""),"O-53466-00")</f>
        <v>O-53466-00</v>
      </c>
      <c r="K490" s="3" t="str">
        <f>IFERROR(__xludf.DUMMYFUNCTION("""COMPUTED_VALUE"""),"Approve")</f>
        <v>Approve</v>
      </c>
      <c r="L490" s="3" t="str">
        <f>IFERROR(__xludf.DUMMYFUNCTION("""COMPUTED_VALUE"""),"Normal")</f>
        <v>Normal</v>
      </c>
      <c r="M490" s="3" t="str">
        <f>IFERROR(__xludf.DUMMYFUNCTION("""COMPUTED_VALUE"""),"Non Urgent")</f>
        <v>Non Urgent</v>
      </c>
      <c r="N490" s="3">
        <f>IFERROR(__xludf.DUMMYFUNCTION("""COMPUTED_VALUE"""),46047.8777390162)</f>
        <v>46047.87774</v>
      </c>
    </row>
    <row r="491">
      <c r="A491" s="4">
        <f>IFERROR(__xludf.DUMMYFUNCTION("""COMPUTED_VALUE"""),46047.83255263889)</f>
        <v>46047.83255</v>
      </c>
      <c r="B491" s="3" t="str">
        <f>IFERROR(__xludf.DUMMYFUNCTION("""COMPUTED_VALUE"""),"MFHRO0255")</f>
        <v>MFHRO0255</v>
      </c>
      <c r="C491" s="3" t="str">
        <f>IFERROR(__xludf.DUMMYFUNCTION("""COMPUTED_VALUE"""),"MIn Stok")</f>
        <v>MIn Stok</v>
      </c>
      <c r="D491" s="3" t="str">
        <f>IFERROR(__xludf.DUMMYFUNCTION("""COMPUTED_VALUE"""),"-")</f>
        <v>-</v>
      </c>
      <c r="E491" s="3" t="str">
        <f>IFERROR(__xludf.DUMMYFUNCTION("""COMPUTED_VALUE"""),"Washing")</f>
        <v>Washing</v>
      </c>
      <c r="F491" s="3" t="str">
        <f>IFERROR(__xludf.DUMMYFUNCTION("""COMPUTED_VALUE"""),"Washing RAR4 - Needle PW, OD.15mmx123mm, Material SS 319; ; ;")</f>
        <v>Washing RAR4 - Needle PW, OD.15mmx123mm, Material SS 319; ; ;</v>
      </c>
      <c r="G491" s="3">
        <f>IFERROR(__xludf.DUMMYFUNCTION("""COMPUTED_VALUE"""),1.0)</f>
        <v>1</v>
      </c>
      <c r="H491" s="3" t="str">
        <f>IFERROR(__xludf.DUMMYFUNCTION("""COMPUTED_VALUE"""),"Pieces")</f>
        <v>Pieces</v>
      </c>
      <c r="I491" s="3" t="str">
        <f>IFERROR(__xludf.DUMMYFUNCTION("""COMPUTED_VALUE"""),"121703439 - APPROVED")</f>
        <v>121703439 - APPROVED</v>
      </c>
      <c r="J491" s="3" t="str">
        <f>IFERROR(__xludf.DUMMYFUNCTION("""COMPUTED_VALUE"""),"O-19372-00")</f>
        <v>O-19372-00</v>
      </c>
      <c r="K491" s="3" t="str">
        <f>IFERROR(__xludf.DUMMYFUNCTION("""COMPUTED_VALUE"""),"Approve")</f>
        <v>Approve</v>
      </c>
      <c r="L491" s="3" t="str">
        <f>IFERROR(__xludf.DUMMYFUNCTION("""COMPUTED_VALUE"""),"Normal")</f>
        <v>Normal</v>
      </c>
      <c r="M491" s="3" t="str">
        <f>IFERROR(__xludf.DUMMYFUNCTION("""COMPUTED_VALUE"""),"Non Urgent")</f>
        <v>Non Urgent</v>
      </c>
      <c r="N491" s="3">
        <f>IFERROR(__xludf.DUMMYFUNCTION("""COMPUTED_VALUE"""),46047.87865111111)</f>
        <v>46047.87865</v>
      </c>
    </row>
    <row r="492">
      <c r="A492" s="4">
        <f>IFERROR(__xludf.DUMMYFUNCTION("""COMPUTED_VALUE"""),46047.83255263889)</f>
        <v>46047.83255</v>
      </c>
      <c r="B492" s="3" t="str">
        <f>IFERROR(__xludf.DUMMYFUNCTION("""COMPUTED_VALUE"""),"MFHRO0256")</f>
        <v>MFHRO0256</v>
      </c>
      <c r="C492" s="3" t="str">
        <f>IFERROR(__xludf.DUMMYFUNCTION("""COMPUTED_VALUE"""),"MIn Stok")</f>
        <v>MIn Stok</v>
      </c>
      <c r="D492" s="3" t="str">
        <f>IFERROR(__xludf.DUMMYFUNCTION("""COMPUTED_VALUE"""),"-")</f>
        <v>-</v>
      </c>
      <c r="E492" s="3" t="str">
        <f>IFERROR(__xludf.DUMMYFUNCTION("""COMPUTED_VALUE"""),"Hepa")</f>
        <v>Hepa</v>
      </c>
      <c r="F492" s="3" t="str">
        <f>IFERROR(__xludf.DUMMYFUNCTION("""COMPUTED_VALUE"""),"HB Series (H13) :592x592x292mm Minimum efficiency : 99,99% on 0,3 micron Rec.final resistance:50; IAF; ;")</f>
        <v>HB Series (H13) :592x592x292mm Minimum efficiency : 99,99% on 0,3 micron Rec.final resistance:50; IAF; ;</v>
      </c>
      <c r="G492" s="3">
        <f>IFERROR(__xludf.DUMMYFUNCTION("""COMPUTED_VALUE"""),6.0)</f>
        <v>6</v>
      </c>
      <c r="H492" s="3" t="str">
        <f>IFERROR(__xludf.DUMMYFUNCTION("""COMPUTED_VALUE"""),"Pieces")</f>
        <v>Pieces</v>
      </c>
      <c r="I492" s="3" t="str">
        <f>IFERROR(__xludf.DUMMYFUNCTION("""COMPUTED_VALUE"""),"121703440 - APPROVED")</f>
        <v>121703440 - APPROVED</v>
      </c>
      <c r="J492" s="3" t="str">
        <f>IFERROR(__xludf.DUMMYFUNCTION("""COMPUTED_VALUE"""),"P-19206-00")</f>
        <v>P-19206-00</v>
      </c>
      <c r="K492" s="3" t="str">
        <f>IFERROR(__xludf.DUMMYFUNCTION("""COMPUTED_VALUE"""),"Approve")</f>
        <v>Approve</v>
      </c>
      <c r="L492" s="3" t="str">
        <f>IFERROR(__xludf.DUMMYFUNCTION("""COMPUTED_VALUE"""),"Normal")</f>
        <v>Normal</v>
      </c>
      <c r="M492" s="3" t="str">
        <f>IFERROR(__xludf.DUMMYFUNCTION("""COMPUTED_VALUE"""),"Non Urgent")</f>
        <v>Non Urgent</v>
      </c>
      <c r="N492" s="3">
        <f>IFERROR(__xludf.DUMMYFUNCTION("""COMPUTED_VALUE"""),46047.878765636575)</f>
        <v>46047.87877</v>
      </c>
    </row>
    <row r="493">
      <c r="A493" s="4">
        <f>IFERROR(__xludf.DUMMYFUNCTION("""COMPUTED_VALUE"""),46047.83255263889)</f>
        <v>46047.83255</v>
      </c>
      <c r="B493" s="3" t="str">
        <f>IFERROR(__xludf.DUMMYFUNCTION("""COMPUTED_VALUE"""),"MFHRO0257")</f>
        <v>MFHRO0257</v>
      </c>
      <c r="C493" s="3" t="str">
        <f>IFERROR(__xludf.DUMMYFUNCTION("""COMPUTED_VALUE"""),"MIn Stok")</f>
        <v>MIn Stok</v>
      </c>
      <c r="D493" s="3" t="str">
        <f>IFERROR(__xludf.DUMMYFUNCTION("""COMPUTED_VALUE"""),"-")</f>
        <v>-</v>
      </c>
      <c r="E493" s="3" t="str">
        <f>IFERROR(__xludf.DUMMYFUNCTION("""COMPUTED_VALUE"""),"Hepa")</f>
        <v>Hepa</v>
      </c>
      <c r="F493" s="3" t="str">
        <f>IFERROR(__xludf.DUMMYFUNCTION("""COMPUTED_VALUE"""),"General - IAF HB Series (H13) Minimum eff.: 99.99% on 0.3 micron, Size: 305 x 305 x 292mm; IAF; -; 1 pc")</f>
        <v>General - IAF HB Series (H13) Minimum eff.: 99.99% on 0.3 micron, Size: 305 x 305 x 292mm; IAF; -; 1 pc</v>
      </c>
      <c r="G493" s="3">
        <f>IFERROR(__xludf.DUMMYFUNCTION("""COMPUTED_VALUE"""),1.0)</f>
        <v>1</v>
      </c>
      <c r="H493" s="3" t="str">
        <f>IFERROR(__xludf.DUMMYFUNCTION("""COMPUTED_VALUE"""),"Pieces")</f>
        <v>Pieces</v>
      </c>
      <c r="I493" s="3" t="str">
        <f>IFERROR(__xludf.DUMMYFUNCTION("""COMPUTED_VALUE"""),"121703441 - APPROVED")</f>
        <v>121703441 - APPROVED</v>
      </c>
      <c r="J493" s="3" t="str">
        <f>IFERROR(__xludf.DUMMYFUNCTION("""COMPUTED_VALUE"""),"P-13787-00")</f>
        <v>P-13787-00</v>
      </c>
      <c r="K493" s="3" t="str">
        <f>IFERROR(__xludf.DUMMYFUNCTION("""COMPUTED_VALUE"""),"Approve")</f>
        <v>Approve</v>
      </c>
      <c r="L493" s="3" t="str">
        <f>IFERROR(__xludf.DUMMYFUNCTION("""COMPUTED_VALUE"""),"Normal")</f>
        <v>Normal</v>
      </c>
      <c r="M493" s="3" t="str">
        <f>IFERROR(__xludf.DUMMYFUNCTION("""COMPUTED_VALUE"""),"Non Urgent")</f>
        <v>Non Urgent</v>
      </c>
      <c r="N493" s="3">
        <f>IFERROR(__xludf.DUMMYFUNCTION("""COMPUTED_VALUE"""),46047.878867453706)</f>
        <v>46047.87887</v>
      </c>
    </row>
    <row r="494">
      <c r="A494" s="4">
        <f>IFERROR(__xludf.DUMMYFUNCTION("""COMPUTED_VALUE"""),46047.83255263889)</f>
        <v>46047.83255</v>
      </c>
      <c r="B494" s="3" t="str">
        <f>IFERROR(__xludf.DUMMYFUNCTION("""COMPUTED_VALUE"""),"MFHRO0258")</f>
        <v>MFHRO0258</v>
      </c>
      <c r="C494" s="3" t="str">
        <f>IFERROR(__xludf.DUMMYFUNCTION("""COMPUTED_VALUE"""),"MIn Stok")</f>
        <v>MIn Stok</v>
      </c>
      <c r="D494" s="3" t="str">
        <f>IFERROR(__xludf.DUMMYFUNCTION("""COMPUTED_VALUE"""),"-")</f>
        <v>-</v>
      </c>
      <c r="E494" s="3" t="str">
        <f>IFERROR(__xludf.DUMMYFUNCTION("""COMPUTED_VALUE"""),"FD")</f>
        <v>FD</v>
      </c>
      <c r="F494" s="3" t="str">
        <f>IFERROR(__xludf.DUMMYFUNCTION("""COMPUTED_VALUE"""),"Freeze Dryer MBE1207 - Mechanical Positioner Switch 50-0406-12610-532 P/n: EB14-00072; BRAY; ;")</f>
        <v>Freeze Dryer MBE1207 - Mechanical Positioner Switch 50-0406-12610-532 P/n: EB14-00072; BRAY; ;</v>
      </c>
      <c r="G494" s="3">
        <f>IFERROR(__xludf.DUMMYFUNCTION("""COMPUTED_VALUE"""),2.0)</f>
        <v>2</v>
      </c>
      <c r="H494" s="3" t="str">
        <f>IFERROR(__xludf.DUMMYFUNCTION("""COMPUTED_VALUE"""),"Pieces")</f>
        <v>Pieces</v>
      </c>
      <c r="I494" s="3" t="str">
        <f>IFERROR(__xludf.DUMMYFUNCTION("""COMPUTED_VALUE"""),"121703442 - APPROVED")</f>
        <v>121703442 - APPROVED</v>
      </c>
      <c r="J494" s="3" t="str">
        <f>IFERROR(__xludf.DUMMYFUNCTION("""COMPUTED_VALUE"""),"O-52841-00")</f>
        <v>O-52841-00</v>
      </c>
      <c r="K494" s="3" t="str">
        <f>IFERROR(__xludf.DUMMYFUNCTION("""COMPUTED_VALUE"""),"Approve")</f>
        <v>Approve</v>
      </c>
      <c r="L494" s="3" t="str">
        <f>IFERROR(__xludf.DUMMYFUNCTION("""COMPUTED_VALUE"""),"Normal")</f>
        <v>Normal</v>
      </c>
      <c r="M494" s="3" t="str">
        <f>IFERROR(__xludf.DUMMYFUNCTION("""COMPUTED_VALUE"""),"Non Urgent")</f>
        <v>Non Urgent</v>
      </c>
      <c r="N494" s="3">
        <f>IFERROR(__xludf.DUMMYFUNCTION("""COMPUTED_VALUE"""),46047.87908853009)</f>
        <v>46047.87909</v>
      </c>
    </row>
    <row r="495">
      <c r="A495" s="4">
        <f>IFERROR(__xludf.DUMMYFUNCTION("""COMPUTED_VALUE"""),46047.83255263889)</f>
        <v>46047.83255</v>
      </c>
      <c r="B495" s="3" t="str">
        <f>IFERROR(__xludf.DUMMYFUNCTION("""COMPUTED_VALUE"""),"MFHRO0259")</f>
        <v>MFHRO0259</v>
      </c>
      <c r="C495" s="3" t="str">
        <f>IFERROR(__xludf.DUMMYFUNCTION("""COMPUTED_VALUE"""),"MIn Stok")</f>
        <v>MIn Stok</v>
      </c>
      <c r="D495" s="3" t="str">
        <f>IFERROR(__xludf.DUMMYFUNCTION("""COMPUTED_VALUE"""),"-")</f>
        <v>-</v>
      </c>
      <c r="E495" s="3" t="str">
        <f>IFERROR(__xludf.DUMMYFUNCTION("""COMPUTED_VALUE"""),"Washing")</f>
        <v>Washing</v>
      </c>
      <c r="F495" s="3" t="str">
        <f>IFERROR(__xludf.DUMMYFUNCTION("""COMPUTED_VALUE"""),"Washing RAR4 - Steel Ball / Gotri 2.5mm; -; -; 1 pck = 100pc")</f>
        <v>Washing RAR4 - Steel Ball / Gotri 2.5mm; -; -; 1 pck = 100pc</v>
      </c>
      <c r="G495" s="3">
        <f>IFERROR(__xludf.DUMMYFUNCTION("""COMPUTED_VALUE"""),1.0)</f>
        <v>1</v>
      </c>
      <c r="H495" s="3" t="str">
        <f>IFERROR(__xludf.DUMMYFUNCTION("""COMPUTED_VALUE"""),"Pack")</f>
        <v>Pack</v>
      </c>
      <c r="I495" s="3" t="str">
        <f>IFERROR(__xludf.DUMMYFUNCTION("""COMPUTED_VALUE"""),"121703457 - APPROVED")</f>
        <v>121703457 - APPROVED</v>
      </c>
      <c r="J495" s="3" t="str">
        <f>IFERROR(__xludf.DUMMYFUNCTION("""COMPUTED_VALUE"""),"O-21032-00")</f>
        <v>O-21032-00</v>
      </c>
      <c r="K495" s="3" t="str">
        <f>IFERROR(__xludf.DUMMYFUNCTION("""COMPUTED_VALUE"""),"Approve")</f>
        <v>Approve</v>
      </c>
      <c r="L495" s="3" t="str">
        <f>IFERROR(__xludf.DUMMYFUNCTION("""COMPUTED_VALUE"""),"Normal")</f>
        <v>Normal</v>
      </c>
      <c r="M495" s="3" t="str">
        <f>IFERROR(__xludf.DUMMYFUNCTION("""COMPUTED_VALUE"""),"Non Urgent")</f>
        <v>Non Urgent</v>
      </c>
      <c r="N495" s="3">
        <f>IFERROR(__xludf.DUMMYFUNCTION("""COMPUTED_VALUE"""),46047.879581817135)</f>
        <v>46047.87958</v>
      </c>
    </row>
    <row r="496">
      <c r="A496" s="4">
        <f>IFERROR(__xludf.DUMMYFUNCTION("""COMPUTED_VALUE"""),46047.83255263889)</f>
        <v>46047.83255</v>
      </c>
      <c r="B496" s="3" t="str">
        <f>IFERROR(__xludf.DUMMYFUNCTION("""COMPUTED_VALUE"""),"MFHRO0260")</f>
        <v>MFHRO0260</v>
      </c>
      <c r="C496" s="3" t="str">
        <f>IFERROR(__xludf.DUMMYFUNCTION("""COMPUTED_VALUE"""),"MIn Stok")</f>
        <v>MIn Stok</v>
      </c>
      <c r="D496" s="3" t="str">
        <f>IFERROR(__xludf.DUMMYFUNCTION("""COMPUTED_VALUE"""),"-")</f>
        <v>-</v>
      </c>
      <c r="E496" s="3" t="str">
        <f>IFERROR(__xludf.DUMMYFUNCTION("""COMPUTED_VALUE"""),"Filling")</f>
        <v>Filling</v>
      </c>
      <c r="F496" s="3" t="str">
        <f>IFERROR(__xludf.DUMMYFUNCTION("""COMPUTED_VALUE"""),"Filling VFM100 - PROXIMITY SENSOR, DATALOGIC  M12 NON FLUSH SHORT PNP NO IS-12-D1-S2; ; 204170; 1 Pc")</f>
        <v>Filling VFM100 - PROXIMITY SENSOR, DATALOGIC  M12 NON FLUSH SHORT PNP NO IS-12-D1-S2; ; 204170; 1 Pc</v>
      </c>
      <c r="G496" s="3">
        <f>IFERROR(__xludf.DUMMYFUNCTION("""COMPUTED_VALUE"""),1.0)</f>
        <v>1</v>
      </c>
      <c r="H496" s="3" t="str">
        <f>IFERROR(__xludf.DUMMYFUNCTION("""COMPUTED_VALUE"""),"Pieces")</f>
        <v>Pieces</v>
      </c>
      <c r="I496" s="3" t="str">
        <f>IFERROR(__xludf.DUMMYFUNCTION("""COMPUTED_VALUE"""),"121703490 - APPROVED")</f>
        <v>121703490 - APPROVED</v>
      </c>
      <c r="J496" s="3" t="str">
        <f>IFERROR(__xludf.DUMMYFUNCTION("""COMPUTED_VALUE"""),"O-53462-00")</f>
        <v>O-53462-00</v>
      </c>
      <c r="K496" s="3" t="str">
        <f>IFERROR(__xludf.DUMMYFUNCTION("""COMPUTED_VALUE"""),"Approve")</f>
        <v>Approve</v>
      </c>
      <c r="L496" s="3" t="str">
        <f>IFERROR(__xludf.DUMMYFUNCTION("""COMPUTED_VALUE"""),"Normal")</f>
        <v>Normal</v>
      </c>
      <c r="M496" s="3" t="str">
        <f>IFERROR(__xludf.DUMMYFUNCTION("""COMPUTED_VALUE"""),"Non Urgent")</f>
        <v>Non Urgent</v>
      </c>
      <c r="N496" s="3">
        <f>IFERROR(__xludf.DUMMYFUNCTION("""COMPUTED_VALUE"""),46047.87972491898)</f>
        <v>46047.87972</v>
      </c>
    </row>
    <row r="497">
      <c r="A497" s="4">
        <f>IFERROR(__xludf.DUMMYFUNCTION("""COMPUTED_VALUE"""),46047.83255263889)</f>
        <v>46047.83255</v>
      </c>
      <c r="B497" s="3" t="str">
        <f>IFERROR(__xludf.DUMMYFUNCTION("""COMPUTED_VALUE"""),"MFHRO0261")</f>
        <v>MFHRO0261</v>
      </c>
      <c r="C497" s="3" t="str">
        <f>IFERROR(__xludf.DUMMYFUNCTION("""COMPUTED_VALUE"""),"MIn Stok")</f>
        <v>MIn Stok</v>
      </c>
      <c r="D497" s="3" t="str">
        <f>IFERROR(__xludf.DUMMYFUNCTION("""COMPUTED_VALUE"""),"-")</f>
        <v>-</v>
      </c>
      <c r="E497" s="3" t="str">
        <f>IFERROR(__xludf.DUMMYFUNCTION("""COMPUTED_VALUE"""),"Filling")</f>
        <v>Filling</v>
      </c>
      <c r="F497" s="3" t="str">
        <f>IFERROR(__xludf.DUMMYFUNCTION("""COMPUTED_VALUE"""),"Filling VFM100 - PROXIMITY SENSOR, DATALOGIC  M8 FLUSH 2X PNP NC IS-08-G2-S1; ; 204172; 1 Pc")</f>
        <v>Filling VFM100 - PROXIMITY SENSOR, DATALOGIC  M8 FLUSH 2X PNP NC IS-08-G2-S1; ; 204172; 1 Pc</v>
      </c>
      <c r="G497" s="3">
        <f>IFERROR(__xludf.DUMMYFUNCTION("""COMPUTED_VALUE"""),1.0)</f>
        <v>1</v>
      </c>
      <c r="H497" s="3" t="str">
        <f>IFERROR(__xludf.DUMMYFUNCTION("""COMPUTED_VALUE"""),"Pieces")</f>
        <v>Pieces</v>
      </c>
      <c r="I497" s="3" t="str">
        <f>IFERROR(__xludf.DUMMYFUNCTION("""COMPUTED_VALUE"""),"121703490 - APPROVED")</f>
        <v>121703490 - APPROVED</v>
      </c>
      <c r="J497" s="3" t="str">
        <f>IFERROR(__xludf.DUMMYFUNCTION("""COMPUTED_VALUE"""),"O-53463-00")</f>
        <v>O-53463-00</v>
      </c>
      <c r="K497" s="3" t="str">
        <f>IFERROR(__xludf.DUMMYFUNCTION("""COMPUTED_VALUE"""),"Approve")</f>
        <v>Approve</v>
      </c>
      <c r="L497" s="3" t="str">
        <f>IFERROR(__xludf.DUMMYFUNCTION("""COMPUTED_VALUE"""),"Normal")</f>
        <v>Normal</v>
      </c>
      <c r="M497" s="3" t="str">
        <f>IFERROR(__xludf.DUMMYFUNCTION("""COMPUTED_VALUE"""),"Non Urgent")</f>
        <v>Non Urgent</v>
      </c>
      <c r="N497" s="3">
        <f>IFERROR(__xludf.DUMMYFUNCTION("""COMPUTED_VALUE"""),46047.87982625)</f>
        <v>46047.87983</v>
      </c>
    </row>
    <row r="498">
      <c r="A498" s="4">
        <f>IFERROR(__xludf.DUMMYFUNCTION("""COMPUTED_VALUE"""),46047.83255263889)</f>
        <v>46047.83255</v>
      </c>
      <c r="B498" s="3" t="str">
        <f>IFERROR(__xludf.DUMMYFUNCTION("""COMPUTED_VALUE"""),"MFHRO0262")</f>
        <v>MFHRO0262</v>
      </c>
      <c r="C498" s="3" t="str">
        <f>IFERROR(__xludf.DUMMYFUNCTION("""COMPUTED_VALUE"""),"MIn Stok")</f>
        <v>MIn Stok</v>
      </c>
      <c r="D498" s="3" t="str">
        <f>IFERROR(__xludf.DUMMYFUNCTION("""COMPUTED_VALUE"""),"-")</f>
        <v>-</v>
      </c>
      <c r="E498" s="3" t="str">
        <f>IFERROR(__xludf.DUMMYFUNCTION("""COMPUTED_VALUE"""),"cRABS")</f>
        <v>cRABS</v>
      </c>
      <c r="F498" s="3" t="str">
        <f>IFERROR(__xludf.DUMMYFUNCTION("""COMPUTED_VALUE"""),"cRABS Z064CR - SENSOR PROXIMITY M12 NON FLUSH SHORT PNP NO ; DATA LOGIC; ; 204171; 1 Pc")</f>
        <v>cRABS Z064CR - SENSOR PROXIMITY M12 NON FLUSH SHORT PNP NO ; DATA LOGIC; ; 204171; 1 Pc</v>
      </c>
      <c r="G498" s="3">
        <f>IFERROR(__xludf.DUMMYFUNCTION("""COMPUTED_VALUE"""),1.0)</f>
        <v>1</v>
      </c>
      <c r="H498" s="3" t="str">
        <f>IFERROR(__xludf.DUMMYFUNCTION("""COMPUTED_VALUE"""),"Pieces")</f>
        <v>Pieces</v>
      </c>
      <c r="I498" s="3" t="str">
        <f>IFERROR(__xludf.DUMMYFUNCTION("""COMPUTED_VALUE"""),"121703490 - APPROVED")</f>
        <v>121703490 - APPROVED</v>
      </c>
      <c r="J498" s="3" t="str">
        <f>IFERROR(__xludf.DUMMYFUNCTION("""COMPUTED_VALUE"""),"O-53465-00")</f>
        <v>O-53465-00</v>
      </c>
      <c r="K498" s="3" t="str">
        <f>IFERROR(__xludf.DUMMYFUNCTION("""COMPUTED_VALUE"""),"Approve")</f>
        <v>Approve</v>
      </c>
      <c r="L498" s="3" t="str">
        <f>IFERROR(__xludf.DUMMYFUNCTION("""COMPUTED_VALUE"""),"Normal")</f>
        <v>Normal</v>
      </c>
      <c r="M498" s="3" t="str">
        <f>IFERROR(__xludf.DUMMYFUNCTION("""COMPUTED_VALUE"""),"Non Urgent")</f>
        <v>Non Urgent</v>
      </c>
      <c r="N498" s="3">
        <f>IFERROR(__xludf.DUMMYFUNCTION("""COMPUTED_VALUE"""),46047.88061021991)</f>
        <v>46047.88061</v>
      </c>
    </row>
    <row r="499">
      <c r="A499" s="4">
        <f>IFERROR(__xludf.DUMMYFUNCTION("""COMPUTED_VALUE"""),46047.83255263889)</f>
        <v>46047.83255</v>
      </c>
      <c r="B499" s="3" t="str">
        <f>IFERROR(__xludf.DUMMYFUNCTION("""COMPUTED_VALUE"""),"MFHRO0263")</f>
        <v>MFHRO0263</v>
      </c>
      <c r="C499" s="3" t="str">
        <f>IFERROR(__xludf.DUMMYFUNCTION("""COMPUTED_VALUE"""),"MIn Stok")</f>
        <v>MIn Stok</v>
      </c>
      <c r="D499" s="3" t="str">
        <f>IFERROR(__xludf.DUMMYFUNCTION("""COMPUTED_VALUE"""),"-")</f>
        <v>-</v>
      </c>
      <c r="E499" s="3" t="str">
        <f>IFERROR(__xludf.DUMMYFUNCTION("""COMPUTED_VALUE"""),"EDM")</f>
        <v>EDM</v>
      </c>
      <c r="F499" s="3" t="str">
        <f>IFERROR(__xludf.DUMMYFUNCTION("""COMPUTED_VALUE"""),"EDM EDM1 - C.A. BLOWING VALVE ACTUATOR, Univer, 6869, CL-302A, Valve CL 1/8"" 3 ways 2 positions, N.C; ; 6869; 1 Pc")</f>
        <v>EDM EDM1 - C.A. BLOWING VALVE ACTUATOR, Univer, 6869, CL-302A, Valve CL 1/8" 3 ways 2 positions, N.C; ; 6869; 1 Pc</v>
      </c>
      <c r="G499" s="3">
        <f>IFERROR(__xludf.DUMMYFUNCTION("""COMPUTED_VALUE"""),2.0)</f>
        <v>2</v>
      </c>
      <c r="H499" s="3" t="str">
        <f>IFERROR(__xludf.DUMMYFUNCTION("""COMPUTED_VALUE"""),"Pieces")</f>
        <v>Pieces</v>
      </c>
      <c r="I499" s="3" t="str">
        <f>IFERROR(__xludf.DUMMYFUNCTION("""COMPUTED_VALUE"""),"121703490 - APPROVED")</f>
        <v>121703490 - APPROVED</v>
      </c>
      <c r="J499" s="3" t="str">
        <f>IFERROR(__xludf.DUMMYFUNCTION("""COMPUTED_VALUE"""),"O-53474-00")</f>
        <v>O-53474-00</v>
      </c>
      <c r="K499" s="3" t="str">
        <f>IFERROR(__xludf.DUMMYFUNCTION("""COMPUTED_VALUE"""),"Approve")</f>
        <v>Approve</v>
      </c>
      <c r="L499" s="3" t="str">
        <f>IFERROR(__xludf.DUMMYFUNCTION("""COMPUTED_VALUE"""),"Normal")</f>
        <v>Normal</v>
      </c>
      <c r="M499" s="3" t="str">
        <f>IFERROR(__xludf.DUMMYFUNCTION("""COMPUTED_VALUE"""),"Non Urgent")</f>
        <v>Non Urgent</v>
      </c>
      <c r="N499" s="3">
        <f>IFERROR(__xludf.DUMMYFUNCTION("""COMPUTED_VALUE"""),46047.88071666667)</f>
        <v>46047.88072</v>
      </c>
    </row>
    <row r="500">
      <c r="A500" s="4">
        <f>IFERROR(__xludf.DUMMYFUNCTION("""COMPUTED_VALUE"""),46047.83255263889)</f>
        <v>46047.83255</v>
      </c>
      <c r="B500" s="3" t="str">
        <f>IFERROR(__xludf.DUMMYFUNCTION("""COMPUTED_VALUE"""),"MFHRO0264")</f>
        <v>MFHRO0264</v>
      </c>
      <c r="C500" s="3" t="str">
        <f>IFERROR(__xludf.DUMMYFUNCTION("""COMPUTED_VALUE"""),"MIn Stok")</f>
        <v>MIn Stok</v>
      </c>
      <c r="D500" s="3" t="str">
        <f>IFERROR(__xludf.DUMMYFUNCTION("""COMPUTED_VALUE"""),"-")</f>
        <v>-</v>
      </c>
      <c r="E500" s="3" t="str">
        <f>IFERROR(__xludf.DUMMYFUNCTION("""COMPUTED_VALUE"""),"Filling")</f>
        <v>Filling</v>
      </c>
      <c r="F500" s="3" t="str">
        <f>IFERROR(__xludf.DUMMYFUNCTION("""COMPUTED_VALUE"""),"Filling VFM100 - TEMPERATURE PROBE ;  MODEL PT100 SINGLE ELEMENT, 3 WIRES, DIAMETER 3MM, LENGTH 250M; Jumo; 29274; 1 Pc")</f>
        <v>Filling VFM100 - TEMPERATURE PROBE ;  MODEL PT100 SINGLE ELEMENT, 3 WIRES, DIAMETER 3MM, LENGTH 250M; Jumo; 29274; 1 Pc</v>
      </c>
      <c r="G500" s="3">
        <f>IFERROR(__xludf.DUMMYFUNCTION("""COMPUTED_VALUE"""),1.0)</f>
        <v>1</v>
      </c>
      <c r="H500" s="3" t="str">
        <f>IFERROR(__xludf.DUMMYFUNCTION("""COMPUTED_VALUE"""),"Pieces")</f>
        <v>Pieces</v>
      </c>
      <c r="I500" s="3" t="str">
        <f>IFERROR(__xludf.DUMMYFUNCTION("""COMPUTED_VALUE"""),"121703490 - APPROVED")</f>
        <v>121703490 - APPROVED</v>
      </c>
      <c r="J500" s="3" t="str">
        <f>IFERROR(__xludf.DUMMYFUNCTION("""COMPUTED_VALUE"""),"O-53481-00")</f>
        <v>O-53481-00</v>
      </c>
      <c r="K500" s="3" t="str">
        <f>IFERROR(__xludf.DUMMYFUNCTION("""COMPUTED_VALUE"""),"Approve")</f>
        <v>Approve</v>
      </c>
      <c r="L500" s="3" t="str">
        <f>IFERROR(__xludf.DUMMYFUNCTION("""COMPUTED_VALUE"""),"Normal")</f>
        <v>Normal</v>
      </c>
      <c r="M500" s="3" t="str">
        <f>IFERROR(__xludf.DUMMYFUNCTION("""COMPUTED_VALUE"""),"Non Urgent")</f>
        <v>Non Urgent</v>
      </c>
      <c r="N500" s="3">
        <f>IFERROR(__xludf.DUMMYFUNCTION("""COMPUTED_VALUE"""),46047.88087262731)</f>
        <v>46047.88087</v>
      </c>
    </row>
    <row r="501">
      <c r="A501" s="4">
        <f>IFERROR(__xludf.DUMMYFUNCTION("""COMPUTED_VALUE"""),46047.83255263889)</f>
        <v>46047.83255</v>
      </c>
      <c r="B501" s="3" t="str">
        <f>IFERROR(__xludf.DUMMYFUNCTION("""COMPUTED_VALUE"""),"MFHRO0265")</f>
        <v>MFHRO0265</v>
      </c>
      <c r="C501" s="3" t="str">
        <f>IFERROR(__xludf.DUMMYFUNCTION("""COMPUTED_VALUE"""),"MIn Stok")</f>
        <v>MIn Stok</v>
      </c>
      <c r="D501" s="3" t="str">
        <f>IFERROR(__xludf.DUMMYFUNCTION("""COMPUTED_VALUE"""),"-")</f>
        <v>-</v>
      </c>
      <c r="E501" s="3" t="str">
        <f>IFERROR(__xludf.DUMMYFUNCTION("""COMPUTED_VALUE"""),"Filling")</f>
        <v>Filling</v>
      </c>
      <c r="F501" s="3" t="str">
        <f>IFERROR(__xludf.DUMMYFUNCTION("""COMPUTED_VALUE"""),"Filling VFM100 - SENSOR NO 10-30 VDC, 200MA; NITROGEN POST-GAS  FLOW CHECK SENSOR; ; 202196; 1 Pc")</f>
        <v>Filling VFM100 - SENSOR NO 10-30 VDC, 200MA; NITROGEN POST-GAS  FLOW CHECK SENSOR; ; 202196; 1 Pc</v>
      </c>
      <c r="G501" s="3">
        <f>IFERROR(__xludf.DUMMYFUNCTION("""COMPUTED_VALUE"""),1.0)</f>
        <v>1</v>
      </c>
      <c r="H501" s="3" t="str">
        <f>IFERROR(__xludf.DUMMYFUNCTION("""COMPUTED_VALUE"""),"Pieces")</f>
        <v>Pieces</v>
      </c>
      <c r="I501" s="3" t="str">
        <f>IFERROR(__xludf.DUMMYFUNCTION("""COMPUTED_VALUE"""),"121703490 - APPROVED")</f>
        <v>121703490 - APPROVED</v>
      </c>
      <c r="J501" s="3" t="str">
        <f>IFERROR(__xludf.DUMMYFUNCTION("""COMPUTED_VALUE"""),"O-53464-00")</f>
        <v>O-53464-00</v>
      </c>
      <c r="K501" s="3" t="str">
        <f>IFERROR(__xludf.DUMMYFUNCTION("""COMPUTED_VALUE"""),"Approve")</f>
        <v>Approve</v>
      </c>
      <c r="L501" s="3" t="str">
        <f>IFERROR(__xludf.DUMMYFUNCTION("""COMPUTED_VALUE"""),"Normal")</f>
        <v>Normal</v>
      </c>
      <c r="M501" s="3" t="str">
        <f>IFERROR(__xludf.DUMMYFUNCTION("""COMPUTED_VALUE"""),"Non Urgent")</f>
        <v>Non Urgent</v>
      </c>
      <c r="N501" s="3">
        <f>IFERROR(__xludf.DUMMYFUNCTION("""COMPUTED_VALUE"""),46047.880961030096)</f>
        <v>46047.88096</v>
      </c>
    </row>
    <row r="502">
      <c r="A502" s="4">
        <f>IFERROR(__xludf.DUMMYFUNCTION("""COMPUTED_VALUE"""),46047.83255263889)</f>
        <v>46047.83255</v>
      </c>
      <c r="B502" s="3" t="str">
        <f>IFERROR(__xludf.DUMMYFUNCTION("""COMPUTED_VALUE"""),"MFHRO0266")</f>
        <v>MFHRO0266</v>
      </c>
      <c r="C502" s="3" t="str">
        <f>IFERROR(__xludf.DUMMYFUNCTION("""COMPUTED_VALUE"""),"MIn Stok")</f>
        <v>MIn Stok</v>
      </c>
      <c r="D502" s="3" t="str">
        <f>IFERROR(__xludf.DUMMYFUNCTION("""COMPUTED_VALUE"""),"-")</f>
        <v>-</v>
      </c>
      <c r="E502" s="3" t="str">
        <f>IFERROR(__xludf.DUMMYFUNCTION("""COMPUTED_VALUE"""),"Filling")</f>
        <v>Filling</v>
      </c>
      <c r="F502" s="3" t="str">
        <f>IFERROR(__xludf.DUMMYFUNCTION("""COMPUTED_VALUE"""),"Filling VFM100 - VACUUM LEVEL SWITCH ; DIGITAL VACUUM LEVEL SWITCH Code: 120511; Vuototecnica; 202545; 1 Pc")</f>
        <v>Filling VFM100 - VACUUM LEVEL SWITCH ; DIGITAL VACUUM LEVEL SWITCH Code: 120511; Vuototecnica; 202545; 1 Pc</v>
      </c>
      <c r="G502" s="3">
        <f>IFERROR(__xludf.DUMMYFUNCTION("""COMPUTED_VALUE"""),1.0)</f>
        <v>1</v>
      </c>
      <c r="H502" s="3" t="str">
        <f>IFERROR(__xludf.DUMMYFUNCTION("""COMPUTED_VALUE"""),"Pieces")</f>
        <v>Pieces</v>
      </c>
      <c r="I502" s="3" t="str">
        <f>IFERROR(__xludf.DUMMYFUNCTION("""COMPUTED_VALUE"""),"121703490 - APPROVED")</f>
        <v>121703490 - APPROVED</v>
      </c>
      <c r="J502" s="3" t="str">
        <f>IFERROR(__xludf.DUMMYFUNCTION("""COMPUTED_VALUE"""),"O-53482-00")</f>
        <v>O-53482-00</v>
      </c>
      <c r="K502" s="3" t="str">
        <f>IFERROR(__xludf.DUMMYFUNCTION("""COMPUTED_VALUE"""),"Approve")</f>
        <v>Approve</v>
      </c>
      <c r="L502" s="3" t="str">
        <f>IFERROR(__xludf.DUMMYFUNCTION("""COMPUTED_VALUE"""),"Normal")</f>
        <v>Normal</v>
      </c>
      <c r="M502" s="3" t="str">
        <f>IFERROR(__xludf.DUMMYFUNCTION("""COMPUTED_VALUE"""),"Non Urgent")</f>
        <v>Non Urgent</v>
      </c>
      <c r="N502" s="3">
        <f>IFERROR(__xludf.DUMMYFUNCTION("""COMPUTED_VALUE"""),46047.88105138889)</f>
        <v>46047.88105</v>
      </c>
    </row>
    <row r="503">
      <c r="A503" s="4">
        <f>IFERROR(__xludf.DUMMYFUNCTION("""COMPUTED_VALUE"""),46047.83255263889)</f>
        <v>46047.83255</v>
      </c>
      <c r="B503" s="3" t="str">
        <f>IFERROR(__xludf.DUMMYFUNCTION("""COMPUTED_VALUE"""),"MFHRO0267")</f>
        <v>MFHRO0267</v>
      </c>
      <c r="C503" s="3" t="str">
        <f>IFERROR(__xludf.DUMMYFUNCTION("""COMPUTED_VALUE"""),"MIn Stok")</f>
        <v>MIn Stok</v>
      </c>
      <c r="D503" s="3" t="str">
        <f>IFERROR(__xludf.DUMMYFUNCTION("""COMPUTED_VALUE"""),"-")</f>
        <v>-</v>
      </c>
      <c r="E503" s="3" t="str">
        <f>IFERROR(__xludf.DUMMYFUNCTION("""COMPUTED_VALUE"""),"Steriline")</f>
        <v>Steriline</v>
      </c>
      <c r="F503" s="3" t="str">
        <f>IFERROR(__xludf.DUMMYFUNCTION("""COMPUTED_VALUE"""),"Silicon suction cup 01.11.16 PN: 202082; ; ;")</f>
        <v>Silicon suction cup 01.11.16 PN: 202082; ; ;</v>
      </c>
      <c r="G503" s="3">
        <f>IFERROR(__xludf.DUMMYFUNCTION("""COMPUTED_VALUE"""),100.0)</f>
        <v>100</v>
      </c>
      <c r="H503" s="3" t="str">
        <f>IFERROR(__xludf.DUMMYFUNCTION("""COMPUTED_VALUE"""),"Pieces")</f>
        <v>Pieces</v>
      </c>
      <c r="I503" s="3" t="str">
        <f>IFERROR(__xludf.DUMMYFUNCTION("""COMPUTED_VALUE"""),"121703490 - APPROVED")</f>
        <v>121703490 - APPROVED</v>
      </c>
      <c r="J503" s="3" t="str">
        <f>IFERROR(__xludf.DUMMYFUNCTION("""COMPUTED_VALUE"""),"O-18345-00")</f>
        <v>O-18345-00</v>
      </c>
      <c r="K503" s="3" t="str">
        <f>IFERROR(__xludf.DUMMYFUNCTION("""COMPUTED_VALUE"""),"Approve")</f>
        <v>Approve</v>
      </c>
      <c r="L503" s="3" t="str">
        <f>IFERROR(__xludf.DUMMYFUNCTION("""COMPUTED_VALUE"""),"Normal")</f>
        <v>Normal</v>
      </c>
      <c r="M503" s="3" t="str">
        <f>IFERROR(__xludf.DUMMYFUNCTION("""COMPUTED_VALUE"""),"Non Urgent")</f>
        <v>Non Urgent</v>
      </c>
      <c r="N503" s="3">
        <f>IFERROR(__xludf.DUMMYFUNCTION("""COMPUTED_VALUE"""),46047.88114900463)</f>
        <v>46047.88115</v>
      </c>
    </row>
    <row r="504">
      <c r="A504" s="4">
        <f>IFERROR(__xludf.DUMMYFUNCTION("""COMPUTED_VALUE"""),46047.83255263889)</f>
        <v>46047.83255</v>
      </c>
      <c r="B504" s="3" t="str">
        <f>IFERROR(__xludf.DUMMYFUNCTION("""COMPUTED_VALUE"""),"MFHRO0268")</f>
        <v>MFHRO0268</v>
      </c>
      <c r="C504" s="3" t="str">
        <f>IFERROR(__xludf.DUMMYFUNCTION("""COMPUTED_VALUE"""),"MIn Stok")</f>
        <v>MIn Stok</v>
      </c>
      <c r="D504" s="3" t="str">
        <f>IFERROR(__xludf.DUMMYFUNCTION("""COMPUTED_VALUE"""),"-")</f>
        <v>-</v>
      </c>
      <c r="E504" s="3" t="str">
        <f>IFERROR(__xludf.DUMMYFUNCTION("""COMPUTED_VALUE"""),"EDM")</f>
        <v>EDM</v>
      </c>
      <c r="F504" s="3" t="str">
        <f>IFERROR(__xludf.DUMMYFUNCTION("""COMPUTED_VALUE"""),"EDM EDM1 - Pressure transmitter -100 / +100Pa output 4-20 mA 24VDC Precision: +-1% ; Model: PIZ (2 w; ; 16456; 1 Pc")</f>
        <v>EDM EDM1 - Pressure transmitter -100 / +100Pa output 4-20 mA 24VDC Precision: +-1% ; Model: PIZ (2 w; ; 16456; 1 Pc</v>
      </c>
      <c r="G504" s="3">
        <f>IFERROR(__xludf.DUMMYFUNCTION("""COMPUTED_VALUE"""),1.0)</f>
        <v>1</v>
      </c>
      <c r="H504" s="3" t="str">
        <f>IFERROR(__xludf.DUMMYFUNCTION("""COMPUTED_VALUE"""),"Pieces")</f>
        <v>Pieces</v>
      </c>
      <c r="I504" s="3" t="str">
        <f>IFERROR(__xludf.DUMMYFUNCTION("""COMPUTED_VALUE"""),"121703490 - APPROVED")</f>
        <v>121703490 - APPROVED</v>
      </c>
      <c r="J504" s="3" t="str">
        <f>IFERROR(__xludf.DUMMYFUNCTION("""COMPUTED_VALUE"""),"O-53460-00")</f>
        <v>O-53460-00</v>
      </c>
      <c r="K504" s="3" t="str">
        <f>IFERROR(__xludf.DUMMYFUNCTION("""COMPUTED_VALUE"""),"Approve")</f>
        <v>Approve</v>
      </c>
      <c r="L504" s="3" t="str">
        <f>IFERROR(__xludf.DUMMYFUNCTION("""COMPUTED_VALUE"""),"Normal")</f>
        <v>Normal</v>
      </c>
      <c r="M504" s="3" t="str">
        <f>IFERROR(__xludf.DUMMYFUNCTION("""COMPUTED_VALUE"""),"Non Urgent")</f>
        <v>Non Urgent</v>
      </c>
      <c r="N504" s="3">
        <f>IFERROR(__xludf.DUMMYFUNCTION("""COMPUTED_VALUE"""),46047.88123400463)</f>
        <v>46047.88123</v>
      </c>
    </row>
    <row r="505">
      <c r="A505" s="4">
        <f>IFERROR(__xludf.DUMMYFUNCTION("""COMPUTED_VALUE"""),46047.83255263889)</f>
        <v>46047.83255</v>
      </c>
      <c r="B505" s="3" t="str">
        <f>IFERROR(__xludf.DUMMYFUNCTION("""COMPUTED_VALUE"""),"MFHRO0269")</f>
        <v>MFHRO0269</v>
      </c>
      <c r="C505" s="3" t="str">
        <f>IFERROR(__xludf.DUMMYFUNCTION("""COMPUTED_VALUE"""),"MIn Stok")</f>
        <v>MIn Stok</v>
      </c>
      <c r="D505" s="3" t="str">
        <f>IFERROR(__xludf.DUMMYFUNCTION("""COMPUTED_VALUE"""),"-")</f>
        <v>-</v>
      </c>
      <c r="E505" s="3" t="str">
        <f>IFERROR(__xludf.DUMMYFUNCTION("""COMPUTED_VALUE"""),"FD")</f>
        <v>FD</v>
      </c>
      <c r="F505" s="3" t="str">
        <f>IFERROR(__xludf.DUMMYFUNCTION("""COMPUTED_VALUE"""),"General - Spare Working Diaphragm EPDM DN 10-20mm Type 612,625; Gemu; 600 10M 17; 1 Pc")</f>
        <v>General - Spare Working Diaphragm EPDM DN 10-20mm Type 612,625; Gemu; 600 10M 17; 1 Pc</v>
      </c>
      <c r="G505" s="3">
        <f>IFERROR(__xludf.DUMMYFUNCTION("""COMPUTED_VALUE"""),3.0)</f>
        <v>3</v>
      </c>
      <c r="H505" s="3" t="str">
        <f>IFERROR(__xludf.DUMMYFUNCTION("""COMPUTED_VALUE"""),"Pieces")</f>
        <v>Pieces</v>
      </c>
      <c r="I505" s="3" t="str">
        <f>IFERROR(__xludf.DUMMYFUNCTION("""COMPUTED_VALUE"""),"121703527 - APPROVED")</f>
        <v>121703527 - APPROVED</v>
      </c>
      <c r="J505" s="3" t="str">
        <f>IFERROR(__xludf.DUMMYFUNCTION("""COMPUTED_VALUE"""),"O-21031-00")</f>
        <v>O-21031-00</v>
      </c>
      <c r="K505" s="3" t="str">
        <f>IFERROR(__xludf.DUMMYFUNCTION("""COMPUTED_VALUE"""),"Approve")</f>
        <v>Approve</v>
      </c>
      <c r="L505" s="3" t="str">
        <f>IFERROR(__xludf.DUMMYFUNCTION("""COMPUTED_VALUE"""),"Normal")</f>
        <v>Normal</v>
      </c>
      <c r="M505" s="3" t="str">
        <f>IFERROR(__xludf.DUMMYFUNCTION("""COMPUTED_VALUE"""),"Non Urgent")</f>
        <v>Non Urgent</v>
      </c>
      <c r="N505" s="3">
        <f>IFERROR(__xludf.DUMMYFUNCTION("""COMPUTED_VALUE"""),46047.88131636574)</f>
        <v>46047.88132</v>
      </c>
    </row>
    <row r="506">
      <c r="A506" s="4">
        <f>IFERROR(__xludf.DUMMYFUNCTION("""COMPUTED_VALUE"""),46047.83255263889)</f>
        <v>46047.83255</v>
      </c>
      <c r="B506" s="3" t="str">
        <f>IFERROR(__xludf.DUMMYFUNCTION("""COMPUTED_VALUE"""),"MFHRO0270")</f>
        <v>MFHRO0270</v>
      </c>
      <c r="C506" s="3" t="str">
        <f>IFERROR(__xludf.DUMMYFUNCTION("""COMPUTED_VALUE"""),"MIn Stok")</f>
        <v>MIn Stok</v>
      </c>
      <c r="D506" s="3" t="str">
        <f>IFERROR(__xludf.DUMMYFUNCTION("""COMPUTED_VALUE"""),"-")</f>
        <v>-</v>
      </c>
      <c r="E506" s="3" t="str">
        <f>IFERROR(__xludf.DUMMYFUNCTION("""COMPUTED_VALUE"""),"Filling")</f>
        <v>Filling</v>
      </c>
      <c r="F506" s="3" t="str">
        <f>IFERROR(__xludf.DUMMYFUNCTION("""COMPUTED_VALUE"""),"Filling VFM100 - Vacuump pump Vane balde; VT 4.16; Becker; 90134700007; 1 Pack")</f>
        <v>Filling VFM100 - Vacuump pump Vane balde; VT 4.16; Becker; 90134700007; 1 Pack</v>
      </c>
      <c r="G506" s="3">
        <f>IFERROR(__xludf.DUMMYFUNCTION("""COMPUTED_VALUE"""),1.0)</f>
        <v>1</v>
      </c>
      <c r="H506" s="3" t="str">
        <f>IFERROR(__xludf.DUMMYFUNCTION("""COMPUTED_VALUE"""),"Pack")</f>
        <v>Pack</v>
      </c>
      <c r="I506" s="3" t="str">
        <f>IFERROR(__xludf.DUMMYFUNCTION("""COMPUTED_VALUE"""),"121703528 - APPROVED")</f>
        <v>121703528 - APPROVED</v>
      </c>
      <c r="J506" s="3" t="str">
        <f>IFERROR(__xludf.DUMMYFUNCTION("""COMPUTED_VALUE"""),"O-53478-00")</f>
        <v>O-53478-00</v>
      </c>
      <c r="K506" s="3" t="str">
        <f>IFERROR(__xludf.DUMMYFUNCTION("""COMPUTED_VALUE"""),"Approve")</f>
        <v>Approve</v>
      </c>
      <c r="L506" s="3" t="str">
        <f>IFERROR(__xludf.DUMMYFUNCTION("""COMPUTED_VALUE"""),"Normal")</f>
        <v>Normal</v>
      </c>
      <c r="M506" s="3" t="str">
        <f>IFERROR(__xludf.DUMMYFUNCTION("""COMPUTED_VALUE"""),"Non Urgent")</f>
        <v>Non Urgent</v>
      </c>
      <c r="N506" s="3">
        <f>IFERROR(__xludf.DUMMYFUNCTION("""COMPUTED_VALUE"""),46047.88140457176)</f>
        <v>46047.8814</v>
      </c>
    </row>
    <row r="507">
      <c r="A507" s="4">
        <f>IFERROR(__xludf.DUMMYFUNCTION("""COMPUTED_VALUE"""),46047.83255263889)</f>
        <v>46047.83255</v>
      </c>
      <c r="B507" s="3" t="str">
        <f>IFERROR(__xludf.DUMMYFUNCTION("""COMPUTED_VALUE"""),"MFHRO0272")</f>
        <v>MFHRO0272</v>
      </c>
      <c r="C507" s="3" t="str">
        <f>IFERROR(__xludf.DUMMYFUNCTION("""COMPUTED_VALUE"""),"MIn Stok")</f>
        <v>MIn Stok</v>
      </c>
      <c r="D507" s="3" t="str">
        <f>IFERROR(__xludf.DUMMYFUNCTION("""COMPUTED_VALUE"""),"-")</f>
        <v>-</v>
      </c>
      <c r="E507" s="3" t="str">
        <f>IFERROR(__xludf.DUMMYFUNCTION("""COMPUTED_VALUE"""),"Lab")</f>
        <v>Lab</v>
      </c>
      <c r="F507" s="3" t="str">
        <f>IFERROR(__xludf.DUMMYFUNCTION("""COMPUTED_VALUE"""),"Electrode holder uPlace; Mettler Toledo; 30019823;")</f>
        <v>Electrode holder uPlace; Mettler Toledo; 30019823;</v>
      </c>
      <c r="G507" s="3">
        <f>IFERROR(__xludf.DUMMYFUNCTION("""COMPUTED_VALUE"""),1.0)</f>
        <v>1</v>
      </c>
      <c r="H507" s="3" t="str">
        <f>IFERROR(__xludf.DUMMYFUNCTION("""COMPUTED_VALUE"""),"Unit")</f>
        <v>Unit</v>
      </c>
      <c r="I507" s="3" t="str">
        <f>IFERROR(__xludf.DUMMYFUNCTION("""COMPUTED_VALUE"""),"121703537 - APPROVED")</f>
        <v>121703537 - APPROVED</v>
      </c>
      <c r="J507" s="3" t="str">
        <f>IFERROR(__xludf.DUMMYFUNCTION("""COMPUTED_VALUE"""),"T-25372-00")</f>
        <v>T-25372-00</v>
      </c>
      <c r="K507" s="3" t="str">
        <f>IFERROR(__xludf.DUMMYFUNCTION("""COMPUTED_VALUE"""),"Approve")</f>
        <v>Approve</v>
      </c>
      <c r="L507" s="3" t="str">
        <f>IFERROR(__xludf.DUMMYFUNCTION("""COMPUTED_VALUE"""),"Normal")</f>
        <v>Normal</v>
      </c>
      <c r="M507" s="3" t="str">
        <f>IFERROR(__xludf.DUMMYFUNCTION("""COMPUTED_VALUE"""),"Non Urgent")</f>
        <v>Non Urgent</v>
      </c>
      <c r="N507" s="3">
        <f>IFERROR(__xludf.DUMMYFUNCTION("""COMPUTED_VALUE"""),46047.88253253472)</f>
        <v>46047.88253</v>
      </c>
    </row>
    <row r="508">
      <c r="A508" s="4">
        <f>IFERROR(__xludf.DUMMYFUNCTION("""COMPUTED_VALUE"""),46047.83255263889)</f>
        <v>46047.83255</v>
      </c>
      <c r="B508" s="3" t="str">
        <f>IFERROR(__xludf.DUMMYFUNCTION("""COMPUTED_VALUE"""),"MFHRO0273")</f>
        <v>MFHRO0273</v>
      </c>
      <c r="C508" s="3" t="str">
        <f>IFERROR(__xludf.DUMMYFUNCTION("""COMPUTED_VALUE"""),"MIn Stok")</f>
        <v>MIn Stok</v>
      </c>
      <c r="D508" s="3" t="str">
        <f>IFERROR(__xludf.DUMMYFUNCTION("""COMPUTED_VALUE"""),"-")</f>
        <v>-</v>
      </c>
      <c r="E508" s="3" t="str">
        <f>IFERROR(__xludf.DUMMYFUNCTION("""COMPUTED_VALUE"""),"AHU")</f>
        <v>AHU</v>
      </c>
      <c r="F508" s="3" t="str">
        <f>IFERROR(__xludf.DUMMYFUNCTION("""COMPUTED_VALUE"""),"General - Replacement VVF42,80-80C 2-port seat Valve, Flanged, PN10, DN80, kvs 80 (Body Valve); Siemens; -; 1 pc")</f>
        <v>General - Replacement VVF42,80-80C 2-port seat Valve, Flanged, PN10, DN80, kvs 80 (Body Valve); Siemens; -; 1 pc</v>
      </c>
      <c r="G508" s="3">
        <f>IFERROR(__xludf.DUMMYFUNCTION("""COMPUTED_VALUE"""),1.0)</f>
        <v>1</v>
      </c>
      <c r="H508" s="3" t="str">
        <f>IFERROR(__xludf.DUMMYFUNCTION("""COMPUTED_VALUE"""),"Pieces")</f>
        <v>Pieces</v>
      </c>
      <c r="I508" s="3" t="str">
        <f>IFERROR(__xludf.DUMMYFUNCTION("""COMPUTED_VALUE"""),"121703552 - APPROVED")</f>
        <v>121703552 - APPROVED</v>
      </c>
      <c r="J508" s="3" t="str">
        <f>IFERROR(__xludf.DUMMYFUNCTION("""COMPUTED_VALUE"""),"P-20359-00")</f>
        <v>P-20359-00</v>
      </c>
      <c r="K508" s="3" t="str">
        <f>IFERROR(__xludf.DUMMYFUNCTION("""COMPUTED_VALUE"""),"Approve")</f>
        <v>Approve</v>
      </c>
      <c r="L508" s="3" t="str">
        <f>IFERROR(__xludf.DUMMYFUNCTION("""COMPUTED_VALUE"""),"Normal")</f>
        <v>Normal</v>
      </c>
      <c r="M508" s="3" t="str">
        <f>IFERROR(__xludf.DUMMYFUNCTION("""COMPUTED_VALUE"""),"Non Urgent")</f>
        <v>Non Urgent</v>
      </c>
      <c r="N508" s="3">
        <f>IFERROR(__xludf.DUMMYFUNCTION("""COMPUTED_VALUE"""),46047.88265777778)</f>
        <v>46047.88266</v>
      </c>
    </row>
    <row r="509">
      <c r="A509" s="4">
        <f>IFERROR(__xludf.DUMMYFUNCTION("""COMPUTED_VALUE"""),46047.83255263889)</f>
        <v>46047.83255</v>
      </c>
      <c r="B509" s="3" t="str">
        <f>IFERROR(__xludf.DUMMYFUNCTION("""COMPUTED_VALUE"""),"MFHRO0274")</f>
        <v>MFHRO0274</v>
      </c>
      <c r="C509" s="3" t="str">
        <f>IFERROR(__xludf.DUMMYFUNCTION("""COMPUTED_VALUE"""),"MIn Stok")</f>
        <v>MIn Stok</v>
      </c>
      <c r="D509" s="3" t="str">
        <f>IFERROR(__xludf.DUMMYFUNCTION("""COMPUTED_VALUE"""),"-")</f>
        <v>-</v>
      </c>
      <c r="E509" s="3" t="str">
        <f>IFERROR(__xludf.DUMMYFUNCTION("""COMPUTED_VALUE"""),"Sparepart")</f>
        <v>Sparepart</v>
      </c>
      <c r="F509" s="3" t="str">
        <f>IFERROR(__xludf.DUMMYFUNCTION("""COMPUTED_VALUE"""),"General - Terminal Viking Grounding 4mm; Legrand; -; 1 pc")</f>
        <v>General - Terminal Viking Grounding 4mm; Legrand; -; 1 pc</v>
      </c>
      <c r="G509" s="3">
        <f>IFERROR(__xludf.DUMMYFUNCTION("""COMPUTED_VALUE"""),10.0)</f>
        <v>10</v>
      </c>
      <c r="H509" s="3" t="str">
        <f>IFERROR(__xludf.DUMMYFUNCTION("""COMPUTED_VALUE"""),"Pieces")</f>
        <v>Pieces</v>
      </c>
      <c r="I509" s="3" t="str">
        <f>IFERROR(__xludf.DUMMYFUNCTION("""COMPUTED_VALUE"""),"121703573 - APPROVED")</f>
        <v>121703573 - APPROVED</v>
      </c>
      <c r="J509" s="3" t="str">
        <f>IFERROR(__xludf.DUMMYFUNCTION("""COMPUTED_VALUE"""),"P-20369-00")</f>
        <v>P-20369-00</v>
      </c>
      <c r="K509" s="3" t="str">
        <f>IFERROR(__xludf.DUMMYFUNCTION("""COMPUTED_VALUE"""),"Approve")</f>
        <v>Approve</v>
      </c>
      <c r="L509" s="3" t="str">
        <f>IFERROR(__xludf.DUMMYFUNCTION("""COMPUTED_VALUE"""),"Normal")</f>
        <v>Normal</v>
      </c>
      <c r="M509" s="3" t="str">
        <f>IFERROR(__xludf.DUMMYFUNCTION("""COMPUTED_VALUE"""),"Non Urgent")</f>
        <v>Non Urgent</v>
      </c>
      <c r="N509" s="3">
        <f>IFERROR(__xludf.DUMMYFUNCTION("""COMPUTED_VALUE"""),46047.8827600463)</f>
        <v>46047.88276</v>
      </c>
    </row>
    <row r="510">
      <c r="A510" s="4">
        <f>IFERROR(__xludf.DUMMYFUNCTION("""COMPUTED_VALUE"""),46047.83255263889)</f>
        <v>46047.83255</v>
      </c>
      <c r="B510" s="3" t="str">
        <f>IFERROR(__xludf.DUMMYFUNCTION("""COMPUTED_VALUE"""),"MFHRO0275")</f>
        <v>MFHRO0275</v>
      </c>
      <c r="C510" s="3" t="str">
        <f>IFERROR(__xludf.DUMMYFUNCTION("""COMPUTED_VALUE"""),"Consumable")</f>
        <v>Consumable</v>
      </c>
      <c r="D510" s="3" t="str">
        <f>IFERROR(__xludf.DUMMYFUNCTION("""COMPUTED_VALUE"""),"-")</f>
        <v>-</v>
      </c>
      <c r="E510" s="3" t="str">
        <f>IFERROR(__xludf.DUMMYFUNCTION("""COMPUTED_VALUE"""),"Sparepart")</f>
        <v>Sparepart</v>
      </c>
      <c r="F510" s="3" t="str">
        <f>IFERROR(__xludf.DUMMYFUNCTION("""COMPUTED_VALUE"""),"Cellotape / Lakban Kertas 1 inch warna Putih ; No Brand ; pack size per pcs")</f>
        <v>Cellotape / Lakban Kertas 1 inch warna Putih ; No Brand ; pack size per pcs</v>
      </c>
      <c r="G510" s="3">
        <f>IFERROR(__xludf.DUMMYFUNCTION("""COMPUTED_VALUE"""),60.0)</f>
        <v>60</v>
      </c>
      <c r="H510" s="3" t="str">
        <f>IFERROR(__xludf.DUMMYFUNCTION("""COMPUTED_VALUE"""),"Roll")</f>
        <v>Roll</v>
      </c>
      <c r="I510" s="3" t="str">
        <f>IFERROR(__xludf.DUMMYFUNCTION("""COMPUTED_VALUE"""),"121703588 - APPROVED")</f>
        <v>121703588 - APPROVED</v>
      </c>
      <c r="J510" s="3" t="str">
        <f>IFERROR(__xludf.DUMMYFUNCTION("""COMPUTED_VALUE"""),"T-80109-00")</f>
        <v>T-80109-00</v>
      </c>
      <c r="K510" s="3" t="str">
        <f>IFERROR(__xludf.DUMMYFUNCTION("""COMPUTED_VALUE"""),"Approve")</f>
        <v>Approve</v>
      </c>
      <c r="L510" s="3" t="str">
        <f>IFERROR(__xludf.DUMMYFUNCTION("""COMPUTED_VALUE"""),"Normal")</f>
        <v>Normal</v>
      </c>
      <c r="M510" s="3" t="str">
        <f>IFERROR(__xludf.DUMMYFUNCTION("""COMPUTED_VALUE"""),"Non Urgent")</f>
        <v>Non Urgent</v>
      </c>
      <c r="N510" s="3">
        <f>IFERROR(__xludf.DUMMYFUNCTION("""COMPUTED_VALUE"""),46047.88283665509)</f>
        <v>46047.88284</v>
      </c>
    </row>
    <row r="511">
      <c r="A511" s="4">
        <f>IFERROR(__xludf.DUMMYFUNCTION("""COMPUTED_VALUE"""),46047.83255263889)</f>
        <v>46047.83255</v>
      </c>
      <c r="B511" s="3" t="str">
        <f>IFERROR(__xludf.DUMMYFUNCTION("""COMPUTED_VALUE"""),"MFHRO0276")</f>
        <v>MFHRO0276</v>
      </c>
      <c r="C511" s="3" t="str">
        <f>IFERROR(__xludf.DUMMYFUNCTION("""COMPUTED_VALUE"""),"Consumable")</f>
        <v>Consumable</v>
      </c>
      <c r="D511" s="3" t="str">
        <f>IFERROR(__xludf.DUMMYFUNCTION("""COMPUTED_VALUE"""),"-")</f>
        <v>-</v>
      </c>
      <c r="E511" s="3" t="str">
        <f>IFERROR(__xludf.DUMMYFUNCTION("""COMPUTED_VALUE"""),"Sparepart")</f>
        <v>Sparepart</v>
      </c>
      <c r="F511" s="3" t="str">
        <f>IFERROR(__xludf.DUMMYFUNCTION("""COMPUTED_VALUE"""),"Cellotape / Lakban Kertas 1 inch warna Putih ; No Brand ; pack size per pcs")</f>
        <v>Cellotape / Lakban Kertas 1 inch warna Putih ; No Brand ; pack size per pcs</v>
      </c>
      <c r="G511" s="3">
        <f>IFERROR(__xludf.DUMMYFUNCTION("""COMPUTED_VALUE"""),60.0)</f>
        <v>60</v>
      </c>
      <c r="H511" s="3" t="str">
        <f>IFERROR(__xludf.DUMMYFUNCTION("""COMPUTED_VALUE"""),"Roll")</f>
        <v>Roll</v>
      </c>
      <c r="I511" s="3" t="str">
        <f>IFERROR(__xludf.DUMMYFUNCTION("""COMPUTED_VALUE"""),"121703588 - APPROVED")</f>
        <v>121703588 - APPROVED</v>
      </c>
      <c r="J511" s="3" t="str">
        <f>IFERROR(__xludf.DUMMYFUNCTION("""COMPUTED_VALUE"""),"T-80109-00")</f>
        <v>T-80109-00</v>
      </c>
      <c r="K511" s="3" t="str">
        <f>IFERROR(__xludf.DUMMYFUNCTION("""COMPUTED_VALUE"""),"Approve")</f>
        <v>Approve</v>
      </c>
      <c r="L511" s="3" t="str">
        <f>IFERROR(__xludf.DUMMYFUNCTION("""COMPUTED_VALUE"""),"Normal")</f>
        <v>Normal</v>
      </c>
      <c r="M511" s="3" t="str">
        <f>IFERROR(__xludf.DUMMYFUNCTION("""COMPUTED_VALUE"""),"Non Urgent")</f>
        <v>Non Urgent</v>
      </c>
      <c r="N511" s="3">
        <f>IFERROR(__xludf.DUMMYFUNCTION("""COMPUTED_VALUE"""),46047.88293373842)</f>
        <v>46047.88293</v>
      </c>
    </row>
    <row r="512">
      <c r="A512" s="4">
        <f>IFERROR(__xludf.DUMMYFUNCTION("""COMPUTED_VALUE"""),46047.83255263889)</f>
        <v>46047.83255</v>
      </c>
      <c r="B512" s="3" t="str">
        <f>IFERROR(__xludf.DUMMYFUNCTION("""COMPUTED_VALUE"""),"MFHRO0277")</f>
        <v>MFHRO0277</v>
      </c>
      <c r="C512" s="3" t="str">
        <f>IFERROR(__xludf.DUMMYFUNCTION("""COMPUTED_VALUE"""),"MIn Stok")</f>
        <v>MIn Stok</v>
      </c>
      <c r="D512" s="3" t="str">
        <f>IFERROR(__xludf.DUMMYFUNCTION("""COMPUTED_VALUE"""),"-")</f>
        <v>-</v>
      </c>
      <c r="E512" s="3" t="str">
        <f>IFERROR(__xludf.DUMMYFUNCTION("""COMPUTED_VALUE"""),"GC")</f>
        <v>GC</v>
      </c>
      <c r="F512" s="3" t="str">
        <f>IFERROR(__xludf.DUMMYFUNCTION("""COMPUTED_VALUE"""),"OQ/PV headspace sample ;Agilent;  PN :   5182-9733; Agilent; 5182-9733; 1 pcs/pack")</f>
        <v>OQ/PV headspace sample ;Agilent;  PN :   5182-9733; Agilent; 5182-9733; 1 pcs/pack</v>
      </c>
      <c r="G512" s="3">
        <f>IFERROR(__xludf.DUMMYFUNCTION("""COMPUTED_VALUE"""),1.0)</f>
        <v>1</v>
      </c>
      <c r="H512" s="3" t="str">
        <f>IFERROR(__xludf.DUMMYFUNCTION("""COMPUTED_VALUE"""),"Pack")</f>
        <v>Pack</v>
      </c>
      <c r="I512" s="3" t="str">
        <f>IFERROR(__xludf.DUMMYFUNCTION("""COMPUTED_VALUE"""),"121703607 - APPROVED")</f>
        <v>121703607 - APPROVED</v>
      </c>
      <c r="J512" s="3" t="str">
        <f>IFERROR(__xludf.DUMMYFUNCTION("""COMPUTED_VALUE"""),"T-20860-00")</f>
        <v>T-20860-00</v>
      </c>
      <c r="K512" s="3" t="str">
        <f>IFERROR(__xludf.DUMMYFUNCTION("""COMPUTED_VALUE"""),"Approve")</f>
        <v>Approve</v>
      </c>
      <c r="L512" s="3" t="str">
        <f>IFERROR(__xludf.DUMMYFUNCTION("""COMPUTED_VALUE"""),"Normal")</f>
        <v>Normal</v>
      </c>
      <c r="M512" s="3" t="str">
        <f>IFERROR(__xludf.DUMMYFUNCTION("""COMPUTED_VALUE"""),"Non Urgent")</f>
        <v>Non Urgent</v>
      </c>
      <c r="N512" s="3">
        <f>IFERROR(__xludf.DUMMYFUNCTION("""COMPUTED_VALUE"""),46047.883032060185)</f>
        <v>46047.88303</v>
      </c>
    </row>
    <row r="513">
      <c r="A513" s="4">
        <f>IFERROR(__xludf.DUMMYFUNCTION("""COMPUTED_VALUE"""),46047.83255263889)</f>
        <v>46047.83255</v>
      </c>
      <c r="B513" s="3" t="str">
        <f>IFERROR(__xludf.DUMMYFUNCTION("""COMPUTED_VALUE"""),"MFHRO0279")</f>
        <v>MFHRO0279</v>
      </c>
      <c r="C513" s="3" t="str">
        <f>IFERROR(__xludf.DUMMYFUNCTION("""COMPUTED_VALUE"""),"MIn Stok")</f>
        <v>MIn Stok</v>
      </c>
      <c r="D513" s="3" t="str">
        <f>IFERROR(__xludf.DUMMYFUNCTION("""COMPUTED_VALUE"""),"-")</f>
        <v>-</v>
      </c>
      <c r="E513" s="3" t="str">
        <f>IFERROR(__xludf.DUMMYFUNCTION("""COMPUTED_VALUE"""),"Sparepart")</f>
        <v>Sparepart</v>
      </c>
      <c r="F513" s="3" t="str">
        <f>IFERROR(__xludf.DUMMYFUNCTION("""COMPUTED_VALUE"""),"Gas Oksigen (O2) ; 6 M3; Refill; Industrial Grade; Purity ? 99.95%")</f>
        <v>Gas Oksigen (O2) ; 6 M3; Refill; Industrial Grade; Purity ? 99.95%</v>
      </c>
      <c r="G513" s="3">
        <f>IFERROR(__xludf.DUMMYFUNCTION("""COMPUTED_VALUE"""),1.0)</f>
        <v>1</v>
      </c>
      <c r="H513" s="3" t="str">
        <f>IFERROR(__xludf.DUMMYFUNCTION("""COMPUTED_VALUE"""),"Tube")</f>
        <v>Tube</v>
      </c>
      <c r="I513" s="3" t="str">
        <f>IFERROR(__xludf.DUMMYFUNCTION("""COMPUTED_VALUE"""),"121703608 - APPROVED")</f>
        <v>121703608 - APPROVED</v>
      </c>
      <c r="J513" s="3" t="str">
        <f>IFERROR(__xludf.DUMMYFUNCTION("""COMPUTED_VALUE"""),"S-62005-00")</f>
        <v>S-62005-00</v>
      </c>
      <c r="K513" s="3" t="str">
        <f>IFERROR(__xludf.DUMMYFUNCTION("""COMPUTED_VALUE"""),"Approve")</f>
        <v>Approve</v>
      </c>
      <c r="L513" s="3" t="str">
        <f>IFERROR(__xludf.DUMMYFUNCTION("""COMPUTED_VALUE"""),"Normal")</f>
        <v>Normal</v>
      </c>
      <c r="M513" s="3" t="str">
        <f>IFERROR(__xludf.DUMMYFUNCTION("""COMPUTED_VALUE"""),"Non Urgent")</f>
        <v>Non Urgent</v>
      </c>
      <c r="N513" s="3">
        <f>IFERROR(__xludf.DUMMYFUNCTION("""COMPUTED_VALUE"""),46047.88342787037)</f>
        <v>46047.88343</v>
      </c>
    </row>
    <row r="514">
      <c r="A514" s="4">
        <f>IFERROR(__xludf.DUMMYFUNCTION("""COMPUTED_VALUE"""),46047.83255263889)</f>
        <v>46047.83255</v>
      </c>
      <c r="B514" s="3" t="str">
        <f>IFERROR(__xludf.DUMMYFUNCTION("""COMPUTED_VALUE"""),"MFHRO0280")</f>
        <v>MFHRO0280</v>
      </c>
      <c r="C514" s="3" t="str">
        <f>IFERROR(__xludf.DUMMYFUNCTION("""COMPUTED_VALUE"""),"MIn Stok")</f>
        <v>MIn Stok</v>
      </c>
      <c r="D514" s="3" t="str">
        <f>IFERROR(__xludf.DUMMYFUNCTION("""COMPUTED_VALUE"""),"-")</f>
        <v>-</v>
      </c>
      <c r="E514" s="3" t="str">
        <f>IFERROR(__xludf.DUMMYFUNCTION("""COMPUTED_VALUE"""),"Sparepart")</f>
        <v>Sparepart</v>
      </c>
      <c r="F514" s="3" t="str">
        <f>IFERROR(__xludf.DUMMYFUNCTION("""COMPUTED_VALUE"""),"Gas Acetylene (C2H2), Industrial Grade, 2kg; ; ;")</f>
        <v>Gas Acetylene (C2H2), Industrial Grade, 2kg; ; ;</v>
      </c>
      <c r="G514" s="3">
        <f>IFERROR(__xludf.DUMMYFUNCTION("""COMPUTED_VALUE"""),1.0)</f>
        <v>1</v>
      </c>
      <c r="H514" s="3" t="str">
        <f>IFERROR(__xludf.DUMMYFUNCTION("""COMPUTED_VALUE"""),"Tube")</f>
        <v>Tube</v>
      </c>
      <c r="I514" s="3" t="str">
        <f>IFERROR(__xludf.DUMMYFUNCTION("""COMPUTED_VALUE"""),"121703608 - APPROVED")</f>
        <v>121703608 - APPROVED</v>
      </c>
      <c r="J514" s="3" t="str">
        <f>IFERROR(__xludf.DUMMYFUNCTION("""COMPUTED_VALUE"""),"S-62052-00")</f>
        <v>S-62052-00</v>
      </c>
      <c r="K514" s="3" t="str">
        <f>IFERROR(__xludf.DUMMYFUNCTION("""COMPUTED_VALUE"""),"Approve")</f>
        <v>Approve</v>
      </c>
      <c r="L514" s="3" t="str">
        <f>IFERROR(__xludf.DUMMYFUNCTION("""COMPUTED_VALUE"""),"Normal")</f>
        <v>Normal</v>
      </c>
      <c r="M514" s="3" t="str">
        <f>IFERROR(__xludf.DUMMYFUNCTION("""COMPUTED_VALUE"""),"Non Urgent")</f>
        <v>Non Urgent</v>
      </c>
      <c r="N514" s="3">
        <f>IFERROR(__xludf.DUMMYFUNCTION("""COMPUTED_VALUE"""),46047.88351827546)</f>
        <v>46047.88352</v>
      </c>
    </row>
    <row r="515">
      <c r="A515" s="4">
        <f>IFERROR(__xludf.DUMMYFUNCTION("""COMPUTED_VALUE"""),46047.83255263889)</f>
        <v>46047.83255</v>
      </c>
      <c r="B515" s="3" t="str">
        <f>IFERROR(__xludf.DUMMYFUNCTION("""COMPUTED_VALUE"""),"MFHRO0281")</f>
        <v>MFHRO0281</v>
      </c>
      <c r="C515" s="3" t="str">
        <f>IFERROR(__xludf.DUMMYFUNCTION("""COMPUTED_VALUE"""),"MIn Stok")</f>
        <v>MIn Stok</v>
      </c>
      <c r="D515" s="3" t="str">
        <f>IFERROR(__xludf.DUMMYFUNCTION("""COMPUTED_VALUE"""),"-")</f>
        <v>-</v>
      </c>
      <c r="E515" s="3" t="str">
        <f>IFERROR(__xludf.DUMMYFUNCTION("""COMPUTED_VALUE"""),"BSC")</f>
        <v>BSC</v>
      </c>
      <c r="F515" s="3" t="str">
        <f>IFERROR(__xludf.DUMMYFUNCTION("""COMPUTED_VALUE"""),"General - Isolator Glove Smaller glove CSM  (AS : E10330 Y 7 E4); Austar; ; 1 Pc")</f>
        <v>General - Isolator Glove Smaller glove CSM  (AS : E10330 Y 7 E4); Austar; ; 1 Pc</v>
      </c>
      <c r="G515" s="3">
        <f>IFERROR(__xludf.DUMMYFUNCTION("""COMPUTED_VALUE"""),40.0)</f>
        <v>40</v>
      </c>
      <c r="H515" s="3" t="str">
        <f>IFERROR(__xludf.DUMMYFUNCTION("""COMPUTED_VALUE"""),"Unit")</f>
        <v>Unit</v>
      </c>
      <c r="I515" s="3" t="str">
        <f>IFERROR(__xludf.DUMMYFUNCTION("""COMPUTED_VALUE"""),"121703615 - APPROVED")</f>
        <v>121703615 - APPROVED</v>
      </c>
      <c r="J515" s="3" t="str">
        <f>IFERROR(__xludf.DUMMYFUNCTION("""COMPUTED_VALUE"""),"O-20487-00")</f>
        <v>O-20487-00</v>
      </c>
      <c r="K515" s="3" t="str">
        <f>IFERROR(__xludf.DUMMYFUNCTION("""COMPUTED_VALUE"""),"Approve")</f>
        <v>Approve</v>
      </c>
      <c r="L515" s="3" t="str">
        <f>IFERROR(__xludf.DUMMYFUNCTION("""COMPUTED_VALUE"""),"Normal")</f>
        <v>Normal</v>
      </c>
      <c r="M515" s="3" t="str">
        <f>IFERROR(__xludf.DUMMYFUNCTION("""COMPUTED_VALUE"""),"Non Urgent")</f>
        <v>Non Urgent</v>
      </c>
      <c r="N515" s="3">
        <f>IFERROR(__xludf.DUMMYFUNCTION("""COMPUTED_VALUE"""),46047.883611550926)</f>
        <v>46047.88361</v>
      </c>
    </row>
    <row r="516">
      <c r="A516" s="4">
        <f>IFERROR(__xludf.DUMMYFUNCTION("""COMPUTED_VALUE"""),46047.83255263889)</f>
        <v>46047.83255</v>
      </c>
      <c r="B516" s="3" t="str">
        <f>IFERROR(__xludf.DUMMYFUNCTION("""COMPUTED_VALUE"""),"MFHRO0282")</f>
        <v>MFHRO0282</v>
      </c>
      <c r="C516" s="3" t="str">
        <f>IFERROR(__xludf.DUMMYFUNCTION("""COMPUTED_VALUE"""),"MIn Stok")</f>
        <v>MIn Stok</v>
      </c>
      <c r="D516" s="3" t="str">
        <f>IFERROR(__xludf.DUMMYFUNCTION("""COMPUTED_VALUE"""),"-")</f>
        <v>-</v>
      </c>
      <c r="E516" s="3" t="str">
        <f>IFERROR(__xludf.DUMMYFUNCTION("""COMPUTED_VALUE"""),"Isolator")</f>
        <v>Isolator</v>
      </c>
      <c r="F516" s="3" t="str">
        <f>IFERROR(__xludf.DUMMYFUNCTION("""COMPUTED_VALUE"""),"General - Sleeves M200/90 Y 550 E4 Bt5/5 BJ, Material : CSM; Shape : 200/90; Thickness (mm) : 4/10; Leng; Piercan; 1643; 1 Pc")</f>
        <v>General - Sleeves M200/90 Y 550 E4 Bt5/5 BJ, Material : CSM; Shape : 200/90; Thickness (mm) : 4/10; Leng; Piercan; 1643; 1 Pc</v>
      </c>
      <c r="G516" s="3">
        <f>IFERROR(__xludf.DUMMYFUNCTION("""COMPUTED_VALUE"""),20.0)</f>
        <v>20</v>
      </c>
      <c r="H516" s="3" t="str">
        <f>IFERROR(__xludf.DUMMYFUNCTION("""COMPUTED_VALUE"""),"Unit")</f>
        <v>Unit</v>
      </c>
      <c r="I516" s="3" t="str">
        <f>IFERROR(__xludf.DUMMYFUNCTION("""COMPUTED_VALUE"""),"121703615 - APPROVED")</f>
        <v>121703615 - APPROVED</v>
      </c>
      <c r="J516" s="3" t="str">
        <f>IFERROR(__xludf.DUMMYFUNCTION("""COMPUTED_VALUE"""),"O-16032-00")</f>
        <v>O-16032-00</v>
      </c>
      <c r="K516" s="3" t="str">
        <f>IFERROR(__xludf.DUMMYFUNCTION("""COMPUTED_VALUE"""),"Approve")</f>
        <v>Approve</v>
      </c>
      <c r="L516" s="3" t="str">
        <f>IFERROR(__xludf.DUMMYFUNCTION("""COMPUTED_VALUE"""),"Normal")</f>
        <v>Normal</v>
      </c>
      <c r="M516" s="3" t="str">
        <f>IFERROR(__xludf.DUMMYFUNCTION("""COMPUTED_VALUE"""),"Non Urgent")</f>
        <v>Non Urgent</v>
      </c>
      <c r="N516" s="3">
        <f>IFERROR(__xludf.DUMMYFUNCTION("""COMPUTED_VALUE"""),46047.88370524306)</f>
        <v>46047.88371</v>
      </c>
    </row>
    <row r="517">
      <c r="A517" s="4">
        <f>IFERROR(__xludf.DUMMYFUNCTION("""COMPUTED_VALUE"""),46047.83255263889)</f>
        <v>46047.83255</v>
      </c>
      <c r="B517" s="3" t="str">
        <f>IFERROR(__xludf.DUMMYFUNCTION("""COMPUTED_VALUE"""),"MFHRO0283")</f>
        <v>MFHRO0283</v>
      </c>
      <c r="C517" s="3" t="str">
        <f>IFERROR(__xludf.DUMMYFUNCTION("""COMPUTED_VALUE"""),"MIn Stok")</f>
        <v>MIn Stok</v>
      </c>
      <c r="D517" s="3" t="str">
        <f>IFERROR(__xludf.DUMMYFUNCTION("""COMPUTED_VALUE"""),"-")</f>
        <v>-</v>
      </c>
      <c r="E517" s="3" t="str">
        <f>IFERROR(__xludf.DUMMYFUNCTION("""COMPUTED_VALUE"""),"Sparepart")</f>
        <v>Sparepart</v>
      </c>
      <c r="F517" s="3" t="str">
        <f>IFERROR(__xludf.DUMMYFUNCTION("""COMPUTED_VALUE"""),"General - Elbow Ornamen SS201 dia. 4 inch; No Brand; -; 1 pc")</f>
        <v>General - Elbow Ornamen SS201 dia. 4 inch; No Brand; -; 1 pc</v>
      </c>
      <c r="G517" s="3">
        <f>IFERROR(__xludf.DUMMYFUNCTION("""COMPUTED_VALUE"""),2.0)</f>
        <v>2</v>
      </c>
      <c r="H517" s="3" t="str">
        <f>IFERROR(__xludf.DUMMYFUNCTION("""COMPUTED_VALUE"""),"Pieces")</f>
        <v>Pieces</v>
      </c>
      <c r="I517" s="3" t="str">
        <f>IFERROR(__xludf.DUMMYFUNCTION("""COMPUTED_VALUE"""),"121703618 - APPROVED")</f>
        <v>121703618 - APPROVED</v>
      </c>
      <c r="J517" s="3" t="str">
        <f>IFERROR(__xludf.DUMMYFUNCTION("""COMPUTED_VALUE"""),"P-20431-00")</f>
        <v>P-20431-00</v>
      </c>
      <c r="K517" s="3" t="str">
        <f>IFERROR(__xludf.DUMMYFUNCTION("""COMPUTED_VALUE"""),"Approve")</f>
        <v>Approve</v>
      </c>
      <c r="L517" s="3" t="str">
        <f>IFERROR(__xludf.DUMMYFUNCTION("""COMPUTED_VALUE"""),"Normal")</f>
        <v>Normal</v>
      </c>
      <c r="M517" s="3" t="str">
        <f>IFERROR(__xludf.DUMMYFUNCTION("""COMPUTED_VALUE"""),"Non Urgent")</f>
        <v>Non Urgent</v>
      </c>
      <c r="N517" s="3">
        <f>IFERROR(__xludf.DUMMYFUNCTION("""COMPUTED_VALUE"""),46047.883841874995)</f>
        <v>46047.88384</v>
      </c>
    </row>
    <row r="518">
      <c r="A518" s="4">
        <f>IFERROR(__xludf.DUMMYFUNCTION("""COMPUTED_VALUE"""),46047.83255263889)</f>
        <v>46047.83255</v>
      </c>
      <c r="B518" s="3" t="str">
        <f>IFERROR(__xludf.DUMMYFUNCTION("""COMPUTED_VALUE"""),"MFHRO0284")</f>
        <v>MFHRO0284</v>
      </c>
      <c r="C518" s="3" t="str">
        <f>IFERROR(__xludf.DUMMYFUNCTION("""COMPUTED_VALUE"""),"MIn Stok")</f>
        <v>MIn Stok</v>
      </c>
      <c r="D518" s="3" t="str">
        <f>IFERROR(__xludf.DUMMYFUNCTION("""COMPUTED_VALUE"""),"-")</f>
        <v>-</v>
      </c>
      <c r="E518" s="3" t="str">
        <f>IFERROR(__xludf.DUMMYFUNCTION("""COMPUTED_VALUE"""),"Sparepart")</f>
        <v>Sparepart</v>
      </c>
      <c r="F518" s="3" t="str">
        <f>IFERROR(__xludf.DUMMYFUNCTION("""COMPUTED_VALUE"""),"General - Round Pipe Hanger with Blue Rubber Seat and Base SS304 dia. 4 inch; No Brand; -; 1 pc")</f>
        <v>General - Round Pipe Hanger with Blue Rubber Seat and Base SS304 dia. 4 inch; No Brand; -; 1 pc</v>
      </c>
      <c r="G518" s="3">
        <f>IFERROR(__xludf.DUMMYFUNCTION("""COMPUTED_VALUE"""),3.0)</f>
        <v>3</v>
      </c>
      <c r="H518" s="3" t="str">
        <f>IFERROR(__xludf.DUMMYFUNCTION("""COMPUTED_VALUE"""),"Pieces")</f>
        <v>Pieces</v>
      </c>
      <c r="I518" s="3" t="str">
        <f>IFERROR(__xludf.DUMMYFUNCTION("""COMPUTED_VALUE"""),"121703618 - APPROVED")</f>
        <v>121703618 - APPROVED</v>
      </c>
      <c r="J518" s="3" t="str">
        <f>IFERROR(__xludf.DUMMYFUNCTION("""COMPUTED_VALUE"""),"P-20432-00")</f>
        <v>P-20432-00</v>
      </c>
      <c r="K518" s="3" t="str">
        <f>IFERROR(__xludf.DUMMYFUNCTION("""COMPUTED_VALUE"""),"Approve")</f>
        <v>Approve</v>
      </c>
      <c r="L518" s="3" t="str">
        <f>IFERROR(__xludf.DUMMYFUNCTION("""COMPUTED_VALUE"""),"Normal")</f>
        <v>Normal</v>
      </c>
      <c r="M518" s="3" t="str">
        <f>IFERROR(__xludf.DUMMYFUNCTION("""COMPUTED_VALUE"""),"Non Urgent")</f>
        <v>Non Urgent</v>
      </c>
      <c r="N518" s="3">
        <f>IFERROR(__xludf.DUMMYFUNCTION("""COMPUTED_VALUE"""),46047.88392417824)</f>
        <v>46047.88392</v>
      </c>
    </row>
    <row r="519">
      <c r="A519" s="4">
        <f>IFERROR(__xludf.DUMMYFUNCTION("""COMPUTED_VALUE"""),46047.83255263889)</f>
        <v>46047.83255</v>
      </c>
      <c r="B519" s="3" t="str">
        <f>IFERROR(__xludf.DUMMYFUNCTION("""COMPUTED_VALUE"""),"MFHRO0285")</f>
        <v>MFHRO0285</v>
      </c>
      <c r="C519" s="3" t="str">
        <f>IFERROR(__xludf.DUMMYFUNCTION("""COMPUTED_VALUE"""),"MIn Stok")</f>
        <v>MIn Stok</v>
      </c>
      <c r="D519" s="3" t="str">
        <f>IFERROR(__xludf.DUMMYFUNCTION("""COMPUTED_VALUE"""),"-")</f>
        <v>-</v>
      </c>
      <c r="E519" s="3" t="str">
        <f>IFERROR(__xludf.DUMMYFUNCTION("""COMPUTED_VALUE"""),"Sparepart")</f>
        <v>Sparepart</v>
      </c>
      <c r="F519" s="3" t="str">
        <f>IFERROR(__xludf.DUMMYFUNCTION("""COMPUTED_VALUE"""),"FESTO - Push In Fitting QS-1/2-10 part number 190646")</f>
        <v>FESTO - Push In Fitting QS-1/2-10 part number 190646</v>
      </c>
      <c r="G519" s="3">
        <f>IFERROR(__xludf.DUMMYFUNCTION("""COMPUTED_VALUE"""),10.0)</f>
        <v>10</v>
      </c>
      <c r="H519" s="3" t="str">
        <f>IFERROR(__xludf.DUMMYFUNCTION("""COMPUTED_VALUE"""),"Pieces")</f>
        <v>Pieces</v>
      </c>
      <c r="I519" s="3" t="str">
        <f>IFERROR(__xludf.DUMMYFUNCTION("""COMPUTED_VALUE"""),"121703621 - APPROVED")</f>
        <v>121703621 - APPROVED</v>
      </c>
      <c r="J519" s="3" t="str">
        <f>IFERROR(__xludf.DUMMYFUNCTION("""COMPUTED_VALUE"""),"P-12266-00")</f>
        <v>P-12266-00</v>
      </c>
      <c r="K519" s="3" t="str">
        <f>IFERROR(__xludf.DUMMYFUNCTION("""COMPUTED_VALUE"""),"Approve")</f>
        <v>Approve</v>
      </c>
      <c r="L519" s="3" t="str">
        <f>IFERROR(__xludf.DUMMYFUNCTION("""COMPUTED_VALUE"""),"Normal")</f>
        <v>Normal</v>
      </c>
      <c r="M519" s="3" t="str">
        <f>IFERROR(__xludf.DUMMYFUNCTION("""COMPUTED_VALUE"""),"Non Urgent")</f>
        <v>Non Urgent</v>
      </c>
      <c r="N519" s="3">
        <f>IFERROR(__xludf.DUMMYFUNCTION("""COMPUTED_VALUE"""),46047.88400871528)</f>
        <v>46047.88401</v>
      </c>
    </row>
    <row r="520">
      <c r="A520" s="4">
        <f>IFERROR(__xludf.DUMMYFUNCTION("""COMPUTED_VALUE"""),46047.83255263889)</f>
        <v>46047.83255</v>
      </c>
      <c r="B520" s="3" t="str">
        <f>IFERROR(__xludf.DUMMYFUNCTION("""COMPUTED_VALUE"""),"MFHRO0286")</f>
        <v>MFHRO0286</v>
      </c>
      <c r="C520" s="3" t="str">
        <f>IFERROR(__xludf.DUMMYFUNCTION("""COMPUTED_VALUE"""),"MIn Stok")</f>
        <v>MIn Stok</v>
      </c>
      <c r="D520" s="3" t="str">
        <f>IFERROR(__xludf.DUMMYFUNCTION("""COMPUTED_VALUE"""),"-")</f>
        <v>-</v>
      </c>
      <c r="E520" s="3" t="str">
        <f>IFERROR(__xludf.DUMMYFUNCTION("""COMPUTED_VALUE"""),"Sparepart")</f>
        <v>Sparepart</v>
      </c>
      <c r="F520" s="3" t="str">
        <f>IFERROR(__xludf.DUMMYFUNCTION("""COMPUTED_VALUE"""),"Pneumatic Fitting - QS 1/4-10 / PN : 153007 / Festo")</f>
        <v>Pneumatic Fitting - QS 1/4-10 / PN : 153007 / Festo</v>
      </c>
      <c r="G520" s="3">
        <f>IFERROR(__xludf.DUMMYFUNCTION("""COMPUTED_VALUE"""),10.0)</f>
        <v>10</v>
      </c>
      <c r="H520" s="3" t="str">
        <f>IFERROR(__xludf.DUMMYFUNCTION("""COMPUTED_VALUE"""),"Pieces")</f>
        <v>Pieces</v>
      </c>
      <c r="I520" s="3" t="str">
        <f>IFERROR(__xludf.DUMMYFUNCTION("""COMPUTED_VALUE"""),"121703621 - APPROVED")</f>
        <v>121703621 - APPROVED</v>
      </c>
      <c r="J520" s="3" t="str">
        <f>IFERROR(__xludf.DUMMYFUNCTION("""COMPUTED_VALUE"""),"P-11167-00")</f>
        <v>P-11167-00</v>
      </c>
      <c r="K520" s="3" t="str">
        <f>IFERROR(__xludf.DUMMYFUNCTION("""COMPUTED_VALUE"""),"Approve")</f>
        <v>Approve</v>
      </c>
      <c r="L520" s="3" t="str">
        <f>IFERROR(__xludf.DUMMYFUNCTION("""COMPUTED_VALUE"""),"Normal")</f>
        <v>Normal</v>
      </c>
      <c r="M520" s="3" t="str">
        <f>IFERROR(__xludf.DUMMYFUNCTION("""COMPUTED_VALUE"""),"Non Urgent")</f>
        <v>Non Urgent</v>
      </c>
      <c r="N520" s="3">
        <f>IFERROR(__xludf.DUMMYFUNCTION("""COMPUTED_VALUE"""),46047.884374166664)</f>
        <v>46047.88437</v>
      </c>
    </row>
    <row r="521">
      <c r="A521" s="4">
        <f>IFERROR(__xludf.DUMMYFUNCTION("""COMPUTED_VALUE"""),46047.83255263889)</f>
        <v>46047.83255</v>
      </c>
      <c r="B521" s="3" t="str">
        <f>IFERROR(__xludf.DUMMYFUNCTION("""COMPUTED_VALUE"""),"MFHRO0287")</f>
        <v>MFHRO0287</v>
      </c>
      <c r="C521" s="3" t="str">
        <f>IFERROR(__xludf.DUMMYFUNCTION("""COMPUTED_VALUE"""),"Consumable")</f>
        <v>Consumable</v>
      </c>
      <c r="D521" s="3" t="str">
        <f>IFERROR(__xludf.DUMMYFUNCTION("""COMPUTED_VALUE"""),"-")</f>
        <v>-</v>
      </c>
      <c r="E521" s="3" t="str">
        <f>IFERROR(__xludf.DUMMYFUNCTION("""COMPUTED_VALUE"""),"Sparepart")</f>
        <v>Sparepart</v>
      </c>
      <c r="F521" s="3" t="str">
        <f>IFERROR(__xludf.DUMMYFUNCTION("""COMPUTED_VALUE"""),"General - Push-in Fitting, QS-1/4-6; Festo; 153003; 1 pcs")</f>
        <v>General - Push-in Fitting, QS-1/4-6; Festo; 153003; 1 pcs</v>
      </c>
      <c r="G521" s="3">
        <f>IFERROR(__xludf.DUMMYFUNCTION("""COMPUTED_VALUE"""),10.0)</f>
        <v>10</v>
      </c>
      <c r="H521" s="3" t="str">
        <f>IFERROR(__xludf.DUMMYFUNCTION("""COMPUTED_VALUE"""),"Pieces")</f>
        <v>Pieces</v>
      </c>
      <c r="I521" s="3" t="str">
        <f>IFERROR(__xludf.DUMMYFUNCTION("""COMPUTED_VALUE"""),"121703621 - APPROVED")</f>
        <v>121703621 - APPROVED</v>
      </c>
      <c r="J521" s="3" t="str">
        <f>IFERROR(__xludf.DUMMYFUNCTION("""COMPUTED_VALUE"""),"P-11169-00")</f>
        <v>P-11169-00</v>
      </c>
      <c r="K521" s="3" t="str">
        <f>IFERROR(__xludf.DUMMYFUNCTION("""COMPUTED_VALUE"""),"Approve")</f>
        <v>Approve</v>
      </c>
      <c r="L521" s="3" t="str">
        <f>IFERROR(__xludf.DUMMYFUNCTION("""COMPUTED_VALUE"""),"Normal")</f>
        <v>Normal</v>
      </c>
      <c r="M521" s="3" t="str">
        <f>IFERROR(__xludf.DUMMYFUNCTION("""COMPUTED_VALUE"""),"Non Urgent")</f>
        <v>Non Urgent</v>
      </c>
      <c r="N521" s="3">
        <f>IFERROR(__xludf.DUMMYFUNCTION("""COMPUTED_VALUE"""),46047.884557627316)</f>
        <v>46047.88456</v>
      </c>
    </row>
    <row r="522">
      <c r="A522" s="4">
        <f>IFERROR(__xludf.DUMMYFUNCTION("""COMPUTED_VALUE"""),46047.83255263889)</f>
        <v>46047.83255</v>
      </c>
      <c r="B522" s="3" t="str">
        <f>IFERROR(__xludf.DUMMYFUNCTION("""COMPUTED_VALUE"""),"MFHRO0288")</f>
        <v>MFHRO0288</v>
      </c>
      <c r="C522" s="3" t="str">
        <f>IFERROR(__xludf.DUMMYFUNCTION("""COMPUTED_VALUE"""),"Consumable")</f>
        <v>Consumable</v>
      </c>
      <c r="D522" s="3" t="str">
        <f>IFERROR(__xludf.DUMMYFUNCTION("""COMPUTED_VALUE"""),"-")</f>
        <v>-</v>
      </c>
      <c r="E522" s="3" t="str">
        <f>IFERROR(__xludf.DUMMYFUNCTION("""COMPUTED_VALUE"""),"Sparepart")</f>
        <v>Sparepart</v>
      </c>
      <c r="F522" s="3" t="str">
        <f>IFERROR(__xludf.DUMMYFUNCTION("""COMPUTED_VALUE"""),"General - Push-in Connector, QS-8-6; Festo; 153038; 1 pcs")</f>
        <v>General - Push-in Connector, QS-8-6; Festo; 153038; 1 pcs</v>
      </c>
      <c r="G522" s="3">
        <f>IFERROR(__xludf.DUMMYFUNCTION("""COMPUTED_VALUE"""),10.0)</f>
        <v>10</v>
      </c>
      <c r="H522" s="3" t="str">
        <f>IFERROR(__xludf.DUMMYFUNCTION("""COMPUTED_VALUE"""),"Pieces")</f>
        <v>Pieces</v>
      </c>
      <c r="I522" s="3" t="str">
        <f>IFERROR(__xludf.DUMMYFUNCTION("""COMPUTED_VALUE"""),"121703621 - APPROVED")</f>
        <v>121703621 - APPROVED</v>
      </c>
      <c r="J522" s="3" t="str">
        <f>IFERROR(__xludf.DUMMYFUNCTION("""COMPUTED_VALUE"""),"P-11185-00")</f>
        <v>P-11185-00</v>
      </c>
      <c r="K522" s="3" t="str">
        <f>IFERROR(__xludf.DUMMYFUNCTION("""COMPUTED_VALUE"""),"Approve")</f>
        <v>Approve</v>
      </c>
      <c r="L522" s="3" t="str">
        <f>IFERROR(__xludf.DUMMYFUNCTION("""COMPUTED_VALUE"""),"Normal")</f>
        <v>Normal</v>
      </c>
      <c r="M522" s="3" t="str">
        <f>IFERROR(__xludf.DUMMYFUNCTION("""COMPUTED_VALUE"""),"Non Urgent")</f>
        <v>Non Urgent</v>
      </c>
      <c r="N522" s="3">
        <f>IFERROR(__xludf.DUMMYFUNCTION("""COMPUTED_VALUE"""),46047.88485293982)</f>
        <v>46047.88485</v>
      </c>
    </row>
    <row r="523">
      <c r="A523" s="4">
        <f>IFERROR(__xludf.DUMMYFUNCTION("""COMPUTED_VALUE"""),46047.83255263889)</f>
        <v>46047.83255</v>
      </c>
      <c r="B523" s="3" t="str">
        <f>IFERROR(__xludf.DUMMYFUNCTION("""COMPUTED_VALUE"""),"MFHRO0289")</f>
        <v>MFHRO0289</v>
      </c>
      <c r="C523" s="3" t="str">
        <f>IFERROR(__xludf.DUMMYFUNCTION("""COMPUTED_VALUE"""),"Consumable")</f>
        <v>Consumable</v>
      </c>
      <c r="D523" s="3" t="str">
        <f>IFERROR(__xludf.DUMMYFUNCTION("""COMPUTED_VALUE"""),"-")</f>
        <v>-</v>
      </c>
      <c r="E523" s="3" t="str">
        <f>IFERROR(__xludf.DUMMYFUNCTION("""COMPUTED_VALUE"""),"Sparepart")</f>
        <v>Sparepart</v>
      </c>
      <c r="F523" s="3" t="str">
        <f>IFERROR(__xludf.DUMMYFUNCTION("""COMPUTED_VALUE"""),"General - Seal Ferrule Teflon 1inch; No Brand; -; 1 pcs")</f>
        <v>General - Seal Ferrule Teflon 1inch; No Brand; -; 1 pcs</v>
      </c>
      <c r="G523" s="3">
        <f>IFERROR(__xludf.DUMMYFUNCTION("""COMPUTED_VALUE"""),20.0)</f>
        <v>20</v>
      </c>
      <c r="H523" s="3" t="str">
        <f>IFERROR(__xludf.DUMMYFUNCTION("""COMPUTED_VALUE"""),"Pieces")</f>
        <v>Pieces</v>
      </c>
      <c r="I523" s="3" t="str">
        <f>IFERROR(__xludf.DUMMYFUNCTION("""COMPUTED_VALUE"""),"121703622 - APPROVED")</f>
        <v>121703622 - APPROVED</v>
      </c>
      <c r="J523" s="3" t="str">
        <f>IFERROR(__xludf.DUMMYFUNCTION("""COMPUTED_VALUE"""),"P-11405-00")</f>
        <v>P-11405-00</v>
      </c>
      <c r="K523" s="3" t="str">
        <f>IFERROR(__xludf.DUMMYFUNCTION("""COMPUTED_VALUE"""),"Approve")</f>
        <v>Approve</v>
      </c>
      <c r="L523" s="3" t="str">
        <f>IFERROR(__xludf.DUMMYFUNCTION("""COMPUTED_VALUE"""),"Normal")</f>
        <v>Normal</v>
      </c>
      <c r="M523" s="3" t="str">
        <f>IFERROR(__xludf.DUMMYFUNCTION("""COMPUTED_VALUE"""),"Non Urgent")</f>
        <v>Non Urgent</v>
      </c>
      <c r="N523" s="3">
        <f>IFERROR(__xludf.DUMMYFUNCTION("""COMPUTED_VALUE"""),46047.88494752315)</f>
        <v>46047.88495</v>
      </c>
    </row>
    <row r="524">
      <c r="A524" s="4">
        <f>IFERROR(__xludf.DUMMYFUNCTION("""COMPUTED_VALUE"""),46047.83255263889)</f>
        <v>46047.83255</v>
      </c>
      <c r="B524" s="3" t="str">
        <f>IFERROR(__xludf.DUMMYFUNCTION("""COMPUTED_VALUE"""),"MFHRO0290")</f>
        <v>MFHRO0290</v>
      </c>
      <c r="C524" s="3" t="str">
        <f>IFERROR(__xludf.DUMMYFUNCTION("""COMPUTED_VALUE"""),"Consumable")</f>
        <v>Consumable</v>
      </c>
      <c r="D524" s="3" t="str">
        <f>IFERROR(__xludf.DUMMYFUNCTION("""COMPUTED_VALUE"""),"-")</f>
        <v>-</v>
      </c>
      <c r="E524" s="3" t="str">
        <f>IFERROR(__xludf.DUMMYFUNCTION("""COMPUTED_VALUE"""),"Sparepart")</f>
        <v>Sparepart</v>
      </c>
      <c r="F524" s="3" t="str">
        <f>IFERROR(__xludf.DUMMYFUNCTION("""COMPUTED_VALUE"""),"General - Seal Ferrule Teflon 3/4inch; No Brand; -; 1 pcs")</f>
        <v>General - Seal Ferrule Teflon 3/4inch; No Brand; -; 1 pcs</v>
      </c>
      <c r="G524" s="3">
        <f>IFERROR(__xludf.DUMMYFUNCTION("""COMPUTED_VALUE"""),20.0)</f>
        <v>20</v>
      </c>
      <c r="H524" s="3" t="str">
        <f>IFERROR(__xludf.DUMMYFUNCTION("""COMPUTED_VALUE"""),"Pieces")</f>
        <v>Pieces</v>
      </c>
      <c r="I524" s="3" t="str">
        <f>IFERROR(__xludf.DUMMYFUNCTION("""COMPUTED_VALUE"""),"121703622 - APPROVED")</f>
        <v>121703622 - APPROVED</v>
      </c>
      <c r="J524" s="3" t="str">
        <f>IFERROR(__xludf.DUMMYFUNCTION("""COMPUTED_VALUE"""),"P-14980-00")</f>
        <v>P-14980-00</v>
      </c>
      <c r="K524" s="3" t="str">
        <f>IFERROR(__xludf.DUMMYFUNCTION("""COMPUTED_VALUE"""),"Approve")</f>
        <v>Approve</v>
      </c>
      <c r="L524" s="3" t="str">
        <f>IFERROR(__xludf.DUMMYFUNCTION("""COMPUTED_VALUE"""),"Normal")</f>
        <v>Normal</v>
      </c>
      <c r="M524" s="3" t="str">
        <f>IFERROR(__xludf.DUMMYFUNCTION("""COMPUTED_VALUE"""),"Non Urgent")</f>
        <v>Non Urgent</v>
      </c>
      <c r="N524" s="3">
        <f>IFERROR(__xludf.DUMMYFUNCTION("""COMPUTED_VALUE"""),46047.8850933912)</f>
        <v>46047.88509</v>
      </c>
    </row>
    <row r="525">
      <c r="A525" s="4">
        <f>IFERROR(__xludf.DUMMYFUNCTION("""COMPUTED_VALUE"""),46047.83255263889)</f>
        <v>46047.83255</v>
      </c>
      <c r="B525" s="3" t="str">
        <f>IFERROR(__xludf.DUMMYFUNCTION("""COMPUTED_VALUE"""),"MFHRO0291")</f>
        <v>MFHRO0291</v>
      </c>
      <c r="C525" s="3" t="str">
        <f>IFERROR(__xludf.DUMMYFUNCTION("""COMPUTED_VALUE"""),"Consumable")</f>
        <v>Consumable</v>
      </c>
      <c r="D525" s="3" t="str">
        <f>IFERROR(__xludf.DUMMYFUNCTION("""COMPUTED_VALUE"""),"-")</f>
        <v>-</v>
      </c>
      <c r="E525" s="3" t="str">
        <f>IFERROR(__xludf.DUMMYFUNCTION("""COMPUTED_VALUE"""),"WWTP")</f>
        <v>WWTP</v>
      </c>
      <c r="F525" s="3" t="str">
        <f>IFERROR(__xludf.DUMMYFUNCTION("""COMPUTED_VALUE"""),"Chemical - Sodium Hiphoclorite; No Brand; -; 1 Liter")</f>
        <v>Chemical - Sodium Hiphoclorite; No Brand; -; 1 Liter</v>
      </c>
      <c r="G525" s="3">
        <f>IFERROR(__xludf.DUMMYFUNCTION("""COMPUTED_VALUE"""),840.0)</f>
        <v>840</v>
      </c>
      <c r="H525" s="3" t="str">
        <f>IFERROR(__xludf.DUMMYFUNCTION("""COMPUTED_VALUE"""),"Liter")</f>
        <v>Liter</v>
      </c>
      <c r="I525" s="3" t="str">
        <f>IFERROR(__xludf.DUMMYFUNCTION("""COMPUTED_VALUE"""),"121703624 - APPROVED")</f>
        <v>121703624 - APPROVED</v>
      </c>
      <c r="J525" s="3" t="str">
        <f>IFERROR(__xludf.DUMMYFUNCTION("""COMPUTED_VALUE"""),"P-17645-00")</f>
        <v>P-17645-00</v>
      </c>
      <c r="K525" s="3" t="str">
        <f>IFERROR(__xludf.DUMMYFUNCTION("""COMPUTED_VALUE"""),"Approve")</f>
        <v>Approve</v>
      </c>
      <c r="L525" s="3" t="str">
        <f>IFERROR(__xludf.DUMMYFUNCTION("""COMPUTED_VALUE"""),"Normal")</f>
        <v>Normal</v>
      </c>
      <c r="M525" s="3" t="str">
        <f>IFERROR(__xludf.DUMMYFUNCTION("""COMPUTED_VALUE"""),"Non Urgent")</f>
        <v>Non Urgent</v>
      </c>
      <c r="N525" s="3">
        <f>IFERROR(__xludf.DUMMYFUNCTION("""COMPUTED_VALUE"""),46047.88520282407)</f>
        <v>46047.8852</v>
      </c>
    </row>
    <row r="526">
      <c r="A526" s="4">
        <f>IFERROR(__xludf.DUMMYFUNCTION("""COMPUTED_VALUE"""),46047.83255263889)</f>
        <v>46047.83255</v>
      </c>
      <c r="B526" s="3" t="str">
        <f>IFERROR(__xludf.DUMMYFUNCTION("""COMPUTED_VALUE"""),"MFHRO0292")</f>
        <v>MFHRO0292</v>
      </c>
      <c r="C526" s="3" t="str">
        <f>IFERROR(__xludf.DUMMYFUNCTION("""COMPUTED_VALUE"""),"Consumable")</f>
        <v>Consumable</v>
      </c>
      <c r="D526" s="3" t="str">
        <f>IFERROR(__xludf.DUMMYFUNCTION("""COMPUTED_VALUE"""),"-")</f>
        <v>-</v>
      </c>
      <c r="E526" s="3" t="str">
        <f>IFERROR(__xludf.DUMMYFUNCTION("""COMPUTED_VALUE"""),"WWTP")</f>
        <v>WWTP</v>
      </c>
      <c r="F526" s="3" t="str">
        <f>IFERROR(__xludf.DUMMYFUNCTION("""COMPUTED_VALUE"""),"Chemical - Sodium Hiphoclorite; No Brand; -; 1 Liter")</f>
        <v>Chemical - Sodium Hiphoclorite; No Brand; -; 1 Liter</v>
      </c>
      <c r="G526" s="3">
        <f>IFERROR(__xludf.DUMMYFUNCTION("""COMPUTED_VALUE"""),840.0)</f>
        <v>840</v>
      </c>
      <c r="H526" s="3" t="str">
        <f>IFERROR(__xludf.DUMMYFUNCTION("""COMPUTED_VALUE"""),"Liter")</f>
        <v>Liter</v>
      </c>
      <c r="I526" s="3" t="str">
        <f>IFERROR(__xludf.DUMMYFUNCTION("""COMPUTED_VALUE"""),"121703624 - APPROVED")</f>
        <v>121703624 - APPROVED</v>
      </c>
      <c r="J526" s="3" t="str">
        <f>IFERROR(__xludf.DUMMYFUNCTION("""COMPUTED_VALUE"""),"P-17645-00")</f>
        <v>P-17645-00</v>
      </c>
      <c r="K526" s="3" t="str">
        <f>IFERROR(__xludf.DUMMYFUNCTION("""COMPUTED_VALUE"""),"Approve")</f>
        <v>Approve</v>
      </c>
      <c r="L526" s="3" t="str">
        <f>IFERROR(__xludf.DUMMYFUNCTION("""COMPUTED_VALUE"""),"Normal")</f>
        <v>Normal</v>
      </c>
      <c r="M526" s="3" t="str">
        <f>IFERROR(__xludf.DUMMYFUNCTION("""COMPUTED_VALUE"""),"Non Urgent")</f>
        <v>Non Urgent</v>
      </c>
      <c r="N526" s="3">
        <f>IFERROR(__xludf.DUMMYFUNCTION("""COMPUTED_VALUE"""),46047.8852915162)</f>
        <v>46047.88529</v>
      </c>
    </row>
    <row r="527">
      <c r="A527" s="4">
        <f>IFERROR(__xludf.DUMMYFUNCTION("""COMPUTED_VALUE"""),46047.83255263889)</f>
        <v>46047.83255</v>
      </c>
      <c r="B527" s="3" t="str">
        <f>IFERROR(__xludf.DUMMYFUNCTION("""COMPUTED_VALUE"""),"MFHRO0293")</f>
        <v>MFHRO0293</v>
      </c>
      <c r="C527" s="3" t="str">
        <f>IFERROR(__xludf.DUMMYFUNCTION("""COMPUTED_VALUE"""),"Consumable")</f>
        <v>Consumable</v>
      </c>
      <c r="D527" s="3" t="str">
        <f>IFERROR(__xludf.DUMMYFUNCTION("""COMPUTED_VALUE"""),"-")</f>
        <v>-</v>
      </c>
      <c r="E527" s="3" t="str">
        <f>IFERROR(__xludf.DUMMYFUNCTION("""COMPUTED_VALUE"""),"WWTP")</f>
        <v>WWTP</v>
      </c>
      <c r="F527" s="3" t="str">
        <f>IFERROR(__xludf.DUMMYFUNCTION("""COMPUTED_VALUE"""),"Sodium metabisulfit")</f>
        <v>Sodium metabisulfit</v>
      </c>
      <c r="G527" s="3">
        <f>IFERROR(__xludf.DUMMYFUNCTION("""COMPUTED_VALUE"""),3.0)</f>
        <v>3</v>
      </c>
      <c r="H527" s="3" t="str">
        <f>IFERROR(__xludf.DUMMYFUNCTION("""COMPUTED_VALUE"""),"Pieces")</f>
        <v>Pieces</v>
      </c>
      <c r="I527" s="3" t="str">
        <f>IFERROR(__xludf.DUMMYFUNCTION("""COMPUTED_VALUE"""),"121703624 - APPROVED")</f>
        <v>121703624 - APPROVED</v>
      </c>
      <c r="J527" s="3" t="str">
        <f>IFERROR(__xludf.DUMMYFUNCTION("""COMPUTED_VALUE"""),"P-12830-00")</f>
        <v>P-12830-00</v>
      </c>
      <c r="K527" s="3" t="str">
        <f>IFERROR(__xludf.DUMMYFUNCTION("""COMPUTED_VALUE"""),"Approve")</f>
        <v>Approve</v>
      </c>
      <c r="L527" s="3" t="str">
        <f>IFERROR(__xludf.DUMMYFUNCTION("""COMPUTED_VALUE"""),"Normal")</f>
        <v>Normal</v>
      </c>
      <c r="M527" s="3" t="str">
        <f>IFERROR(__xludf.DUMMYFUNCTION("""COMPUTED_VALUE"""),"Non Urgent")</f>
        <v>Non Urgent</v>
      </c>
      <c r="N527" s="3">
        <f>IFERROR(__xludf.DUMMYFUNCTION("""COMPUTED_VALUE"""),46047.885562696756)</f>
        <v>46047.88556</v>
      </c>
    </row>
    <row r="528">
      <c r="A528" s="4">
        <f>IFERROR(__xludf.DUMMYFUNCTION("""COMPUTED_VALUE"""),46047.83255263889)</f>
        <v>46047.83255</v>
      </c>
      <c r="B528" s="3" t="str">
        <f>IFERROR(__xludf.DUMMYFUNCTION("""COMPUTED_VALUE"""),"MFHRO0294")</f>
        <v>MFHRO0294</v>
      </c>
      <c r="C528" s="3" t="str">
        <f>IFERROR(__xludf.DUMMYFUNCTION("""COMPUTED_VALUE"""),"Consumable")</f>
        <v>Consumable</v>
      </c>
      <c r="D528" s="3" t="str">
        <f>IFERROR(__xludf.DUMMYFUNCTION("""COMPUTED_VALUE"""),"-")</f>
        <v>-</v>
      </c>
      <c r="E528" s="3" t="str">
        <f>IFERROR(__xludf.DUMMYFUNCTION("""COMPUTED_VALUE"""),"WWTP")</f>
        <v>WWTP</v>
      </c>
      <c r="F528" s="3" t="str">
        <f>IFERROR(__xludf.DUMMYFUNCTION("""COMPUTED_VALUE"""),"Sodium metabisulfit")</f>
        <v>Sodium metabisulfit</v>
      </c>
      <c r="G528" s="3">
        <f>IFERROR(__xludf.DUMMYFUNCTION("""COMPUTED_VALUE"""),3.0)</f>
        <v>3</v>
      </c>
      <c r="H528" s="3" t="str">
        <f>IFERROR(__xludf.DUMMYFUNCTION("""COMPUTED_VALUE"""),"Pieces")</f>
        <v>Pieces</v>
      </c>
      <c r="I528" s="3" t="str">
        <f>IFERROR(__xludf.DUMMYFUNCTION("""COMPUTED_VALUE"""),"121703624 - APPROVED")</f>
        <v>121703624 - APPROVED</v>
      </c>
      <c r="J528" s="3" t="str">
        <f>IFERROR(__xludf.DUMMYFUNCTION("""COMPUTED_VALUE"""),"P-12830-00")</f>
        <v>P-12830-00</v>
      </c>
      <c r="K528" s="3" t="str">
        <f>IFERROR(__xludf.DUMMYFUNCTION("""COMPUTED_VALUE"""),"Approve")</f>
        <v>Approve</v>
      </c>
      <c r="L528" s="3" t="str">
        <f>IFERROR(__xludf.DUMMYFUNCTION("""COMPUTED_VALUE"""),"Normal")</f>
        <v>Normal</v>
      </c>
      <c r="M528" s="3" t="str">
        <f>IFERROR(__xludf.DUMMYFUNCTION("""COMPUTED_VALUE"""),"Non Urgent")</f>
        <v>Non Urgent</v>
      </c>
      <c r="N528" s="3">
        <f>IFERROR(__xludf.DUMMYFUNCTION("""COMPUTED_VALUE"""),46047.88567846065)</f>
        <v>46047.88568</v>
      </c>
    </row>
    <row r="529">
      <c r="A529" s="4">
        <f>IFERROR(__xludf.DUMMYFUNCTION("""COMPUTED_VALUE"""),46047.83255263889)</f>
        <v>46047.83255</v>
      </c>
      <c r="B529" s="3" t="str">
        <f>IFERROR(__xludf.DUMMYFUNCTION("""COMPUTED_VALUE"""),"MFHRO0295")</f>
        <v>MFHRO0295</v>
      </c>
      <c r="C529" s="3" t="str">
        <f>IFERROR(__xludf.DUMMYFUNCTION("""COMPUTED_VALUE"""),"Consumable")</f>
        <v>Consumable</v>
      </c>
      <c r="D529" s="3" t="str">
        <f>IFERROR(__xludf.DUMMYFUNCTION("""COMPUTED_VALUE"""),"-")</f>
        <v>-</v>
      </c>
      <c r="E529" s="3" t="str">
        <f>IFERROR(__xludf.DUMMYFUNCTION("""COMPUTED_VALUE"""),"Washing")</f>
        <v>Washing</v>
      </c>
      <c r="F529" s="3" t="str">
        <f>IFERROR(__xludf.DUMMYFUNCTION("""COMPUTED_VALUE"""),"General - Oring Silicone Merah 23x18x2.5 mm; -; -; 1 Pc")</f>
        <v>General - Oring Silicone Merah 23x18x2.5 mm; -; -; 1 Pc</v>
      </c>
      <c r="G529" s="3">
        <f>IFERROR(__xludf.DUMMYFUNCTION("""COMPUTED_VALUE"""),270.0)</f>
        <v>270</v>
      </c>
      <c r="H529" s="3" t="str">
        <f>IFERROR(__xludf.DUMMYFUNCTION("""COMPUTED_VALUE"""),"Pieces")</f>
        <v>Pieces</v>
      </c>
      <c r="I529" s="3" t="str">
        <f>IFERROR(__xludf.DUMMYFUNCTION("""COMPUTED_VALUE"""),"121703628 - APPROVED")</f>
        <v>121703628 - APPROVED</v>
      </c>
      <c r="J529" s="3" t="str">
        <f>IFERROR(__xludf.DUMMYFUNCTION("""COMPUTED_VALUE"""),"O-16647-00")</f>
        <v>O-16647-00</v>
      </c>
      <c r="K529" s="3" t="str">
        <f>IFERROR(__xludf.DUMMYFUNCTION("""COMPUTED_VALUE"""),"Approve")</f>
        <v>Approve</v>
      </c>
      <c r="L529" s="3" t="str">
        <f>IFERROR(__xludf.DUMMYFUNCTION("""COMPUTED_VALUE"""),"Normal")</f>
        <v>Normal</v>
      </c>
      <c r="M529" s="3" t="str">
        <f>IFERROR(__xludf.DUMMYFUNCTION("""COMPUTED_VALUE"""),"Non Urgent")</f>
        <v>Non Urgent</v>
      </c>
      <c r="N529" s="3">
        <f>IFERROR(__xludf.DUMMYFUNCTION("""COMPUTED_VALUE"""),46047.88580788195)</f>
        <v>46047.88581</v>
      </c>
    </row>
    <row r="530">
      <c r="A530" s="4">
        <f>IFERROR(__xludf.DUMMYFUNCTION("""COMPUTED_VALUE"""),46047.83255263889)</f>
        <v>46047.83255</v>
      </c>
      <c r="B530" s="3" t="str">
        <f>IFERROR(__xludf.DUMMYFUNCTION("""COMPUTED_VALUE"""),"MFHRO0296")</f>
        <v>MFHRO0296</v>
      </c>
      <c r="C530" s="3" t="str">
        <f>IFERROR(__xludf.DUMMYFUNCTION("""COMPUTED_VALUE"""),"Consumable")</f>
        <v>Consumable</v>
      </c>
      <c r="D530" s="3" t="str">
        <f>IFERROR(__xludf.DUMMYFUNCTION("""COMPUTED_VALUE"""),"-")</f>
        <v>-</v>
      </c>
      <c r="E530" s="3" t="str">
        <f>IFERROR(__xludf.DUMMYFUNCTION("""COMPUTED_VALUE"""),"Washing")</f>
        <v>Washing</v>
      </c>
      <c r="F530" s="3" t="str">
        <f>IFERROR(__xludf.DUMMYFUNCTION("""COMPUTED_VALUE"""),"General - Oring Silicone Merah 23x18x2.5 mm; -; -; 1 Pc")</f>
        <v>General - Oring Silicone Merah 23x18x2.5 mm; -; -; 1 Pc</v>
      </c>
      <c r="G530" s="3">
        <f>IFERROR(__xludf.DUMMYFUNCTION("""COMPUTED_VALUE"""),270.0)</f>
        <v>270</v>
      </c>
      <c r="H530" s="3" t="str">
        <f>IFERROR(__xludf.DUMMYFUNCTION("""COMPUTED_VALUE"""),"Pieces")</f>
        <v>Pieces</v>
      </c>
      <c r="I530" s="3" t="str">
        <f>IFERROR(__xludf.DUMMYFUNCTION("""COMPUTED_VALUE"""),"121703628 - APPROVED")</f>
        <v>121703628 - APPROVED</v>
      </c>
      <c r="J530" s="3" t="str">
        <f>IFERROR(__xludf.DUMMYFUNCTION("""COMPUTED_VALUE"""),"O-16647-00")</f>
        <v>O-16647-00</v>
      </c>
      <c r="K530" s="3" t="str">
        <f>IFERROR(__xludf.DUMMYFUNCTION("""COMPUTED_VALUE"""),"Approve")</f>
        <v>Approve</v>
      </c>
      <c r="L530" s="3" t="str">
        <f>IFERROR(__xludf.DUMMYFUNCTION("""COMPUTED_VALUE"""),"Normal")</f>
        <v>Normal</v>
      </c>
      <c r="M530" s="3" t="str">
        <f>IFERROR(__xludf.DUMMYFUNCTION("""COMPUTED_VALUE"""),"Non Urgent")</f>
        <v>Non Urgent</v>
      </c>
      <c r="N530" s="3">
        <f>IFERROR(__xludf.DUMMYFUNCTION("""COMPUTED_VALUE"""),46047.8859977199)</f>
        <v>46047.886</v>
      </c>
    </row>
    <row r="531">
      <c r="A531" s="4">
        <f>IFERROR(__xludf.DUMMYFUNCTION("""COMPUTED_VALUE"""),46047.83255263889)</f>
        <v>46047.83255</v>
      </c>
      <c r="B531" s="3" t="str">
        <f>IFERROR(__xludf.DUMMYFUNCTION("""COMPUTED_VALUE"""),"MFHRO0297")</f>
        <v>MFHRO0297</v>
      </c>
      <c r="C531" s="3" t="str">
        <f>IFERROR(__xludf.DUMMYFUNCTION("""COMPUTED_VALUE"""),"MIn Stok")</f>
        <v>MIn Stok</v>
      </c>
      <c r="D531" s="3" t="str">
        <f>IFERROR(__xludf.DUMMYFUNCTION("""COMPUTED_VALUE"""),"-")</f>
        <v>-</v>
      </c>
      <c r="E531" s="3" t="str">
        <f>IFERROR(__xludf.DUMMYFUNCTION("""COMPUTED_VALUE"""),"Filling")</f>
        <v>Filling</v>
      </c>
      <c r="F531" s="3" t="str">
        <f>IFERROR(__xludf.DUMMYFUNCTION("""COMPUTED_VALUE"""),"General - Pulsed DC Ionising Bar Hyperion 929IPS Length 325mm; Steriline; 1096041; 1 Pc")</f>
        <v>General - Pulsed DC Ionising Bar Hyperion 929IPS Length 325mm; Steriline; 1096041; 1 Pc</v>
      </c>
      <c r="G531" s="3">
        <f>IFERROR(__xludf.DUMMYFUNCTION("""COMPUTED_VALUE"""),1.0)</f>
        <v>1</v>
      </c>
      <c r="H531" s="3" t="str">
        <f>IFERROR(__xludf.DUMMYFUNCTION("""COMPUTED_VALUE"""),"Pieces")</f>
        <v>Pieces</v>
      </c>
      <c r="I531" s="3" t="str">
        <f>IFERROR(__xludf.DUMMYFUNCTION("""COMPUTED_VALUE"""),"121703633 - APPROVED")</f>
        <v>121703633 - APPROVED</v>
      </c>
      <c r="J531" s="3" t="str">
        <f>IFERROR(__xludf.DUMMYFUNCTION("""COMPUTED_VALUE"""),"O-51996-00")</f>
        <v>O-51996-00</v>
      </c>
      <c r="K531" s="3" t="str">
        <f>IFERROR(__xludf.DUMMYFUNCTION("""COMPUTED_VALUE"""),"Approve")</f>
        <v>Approve</v>
      </c>
      <c r="L531" s="3" t="str">
        <f>IFERROR(__xludf.DUMMYFUNCTION("""COMPUTED_VALUE"""),"Normal")</f>
        <v>Normal</v>
      </c>
      <c r="M531" s="3" t="str">
        <f>IFERROR(__xludf.DUMMYFUNCTION("""COMPUTED_VALUE"""),"Non Urgent")</f>
        <v>Non Urgent</v>
      </c>
      <c r="N531" s="3">
        <f>IFERROR(__xludf.DUMMYFUNCTION("""COMPUTED_VALUE"""),46047.88606954861)</f>
        <v>46047.88607</v>
      </c>
    </row>
    <row r="532">
      <c r="A532" s="4">
        <f>IFERROR(__xludf.DUMMYFUNCTION("""COMPUTED_VALUE"""),46047.83255263889)</f>
        <v>46047.83255</v>
      </c>
      <c r="B532" s="3" t="str">
        <f>IFERROR(__xludf.DUMMYFUNCTION("""COMPUTED_VALUE"""),"MFHRO0298")</f>
        <v>MFHRO0298</v>
      </c>
      <c r="C532" s="3" t="str">
        <f>IFERROR(__xludf.DUMMYFUNCTION("""COMPUTED_VALUE"""),"MIn Stok")</f>
        <v>MIn Stok</v>
      </c>
      <c r="D532" s="3" t="str">
        <f>IFERROR(__xludf.DUMMYFUNCTION("""COMPUTED_VALUE"""),"-")</f>
        <v>-</v>
      </c>
      <c r="E532" s="3" t="str">
        <f>IFERROR(__xludf.DUMMYFUNCTION("""COMPUTED_VALUE"""),"cRABS")</f>
        <v>cRABS</v>
      </c>
      <c r="F532" s="3" t="str">
        <f>IFERROR(__xludf.DUMMYFUNCTION("""COMPUTED_VALUE"""),"cRABS Z064CR - Transmitter for Temperature Probe HC2-xxx; -; 64938; 1 Pc")</f>
        <v>cRABS Z064CR - Transmitter for Temperature Probe HC2-xxx; -; 64938; 1 Pc</v>
      </c>
      <c r="G532" s="3">
        <f>IFERROR(__xludf.DUMMYFUNCTION("""COMPUTED_VALUE"""),1.0)</f>
        <v>1</v>
      </c>
      <c r="H532" s="3" t="str">
        <f>IFERROR(__xludf.DUMMYFUNCTION("""COMPUTED_VALUE"""),"Pieces")</f>
        <v>Pieces</v>
      </c>
      <c r="I532" s="3" t="str">
        <f>IFERROR(__xludf.DUMMYFUNCTION("""COMPUTED_VALUE"""),"121703633 - APPROVED")</f>
        <v>121703633 - APPROVED</v>
      </c>
      <c r="J532" s="3" t="str">
        <f>IFERROR(__xludf.DUMMYFUNCTION("""COMPUTED_VALUE"""),"O-53523-00")</f>
        <v>O-53523-00</v>
      </c>
      <c r="K532" s="3" t="str">
        <f>IFERROR(__xludf.DUMMYFUNCTION("""COMPUTED_VALUE"""),"Approve")</f>
        <v>Approve</v>
      </c>
      <c r="L532" s="3" t="str">
        <f>IFERROR(__xludf.DUMMYFUNCTION("""COMPUTED_VALUE"""),"Normal")</f>
        <v>Normal</v>
      </c>
      <c r="M532" s="3" t="str">
        <f>IFERROR(__xludf.DUMMYFUNCTION("""COMPUTED_VALUE"""),"Non Urgent")</f>
        <v>Non Urgent</v>
      </c>
      <c r="N532" s="3">
        <f>IFERROR(__xludf.DUMMYFUNCTION("""COMPUTED_VALUE"""),46047.886155914355)</f>
        <v>46047.88616</v>
      </c>
    </row>
    <row r="533">
      <c r="A533" s="4">
        <f>IFERROR(__xludf.DUMMYFUNCTION("""COMPUTED_VALUE"""),46047.83255263889)</f>
        <v>46047.83255</v>
      </c>
      <c r="B533" s="3" t="str">
        <f>IFERROR(__xludf.DUMMYFUNCTION("""COMPUTED_VALUE"""),"MFHRO0299")</f>
        <v>MFHRO0299</v>
      </c>
      <c r="C533" s="3" t="str">
        <f>IFERROR(__xludf.DUMMYFUNCTION("""COMPUTED_VALUE"""),"MIn Stok")</f>
        <v>MIn Stok</v>
      </c>
      <c r="D533" s="3" t="str">
        <f>IFERROR(__xludf.DUMMYFUNCTION("""COMPUTED_VALUE"""),"-")</f>
        <v>-</v>
      </c>
      <c r="E533" s="3" t="str">
        <f>IFERROR(__xludf.DUMMYFUNCTION("""COMPUTED_VALUE"""),"cRABS")</f>
        <v>cRABS</v>
      </c>
      <c r="F533" s="3" t="str">
        <f>IFERROR(__xludf.DUMMYFUNCTION("""COMPUTED_VALUE"""),"cRABS Z064CR - Digital Probe for Humidity and Temperature; -; 64939; 1 Pc")</f>
        <v>cRABS Z064CR - Digital Probe for Humidity and Temperature; -; 64939; 1 Pc</v>
      </c>
      <c r="G533" s="3">
        <f>IFERROR(__xludf.DUMMYFUNCTION("""COMPUTED_VALUE"""),1.0)</f>
        <v>1</v>
      </c>
      <c r="H533" s="3" t="str">
        <f>IFERROR(__xludf.DUMMYFUNCTION("""COMPUTED_VALUE"""),"Pieces")</f>
        <v>Pieces</v>
      </c>
      <c r="I533" s="3" t="str">
        <f>IFERROR(__xludf.DUMMYFUNCTION("""COMPUTED_VALUE"""),"121703633 - APPROVED")</f>
        <v>121703633 - APPROVED</v>
      </c>
      <c r="J533" s="3" t="str">
        <f>IFERROR(__xludf.DUMMYFUNCTION("""COMPUTED_VALUE"""),"O-53524-00")</f>
        <v>O-53524-00</v>
      </c>
      <c r="K533" s="3" t="str">
        <f>IFERROR(__xludf.DUMMYFUNCTION("""COMPUTED_VALUE"""),"Approve")</f>
        <v>Approve</v>
      </c>
      <c r="L533" s="3" t="str">
        <f>IFERROR(__xludf.DUMMYFUNCTION("""COMPUTED_VALUE"""),"Normal")</f>
        <v>Normal</v>
      </c>
      <c r="M533" s="3" t="str">
        <f>IFERROR(__xludf.DUMMYFUNCTION("""COMPUTED_VALUE"""),"Non Urgent")</f>
        <v>Non Urgent</v>
      </c>
      <c r="N533" s="3">
        <f>IFERROR(__xludf.DUMMYFUNCTION("""COMPUTED_VALUE"""),46047.88625157408)</f>
        <v>46047.88625</v>
      </c>
    </row>
    <row r="534">
      <c r="A534" s="4">
        <f>IFERROR(__xludf.DUMMYFUNCTION("""COMPUTED_VALUE"""),46047.83255263889)</f>
        <v>46047.83255</v>
      </c>
      <c r="B534" s="3" t="str">
        <f>IFERROR(__xludf.DUMMYFUNCTION("""COMPUTED_VALUE"""),"MFHRO0301")</f>
        <v>MFHRO0301</v>
      </c>
      <c r="C534" s="3" t="str">
        <f>IFERROR(__xludf.DUMMYFUNCTION("""COMPUTED_VALUE"""),"Consumable")</f>
        <v>Consumable</v>
      </c>
      <c r="D534" s="3" t="str">
        <f>IFERROR(__xludf.DUMMYFUNCTION("""COMPUTED_VALUE"""),"-")</f>
        <v>-</v>
      </c>
      <c r="E534" s="3" t="str">
        <f>IFERROR(__xludf.DUMMYFUNCTION("""COMPUTED_VALUE"""),"Sparepart")</f>
        <v>Sparepart</v>
      </c>
      <c r="F534" s="3" t="str">
        <f>IFERROR(__xludf.DUMMYFUNCTION("""COMPUTED_VALUE"""),"Gas Nitrogen (N2); 6 M3; Refill; Ultra High Purity (UHP); Purity ? 99.999%")</f>
        <v>Gas Nitrogen (N2); 6 M3; Refill; Ultra High Purity (UHP); Purity ? 99.999%</v>
      </c>
      <c r="G534" s="3">
        <f>IFERROR(__xludf.DUMMYFUNCTION("""COMPUTED_VALUE"""),2.0)</f>
        <v>2</v>
      </c>
      <c r="H534" s="3" t="str">
        <f>IFERROR(__xludf.DUMMYFUNCTION("""COMPUTED_VALUE"""),"Tube")</f>
        <v>Tube</v>
      </c>
      <c r="I534" s="3" t="str">
        <f>IFERROR(__xludf.DUMMYFUNCTION("""COMPUTED_VALUE"""),"121703634 - APPROVED")</f>
        <v>121703634 - APPROVED</v>
      </c>
      <c r="J534" s="3" t="str">
        <f>IFERROR(__xludf.DUMMYFUNCTION("""COMPUTED_VALUE"""),"S-62027-00")</f>
        <v>S-62027-00</v>
      </c>
      <c r="K534" s="3" t="str">
        <f>IFERROR(__xludf.DUMMYFUNCTION("""COMPUTED_VALUE"""),"Approve")</f>
        <v>Approve</v>
      </c>
      <c r="L534" s="3" t="str">
        <f>IFERROR(__xludf.DUMMYFUNCTION("""COMPUTED_VALUE"""),"Normal")</f>
        <v>Normal</v>
      </c>
      <c r="M534" s="3" t="str">
        <f>IFERROR(__xludf.DUMMYFUNCTION("""COMPUTED_VALUE"""),"Non Urgent")</f>
        <v>Non Urgent</v>
      </c>
      <c r="N534" s="3">
        <f>IFERROR(__xludf.DUMMYFUNCTION("""COMPUTED_VALUE"""),46047.887844004625)</f>
        <v>46047.88784</v>
      </c>
    </row>
    <row r="535">
      <c r="A535" s="4">
        <f>IFERROR(__xludf.DUMMYFUNCTION("""COMPUTED_VALUE"""),46047.83255263889)</f>
        <v>46047.83255</v>
      </c>
      <c r="B535" s="3" t="str">
        <f>IFERROR(__xludf.DUMMYFUNCTION("""COMPUTED_VALUE"""),"MFHRO0302")</f>
        <v>MFHRO0302</v>
      </c>
      <c r="C535" s="3" t="str">
        <f>IFERROR(__xludf.DUMMYFUNCTION("""COMPUTED_VALUE"""),"Consumable")</f>
        <v>Consumable</v>
      </c>
      <c r="D535" s="3" t="str">
        <f>IFERROR(__xludf.DUMMYFUNCTION("""COMPUTED_VALUE"""),"-")</f>
        <v>-</v>
      </c>
      <c r="E535" s="3" t="str">
        <f>IFERROR(__xludf.DUMMYFUNCTION("""COMPUTED_VALUE"""),"Sparepart")</f>
        <v>Sparepart</v>
      </c>
      <c r="F535" s="3" t="str">
        <f>IFERROR(__xludf.DUMMYFUNCTION("""COMPUTED_VALUE"""),"Gas Nitrogen (N2); 6 M3; Refill; Ultra High Purity (UHP); Purity ? 99.999%")</f>
        <v>Gas Nitrogen (N2); 6 M3; Refill; Ultra High Purity (UHP); Purity ? 99.999%</v>
      </c>
      <c r="G535" s="3">
        <f>IFERROR(__xludf.DUMMYFUNCTION("""COMPUTED_VALUE"""),3.0)</f>
        <v>3</v>
      </c>
      <c r="H535" s="3" t="str">
        <f>IFERROR(__xludf.DUMMYFUNCTION("""COMPUTED_VALUE"""),"Tube")</f>
        <v>Tube</v>
      </c>
      <c r="I535" s="3" t="str">
        <f>IFERROR(__xludf.DUMMYFUNCTION("""COMPUTED_VALUE"""),"121703634 - APPROVED")</f>
        <v>121703634 - APPROVED</v>
      </c>
      <c r="J535" s="3" t="str">
        <f>IFERROR(__xludf.DUMMYFUNCTION("""COMPUTED_VALUE"""),"S-62027-00")</f>
        <v>S-62027-00</v>
      </c>
      <c r="K535" s="3" t="str">
        <f>IFERROR(__xludf.DUMMYFUNCTION("""COMPUTED_VALUE"""),"Approve")</f>
        <v>Approve</v>
      </c>
      <c r="L535" s="3" t="str">
        <f>IFERROR(__xludf.DUMMYFUNCTION("""COMPUTED_VALUE"""),"Normal")</f>
        <v>Normal</v>
      </c>
      <c r="M535" s="3" t="str">
        <f>IFERROR(__xludf.DUMMYFUNCTION("""COMPUTED_VALUE"""),"Non Urgent")</f>
        <v>Non Urgent</v>
      </c>
      <c r="N535" s="3">
        <f>IFERROR(__xludf.DUMMYFUNCTION("""COMPUTED_VALUE"""),46047.88792879629)</f>
        <v>46047.88793</v>
      </c>
    </row>
    <row r="536">
      <c r="A536" s="4">
        <f>IFERROR(__xludf.DUMMYFUNCTION("""COMPUTED_VALUE"""),46047.83255263889)</f>
        <v>46047.83255</v>
      </c>
      <c r="B536" s="3" t="str">
        <f>IFERROR(__xludf.DUMMYFUNCTION("""COMPUTED_VALUE"""),"MFHRO0303")</f>
        <v>MFHRO0303</v>
      </c>
      <c r="C536" s="3" t="str">
        <f>IFERROR(__xludf.DUMMYFUNCTION("""COMPUTED_VALUE"""),"MIn Stok")</f>
        <v>MIn Stok</v>
      </c>
      <c r="D536" s="3" t="str">
        <f>IFERROR(__xludf.DUMMYFUNCTION("""COMPUTED_VALUE"""),"-")</f>
        <v>-</v>
      </c>
      <c r="E536" s="3" t="str">
        <f>IFERROR(__xludf.DUMMYFUNCTION("""COMPUTED_VALUE"""),"Sparepart")</f>
        <v>Sparepart</v>
      </c>
      <c r="F536" s="3" t="str">
        <f>IFERROR(__xludf.DUMMYFUNCTION("""COMPUTED_VALUE"""),"General - Contact cleaner WD 40; No Brand; -; 382gr/can")</f>
        <v>General - Contact cleaner WD 40; No Brand; -; 382gr/can</v>
      </c>
      <c r="G536" s="3">
        <f>IFERROR(__xludf.DUMMYFUNCTION("""COMPUTED_VALUE"""),3.0)</f>
        <v>3</v>
      </c>
      <c r="H536" s="3" t="str">
        <f>IFERROR(__xludf.DUMMYFUNCTION("""COMPUTED_VALUE"""),"Pieces")</f>
        <v>Pieces</v>
      </c>
      <c r="I536" s="3" t="str">
        <f>IFERROR(__xludf.DUMMYFUNCTION("""COMPUTED_VALUE"""),"121703637 - APPROVED")</f>
        <v>121703637 - APPROVED</v>
      </c>
      <c r="J536" s="3" t="str">
        <f>IFERROR(__xludf.DUMMYFUNCTION("""COMPUTED_VALUE"""),"P-10729-00")</f>
        <v>P-10729-00</v>
      </c>
      <c r="K536" s="3" t="str">
        <f>IFERROR(__xludf.DUMMYFUNCTION("""COMPUTED_VALUE"""),"Approve")</f>
        <v>Approve</v>
      </c>
      <c r="L536" s="3" t="str">
        <f>IFERROR(__xludf.DUMMYFUNCTION("""COMPUTED_VALUE"""),"Normal")</f>
        <v>Normal</v>
      </c>
      <c r="M536" s="3" t="str">
        <f>IFERROR(__xludf.DUMMYFUNCTION("""COMPUTED_VALUE"""),"Non Urgent")</f>
        <v>Non Urgent</v>
      </c>
      <c r="N536" s="3">
        <f>IFERROR(__xludf.DUMMYFUNCTION("""COMPUTED_VALUE"""),46047.88801222222)</f>
        <v>46047.88801</v>
      </c>
    </row>
    <row r="537">
      <c r="A537" s="4">
        <f>IFERROR(__xludf.DUMMYFUNCTION("""COMPUTED_VALUE"""),46047.83255263889)</f>
        <v>46047.83255</v>
      </c>
      <c r="B537" s="3" t="str">
        <f>IFERROR(__xludf.DUMMYFUNCTION("""COMPUTED_VALUE"""),"MFHRO0304")</f>
        <v>MFHRO0304</v>
      </c>
      <c r="C537" s="3" t="str">
        <f>IFERROR(__xludf.DUMMYFUNCTION("""COMPUTED_VALUE"""),"Consumable")</f>
        <v>Consumable</v>
      </c>
      <c r="D537" s="3" t="str">
        <f>IFERROR(__xludf.DUMMYFUNCTION("""COMPUTED_VALUE"""),"-")</f>
        <v>-</v>
      </c>
      <c r="E537" s="3" t="str">
        <f>IFERROR(__xludf.DUMMYFUNCTION("""COMPUTED_VALUE"""),"Tools")</f>
        <v>Tools</v>
      </c>
      <c r="F537" s="3" t="str">
        <f>IFERROR(__xludf.DUMMYFUNCTION("""COMPUTED_VALUE"""),"Kunci L Mini Set; Tekiro; HK-EL1198; 7 pc/set")</f>
        <v>Kunci L Mini Set; Tekiro; HK-EL1198; 7 pc/set</v>
      </c>
      <c r="G537" s="3">
        <f>IFERROR(__xludf.DUMMYFUNCTION("""COMPUTED_VALUE"""),1.0)</f>
        <v>1</v>
      </c>
      <c r="H537" s="3" t="str">
        <f>IFERROR(__xludf.DUMMYFUNCTION("""COMPUTED_VALUE"""),"Set")</f>
        <v>Set</v>
      </c>
      <c r="I537" s="3" t="str">
        <f>IFERROR(__xludf.DUMMYFUNCTION("""COMPUTED_VALUE"""),"121703645 - APPROVED")</f>
        <v>121703645 - APPROVED</v>
      </c>
      <c r="J537" s="3" t="str">
        <f>IFERROR(__xludf.DUMMYFUNCTION("""COMPUTED_VALUE"""),"Q-70224-00")</f>
        <v>Q-70224-00</v>
      </c>
      <c r="K537" s="3" t="str">
        <f>IFERROR(__xludf.DUMMYFUNCTION("""COMPUTED_VALUE"""),"Approve")</f>
        <v>Approve</v>
      </c>
      <c r="L537" s="3" t="str">
        <f>IFERROR(__xludf.DUMMYFUNCTION("""COMPUTED_VALUE"""),"Normal")</f>
        <v>Normal</v>
      </c>
      <c r="M537" s="3" t="str">
        <f>IFERROR(__xludf.DUMMYFUNCTION("""COMPUTED_VALUE"""),"Non Urgent")</f>
        <v>Non Urgent</v>
      </c>
      <c r="N537" s="3">
        <f>IFERROR(__xludf.DUMMYFUNCTION("""COMPUTED_VALUE"""),46047.88812454861)</f>
        <v>46047.88812</v>
      </c>
    </row>
    <row r="538">
      <c r="A538" s="4">
        <f>IFERROR(__xludf.DUMMYFUNCTION("""COMPUTED_VALUE"""),46047.83255263889)</f>
        <v>46047.83255</v>
      </c>
      <c r="B538" s="3" t="str">
        <f>IFERROR(__xludf.DUMMYFUNCTION("""COMPUTED_VALUE"""),"MFHRO0305")</f>
        <v>MFHRO0305</v>
      </c>
      <c r="C538" s="3" t="str">
        <f>IFERROR(__xludf.DUMMYFUNCTION("""COMPUTED_VALUE"""),"MIn Stok")</f>
        <v>MIn Stok</v>
      </c>
      <c r="D538" s="3" t="str">
        <f>IFERROR(__xludf.DUMMYFUNCTION("""COMPUTED_VALUE"""),"-")</f>
        <v>-</v>
      </c>
      <c r="E538" s="3" t="str">
        <f>IFERROR(__xludf.DUMMYFUNCTION("""COMPUTED_VALUE"""),"BSC")</f>
        <v>BSC</v>
      </c>
      <c r="F538" s="3" t="str">
        <f>IFERROR(__xludf.DUMMYFUNCTION("""COMPUTED_VALUE"""),"General - Isolator Gloves 000080 E10330 CNS 7 E3 5 Neoprene No Staining; Piercan; SG010138; 1 Pc")</f>
        <v>General - Isolator Gloves 000080 E10330 CNS 7 E3 5 Neoprene No Staining; Piercan; SG010138; 1 Pc</v>
      </c>
      <c r="G538" s="3">
        <f>IFERROR(__xludf.DUMMYFUNCTION("""COMPUTED_VALUE"""),30.0)</f>
        <v>30</v>
      </c>
      <c r="H538" s="3" t="str">
        <f>IFERROR(__xludf.DUMMYFUNCTION("""COMPUTED_VALUE"""),"Pieces")</f>
        <v>Pieces</v>
      </c>
      <c r="I538" s="3" t="str">
        <f>IFERROR(__xludf.DUMMYFUNCTION("""COMPUTED_VALUE"""),"121703655 - APPROVED")</f>
        <v>121703655 - APPROVED</v>
      </c>
      <c r="J538" s="3" t="str">
        <f>IFERROR(__xludf.DUMMYFUNCTION("""COMPUTED_VALUE"""),"O-21284-00")</f>
        <v>O-21284-00</v>
      </c>
      <c r="K538" s="3" t="str">
        <f>IFERROR(__xludf.DUMMYFUNCTION("""COMPUTED_VALUE"""),"Approve")</f>
        <v>Approve</v>
      </c>
      <c r="L538" s="3" t="str">
        <f>IFERROR(__xludf.DUMMYFUNCTION("""COMPUTED_VALUE"""),"Normal")</f>
        <v>Normal</v>
      </c>
      <c r="M538" s="3" t="str">
        <f>IFERROR(__xludf.DUMMYFUNCTION("""COMPUTED_VALUE"""),"Non Urgent")</f>
        <v>Non Urgent</v>
      </c>
      <c r="N538" s="3">
        <f>IFERROR(__xludf.DUMMYFUNCTION("""COMPUTED_VALUE"""),46047.888217534724)</f>
        <v>46047.88822</v>
      </c>
    </row>
    <row r="539">
      <c r="A539" s="4">
        <f>IFERROR(__xludf.DUMMYFUNCTION("""COMPUTED_VALUE"""),46047.83255263889)</f>
        <v>46047.83255</v>
      </c>
      <c r="B539" s="3" t="str">
        <f>IFERROR(__xludf.DUMMYFUNCTION("""COMPUTED_VALUE"""),"MFHRO0306")</f>
        <v>MFHRO0306</v>
      </c>
      <c r="C539" s="3" t="str">
        <f>IFERROR(__xludf.DUMMYFUNCTION("""COMPUTED_VALUE"""),"MIn Stok")</f>
        <v>MIn Stok</v>
      </c>
      <c r="D539" s="3" t="str">
        <f>IFERROR(__xludf.DUMMYFUNCTION("""COMPUTED_VALUE"""),"-")</f>
        <v>-</v>
      </c>
      <c r="E539" s="3" t="str">
        <f>IFERROR(__xludf.DUMMYFUNCTION("""COMPUTED_VALUE"""),"TOC")</f>
        <v>TOC</v>
      </c>
      <c r="F539" s="3" t="str">
        <f>IFERROR(__xludf.DUMMYFUNCTION("""COMPUTED_VALUE"""),"Replacement Filter 60 Micron; Sievers; c/n CHTF94402; 1 pc")</f>
        <v>Replacement Filter 60 Micron; Sievers; c/n CHTF94402; 1 pc</v>
      </c>
      <c r="G539" s="3">
        <f>IFERROR(__xludf.DUMMYFUNCTION("""COMPUTED_VALUE"""),1.0)</f>
        <v>1</v>
      </c>
      <c r="H539" s="3" t="str">
        <f>IFERROR(__xludf.DUMMYFUNCTION("""COMPUTED_VALUE"""),"Pieces")</f>
        <v>Pieces</v>
      </c>
      <c r="I539" s="3" t="str">
        <f>IFERROR(__xludf.DUMMYFUNCTION("""COMPUTED_VALUE"""),"121703656 - APPROVED")</f>
        <v>121703656 - APPROVED</v>
      </c>
      <c r="J539" s="3" t="str">
        <f>IFERROR(__xludf.DUMMYFUNCTION("""COMPUTED_VALUE"""),"T-20148-00")</f>
        <v>T-20148-00</v>
      </c>
      <c r="K539" s="3" t="str">
        <f>IFERROR(__xludf.DUMMYFUNCTION("""COMPUTED_VALUE"""),"Approve")</f>
        <v>Approve</v>
      </c>
      <c r="L539" s="3" t="str">
        <f>IFERROR(__xludf.DUMMYFUNCTION("""COMPUTED_VALUE"""),"Normal")</f>
        <v>Normal</v>
      </c>
      <c r="M539" s="3" t="str">
        <f>IFERROR(__xludf.DUMMYFUNCTION("""COMPUTED_VALUE"""),"Non Urgent")</f>
        <v>Non Urgent</v>
      </c>
      <c r="N539" s="3">
        <f>IFERROR(__xludf.DUMMYFUNCTION("""COMPUTED_VALUE"""),46047.88831909723)</f>
        <v>46047.88832</v>
      </c>
    </row>
    <row r="540">
      <c r="A540" s="4">
        <f>IFERROR(__xludf.DUMMYFUNCTION("""COMPUTED_VALUE"""),46047.83255263889)</f>
        <v>46047.83255</v>
      </c>
      <c r="B540" s="3" t="str">
        <f>IFERROR(__xludf.DUMMYFUNCTION("""COMPUTED_VALUE"""),"MFHRO0307")</f>
        <v>MFHRO0307</v>
      </c>
      <c r="C540" s="3" t="str">
        <f>IFERROR(__xludf.DUMMYFUNCTION("""COMPUTED_VALUE"""),"Consumable")</f>
        <v>Consumable</v>
      </c>
      <c r="D540" s="3" t="str">
        <f>IFERROR(__xludf.DUMMYFUNCTION("""COMPUTED_VALUE"""),"-")</f>
        <v>-</v>
      </c>
      <c r="E540" s="3" t="str">
        <f>IFERROR(__xludf.DUMMYFUNCTION("""COMPUTED_VALUE"""),"TOC")</f>
        <v>TOC</v>
      </c>
      <c r="F540" s="3" t="str">
        <f>IFERROR(__xludf.DUMMYFUNCTION("""COMPUTED_VALUE"""),"900 Sample pump tubing; Sievers; P/N CATU 96200; 1 pc")</f>
        <v>900 Sample pump tubing; Sievers; P/N CATU 96200; 1 pc</v>
      </c>
      <c r="G540" s="3">
        <f>IFERROR(__xludf.DUMMYFUNCTION("""COMPUTED_VALUE"""),1.0)</f>
        <v>1</v>
      </c>
      <c r="H540" s="3" t="str">
        <f>IFERROR(__xludf.DUMMYFUNCTION("""COMPUTED_VALUE"""),"Pieces")</f>
        <v>Pieces</v>
      </c>
      <c r="I540" s="3" t="str">
        <f>IFERROR(__xludf.DUMMYFUNCTION("""COMPUTED_VALUE"""),"121703656 - APPROVED")</f>
        <v>121703656 - APPROVED</v>
      </c>
      <c r="J540" s="3" t="str">
        <f>IFERROR(__xludf.DUMMYFUNCTION("""COMPUTED_VALUE"""),"T-20112-00")</f>
        <v>T-20112-00</v>
      </c>
      <c r="K540" s="3" t="str">
        <f>IFERROR(__xludf.DUMMYFUNCTION("""COMPUTED_VALUE"""),"Approve")</f>
        <v>Approve</v>
      </c>
      <c r="L540" s="3" t="str">
        <f>IFERROR(__xludf.DUMMYFUNCTION("""COMPUTED_VALUE"""),"Normal")</f>
        <v>Normal</v>
      </c>
      <c r="M540" s="3" t="str">
        <f>IFERROR(__xludf.DUMMYFUNCTION("""COMPUTED_VALUE"""),"Non Urgent")</f>
        <v>Non Urgent</v>
      </c>
      <c r="N540" s="3">
        <f>IFERROR(__xludf.DUMMYFUNCTION("""COMPUTED_VALUE"""),46047.888406655096)</f>
        <v>46047.88841</v>
      </c>
    </row>
    <row r="541">
      <c r="A541" s="4">
        <f>IFERROR(__xludf.DUMMYFUNCTION("""COMPUTED_VALUE"""),46047.83255263889)</f>
        <v>46047.83255</v>
      </c>
      <c r="B541" s="3" t="str">
        <f>IFERROR(__xludf.DUMMYFUNCTION("""COMPUTED_VALUE"""),"MFHRO0308")</f>
        <v>MFHRO0308</v>
      </c>
      <c r="C541" s="3" t="str">
        <f>IFERROR(__xludf.DUMMYFUNCTION("""COMPUTED_VALUE"""),"Consumable")</f>
        <v>Consumable</v>
      </c>
      <c r="D541" s="3" t="str">
        <f>IFERROR(__xludf.DUMMYFUNCTION("""COMPUTED_VALUE"""),"-")</f>
        <v>-</v>
      </c>
      <c r="E541" s="3" t="str">
        <f>IFERROR(__xludf.DUMMYFUNCTION("""COMPUTED_VALUE"""),"Sparepart")</f>
        <v>Sparepart</v>
      </c>
      <c r="F541" s="3" t="str">
        <f>IFERROR(__xludf.DUMMYFUNCTION("""COMPUTED_VALUE"""),"Cleaner - Contact Cleaner CRC CO 2016; No Brand; -; 500ml/Botol")</f>
        <v>Cleaner - Contact Cleaner CRC CO 2016; No Brand; -; 500ml/Botol</v>
      </c>
      <c r="G541" s="3">
        <f>IFERROR(__xludf.DUMMYFUNCTION("""COMPUTED_VALUE"""),3.0)</f>
        <v>3</v>
      </c>
      <c r="H541" s="3" t="str">
        <f>IFERROR(__xludf.DUMMYFUNCTION("""COMPUTED_VALUE"""),"Pieces")</f>
        <v>Pieces</v>
      </c>
      <c r="I541" s="3" t="str">
        <f>IFERROR(__xludf.DUMMYFUNCTION("""COMPUTED_VALUE"""),"121703659 - APPROVED")</f>
        <v>121703659 - APPROVED</v>
      </c>
      <c r="J541" s="3" t="str">
        <f>IFERROR(__xludf.DUMMYFUNCTION("""COMPUTED_VALUE"""),"P-10726-00")</f>
        <v>P-10726-00</v>
      </c>
      <c r="K541" s="3" t="str">
        <f>IFERROR(__xludf.DUMMYFUNCTION("""COMPUTED_VALUE"""),"Approve")</f>
        <v>Approve</v>
      </c>
      <c r="L541" s="3" t="str">
        <f>IFERROR(__xludf.DUMMYFUNCTION("""COMPUTED_VALUE"""),"Normal")</f>
        <v>Normal</v>
      </c>
      <c r="M541" s="3" t="str">
        <f>IFERROR(__xludf.DUMMYFUNCTION("""COMPUTED_VALUE"""),"Non Urgent")</f>
        <v>Non Urgent</v>
      </c>
      <c r="N541" s="3">
        <f>IFERROR(__xludf.DUMMYFUNCTION("""COMPUTED_VALUE"""),46047.88849678241)</f>
        <v>46047.8885</v>
      </c>
    </row>
    <row r="542">
      <c r="A542" s="4">
        <f>IFERROR(__xludf.DUMMYFUNCTION("""COMPUTED_VALUE"""),46047.83255263889)</f>
        <v>46047.83255</v>
      </c>
      <c r="B542" s="3" t="str">
        <f>IFERROR(__xludf.DUMMYFUNCTION("""COMPUTED_VALUE"""),"MFHRO0309")</f>
        <v>MFHRO0309</v>
      </c>
      <c r="C542" s="3" t="str">
        <f>IFERROR(__xludf.DUMMYFUNCTION("""COMPUTED_VALUE"""),"Consumable")</f>
        <v>Consumable</v>
      </c>
      <c r="D542" s="3" t="str">
        <f>IFERROR(__xludf.DUMMYFUNCTION("""COMPUTED_VALUE"""),"-")</f>
        <v>-</v>
      </c>
      <c r="E542" s="3" t="str">
        <f>IFERROR(__xludf.DUMMYFUNCTION("""COMPUTED_VALUE"""),"Sparepart")</f>
        <v>Sparepart</v>
      </c>
      <c r="F542" s="3" t="str">
        <f>IFERROR(__xludf.DUMMYFUNCTION("""COMPUTED_VALUE"""),"General - Double Tape 1"" Merah; 3M; -; 1 Pc")</f>
        <v>General - Double Tape 1" Merah; 3M; -; 1 Pc</v>
      </c>
      <c r="G542" s="3">
        <f>IFERROR(__xludf.DUMMYFUNCTION("""COMPUTED_VALUE"""),20.0)</f>
        <v>20</v>
      </c>
      <c r="H542" s="3" t="str">
        <f>IFERROR(__xludf.DUMMYFUNCTION("""COMPUTED_VALUE"""),"Pieces")</f>
        <v>Pieces</v>
      </c>
      <c r="I542" s="3" t="str">
        <f>IFERROR(__xludf.DUMMYFUNCTION("""COMPUTED_VALUE"""),"121703670 - APPROVED")</f>
        <v>121703670 - APPROVED</v>
      </c>
      <c r="J542" s="3" t="str">
        <f>IFERROR(__xludf.DUMMYFUNCTION("""COMPUTED_VALUE"""),"O-15931-00")</f>
        <v>O-15931-00</v>
      </c>
      <c r="K542" s="3" t="str">
        <f>IFERROR(__xludf.DUMMYFUNCTION("""COMPUTED_VALUE"""),"Approve")</f>
        <v>Approve</v>
      </c>
      <c r="L542" s="3" t="str">
        <f>IFERROR(__xludf.DUMMYFUNCTION("""COMPUTED_VALUE"""),"Normal")</f>
        <v>Normal</v>
      </c>
      <c r="M542" s="3" t="str">
        <f>IFERROR(__xludf.DUMMYFUNCTION("""COMPUTED_VALUE"""),"Non Urgent")</f>
        <v>Non Urgent</v>
      </c>
      <c r="N542" s="3">
        <f>IFERROR(__xludf.DUMMYFUNCTION("""COMPUTED_VALUE"""),46047.88947012732)</f>
        <v>46047.88947</v>
      </c>
    </row>
    <row r="543">
      <c r="A543" s="4">
        <f>IFERROR(__xludf.DUMMYFUNCTION("""COMPUTED_VALUE"""),46047.83255263889)</f>
        <v>46047.83255</v>
      </c>
      <c r="B543" s="3" t="str">
        <f>IFERROR(__xludf.DUMMYFUNCTION("""COMPUTED_VALUE"""),"MFHRO0310")</f>
        <v>MFHRO0310</v>
      </c>
      <c r="C543" s="3" t="str">
        <f>IFERROR(__xludf.DUMMYFUNCTION("""COMPUTED_VALUE"""),"Consumable")</f>
        <v>Consumable</v>
      </c>
      <c r="D543" s="3" t="str">
        <f>IFERROR(__xludf.DUMMYFUNCTION("""COMPUTED_VALUE"""),"-")</f>
        <v>-</v>
      </c>
      <c r="E543" s="3" t="str">
        <f>IFERROR(__xludf.DUMMYFUNCTION("""COMPUTED_VALUE"""),"Sparepart")</f>
        <v>Sparepart</v>
      </c>
      <c r="F543" s="3" t="str">
        <f>IFERROR(__xludf.DUMMYFUNCTION("""COMPUTED_VALUE"""),"General - Double Tape 1"" Merah; 3M; -; 1 Pc")</f>
        <v>General - Double Tape 1" Merah; 3M; -; 1 Pc</v>
      </c>
      <c r="G543" s="3">
        <f>IFERROR(__xludf.DUMMYFUNCTION("""COMPUTED_VALUE"""),20.0)</f>
        <v>20</v>
      </c>
      <c r="H543" s="3" t="str">
        <f>IFERROR(__xludf.DUMMYFUNCTION("""COMPUTED_VALUE"""),"Pieces")</f>
        <v>Pieces</v>
      </c>
      <c r="I543" s="3" t="str">
        <f>IFERROR(__xludf.DUMMYFUNCTION("""COMPUTED_VALUE"""),"121703670 - APPROVED")</f>
        <v>121703670 - APPROVED</v>
      </c>
      <c r="J543" s="3" t="str">
        <f>IFERROR(__xludf.DUMMYFUNCTION("""COMPUTED_VALUE"""),"O-15931-00")</f>
        <v>O-15931-00</v>
      </c>
      <c r="K543" s="3" t="str">
        <f>IFERROR(__xludf.DUMMYFUNCTION("""COMPUTED_VALUE"""),"Approve")</f>
        <v>Approve</v>
      </c>
      <c r="L543" s="3" t="str">
        <f>IFERROR(__xludf.DUMMYFUNCTION("""COMPUTED_VALUE"""),"Normal")</f>
        <v>Normal</v>
      </c>
      <c r="M543" s="3" t="str">
        <f>IFERROR(__xludf.DUMMYFUNCTION("""COMPUTED_VALUE"""),"Non Urgent")</f>
        <v>Non Urgent</v>
      </c>
      <c r="N543" s="3">
        <f>IFERROR(__xludf.DUMMYFUNCTION("""COMPUTED_VALUE"""),46047.88955186342)</f>
        <v>46047.88955</v>
      </c>
    </row>
    <row r="544">
      <c r="A544" s="4">
        <f>IFERROR(__xludf.DUMMYFUNCTION("""COMPUTED_VALUE"""),46047.83255263889)</f>
        <v>46047.83255</v>
      </c>
      <c r="B544" s="3" t="str">
        <f>IFERROR(__xludf.DUMMYFUNCTION("""COMPUTED_VALUE"""),"MFHRO0311")</f>
        <v>MFHRO0311</v>
      </c>
      <c r="C544" s="3" t="str">
        <f>IFERROR(__xludf.DUMMYFUNCTION("""COMPUTED_VALUE"""),"Consumable")</f>
        <v>Consumable</v>
      </c>
      <c r="D544" s="3" t="str">
        <f>IFERROR(__xludf.DUMMYFUNCTION("""COMPUTED_VALUE"""),"-")</f>
        <v>-</v>
      </c>
      <c r="E544" s="3" t="str">
        <f>IFERROR(__xludf.DUMMYFUNCTION("""COMPUTED_VALUE"""),"AHU")</f>
        <v>AHU</v>
      </c>
      <c r="F544" s="3" t="str">
        <f>IFERROR(__xludf.DUMMYFUNCTION("""COMPUTED_VALUE"""),"General - Filter IAF MB Series (Medium Filter), efficiency : 60-65 %, Size: 24 x 24 x 12 inch; IAF; -; 1 pcs")</f>
        <v>General - Filter IAF MB Series (Medium Filter), efficiency : 60-65 %, Size: 24 x 24 x 12 inch; IAF; -; 1 pcs</v>
      </c>
      <c r="G544" s="3">
        <f>IFERROR(__xludf.DUMMYFUNCTION("""COMPUTED_VALUE"""),10.0)</f>
        <v>10</v>
      </c>
      <c r="H544" s="3" t="str">
        <f>IFERROR(__xludf.DUMMYFUNCTION("""COMPUTED_VALUE"""),"Pieces")</f>
        <v>Pieces</v>
      </c>
      <c r="I544" s="3" t="str">
        <f>IFERROR(__xludf.DUMMYFUNCTION("""COMPUTED_VALUE"""),"121703671 - APPROVED")</f>
        <v>121703671 - APPROVED</v>
      </c>
      <c r="J544" s="3" t="str">
        <f>IFERROR(__xludf.DUMMYFUNCTION("""COMPUTED_VALUE"""),"P-14453-00")</f>
        <v>P-14453-00</v>
      </c>
      <c r="K544" s="3" t="str">
        <f>IFERROR(__xludf.DUMMYFUNCTION("""COMPUTED_VALUE"""),"Approve")</f>
        <v>Approve</v>
      </c>
      <c r="L544" s="3" t="str">
        <f>IFERROR(__xludf.DUMMYFUNCTION("""COMPUTED_VALUE"""),"Normal")</f>
        <v>Normal</v>
      </c>
      <c r="M544" s="3" t="str">
        <f>IFERROR(__xludf.DUMMYFUNCTION("""COMPUTED_VALUE"""),"Non Urgent")</f>
        <v>Non Urgent</v>
      </c>
      <c r="N544" s="3">
        <f>IFERROR(__xludf.DUMMYFUNCTION("""COMPUTED_VALUE"""),46047.890022974534)</f>
        <v>46047.89002</v>
      </c>
    </row>
    <row r="545">
      <c r="A545" s="4">
        <f>IFERROR(__xludf.DUMMYFUNCTION("""COMPUTED_VALUE"""),46047.83255263889)</f>
        <v>46047.83255</v>
      </c>
      <c r="B545" s="3" t="str">
        <f>IFERROR(__xludf.DUMMYFUNCTION("""COMPUTED_VALUE"""),"MFHRO0312")</f>
        <v>MFHRO0312</v>
      </c>
      <c r="C545" s="3" t="str">
        <f>IFERROR(__xludf.DUMMYFUNCTION("""COMPUTED_VALUE"""),"Consumable")</f>
        <v>Consumable</v>
      </c>
      <c r="D545" s="3" t="str">
        <f>IFERROR(__xludf.DUMMYFUNCTION("""COMPUTED_VALUE"""),"-")</f>
        <v>-</v>
      </c>
      <c r="E545" s="3" t="str">
        <f>IFERROR(__xludf.DUMMYFUNCTION("""COMPUTED_VALUE"""),"AHU")</f>
        <v>AHU</v>
      </c>
      <c r="F545" s="3" t="str">
        <f>IFERROR(__xludf.DUMMYFUNCTION("""COMPUTED_VALUE"""),"General - Filter IAF MB Series (Medium Filter), efficiency : 60-65 %, Size: 12 x 24 x 12 inch; IAF; -; 1 pcs")</f>
        <v>General - Filter IAF MB Series (Medium Filter), efficiency : 60-65 %, Size: 12 x 24 x 12 inch; IAF; -; 1 pcs</v>
      </c>
      <c r="G545" s="3">
        <f>IFERROR(__xludf.DUMMYFUNCTION("""COMPUTED_VALUE"""),10.0)</f>
        <v>10</v>
      </c>
      <c r="H545" s="3" t="str">
        <f>IFERROR(__xludf.DUMMYFUNCTION("""COMPUTED_VALUE"""),"Pieces")</f>
        <v>Pieces</v>
      </c>
      <c r="I545" s="3" t="str">
        <f>IFERROR(__xludf.DUMMYFUNCTION("""COMPUTED_VALUE"""),"121703671 - APPROVED")</f>
        <v>121703671 - APPROVED</v>
      </c>
      <c r="J545" s="3" t="str">
        <f>IFERROR(__xludf.DUMMYFUNCTION("""COMPUTED_VALUE"""),"P-14454-00")</f>
        <v>P-14454-00</v>
      </c>
      <c r="K545" s="3" t="str">
        <f>IFERROR(__xludf.DUMMYFUNCTION("""COMPUTED_VALUE"""),"Approve")</f>
        <v>Approve</v>
      </c>
      <c r="L545" s="3" t="str">
        <f>IFERROR(__xludf.DUMMYFUNCTION("""COMPUTED_VALUE"""),"Normal")</f>
        <v>Normal</v>
      </c>
      <c r="M545" s="3" t="str">
        <f>IFERROR(__xludf.DUMMYFUNCTION("""COMPUTED_VALUE"""),"Non Urgent")</f>
        <v>Non Urgent</v>
      </c>
      <c r="N545" s="3">
        <f>IFERROR(__xludf.DUMMYFUNCTION("""COMPUTED_VALUE"""),46047.89011894676)</f>
        <v>46047.89012</v>
      </c>
    </row>
    <row r="546">
      <c r="A546" s="4">
        <f>IFERROR(__xludf.DUMMYFUNCTION("""COMPUTED_VALUE"""),46047.83255263889)</f>
        <v>46047.83255</v>
      </c>
      <c r="B546" s="3" t="str">
        <f>IFERROR(__xludf.DUMMYFUNCTION("""COMPUTED_VALUE"""),"MFHRO0313")</f>
        <v>MFHRO0313</v>
      </c>
      <c r="C546" s="3" t="str">
        <f>IFERROR(__xludf.DUMMYFUNCTION("""COMPUTED_VALUE"""),"Consumable")</f>
        <v>Consumable</v>
      </c>
      <c r="D546" s="3" t="str">
        <f>IFERROR(__xludf.DUMMYFUNCTION("""COMPUTED_VALUE"""),"-")</f>
        <v>-</v>
      </c>
      <c r="E546" s="3" t="str">
        <f>IFERROR(__xludf.DUMMYFUNCTION("""COMPUTED_VALUE"""),"Sparepart")</f>
        <v>Sparepart</v>
      </c>
      <c r="F546" s="3" t="str">
        <f>IFERROR(__xludf.DUMMYFUNCTION("""COMPUTED_VALUE"""),"General - Ampelas P500; EAGLE; -; 1 pcs")</f>
        <v>General - Ampelas P500; EAGLE; -; 1 pcs</v>
      </c>
      <c r="G546" s="3">
        <f>IFERROR(__xludf.DUMMYFUNCTION("""COMPUTED_VALUE"""),15.0)</f>
        <v>15</v>
      </c>
      <c r="H546" s="3" t="str">
        <f>IFERROR(__xludf.DUMMYFUNCTION("""COMPUTED_VALUE"""),"Pieces")</f>
        <v>Pieces</v>
      </c>
      <c r="I546" s="3" t="str">
        <f>IFERROR(__xludf.DUMMYFUNCTION("""COMPUTED_VALUE"""),"121703672 - APPROVED")</f>
        <v>121703672 - APPROVED</v>
      </c>
      <c r="J546" s="3" t="str">
        <f>IFERROR(__xludf.DUMMYFUNCTION("""COMPUTED_VALUE"""),"P-15852-00")</f>
        <v>P-15852-00</v>
      </c>
      <c r="K546" s="3" t="str">
        <f>IFERROR(__xludf.DUMMYFUNCTION("""COMPUTED_VALUE"""),"Approve")</f>
        <v>Approve</v>
      </c>
      <c r="L546" s="3" t="str">
        <f>IFERROR(__xludf.DUMMYFUNCTION("""COMPUTED_VALUE"""),"Normal")</f>
        <v>Normal</v>
      </c>
      <c r="M546" s="3" t="str">
        <f>IFERROR(__xludf.DUMMYFUNCTION("""COMPUTED_VALUE"""),"Non Urgent")</f>
        <v>Non Urgent</v>
      </c>
      <c r="N546" s="3">
        <f>IFERROR(__xludf.DUMMYFUNCTION("""COMPUTED_VALUE"""),46047.890214733794)</f>
        <v>46047.89021</v>
      </c>
    </row>
    <row r="547">
      <c r="A547" s="4">
        <f>IFERROR(__xludf.DUMMYFUNCTION("""COMPUTED_VALUE"""),46047.83255263889)</f>
        <v>46047.83255</v>
      </c>
      <c r="B547" s="3" t="str">
        <f>IFERROR(__xludf.DUMMYFUNCTION("""COMPUTED_VALUE"""),"MFHRO0314")</f>
        <v>MFHRO0314</v>
      </c>
      <c r="C547" s="3" t="str">
        <f>IFERROR(__xludf.DUMMYFUNCTION("""COMPUTED_VALUE"""),"Consumable")</f>
        <v>Consumable</v>
      </c>
      <c r="D547" s="3" t="str">
        <f>IFERROR(__xludf.DUMMYFUNCTION("""COMPUTED_VALUE"""),"-")</f>
        <v>-</v>
      </c>
      <c r="E547" s="3" t="str">
        <f>IFERROR(__xludf.DUMMYFUNCTION("""COMPUTED_VALUE"""),"Sparepart")</f>
        <v>Sparepart</v>
      </c>
      <c r="F547" s="3" t="str">
        <f>IFERROR(__xludf.DUMMYFUNCTION("""COMPUTED_VALUE"""),"General - Ampelas P500; EAGLE; -; 1 pcs")</f>
        <v>General - Ampelas P500; EAGLE; -; 1 pcs</v>
      </c>
      <c r="G547" s="3">
        <f>IFERROR(__xludf.DUMMYFUNCTION("""COMPUTED_VALUE"""),15.0)</f>
        <v>15</v>
      </c>
      <c r="H547" s="3" t="str">
        <f>IFERROR(__xludf.DUMMYFUNCTION("""COMPUTED_VALUE"""),"Pieces")</f>
        <v>Pieces</v>
      </c>
      <c r="I547" s="3" t="str">
        <f>IFERROR(__xludf.DUMMYFUNCTION("""COMPUTED_VALUE"""),"121703672 - APPROVED")</f>
        <v>121703672 - APPROVED</v>
      </c>
      <c r="J547" s="3" t="str">
        <f>IFERROR(__xludf.DUMMYFUNCTION("""COMPUTED_VALUE"""),"P-15852-00")</f>
        <v>P-15852-00</v>
      </c>
      <c r="K547" s="3" t="str">
        <f>IFERROR(__xludf.DUMMYFUNCTION("""COMPUTED_VALUE"""),"Approve")</f>
        <v>Approve</v>
      </c>
      <c r="L547" s="3" t="str">
        <f>IFERROR(__xludf.DUMMYFUNCTION("""COMPUTED_VALUE"""),"Normal")</f>
        <v>Normal</v>
      </c>
      <c r="M547" s="3" t="str">
        <f>IFERROR(__xludf.DUMMYFUNCTION("""COMPUTED_VALUE"""),"Non Urgent")</f>
        <v>Non Urgent</v>
      </c>
      <c r="N547" s="3">
        <f>IFERROR(__xludf.DUMMYFUNCTION("""COMPUTED_VALUE"""),46047.89031847222)</f>
        <v>46047.89032</v>
      </c>
    </row>
    <row r="548">
      <c r="A548" s="4">
        <f>IFERROR(__xludf.DUMMYFUNCTION("""COMPUTED_VALUE"""),46047.83255263889)</f>
        <v>46047.83255</v>
      </c>
      <c r="B548" s="3" t="str">
        <f>IFERROR(__xludf.DUMMYFUNCTION("""COMPUTED_VALUE"""),"MFHRO0315")</f>
        <v>MFHRO0315</v>
      </c>
      <c r="C548" s="3" t="str">
        <f>IFERROR(__xludf.DUMMYFUNCTION("""COMPUTED_VALUE"""),"Consumable")</f>
        <v>Consumable</v>
      </c>
      <c r="D548" s="3" t="str">
        <f>IFERROR(__xludf.DUMMYFUNCTION("""COMPUTED_VALUE"""),"-")</f>
        <v>-</v>
      </c>
      <c r="E548" s="3" t="str">
        <f>IFERROR(__xludf.DUMMYFUNCTION("""COMPUTED_VALUE"""),"Building")</f>
        <v>Building</v>
      </c>
      <c r="F548" s="3" t="str">
        <f>IFERROR(__xludf.DUMMYFUNCTION("""COMPUTED_VALUE"""),"General - Lampu LED Downlight 9W DN027B G3 D125, 900 lm, 65k, Putih; Philips; -; 1 pc")</f>
        <v>General - Lampu LED Downlight 9W DN027B G3 D125, 900 lm, 65k, Putih; Philips; -; 1 pc</v>
      </c>
      <c r="G548" s="3">
        <f>IFERROR(__xludf.DUMMYFUNCTION("""COMPUTED_VALUE"""),50.0)</f>
        <v>50</v>
      </c>
      <c r="H548" s="3" t="str">
        <f>IFERROR(__xludf.DUMMYFUNCTION("""COMPUTED_VALUE"""),"Pieces")</f>
        <v>Pieces</v>
      </c>
      <c r="I548" s="3" t="str">
        <f>IFERROR(__xludf.DUMMYFUNCTION("""COMPUTED_VALUE"""),"121703687 - APPROVED")</f>
        <v>121703687 - APPROVED</v>
      </c>
      <c r="J548" s="3" t="str">
        <f>IFERROR(__xludf.DUMMYFUNCTION("""COMPUTED_VALUE"""),"P-54447-00")</f>
        <v>P-54447-00</v>
      </c>
      <c r="K548" s="3" t="str">
        <f>IFERROR(__xludf.DUMMYFUNCTION("""COMPUTED_VALUE"""),"Approve")</f>
        <v>Approve</v>
      </c>
      <c r="L548" s="3" t="str">
        <f>IFERROR(__xludf.DUMMYFUNCTION("""COMPUTED_VALUE"""),"Normal")</f>
        <v>Normal</v>
      </c>
      <c r="M548" s="3" t="str">
        <f>IFERROR(__xludf.DUMMYFUNCTION("""COMPUTED_VALUE"""),"Non Urgent")</f>
        <v>Non Urgent</v>
      </c>
      <c r="N548" s="3">
        <f>IFERROR(__xludf.DUMMYFUNCTION("""COMPUTED_VALUE"""),46047.89040510417)</f>
        <v>46047.89041</v>
      </c>
    </row>
    <row r="549">
      <c r="A549" s="4">
        <f>IFERROR(__xludf.DUMMYFUNCTION("""COMPUTED_VALUE"""),46047.83255263889)</f>
        <v>46047.83255</v>
      </c>
      <c r="B549" s="3" t="str">
        <f>IFERROR(__xludf.DUMMYFUNCTION("""COMPUTED_VALUE"""),"MFHRO0316")</f>
        <v>MFHRO0316</v>
      </c>
      <c r="C549" s="3" t="str">
        <f>IFERROR(__xludf.DUMMYFUNCTION("""COMPUTED_VALUE"""),"MIn Stok")</f>
        <v>MIn Stok</v>
      </c>
      <c r="D549" s="3" t="str">
        <f>IFERROR(__xludf.DUMMYFUNCTION("""COMPUTED_VALUE"""),"-")</f>
        <v>-</v>
      </c>
      <c r="E549" s="3" t="str">
        <f>IFERROR(__xludf.DUMMYFUNCTION("""COMPUTED_VALUE"""),"Washing")</f>
        <v>Washing</v>
      </c>
      <c r="F549" s="3" t="str">
        <f>IFERROR(__xludf.DUMMYFUNCTION("""COMPUTED_VALUE"""),"Washing RAR4 - Steel Ball / Gotri 2.5mm; -; -; 1 pck = 100pc")</f>
        <v>Washing RAR4 - Steel Ball / Gotri 2.5mm; -; -; 1 pck = 100pc</v>
      </c>
      <c r="G549" s="3">
        <f>IFERROR(__xludf.DUMMYFUNCTION("""COMPUTED_VALUE"""),1.0)</f>
        <v>1</v>
      </c>
      <c r="H549" s="3" t="str">
        <f>IFERROR(__xludf.DUMMYFUNCTION("""COMPUTED_VALUE"""),"Pack")</f>
        <v>Pack</v>
      </c>
      <c r="I549" s="3" t="str">
        <f>IFERROR(__xludf.DUMMYFUNCTION("""COMPUTED_VALUE"""),"121703687 - APPROVED")</f>
        <v>121703687 - APPROVED</v>
      </c>
      <c r="J549" s="3" t="str">
        <f>IFERROR(__xludf.DUMMYFUNCTION("""COMPUTED_VALUE"""),"O-21032-00")</f>
        <v>O-21032-00</v>
      </c>
      <c r="K549" s="3" t="str">
        <f>IFERROR(__xludf.DUMMYFUNCTION("""COMPUTED_VALUE"""),"Approve")</f>
        <v>Approve</v>
      </c>
      <c r="L549" s="3" t="str">
        <f>IFERROR(__xludf.DUMMYFUNCTION("""COMPUTED_VALUE"""),"Normal")</f>
        <v>Normal</v>
      </c>
      <c r="M549" s="3" t="str">
        <f>IFERROR(__xludf.DUMMYFUNCTION("""COMPUTED_VALUE"""),"Non Urgent")</f>
        <v>Non Urgent</v>
      </c>
      <c r="N549" s="3">
        <f>IFERROR(__xludf.DUMMYFUNCTION("""COMPUTED_VALUE"""),46047.89049831018)</f>
        <v>46047.8905</v>
      </c>
    </row>
    <row r="550">
      <c r="A550" s="4">
        <f>IFERROR(__xludf.DUMMYFUNCTION("""COMPUTED_VALUE"""),46047.83255263889)</f>
        <v>46047.83255</v>
      </c>
      <c r="B550" s="3" t="str">
        <f>IFERROR(__xludf.DUMMYFUNCTION("""COMPUTED_VALUE"""),"MFHRO0317")</f>
        <v>MFHRO0317</v>
      </c>
      <c r="C550" s="3" t="str">
        <f>IFERROR(__xludf.DUMMYFUNCTION("""COMPUTED_VALUE"""),"MIn Stok")</f>
        <v>MIn Stok</v>
      </c>
      <c r="D550" s="3" t="str">
        <f>IFERROR(__xludf.DUMMYFUNCTION("""COMPUTED_VALUE"""),"-")</f>
        <v>-</v>
      </c>
      <c r="E550" s="3" t="str">
        <f>IFERROR(__xludf.DUMMYFUNCTION("""COMPUTED_VALUE"""),"FD")</f>
        <v>FD</v>
      </c>
      <c r="F550" s="3" t="str">
        <f>IFERROR(__xludf.DUMMYFUNCTION("""COMPUTED_VALUE"""),"General - Diaphragm 40 mm ER Grade EPDM; Saunders; DA040ER M4; 1 Pc")</f>
        <v>General - Diaphragm 40 mm ER Grade EPDM; Saunders; DA040ER M4; 1 Pc</v>
      </c>
      <c r="G550" s="3">
        <f>IFERROR(__xludf.DUMMYFUNCTION("""COMPUTED_VALUE"""),24.0)</f>
        <v>24</v>
      </c>
      <c r="H550" s="3" t="str">
        <f>IFERROR(__xludf.DUMMYFUNCTION("""COMPUTED_VALUE"""),"Pieces")</f>
        <v>Pieces</v>
      </c>
      <c r="I550" s="3" t="str">
        <f>IFERROR(__xludf.DUMMYFUNCTION("""COMPUTED_VALUE"""),"121703688 - APPROVED")</f>
        <v>121703688 - APPROVED</v>
      </c>
      <c r="J550" s="3" t="str">
        <f>IFERROR(__xludf.DUMMYFUNCTION("""COMPUTED_VALUE"""),"O-16980-00")</f>
        <v>O-16980-00</v>
      </c>
      <c r="K550" s="3" t="str">
        <f>IFERROR(__xludf.DUMMYFUNCTION("""COMPUTED_VALUE"""),"Approve")</f>
        <v>Approve</v>
      </c>
      <c r="L550" s="3" t="str">
        <f>IFERROR(__xludf.DUMMYFUNCTION("""COMPUTED_VALUE"""),"Normal")</f>
        <v>Normal</v>
      </c>
      <c r="M550" s="3" t="str">
        <f>IFERROR(__xludf.DUMMYFUNCTION("""COMPUTED_VALUE"""),"Non Urgent")</f>
        <v>Non Urgent</v>
      </c>
      <c r="N550" s="3">
        <f>IFERROR(__xludf.DUMMYFUNCTION("""COMPUTED_VALUE"""),46047.89060434028)</f>
        <v>46047.8906</v>
      </c>
    </row>
    <row r="551">
      <c r="A551" s="4">
        <f>IFERROR(__xludf.DUMMYFUNCTION("""COMPUTED_VALUE"""),46047.83255263889)</f>
        <v>46047.83255</v>
      </c>
      <c r="B551" s="3" t="str">
        <f>IFERROR(__xludf.DUMMYFUNCTION("""COMPUTED_VALUE"""),"MFHRO0318")</f>
        <v>MFHRO0318</v>
      </c>
      <c r="C551" s="3" t="str">
        <f>IFERROR(__xludf.DUMMYFUNCTION("""COMPUTED_VALUE"""),"MIn Stok")</f>
        <v>MIn Stok</v>
      </c>
      <c r="D551" s="3" t="str">
        <f>IFERROR(__xludf.DUMMYFUNCTION("""COMPUTED_VALUE"""),"-")</f>
        <v>-</v>
      </c>
      <c r="E551" s="3" t="str">
        <f>IFERROR(__xludf.DUMMYFUNCTION("""COMPUTED_VALUE"""),"FD")</f>
        <v>FD</v>
      </c>
      <c r="F551" s="3" t="str">
        <f>IFERROR(__xludf.DUMMYFUNCTION("""COMPUTED_VALUE"""),"General - Diaphragm 25 mm ER Grade EPDM; Saunders; DA025ER M4; 1 Pc")</f>
        <v>General - Diaphragm 25 mm ER Grade EPDM; Saunders; DA025ER M4; 1 Pc</v>
      </c>
      <c r="G551" s="3">
        <f>IFERROR(__xludf.DUMMYFUNCTION("""COMPUTED_VALUE"""),40.0)</f>
        <v>40</v>
      </c>
      <c r="H551" s="3" t="str">
        <f>IFERROR(__xludf.DUMMYFUNCTION("""COMPUTED_VALUE"""),"Pieces")</f>
        <v>Pieces</v>
      </c>
      <c r="I551" s="3" t="str">
        <f>IFERROR(__xludf.DUMMYFUNCTION("""COMPUTED_VALUE"""),"121703688 - APPROVED")</f>
        <v>121703688 - APPROVED</v>
      </c>
      <c r="J551" s="3" t="str">
        <f>IFERROR(__xludf.DUMMYFUNCTION("""COMPUTED_VALUE"""),"O-16981-00")</f>
        <v>O-16981-00</v>
      </c>
      <c r="K551" s="3" t="str">
        <f>IFERROR(__xludf.DUMMYFUNCTION("""COMPUTED_VALUE"""),"Approve")</f>
        <v>Approve</v>
      </c>
      <c r="L551" s="3" t="str">
        <f>IFERROR(__xludf.DUMMYFUNCTION("""COMPUTED_VALUE"""),"Normal")</f>
        <v>Normal</v>
      </c>
      <c r="M551" s="3" t="str">
        <f>IFERROR(__xludf.DUMMYFUNCTION("""COMPUTED_VALUE"""),"Non Urgent")</f>
        <v>Non Urgent</v>
      </c>
      <c r="N551" s="3">
        <f>IFERROR(__xludf.DUMMYFUNCTION("""COMPUTED_VALUE"""),46047.89109675926)</f>
        <v>46047.8911</v>
      </c>
    </row>
    <row r="552">
      <c r="A552" s="4">
        <f>IFERROR(__xludf.DUMMYFUNCTION("""COMPUTED_VALUE"""),46047.83255263889)</f>
        <v>46047.83255</v>
      </c>
      <c r="B552" s="3" t="str">
        <f>IFERROR(__xludf.DUMMYFUNCTION("""COMPUTED_VALUE"""),"MFHRO0319")</f>
        <v>MFHRO0319</v>
      </c>
      <c r="C552" s="3" t="str">
        <f>IFERROR(__xludf.DUMMYFUNCTION("""COMPUTED_VALUE"""),"MIn Stok")</f>
        <v>MIn Stok</v>
      </c>
      <c r="D552" s="3" t="str">
        <f>IFERROR(__xludf.DUMMYFUNCTION("""COMPUTED_VALUE"""),"-")</f>
        <v>-</v>
      </c>
      <c r="E552" s="3" t="str">
        <f>IFERROR(__xludf.DUMMYFUNCTION("""COMPUTED_VALUE"""),"FD")</f>
        <v>FD</v>
      </c>
      <c r="F552" s="3" t="str">
        <f>IFERROR(__xludf.DUMMYFUNCTION("""COMPUTED_VALUE"""),"General - Diaphragm Grade ER SQUARE Type A EPDM Diaphragm Screw; Saunders; DP008ER; 1 Pc")</f>
        <v>General - Diaphragm Grade ER SQUARE Type A EPDM Diaphragm Screw; Saunders; DP008ER; 1 Pc</v>
      </c>
      <c r="G552" s="3">
        <f>IFERROR(__xludf.DUMMYFUNCTION("""COMPUTED_VALUE"""),4.0)</f>
        <v>4</v>
      </c>
      <c r="H552" s="3" t="str">
        <f>IFERROR(__xludf.DUMMYFUNCTION("""COMPUTED_VALUE"""),"Pieces")</f>
        <v>Pieces</v>
      </c>
      <c r="I552" s="3" t="str">
        <f>IFERROR(__xludf.DUMMYFUNCTION("""COMPUTED_VALUE"""),"121703688 - APPROVED")</f>
        <v>121703688 - APPROVED</v>
      </c>
      <c r="J552" s="3" t="str">
        <f>IFERROR(__xludf.DUMMYFUNCTION("""COMPUTED_VALUE"""),"O-20496-00")</f>
        <v>O-20496-00</v>
      </c>
      <c r="K552" s="3" t="str">
        <f>IFERROR(__xludf.DUMMYFUNCTION("""COMPUTED_VALUE"""),"Approve")</f>
        <v>Approve</v>
      </c>
      <c r="L552" s="3" t="str">
        <f>IFERROR(__xludf.DUMMYFUNCTION("""COMPUTED_VALUE"""),"Normal")</f>
        <v>Normal</v>
      </c>
      <c r="M552" s="3" t="str">
        <f>IFERROR(__xludf.DUMMYFUNCTION("""COMPUTED_VALUE"""),"Non Urgent")</f>
        <v>Non Urgent</v>
      </c>
      <c r="N552" s="3">
        <f>IFERROR(__xludf.DUMMYFUNCTION("""COMPUTED_VALUE"""),46047.891193449075)</f>
        <v>46047.89119</v>
      </c>
    </row>
    <row r="553">
      <c r="A553" s="4">
        <f>IFERROR(__xludf.DUMMYFUNCTION("""COMPUTED_VALUE"""),46047.83255263889)</f>
        <v>46047.83255</v>
      </c>
      <c r="B553" s="3" t="str">
        <f>IFERROR(__xludf.DUMMYFUNCTION("""COMPUTED_VALUE"""),"MFHRO0320")</f>
        <v>MFHRO0320</v>
      </c>
      <c r="C553" s="3" t="str">
        <f>IFERROR(__xludf.DUMMYFUNCTION("""COMPUTED_VALUE"""),"MIn Stok")</f>
        <v>MIn Stok</v>
      </c>
      <c r="D553" s="3" t="str">
        <f>IFERROR(__xludf.DUMMYFUNCTION("""COMPUTED_VALUE"""),"-")</f>
        <v>-</v>
      </c>
      <c r="E553" s="3" t="str">
        <f>IFERROR(__xludf.DUMMYFUNCTION("""COMPUTED_VALUE"""),"Coating")</f>
        <v>Coating</v>
      </c>
      <c r="F553" s="3" t="str">
        <f>IFERROR(__xludf.DUMMYFUNCTION("""COMPUTED_VALUE"""),"Coating PLAB - Inflatable Silicone Sealing Ring; ; GDA040193; 1 Pc")</f>
        <v>Coating PLAB - Inflatable Silicone Sealing Ring; ; GDA040193; 1 Pc</v>
      </c>
      <c r="G553" s="3">
        <f>IFERROR(__xludf.DUMMYFUNCTION("""COMPUTED_VALUE"""),1.0)</f>
        <v>1</v>
      </c>
      <c r="H553" s="3" t="str">
        <f>IFERROR(__xludf.DUMMYFUNCTION("""COMPUTED_VALUE"""),"Pieces")</f>
        <v>Pieces</v>
      </c>
      <c r="I553" s="3" t="str">
        <f>IFERROR(__xludf.DUMMYFUNCTION("""COMPUTED_VALUE"""),"121703689 - APPROVED")</f>
        <v>121703689 - APPROVED</v>
      </c>
      <c r="J553" s="3" t="str">
        <f>IFERROR(__xludf.DUMMYFUNCTION("""COMPUTED_VALUE"""),"O-21304-00")</f>
        <v>O-21304-00</v>
      </c>
      <c r="K553" s="3" t="str">
        <f>IFERROR(__xludf.DUMMYFUNCTION("""COMPUTED_VALUE"""),"Approve")</f>
        <v>Approve</v>
      </c>
      <c r="L553" s="3" t="str">
        <f>IFERROR(__xludf.DUMMYFUNCTION("""COMPUTED_VALUE"""),"Normal")</f>
        <v>Normal</v>
      </c>
      <c r="M553" s="3" t="str">
        <f>IFERROR(__xludf.DUMMYFUNCTION("""COMPUTED_VALUE"""),"Non Urgent")</f>
        <v>Non Urgent</v>
      </c>
      <c r="N553" s="3">
        <f>IFERROR(__xludf.DUMMYFUNCTION("""COMPUTED_VALUE"""),46047.89131820602)</f>
        <v>46047.89132</v>
      </c>
    </row>
    <row r="554">
      <c r="A554" s="4">
        <f>IFERROR(__xludf.DUMMYFUNCTION("""COMPUTED_VALUE"""),46047.83255263889)</f>
        <v>46047.83255</v>
      </c>
      <c r="B554" s="3" t="str">
        <f>IFERROR(__xludf.DUMMYFUNCTION("""COMPUTED_VALUE"""),"MFHRO0321")</f>
        <v>MFHRO0321</v>
      </c>
      <c r="C554" s="3" t="str">
        <f>IFERROR(__xludf.DUMMYFUNCTION("""COMPUTED_VALUE"""),"MIn Stok")</f>
        <v>MIn Stok</v>
      </c>
      <c r="D554" s="3" t="str">
        <f>IFERROR(__xludf.DUMMYFUNCTION("""COMPUTED_VALUE"""),"-")</f>
        <v>-</v>
      </c>
      <c r="E554" s="3" t="str">
        <f>IFERROR(__xludf.DUMMYFUNCTION("""COMPUTED_VALUE"""),"Coating")</f>
        <v>Coating</v>
      </c>
      <c r="F554" s="3" t="str">
        <f>IFERROR(__xludf.DUMMYFUNCTION("""COMPUTED_VALUE"""),"Coating PLAB - Directional Control Valve; SMC; VNA101A-F6A; 1 Pc")</f>
        <v>Coating PLAB - Directional Control Valve; SMC; VNA101A-F6A; 1 Pc</v>
      </c>
      <c r="G554" s="3">
        <f>IFERROR(__xludf.DUMMYFUNCTION("""COMPUTED_VALUE"""),3.0)</f>
        <v>3</v>
      </c>
      <c r="H554" s="3" t="str">
        <f>IFERROR(__xludf.DUMMYFUNCTION("""COMPUTED_VALUE"""),"Pieces")</f>
        <v>Pieces</v>
      </c>
      <c r="I554" s="3" t="str">
        <f>IFERROR(__xludf.DUMMYFUNCTION("""COMPUTED_VALUE"""),"121703690 - APPROVED")</f>
        <v>121703690 - APPROVED</v>
      </c>
      <c r="J554" s="3" t="str">
        <f>IFERROR(__xludf.DUMMYFUNCTION("""COMPUTED_VALUE"""),"O-21305-00")</f>
        <v>O-21305-00</v>
      </c>
      <c r="K554" s="3" t="str">
        <f>IFERROR(__xludf.DUMMYFUNCTION("""COMPUTED_VALUE"""),"Approve")</f>
        <v>Approve</v>
      </c>
      <c r="L554" s="3" t="str">
        <f>IFERROR(__xludf.DUMMYFUNCTION("""COMPUTED_VALUE"""),"Normal")</f>
        <v>Normal</v>
      </c>
      <c r="M554" s="3" t="str">
        <f>IFERROR(__xludf.DUMMYFUNCTION("""COMPUTED_VALUE"""),"Non Urgent")</f>
        <v>Non Urgent</v>
      </c>
      <c r="N554" s="3">
        <f>IFERROR(__xludf.DUMMYFUNCTION("""COMPUTED_VALUE"""),46047.89140552083)</f>
        <v>46047.89141</v>
      </c>
    </row>
    <row r="555">
      <c r="A555" s="4">
        <f>IFERROR(__xludf.DUMMYFUNCTION("""COMPUTED_VALUE"""),46047.83255263889)</f>
        <v>46047.83255</v>
      </c>
      <c r="B555" s="3" t="str">
        <f>IFERROR(__xludf.DUMMYFUNCTION("""COMPUTED_VALUE"""),"MFHRO0322")</f>
        <v>MFHRO0322</v>
      </c>
      <c r="C555" s="3" t="str">
        <f>IFERROR(__xludf.DUMMYFUNCTION("""COMPUTED_VALUE"""),"MIn Stok")</f>
        <v>MIn Stok</v>
      </c>
      <c r="D555" s="3" t="str">
        <f>IFERROR(__xludf.DUMMYFUNCTION("""COMPUTED_VALUE"""),"-")</f>
        <v>-</v>
      </c>
      <c r="E555" s="3" t="str">
        <f>IFERROR(__xludf.DUMMYFUNCTION("""COMPUTED_VALUE"""),"Coating")</f>
        <v>Coating</v>
      </c>
      <c r="F555" s="3" t="str">
        <f>IFERROR(__xludf.DUMMYFUNCTION("""COMPUTED_VALUE"""),"Coating PLAB - Spare Kit; SMC; VN1-A3AA; ; ; 1 Pc")</f>
        <v>Coating PLAB - Spare Kit; SMC; VN1-A3AA; ; ; 1 Pc</v>
      </c>
      <c r="G555" s="3">
        <f>IFERROR(__xludf.DUMMYFUNCTION("""COMPUTED_VALUE"""),3.0)</f>
        <v>3</v>
      </c>
      <c r="H555" s="3" t="str">
        <f>IFERROR(__xludf.DUMMYFUNCTION("""COMPUTED_VALUE"""),"Pieces")</f>
        <v>Pieces</v>
      </c>
      <c r="I555" s="3" t="str">
        <f>IFERROR(__xludf.DUMMYFUNCTION("""COMPUTED_VALUE"""),"121703690 - APPROVED")</f>
        <v>121703690 - APPROVED</v>
      </c>
      <c r="J555" s="3" t="str">
        <f>IFERROR(__xludf.DUMMYFUNCTION("""COMPUTED_VALUE"""),"O-21306-00")</f>
        <v>O-21306-00</v>
      </c>
      <c r="K555" s="3" t="str">
        <f>IFERROR(__xludf.DUMMYFUNCTION("""COMPUTED_VALUE"""),"Approve")</f>
        <v>Approve</v>
      </c>
      <c r="L555" s="3" t="str">
        <f>IFERROR(__xludf.DUMMYFUNCTION("""COMPUTED_VALUE"""),"Normal")</f>
        <v>Normal</v>
      </c>
      <c r="M555" s="3" t="str">
        <f>IFERROR(__xludf.DUMMYFUNCTION("""COMPUTED_VALUE"""),"Non Urgent")</f>
        <v>Non Urgent</v>
      </c>
      <c r="N555" s="3">
        <f>IFERROR(__xludf.DUMMYFUNCTION("""COMPUTED_VALUE"""),46047.89163672454)</f>
        <v>46047.89164</v>
      </c>
    </row>
    <row r="556">
      <c r="A556" s="4">
        <f>IFERROR(__xludf.DUMMYFUNCTION("""COMPUTED_VALUE"""),46047.83255263889)</f>
        <v>46047.83255</v>
      </c>
      <c r="B556" s="3" t="str">
        <f>IFERROR(__xludf.DUMMYFUNCTION("""COMPUTED_VALUE"""),"MFHRO0323")</f>
        <v>MFHRO0323</v>
      </c>
      <c r="C556" s="3" t="str">
        <f>IFERROR(__xludf.DUMMYFUNCTION("""COMPUTED_VALUE"""),"MIn Stok")</f>
        <v>MIn Stok</v>
      </c>
      <c r="D556" s="3" t="str">
        <f>IFERROR(__xludf.DUMMYFUNCTION("""COMPUTED_VALUE"""),"-")</f>
        <v>-</v>
      </c>
      <c r="E556" s="3" t="str">
        <f>IFERROR(__xludf.DUMMYFUNCTION("""COMPUTED_VALUE"""),"Coating")</f>
        <v>Coating</v>
      </c>
      <c r="F556" s="3" t="str">
        <f>IFERROR(__xludf.DUMMYFUNCTION("""COMPUTED_VALUE"""),"Coating PLAB - Spare Kit; SMC; VN1-4AA; ; ; 1 Pc")</f>
        <v>Coating PLAB - Spare Kit; SMC; VN1-4AA; ; ; 1 Pc</v>
      </c>
      <c r="G556" s="3">
        <f>IFERROR(__xludf.DUMMYFUNCTION("""COMPUTED_VALUE"""),3.0)</f>
        <v>3</v>
      </c>
      <c r="H556" s="3" t="str">
        <f>IFERROR(__xludf.DUMMYFUNCTION("""COMPUTED_VALUE"""),"Pieces")</f>
        <v>Pieces</v>
      </c>
      <c r="I556" s="3" t="str">
        <f>IFERROR(__xludf.DUMMYFUNCTION("""COMPUTED_VALUE"""),"121703690 - APPROVED")</f>
        <v>121703690 - APPROVED</v>
      </c>
      <c r="J556" s="3" t="str">
        <f>IFERROR(__xludf.DUMMYFUNCTION("""COMPUTED_VALUE"""),"O-21307-00")</f>
        <v>O-21307-00</v>
      </c>
      <c r="K556" s="3" t="str">
        <f>IFERROR(__xludf.DUMMYFUNCTION("""COMPUTED_VALUE"""),"Approve")</f>
        <v>Approve</v>
      </c>
      <c r="L556" s="3" t="str">
        <f>IFERROR(__xludf.DUMMYFUNCTION("""COMPUTED_VALUE"""),"Normal")</f>
        <v>Normal</v>
      </c>
      <c r="M556" s="3" t="str">
        <f>IFERROR(__xludf.DUMMYFUNCTION("""COMPUTED_VALUE"""),"Non Urgent")</f>
        <v>Non Urgent</v>
      </c>
      <c r="N556" s="3">
        <f>IFERROR(__xludf.DUMMYFUNCTION("""COMPUTED_VALUE"""),46047.89174789352)</f>
        <v>46047.89175</v>
      </c>
    </row>
    <row r="557">
      <c r="A557" s="4">
        <f>IFERROR(__xludf.DUMMYFUNCTION("""COMPUTED_VALUE"""),46047.83255263889)</f>
        <v>46047.83255</v>
      </c>
      <c r="B557" s="3" t="str">
        <f>IFERROR(__xludf.DUMMYFUNCTION("""COMPUTED_VALUE"""),"MFHRO0324")</f>
        <v>MFHRO0324</v>
      </c>
      <c r="C557" s="3" t="str">
        <f>IFERROR(__xludf.DUMMYFUNCTION("""COMPUTED_VALUE"""),"MIn Stok")</f>
        <v>MIn Stok</v>
      </c>
      <c r="D557" s="3" t="str">
        <f>IFERROR(__xludf.DUMMYFUNCTION("""COMPUTED_VALUE"""),"-")</f>
        <v>-</v>
      </c>
      <c r="E557" s="3" t="str">
        <f>IFERROR(__xludf.DUMMYFUNCTION("""COMPUTED_VALUE"""),"Building")</f>
        <v>Building</v>
      </c>
      <c r="F557" s="3" t="str">
        <f>IFERROR(__xludf.DUMMYFUNCTION("""COMPUTED_VALUE"""),"General - Drain Sewerage Opener GL-10; No Brand; -; 1 pc")</f>
        <v>General - Drain Sewerage Opener GL-10; No Brand; -; 1 pc</v>
      </c>
      <c r="G557" s="3">
        <f>IFERROR(__xludf.DUMMYFUNCTION("""COMPUTED_VALUE"""),2.0)</f>
        <v>2</v>
      </c>
      <c r="H557" s="3" t="str">
        <f>IFERROR(__xludf.DUMMYFUNCTION("""COMPUTED_VALUE"""),"Liter")</f>
        <v>Liter</v>
      </c>
      <c r="I557" s="3" t="str">
        <f>IFERROR(__xludf.DUMMYFUNCTION("""COMPUTED_VALUE"""),"121703694 - APPROVED")</f>
        <v>121703694 - APPROVED</v>
      </c>
      <c r="J557" s="3" t="str">
        <f>IFERROR(__xludf.DUMMYFUNCTION("""COMPUTED_VALUE"""),"P-10183-00")</f>
        <v>P-10183-00</v>
      </c>
      <c r="K557" s="3" t="str">
        <f>IFERROR(__xludf.DUMMYFUNCTION("""COMPUTED_VALUE"""),"Approve")</f>
        <v>Approve</v>
      </c>
      <c r="L557" s="3" t="str">
        <f>IFERROR(__xludf.DUMMYFUNCTION("""COMPUTED_VALUE"""),"Normal")</f>
        <v>Normal</v>
      </c>
      <c r="M557" s="3" t="str">
        <f>IFERROR(__xludf.DUMMYFUNCTION("""COMPUTED_VALUE"""),"Non Urgent")</f>
        <v>Non Urgent</v>
      </c>
      <c r="N557" s="3">
        <f>IFERROR(__xludf.DUMMYFUNCTION("""COMPUTED_VALUE"""),46047.89230357639)</f>
        <v>46047.8923</v>
      </c>
    </row>
    <row r="558">
      <c r="A558" s="4">
        <f>IFERROR(__xludf.DUMMYFUNCTION("""COMPUTED_VALUE"""),46049.64311123842)</f>
        <v>46049.64311</v>
      </c>
      <c r="B558" s="3" t="str">
        <f>IFERROR(__xludf.DUMMYFUNCTION("""COMPUTED_VALUE"""),"SFHRO0032")</f>
        <v>SFHRO0032</v>
      </c>
      <c r="C558" s="3" t="str">
        <f>IFERROR(__xludf.DUMMYFUNCTION("""COMPUTED_VALUE"""),"Consumable")</f>
        <v>Consumable</v>
      </c>
      <c r="D558" s="3" t="str">
        <f>IFERROR(__xludf.DUMMYFUNCTION("""COMPUTED_VALUE"""),"-")</f>
        <v>-</v>
      </c>
      <c r="E558" s="3" t="str">
        <f>IFERROR(__xludf.DUMMYFUNCTION("""COMPUTED_VALUE"""),"lantai 2")</f>
        <v>lantai 2</v>
      </c>
      <c r="F558" s="3" t="str">
        <f>IFERROR(__xludf.DUMMYFUNCTION("""COMPUTED_VALUE"""),"Cat Weathershield Day Break;Dulux;Type 40544M Day Break;pack size per 20L pail")</f>
        <v>Cat Weathershield Day Break;Dulux;Type 40544M Day Break;pack size per 20L pail</v>
      </c>
      <c r="G558" s="3">
        <f>IFERROR(__xludf.DUMMYFUNCTION("""COMPUTED_VALUE"""),3.0)</f>
        <v>3</v>
      </c>
      <c r="H558" s="3" t="str">
        <f>IFERROR(__xludf.DUMMYFUNCTION("""COMPUTED_VALUE"""),"pel")</f>
        <v>pel</v>
      </c>
      <c r="I558" s="3" t="str">
        <f>IFERROR(__xludf.DUMMYFUNCTION("""COMPUTED_VALUE"""),"stock habis")</f>
        <v>stock habis</v>
      </c>
      <c r="J558" s="3" t="str">
        <f>IFERROR(__xludf.DUMMYFUNCTION("""COMPUTED_VALUE"""),"Q-90767-00")</f>
        <v>Q-90767-00</v>
      </c>
      <c r="K558" s="3" t="str">
        <f>IFERROR(__xludf.DUMMYFUNCTION("""COMPUTED_VALUE"""),"Approve")</f>
        <v>Approve</v>
      </c>
      <c r="L558" s="3" t="str">
        <f>IFERROR(__xludf.DUMMYFUNCTION("""COMPUTED_VALUE"""),"Normal")</f>
        <v>Normal</v>
      </c>
      <c r="M558" s="3" t="str">
        <f>IFERROR(__xludf.DUMMYFUNCTION("""COMPUTED_VALUE"""),"Non Urgent")</f>
        <v>Non Urgent</v>
      </c>
      <c r="N558" s="3">
        <f>IFERROR(__xludf.DUMMYFUNCTION("""COMPUTED_VALUE"""),46050.7070775)</f>
        <v>46050.70708</v>
      </c>
    </row>
    <row r="559">
      <c r="A559" s="4">
        <f>IFERROR(__xludf.DUMMYFUNCTION("""COMPUTED_VALUE"""),46049.853237523144)</f>
        <v>46049.85324</v>
      </c>
      <c r="B559" s="3" t="str">
        <f>IFERROR(__xludf.DUMMYFUNCTION("""COMPUTED_VALUE"""),"SFHRO0033")</f>
        <v>SFHRO0033</v>
      </c>
      <c r="C559" s="3" t="str">
        <f>IFERROR(__xludf.DUMMYFUNCTION("""COMPUTED_VALUE"""),"Consumable")</f>
        <v>Consumable</v>
      </c>
      <c r="D559" s="3" t="str">
        <f>IFERROR(__xludf.DUMMYFUNCTION("""COMPUTED_VALUE"""),"-")</f>
        <v>-</v>
      </c>
      <c r="E559" s="3" t="str">
        <f>IFERROR(__xludf.DUMMYFUNCTION("""COMPUTED_VALUE"""),"lantai 3")</f>
        <v>lantai 3</v>
      </c>
      <c r="F559" s="3" t="str">
        <f>IFERROR(__xludf.DUMMYFUNCTION("""COMPUTED_VALUE"""),"Polyfloor PFT-213 Light blue @ 20 KG")</f>
        <v>Polyfloor PFT-213 Light blue @ 20 KG</v>
      </c>
      <c r="G559" s="3">
        <f>IFERROR(__xludf.DUMMYFUNCTION("""COMPUTED_VALUE"""),4.0)</f>
        <v>4</v>
      </c>
      <c r="H559" s="3" t="str">
        <f>IFERROR(__xludf.DUMMYFUNCTION("""COMPUTED_VALUE"""),"pel")</f>
        <v>pel</v>
      </c>
      <c r="I559" s="3" t="str">
        <f>IFERROR(__xludf.DUMMYFUNCTION("""COMPUTED_VALUE"""),"stock habis")</f>
        <v>stock habis</v>
      </c>
      <c r="J559" s="3" t="str">
        <f>IFERROR(__xludf.DUMMYFUNCTION("""COMPUTED_VALUE"""),"Q-10172-00")</f>
        <v>Q-10172-00</v>
      </c>
      <c r="K559" s="3" t="str">
        <f>IFERROR(__xludf.DUMMYFUNCTION("""COMPUTED_VALUE"""),"Approve")</f>
        <v>Approve</v>
      </c>
      <c r="L559" s="3" t="str">
        <f>IFERROR(__xludf.DUMMYFUNCTION("""COMPUTED_VALUE"""),"Normal")</f>
        <v>Normal</v>
      </c>
      <c r="M559" s="3" t="str">
        <f>IFERROR(__xludf.DUMMYFUNCTION("""COMPUTED_VALUE"""),"Non Urgent")</f>
        <v>Non Urgent</v>
      </c>
      <c r="N559" s="3">
        <f>IFERROR(__xludf.DUMMYFUNCTION("""COMPUTED_VALUE"""),46050.70682636574)</f>
        <v>46050.70683</v>
      </c>
    </row>
    <row r="560">
      <c r="A560" s="4">
        <f>IFERROR(__xludf.DUMMYFUNCTION("""COMPUTED_VALUE"""),46055.43885324074)</f>
        <v>46055.43885</v>
      </c>
      <c r="B560" s="3" t="str">
        <f>IFERROR(__xludf.DUMMYFUNCTION("""COMPUTED_VALUE"""),"RIARO0065")</f>
        <v>RIARO0065</v>
      </c>
      <c r="C560" s="3" t="str">
        <f>IFERROR(__xludf.DUMMYFUNCTION("""COMPUTED_VALUE"""),"Consumable")</f>
        <v>Consumable</v>
      </c>
      <c r="D560" s="3" t="str">
        <f>IFERROR(__xludf.DUMMYFUNCTION("""COMPUTED_VALUE"""),"-")</f>
        <v>-</v>
      </c>
      <c r="E560" s="3" t="str">
        <f>IFERROR(__xludf.DUMMYFUNCTION("""COMPUTED_VALUE"""),"Dumbwaiter")</f>
        <v>Dumbwaiter</v>
      </c>
      <c r="F560" s="3" t="str">
        <f>IFERROR(__xludf.DUMMYFUNCTION("""COMPUTED_VALUE"""),"General - Limit Switch IP65; EWIG; E8108; 1 pc")</f>
        <v>General - Limit Switch IP65; EWIG; E8108; 1 pc</v>
      </c>
      <c r="G560" s="3">
        <f>IFERROR(__xludf.DUMMYFUNCTION("""COMPUTED_VALUE"""),3.0)</f>
        <v>3</v>
      </c>
      <c r="H560" s="3" t="str">
        <f>IFERROR(__xludf.DUMMYFUNCTION("""COMPUTED_VALUE"""),"Pcs")</f>
        <v>Pcs</v>
      </c>
      <c r="I560" s="3" t="str">
        <f>IFERROR(__xludf.DUMMYFUNCTION("""COMPUTED_VALUE"""),"Buat Stok LS Dumbwaiter Posisi")</f>
        <v>Buat Stok LS Dumbwaiter Posisi</v>
      </c>
      <c r="J560" s="3" t="str">
        <f>IFERROR(__xludf.DUMMYFUNCTION("""COMPUTED_VALUE"""),"P-52975-00")</f>
        <v>P-52975-00</v>
      </c>
      <c r="K560" s="3" t="str">
        <f>IFERROR(__xludf.DUMMYFUNCTION("""COMPUTED_VALUE"""),"Approve")</f>
        <v>Approve</v>
      </c>
      <c r="L560" s="3" t="str">
        <f>IFERROR(__xludf.DUMMYFUNCTION("""COMPUTED_VALUE"""),"Normal")</f>
        <v>Normal</v>
      </c>
      <c r="M560" s="3" t="str">
        <f>IFERROR(__xludf.DUMMYFUNCTION("""COMPUTED_VALUE"""),"Non Urgent")</f>
        <v>Non Urgent</v>
      </c>
      <c r="N560" s="3">
        <f>IFERROR(__xludf.DUMMYFUNCTION("""COMPUTED_VALUE"""),46062.3955021875)</f>
        <v>46062.3955</v>
      </c>
    </row>
    <row r="561">
      <c r="A561" s="4">
        <f>IFERROR(__xludf.DUMMYFUNCTION("""COMPUTED_VALUE"""),46056.61126896991)</f>
        <v>46056.61127</v>
      </c>
      <c r="B561" s="3" t="str">
        <f>IFERROR(__xludf.DUMMYFUNCTION("""COMPUTED_VALUE"""),"MRNRO0044")</f>
        <v>MRNRO0044</v>
      </c>
      <c r="C561" s="3" t="str">
        <f>IFERROR(__xludf.DUMMYFUNCTION("""COMPUTED_VALUE"""),"EJO")</f>
        <v>EJO</v>
      </c>
      <c r="D561" s="3" t="str">
        <f>IFERROR(__xludf.DUMMYFUNCTION("""COMPUTED_VALUE"""),"EJO/2025/08/203")</f>
        <v>EJO/2025/08/203</v>
      </c>
      <c r="E561" s="3" t="str">
        <f>IFERROR(__xludf.DUMMYFUNCTION("""COMPUTED_VALUE"""),"PSG")</f>
        <v>PSG</v>
      </c>
      <c r="F561" s="3" t="str">
        <f>IFERROR(__xludf.DUMMYFUNCTION("""COMPUTED_VALUE"""),"General - Ferrule SS 316, 1/2inch; No Brand; -; 1 pcs")</f>
        <v>General - Ferrule SS 316, 1/2inch; No Brand; -; 1 pcs</v>
      </c>
      <c r="G561" s="3">
        <f>IFERROR(__xludf.DUMMYFUNCTION("""COMPUTED_VALUE"""),2.0)</f>
        <v>2</v>
      </c>
      <c r="H561" s="3" t="str">
        <f>IFERROR(__xludf.DUMMYFUNCTION("""COMPUTED_VALUE"""),"pcs")</f>
        <v>pcs</v>
      </c>
      <c r="I561" s="3" t="str">
        <f>IFERROR(__xludf.DUMMYFUNCTION("""COMPUTED_VALUE"""),"untuk venting psg")</f>
        <v>untuk venting psg</v>
      </c>
      <c r="J561" s="3" t="str">
        <f>IFERROR(__xludf.DUMMYFUNCTION("""COMPUTED_VALUE"""),"P-17363-00")</f>
        <v>P-17363-00</v>
      </c>
      <c r="K561" s="3" t="str">
        <f>IFERROR(__xludf.DUMMYFUNCTION("""COMPUTED_VALUE"""),"Approve")</f>
        <v>Approve</v>
      </c>
      <c r="L561" s="3" t="str">
        <f>IFERROR(__xludf.DUMMYFUNCTION("""COMPUTED_VALUE"""),"Normal")</f>
        <v>Normal</v>
      </c>
      <c r="M561" s="3" t="str">
        <f>IFERROR(__xludf.DUMMYFUNCTION("""COMPUTED_VALUE"""),"Non Urgent")</f>
        <v>Non Urgent</v>
      </c>
      <c r="N561" s="3">
        <f>IFERROR(__xludf.DUMMYFUNCTION("""COMPUTED_VALUE"""),46062.39493278935)</f>
        <v>46062.39493</v>
      </c>
    </row>
    <row r="562">
      <c r="A562" s="4">
        <f>IFERROR(__xludf.DUMMYFUNCTION("""COMPUTED_VALUE"""),46056.61235695602)</f>
        <v>46056.61236</v>
      </c>
      <c r="B562" s="3" t="str">
        <f>IFERROR(__xludf.DUMMYFUNCTION("""COMPUTED_VALUE"""),"MRNRO0045")</f>
        <v>MRNRO0045</v>
      </c>
      <c r="C562" s="3" t="str">
        <f>IFERROR(__xludf.DUMMYFUNCTION("""COMPUTED_VALUE"""),"EJO")</f>
        <v>EJO</v>
      </c>
      <c r="D562" s="3" t="str">
        <f>IFERROR(__xludf.DUMMYFUNCTION("""COMPUTED_VALUE"""),"EJO/2025/08/204")</f>
        <v>EJO/2025/08/204</v>
      </c>
      <c r="E562" s="3" t="str">
        <f>IFERROR(__xludf.DUMMYFUNCTION("""COMPUTED_VALUE"""),"PSG")</f>
        <v>PSG</v>
      </c>
      <c r="F562" s="3" t="str">
        <f>IFERROR(__xludf.DUMMYFUNCTION("""COMPUTED_VALUE"""),"General - Ferrule SS 316L 1inch; No Brand; -; 1 pcs")</f>
        <v>General - Ferrule SS 316L 1inch; No Brand; -; 1 pcs</v>
      </c>
      <c r="G562" s="3">
        <f>IFERROR(__xludf.DUMMYFUNCTION("""COMPUTED_VALUE"""),2.0)</f>
        <v>2</v>
      </c>
      <c r="H562" s="3" t="str">
        <f>IFERROR(__xludf.DUMMYFUNCTION("""COMPUTED_VALUE"""),"pcs")</f>
        <v>pcs</v>
      </c>
      <c r="I562" s="3" t="str">
        <f>IFERROR(__xludf.DUMMYFUNCTION("""COMPUTED_VALUE"""),"untuk venting psg")</f>
        <v>untuk venting psg</v>
      </c>
      <c r="J562" s="3" t="str">
        <f>IFERROR(__xludf.DUMMYFUNCTION("""COMPUTED_VALUE"""),"P-10763-00")</f>
        <v>P-10763-00</v>
      </c>
      <c r="K562" s="3" t="str">
        <f>IFERROR(__xludf.DUMMYFUNCTION("""COMPUTED_VALUE"""),"Approve")</f>
        <v>Approve</v>
      </c>
      <c r="L562" s="3" t="str">
        <f>IFERROR(__xludf.DUMMYFUNCTION("""COMPUTED_VALUE"""),"Normal")</f>
        <v>Normal</v>
      </c>
      <c r="M562" s="3" t="str">
        <f>IFERROR(__xludf.DUMMYFUNCTION("""COMPUTED_VALUE"""),"Non Urgent")</f>
        <v>Non Urgent</v>
      </c>
      <c r="N562" s="3">
        <f>IFERROR(__xludf.DUMMYFUNCTION("""COMPUTED_VALUE"""),46062.39511769676)</f>
        <v>46062.39512</v>
      </c>
    </row>
    <row r="563">
      <c r="A563" s="4">
        <f>IFERROR(__xludf.DUMMYFUNCTION("""COMPUTED_VALUE"""),46056.61339070602)</f>
        <v>46056.61339</v>
      </c>
      <c r="B563" s="3" t="str">
        <f>IFERROR(__xludf.DUMMYFUNCTION("""COMPUTED_VALUE"""),"MRNRO0046")</f>
        <v>MRNRO0046</v>
      </c>
      <c r="C563" s="3" t="str">
        <f>IFERROR(__xludf.DUMMYFUNCTION("""COMPUTED_VALUE"""),"EJO")</f>
        <v>EJO</v>
      </c>
      <c r="D563" s="3" t="str">
        <f>IFERROR(__xludf.DUMMYFUNCTION("""COMPUTED_VALUE"""),"EJO/2025/08/205")</f>
        <v>EJO/2025/08/205</v>
      </c>
      <c r="E563" s="3" t="str">
        <f>IFERROR(__xludf.DUMMYFUNCTION("""COMPUTED_VALUE"""),"PSG")</f>
        <v>PSG</v>
      </c>
      <c r="F563" s="3" t="str">
        <f>IFERROR(__xludf.DUMMYFUNCTION("""COMPUTED_VALUE"""),"Elbow SS 316 L dia 1inch")</f>
        <v>Elbow SS 316 L dia 1inch</v>
      </c>
      <c r="G563" s="3">
        <f>IFERROR(__xludf.DUMMYFUNCTION("""COMPUTED_VALUE"""),6.0)</f>
        <v>6</v>
      </c>
      <c r="H563" s="3" t="str">
        <f>IFERROR(__xludf.DUMMYFUNCTION("""COMPUTED_VALUE"""),"pcs")</f>
        <v>pcs</v>
      </c>
      <c r="I563" s="3" t="str">
        <f>IFERROR(__xludf.DUMMYFUNCTION("""COMPUTED_VALUE"""),"untuk venting psg")</f>
        <v>untuk venting psg</v>
      </c>
      <c r="J563" s="3" t="str">
        <f>IFERROR(__xludf.DUMMYFUNCTION("""COMPUTED_VALUE"""),"P-12195-00")</f>
        <v>P-12195-00</v>
      </c>
      <c r="K563" s="3" t="str">
        <f>IFERROR(__xludf.DUMMYFUNCTION("""COMPUTED_VALUE"""),"Approve")</f>
        <v>Approve</v>
      </c>
      <c r="L563" s="3" t="str">
        <f>IFERROR(__xludf.DUMMYFUNCTION("""COMPUTED_VALUE"""),"Normal")</f>
        <v>Normal</v>
      </c>
      <c r="M563" s="3" t="str">
        <f>IFERROR(__xludf.DUMMYFUNCTION("""COMPUTED_VALUE"""),"Non Urgent")</f>
        <v>Non Urgent</v>
      </c>
      <c r="N563" s="3">
        <f>IFERROR(__xludf.DUMMYFUNCTION("""COMPUTED_VALUE"""),46062.39531416667)</f>
        <v>46062.39531</v>
      </c>
    </row>
    <row r="564">
      <c r="A564" s="4">
        <f>IFERROR(__xludf.DUMMYFUNCTION("""COMPUTED_VALUE"""),46056.71664653935)</f>
        <v>46056.71665</v>
      </c>
      <c r="B564" s="3" t="str">
        <f>IFERROR(__xludf.DUMMYFUNCTION("""COMPUTED_VALUE"""),"ROSRO0021")</f>
        <v>ROSRO0021</v>
      </c>
      <c r="C564" s="3" t="str">
        <f>IFERROR(__xludf.DUMMYFUNCTION("""COMPUTED_VALUE"""),"Consumable")</f>
        <v>Consumable</v>
      </c>
      <c r="D564" s="3" t="str">
        <f>IFERROR(__xludf.DUMMYFUNCTION("""COMPUTED_VALUE"""),"-")</f>
        <v>-</v>
      </c>
      <c r="E564" s="3" t="str">
        <f>IFERROR(__xludf.DUMMYFUNCTION("""COMPUTED_VALUE"""),"autoclave preparasi dan decontam")</f>
        <v>autoclave preparasi dan decontam</v>
      </c>
      <c r="F564" s="3" t="str">
        <f>IFERROR(__xludf.DUMMYFUNCTION("""COMPUTED_VALUE"""),"Autoclave Fedegari FOF / 6 AC - O-RING21.82x3.53 ; p/n CC150010; ; ;")</f>
        <v>Autoclave Fedegari FOF / 6 AC - O-RING21.82x3.53 ; p/n CC150010; ; ;</v>
      </c>
      <c r="G564" s="3">
        <f>IFERROR(__xludf.DUMMYFUNCTION("""COMPUTED_VALUE"""),20.0)</f>
        <v>20</v>
      </c>
      <c r="H564" s="3" t="str">
        <f>IFERROR(__xludf.DUMMYFUNCTION("""COMPUTED_VALUE"""),"pcs")</f>
        <v>pcs</v>
      </c>
      <c r="I564" s="3" t="str">
        <f>IFERROR(__xludf.DUMMYFUNCTION("""COMPUTED_VALUE"""),"oring buat clamp F2")</f>
        <v>oring buat clamp F2</v>
      </c>
      <c r="J564" s="3" t="str">
        <f>IFERROR(__xludf.DUMMYFUNCTION("""COMPUTED_VALUE"""),"O-17399-00")</f>
        <v>O-17399-00</v>
      </c>
      <c r="K564" s="3" t="str">
        <f>IFERROR(__xludf.DUMMYFUNCTION("""COMPUTED_VALUE"""),"Approve")</f>
        <v>Approve</v>
      </c>
      <c r="L564" s="3" t="str">
        <f>IFERROR(__xludf.DUMMYFUNCTION("""COMPUTED_VALUE"""),"Normal")</f>
        <v>Normal</v>
      </c>
      <c r="M564" s="3" t="str">
        <f>IFERROR(__xludf.DUMMYFUNCTION("""COMPUTED_VALUE"""),"Non Urgent")</f>
        <v>Non Urgent</v>
      </c>
      <c r="N564" s="3">
        <f>IFERROR(__xludf.DUMMYFUNCTION("""COMPUTED_VALUE"""),46064.99766043981)</f>
        <v>46064.99766</v>
      </c>
    </row>
    <row r="565">
      <c r="A565" s="4">
        <f>IFERROR(__xludf.DUMMYFUNCTION("""COMPUTED_VALUE"""),46062.43281680556)</f>
        <v>46062.43282</v>
      </c>
      <c r="B565" s="3" t="str">
        <f>IFERROR(__xludf.DUMMYFUNCTION("""COMPUTED_VALUE"""),"MOBRO0077")</f>
        <v>MOBRO0077</v>
      </c>
      <c r="C565" s="3" t="str">
        <f>IFERROR(__xludf.DUMMYFUNCTION("""COMPUTED_VALUE"""),"Consumable")</f>
        <v>Consumable</v>
      </c>
      <c r="D565" s="3" t="str">
        <f>IFERROR(__xludf.DUMMYFUNCTION("""COMPUTED_VALUE"""),"-")</f>
        <v>-</v>
      </c>
      <c r="E565" s="3" t="str">
        <f>IFERROR(__xludf.DUMMYFUNCTION("""COMPUTED_VALUE"""),"PWG")</f>
        <v>PWG</v>
      </c>
      <c r="F565" s="3" t="str">
        <f>IFERROR(__xludf.DUMMYFUNCTION("""COMPUTED_VALUE"""),"General - Water Hardness Test Kit; No Brand; -; 1 Pc")</f>
        <v>General - Water Hardness Test Kit; No Brand; -; 1 Pc</v>
      </c>
      <c r="G565" s="3">
        <f>IFERROR(__xludf.DUMMYFUNCTION("""COMPUTED_VALUE"""),3.0)</f>
        <v>3</v>
      </c>
      <c r="H565" s="3" t="str">
        <f>IFERROR(__xludf.DUMMYFUNCTION("""COMPUTED_VALUE"""),"Pcs")</f>
        <v>Pcs</v>
      </c>
      <c r="I565" s="3" t="str">
        <f>IFERROR(__xludf.DUMMYFUNCTION("""COMPUTED_VALUE"""),"Habis, urgent")</f>
        <v>Habis, urgent</v>
      </c>
      <c r="J565" s="3" t="str">
        <f>IFERROR(__xludf.DUMMYFUNCTION("""COMPUTED_VALUE"""),"P-15938-00")</f>
        <v>P-15938-00</v>
      </c>
      <c r="K565" s="3" t="str">
        <f>IFERROR(__xludf.DUMMYFUNCTION("""COMPUTED_VALUE"""),"Approve")</f>
        <v>Approve</v>
      </c>
      <c r="L565" s="3" t="str">
        <f>IFERROR(__xludf.DUMMYFUNCTION("""COMPUTED_VALUE"""),"Normal")</f>
        <v>Normal</v>
      </c>
      <c r="M565" s="3" t="str">
        <f>IFERROR(__xludf.DUMMYFUNCTION("""COMPUTED_VALUE"""),"Non Urgent")</f>
        <v>Non Urgent</v>
      </c>
      <c r="N565" s="3">
        <f>IFERROR(__xludf.DUMMYFUNCTION("""COMPUTED_VALUE"""),46072.99076731481)</f>
        <v>46072.99077</v>
      </c>
    </row>
    <row r="566">
      <c r="A566" s="4">
        <f>IFERROR(__xludf.DUMMYFUNCTION("""COMPUTED_VALUE"""),46063.045743229166)</f>
        <v>46063.04574</v>
      </c>
      <c r="B566" s="3" t="str">
        <f>IFERROR(__xludf.DUMMYFUNCTION("""COMPUTED_VALUE"""),"BDURO0003")</f>
        <v>BDURO0003</v>
      </c>
      <c r="C566" s="3" t="str">
        <f>IFERROR(__xludf.DUMMYFUNCTION("""COMPUTED_VALUE"""),"EJO")</f>
        <v>EJO</v>
      </c>
      <c r="D566" s="3" t="str">
        <f>IFERROR(__xludf.DUMMYFUNCTION("""COMPUTED_VALUE"""),"EJO/2025/12/51")</f>
        <v>EJO/2025/12/51</v>
      </c>
      <c r="E566" s="3" t="str">
        <f>IFERROR(__xludf.DUMMYFUNCTION("""COMPUTED_VALUE"""),"Install jalur ups clien hplc 5&amp;6")</f>
        <v>Install jalur ups clien hplc 5&amp;6</v>
      </c>
      <c r="F566" s="3" t="str">
        <f>IFERROR(__xludf.DUMMYFUNCTION("""COMPUTED_VALUE"""),"General - Kabel NYYHY 3 x 2.5mm; SUPREME; -; 1 meter")</f>
        <v>General - Kabel NYYHY 3 x 2.5mm; SUPREME; -; 1 meter</v>
      </c>
      <c r="G566" s="3">
        <f>IFERROR(__xludf.DUMMYFUNCTION("""COMPUTED_VALUE"""),70.0)</f>
        <v>70</v>
      </c>
      <c r="H566" s="3" t="str">
        <f>IFERROR(__xludf.DUMMYFUNCTION("""COMPUTED_VALUE"""),"M")</f>
        <v>M</v>
      </c>
      <c r="I566" s="3" t="str">
        <f>IFERROR(__xludf.DUMMYFUNCTION("""COMPUTED_VALUE"""),"Untuk penarikan kabel baru dari panel P-GC &amp; HPLC UPS")</f>
        <v>Untuk penarikan kabel baru dari panel P-GC &amp; HPLC UPS</v>
      </c>
      <c r="J566" s="3" t="str">
        <f>IFERROR(__xludf.DUMMYFUNCTION("""COMPUTED_VALUE"""),"P-14877-00")</f>
        <v>P-14877-00</v>
      </c>
      <c r="K566" s="3" t="str">
        <f>IFERROR(__xludf.DUMMYFUNCTION("""COMPUTED_VALUE"""),"Approve")</f>
        <v>Approve</v>
      </c>
      <c r="L566" s="3" t="str">
        <f>IFERROR(__xludf.DUMMYFUNCTION("""COMPUTED_VALUE"""),"Normal")</f>
        <v>Normal</v>
      </c>
      <c r="M566" s="3" t="str">
        <f>IFERROR(__xludf.DUMMYFUNCTION("""COMPUTED_VALUE"""),"Non Urgent")</f>
        <v>Non Urgent</v>
      </c>
      <c r="N566" s="3">
        <f>IFERROR(__xludf.DUMMYFUNCTION("""COMPUTED_VALUE"""),46072.99130712963)</f>
        <v>46072.99131</v>
      </c>
    </row>
    <row r="567">
      <c r="A567" s="4">
        <f>IFERROR(__xludf.DUMMYFUNCTION("""COMPUTED_VALUE"""),46063.045818402774)</f>
        <v>46063.04582</v>
      </c>
      <c r="B567" s="3" t="str">
        <f>IFERROR(__xludf.DUMMYFUNCTION("""COMPUTED_VALUE"""),"BDURO0004")</f>
        <v>BDURO0004</v>
      </c>
      <c r="C567" s="3" t="str">
        <f>IFERROR(__xludf.DUMMYFUNCTION("""COMPUTED_VALUE"""),"EJO")</f>
        <v>EJO</v>
      </c>
      <c r="D567" s="3" t="str">
        <f>IFERROR(__xludf.DUMMYFUNCTION("""COMPUTED_VALUE"""),"EJO/2025/12/51")</f>
        <v>EJO/2025/12/51</v>
      </c>
      <c r="E567" s="3" t="str">
        <f>IFERROR(__xludf.DUMMYFUNCTION("""COMPUTED_VALUE"""),"Install jalur ups uplc")</f>
        <v>Install jalur ups uplc</v>
      </c>
      <c r="F567" s="3" t="str">
        <f>IFERROR(__xludf.DUMMYFUNCTION("""COMPUTED_VALUE"""),"General - Kabel NYYHY 3 x 2.5mm; SUPREME; -; 1 meter")</f>
        <v>General - Kabel NYYHY 3 x 2.5mm; SUPREME; -; 1 meter</v>
      </c>
      <c r="G567" s="3">
        <f>IFERROR(__xludf.DUMMYFUNCTION("""COMPUTED_VALUE"""),80.0)</f>
        <v>80</v>
      </c>
      <c r="H567" s="3" t="str">
        <f>IFERROR(__xludf.DUMMYFUNCTION("""COMPUTED_VALUE"""),"M")</f>
        <v>M</v>
      </c>
      <c r="I567" s="3" t="str">
        <f>IFERROR(__xludf.DUMMYFUNCTION("""COMPUTED_VALUE"""),"Untuk penarikan kabel baru dari panel P-GC &amp; HPLC UPS")</f>
        <v>Untuk penarikan kabel baru dari panel P-GC &amp; HPLC UPS</v>
      </c>
      <c r="J567" s="3" t="str">
        <f>IFERROR(__xludf.DUMMYFUNCTION("""COMPUTED_VALUE"""),"P-14877-00")</f>
        <v>P-14877-00</v>
      </c>
      <c r="K567" s="3" t="str">
        <f>IFERROR(__xludf.DUMMYFUNCTION("""COMPUTED_VALUE"""),"Approve")</f>
        <v>Approve</v>
      </c>
      <c r="L567" s="3" t="str">
        <f>IFERROR(__xludf.DUMMYFUNCTION("""COMPUTED_VALUE"""),"Normal")</f>
        <v>Normal</v>
      </c>
      <c r="M567" s="3" t="str">
        <f>IFERROR(__xludf.DUMMYFUNCTION("""COMPUTED_VALUE"""),"Non Urgent")</f>
        <v>Non Urgent</v>
      </c>
      <c r="N567" s="3">
        <f>IFERROR(__xludf.DUMMYFUNCTION("""COMPUTED_VALUE"""),46072.991173993054)</f>
        <v>46072.99117</v>
      </c>
    </row>
    <row r="568">
      <c r="A568" s="4">
        <f>IFERROR(__xludf.DUMMYFUNCTION("""COMPUTED_VALUE"""),46063.04584630787)</f>
        <v>46063.04585</v>
      </c>
      <c r="B568" s="3" t="str">
        <f>IFERROR(__xludf.DUMMYFUNCTION("""COMPUTED_VALUE"""),"BDURO0005")</f>
        <v>BDURO0005</v>
      </c>
      <c r="C568" s="3" t="str">
        <f>IFERROR(__xludf.DUMMYFUNCTION("""COMPUTED_VALUE"""),"EJO")</f>
        <v>EJO</v>
      </c>
      <c r="D568" s="3" t="str">
        <f>IFERROR(__xludf.DUMMYFUNCTION("""COMPUTED_VALUE"""),"EJO/2025/12/51")</f>
        <v>EJO/2025/12/51</v>
      </c>
      <c r="E568" s="3" t="str">
        <f>IFERROR(__xludf.DUMMYFUNCTION("""COMPUTED_VALUE"""),"Install jalur ups clien hplc 5&amp;6")</f>
        <v>Install jalur ups clien hplc 5&amp;6</v>
      </c>
      <c r="F568" s="3" t="str">
        <f>IFERROR(__xludf.DUMMYFUNCTION("""COMPUTED_VALUE"""),"MCB 1 PHASE, SCHNEIDER ELECTRIC, IC60H 10Ka 16 AMPERE")</f>
        <v>MCB 1 PHASE, SCHNEIDER ELECTRIC, IC60H 10Ka 16 AMPERE</v>
      </c>
      <c r="G568" s="3">
        <f>IFERROR(__xludf.DUMMYFUNCTION("""COMPUTED_VALUE"""),1.0)</f>
        <v>1</v>
      </c>
      <c r="H568" s="3" t="str">
        <f>IFERROR(__xludf.DUMMYFUNCTION("""COMPUTED_VALUE"""),"Pcs")</f>
        <v>Pcs</v>
      </c>
      <c r="I568" s="3" t="str">
        <f>IFERROR(__xludf.DUMMYFUNCTION("""COMPUTED_VALUE"""),"Penambahan MCB pada panel P-GC &amp; HPLC")</f>
        <v>Penambahan MCB pada panel P-GC &amp; HPLC</v>
      </c>
      <c r="J568" s="3" t="str">
        <f>IFERROR(__xludf.DUMMYFUNCTION("""COMPUTED_VALUE"""),"O-54007-00")</f>
        <v>O-54007-00</v>
      </c>
      <c r="K568" s="3" t="str">
        <f>IFERROR(__xludf.DUMMYFUNCTION("""COMPUTED_VALUE"""),"Approve")</f>
        <v>Approve</v>
      </c>
      <c r="L568" s="3" t="str">
        <f>IFERROR(__xludf.DUMMYFUNCTION("""COMPUTED_VALUE"""),"Normal")</f>
        <v>Normal</v>
      </c>
      <c r="M568" s="3" t="str">
        <f>IFERROR(__xludf.DUMMYFUNCTION("""COMPUTED_VALUE"""),"Non Urgent")</f>
        <v>Non Urgent</v>
      </c>
      <c r="N568" s="3">
        <f>IFERROR(__xludf.DUMMYFUNCTION("""COMPUTED_VALUE"""),46072.991054004626)</f>
        <v>46072.99105</v>
      </c>
    </row>
    <row r="569">
      <c r="A569" s="4">
        <f>IFERROR(__xludf.DUMMYFUNCTION("""COMPUTED_VALUE"""),46063.04586870371)</f>
        <v>46063.04587</v>
      </c>
      <c r="B569" s="3" t="str">
        <f>IFERROR(__xludf.DUMMYFUNCTION("""COMPUTED_VALUE"""),"BDURO0006")</f>
        <v>BDURO0006</v>
      </c>
      <c r="C569" s="3" t="str">
        <f>IFERROR(__xludf.DUMMYFUNCTION("""COMPUTED_VALUE"""),"EJO")</f>
        <v>EJO</v>
      </c>
      <c r="D569" s="3" t="str">
        <f>IFERROR(__xludf.DUMMYFUNCTION("""COMPUTED_VALUE"""),"EJO/2025/12/51")</f>
        <v>EJO/2025/12/51</v>
      </c>
      <c r="E569" s="3" t="str">
        <f>IFERROR(__xludf.DUMMYFUNCTION("""COMPUTED_VALUE"""),"Install jalur ups uplc")</f>
        <v>Install jalur ups uplc</v>
      </c>
      <c r="F569" s="3" t="str">
        <f>IFERROR(__xludf.DUMMYFUNCTION("""COMPUTED_VALUE"""),"MCB 1 PHASE, SCHNEIDER ELECTRIC, IC60H 10Ka 16 AMPERE")</f>
        <v>MCB 1 PHASE, SCHNEIDER ELECTRIC, IC60H 10Ka 16 AMPERE</v>
      </c>
      <c r="G569" s="3">
        <f>IFERROR(__xludf.DUMMYFUNCTION("""COMPUTED_VALUE"""),1.0)</f>
        <v>1</v>
      </c>
      <c r="H569" s="3" t="str">
        <f>IFERROR(__xludf.DUMMYFUNCTION("""COMPUTED_VALUE"""),"Pcs")</f>
        <v>Pcs</v>
      </c>
      <c r="I569" s="3" t="str">
        <f>IFERROR(__xludf.DUMMYFUNCTION("""COMPUTED_VALUE"""),"Penambahan MCB pada panel P-GC &amp; HPLC")</f>
        <v>Penambahan MCB pada panel P-GC &amp; HPLC</v>
      </c>
      <c r="J569" s="3" t="str">
        <f>IFERROR(__xludf.DUMMYFUNCTION("""COMPUTED_VALUE"""),"O-54007-00")</f>
        <v>O-54007-00</v>
      </c>
      <c r="K569" s="3" t="str">
        <f>IFERROR(__xludf.DUMMYFUNCTION("""COMPUTED_VALUE"""),"Approve")</f>
        <v>Approve</v>
      </c>
      <c r="L569" s="3" t="str">
        <f>IFERROR(__xludf.DUMMYFUNCTION("""COMPUTED_VALUE"""),"Normal")</f>
        <v>Normal</v>
      </c>
      <c r="M569" s="3" t="str">
        <f>IFERROR(__xludf.DUMMYFUNCTION("""COMPUTED_VALUE"""),"Non Urgent")</f>
        <v>Non Urgent</v>
      </c>
      <c r="N569" s="3">
        <f>IFERROR(__xludf.DUMMYFUNCTION("""COMPUTED_VALUE"""),46072.99091763889)</f>
        <v>46072.99092</v>
      </c>
    </row>
    <row r="570">
      <c r="A570" s="4">
        <f>IFERROR(__xludf.DUMMYFUNCTION("""COMPUTED_VALUE"""),46065.385553078704)</f>
        <v>46065.38555</v>
      </c>
      <c r="B570" s="3" t="str">
        <f>IFERROR(__xludf.DUMMYFUNCTION("""COMPUTED_VALUE"""),"SFHRO0034")</f>
        <v>SFHRO0034</v>
      </c>
      <c r="C570" s="3" t="str">
        <f>IFERROR(__xludf.DUMMYFUNCTION("""COMPUTED_VALUE"""),"Consumable")</f>
        <v>Consumable</v>
      </c>
      <c r="D570" s="3" t="str">
        <f>IFERROR(__xludf.DUMMYFUNCTION("""COMPUTED_VALUE"""),"-")</f>
        <v>-</v>
      </c>
      <c r="E570" s="3" t="str">
        <f>IFERROR(__xludf.DUMMYFUNCTION("""COMPUTED_VALUE"""),"lantai 2")</f>
        <v>lantai 2</v>
      </c>
      <c r="F570" s="3" t="str">
        <f>IFERROR(__xludf.DUMMYFUNCTION("""COMPUTED_VALUE"""),"General - Lem Aibon; No Brand; -; 300 gram/can")</f>
        <v>General - Lem Aibon; No Brand; -; 300 gram/can</v>
      </c>
      <c r="G570" s="3">
        <f>IFERROR(__xludf.DUMMYFUNCTION("""COMPUTED_VALUE"""),3.0)</f>
        <v>3</v>
      </c>
      <c r="H570" s="3" t="str">
        <f>IFERROR(__xludf.DUMMYFUNCTION("""COMPUTED_VALUE"""),"kaleng")</f>
        <v>kaleng</v>
      </c>
      <c r="I570" s="3" t="str">
        <f>IFERROR(__xludf.DUMMYFUNCTION("""COMPUTED_VALUE"""),"stock habis")</f>
        <v>stock habis</v>
      </c>
      <c r="J570" s="3" t="str">
        <f>IFERROR(__xludf.DUMMYFUNCTION("""COMPUTED_VALUE"""),"P-12464-00")</f>
        <v>P-12464-00</v>
      </c>
      <c r="K570" s="3" t="str">
        <f>IFERROR(__xludf.DUMMYFUNCTION("""COMPUTED_VALUE"""),"Approve")</f>
        <v>Approve</v>
      </c>
      <c r="L570" s="3" t="str">
        <f>IFERROR(__xludf.DUMMYFUNCTION("""COMPUTED_VALUE"""),"Normal")</f>
        <v>Normal</v>
      </c>
      <c r="M570" s="3" t="str">
        <f>IFERROR(__xludf.DUMMYFUNCTION("""COMPUTED_VALUE"""),"Non Urgent")</f>
        <v>Non Urgent</v>
      </c>
      <c r="N570" s="3">
        <f>IFERROR(__xludf.DUMMYFUNCTION("""COMPUTED_VALUE"""),46072.98640559027)</f>
        <v>46072.98641</v>
      </c>
    </row>
    <row r="571">
      <c r="A571" s="4">
        <f>IFERROR(__xludf.DUMMYFUNCTION("""COMPUTED_VALUE"""),46065.38636293981)</f>
        <v>46065.38636</v>
      </c>
      <c r="B571" s="3" t="str">
        <f>IFERROR(__xludf.DUMMYFUNCTION("""COMPUTED_VALUE"""),"SFHRO0035")</f>
        <v>SFHRO0035</v>
      </c>
      <c r="C571" s="3" t="str">
        <f>IFERROR(__xludf.DUMMYFUNCTION("""COMPUTED_VALUE"""),"MIn Stok")</f>
        <v>MIn Stok</v>
      </c>
      <c r="D571" s="3" t="str">
        <f>IFERROR(__xludf.DUMMYFUNCTION("""COMPUTED_VALUE"""),"-")</f>
        <v>-</v>
      </c>
      <c r="E571" s="3" t="str">
        <f>IFERROR(__xludf.DUMMYFUNCTION("""COMPUTED_VALUE"""),"lantai 2")</f>
        <v>lantai 2</v>
      </c>
      <c r="F571" s="3" t="str">
        <f>IFERROR(__xludf.DUMMYFUNCTION("""COMPUTED_VALUE"""),"Limit Switch;; Omron; Part No. D4MC-1000; 1 pc/pack")</f>
        <v>Limit Switch;; Omron; Part No. D4MC-1000; 1 pc/pack</v>
      </c>
      <c r="G571" s="3">
        <f>IFERROR(__xludf.DUMMYFUNCTION("""COMPUTED_VALUE"""),3.0)</f>
        <v>3</v>
      </c>
      <c r="H571" s="3" t="str">
        <f>IFERROR(__xludf.DUMMYFUNCTION("""COMPUTED_VALUE"""),"pcs")</f>
        <v>pcs</v>
      </c>
      <c r="I571" s="3" t="str">
        <f>IFERROR(__xludf.DUMMYFUNCTION("""COMPUTED_VALUE"""),"stock habis")</f>
        <v>stock habis</v>
      </c>
      <c r="J571" s="3" t="str">
        <f>IFERROR(__xludf.DUMMYFUNCTION("""COMPUTED_VALUE"""),"P-52009-00")</f>
        <v>P-52009-00</v>
      </c>
      <c r="K571" s="3" t="str">
        <f>IFERROR(__xludf.DUMMYFUNCTION("""COMPUTED_VALUE"""),"Approve")</f>
        <v>Approve</v>
      </c>
      <c r="L571" s="3" t="str">
        <f>IFERROR(__xludf.DUMMYFUNCTION("""COMPUTED_VALUE"""),"Normal")</f>
        <v>Normal</v>
      </c>
      <c r="M571" s="3" t="str">
        <f>IFERROR(__xludf.DUMMYFUNCTION("""COMPUTED_VALUE"""),"Non Urgent")</f>
        <v>Non Urgent</v>
      </c>
      <c r="N571" s="3">
        <f>IFERROR(__xludf.DUMMYFUNCTION("""COMPUTED_VALUE"""),46072.98625855324)</f>
        <v>46072.98626</v>
      </c>
    </row>
    <row r="572">
      <c r="A572" s="4">
        <f>IFERROR(__xludf.DUMMYFUNCTION("""COMPUTED_VALUE"""),46065.38918606482)</f>
        <v>46065.38919</v>
      </c>
      <c r="B572" s="3" t="str">
        <f>IFERROR(__xludf.DUMMYFUNCTION("""COMPUTED_VALUE"""),"SFHRO0036")</f>
        <v>SFHRO0036</v>
      </c>
      <c r="C572" s="3" t="str">
        <f>IFERROR(__xludf.DUMMYFUNCTION("""COMPUTED_VALUE"""),"MIn Stok")</f>
        <v>MIn Stok</v>
      </c>
      <c r="D572" s="3" t="str">
        <f>IFERROR(__xludf.DUMMYFUNCTION("""COMPUTED_VALUE"""),"-")</f>
        <v>-</v>
      </c>
      <c r="E572" s="3" t="str">
        <f>IFERROR(__xludf.DUMMYFUNCTION("""COMPUTED_VALUE"""),"lantai 2")</f>
        <v>lantai 2</v>
      </c>
      <c r="F572" s="3" t="str">
        <f>IFERROR(__xludf.DUMMYFUNCTION("""COMPUTED_VALUE"""),"Cat Ftalit 444 Banana Yellow; ; ; 1 Kg per Can")</f>
        <v>Cat Ftalit 444 Banana Yellow; ; ; 1 Kg per Can</v>
      </c>
      <c r="G572" s="3">
        <f>IFERROR(__xludf.DUMMYFUNCTION("""COMPUTED_VALUE"""),3.0)</f>
        <v>3</v>
      </c>
      <c r="H572" s="3" t="str">
        <f>IFERROR(__xludf.DUMMYFUNCTION("""COMPUTED_VALUE"""),"kg")</f>
        <v>kg</v>
      </c>
      <c r="I572" s="3" t="str">
        <f>IFERROR(__xludf.DUMMYFUNCTION("""COMPUTED_VALUE"""),"stock habis d pake GA BUAT MARKING JALAN ")</f>
        <v>stock habis d pake GA BUAT MARKING JALAN </v>
      </c>
      <c r="J572" s="3" t="str">
        <f>IFERROR(__xludf.DUMMYFUNCTION("""COMPUTED_VALUE"""),"Q-10580-00")</f>
        <v>Q-10580-00</v>
      </c>
      <c r="K572" s="3" t="str">
        <f>IFERROR(__xludf.DUMMYFUNCTION("""COMPUTED_VALUE"""),"Approve")</f>
        <v>Approve</v>
      </c>
      <c r="L572" s="3" t="str">
        <f>IFERROR(__xludf.DUMMYFUNCTION("""COMPUTED_VALUE"""),"Normal")</f>
        <v>Normal</v>
      </c>
      <c r="M572" s="3" t="str">
        <f>IFERROR(__xludf.DUMMYFUNCTION("""COMPUTED_VALUE"""),"Non Urgent")</f>
        <v>Non Urgent</v>
      </c>
      <c r="N572" s="3">
        <f>IFERROR(__xludf.DUMMYFUNCTION("""COMPUTED_VALUE"""),46072.986094884254)</f>
        <v>46072.98609</v>
      </c>
    </row>
    <row r="573">
      <c r="A573" s="4">
        <f>IFERROR(__xludf.DUMMYFUNCTION("""COMPUTED_VALUE"""),46065.393395879626)</f>
        <v>46065.3934</v>
      </c>
      <c r="B573" s="3" t="str">
        <f>IFERROR(__xludf.DUMMYFUNCTION("""COMPUTED_VALUE"""),"SFHRO0037")</f>
        <v>SFHRO0037</v>
      </c>
      <c r="C573" s="3" t="str">
        <f>IFERROR(__xludf.DUMMYFUNCTION("""COMPUTED_VALUE"""),"MIn Stok")</f>
        <v>MIn Stok</v>
      </c>
      <c r="D573" s="3" t="str">
        <f>IFERROR(__xludf.DUMMYFUNCTION("""COMPUTED_VALUE"""),"-")</f>
        <v>-</v>
      </c>
      <c r="E573" s="3" t="str">
        <f>IFERROR(__xludf.DUMMYFUNCTION("""COMPUTED_VALUE"""),"Lantai 2")</f>
        <v>Lantai 2</v>
      </c>
      <c r="F573" s="3" t="str">
        <f>IFERROR(__xludf.DUMMYFUNCTION("""COMPUTED_VALUE"""),"Kuas Cat Uk. 5 inch;No Brand;;pack size per pcs")</f>
        <v>Kuas Cat Uk. 5 inch;No Brand;;pack size per pcs</v>
      </c>
      <c r="G573" s="3">
        <f>IFERROR(__xludf.DUMMYFUNCTION("""COMPUTED_VALUE"""),5.0)</f>
        <v>5</v>
      </c>
      <c r="H573" s="3" t="str">
        <f>IFERROR(__xludf.DUMMYFUNCTION("""COMPUTED_VALUE"""),"pcs")</f>
        <v>pcs</v>
      </c>
      <c r="I573" s="3" t="str">
        <f>IFERROR(__xludf.DUMMYFUNCTION("""COMPUTED_VALUE"""),"stock habis")</f>
        <v>stock habis</v>
      </c>
      <c r="J573" s="3" t="str">
        <f>IFERROR(__xludf.DUMMYFUNCTION("""COMPUTED_VALUE"""),"Q-10656-00")</f>
        <v>Q-10656-00</v>
      </c>
      <c r="K573" s="3" t="str">
        <f>IFERROR(__xludf.DUMMYFUNCTION("""COMPUTED_VALUE"""),"Approve")</f>
        <v>Approve</v>
      </c>
      <c r="L573" s="3" t="str">
        <f>IFERROR(__xludf.DUMMYFUNCTION("""COMPUTED_VALUE"""),"Normal")</f>
        <v>Normal</v>
      </c>
      <c r="M573" s="3" t="str">
        <f>IFERROR(__xludf.DUMMYFUNCTION("""COMPUTED_VALUE"""),"Non Urgent")</f>
        <v>Non Urgent</v>
      </c>
      <c r="N573" s="3">
        <f>IFERROR(__xludf.DUMMYFUNCTION("""COMPUTED_VALUE"""),46072.9858684838)</f>
        <v>46072.98587</v>
      </c>
    </row>
    <row r="574">
      <c r="A574" s="4">
        <f>IFERROR(__xludf.DUMMYFUNCTION("""COMPUTED_VALUE"""),46065.402645856484)</f>
        <v>46065.40265</v>
      </c>
      <c r="B574" s="3" t="str">
        <f>IFERROR(__xludf.DUMMYFUNCTION("""COMPUTED_VALUE"""),"SFHRO0038")</f>
        <v>SFHRO0038</v>
      </c>
      <c r="C574" s="3" t="str">
        <f>IFERROR(__xludf.DUMMYFUNCTION("""COMPUTED_VALUE"""),"MIn Stok")</f>
        <v>MIn Stok</v>
      </c>
      <c r="D574" s="3" t="str">
        <f>IFERROR(__xludf.DUMMYFUNCTION("""COMPUTED_VALUE"""),"-")</f>
        <v>-</v>
      </c>
      <c r="E574" s="3" t="str">
        <f>IFERROR(__xludf.DUMMYFUNCTION("""COMPUTED_VALUE"""),"lantai 2")</f>
        <v>lantai 2</v>
      </c>
      <c r="F574" s="3" t="str">
        <f>IFERROR(__xludf.DUMMYFUNCTION("""COMPUTED_VALUE"""),"Kuas uk. 2.5 inch; No Brand; ; pack size per pc")</f>
        <v>Kuas uk. 2.5 inch; No Brand; ; pack size per pc</v>
      </c>
      <c r="G574" s="3">
        <f>IFERROR(__xludf.DUMMYFUNCTION("""COMPUTED_VALUE"""),5.0)</f>
        <v>5</v>
      </c>
      <c r="H574" s="3" t="str">
        <f>IFERROR(__xludf.DUMMYFUNCTION("""COMPUTED_VALUE"""),"pcs")</f>
        <v>pcs</v>
      </c>
      <c r="I574" s="3" t="str">
        <f>IFERROR(__xludf.DUMMYFUNCTION("""COMPUTED_VALUE"""),"stock habis")</f>
        <v>stock habis</v>
      </c>
      <c r="J574" s="3" t="str">
        <f>IFERROR(__xludf.DUMMYFUNCTION("""COMPUTED_VALUE"""),"Q-54128-00")</f>
        <v>Q-54128-00</v>
      </c>
      <c r="K574" s="3" t="str">
        <f>IFERROR(__xludf.DUMMYFUNCTION("""COMPUTED_VALUE"""),"Approve")</f>
        <v>Approve</v>
      </c>
      <c r="L574" s="3" t="str">
        <f>IFERROR(__xludf.DUMMYFUNCTION("""COMPUTED_VALUE"""),"Normal")</f>
        <v>Normal</v>
      </c>
      <c r="M574" s="3" t="str">
        <f>IFERROR(__xludf.DUMMYFUNCTION("""COMPUTED_VALUE"""),"Non Urgent")</f>
        <v>Non Urgent</v>
      </c>
      <c r="N574" s="3">
        <f>IFERROR(__xludf.DUMMYFUNCTION("""COMPUTED_VALUE"""),46072.98568583334)</f>
        <v>46072.98569</v>
      </c>
    </row>
    <row r="575">
      <c r="A575" s="4">
        <f>IFERROR(__xludf.DUMMYFUNCTION("""COMPUTED_VALUE"""),46068.6837164699)</f>
        <v>46068.68372</v>
      </c>
      <c r="B575" s="3" t="str">
        <f>IFERROR(__xludf.DUMMYFUNCTION("""COMPUTED_VALUE"""),"RIARO0068")</f>
        <v>RIARO0068</v>
      </c>
      <c r="C575" s="3" t="str">
        <f>IFERROR(__xludf.DUMMYFUNCTION("""COMPUTED_VALUE"""),"EJO")</f>
        <v>EJO</v>
      </c>
      <c r="D575" s="3" t="str">
        <f>IFERROR(__xludf.DUMMYFUNCTION("""COMPUTED_VALUE"""),"-")</f>
        <v>-</v>
      </c>
      <c r="E575" s="3" t="str">
        <f>IFERROR(__xludf.DUMMYFUNCTION("""COMPUTED_VALUE"""),"All Area")</f>
        <v>All Area</v>
      </c>
      <c r="F575" s="3" t="str">
        <f>IFERROR(__xludf.DUMMYFUNCTION("""COMPUTED_VALUE"""),"OMRON - Relay MY4N 220/240VAC")</f>
        <v>OMRON - Relay MY4N 220/240VAC</v>
      </c>
      <c r="G575" s="3">
        <f>IFERROR(__xludf.DUMMYFUNCTION("""COMPUTED_VALUE"""),20.0)</f>
        <v>20</v>
      </c>
      <c r="H575" s="3" t="str">
        <f>IFERROR(__xludf.DUMMYFUNCTION("""COMPUTED_VALUE"""),"Pcs")</f>
        <v>Pcs</v>
      </c>
      <c r="I575" s="3" t="str">
        <f>IFERROR(__xludf.DUMMYFUNCTION("""COMPUTED_VALUE"""),"Beliin stok habis")</f>
        <v>Beliin stok habis</v>
      </c>
      <c r="J575" s="3" t="str">
        <f>IFERROR(__xludf.DUMMYFUNCTION("""COMPUTED_VALUE"""),"P-51410-00")</f>
        <v>P-51410-00</v>
      </c>
      <c r="K575" s="3" t="str">
        <f>IFERROR(__xludf.DUMMYFUNCTION("""COMPUTED_VALUE"""),"Approve")</f>
        <v>Approve</v>
      </c>
      <c r="L575" s="3" t="str">
        <f>IFERROR(__xludf.DUMMYFUNCTION("""COMPUTED_VALUE"""),"Normal")</f>
        <v>Normal</v>
      </c>
      <c r="M575" s="3" t="str">
        <f>IFERROR(__xludf.DUMMYFUNCTION("""COMPUTED_VALUE"""),"Non Urgent")</f>
        <v>Non Urgent</v>
      </c>
      <c r="N575" s="3">
        <f>IFERROR(__xludf.DUMMYFUNCTION("""COMPUTED_VALUE"""),46072.982896643516)</f>
        <v>46072.9829</v>
      </c>
    </row>
    <row r="576">
      <c r="A576" s="4">
        <f>IFERROR(__xludf.DUMMYFUNCTION("""COMPUTED_VALUE"""),46069.59646663194)</f>
        <v>46069.59647</v>
      </c>
      <c r="B576" s="3" t="str">
        <f>IFERROR(__xludf.DUMMYFUNCTION("""COMPUTED_VALUE"""),"ROSRO0022")</f>
        <v>ROSRO0022</v>
      </c>
      <c r="C576" s="3" t="str">
        <f>IFERROR(__xludf.DUMMYFUNCTION("""COMPUTED_VALUE"""),"MIn Stok")</f>
        <v>MIn Stok</v>
      </c>
      <c r="D576" s="3" t="str">
        <f>IFERROR(__xludf.DUMMYFUNCTION("""COMPUTED_VALUE"""),"-")</f>
        <v>-</v>
      </c>
      <c r="E576" s="3" t="str">
        <f>IFERROR(__xludf.DUMMYFUNCTION("""COMPUTED_VALUE"""),"Dsipensing Steril")</f>
        <v>Dsipensing Steril</v>
      </c>
      <c r="F576" s="3" t="str">
        <f>IFERROR(__xludf.DUMMYFUNCTION("""COMPUTED_VALUE"""),"BEARING R-4HH BRAND EZO")</f>
        <v>BEARING R-4HH BRAND EZO</v>
      </c>
      <c r="G576" s="3">
        <f>IFERROR(__xludf.DUMMYFUNCTION("""COMPUTED_VALUE"""),20.0)</f>
        <v>20</v>
      </c>
      <c r="H576" s="3" t="str">
        <f>IFERROR(__xludf.DUMMYFUNCTION("""COMPUTED_VALUE"""),"Pcs")</f>
        <v>Pcs</v>
      </c>
      <c r="I576" s="3" t="str">
        <f>IFERROR(__xludf.DUMMYFUNCTION("""COMPUTED_VALUE"""),"Bearing buat kuncian alpaport ")</f>
        <v>Bearing buat kuncian alpaport </v>
      </c>
      <c r="J576" s="3" t="str">
        <f>IFERROR(__xludf.DUMMYFUNCTION("""COMPUTED_VALUE"""),"O-15563-00")</f>
        <v>O-15563-00</v>
      </c>
      <c r="K576" s="3" t="str">
        <f>IFERROR(__xludf.DUMMYFUNCTION("""COMPUTED_VALUE"""),"Approve")</f>
        <v>Approve</v>
      </c>
      <c r="L576" s="3" t="str">
        <f>IFERROR(__xludf.DUMMYFUNCTION("""COMPUTED_VALUE"""),"Normal")</f>
        <v>Normal</v>
      </c>
      <c r="M576" s="3" t="str">
        <f>IFERROR(__xludf.DUMMYFUNCTION("""COMPUTED_VALUE"""),"Non Urgent")</f>
        <v>Non Urgent</v>
      </c>
      <c r="N576" s="3">
        <f>IFERROR(__xludf.DUMMYFUNCTION("""COMPUTED_VALUE"""),46069.648477511575)</f>
        <v>46069.64848</v>
      </c>
    </row>
    <row r="577">
      <c r="A577" s="4">
        <f>IFERROR(__xludf.DUMMYFUNCTION("""COMPUTED_VALUE"""),46069.60635513889)</f>
        <v>46069.60636</v>
      </c>
      <c r="B577" s="3" t="str">
        <f>IFERROR(__xludf.DUMMYFUNCTION("""COMPUTED_VALUE"""),"ROSRO0023")</f>
        <v>ROSRO0023</v>
      </c>
      <c r="C577" s="3" t="str">
        <f>IFERROR(__xludf.DUMMYFUNCTION("""COMPUTED_VALUE"""),"MIn Stok")</f>
        <v>MIn Stok</v>
      </c>
      <c r="D577" s="3" t="str">
        <f>IFERROR(__xludf.DUMMYFUNCTION("""COMPUTED_VALUE"""),"-")</f>
        <v>-</v>
      </c>
      <c r="E577" s="3" t="str">
        <f>IFERROR(__xludf.DUMMYFUNCTION("""COMPUTED_VALUE"""),"WIHC")</f>
        <v>WIHC</v>
      </c>
      <c r="F577" s="3" t="str">
        <f>IFERROR(__xludf.DUMMYFUNCTION("""COMPUTED_VALUE"""),"General - Terminal Block, 6 mm; Fort; -; 1 pcs")</f>
        <v>General - Terminal Block, 6 mm; Fort; -; 1 pcs</v>
      </c>
      <c r="G577" s="3">
        <f>IFERROR(__xludf.DUMMYFUNCTION("""COMPUTED_VALUE"""),50.0)</f>
        <v>50</v>
      </c>
      <c r="H577" s="3" t="str">
        <f>IFERROR(__xludf.DUMMYFUNCTION("""COMPUTED_VALUE"""),"pcs")</f>
        <v>pcs</v>
      </c>
      <c r="I577" s="3" t="str">
        <f>IFERROR(__xludf.DUMMYFUNCTION("""COMPUTED_VALUE"""),"-")</f>
        <v>-</v>
      </c>
      <c r="J577" s="3" t="str">
        <f>IFERROR(__xludf.DUMMYFUNCTION("""COMPUTED_VALUE"""),"O-54137-00")</f>
        <v>O-54137-00</v>
      </c>
      <c r="K577" s="3" t="str">
        <f>IFERROR(__xludf.DUMMYFUNCTION("""COMPUTED_VALUE"""),"Approve")</f>
        <v>Approve</v>
      </c>
      <c r="L577" s="3" t="str">
        <f>IFERROR(__xludf.DUMMYFUNCTION("""COMPUTED_VALUE"""),"Normal")</f>
        <v>Normal</v>
      </c>
      <c r="M577" s="3" t="str">
        <f>IFERROR(__xludf.DUMMYFUNCTION("""COMPUTED_VALUE"""),"Non Urgent")</f>
        <v>Non Urgent</v>
      </c>
      <c r="N577" s="3">
        <f>IFERROR(__xludf.DUMMYFUNCTION("""COMPUTED_VALUE"""),46069.653149652775)</f>
        <v>46069.65315</v>
      </c>
    </row>
    <row r="578">
      <c r="A578" s="4">
        <f>IFERROR(__xludf.DUMMYFUNCTION("""COMPUTED_VALUE"""),46069.60670791667)</f>
        <v>46069.60671</v>
      </c>
      <c r="B578" s="3" t="str">
        <f>IFERROR(__xludf.DUMMYFUNCTION("""COMPUTED_VALUE"""),"ROSRO0024")</f>
        <v>ROSRO0024</v>
      </c>
      <c r="C578" s="3" t="str">
        <f>IFERROR(__xludf.DUMMYFUNCTION("""COMPUTED_VALUE"""),"MIn Stok")</f>
        <v>MIn Stok</v>
      </c>
      <c r="D578" s="3" t="str">
        <f>IFERROR(__xludf.DUMMYFUNCTION("""COMPUTED_VALUE"""),"-")</f>
        <v>-</v>
      </c>
      <c r="E578" s="3" t="str">
        <f>IFERROR(__xludf.DUMMYFUNCTION("""COMPUTED_VALUE"""),"-")</f>
        <v>-</v>
      </c>
      <c r="F578" s="3" t="str">
        <f>IFERROR(__xludf.DUMMYFUNCTION("""COMPUTED_VALUE"""),"General - Terminal Viking Grounding 4mm; Legrand; -; 1 pc")</f>
        <v>General - Terminal Viking Grounding 4mm; Legrand; -; 1 pc</v>
      </c>
      <c r="G578" s="3">
        <f>IFERROR(__xludf.DUMMYFUNCTION("""COMPUTED_VALUE"""),50.0)</f>
        <v>50</v>
      </c>
      <c r="H578" s="3" t="str">
        <f>IFERROR(__xludf.DUMMYFUNCTION("""COMPUTED_VALUE"""),"pcs")</f>
        <v>pcs</v>
      </c>
      <c r="I578" s="3" t="str">
        <f>IFERROR(__xludf.DUMMYFUNCTION("""COMPUTED_VALUE"""),"-")</f>
        <v>-</v>
      </c>
      <c r="J578" s="3" t="str">
        <f>IFERROR(__xludf.DUMMYFUNCTION("""COMPUTED_VALUE"""),"P-20369-00")</f>
        <v>P-20369-00</v>
      </c>
      <c r="K578" s="3" t="str">
        <f>IFERROR(__xludf.DUMMYFUNCTION("""COMPUTED_VALUE"""),"Approve")</f>
        <v>Approve</v>
      </c>
      <c r="L578" s="3" t="str">
        <f>IFERROR(__xludf.DUMMYFUNCTION("""COMPUTED_VALUE"""),"Normal")</f>
        <v>Normal</v>
      </c>
      <c r="M578" s="3" t="str">
        <f>IFERROR(__xludf.DUMMYFUNCTION("""COMPUTED_VALUE"""),"Non Urgent")</f>
        <v>Non Urgent</v>
      </c>
      <c r="N578" s="3">
        <f>IFERROR(__xludf.DUMMYFUNCTION("""COMPUTED_VALUE"""),46069.656917824075)</f>
        <v>46069.65692</v>
      </c>
    </row>
    <row r="579">
      <c r="A579" s="4">
        <f>IFERROR(__xludf.DUMMYFUNCTION("""COMPUTED_VALUE"""),46072.670798680556)</f>
        <v>46072.6708</v>
      </c>
      <c r="B579" s="3" t="str">
        <f>IFERROR(__xludf.DUMMYFUNCTION("""COMPUTED_VALUE"""),"SFHRO0039")</f>
        <v>SFHRO0039</v>
      </c>
      <c r="C579" s="3" t="str">
        <f>IFERROR(__xludf.DUMMYFUNCTION("""COMPUTED_VALUE"""),"MIn Stok")</f>
        <v>MIn Stok</v>
      </c>
      <c r="D579" s="3" t="str">
        <f>IFERROR(__xludf.DUMMYFUNCTION("""COMPUTED_VALUE"""),"-")</f>
        <v>-</v>
      </c>
      <c r="E579" s="3" t="str">
        <f>IFERROR(__xludf.DUMMYFUNCTION("""COMPUTED_VALUE"""),"lantai 2")</f>
        <v>lantai 2</v>
      </c>
      <c r="F579" s="3" t="str">
        <f>IFERROR(__xludf.DUMMYFUNCTION("""COMPUTED_VALUE"""),"Polyfloor PFT-213 Ivory @ 20 KG")</f>
        <v>Polyfloor PFT-213 Ivory @ 20 KG</v>
      </c>
      <c r="G579" s="3">
        <f>IFERROR(__xludf.DUMMYFUNCTION("""COMPUTED_VALUE"""),2.0)</f>
        <v>2</v>
      </c>
      <c r="H579" s="3" t="str">
        <f>IFERROR(__xludf.DUMMYFUNCTION("""COMPUTED_VALUE"""),"pel")</f>
        <v>pel</v>
      </c>
      <c r="I579" s="3" t="str">
        <f>IFERROR(__xludf.DUMMYFUNCTION("""COMPUTED_VALUE"""),"stock habis buat cuving d area produksi")</f>
        <v>stock habis buat cuving d area produksi</v>
      </c>
      <c r="J579" s="3" t="str">
        <f>IFERROR(__xludf.DUMMYFUNCTION("""COMPUTED_VALUE"""),"Q-10005-00")</f>
        <v>Q-10005-00</v>
      </c>
      <c r="K579" s="3" t="str">
        <f>IFERROR(__xludf.DUMMYFUNCTION("""COMPUTED_VALUE"""),"Approve")</f>
        <v>Approve</v>
      </c>
      <c r="L579" s="3" t="str">
        <f>IFERROR(__xludf.DUMMYFUNCTION("""COMPUTED_VALUE"""),"Normal")</f>
        <v>Normal</v>
      </c>
      <c r="M579" s="3" t="str">
        <f>IFERROR(__xludf.DUMMYFUNCTION("""COMPUTED_VALUE"""),"Non Urgent")</f>
        <v>Non Urgent</v>
      </c>
      <c r="N579" s="3">
        <f>IFERROR(__xludf.DUMMYFUNCTION("""COMPUTED_VALUE"""),46072.99151856481)</f>
        <v>46072.99152</v>
      </c>
    </row>
    <row r="580">
      <c r="A580" s="4">
        <f>IFERROR(__xludf.DUMMYFUNCTION("""COMPUTED_VALUE"""),46078.3682403125)</f>
        <v>46078.36824</v>
      </c>
      <c r="B580" s="3" t="str">
        <f>IFERROR(__xludf.DUMMYFUNCTION("""COMPUTED_VALUE"""),"RIARO0069")</f>
        <v>RIARO0069</v>
      </c>
      <c r="C580" s="3" t="str">
        <f>IFERROR(__xludf.DUMMYFUNCTION("""COMPUTED_VALUE"""),"EJO")</f>
        <v>EJO</v>
      </c>
      <c r="D580" s="3" t="str">
        <f>IFERROR(__xludf.DUMMYFUNCTION("""COMPUTED_VALUE"""),"-")</f>
        <v>-</v>
      </c>
      <c r="E580" s="3" t="str">
        <f>IFERROR(__xludf.DUMMYFUNCTION("""COMPUTED_VALUE"""),"Hot Water ")</f>
        <v>Hot Water </v>
      </c>
      <c r="F580" s="3" t="str">
        <f>IFERROR(__xludf.DUMMYFUNCTION("""COMPUTED_VALUE"""),"General - Fuse Keramik Double 160A 690VAC Bussman FEE160")</f>
        <v>General - Fuse Keramik Double 160A 690VAC Bussman FEE160</v>
      </c>
      <c r="G580" s="3">
        <f>IFERROR(__xludf.DUMMYFUNCTION("""COMPUTED_VALUE"""),10.0)</f>
        <v>10</v>
      </c>
      <c r="H580" s="3" t="str">
        <f>IFERROR(__xludf.DUMMYFUNCTION("""COMPUTED_VALUE"""),"Pcs")</f>
        <v>Pcs</v>
      </c>
      <c r="I580" s="3" t="str">
        <f>IFERROR(__xludf.DUMMYFUNCTION("""COMPUTED_VALUE"""),"Urgent ya dhil buat hot water")</f>
        <v>Urgent ya dhil buat hot water</v>
      </c>
      <c r="J580" s="3" t="str">
        <f>IFERROR(__xludf.DUMMYFUNCTION("""COMPUTED_VALUE"""),"P-53055-00")</f>
        <v>P-53055-00</v>
      </c>
      <c r="K580" s="3" t="str">
        <f>IFERROR(__xludf.DUMMYFUNCTION("""COMPUTED_VALUE"""),"Approve")</f>
        <v>Approve</v>
      </c>
      <c r="L580" s="3" t="str">
        <f>IFERROR(__xludf.DUMMYFUNCTION("""COMPUTED_VALUE"""),"Normal")</f>
        <v>Normal</v>
      </c>
      <c r="M580" s="3" t="str">
        <f>IFERROR(__xludf.DUMMYFUNCTION("""COMPUTED_VALUE"""),"Non Urgent")</f>
        <v>Non Urgent</v>
      </c>
      <c r="N580" s="3">
        <f>IFERROR(__xludf.DUMMYFUNCTION("""COMPUTED_VALUE"""),46079.61878827546)</f>
        <v>46079.61879</v>
      </c>
    </row>
    <row r="581">
      <c r="A581" s="4">
        <f>IFERROR(__xludf.DUMMYFUNCTION("""COMPUTED_VALUE"""),46078.369425150464)</f>
        <v>46078.36943</v>
      </c>
      <c r="B581" s="3" t="str">
        <f>IFERROR(__xludf.DUMMYFUNCTION("""COMPUTED_VALUE"""),"RIARO0070")</f>
        <v>RIARO0070</v>
      </c>
      <c r="C581" s="3" t="str">
        <f>IFERROR(__xludf.DUMMYFUNCTION("""COMPUTED_VALUE"""),"EJO")</f>
        <v>EJO</v>
      </c>
      <c r="D581" s="3" t="str">
        <f>IFERROR(__xludf.DUMMYFUNCTION("""COMPUTED_VALUE"""),"-")</f>
        <v>-</v>
      </c>
      <c r="E581" s="3" t="str">
        <f>IFERROR(__xludf.DUMMYFUNCTION("""COMPUTED_VALUE"""),"Hot Water")</f>
        <v>Hot Water</v>
      </c>
      <c r="F581" s="3" t="str">
        <f>IFERROR(__xludf.DUMMYFUNCTION("""COMPUTED_VALUE"""),"Cat Pilox 109 - Black")</f>
        <v>Cat Pilox 109 - Black</v>
      </c>
      <c r="G581" s="3">
        <f>IFERROR(__xludf.DUMMYFUNCTION("""COMPUTED_VALUE"""),10.0)</f>
        <v>10</v>
      </c>
      <c r="H581" s="3" t="str">
        <f>IFERROR(__xludf.DUMMYFUNCTION("""COMPUTED_VALUE"""),"Pcs")</f>
        <v>Pcs</v>
      </c>
      <c r="I581" s="3" t="str">
        <f>IFERROR(__xludf.DUMMYFUNCTION("""COMPUTED_VALUE"""),"Buat Cat Flow Pipa")</f>
        <v>Buat Cat Flow Pipa</v>
      </c>
      <c r="J581" s="3" t="str">
        <f>IFERROR(__xludf.DUMMYFUNCTION("""COMPUTED_VALUE"""),"Q-60061-00")</f>
        <v>Q-60061-00</v>
      </c>
      <c r="K581" s="3" t="str">
        <f>IFERROR(__xludf.DUMMYFUNCTION("""COMPUTED_VALUE"""),"Approve")</f>
        <v>Approve</v>
      </c>
      <c r="L581" s="3" t="str">
        <f>IFERROR(__xludf.DUMMYFUNCTION("""COMPUTED_VALUE"""),"Normal")</f>
        <v>Normal</v>
      </c>
      <c r="M581" s="3" t="str">
        <f>IFERROR(__xludf.DUMMYFUNCTION("""COMPUTED_VALUE"""),"Non Urgent")</f>
        <v>Non Urgent</v>
      </c>
      <c r="N581" s="3">
        <f>IFERROR(__xludf.DUMMYFUNCTION("""COMPUTED_VALUE"""),46079.61913216436)</f>
        <v>46079.61913</v>
      </c>
    </row>
    <row r="582">
      <c r="A582" s="4">
        <f>IFERROR(__xludf.DUMMYFUNCTION("""COMPUTED_VALUE"""),46078.68403574074)</f>
        <v>46078.68404</v>
      </c>
      <c r="B582" s="3" t="str">
        <f>IFERROR(__xludf.DUMMYFUNCTION("""COMPUTED_VALUE"""),"RIARO0071")</f>
        <v>RIARO0071</v>
      </c>
      <c r="C582" s="3" t="str">
        <f>IFERROR(__xludf.DUMMYFUNCTION("""COMPUTED_VALUE"""),"EJO")</f>
        <v>EJO</v>
      </c>
      <c r="D582" s="3" t="str">
        <f>IFERROR(__xludf.DUMMYFUNCTION("""COMPUTED_VALUE"""),"-")</f>
        <v>-</v>
      </c>
      <c r="E582" s="3" t="str">
        <f>IFERROR(__xludf.DUMMYFUNCTION("""COMPUTED_VALUE"""),"All Area")</f>
        <v>All Area</v>
      </c>
      <c r="F582" s="3" t="str">
        <f>IFERROR(__xludf.DUMMYFUNCTION("""COMPUTED_VALUE"""),"Cat Pilox 102 - White")</f>
        <v>Cat Pilox 102 - White</v>
      </c>
      <c r="G582" s="3">
        <f>IFERROR(__xludf.DUMMYFUNCTION("""COMPUTED_VALUE"""),15.0)</f>
        <v>15</v>
      </c>
      <c r="H582" s="3" t="str">
        <f>IFERROR(__xludf.DUMMYFUNCTION("""COMPUTED_VALUE"""),"Pcs")</f>
        <v>Pcs</v>
      </c>
      <c r="I582" s="3" t="str">
        <f>IFERROR(__xludf.DUMMYFUNCTION("""COMPUTED_VALUE"""),"Buat Cat Flow Pipa")</f>
        <v>Buat Cat Flow Pipa</v>
      </c>
      <c r="J582" s="3" t="str">
        <f>IFERROR(__xludf.DUMMYFUNCTION("""COMPUTED_VALUE"""),"Q-60063-00")</f>
        <v>Q-60063-00</v>
      </c>
      <c r="K582" s="3" t="str">
        <f>IFERROR(__xludf.DUMMYFUNCTION("""COMPUTED_VALUE"""),"Approve")</f>
        <v>Approve</v>
      </c>
      <c r="L582" s="3" t="str">
        <f>IFERROR(__xludf.DUMMYFUNCTION("""COMPUTED_VALUE"""),"Normal")</f>
        <v>Normal</v>
      </c>
      <c r="M582" s="3" t="str">
        <f>IFERROR(__xludf.DUMMYFUNCTION("""COMPUTED_VALUE"""),"Non Urgent")</f>
        <v>Non Urgent</v>
      </c>
      <c r="N582" s="3">
        <f>IFERROR(__xludf.DUMMYFUNCTION("""COMPUTED_VALUE"""),46079.61930175926)</f>
        <v>46079.6193</v>
      </c>
    </row>
    <row r="583">
      <c r="A583" s="4">
        <f>IFERROR(__xludf.DUMMYFUNCTION("""COMPUTED_VALUE"""),46083.63185246528)</f>
        <v>46083.63185</v>
      </c>
      <c r="B583" s="3" t="str">
        <f>IFERROR(__xludf.DUMMYFUNCTION("""COMPUTED_VALUE"""),"ROSRO0025")</f>
        <v>ROSRO0025</v>
      </c>
      <c r="C583" s="3" t="str">
        <f>IFERROR(__xludf.DUMMYFUNCTION("""COMPUTED_VALUE"""),"MIn Stok")</f>
        <v>MIn Stok</v>
      </c>
      <c r="D583" s="3" t="str">
        <f>IFERROR(__xludf.DUMMYFUNCTION("""COMPUTED_VALUE"""),"-")</f>
        <v>-</v>
      </c>
      <c r="E583" s="3" t="str">
        <f>IFERROR(__xludf.DUMMYFUNCTION("""COMPUTED_VALUE"""),"-")</f>
        <v>-</v>
      </c>
      <c r="F583" s="3" t="str">
        <f>IFERROR(__xludf.DUMMYFUNCTION("""COMPUTED_VALUE"""),"General - Exhaust Fan 4414M; EBMPast; -; 1 pc")</f>
        <v>General - Exhaust Fan 4414M; EBMPast; -; 1 pc</v>
      </c>
      <c r="G583" s="3">
        <f>IFERROR(__xludf.DUMMYFUNCTION("""COMPUTED_VALUE"""),4.0)</f>
        <v>4</v>
      </c>
      <c r="H583" s="3" t="str">
        <f>IFERROR(__xludf.DUMMYFUNCTION("""COMPUTED_VALUE"""),"pcs")</f>
        <v>pcs</v>
      </c>
      <c r="I583" s="3" t="str">
        <f>IFERROR(__xludf.DUMMYFUNCTION("""COMPUTED_VALUE"""),"re stok")</f>
        <v>re stok</v>
      </c>
      <c r="J583" s="3" t="str">
        <f>IFERROR(__xludf.DUMMYFUNCTION("""COMPUTED_VALUE"""),"P-54348-00")</f>
        <v>P-54348-00</v>
      </c>
      <c r="K583" s="3" t="str">
        <f>IFERROR(__xludf.DUMMYFUNCTION("""COMPUTED_VALUE"""),"Approve")</f>
        <v>Approve</v>
      </c>
      <c r="L583" s="3" t="str">
        <f>IFERROR(__xludf.DUMMYFUNCTION("""COMPUTED_VALUE"""),"Normal")</f>
        <v>Normal</v>
      </c>
      <c r="M583" s="3" t="str">
        <f>IFERROR(__xludf.DUMMYFUNCTION("""COMPUTED_VALUE"""),"Non Urgent")</f>
        <v>Non Urgent</v>
      </c>
      <c r="N583" s="3">
        <f>IFERROR(__xludf.DUMMYFUNCTION("""COMPUTED_VALUE"""),46085.418390983796)</f>
        <v>46085.41839</v>
      </c>
    </row>
    <row r="584">
      <c r="A584" s="4">
        <f>IFERROR(__xludf.DUMMYFUNCTION("""COMPUTED_VALUE"""),46086.599018912035)</f>
        <v>46086.59902</v>
      </c>
      <c r="B584" s="3" t="str">
        <f>IFERROR(__xludf.DUMMYFUNCTION("""COMPUTED_VALUE"""),"ROSRO0026")</f>
        <v>ROSRO0026</v>
      </c>
      <c r="C584" s="3" t="str">
        <f>IFERROR(__xludf.DUMMYFUNCTION("""COMPUTED_VALUE"""),"MIn Stok")</f>
        <v>MIn Stok</v>
      </c>
      <c r="D584" s="3" t="str">
        <f>IFERROR(__xludf.DUMMYFUNCTION("""COMPUTED_VALUE"""),"EJO/2026/03/84")</f>
        <v>EJO/2026/03/84</v>
      </c>
      <c r="E584" s="3" t="str">
        <f>IFERROR(__xludf.DUMMYFUNCTION("""COMPUTED_VALUE"""),"EF BSC 1")</f>
        <v>EF BSC 1</v>
      </c>
      <c r="F584" s="3" t="str">
        <f>IFERROR(__xludf.DUMMYFUNCTION("""COMPUTED_VALUE"""),"General - Exhaust Fan;Ebm-Papst;R3G190-RC05-03;")</f>
        <v>General - Exhaust Fan;Ebm-Papst;R3G190-RC05-03;</v>
      </c>
      <c r="G584" s="3">
        <f>IFERROR(__xludf.DUMMYFUNCTION("""COMPUTED_VALUE"""),2.0)</f>
        <v>2</v>
      </c>
      <c r="H584" s="3" t="str">
        <f>IFERROR(__xludf.DUMMYFUNCTION("""COMPUTED_VALUE"""),"pcs")</f>
        <v>pcs</v>
      </c>
      <c r="I584" s="3" t="str">
        <f>IFERROR(__xludf.DUMMYFUNCTION("""COMPUTED_VALUE"""),"untuk pergantian EF BSC 1 mati")</f>
        <v>untuk pergantian EF BSC 1 mati</v>
      </c>
      <c r="J584" s="3" t="str">
        <f>IFERROR(__xludf.DUMMYFUNCTION("""COMPUTED_VALUE"""),"O-53215-00")</f>
        <v>O-53215-00</v>
      </c>
      <c r="K584" s="3" t="str">
        <f>IFERROR(__xludf.DUMMYFUNCTION("""COMPUTED_VALUE"""),"Approve")</f>
        <v>Approve</v>
      </c>
      <c r="L584" s="3" t="str">
        <f>IFERROR(__xludf.DUMMYFUNCTION("""COMPUTED_VALUE"""),"Normal")</f>
        <v>Normal</v>
      </c>
      <c r="M584" s="3" t="str">
        <f>IFERROR(__xludf.DUMMYFUNCTION("""COMPUTED_VALUE"""),"Non Urgent")</f>
        <v>Non Urgent</v>
      </c>
      <c r="N584" s="3">
        <f>IFERROR(__xludf.DUMMYFUNCTION("""COMPUTED_VALUE"""),46093.04480091435)</f>
        <v>46093.0448</v>
      </c>
    </row>
    <row r="585">
      <c r="A585" s="4">
        <f>IFERROR(__xludf.DUMMYFUNCTION("""COMPUTED_VALUE"""),46086.653820775464)</f>
        <v>46086.65382</v>
      </c>
      <c r="B585" s="3" t="str">
        <f>IFERROR(__xludf.DUMMYFUNCTION("""COMPUTED_VALUE"""),"NDSRO0018")</f>
        <v>NDSRO0018</v>
      </c>
      <c r="C585" s="3" t="str">
        <f>IFERROR(__xludf.DUMMYFUNCTION("""COMPUTED_VALUE"""),"MIn Stok")</f>
        <v>MIn Stok</v>
      </c>
      <c r="D585" s="3" t="str">
        <f>IFERROR(__xludf.DUMMYFUNCTION("""COMPUTED_VALUE"""),"-")</f>
        <v>-</v>
      </c>
      <c r="E585" s="3" t="str">
        <f>IFERROR(__xludf.DUMMYFUNCTION("""COMPUTED_VALUE"""),"Cartoning")</f>
        <v>Cartoning</v>
      </c>
      <c r="F585" s="3" t="str">
        <f>IFERROR(__xludf.DUMMYFUNCTION("""COMPUTED_VALUE"""),"MARCHESINI MA 255 - Conveyor belt Nastro transporto FNB-8E 1850 X 40 HA; Marchesini; C720718540 pc")</f>
        <v>MARCHESINI MA 255 - Conveyor belt Nastro transporto FNB-8E 1850 X 40 HA; Marchesini; C720718540 pc</v>
      </c>
      <c r="G585" s="3">
        <f>IFERROR(__xludf.DUMMYFUNCTION("""COMPUTED_VALUE"""),2.0)</f>
        <v>2</v>
      </c>
      <c r="H585" s="3" t="str">
        <f>IFERROR(__xludf.DUMMYFUNCTION("""COMPUTED_VALUE"""),"pcs")</f>
        <v>pcs</v>
      </c>
      <c r="I585" s="3" t="str">
        <f>IFERROR(__xludf.DUMMYFUNCTION("""COMPUTED_VALUE"""),"-")</f>
        <v>-</v>
      </c>
      <c r="J585" s="3" t="str">
        <f>IFERROR(__xludf.DUMMYFUNCTION("""COMPUTED_VALUE"""),"O-11762-00")</f>
        <v>O-11762-00</v>
      </c>
      <c r="K585" s="3" t="str">
        <f>IFERROR(__xludf.DUMMYFUNCTION("""COMPUTED_VALUE"""),"Approve")</f>
        <v>Approve</v>
      </c>
      <c r="L585" s="3" t="str">
        <f>IFERROR(__xludf.DUMMYFUNCTION("""COMPUTED_VALUE"""),"Normal")</f>
        <v>Normal</v>
      </c>
      <c r="M585" s="3" t="str">
        <f>IFERROR(__xludf.DUMMYFUNCTION("""COMPUTED_VALUE"""),"Non Urgent")</f>
        <v>Non Urgent</v>
      </c>
      <c r="N585" s="3">
        <f>IFERROR(__xludf.DUMMYFUNCTION("""COMPUTED_VALUE"""),46093.05009909722)</f>
        <v>46093.0501</v>
      </c>
    </row>
    <row r="586">
      <c r="A586" s="4">
        <f>IFERROR(__xludf.DUMMYFUNCTION("""COMPUTED_VALUE"""),46086.654177048615)</f>
        <v>46086.65418</v>
      </c>
      <c r="B586" s="3" t="str">
        <f>IFERROR(__xludf.DUMMYFUNCTION("""COMPUTED_VALUE"""),"NDSRO0019")</f>
        <v>NDSRO0019</v>
      </c>
      <c r="C586" s="3" t="str">
        <f>IFERROR(__xludf.DUMMYFUNCTION("""COMPUTED_VALUE"""),"MIn Stok")</f>
        <v>MIn Stok</v>
      </c>
      <c r="D586" s="3" t="str">
        <f>IFERROR(__xludf.DUMMYFUNCTION("""COMPUTED_VALUE"""),"-")</f>
        <v>-</v>
      </c>
      <c r="E586" s="3" t="str">
        <f>IFERROR(__xludf.DUMMYFUNCTION("""COMPUTED_VALUE"""),"Cartoning")</f>
        <v>Cartoning</v>
      </c>
      <c r="F586" s="3" t="str">
        <f>IFERROR(__xludf.DUMMYFUNCTION("""COMPUTED_VALUE"""),"Marchesini MA255 Cartoning Machine - Conveyor Belt, PU White, 1380 x 40 x 1.6 mm; Custom/Lokal; -; 1 unt")</f>
        <v>Marchesini MA255 Cartoning Machine - Conveyor Belt, PU White, 1380 x 40 x 1.6 mm; Custom/Lokal; -; 1 unt</v>
      </c>
      <c r="G586" s="3">
        <f>IFERROR(__xludf.DUMMYFUNCTION("""COMPUTED_VALUE"""),2.0)</f>
        <v>2</v>
      </c>
      <c r="H586" s="3" t="str">
        <f>IFERROR(__xludf.DUMMYFUNCTION("""COMPUTED_VALUE"""),"pcs")</f>
        <v>pcs</v>
      </c>
      <c r="I586" s="3" t="str">
        <f>IFERROR(__xludf.DUMMYFUNCTION("""COMPUTED_VALUE"""),"-")</f>
        <v>-</v>
      </c>
      <c r="J586" s="3" t="str">
        <f>IFERROR(__xludf.DUMMYFUNCTION("""COMPUTED_VALUE"""),"O-11761-00")</f>
        <v>O-11761-00</v>
      </c>
      <c r="K586" s="3" t="str">
        <f>IFERROR(__xludf.DUMMYFUNCTION("""COMPUTED_VALUE"""),"Approve")</f>
        <v>Approve</v>
      </c>
      <c r="L586" s="3" t="str">
        <f>IFERROR(__xludf.DUMMYFUNCTION("""COMPUTED_VALUE"""),"Normal")</f>
        <v>Normal</v>
      </c>
      <c r="M586" s="3" t="str">
        <f>IFERROR(__xludf.DUMMYFUNCTION("""COMPUTED_VALUE"""),"Non Urgent")</f>
        <v>Non Urgent</v>
      </c>
      <c r="N586" s="3">
        <f>IFERROR(__xludf.DUMMYFUNCTION("""COMPUTED_VALUE"""),46093.05026393518)</f>
        <v>46093.05026</v>
      </c>
    </row>
    <row r="587">
      <c r="A587" s="4">
        <f>IFERROR(__xludf.DUMMYFUNCTION("""COMPUTED_VALUE"""),46090.03408174769)</f>
        <v>46090.03408</v>
      </c>
      <c r="B587" s="3" t="str">
        <f>IFERROR(__xludf.DUMMYFUNCTION("""COMPUTED_VALUE"""),"MOBRO0078")</f>
        <v>MOBRO0078</v>
      </c>
      <c r="C587" s="3" t="str">
        <f>IFERROR(__xludf.DUMMYFUNCTION("""COMPUTED_VALUE"""),"Consumable")</f>
        <v>Consumable</v>
      </c>
      <c r="D587" s="3" t="str">
        <f>IFERROR(__xludf.DUMMYFUNCTION("""COMPUTED_VALUE"""),"-")</f>
        <v>-</v>
      </c>
      <c r="E587" s="3" t="str">
        <f>IFERROR(__xludf.DUMMYFUNCTION("""COMPUTED_VALUE"""),"Pneumatic Fitting")</f>
        <v>Pneumatic Fitting</v>
      </c>
      <c r="F587" s="3" t="str">
        <f>IFERROR(__xludf.DUMMYFUNCTION("""COMPUTED_VALUE"""),"General - Fitting QS 1/2 x 8 mm; EMC; -; 1 pc")</f>
        <v>General - Fitting QS 1/2 x 8 mm; EMC; -; 1 pc</v>
      </c>
      <c r="G587" s="3">
        <f>IFERROR(__xludf.DUMMYFUNCTION("""COMPUTED_VALUE"""),3.0)</f>
        <v>3</v>
      </c>
      <c r="H587" s="3" t="str">
        <f>IFERROR(__xludf.DUMMYFUNCTION("""COMPUTED_VALUE"""),"Pcs")</f>
        <v>Pcs</v>
      </c>
      <c r="I587" s="3" t="str">
        <f>IFERROR(__xludf.DUMMYFUNCTION("""COMPUTED_VALUE"""),"Consumable")</f>
        <v>Consumable</v>
      </c>
      <c r="J587" s="3" t="str">
        <f>IFERROR(__xludf.DUMMYFUNCTION("""COMPUTED_VALUE"""),"P-19233-00")</f>
        <v>P-19233-00</v>
      </c>
      <c r="K587" s="3" t="str">
        <f>IFERROR(__xludf.DUMMYFUNCTION("""COMPUTED_VALUE"""),"Approve")</f>
        <v>Approve</v>
      </c>
      <c r="L587" s="3" t="str">
        <f>IFERROR(__xludf.DUMMYFUNCTION("""COMPUTED_VALUE"""),"Normal")</f>
        <v>Normal</v>
      </c>
      <c r="M587" s="3" t="str">
        <f>IFERROR(__xludf.DUMMYFUNCTION("""COMPUTED_VALUE"""),"Non Urgent")</f>
        <v>Non Urgent</v>
      </c>
      <c r="N587" s="3">
        <f>IFERROR(__xludf.DUMMYFUNCTION("""COMPUTED_VALUE"""),46090.42481711805)</f>
        <v>46090.42482</v>
      </c>
    </row>
    <row r="588">
      <c r="A588" s="4">
        <f>IFERROR(__xludf.DUMMYFUNCTION("""COMPUTED_VALUE"""),46090.572295000005)</f>
        <v>46090.5723</v>
      </c>
      <c r="B588" s="3" t="str">
        <f>IFERROR(__xludf.DUMMYFUNCTION("""COMPUTED_VALUE"""),"MRNRO0047")</f>
        <v>MRNRO0047</v>
      </c>
      <c r="C588" s="3" t="str">
        <f>IFERROR(__xludf.DUMMYFUNCTION("""COMPUTED_VALUE"""),"EJO")</f>
        <v>EJO</v>
      </c>
      <c r="D588" s="3" t="str">
        <f>IFERROR(__xludf.DUMMYFUNCTION("""COMPUTED_VALUE"""),"EJO/2026/02/85")</f>
        <v>EJO/2026/02/85</v>
      </c>
      <c r="E588" s="3" t="str">
        <f>IFERROR(__xludf.DUMMYFUNCTION("""COMPUTED_VALUE"""),"Pintu sandwich panel")</f>
        <v>Pintu sandwich panel</v>
      </c>
      <c r="F588" s="3" t="str">
        <f>IFERROR(__xludf.DUMMYFUNCTION("""COMPUTED_VALUE"""),"Door Closer TS 2000V Hold Open GEZE; ; ;")</f>
        <v>Door Closer TS 2000V Hold Open GEZE; ; ;</v>
      </c>
      <c r="G588" s="3">
        <f>IFERROR(__xludf.DUMMYFUNCTION("""COMPUTED_VALUE"""),3.0)</f>
        <v>3</v>
      </c>
      <c r="H588" s="3" t="str">
        <f>IFERROR(__xludf.DUMMYFUNCTION("""COMPUTED_VALUE"""),"pcs")</f>
        <v>pcs</v>
      </c>
      <c r="I588" s="3" t="str">
        <f>IFERROR(__xludf.DUMMYFUNCTION("""COMPUTED_VALUE"""),"Untuk pintu class C janitor")</f>
        <v>Untuk pintu class C janitor</v>
      </c>
      <c r="J588" s="3" t="str">
        <f>IFERROR(__xludf.DUMMYFUNCTION("""COMPUTED_VALUE"""),"Q-10550-00")</f>
        <v>Q-10550-00</v>
      </c>
      <c r="K588" s="3" t="str">
        <f>IFERROR(__xludf.DUMMYFUNCTION("""COMPUTED_VALUE"""),"Approve")</f>
        <v>Approve</v>
      </c>
      <c r="L588" s="3" t="str">
        <f>IFERROR(__xludf.DUMMYFUNCTION("""COMPUTED_VALUE"""),"Normal")</f>
        <v>Normal</v>
      </c>
      <c r="M588" s="3" t="str">
        <f>IFERROR(__xludf.DUMMYFUNCTION("""COMPUTED_VALUE"""),"Non Urgent")</f>
        <v>Non Urgent</v>
      </c>
      <c r="N588" s="3">
        <f>IFERROR(__xludf.DUMMYFUNCTION("""COMPUTED_VALUE"""),46094.69420813657)</f>
        <v>46094.69421</v>
      </c>
    </row>
    <row r="589">
      <c r="A589" s="4">
        <f>IFERROR(__xludf.DUMMYFUNCTION("""COMPUTED_VALUE"""),46094.74010523148)</f>
        <v>46094.74011</v>
      </c>
      <c r="B589" s="3" t="str">
        <f>IFERROR(__xludf.DUMMYFUNCTION("""COMPUTED_VALUE"""),"SFHRO0040")</f>
        <v>SFHRO0040</v>
      </c>
      <c r="C589" s="3" t="str">
        <f>IFERROR(__xludf.DUMMYFUNCTION("""COMPUTED_VALUE"""),"MIn Stok")</f>
        <v>MIn Stok</v>
      </c>
      <c r="D589" s="3" t="str">
        <f>IFERROR(__xludf.DUMMYFUNCTION("""COMPUTED_VALUE"""),"EJO/2026/03/33")</f>
        <v>EJO/2026/03/33</v>
      </c>
      <c r="E589" s="3" t="str">
        <f>IFERROR(__xludf.DUMMYFUNCTION("""COMPUTED_VALUE"""),"lanttai 2")</f>
        <v>lanttai 2</v>
      </c>
      <c r="F589" s="3" t="str">
        <f>IFERROR(__xludf.DUMMYFUNCTION("""COMPUTED_VALUE"""),"Cat Durogloss DR-2000; Propan; Type Spiders Web 90YY 73/040; 0,9 L/can")</f>
        <v>Cat Durogloss DR-2000; Propan; Type Spiders Web 90YY 73/040; 0,9 L/can</v>
      </c>
      <c r="G589" s="3">
        <f>IFERROR(__xludf.DUMMYFUNCTION("""COMPUTED_VALUE"""),5.0)</f>
        <v>5</v>
      </c>
      <c r="H589" s="3" t="str">
        <f>IFERROR(__xludf.DUMMYFUNCTION("""COMPUTED_VALUE"""),"can")</f>
        <v>can</v>
      </c>
      <c r="I589" s="3" t="str">
        <f>IFERROR(__xludf.DUMMYFUNCTION("""COMPUTED_VALUE"""),"stock tinggal dikit lagi")</f>
        <v>stock tinggal dikit lagi</v>
      </c>
      <c r="J589" s="3" t="str">
        <f>IFERROR(__xludf.DUMMYFUNCTION("""COMPUTED_VALUE"""),"Q-60405-00")</f>
        <v>Q-60405-00</v>
      </c>
      <c r="K589" s="3" t="str">
        <f>IFERROR(__xludf.DUMMYFUNCTION("""COMPUTED_VALUE"""),"Approve")</f>
        <v>Approve</v>
      </c>
      <c r="L589" s="3" t="str">
        <f>IFERROR(__xludf.DUMMYFUNCTION("""COMPUTED_VALUE"""),"Normal")</f>
        <v>Normal</v>
      </c>
      <c r="M589" s="3" t="str">
        <f>IFERROR(__xludf.DUMMYFUNCTION("""COMPUTED_VALUE"""),"Non Urgent")</f>
        <v>Non Urgent</v>
      </c>
      <c r="N589" s="3">
        <f>IFERROR(__xludf.DUMMYFUNCTION("""COMPUTED_VALUE"""),46111.365915902774)</f>
        <v>46111.36592</v>
      </c>
    </row>
    <row r="590">
      <c r="A590" s="4">
        <f>IFERROR(__xludf.DUMMYFUNCTION("""COMPUTED_VALUE"""),46107.57614774305)</f>
        <v>46107.57615</v>
      </c>
      <c r="B590" s="3" t="str">
        <f>IFERROR(__xludf.DUMMYFUNCTION("""COMPUTED_VALUE"""),"BDURO0007")</f>
        <v>BDURO0007</v>
      </c>
      <c r="C590" s="3" t="str">
        <f>IFERROR(__xludf.DUMMYFUNCTION("""COMPUTED_VALUE"""),"EJO")</f>
        <v>EJO</v>
      </c>
      <c r="D590" s="3" t="str">
        <f>IFERROR(__xludf.DUMMYFUNCTION("""COMPUTED_VALUE"""),"EJO Menyusul")</f>
        <v>EJO Menyusul</v>
      </c>
      <c r="E590" s="3" t="str">
        <f>IFERROR(__xludf.DUMMYFUNCTION("""COMPUTED_VALUE"""),"Mesin Labelling")</f>
        <v>Mesin Labelling</v>
      </c>
      <c r="F590" s="3" t="str">
        <f>IFERROR(__xludf.DUMMYFUNCTION("""COMPUTED_VALUE"""),"Autonics - Power Supply ? SPA-075-24 ? 24VDC 3.2A")</f>
        <v>Autonics - Power Supply ? SPA-075-24 ? 24VDC 3.2A</v>
      </c>
      <c r="G590" s="3">
        <f>IFERROR(__xludf.DUMMYFUNCTION("""COMPUTED_VALUE"""),1.0)</f>
        <v>1</v>
      </c>
      <c r="H590" s="3" t="str">
        <f>IFERROR(__xludf.DUMMYFUNCTION("""COMPUTED_VALUE"""),"pcs")</f>
        <v>pcs</v>
      </c>
      <c r="I590" s="3" t="str">
        <f>IFERROR(__xludf.DUMMYFUNCTION("""COMPUTED_VALUE"""),"untuk pemasangan tambahan kamera pada mesin labelloing")</f>
        <v>untuk pemasangan tambahan kamera pada mesin labelloing</v>
      </c>
      <c r="J590" s="3" t="str">
        <f>IFERROR(__xludf.DUMMYFUNCTION("""COMPUTED_VALUE"""),"P-51426-00")</f>
        <v>P-51426-00</v>
      </c>
      <c r="K590" s="3" t="str">
        <f>IFERROR(__xludf.DUMMYFUNCTION("""COMPUTED_VALUE"""),"Approve")</f>
        <v>Approve</v>
      </c>
      <c r="L590" s="3" t="str">
        <f>IFERROR(__xludf.DUMMYFUNCTION("""COMPUTED_VALUE"""),"Normal")</f>
        <v>Normal</v>
      </c>
      <c r="M590" s="3" t="str">
        <f>IFERROR(__xludf.DUMMYFUNCTION("""COMPUTED_VALUE"""),"Non Urgent")</f>
        <v>Non Urgent</v>
      </c>
      <c r="N590" s="3">
        <f>IFERROR(__xludf.DUMMYFUNCTION("""COMPUTED_VALUE"""),46119.261463981486)</f>
        <v>46119.26146</v>
      </c>
    </row>
    <row r="591">
      <c r="A591" s="4">
        <f>IFERROR(__xludf.DUMMYFUNCTION("""COMPUTED_VALUE"""),46108.46200425926)</f>
        <v>46108.462</v>
      </c>
      <c r="B591" s="3" t="str">
        <f>IFERROR(__xludf.DUMMYFUNCTION("""COMPUTED_VALUE"""),"RIARO0072")</f>
        <v>RIARO0072</v>
      </c>
      <c r="C591" s="3" t="str">
        <f>IFERROR(__xludf.DUMMYFUNCTION("""COMPUTED_VALUE"""),"EJO")</f>
        <v>EJO</v>
      </c>
      <c r="D591" s="3" t="str">
        <f>IFERROR(__xludf.DUMMYFUNCTION("""COMPUTED_VALUE"""),"-")</f>
        <v>-</v>
      </c>
      <c r="E591" s="3" t="str">
        <f>IFERROR(__xludf.DUMMYFUNCTION("""COMPUTED_VALUE"""),"AHU")</f>
        <v>AHU</v>
      </c>
      <c r="F591" s="3" t="str">
        <f>IFERROR(__xludf.DUMMYFUNCTION("""COMPUTED_VALUE"""),"General - Bushing VAV dia. 24 x 26mm; Custom Agru Farma; -; 1 pc")</f>
        <v>General - Bushing VAV dia. 24 x 26mm; Custom Agru Farma; -; 1 pc</v>
      </c>
      <c r="G591" s="3">
        <f>IFERROR(__xludf.DUMMYFUNCTION("""COMPUTED_VALUE"""),50.0)</f>
        <v>50</v>
      </c>
      <c r="H591" s="3" t="str">
        <f>IFERROR(__xludf.DUMMYFUNCTION("""COMPUTED_VALUE"""),"Pcs")</f>
        <v>Pcs</v>
      </c>
      <c r="I591" s="3" t="str">
        <f>IFERROR(__xludf.DUMMYFUNCTION("""COMPUTED_VALUE"""),"Buat pasang semua VAV")</f>
        <v>Buat pasang semua VAV</v>
      </c>
      <c r="J591" s="3" t="str">
        <f>IFERROR(__xludf.DUMMYFUNCTION("""COMPUTED_VALUE"""),"P-19898-00")</f>
        <v>P-19898-00</v>
      </c>
      <c r="K591" s="3" t="str">
        <f>IFERROR(__xludf.DUMMYFUNCTION("""COMPUTED_VALUE"""),"Approve")</f>
        <v>Approve</v>
      </c>
      <c r="L591" s="3" t="str">
        <f>IFERROR(__xludf.DUMMYFUNCTION("""COMPUTED_VALUE"""),"Normal")</f>
        <v>Normal</v>
      </c>
      <c r="M591" s="3" t="str">
        <f>IFERROR(__xludf.DUMMYFUNCTION("""COMPUTED_VALUE"""),"Non Urgent")</f>
        <v>Non Urgent</v>
      </c>
      <c r="N591" s="3">
        <f>IFERROR(__xludf.DUMMYFUNCTION("""COMPUTED_VALUE"""),46118.61513471065)</f>
        <v>46118.61513</v>
      </c>
    </row>
    <row r="592">
      <c r="A592" s="4">
        <f>IFERROR(__xludf.DUMMYFUNCTION("""COMPUTED_VALUE"""),46108.462365902786)</f>
        <v>46108.46237</v>
      </c>
      <c r="B592" s="3" t="str">
        <f>IFERROR(__xludf.DUMMYFUNCTION("""COMPUTED_VALUE"""),"RIARO0073")</f>
        <v>RIARO0073</v>
      </c>
      <c r="C592" s="3" t="str">
        <f>IFERROR(__xludf.DUMMYFUNCTION("""COMPUTED_VALUE"""),"EJO")</f>
        <v>EJO</v>
      </c>
      <c r="D592" s="3" t="str">
        <f>IFERROR(__xludf.DUMMYFUNCTION("""COMPUTED_VALUE"""),"-")</f>
        <v>-</v>
      </c>
      <c r="E592" s="3" t="str">
        <f>IFERROR(__xludf.DUMMYFUNCTION("""COMPUTED_VALUE"""),"WWTP")</f>
        <v>WWTP</v>
      </c>
      <c r="F592" s="3" t="str">
        <f>IFERROR(__xludf.DUMMYFUNCTION("""COMPUTED_VALUE"""),"General - Pelampung Air Radar Float Switch 2m; No Brand; -; 1 Pc")</f>
        <v>General - Pelampung Air Radar Float Switch 2m; No Brand; -; 1 Pc</v>
      </c>
      <c r="G592" s="3">
        <f>IFERROR(__xludf.DUMMYFUNCTION("""COMPUTED_VALUE"""),5.0)</f>
        <v>5</v>
      </c>
      <c r="H592" s="3" t="str">
        <f>IFERROR(__xludf.DUMMYFUNCTION("""COMPUTED_VALUE"""),"Pcs")</f>
        <v>Pcs</v>
      </c>
      <c r="I592" s="3" t="str">
        <f>IFERROR(__xludf.DUMMYFUNCTION("""COMPUTED_VALUE"""),"Buat alarm system wwtp")</f>
        <v>Buat alarm system wwtp</v>
      </c>
      <c r="J592" s="3" t="str">
        <f>IFERROR(__xludf.DUMMYFUNCTION("""COMPUTED_VALUE"""),"P-52664-00")</f>
        <v>P-52664-00</v>
      </c>
      <c r="K592" s="3" t="str">
        <f>IFERROR(__xludf.DUMMYFUNCTION("""COMPUTED_VALUE"""),"Approve")</f>
        <v>Approve</v>
      </c>
      <c r="L592" s="3" t="str">
        <f>IFERROR(__xludf.DUMMYFUNCTION("""COMPUTED_VALUE"""),"Normal")</f>
        <v>Normal</v>
      </c>
      <c r="M592" s="3" t="str">
        <f>IFERROR(__xludf.DUMMYFUNCTION("""COMPUTED_VALUE"""),"Non Urgent")</f>
        <v>Non Urgent</v>
      </c>
      <c r="N592" s="3">
        <f>IFERROR(__xludf.DUMMYFUNCTION("""COMPUTED_VALUE"""),46118.61526122685)</f>
        <v>46118.61526</v>
      </c>
    </row>
    <row r="593">
      <c r="A593" s="4">
        <f>IFERROR(__xludf.DUMMYFUNCTION("""COMPUTED_VALUE"""),46108.653579641206)</f>
        <v>46108.65358</v>
      </c>
      <c r="B593" s="3" t="str">
        <f>IFERROR(__xludf.DUMMYFUNCTION("""COMPUTED_VALUE"""),"NDSRO0020")</f>
        <v>NDSRO0020</v>
      </c>
      <c r="C593" s="3" t="str">
        <f>IFERROR(__xludf.DUMMYFUNCTION("""COMPUTED_VALUE"""),"MIn Stok")</f>
        <v>MIn Stok</v>
      </c>
      <c r="D593" s="3" t="str">
        <f>IFERROR(__xludf.DUMMYFUNCTION("""COMPUTED_VALUE"""),"-")</f>
        <v>-</v>
      </c>
      <c r="E593" s="3" t="str">
        <f>IFERROR(__xludf.DUMMYFUNCTION("""COMPUTED_VALUE"""),"GMP Washer")</f>
        <v>GMP Washer</v>
      </c>
      <c r="F593" s="3" t="str">
        <f>IFERROR(__xludf.DUMMYFUNCTION("""COMPUTED_VALUE"""),"GMP Washer - Pressure Switch0-0.25 Bar 0.045 Bar PSA-31 (0.045 Bar) Wika p/n:014032")</f>
        <v>GMP Washer - Pressure Switch0-0.25 Bar 0.045 Bar PSA-31 (0.045 Bar) Wika p/n:014032</v>
      </c>
      <c r="G593" s="3">
        <f>IFERROR(__xludf.DUMMYFUNCTION("""COMPUTED_VALUE"""),1.0)</f>
        <v>1</v>
      </c>
      <c r="H593" s="3" t="str">
        <f>IFERROR(__xludf.DUMMYFUNCTION("""COMPUTED_VALUE"""),"pcs")</f>
        <v>pcs</v>
      </c>
      <c r="I593" s="3" t="str">
        <f>IFERROR(__xludf.DUMMYFUNCTION("""COMPUTED_VALUE"""),"Spare")</f>
        <v>Spare</v>
      </c>
      <c r="J593" s="3" t="str">
        <f>IFERROR(__xludf.DUMMYFUNCTION("""COMPUTED_VALUE"""),"O-52145-00")</f>
        <v>O-52145-00</v>
      </c>
      <c r="K593" s="3" t="str">
        <f>IFERROR(__xludf.DUMMYFUNCTION("""COMPUTED_VALUE"""),"Approve")</f>
        <v>Approve</v>
      </c>
      <c r="L593" s="3" t="str">
        <f>IFERROR(__xludf.DUMMYFUNCTION("""COMPUTED_VALUE"""),"Normal")</f>
        <v>Normal</v>
      </c>
      <c r="M593" s="3" t="str">
        <f>IFERROR(__xludf.DUMMYFUNCTION("""COMPUTED_VALUE"""),"Non Urgent")</f>
        <v>Non Urgent</v>
      </c>
      <c r="N593" s="3">
        <f>IFERROR(__xludf.DUMMYFUNCTION("""COMPUTED_VALUE"""),46123.27742971065)</f>
        <v>46123.27743</v>
      </c>
    </row>
    <row r="594">
      <c r="A594" s="4">
        <f>IFERROR(__xludf.DUMMYFUNCTION("""COMPUTED_VALUE"""),46111.60980003472)</f>
        <v>46111.6098</v>
      </c>
      <c r="B594" s="3" t="str">
        <f>IFERROR(__xludf.DUMMYFUNCTION("""COMPUTED_VALUE"""),"MOBRO0080")</f>
        <v>MOBRO0080</v>
      </c>
      <c r="C594" s="3" t="str">
        <f>IFERROR(__xludf.DUMMYFUNCTION("""COMPUTED_VALUE"""),"Consumable")</f>
        <v>Consumable</v>
      </c>
      <c r="D594" s="3" t="str">
        <f>IFERROR(__xludf.DUMMYFUNCTION("""COMPUTED_VALUE"""),"-")</f>
        <v>-</v>
      </c>
      <c r="E594" s="3" t="str">
        <f>IFERROR(__xludf.DUMMYFUNCTION("""COMPUTED_VALUE"""),"Pneumatic Equipment")</f>
        <v>Pneumatic Equipment</v>
      </c>
      <c r="F594" s="3" t="str">
        <f>IFERROR(__xludf.DUMMYFUNCTION("""COMPUTED_VALUE"""),"SMC - Pressure Filter Regulator Manual Drain AW30-03BG-A; ; ;")</f>
        <v>SMC - Pressure Filter Regulator Manual Drain AW30-03BG-A; ; ;</v>
      </c>
      <c r="G594" s="3">
        <f>IFERROR(__xludf.DUMMYFUNCTION("""COMPUTED_VALUE"""),2.0)</f>
        <v>2</v>
      </c>
      <c r="H594" s="3" t="str">
        <f>IFERROR(__xludf.DUMMYFUNCTION("""COMPUTED_VALUE"""),"Pcs")</f>
        <v>Pcs</v>
      </c>
      <c r="I594" s="3" t="str">
        <f>IFERROR(__xludf.DUMMYFUNCTION("""COMPUTED_VALUE"""),"Project QC")</f>
        <v>Project QC</v>
      </c>
      <c r="J594" s="3" t="str">
        <f>IFERROR(__xludf.DUMMYFUNCTION("""COMPUTED_VALUE"""),"P-15833-00")</f>
        <v>P-15833-00</v>
      </c>
      <c r="K594" s="3" t="str">
        <f>IFERROR(__xludf.DUMMYFUNCTION("""COMPUTED_VALUE"""),"Approve")</f>
        <v>Approve</v>
      </c>
      <c r="L594" s="3" t="str">
        <f>IFERROR(__xludf.DUMMYFUNCTION("""COMPUTED_VALUE"""),"Normal")</f>
        <v>Normal</v>
      </c>
      <c r="M594" s="3" t="str">
        <f>IFERROR(__xludf.DUMMYFUNCTION("""COMPUTED_VALUE"""),"Non Urgent")</f>
        <v>Non Urgent</v>
      </c>
      <c r="N594" s="3">
        <f>IFERROR(__xludf.DUMMYFUNCTION("""COMPUTED_VALUE"""),46121.5792387963)</f>
        <v>46121.57924</v>
      </c>
    </row>
    <row r="595">
      <c r="A595" s="4">
        <f>IFERROR(__xludf.DUMMYFUNCTION("""COMPUTED_VALUE"""),46112.612267129625)</f>
        <v>46112.61227</v>
      </c>
      <c r="B595" s="3" t="str">
        <f>IFERROR(__xludf.DUMMYFUNCTION("""COMPUTED_VALUE"""),"MOBRO0081")</f>
        <v>MOBRO0081</v>
      </c>
      <c r="C595" s="3" t="str">
        <f>IFERROR(__xludf.DUMMYFUNCTION("""COMPUTED_VALUE"""),"EJO")</f>
        <v>EJO</v>
      </c>
      <c r="D595" s="3" t="str">
        <f>IFERROR(__xludf.DUMMYFUNCTION("""COMPUTED_VALUE"""),"2026/04/022")</f>
        <v>2026/04/022</v>
      </c>
      <c r="E595" s="3" t="str">
        <f>IFERROR(__xludf.DUMMYFUNCTION("""COMPUTED_VALUE"""),"PSG")</f>
        <v>PSG</v>
      </c>
      <c r="F595" s="3" t="str">
        <f>IFERROR(__xludf.DUMMYFUNCTION("""COMPUTED_VALUE"""),"General - Gate Valve 1/2inch; Kitz; -; 1 pc")</f>
        <v>General - Gate Valve 1/2inch; Kitz; -; 1 pc</v>
      </c>
      <c r="G595" s="3">
        <f>IFERROR(__xludf.DUMMYFUNCTION("""COMPUTED_VALUE"""),3.0)</f>
        <v>3</v>
      </c>
      <c r="H595" s="3" t="str">
        <f>IFERROR(__xludf.DUMMYFUNCTION("""COMPUTED_VALUE"""),"Pcs")</f>
        <v>Pcs</v>
      </c>
      <c r="I595" s="3" t="str">
        <f>IFERROR(__xludf.DUMMYFUNCTION("""COMPUTED_VALUE"""),"Mainline condensate Bocor")</f>
        <v>Mainline condensate Bocor</v>
      </c>
      <c r="J595" s="3" t="str">
        <f>IFERROR(__xludf.DUMMYFUNCTION("""COMPUTED_VALUE"""),"P-14407-00")</f>
        <v>P-14407-00</v>
      </c>
      <c r="K595" s="3" t="str">
        <f>IFERROR(__xludf.DUMMYFUNCTION("""COMPUTED_VALUE"""),"Approve")</f>
        <v>Approve</v>
      </c>
      <c r="L595" s="3" t="str">
        <f>IFERROR(__xludf.DUMMYFUNCTION("""COMPUTED_VALUE"""),"Normal")</f>
        <v>Normal</v>
      </c>
      <c r="M595" s="3" t="str">
        <f>IFERROR(__xludf.DUMMYFUNCTION("""COMPUTED_VALUE"""),"Non Urgent")</f>
        <v>Non Urgent</v>
      </c>
      <c r="N595" s="3">
        <f>IFERROR(__xludf.DUMMYFUNCTION("""COMPUTED_VALUE"""),46121.57938328704)</f>
        <v>46121.57938</v>
      </c>
    </row>
    <row r="596">
      <c r="A596" s="4">
        <f>IFERROR(__xludf.DUMMYFUNCTION("""COMPUTED_VALUE"""),46113.41679614583)</f>
        <v>46113.4168</v>
      </c>
      <c r="B596" s="3" t="str">
        <f>IFERROR(__xludf.DUMMYFUNCTION("""COMPUTED_VALUE"""),"MOBRO0082")</f>
        <v>MOBRO0082</v>
      </c>
      <c r="C596" s="3" t="str">
        <f>IFERROR(__xludf.DUMMYFUNCTION("""COMPUTED_VALUE"""),"MIn Stok")</f>
        <v>MIn Stok</v>
      </c>
      <c r="D596" s="3" t="str">
        <f>IFERROR(__xludf.DUMMYFUNCTION("""COMPUTED_VALUE"""),"-")</f>
        <v>-</v>
      </c>
      <c r="E596" s="3" t="str">
        <f>IFERROR(__xludf.DUMMYFUNCTION("""COMPUTED_VALUE"""),"Instalasi kabel")</f>
        <v>Instalasi kabel</v>
      </c>
      <c r="F596" s="3" t="str">
        <f>IFERROR(__xludf.DUMMYFUNCTION("""COMPUTED_VALUE"""),"General - Kabel NYYHY 3 x 1.5mm; SUPREME; -; 1 meter")</f>
        <v>General - Kabel NYYHY 3 x 1.5mm; SUPREME; -; 1 meter</v>
      </c>
      <c r="G596" s="3">
        <f>IFERROR(__xludf.DUMMYFUNCTION("""COMPUTED_VALUE"""),2.0)</f>
        <v>2</v>
      </c>
      <c r="H596" s="3" t="str">
        <f>IFERROR(__xludf.DUMMYFUNCTION("""COMPUTED_VALUE"""),"Roll")</f>
        <v>Roll</v>
      </c>
      <c r="I596" s="3" t="str">
        <f>IFERROR(__xludf.DUMMYFUNCTION("""COMPUTED_VALUE"""),"Project Tarik Kabel Power")</f>
        <v>Project Tarik Kabel Power</v>
      </c>
      <c r="J596" s="3" t="str">
        <f>IFERROR(__xludf.DUMMYFUNCTION("""COMPUTED_VALUE"""),"P-50286-00")</f>
        <v>P-50286-00</v>
      </c>
      <c r="K596" s="3" t="str">
        <f>IFERROR(__xludf.DUMMYFUNCTION("""COMPUTED_VALUE"""),"Approve")</f>
        <v>Approve</v>
      </c>
      <c r="L596" s="3" t="str">
        <f>IFERROR(__xludf.DUMMYFUNCTION("""COMPUTED_VALUE"""),"Normal")</f>
        <v>Normal</v>
      </c>
      <c r="M596" s="3" t="str">
        <f>IFERROR(__xludf.DUMMYFUNCTION("""COMPUTED_VALUE"""),"Non Urgent")</f>
        <v>Non Urgent</v>
      </c>
      <c r="N596" s="3">
        <f>IFERROR(__xludf.DUMMYFUNCTION("""COMPUTED_VALUE"""),46121.579541875)</f>
        <v>46121.57954</v>
      </c>
    </row>
    <row r="597">
      <c r="A597" s="4">
        <f>IFERROR(__xludf.DUMMYFUNCTION("""COMPUTED_VALUE"""),46114.73361101852)</f>
        <v>46114.73361</v>
      </c>
      <c r="B597" s="3" t="str">
        <f>IFERROR(__xludf.DUMMYFUNCTION("""COMPUTED_VALUE"""),"RIARO0074")</f>
        <v>RIARO0074</v>
      </c>
      <c r="C597" s="3" t="str">
        <f>IFERROR(__xludf.DUMMYFUNCTION("""COMPUTED_VALUE"""),"EJO")</f>
        <v>EJO</v>
      </c>
      <c r="D597" s="3" t="str">
        <f>IFERROR(__xludf.DUMMYFUNCTION("""COMPUTED_VALUE"""),"EJO/2026/04/017")</f>
        <v>EJO/2026/04/017</v>
      </c>
      <c r="E597" s="3" t="str">
        <f>IFERROR(__xludf.DUMMYFUNCTION("""COMPUTED_VALUE"""),"PWG")</f>
        <v>PWG</v>
      </c>
      <c r="F597" s="3" t="str">
        <f>IFERROR(__xludf.DUMMYFUNCTION("""COMPUTED_VALUE"""),"General - TU Polyurethane Tubing, TU1065C-100; SMC Pneumatics; -; 1 roll")</f>
        <v>General - TU Polyurethane Tubing, TU1065C-100; SMC Pneumatics; -; 1 roll</v>
      </c>
      <c r="G597" s="3">
        <f>IFERROR(__xludf.DUMMYFUNCTION("""COMPUTED_VALUE"""),30.0)</f>
        <v>30</v>
      </c>
      <c r="H597" s="3" t="str">
        <f>IFERROR(__xludf.DUMMYFUNCTION("""COMPUTED_VALUE"""),"Mtr")</f>
        <v>Mtr</v>
      </c>
      <c r="I597" s="3" t="str">
        <f>IFERROR(__xludf.DUMMYFUNCTION("""COMPUTED_VALUE"""),"Tubing size 10 mm Clear ya")</f>
        <v>Tubing size 10 mm Clear ya</v>
      </c>
      <c r="J597" s="3" t="str">
        <f>IFERROR(__xludf.DUMMYFUNCTION("""COMPUTED_VALUE"""),"O-12733-00")</f>
        <v>O-12733-00</v>
      </c>
      <c r="K597" s="3" t="str">
        <f>IFERROR(__xludf.DUMMYFUNCTION("""COMPUTED_VALUE"""),"Approve")</f>
        <v>Approve</v>
      </c>
      <c r="L597" s="3" t="str">
        <f>IFERROR(__xludf.DUMMYFUNCTION("""COMPUTED_VALUE"""),"Normal")</f>
        <v>Normal</v>
      </c>
      <c r="M597" s="3" t="str">
        <f>IFERROR(__xludf.DUMMYFUNCTION("""COMPUTED_VALUE"""),"Non Urgent")</f>
        <v>Non Urgent</v>
      </c>
      <c r="N597" s="3">
        <f>IFERROR(__xludf.DUMMYFUNCTION("""COMPUTED_VALUE"""),46118.617921550926)</f>
        <v>46118.61792</v>
      </c>
    </row>
    <row r="598">
      <c r="A598" s="4">
        <f>IFERROR(__xludf.DUMMYFUNCTION("""COMPUTED_VALUE"""),46114.96947152778)</f>
        <v>46114.96947</v>
      </c>
      <c r="B598" s="3" t="str">
        <f>IFERROR(__xludf.DUMMYFUNCTION("""COMPUTED_VALUE"""),"RIARO0075")</f>
        <v>RIARO0075</v>
      </c>
      <c r="C598" s="3" t="str">
        <f>IFERROR(__xludf.DUMMYFUNCTION("""COMPUTED_VALUE"""),"EJO")</f>
        <v>EJO</v>
      </c>
      <c r="D598" s="3" t="str">
        <f>IFERROR(__xludf.DUMMYFUNCTION("""COMPUTED_VALUE"""),"EJO/2026/04/016")</f>
        <v>EJO/2026/04/016</v>
      </c>
      <c r="E598" s="3" t="str">
        <f>IFERROR(__xludf.DUMMYFUNCTION("""COMPUTED_VALUE"""),"WFI SKID")</f>
        <v>WFI SKID</v>
      </c>
      <c r="F598" s="3" t="str">
        <f>IFERROR(__xludf.DUMMYFUNCTION("""COMPUTED_VALUE"""),"Junction Box Plastik 12x12x10 cm; ; ;")</f>
        <v>Junction Box Plastik 12x12x10 cm; ; ;</v>
      </c>
      <c r="G598" s="3">
        <f>IFERROR(__xludf.DUMMYFUNCTION("""COMPUTED_VALUE"""),1.0)</f>
        <v>1</v>
      </c>
      <c r="H598" s="3" t="str">
        <f>IFERROR(__xludf.DUMMYFUNCTION("""COMPUTED_VALUE"""),"Pcs")</f>
        <v>Pcs</v>
      </c>
      <c r="I598" s="3" t="str">
        <f>IFERROR(__xludf.DUMMYFUNCTION("""COMPUTED_VALUE"""),"Control Heater Jackting Vent Filter WFI SKID")</f>
        <v>Control Heater Jackting Vent Filter WFI SKID</v>
      </c>
      <c r="J598" s="3" t="str">
        <f>IFERROR(__xludf.DUMMYFUNCTION("""COMPUTED_VALUE"""),"Q-10510-00")</f>
        <v>Q-10510-00</v>
      </c>
      <c r="K598" s="3" t="str">
        <f>IFERROR(__xludf.DUMMYFUNCTION("""COMPUTED_VALUE"""),"Approve")</f>
        <v>Approve</v>
      </c>
      <c r="L598" s="3" t="str">
        <f>IFERROR(__xludf.DUMMYFUNCTION("""COMPUTED_VALUE"""),"Normal")</f>
        <v>Normal</v>
      </c>
      <c r="M598" s="3" t="str">
        <f>IFERROR(__xludf.DUMMYFUNCTION("""COMPUTED_VALUE"""),"Non Urgent")</f>
        <v>Non Urgent</v>
      </c>
      <c r="N598" s="3">
        <f>IFERROR(__xludf.DUMMYFUNCTION("""COMPUTED_VALUE"""),46118.61810178241)</f>
        <v>46118.6181</v>
      </c>
    </row>
    <row r="599">
      <c r="A599" s="4">
        <f>IFERROR(__xludf.DUMMYFUNCTION("""COMPUTED_VALUE"""),46114.969509525465)</f>
        <v>46114.96951</v>
      </c>
      <c r="B599" s="3" t="str">
        <f>IFERROR(__xludf.DUMMYFUNCTION("""COMPUTED_VALUE"""),"RIARO0078")</f>
        <v>RIARO0078</v>
      </c>
      <c r="C599" s="3" t="str">
        <f>IFERROR(__xludf.DUMMYFUNCTION("""COMPUTED_VALUE"""),"EJO")</f>
        <v>EJO</v>
      </c>
      <c r="D599" s="3" t="str">
        <f>IFERROR(__xludf.DUMMYFUNCTION("""COMPUTED_VALUE"""),"EJO/2026/04/016")</f>
        <v>EJO/2026/04/016</v>
      </c>
      <c r="E599" s="3" t="str">
        <f>IFERROR(__xludf.DUMMYFUNCTION("""COMPUTED_VALUE"""),"WFI SKID")</f>
        <v>WFI SKID</v>
      </c>
      <c r="F599" s="3" t="str">
        <f>IFERROR(__xludf.DUMMYFUNCTION("""COMPUTED_VALUE"""),"General - Temperature Controller TK4S- 14SN 100-240 VAC; Autonics; -; 1 pc")</f>
        <v>General - Temperature Controller TK4S- 14SN 100-240 VAC; Autonics; -; 1 pc</v>
      </c>
      <c r="G599" s="3">
        <f>IFERROR(__xludf.DUMMYFUNCTION("""COMPUTED_VALUE"""),1.0)</f>
        <v>1</v>
      </c>
      <c r="H599" s="3" t="str">
        <f>IFERROR(__xludf.DUMMYFUNCTION("""COMPUTED_VALUE"""),"Pcs")</f>
        <v>Pcs</v>
      </c>
      <c r="I599" s="3" t="str">
        <f>IFERROR(__xludf.DUMMYFUNCTION("""COMPUTED_VALUE"""),"Control Heater Jackting Vent Filter WFI SKID")</f>
        <v>Control Heater Jackting Vent Filter WFI SKID</v>
      </c>
      <c r="J599" s="3" t="str">
        <f>IFERROR(__xludf.DUMMYFUNCTION("""COMPUTED_VALUE"""),"P-52662-00")</f>
        <v>P-52662-00</v>
      </c>
      <c r="K599" s="3" t="str">
        <f>IFERROR(__xludf.DUMMYFUNCTION("""COMPUTED_VALUE"""),"Approve")</f>
        <v>Approve</v>
      </c>
      <c r="L599" s="3" t="str">
        <f>IFERROR(__xludf.DUMMYFUNCTION("""COMPUTED_VALUE"""),"Normal")</f>
        <v>Normal</v>
      </c>
      <c r="M599" s="3" t="str">
        <f>IFERROR(__xludf.DUMMYFUNCTION("""COMPUTED_VALUE"""),"Non Urgent")</f>
        <v>Non Urgent</v>
      </c>
      <c r="N599" s="3">
        <f>IFERROR(__xludf.DUMMYFUNCTION("""COMPUTED_VALUE"""),46118.61859627315)</f>
        <v>46118.6186</v>
      </c>
    </row>
    <row r="600">
      <c r="A600" s="4">
        <f>IFERROR(__xludf.DUMMYFUNCTION("""COMPUTED_VALUE"""),46114.969539803235)</f>
        <v>46114.96954</v>
      </c>
      <c r="B600" s="3" t="str">
        <f>IFERROR(__xludf.DUMMYFUNCTION("""COMPUTED_VALUE"""),"RIARO0076")</f>
        <v>RIARO0076</v>
      </c>
      <c r="C600" s="3" t="str">
        <f>IFERROR(__xludf.DUMMYFUNCTION("""COMPUTED_VALUE"""),"EJO")</f>
        <v>EJO</v>
      </c>
      <c r="D600" s="3" t="str">
        <f>IFERROR(__xludf.DUMMYFUNCTION("""COMPUTED_VALUE"""),"EJO/2026/04/016")</f>
        <v>EJO/2026/04/016</v>
      </c>
      <c r="E600" s="3" t="str">
        <f>IFERROR(__xludf.DUMMYFUNCTION("""COMPUTED_VALUE"""),"WFI SKID")</f>
        <v>WFI SKID</v>
      </c>
      <c r="F600" s="3" t="str">
        <f>IFERROR(__xludf.DUMMYFUNCTION("""COMPUTED_VALUE"""),"General - MCB 1 PHASE 10 AMPERE; Schneider; -; 1 Pc")</f>
        <v>General - MCB 1 PHASE 10 AMPERE; Schneider; -; 1 Pc</v>
      </c>
      <c r="G600" s="3">
        <f>IFERROR(__xludf.DUMMYFUNCTION("""COMPUTED_VALUE"""),1.0)</f>
        <v>1</v>
      </c>
      <c r="H600" s="3" t="str">
        <f>IFERROR(__xludf.DUMMYFUNCTION("""COMPUTED_VALUE"""),"Pcs")</f>
        <v>Pcs</v>
      </c>
      <c r="I600" s="3" t="str">
        <f>IFERROR(__xludf.DUMMYFUNCTION("""COMPUTED_VALUE"""),"Control Heater Jackting Vent Filter WFI SKID")</f>
        <v>Control Heater Jackting Vent Filter WFI SKID</v>
      </c>
      <c r="J600" s="3" t="str">
        <f>IFERROR(__xludf.DUMMYFUNCTION("""COMPUTED_VALUE"""),"O-54006-00")</f>
        <v>O-54006-00</v>
      </c>
      <c r="K600" s="3" t="str">
        <f>IFERROR(__xludf.DUMMYFUNCTION("""COMPUTED_VALUE"""),"Approve")</f>
        <v>Approve</v>
      </c>
      <c r="L600" s="3" t="str">
        <f>IFERROR(__xludf.DUMMYFUNCTION("""COMPUTED_VALUE"""),"Normal")</f>
        <v>Normal</v>
      </c>
      <c r="M600" s="3" t="str">
        <f>IFERROR(__xludf.DUMMYFUNCTION("""COMPUTED_VALUE"""),"Non Urgent")</f>
        <v>Non Urgent</v>
      </c>
      <c r="N600" s="3">
        <f>IFERROR(__xludf.DUMMYFUNCTION("""COMPUTED_VALUE"""),46118.618279675924)</f>
        <v>46118.61828</v>
      </c>
    </row>
    <row r="601">
      <c r="A601" s="4">
        <f>IFERROR(__xludf.DUMMYFUNCTION("""COMPUTED_VALUE"""),46114.97291055556)</f>
        <v>46114.97291</v>
      </c>
      <c r="B601" s="3" t="str">
        <f>IFERROR(__xludf.DUMMYFUNCTION("""COMPUTED_VALUE"""),"RIARO0079")</f>
        <v>RIARO0079</v>
      </c>
      <c r="C601" s="3" t="str">
        <f>IFERROR(__xludf.DUMMYFUNCTION("""COMPUTED_VALUE"""),"EJO")</f>
        <v>EJO</v>
      </c>
      <c r="D601" s="3" t="str">
        <f>IFERROR(__xludf.DUMMYFUNCTION("""COMPUTED_VALUE"""),"EJO/2026/04/016")</f>
        <v>EJO/2026/04/016</v>
      </c>
      <c r="E601" s="3" t="str">
        <f>IFERROR(__xludf.DUMMYFUNCTION("""COMPUTED_VALUE"""),"WFI SKID")</f>
        <v>WFI SKID</v>
      </c>
      <c r="F601" s="3" t="str">
        <f>IFERROR(__xludf.DUMMYFUNCTION("""COMPUTED_VALUE"""),"General - Thermocouple TW-N (PT100), Dia.: 6.4*30L*2M*PT1/8; Autonics; A04209; 1 pc")</f>
        <v>General - Thermocouple TW-N (PT100), Dia.: 6.4*30L*2M*PT1/8; Autonics; A04209; 1 pc</v>
      </c>
      <c r="G601" s="3">
        <f>IFERROR(__xludf.DUMMYFUNCTION("""COMPUTED_VALUE"""),1.0)</f>
        <v>1</v>
      </c>
      <c r="H601" s="3" t="str">
        <f>IFERROR(__xludf.DUMMYFUNCTION("""COMPUTED_VALUE"""),"Pcs")</f>
        <v>Pcs</v>
      </c>
      <c r="I601" s="3" t="str">
        <f>IFERROR(__xludf.DUMMYFUNCTION("""COMPUTED_VALUE"""),"Control Heater Jackting Vent Filter WFI SKID")</f>
        <v>Control Heater Jackting Vent Filter WFI SKID</v>
      </c>
      <c r="J601" s="3" t="str">
        <f>IFERROR(__xludf.DUMMYFUNCTION("""COMPUTED_VALUE"""),"P-54402-00")</f>
        <v>P-54402-00</v>
      </c>
      <c r="K601" s="3" t="str">
        <f>IFERROR(__xludf.DUMMYFUNCTION("""COMPUTED_VALUE"""),"Approve")</f>
        <v>Approve</v>
      </c>
      <c r="L601" s="3" t="str">
        <f>IFERROR(__xludf.DUMMYFUNCTION("""COMPUTED_VALUE"""),"Normal")</f>
        <v>Normal</v>
      </c>
      <c r="M601" s="3" t="str">
        <f>IFERROR(__xludf.DUMMYFUNCTION("""COMPUTED_VALUE"""),"Non Urgent")</f>
        <v>Non Urgent</v>
      </c>
      <c r="N601" s="3">
        <f>IFERROR(__xludf.DUMMYFUNCTION("""COMPUTED_VALUE"""),46118.618726712964)</f>
        <v>46118.61873</v>
      </c>
    </row>
    <row r="602">
      <c r="A602" s="4">
        <f>IFERROR(__xludf.DUMMYFUNCTION("""COMPUTED_VALUE"""),46118.68604018518)</f>
        <v>46118.68604</v>
      </c>
      <c r="B602" s="3" t="str">
        <f>IFERROR(__xludf.DUMMYFUNCTION("""COMPUTED_VALUE"""),"RIARO0080")</f>
        <v>RIARO0080</v>
      </c>
      <c r="C602" s="3" t="str">
        <f>IFERROR(__xludf.DUMMYFUNCTION("""COMPUTED_VALUE"""),"EJO")</f>
        <v>EJO</v>
      </c>
      <c r="D602" s="3" t="str">
        <f>IFERROR(__xludf.DUMMYFUNCTION("""COMPUTED_VALUE"""),"-")</f>
        <v>-</v>
      </c>
      <c r="E602" s="3" t="str">
        <f>IFERROR(__xludf.DUMMYFUNCTION("""COMPUTED_VALUE"""),"AHU")</f>
        <v>AHU</v>
      </c>
      <c r="F602" s="3" t="str">
        <f>IFERROR(__xludf.DUMMYFUNCTION("""COMPUTED_VALUE"""),"General - Chemical Cleaning; Kuclean; AC 101; 1 PL = 25 Kg")</f>
        <v>General - Chemical Cleaning; Kuclean; AC 101; 1 PL = 25 Kg</v>
      </c>
      <c r="G602" s="3">
        <f>IFERROR(__xludf.DUMMYFUNCTION("""COMPUTED_VALUE"""),3.0)</f>
        <v>3</v>
      </c>
      <c r="H602" s="3" t="str">
        <f>IFERROR(__xludf.DUMMYFUNCTION("""COMPUTED_VALUE"""),"Pcs")</f>
        <v>Pcs</v>
      </c>
      <c r="I602" s="3" t="str">
        <f>IFERROR(__xludf.DUMMYFUNCTION("""COMPUTED_VALUE"""),"Buat Cleaning AHU")</f>
        <v>Buat Cleaning AHU</v>
      </c>
      <c r="J602" s="3" t="str">
        <f>IFERROR(__xludf.DUMMYFUNCTION("""COMPUTED_VALUE"""),"P-19434-00")</f>
        <v>P-19434-00</v>
      </c>
      <c r="K602" s="3" t="str">
        <f>IFERROR(__xludf.DUMMYFUNCTION("""COMPUTED_VALUE"""),"Approve")</f>
        <v>Approve</v>
      </c>
      <c r="L602" s="3" t="str">
        <f>IFERROR(__xludf.DUMMYFUNCTION("""COMPUTED_VALUE"""),"Normal")</f>
        <v>Normal</v>
      </c>
      <c r="M602" s="3" t="str">
        <f>IFERROR(__xludf.DUMMYFUNCTION("""COMPUTED_VALUE"""),"Non Urgent")</f>
        <v>Non Urgent</v>
      </c>
      <c r="N602" s="3">
        <f>IFERROR(__xludf.DUMMYFUNCTION("""COMPUTED_VALUE"""),46202.92318100695)</f>
        <v>46202.92318</v>
      </c>
    </row>
    <row r="603">
      <c r="A603" s="4">
        <f>IFERROR(__xludf.DUMMYFUNCTION("""COMPUTED_VALUE"""),46123.35638966435)</f>
        <v>46123.35639</v>
      </c>
      <c r="B603" s="3" t="str">
        <f>IFERROR(__xludf.DUMMYFUNCTION("""COMPUTED_VALUE"""),"NDSRO0021")</f>
        <v>NDSRO0021</v>
      </c>
      <c r="C603" s="3" t="str">
        <f>IFERROR(__xludf.DUMMYFUNCTION("""COMPUTED_VALUE"""),"MIn Stok")</f>
        <v>MIn Stok</v>
      </c>
      <c r="D603" s="3" t="str">
        <f>IFERROR(__xludf.DUMMYFUNCTION("""COMPUTED_VALUE"""),"-")</f>
        <v>-</v>
      </c>
      <c r="E603" s="3" t="str">
        <f>IFERROR(__xludf.DUMMYFUNCTION("""COMPUTED_VALUE"""),"Autoclave Lab")</f>
        <v>Autoclave Lab</v>
      </c>
      <c r="F603" s="3" t="str">
        <f>IFERROR(__xludf.DUMMYFUNCTION("""COMPUTED_VALUE"""),"Autoclave Fedegari FVA2/A1 NB2963AT - Level Transmitter code 15218 2m p/n: CD050024; ; ;")</f>
        <v>Autoclave Fedegari FVA2/A1 NB2963AT - Level Transmitter code 15218 2m p/n: CD050024; ; ;</v>
      </c>
      <c r="G603" s="3">
        <f>IFERROR(__xludf.DUMMYFUNCTION("""COMPUTED_VALUE"""),2.0)</f>
        <v>2</v>
      </c>
      <c r="H603" s="3" t="str">
        <f>IFERROR(__xludf.DUMMYFUNCTION("""COMPUTED_VALUE"""),"pcs")</f>
        <v>pcs</v>
      </c>
      <c r="I603" s="3" t="str">
        <f>IFERROR(__xludf.DUMMYFUNCTION("""COMPUTED_VALUE"""),"untuk spare, karena di sparepart stock habis")</f>
        <v>untuk spare, karena di sparepart stock habis</v>
      </c>
      <c r="J603" s="3" t="str">
        <f>IFERROR(__xludf.DUMMYFUNCTION("""COMPUTED_VALUE"""),"O-52210-00")</f>
        <v>O-52210-00</v>
      </c>
      <c r="K603" s="3" t="str">
        <f>IFERROR(__xludf.DUMMYFUNCTION("""COMPUTED_VALUE"""),"Approve")</f>
        <v>Approve</v>
      </c>
      <c r="L603" s="3" t="str">
        <f>IFERROR(__xludf.DUMMYFUNCTION("""COMPUTED_VALUE"""),"Normal")</f>
        <v>Normal</v>
      </c>
      <c r="M603" s="3" t="str">
        <f>IFERROR(__xludf.DUMMYFUNCTION("""COMPUTED_VALUE"""),"Non Urgent")</f>
        <v>Non Urgent</v>
      </c>
      <c r="N603" s="3">
        <f>IFERROR(__xludf.DUMMYFUNCTION("""COMPUTED_VALUE"""),46134.957675763886)</f>
        <v>46134.95768</v>
      </c>
    </row>
    <row r="604">
      <c r="A604" s="4">
        <f>IFERROR(__xludf.DUMMYFUNCTION("""COMPUTED_VALUE"""),46126.834051770835)</f>
        <v>46126.83405</v>
      </c>
      <c r="B604" s="3" t="str">
        <f>IFERROR(__xludf.DUMMYFUNCTION("""COMPUTED_VALUE"""),"SFHRO0041")</f>
        <v>SFHRO0041</v>
      </c>
      <c r="C604" s="3" t="str">
        <f>IFERROR(__xludf.DUMMYFUNCTION("""COMPUTED_VALUE"""),"Consumable")</f>
        <v>Consumable</v>
      </c>
      <c r="D604" s="3" t="str">
        <f>IFERROR(__xludf.DUMMYFUNCTION("""COMPUTED_VALUE"""),"-")</f>
        <v>-</v>
      </c>
      <c r="E604" s="3" t="str">
        <f>IFERROR(__xludf.DUMMYFUNCTION("""COMPUTED_VALUE"""),"lantai 2")</f>
        <v>lantai 2</v>
      </c>
      <c r="F604" s="3" t="str">
        <f>IFERROR(__xludf.DUMMYFUNCTION("""COMPUTED_VALUE"""),"Kuas Cat Roller uk. 230 mm;No Brand;;pack size per set")</f>
        <v>Kuas Cat Roller uk. 230 mm;No Brand;;pack size per set</v>
      </c>
      <c r="G604" s="3">
        <f>IFERROR(__xludf.DUMMYFUNCTION("""COMPUTED_VALUE"""),10.0)</f>
        <v>10</v>
      </c>
      <c r="H604" s="3" t="str">
        <f>IFERROR(__xludf.DUMMYFUNCTION("""COMPUTED_VALUE"""),"pcs")</f>
        <v>pcs</v>
      </c>
      <c r="I604" s="3" t="str">
        <f>IFERROR(__xludf.DUMMYFUNCTION("""COMPUTED_VALUE"""),"stock habis")</f>
        <v>stock habis</v>
      </c>
      <c r="J604" s="3" t="str">
        <f>IFERROR(__xludf.DUMMYFUNCTION("""COMPUTED_VALUE"""),"Q-10154-00")</f>
        <v>Q-10154-00</v>
      </c>
      <c r="K604" s="3" t="str">
        <f>IFERROR(__xludf.DUMMYFUNCTION("""COMPUTED_VALUE"""),"Approve")</f>
        <v>Approve</v>
      </c>
      <c r="L604" s="3" t="str">
        <f>IFERROR(__xludf.DUMMYFUNCTION("""COMPUTED_VALUE"""),"Normal")</f>
        <v>Normal</v>
      </c>
      <c r="M604" s="3" t="str">
        <f>IFERROR(__xludf.DUMMYFUNCTION("""COMPUTED_VALUE"""),"Non Urgent")</f>
        <v>Non Urgent</v>
      </c>
      <c r="N604" s="3">
        <f>IFERROR(__xludf.DUMMYFUNCTION("""COMPUTED_VALUE"""),46132.73286152778)</f>
        <v>46132.73286</v>
      </c>
    </row>
    <row r="605">
      <c r="A605" s="4">
        <f>IFERROR(__xludf.DUMMYFUNCTION("""COMPUTED_VALUE"""),46126.835104861115)</f>
        <v>46126.8351</v>
      </c>
      <c r="B605" s="3" t="str">
        <f>IFERROR(__xludf.DUMMYFUNCTION("""COMPUTED_VALUE"""),"SFHRO0042")</f>
        <v>SFHRO0042</v>
      </c>
      <c r="C605" s="3" t="str">
        <f>IFERROR(__xludf.DUMMYFUNCTION("""COMPUTED_VALUE"""),"Consumable")</f>
        <v>Consumable</v>
      </c>
      <c r="D605" s="3" t="str">
        <f>IFERROR(__xludf.DUMMYFUNCTION("""COMPUTED_VALUE"""),"-")</f>
        <v>-</v>
      </c>
      <c r="E605" s="3" t="str">
        <f>IFERROR(__xludf.DUMMYFUNCTION("""COMPUTED_VALUE"""),"lantai 2")</f>
        <v>lantai 2</v>
      </c>
      <c r="F605" s="3" t="str">
        <f>IFERROR(__xludf.DUMMYFUNCTION("""COMPUTED_VALUE"""),"Kuas Cat Roller uk. 110 mm;No Brand;;pack size per set")</f>
        <v>Kuas Cat Roller uk. 110 mm;No Brand;;pack size per set</v>
      </c>
      <c r="G605" s="3">
        <f>IFERROR(__xludf.DUMMYFUNCTION("""COMPUTED_VALUE"""),10.0)</f>
        <v>10</v>
      </c>
      <c r="H605" s="3" t="str">
        <f>IFERROR(__xludf.DUMMYFUNCTION("""COMPUTED_VALUE"""),"pcs")</f>
        <v>pcs</v>
      </c>
      <c r="I605" s="3" t="str">
        <f>IFERROR(__xludf.DUMMYFUNCTION("""COMPUTED_VALUE"""),"stock tinggal dikit lagi")</f>
        <v>stock tinggal dikit lagi</v>
      </c>
      <c r="J605" s="3" t="str">
        <f>IFERROR(__xludf.DUMMYFUNCTION("""COMPUTED_VALUE"""),"Q-10153-00")</f>
        <v>Q-10153-00</v>
      </c>
      <c r="K605" s="3" t="str">
        <f>IFERROR(__xludf.DUMMYFUNCTION("""COMPUTED_VALUE"""),"Approve")</f>
        <v>Approve</v>
      </c>
      <c r="L605" s="3" t="str">
        <f>IFERROR(__xludf.DUMMYFUNCTION("""COMPUTED_VALUE"""),"Normal")</f>
        <v>Normal</v>
      </c>
      <c r="M605" s="3" t="str">
        <f>IFERROR(__xludf.DUMMYFUNCTION("""COMPUTED_VALUE"""),"Non Urgent")</f>
        <v>Non Urgent</v>
      </c>
      <c r="N605" s="3">
        <f>IFERROR(__xludf.DUMMYFUNCTION("""COMPUTED_VALUE"""),46132.73297460648)</f>
        <v>46132.73297</v>
      </c>
    </row>
    <row r="606">
      <c r="A606" s="4">
        <f>IFERROR(__xludf.DUMMYFUNCTION("""COMPUTED_VALUE"""),46126.83661381944)</f>
        <v>46126.83661</v>
      </c>
      <c r="B606" s="3" t="str">
        <f>IFERROR(__xludf.DUMMYFUNCTION("""COMPUTED_VALUE"""),"SFHRO0043")</f>
        <v>SFHRO0043</v>
      </c>
      <c r="C606" s="3" t="str">
        <f>IFERROR(__xludf.DUMMYFUNCTION("""COMPUTED_VALUE"""),"Consumable")</f>
        <v>Consumable</v>
      </c>
      <c r="D606" s="3" t="str">
        <f>IFERROR(__xludf.DUMMYFUNCTION("""COMPUTED_VALUE"""),"-")</f>
        <v>-</v>
      </c>
      <c r="E606" s="3" t="str">
        <f>IFERROR(__xludf.DUMMYFUNCTION("""COMPUTED_VALUE"""),"lantai 2")</f>
        <v>lantai 2</v>
      </c>
      <c r="F606" s="3" t="str">
        <f>IFERROR(__xludf.DUMMYFUNCTION("""COMPUTED_VALUE"""),"Semen MU 301 Plester Plus; ; ;")</f>
        <v>Semen MU 301 Plester Plus; ; ;</v>
      </c>
      <c r="G606" s="3">
        <f>IFERROR(__xludf.DUMMYFUNCTION("""COMPUTED_VALUE"""),40.0)</f>
        <v>40</v>
      </c>
      <c r="H606" s="3" t="str">
        <f>IFERROR(__xludf.DUMMYFUNCTION("""COMPUTED_VALUE"""),"kg")</f>
        <v>kg</v>
      </c>
      <c r="I606" s="3" t="str">
        <f>IFERROR(__xludf.DUMMYFUNCTION("""COMPUTED_VALUE"""),"-")</f>
        <v>-</v>
      </c>
      <c r="J606" s="3" t="str">
        <f>IFERROR(__xludf.DUMMYFUNCTION("""COMPUTED_VALUE"""),"Q-10724-00")</f>
        <v>Q-10724-00</v>
      </c>
      <c r="K606" s="3" t="str">
        <f>IFERROR(__xludf.DUMMYFUNCTION("""COMPUTED_VALUE"""),"Approve")</f>
        <v>Approve</v>
      </c>
      <c r="L606" s="3" t="str">
        <f>IFERROR(__xludf.DUMMYFUNCTION("""COMPUTED_VALUE"""),"Normal")</f>
        <v>Normal</v>
      </c>
      <c r="M606" s="3" t="str">
        <f>IFERROR(__xludf.DUMMYFUNCTION("""COMPUTED_VALUE"""),"Non Urgent")</f>
        <v>Non Urgent</v>
      </c>
      <c r="N606" s="3">
        <f>IFERROR(__xludf.DUMMYFUNCTION("""COMPUTED_VALUE"""),46132.73313770833)</f>
        <v>46132.73314</v>
      </c>
    </row>
    <row r="607">
      <c r="A607" s="4">
        <f>IFERROR(__xludf.DUMMYFUNCTION("""COMPUTED_VALUE"""),46126.84634841434)</f>
        <v>46126.84635</v>
      </c>
      <c r="B607" s="3" t="str">
        <f>IFERROR(__xludf.DUMMYFUNCTION("""COMPUTED_VALUE"""),"SFHRO0044")</f>
        <v>SFHRO0044</v>
      </c>
      <c r="C607" s="3" t="str">
        <f>IFERROR(__xludf.DUMMYFUNCTION("""COMPUTED_VALUE"""),"Consumable")</f>
        <v>Consumable</v>
      </c>
      <c r="D607" s="3" t="str">
        <f>IFERROR(__xludf.DUMMYFUNCTION("""COMPUTED_VALUE"""),"-")</f>
        <v>-</v>
      </c>
      <c r="E607" s="3" t="str">
        <f>IFERROR(__xludf.DUMMYFUNCTION("""COMPUTED_VALUE"""),"lantai 2")</f>
        <v>lantai 2</v>
      </c>
      <c r="F607" s="3" t="str">
        <f>IFERROR(__xludf.DUMMYFUNCTION("""COMPUTED_VALUE"""),"Kuas Cat Uk. 3 inch;Eterna;Tipe 611;pack size per pcs")</f>
        <v>Kuas Cat Uk. 3 inch;Eterna;Tipe 611;pack size per pcs</v>
      </c>
      <c r="G607" s="3">
        <f>IFERROR(__xludf.DUMMYFUNCTION("""COMPUTED_VALUE"""),5.0)</f>
        <v>5</v>
      </c>
      <c r="H607" s="3" t="str">
        <f>IFERROR(__xludf.DUMMYFUNCTION("""COMPUTED_VALUE"""),"pcs")</f>
        <v>pcs</v>
      </c>
      <c r="I607" s="3" t="str">
        <f>IFERROR(__xludf.DUMMYFUNCTION("""COMPUTED_VALUE"""),"stock habis")</f>
        <v>stock habis</v>
      </c>
      <c r="J607" s="3" t="str">
        <f>IFERROR(__xludf.DUMMYFUNCTION("""COMPUTED_VALUE"""),"Q-10401-00")</f>
        <v>Q-10401-00</v>
      </c>
      <c r="K607" s="3" t="str">
        <f>IFERROR(__xludf.DUMMYFUNCTION("""COMPUTED_VALUE"""),"Approve")</f>
        <v>Approve</v>
      </c>
      <c r="L607" s="3" t="str">
        <f>IFERROR(__xludf.DUMMYFUNCTION("""COMPUTED_VALUE"""),"Normal")</f>
        <v>Normal</v>
      </c>
      <c r="M607" s="3" t="str">
        <f>IFERROR(__xludf.DUMMYFUNCTION("""COMPUTED_VALUE"""),"Non Urgent")</f>
        <v>Non Urgent</v>
      </c>
      <c r="N607" s="3">
        <f>IFERROR(__xludf.DUMMYFUNCTION("""COMPUTED_VALUE"""),46132.733263055554)</f>
        <v>46132.73326</v>
      </c>
    </row>
    <row r="608">
      <c r="A608" s="4">
        <f>IFERROR(__xludf.DUMMYFUNCTION("""COMPUTED_VALUE"""),46133.18225651621)</f>
        <v>46133.18226</v>
      </c>
      <c r="B608" s="3" t="str">
        <f>IFERROR(__xludf.DUMMYFUNCTION("""COMPUTED_VALUE"""),"ROSRO0027")</f>
        <v>ROSRO0027</v>
      </c>
      <c r="C608" s="3" t="str">
        <f>IFERROR(__xludf.DUMMYFUNCTION("""COMPUTED_VALUE"""),"Consumable")</f>
        <v>Consumable</v>
      </c>
      <c r="D608" s="3" t="str">
        <f>IFERROR(__xludf.DUMMYFUNCTION("""COMPUTED_VALUE"""),"-")</f>
        <v>-</v>
      </c>
      <c r="E608" s="3" t="str">
        <f>IFERROR(__xludf.DUMMYFUNCTION("""COMPUTED_VALUE"""),"Autoclave")</f>
        <v>Autoclave</v>
      </c>
      <c r="F608" s="3" t="str">
        <f>IFERROR(__xludf.DUMMYFUNCTION("""COMPUTED_VALUE"""),"Autoclave Fedegari FVA2/A1 NB2963AT - KIT Ricambi Valv. DN10 ON-OFF FEDEGARI ASIA PTE LTD P/N : KS000025 pc")</f>
        <v>Autoclave Fedegari FVA2/A1 NB2963AT - KIT Ricambi Valv. DN10 ON-OFF FEDEGARI ASIA PTE LTD P/N : KS000025 pc</v>
      </c>
      <c r="G608" s="3">
        <f>IFERROR(__xludf.DUMMYFUNCTION("""COMPUTED_VALUE"""),10.0)</f>
        <v>10</v>
      </c>
      <c r="H608" s="3" t="str">
        <f>IFERROR(__xludf.DUMMYFUNCTION("""COMPUTED_VALUE"""),"pcs")</f>
        <v>pcs</v>
      </c>
      <c r="I608" s="3" t="str">
        <f>IFERROR(__xludf.DUMMYFUNCTION("""COMPUTED_VALUE"""),"-")</f>
        <v>-</v>
      </c>
      <c r="J608" s="3" t="str">
        <f>IFERROR(__xludf.DUMMYFUNCTION("""COMPUTED_VALUE"""),"O-16732-00")</f>
        <v>O-16732-00</v>
      </c>
      <c r="K608" s="3" t="str">
        <f>IFERROR(__xludf.DUMMYFUNCTION("""COMPUTED_VALUE"""),"Approve")</f>
        <v>Approve</v>
      </c>
      <c r="L608" s="3" t="str">
        <f>IFERROR(__xludf.DUMMYFUNCTION("""COMPUTED_VALUE"""),"Normal")</f>
        <v>Normal</v>
      </c>
      <c r="M608" s="3" t="str">
        <f>IFERROR(__xludf.DUMMYFUNCTION("""COMPUTED_VALUE"""),"Non Urgent")</f>
        <v>Non Urgent</v>
      </c>
      <c r="N608" s="3">
        <f>IFERROR(__xludf.DUMMYFUNCTION("""COMPUTED_VALUE"""),46135.12786436343)</f>
        <v>46135.12786</v>
      </c>
    </row>
    <row r="609">
      <c r="A609" s="4">
        <f>IFERROR(__xludf.DUMMYFUNCTION("""COMPUTED_VALUE"""),46133.18225651621)</f>
        <v>46133.18226</v>
      </c>
      <c r="B609" s="3" t="str">
        <f>IFERROR(__xludf.DUMMYFUNCTION("""COMPUTED_VALUE"""),"ROSRO0028")</f>
        <v>ROSRO0028</v>
      </c>
      <c r="C609" s="3" t="str">
        <f>IFERROR(__xludf.DUMMYFUNCTION("""COMPUTED_VALUE"""),"Consumable")</f>
        <v>Consumable</v>
      </c>
      <c r="D609" s="3" t="str">
        <f>IFERROR(__xludf.DUMMYFUNCTION("""COMPUTED_VALUE"""),"-")</f>
        <v>-</v>
      </c>
      <c r="E609" s="3" t="str">
        <f>IFERROR(__xludf.DUMMYFUNCTION("""COMPUTED_VALUE"""),"Autoclave")</f>
        <v>Autoclave</v>
      </c>
      <c r="F609" s="3" t="str">
        <f>IFERROR(__xludf.DUMMYFUNCTION("""COMPUTED_VALUE"""),"Autoclave Fedegari FOF / 6 AC - Kit DN22 Valve Mod; p/n: KK000310; ; ;")</f>
        <v>Autoclave Fedegari FOF / 6 AC - Kit DN22 Valve Mod; p/n: KK000310; ; ;</v>
      </c>
      <c r="G609" s="3">
        <f>IFERROR(__xludf.DUMMYFUNCTION("""COMPUTED_VALUE"""),10.0)</f>
        <v>10</v>
      </c>
      <c r="H609" s="3" t="str">
        <f>IFERROR(__xludf.DUMMYFUNCTION("""COMPUTED_VALUE"""),"pcs")</f>
        <v>pcs</v>
      </c>
      <c r="I609" s="3" t="str">
        <f>IFERROR(__xludf.DUMMYFUNCTION("""COMPUTED_VALUE"""),"-")</f>
        <v>-</v>
      </c>
      <c r="J609" s="3" t="str">
        <f>IFERROR(__xludf.DUMMYFUNCTION("""COMPUTED_VALUE"""),"O-17376-00")</f>
        <v>O-17376-00</v>
      </c>
      <c r="K609" s="3" t="str">
        <f>IFERROR(__xludf.DUMMYFUNCTION("""COMPUTED_VALUE"""),"Approve")</f>
        <v>Approve</v>
      </c>
      <c r="L609" s="3" t="str">
        <f>IFERROR(__xludf.DUMMYFUNCTION("""COMPUTED_VALUE"""),"Normal")</f>
        <v>Normal</v>
      </c>
      <c r="M609" s="3" t="str">
        <f>IFERROR(__xludf.DUMMYFUNCTION("""COMPUTED_VALUE"""),"Non Urgent")</f>
        <v>Non Urgent</v>
      </c>
      <c r="N609" s="3">
        <f>IFERROR(__xludf.DUMMYFUNCTION("""COMPUTED_VALUE"""),46135.128027638886)</f>
        <v>46135.12803</v>
      </c>
    </row>
    <row r="610">
      <c r="A610" s="4">
        <f>IFERROR(__xludf.DUMMYFUNCTION("""COMPUTED_VALUE"""),46133.18225651621)</f>
        <v>46133.18226</v>
      </c>
      <c r="B610" s="3" t="str">
        <f>IFERROR(__xludf.DUMMYFUNCTION("""COMPUTED_VALUE"""),"ROSRO0029")</f>
        <v>ROSRO0029</v>
      </c>
      <c r="C610" s="3" t="str">
        <f>IFERROR(__xludf.DUMMYFUNCTION("""COMPUTED_VALUE"""),"Consumable")</f>
        <v>Consumable</v>
      </c>
      <c r="D610" s="3" t="str">
        <f>IFERROR(__xludf.DUMMYFUNCTION("""COMPUTED_VALUE"""),"-")</f>
        <v>-</v>
      </c>
      <c r="E610" s="3" t="str">
        <f>IFERROR(__xludf.DUMMYFUNCTION("""COMPUTED_VALUE"""),"Autoclave")</f>
        <v>Autoclave</v>
      </c>
      <c r="F610" s="3" t="str">
        <f>IFERROR(__xludf.DUMMYFUNCTION("""COMPUTED_VALUE"""),"Autoclave Fedegari FOF / 6 AC - P/N. KK000304-KIT RICAMBI VALV.DN16 ON-OFF")</f>
        <v>Autoclave Fedegari FOF / 6 AC - P/N. KK000304-KIT RICAMBI VALV.DN16 ON-OFF</v>
      </c>
      <c r="G610" s="3">
        <f>IFERROR(__xludf.DUMMYFUNCTION("""COMPUTED_VALUE"""),10.0)</f>
        <v>10</v>
      </c>
      <c r="H610" s="3" t="str">
        <f>IFERROR(__xludf.DUMMYFUNCTION("""COMPUTED_VALUE"""),"pcs")</f>
        <v>pcs</v>
      </c>
      <c r="I610" s="3" t="str">
        <f>IFERROR(__xludf.DUMMYFUNCTION("""COMPUTED_VALUE"""),"-")</f>
        <v>-</v>
      </c>
      <c r="J610" s="3" t="str">
        <f>IFERROR(__xludf.DUMMYFUNCTION("""COMPUTED_VALUE"""),"O-50697-00")</f>
        <v>O-50697-00</v>
      </c>
      <c r="K610" s="3" t="str">
        <f>IFERROR(__xludf.DUMMYFUNCTION("""COMPUTED_VALUE"""),"Approve")</f>
        <v>Approve</v>
      </c>
      <c r="L610" s="3" t="str">
        <f>IFERROR(__xludf.DUMMYFUNCTION("""COMPUTED_VALUE"""),"Normal")</f>
        <v>Normal</v>
      </c>
      <c r="M610" s="3" t="str">
        <f>IFERROR(__xludf.DUMMYFUNCTION("""COMPUTED_VALUE"""),"Non Urgent")</f>
        <v>Non Urgent</v>
      </c>
      <c r="N610" s="3">
        <f>IFERROR(__xludf.DUMMYFUNCTION("""COMPUTED_VALUE"""),46135.128186539354)</f>
        <v>46135.12819</v>
      </c>
    </row>
    <row r="611">
      <c r="A611" s="4">
        <f>IFERROR(__xludf.DUMMYFUNCTION("""COMPUTED_VALUE"""),46133.18225651621)</f>
        <v>46133.18226</v>
      </c>
      <c r="B611" s="3" t="str">
        <f>IFERROR(__xludf.DUMMYFUNCTION("""COMPUTED_VALUE"""),"ROSRO0030")</f>
        <v>ROSRO0030</v>
      </c>
      <c r="C611" s="3" t="str">
        <f>IFERROR(__xludf.DUMMYFUNCTION("""COMPUTED_VALUE"""),"Consumable")</f>
        <v>Consumable</v>
      </c>
      <c r="D611" s="3" t="str">
        <f>IFERROR(__xludf.DUMMYFUNCTION("""COMPUTED_VALUE"""),"-")</f>
        <v>-</v>
      </c>
      <c r="E611" s="3" t="str">
        <f>IFERROR(__xludf.DUMMYFUNCTION("""COMPUTED_VALUE"""),"Autoclave")</f>
        <v>Autoclave</v>
      </c>
      <c r="F611" s="3" t="str">
        <f>IFERROR(__xludf.DUMMYFUNCTION("""COMPUTED_VALUE"""),"Autoclave Fedegari FVA2/A1 NB2963AT - KIT Ricambi Valv. DN10 ON-OFF FEDEGARI ASIA PTE LTD P/N : KK000301 pc")</f>
        <v>Autoclave Fedegari FVA2/A1 NB2963AT - KIT Ricambi Valv. DN10 ON-OFF FEDEGARI ASIA PTE LTD P/N : KK000301 pc</v>
      </c>
      <c r="G611" s="3">
        <f>IFERROR(__xludf.DUMMYFUNCTION("""COMPUTED_VALUE"""),10.0)</f>
        <v>10</v>
      </c>
      <c r="H611" s="3" t="str">
        <f>IFERROR(__xludf.DUMMYFUNCTION("""COMPUTED_VALUE"""),"pcs")</f>
        <v>pcs</v>
      </c>
      <c r="I611" s="3" t="str">
        <f>IFERROR(__xludf.DUMMYFUNCTION("""COMPUTED_VALUE"""),"-")</f>
        <v>-</v>
      </c>
      <c r="J611" s="3" t="str">
        <f>IFERROR(__xludf.DUMMYFUNCTION("""COMPUTED_VALUE"""),"O-16731-00")</f>
        <v>O-16731-00</v>
      </c>
      <c r="K611" s="3" t="str">
        <f>IFERROR(__xludf.DUMMYFUNCTION("""COMPUTED_VALUE"""),"Approve")</f>
        <v>Approve</v>
      </c>
      <c r="L611" s="3" t="str">
        <f>IFERROR(__xludf.DUMMYFUNCTION("""COMPUTED_VALUE"""),"Normal")</f>
        <v>Normal</v>
      </c>
      <c r="M611" s="3" t="str">
        <f>IFERROR(__xludf.DUMMYFUNCTION("""COMPUTED_VALUE"""),"Non Urgent")</f>
        <v>Non Urgent</v>
      </c>
      <c r="N611" s="3">
        <f>IFERROR(__xludf.DUMMYFUNCTION("""COMPUTED_VALUE"""),46135.128349039354)</f>
        <v>46135.12835</v>
      </c>
    </row>
    <row r="612">
      <c r="A612" s="4">
        <f>IFERROR(__xludf.DUMMYFUNCTION("""COMPUTED_VALUE"""),46134.586524317136)</f>
        <v>46134.58652</v>
      </c>
      <c r="B612" s="3" t="str">
        <f>IFERROR(__xludf.DUMMYFUNCTION("""COMPUTED_VALUE"""),"RIARO0082")</f>
        <v>RIARO0082</v>
      </c>
      <c r="C612" s="3" t="str">
        <f>IFERROR(__xludf.DUMMYFUNCTION("""COMPUTED_VALUE"""),"EJO")</f>
        <v>EJO</v>
      </c>
      <c r="D612" s="3" t="str">
        <f>IFERROR(__xludf.DUMMYFUNCTION("""COMPUTED_VALUE"""),"-")</f>
        <v>-</v>
      </c>
      <c r="E612" s="3" t="str">
        <f>IFERROR(__xludf.DUMMYFUNCTION("""COMPUTED_VALUE"""),"AHU C12")</f>
        <v>AHU C12</v>
      </c>
      <c r="F612" s="3" t="str">
        <f>IFERROR(__xludf.DUMMYFUNCTION("""COMPUTED_VALUE"""),"General - Heater Ducting Dia. 11.2 x 300mm 220V 5000W; No Brand; -; 1 Pc")</f>
        <v>General - Heater Ducting Dia. 11.2 x 300mm 220V 5000W; No Brand; -; 1 Pc</v>
      </c>
      <c r="G612" s="3">
        <f>IFERROR(__xludf.DUMMYFUNCTION("""COMPUTED_VALUE"""),3.0)</f>
        <v>3</v>
      </c>
      <c r="H612" s="3" t="str">
        <f>IFERROR(__xludf.DUMMYFUNCTION("""COMPUTED_VALUE"""),"Pcs")</f>
        <v>Pcs</v>
      </c>
      <c r="I612" s="3" t="str">
        <f>IFERROR(__xludf.DUMMYFUNCTION("""COMPUTED_VALUE"""),"AHU C12")</f>
        <v>AHU C12</v>
      </c>
      <c r="J612" s="3" t="str">
        <f>IFERROR(__xludf.DUMMYFUNCTION("""COMPUTED_VALUE"""),"P-52590-00")</f>
        <v>P-52590-00</v>
      </c>
      <c r="K612" s="3" t="str">
        <f>IFERROR(__xludf.DUMMYFUNCTION("""COMPUTED_VALUE"""),"Approve")</f>
        <v>Approve</v>
      </c>
      <c r="L612" s="3" t="str">
        <f>IFERROR(__xludf.DUMMYFUNCTION("""COMPUTED_VALUE"""),"Normal")</f>
        <v>Normal</v>
      </c>
      <c r="M612" s="3" t="str">
        <f>IFERROR(__xludf.DUMMYFUNCTION("""COMPUTED_VALUE"""),"Non Urgent")</f>
        <v>Non Urgent</v>
      </c>
      <c r="N612" s="3">
        <f>IFERROR(__xludf.DUMMYFUNCTION("""COMPUTED_VALUE"""),46135.601071446756)</f>
        <v>46135.60107</v>
      </c>
    </row>
    <row r="613">
      <c r="A613" s="4">
        <f>IFERROR(__xludf.DUMMYFUNCTION("""COMPUTED_VALUE"""),46134.58727755787)</f>
        <v>46134.58728</v>
      </c>
      <c r="B613" s="3" t="str">
        <f>IFERROR(__xludf.DUMMYFUNCTION("""COMPUTED_VALUE"""),"RIARO0083")</f>
        <v>RIARO0083</v>
      </c>
      <c r="C613" s="3" t="str">
        <f>IFERROR(__xludf.DUMMYFUNCTION("""COMPUTED_VALUE"""),"EJO")</f>
        <v>EJO</v>
      </c>
      <c r="D613" s="3" t="str">
        <f>IFERROR(__xludf.DUMMYFUNCTION("""COMPUTED_VALUE"""),"-")</f>
        <v>-</v>
      </c>
      <c r="E613" s="3" t="str">
        <f>IFERROR(__xludf.DUMMYFUNCTION("""COMPUTED_VALUE"""),"All Area")</f>
        <v>All Area</v>
      </c>
      <c r="F613" s="3" t="str">
        <f>IFERROR(__xludf.DUMMYFUNCTION("""COMPUTED_VALUE"""),"General - Heat Sink untuk SSR; Fotex; -; 1 Pc")</f>
        <v>General - Heat Sink untuk SSR; Fotex; -; 1 Pc</v>
      </c>
      <c r="G613" s="3">
        <f>IFERROR(__xludf.DUMMYFUNCTION("""COMPUTED_VALUE"""),5.0)</f>
        <v>5</v>
      </c>
      <c r="H613" s="3" t="str">
        <f>IFERROR(__xludf.DUMMYFUNCTION("""COMPUTED_VALUE"""),"Pcs")</f>
        <v>Pcs</v>
      </c>
      <c r="I613" s="3" t="str">
        <f>IFERROR(__xludf.DUMMYFUNCTION("""COMPUTED_VALUE"""),"Untuk heatsink ssr")</f>
        <v>Untuk heatsink ssr</v>
      </c>
      <c r="J613" s="3" t="str">
        <f>IFERROR(__xludf.DUMMYFUNCTION("""COMPUTED_VALUE"""),"O-52878-00")</f>
        <v>O-52878-00</v>
      </c>
      <c r="K613" s="3" t="str">
        <f>IFERROR(__xludf.DUMMYFUNCTION("""COMPUTED_VALUE"""),"Approve")</f>
        <v>Approve</v>
      </c>
      <c r="L613" s="3" t="str">
        <f>IFERROR(__xludf.DUMMYFUNCTION("""COMPUTED_VALUE"""),"Normal")</f>
        <v>Normal</v>
      </c>
      <c r="M613" s="3" t="str">
        <f>IFERROR(__xludf.DUMMYFUNCTION("""COMPUTED_VALUE"""),"Non Urgent")</f>
        <v>Non Urgent</v>
      </c>
      <c r="N613" s="3">
        <f>IFERROR(__xludf.DUMMYFUNCTION("""COMPUTED_VALUE"""),46135.6012378125)</f>
        <v>46135.60124</v>
      </c>
    </row>
    <row r="614">
      <c r="A614" s="4">
        <f>IFERROR(__xludf.DUMMYFUNCTION("""COMPUTED_VALUE"""),46134.589205752316)</f>
        <v>46134.58921</v>
      </c>
      <c r="B614" s="3" t="str">
        <f>IFERROR(__xludf.DUMMYFUNCTION("""COMPUTED_VALUE"""),"RIARO0084")</f>
        <v>RIARO0084</v>
      </c>
      <c r="C614" s="3" t="str">
        <f>IFERROR(__xludf.DUMMYFUNCTION("""COMPUTED_VALUE"""),"EJO")</f>
        <v>EJO</v>
      </c>
      <c r="D614" s="3" t="str">
        <f>IFERROR(__xludf.DUMMYFUNCTION("""COMPUTED_VALUE"""),"-")</f>
        <v>-</v>
      </c>
      <c r="E614" s="3" t="str">
        <f>IFERROR(__xludf.DUMMYFUNCTION("""COMPUTED_VALUE"""),"AHU C12")</f>
        <v>AHU C12</v>
      </c>
      <c r="F614" s="3" t="str">
        <f>IFERROR(__xludf.DUMMYFUNCTION("""COMPUTED_VALUE"""),"General - Solid State Relay 3-32 VDC - 330 VAC 25 A; Fotek; SSR 3-32; 1 Pc")</f>
        <v>General - Solid State Relay 3-32 VDC - 330 VAC 25 A; Fotek; SSR 3-32; 1 Pc</v>
      </c>
      <c r="G614" s="3">
        <f>IFERROR(__xludf.DUMMYFUNCTION("""COMPUTED_VALUE"""),5.0)</f>
        <v>5</v>
      </c>
      <c r="H614" s="3" t="str">
        <f>IFERROR(__xludf.DUMMYFUNCTION("""COMPUTED_VALUE"""),"Pcs")</f>
        <v>Pcs</v>
      </c>
      <c r="I614" s="3" t="str">
        <f>IFERROR(__xludf.DUMMYFUNCTION("""COMPUTED_VALUE"""),"Untuk heater c12")</f>
        <v>Untuk heater c12</v>
      </c>
      <c r="J614" s="3" t="str">
        <f>IFERROR(__xludf.DUMMYFUNCTION("""COMPUTED_VALUE"""),"O-51967-00")</f>
        <v>O-51967-00</v>
      </c>
      <c r="K614" s="3" t="str">
        <f>IFERROR(__xludf.DUMMYFUNCTION("""COMPUTED_VALUE"""),"Approve")</f>
        <v>Approve</v>
      </c>
      <c r="L614" s="3" t="str">
        <f>IFERROR(__xludf.DUMMYFUNCTION("""COMPUTED_VALUE"""),"Normal")</f>
        <v>Normal</v>
      </c>
      <c r="M614" s="3" t="str">
        <f>IFERROR(__xludf.DUMMYFUNCTION("""COMPUTED_VALUE"""),"Non Urgent")</f>
        <v>Non Urgent</v>
      </c>
      <c r="N614" s="3">
        <f>IFERROR(__xludf.DUMMYFUNCTION("""COMPUTED_VALUE"""),46135.6013800463)</f>
        <v>46135.60138</v>
      </c>
    </row>
    <row r="615">
      <c r="A615" s="4">
        <f>IFERROR(__xludf.DUMMYFUNCTION("""COMPUTED_VALUE"""),46134.58922396991)</f>
        <v>46134.58922</v>
      </c>
      <c r="B615" s="3" t="str">
        <f>IFERROR(__xludf.DUMMYFUNCTION("""COMPUTED_VALUE"""),"RIARO0085")</f>
        <v>RIARO0085</v>
      </c>
      <c r="C615" s="3" t="str">
        <f>IFERROR(__xludf.DUMMYFUNCTION("""COMPUTED_VALUE"""),"EJO")</f>
        <v>EJO</v>
      </c>
      <c r="D615" s="3" t="str">
        <f>IFERROR(__xludf.DUMMYFUNCTION("""COMPUTED_VALUE"""),"-")</f>
        <v>-</v>
      </c>
      <c r="E615" s="3" t="str">
        <f>IFERROR(__xludf.DUMMYFUNCTION("""COMPUTED_VALUE"""),"AHU C12")</f>
        <v>AHU C12</v>
      </c>
      <c r="F615" s="3" t="str">
        <f>IFERROR(__xludf.DUMMYFUNCTION("""COMPUTED_VALUE"""),"General - Solid State Relay (SSR) 3-32VDC 24-330VAC 40A; No Brand; -; 1 Pc")</f>
        <v>General - Solid State Relay (SSR) 3-32VDC 24-330VAC 40A; No Brand; -; 1 Pc</v>
      </c>
      <c r="G615" s="3">
        <f>IFERROR(__xludf.DUMMYFUNCTION("""COMPUTED_VALUE"""),5.0)</f>
        <v>5</v>
      </c>
      <c r="H615" s="3" t="str">
        <f>IFERROR(__xludf.DUMMYFUNCTION("""COMPUTED_VALUE"""),"Pcs")</f>
        <v>Pcs</v>
      </c>
      <c r="I615" s="3" t="str">
        <f>IFERROR(__xludf.DUMMYFUNCTION("""COMPUTED_VALUE"""),"Untuk heater c12")</f>
        <v>Untuk heater c12</v>
      </c>
      <c r="J615" s="3" t="str">
        <f>IFERROR(__xludf.DUMMYFUNCTION("""COMPUTED_VALUE"""),"P-52663-00")</f>
        <v>P-52663-00</v>
      </c>
      <c r="K615" s="3" t="str">
        <f>IFERROR(__xludf.DUMMYFUNCTION("""COMPUTED_VALUE"""),"Approve")</f>
        <v>Approve</v>
      </c>
      <c r="L615" s="3" t="str">
        <f>IFERROR(__xludf.DUMMYFUNCTION("""COMPUTED_VALUE"""),"Normal")</f>
        <v>Normal</v>
      </c>
      <c r="M615" s="3" t="str">
        <f>IFERROR(__xludf.DUMMYFUNCTION("""COMPUTED_VALUE"""),"Non Urgent")</f>
        <v>Non Urgent</v>
      </c>
      <c r="N615" s="3">
        <f>IFERROR(__xludf.DUMMYFUNCTION("""COMPUTED_VALUE"""),46135.601522592595)</f>
        <v>46135.60152</v>
      </c>
    </row>
    <row r="616">
      <c r="A616" s="4">
        <f>IFERROR(__xludf.DUMMYFUNCTION("""COMPUTED_VALUE"""),46134.591565312505)</f>
        <v>46134.59157</v>
      </c>
      <c r="B616" s="3" t="str">
        <f>IFERROR(__xludf.DUMMYFUNCTION("""COMPUTED_VALUE"""),"RIARO0086")</f>
        <v>RIARO0086</v>
      </c>
      <c r="C616" s="3" t="str">
        <f>IFERROR(__xludf.DUMMYFUNCTION("""COMPUTED_VALUE"""),"EJO")</f>
        <v>EJO</v>
      </c>
      <c r="D616" s="3" t="str">
        <f>IFERROR(__xludf.DUMMYFUNCTION("""COMPUTED_VALUE"""),"-")</f>
        <v>-</v>
      </c>
      <c r="E616" s="3" t="str">
        <f>IFERROR(__xludf.DUMMYFUNCTION("""COMPUTED_VALUE"""),"Lampu Emergency Tangga")</f>
        <v>Lampu Emergency Tangga</v>
      </c>
      <c r="F616" s="3" t="str">
        <f>IFERROR(__xludf.DUMMYFUNCTION("""COMPUTED_VALUE"""),"General - Lampu Emergency TL LED 16W Waterproof IP65; Briliant; -; 1 pc")</f>
        <v>General - Lampu Emergency TL LED 16W Waterproof IP65; Briliant; -; 1 pc</v>
      </c>
      <c r="G616" s="3">
        <f>IFERROR(__xludf.DUMMYFUNCTION("""COMPUTED_VALUE"""),15.0)</f>
        <v>15</v>
      </c>
      <c r="H616" s="3" t="str">
        <f>IFERROR(__xludf.DUMMYFUNCTION("""COMPUTED_VALUE"""),"Pcs")</f>
        <v>Pcs</v>
      </c>
      <c r="I616" s="3" t="str">
        <f>IFERROR(__xludf.DUMMYFUNCTION("""COMPUTED_VALUE"""),"Untuk ganti semua tangga emergency di semua area")</f>
        <v>Untuk ganti semua tangga emergency di semua area</v>
      </c>
      <c r="J616" s="3" t="str">
        <f>IFERROR(__xludf.DUMMYFUNCTION("""COMPUTED_VALUE"""),"P-53293-00")</f>
        <v>P-53293-00</v>
      </c>
      <c r="K616" s="3" t="str">
        <f>IFERROR(__xludf.DUMMYFUNCTION("""COMPUTED_VALUE"""),"Approve")</f>
        <v>Approve</v>
      </c>
      <c r="L616" s="3" t="str">
        <f>IFERROR(__xludf.DUMMYFUNCTION("""COMPUTED_VALUE"""),"Normal")</f>
        <v>Normal</v>
      </c>
      <c r="M616" s="3" t="str">
        <f>IFERROR(__xludf.DUMMYFUNCTION("""COMPUTED_VALUE"""),"Non Urgent")</f>
        <v>Non Urgent</v>
      </c>
      <c r="N616" s="3">
        <f>IFERROR(__xludf.DUMMYFUNCTION("""COMPUTED_VALUE"""),46135.601741782404)</f>
        <v>46135.60174</v>
      </c>
    </row>
    <row r="617">
      <c r="A617" s="4">
        <f>IFERROR(__xludf.DUMMYFUNCTION("""COMPUTED_VALUE"""),46134.596282025464)</f>
        <v>46134.59628</v>
      </c>
      <c r="B617" s="3" t="str">
        <f>IFERROR(__xludf.DUMMYFUNCTION("""COMPUTED_VALUE"""),"RIARO0088")</f>
        <v>RIARO0088</v>
      </c>
      <c r="C617" s="3" t="str">
        <f>IFERROR(__xludf.DUMMYFUNCTION("""COMPUTED_VALUE"""),"EJO")</f>
        <v>EJO</v>
      </c>
      <c r="D617" s="3" t="str">
        <f>IFERROR(__xludf.DUMMYFUNCTION("""COMPUTED_VALUE"""),"-")</f>
        <v>-</v>
      </c>
      <c r="E617" s="3" t="str">
        <f>IFERROR(__xludf.DUMMYFUNCTION("""COMPUTED_VALUE"""),"PW SKID")</f>
        <v>PW SKID</v>
      </c>
      <c r="F617" s="3" t="str">
        <f>IFERROR(__xludf.DUMMYFUNCTION("""COMPUTED_VALUE"""),"General - Sanitary Diaphragma Pressure Gauge Membrane Conn. Ferrule 1.5 inch Center Back SS 316 0 s/d 10 bar; SPV; -; 1 Pc")</f>
        <v>General - Sanitary Diaphragma Pressure Gauge Membrane Conn. Ferrule 1.5 inch Center Back SS 316 0 s/d 10 bar; SPV; -; 1 Pc</v>
      </c>
      <c r="G617" s="3">
        <f>IFERROR(__xludf.DUMMYFUNCTION("""COMPUTED_VALUE"""),2.0)</f>
        <v>2</v>
      </c>
      <c r="H617" s="3" t="str">
        <f>IFERROR(__xludf.DUMMYFUNCTION("""COMPUTED_VALUE"""),"Pcs")</f>
        <v>Pcs</v>
      </c>
      <c r="I617" s="3" t="str">
        <f>IFERROR(__xludf.DUMMYFUNCTION("""COMPUTED_VALUE"""),"Untuk PG Tangki PW SKID")</f>
        <v>Untuk PG Tangki PW SKID</v>
      </c>
      <c r="J617" s="3" t="str">
        <f>IFERROR(__xludf.DUMMYFUNCTION("""COMPUTED_VALUE"""),"P-18140-00")</f>
        <v>P-18140-00</v>
      </c>
      <c r="K617" s="3" t="str">
        <f>IFERROR(__xludf.DUMMYFUNCTION("""COMPUTED_VALUE"""),"Approve")</f>
        <v>Approve</v>
      </c>
      <c r="L617" s="3" t="str">
        <f>IFERROR(__xludf.DUMMYFUNCTION("""COMPUTED_VALUE"""),"Normal")</f>
        <v>Normal</v>
      </c>
      <c r="M617" s="3" t="str">
        <f>IFERROR(__xludf.DUMMYFUNCTION("""COMPUTED_VALUE"""),"Non Urgent")</f>
        <v>Non Urgent</v>
      </c>
      <c r="N617" s="3">
        <f>IFERROR(__xludf.DUMMYFUNCTION("""COMPUTED_VALUE"""),46146.479155023146)</f>
        <v>46146.47916</v>
      </c>
    </row>
    <row r="618">
      <c r="A618" s="4">
        <f>IFERROR(__xludf.DUMMYFUNCTION("""COMPUTED_VALUE"""),46134.64896170139)</f>
        <v>46134.64896</v>
      </c>
      <c r="B618" s="3" t="str">
        <f>IFERROR(__xludf.DUMMYFUNCTION("""COMPUTED_VALUE"""),"RIARO0089")</f>
        <v>RIARO0089</v>
      </c>
      <c r="C618" s="3" t="str">
        <f>IFERROR(__xludf.DUMMYFUNCTION("""COMPUTED_VALUE"""),"EJO")</f>
        <v>EJO</v>
      </c>
      <c r="D618" s="3" t="str">
        <f>IFERROR(__xludf.DUMMYFUNCTION("""COMPUTED_VALUE"""),"-")</f>
        <v>-</v>
      </c>
      <c r="E618" s="3" t="str">
        <f>IFERROR(__xludf.DUMMYFUNCTION("""COMPUTED_VALUE"""),"WWTP")</f>
        <v>WWTP</v>
      </c>
      <c r="F618" s="3" t="str">
        <f>IFERROR(__xludf.DUMMYFUNCTION("""COMPUTED_VALUE"""),"General - Vertical Float Level Switch; Wingel; VSS-2FJ-S4-L720-FS45-HT; 1 Pc")</f>
        <v>General - Vertical Float Level Switch; Wingel; VSS-2FJ-S4-L720-FS45-HT; 1 Pc</v>
      </c>
      <c r="G618" s="3">
        <f>IFERROR(__xludf.DUMMYFUNCTION("""COMPUTED_VALUE"""),2.0)</f>
        <v>2</v>
      </c>
      <c r="H618" s="3" t="str">
        <f>IFERROR(__xludf.DUMMYFUNCTION("""COMPUTED_VALUE"""),"Pcs")</f>
        <v>Pcs</v>
      </c>
      <c r="I618" s="3" t="str">
        <f>IFERROR(__xludf.DUMMYFUNCTION("""COMPUTED_VALUE"""),"Level Sensor Buat Kondensat")</f>
        <v>Level Sensor Buat Kondensat</v>
      </c>
      <c r="J618" s="3" t="str">
        <f>IFERROR(__xludf.DUMMYFUNCTION("""COMPUTED_VALUE"""),"P-54218-00")</f>
        <v>P-54218-00</v>
      </c>
      <c r="K618" s="3" t="str">
        <f>IFERROR(__xludf.DUMMYFUNCTION("""COMPUTED_VALUE"""),"Approve")</f>
        <v>Approve</v>
      </c>
      <c r="L618" s="3" t="str">
        <f>IFERROR(__xludf.DUMMYFUNCTION("""COMPUTED_VALUE"""),"Normal")</f>
        <v>Normal</v>
      </c>
      <c r="M618" s="3" t="str">
        <f>IFERROR(__xludf.DUMMYFUNCTION("""COMPUTED_VALUE"""),"Non Urgent")</f>
        <v>Non Urgent</v>
      </c>
      <c r="N618" s="3">
        <f>IFERROR(__xludf.DUMMYFUNCTION("""COMPUTED_VALUE"""),46135.60274200232)</f>
        <v>46135.60274</v>
      </c>
    </row>
    <row r="619">
      <c r="A619" s="4">
        <f>IFERROR(__xludf.DUMMYFUNCTION("""COMPUTED_VALUE"""),46138.87230109954)</f>
        <v>46138.8723</v>
      </c>
      <c r="B619" s="3" t="str">
        <f>IFERROR(__xludf.DUMMYFUNCTION("""COMPUTED_VALUE"""),"SFHRO0045")</f>
        <v>SFHRO0045</v>
      </c>
      <c r="C619" s="3" t="str">
        <f>IFERROR(__xludf.DUMMYFUNCTION("""COMPUTED_VALUE"""),"EJO")</f>
        <v>EJO</v>
      </c>
      <c r="D619" s="3" t="str">
        <f>IFERROR(__xludf.DUMMYFUNCTION("""COMPUTED_VALUE"""),"EJO/2026/04/046")</f>
        <v>EJO/2026/04/046</v>
      </c>
      <c r="E619" s="3" t="str">
        <f>IFERROR(__xludf.DUMMYFUNCTION("""COMPUTED_VALUE"""),"Lantai 1")</f>
        <v>Lantai 1</v>
      </c>
      <c r="F619" s="3" t="str">
        <f>IFERROR(__xludf.DUMMYFUNCTION("""COMPUTED_VALUE"""),"Hardener / Obat dempul sanpolac; ; ; pack size per tube")</f>
        <v>Hardener / Obat dempul sanpolac; ; ; pack size per tube</v>
      </c>
      <c r="G619" s="3">
        <f>IFERROR(__xludf.DUMMYFUNCTION("""COMPUTED_VALUE"""),5.0)</f>
        <v>5</v>
      </c>
      <c r="H619" s="3" t="str">
        <f>IFERROR(__xludf.DUMMYFUNCTION("""COMPUTED_VALUE"""),"pcs")</f>
        <v>pcs</v>
      </c>
      <c r="I619" s="3" t="str">
        <f>IFERROR(__xludf.DUMMYFUNCTION("""COMPUTED_VALUE"""),"stock habis")</f>
        <v>stock habis</v>
      </c>
      <c r="J619" s="3" t="str">
        <f>IFERROR(__xludf.DUMMYFUNCTION("""COMPUTED_VALUE"""),"Q-60107-00")</f>
        <v>Q-60107-00</v>
      </c>
      <c r="K619" s="3" t="str">
        <f>IFERROR(__xludf.DUMMYFUNCTION("""COMPUTED_VALUE"""),"Approve")</f>
        <v>Approve</v>
      </c>
      <c r="L619" s="3" t="str">
        <f>IFERROR(__xludf.DUMMYFUNCTION("""COMPUTED_VALUE"""),"Normal")</f>
        <v>Normal</v>
      </c>
      <c r="M619" s="3" t="str">
        <f>IFERROR(__xludf.DUMMYFUNCTION("""COMPUTED_VALUE"""),"Non Urgent")</f>
        <v>Non Urgent</v>
      </c>
      <c r="N619" s="3">
        <f>IFERROR(__xludf.DUMMYFUNCTION("""COMPUTED_VALUE"""),46146.666825810185)</f>
        <v>46146.66683</v>
      </c>
    </row>
    <row r="620">
      <c r="A620" s="4">
        <f>IFERROR(__xludf.DUMMYFUNCTION("""COMPUTED_VALUE"""),46150.26054189815)</f>
        <v>46150.26054</v>
      </c>
      <c r="B620" s="3" t="str">
        <f>IFERROR(__xludf.DUMMYFUNCTION("""COMPUTED_VALUE"""),"ROSRO0031")</f>
        <v>ROSRO0031</v>
      </c>
      <c r="C620" s="3" t="str">
        <f>IFERROR(__xludf.DUMMYFUNCTION("""COMPUTED_VALUE"""),"MIn Stok")</f>
        <v>MIn Stok</v>
      </c>
      <c r="D620" s="3" t="str">
        <f>IFERROR(__xludf.DUMMYFUNCTION("""COMPUTED_VALUE"""),"-")</f>
        <v>-</v>
      </c>
      <c r="E620" s="3" t="str">
        <f>IFERROR(__xludf.DUMMYFUNCTION("""COMPUTED_VALUE"""),"Autoclave")</f>
        <v>Autoclave</v>
      </c>
      <c r="F620" s="3" t="str">
        <f>IFERROR(__xludf.DUMMYFUNCTION("""COMPUTED_VALUE"""),"Autoclave Fedegari FVA2/A1 NB2963AT - Level Transmitter code 15218 2m p/n: CD050024; ; ;")</f>
        <v>Autoclave Fedegari FVA2/A1 NB2963AT - Level Transmitter code 15218 2m p/n: CD050024; ; ;</v>
      </c>
      <c r="G620" s="3">
        <f>IFERROR(__xludf.DUMMYFUNCTION("""COMPUTED_VALUE"""),4.0)</f>
        <v>4</v>
      </c>
      <c r="H620" s="3" t="str">
        <f>IFERROR(__xludf.DUMMYFUNCTION("""COMPUTED_VALUE"""),"pcs")</f>
        <v>pcs</v>
      </c>
      <c r="I620" s="3" t="str">
        <f>IFERROR(__xludf.DUMMYFUNCTION("""COMPUTED_VALUE"""),"-")</f>
        <v>-</v>
      </c>
      <c r="J620" s="3" t="str">
        <f>IFERROR(__xludf.DUMMYFUNCTION("""COMPUTED_VALUE"""),"O-52210-00")</f>
        <v>O-52210-00</v>
      </c>
      <c r="K620" s="3" t="str">
        <f>IFERROR(__xludf.DUMMYFUNCTION("""COMPUTED_VALUE"""),"Approve")</f>
        <v>Approve</v>
      </c>
      <c r="L620" s="3" t="str">
        <f>IFERROR(__xludf.DUMMYFUNCTION("""COMPUTED_VALUE"""),"Normal")</f>
        <v>Normal</v>
      </c>
      <c r="M620" s="3" t="str">
        <f>IFERROR(__xludf.DUMMYFUNCTION("""COMPUTED_VALUE"""),"Non Urgent")</f>
        <v>Non Urgent</v>
      </c>
      <c r="N620" s="3">
        <f>IFERROR(__xludf.DUMMYFUNCTION("""COMPUTED_VALUE"""),46268.46545957176)</f>
        <v>46268.46546</v>
      </c>
    </row>
    <row r="621">
      <c r="A621" s="4">
        <f>IFERROR(__xludf.DUMMYFUNCTION("""COMPUTED_VALUE"""),46150.67701347222)</f>
        <v>46150.67701</v>
      </c>
      <c r="B621" s="3" t="str">
        <f>IFERROR(__xludf.DUMMYFUNCTION("""COMPUTED_VALUE"""),"MOBRO0083")</f>
        <v>MOBRO0083</v>
      </c>
      <c r="C621" s="3" t="str">
        <f>IFERROR(__xludf.DUMMYFUNCTION("""COMPUTED_VALUE"""),"Consumable")</f>
        <v>Consumable</v>
      </c>
      <c r="D621" s="3" t="str">
        <f>IFERROR(__xludf.DUMMYFUNCTION("""COMPUTED_VALUE"""),"-")</f>
        <v>-</v>
      </c>
      <c r="E621" s="3" t="str">
        <f>IFERROR(__xludf.DUMMYFUNCTION("""COMPUTED_VALUE"""),"Drawing Yoga")</f>
        <v>Drawing Yoga</v>
      </c>
      <c r="F621" s="3" t="str">
        <f>IFERROR(__xludf.DUMMYFUNCTION("""COMPUTED_VALUE"""),"Mouse; Logitech; M331 Silent Plus")</f>
        <v>Mouse; Logitech; M331 Silent Plus</v>
      </c>
      <c r="G621" s="3">
        <f>IFERROR(__xludf.DUMMYFUNCTION("""COMPUTED_VALUE"""),2.0)</f>
        <v>2</v>
      </c>
      <c r="H621" s="3" t="str">
        <f>IFERROR(__xludf.DUMMYFUNCTION("""COMPUTED_VALUE"""),"Pcs")</f>
        <v>Pcs</v>
      </c>
      <c r="I621" s="3" t="str">
        <f>IFERROR(__xludf.DUMMYFUNCTION("""COMPUTED_VALUE"""),"Untuk keperluan drawing laptop yoga")</f>
        <v>Untuk keperluan drawing laptop yoga</v>
      </c>
      <c r="J621" s="3" t="str">
        <f>IFERROR(__xludf.DUMMYFUNCTION("""COMPUTED_VALUE"""),"T-10005-00")</f>
        <v>T-10005-00</v>
      </c>
      <c r="K621" s="3" t="str">
        <f>IFERROR(__xludf.DUMMYFUNCTION("""COMPUTED_VALUE"""),"Approve")</f>
        <v>Approve</v>
      </c>
      <c r="L621" s="3" t="str">
        <f>IFERROR(__xludf.DUMMYFUNCTION("""COMPUTED_VALUE"""),"Normal")</f>
        <v>Normal</v>
      </c>
      <c r="M621" s="3" t="str">
        <f>IFERROR(__xludf.DUMMYFUNCTION("""COMPUTED_VALUE"""),"Non Urgent")</f>
        <v>Non Urgent</v>
      </c>
      <c r="N621" s="3">
        <f>IFERROR(__xludf.DUMMYFUNCTION("""COMPUTED_VALUE"""),46198.73223620371)</f>
        <v>46198.73224</v>
      </c>
    </row>
    <row r="622">
      <c r="A622" s="4">
        <f>IFERROR(__xludf.DUMMYFUNCTION("""COMPUTED_VALUE"""),46150.939021886574)</f>
        <v>46150.93902</v>
      </c>
      <c r="B622" s="3" t="str">
        <f>IFERROR(__xludf.DUMMYFUNCTION("""COMPUTED_VALUE"""),"SFHRO0046")</f>
        <v>SFHRO0046</v>
      </c>
      <c r="C622" s="3" t="str">
        <f>IFERROR(__xludf.DUMMYFUNCTION("""COMPUTED_VALUE"""),"Consumable")</f>
        <v>Consumable</v>
      </c>
      <c r="D622" s="3" t="str">
        <f>IFERROR(__xludf.DUMMYFUNCTION("""COMPUTED_VALUE"""),"-")</f>
        <v>-</v>
      </c>
      <c r="E622" s="3" t="str">
        <f>IFERROR(__xludf.DUMMYFUNCTION("""COMPUTED_VALUE"""),"lantai 3")</f>
        <v>lantai 3</v>
      </c>
      <c r="F622" s="3" t="str">
        <f>IFERROR(__xludf.DUMMYFUNCTION("""COMPUTED_VALUE"""),"Keramik Granito Warna Crystal White Sand 60x60; Granito; ;")</f>
        <v>Keramik Granito Warna Crystal White Sand 60x60; Granito; ;</v>
      </c>
      <c r="G622" s="3">
        <f>IFERROR(__xludf.DUMMYFUNCTION("""COMPUTED_VALUE"""),4.0)</f>
        <v>4</v>
      </c>
      <c r="H622" s="3" t="str">
        <f>IFERROR(__xludf.DUMMYFUNCTION("""COMPUTED_VALUE"""),"dus")</f>
        <v>dus</v>
      </c>
      <c r="I622" s="3" t="str">
        <f>IFERROR(__xludf.DUMMYFUNCTION("""COMPUTED_VALUE"""),"-")</f>
        <v>-</v>
      </c>
      <c r="J622" s="3" t="str">
        <f>IFERROR(__xludf.DUMMYFUNCTION("""COMPUTED_VALUE"""),"Q-10985-00")</f>
        <v>Q-10985-00</v>
      </c>
      <c r="K622" s="3" t="str">
        <f>IFERROR(__xludf.DUMMYFUNCTION("""COMPUTED_VALUE"""),"Approve")</f>
        <v>Approve</v>
      </c>
      <c r="L622" s="3" t="str">
        <f>IFERROR(__xludf.DUMMYFUNCTION("""COMPUTED_VALUE"""),"Normal")</f>
        <v>Normal</v>
      </c>
      <c r="M622" s="3" t="str">
        <f>IFERROR(__xludf.DUMMYFUNCTION("""COMPUTED_VALUE"""),"Non Urgent")</f>
        <v>Non Urgent</v>
      </c>
      <c r="N622" s="3">
        <f>IFERROR(__xludf.DUMMYFUNCTION("""COMPUTED_VALUE"""),46153.64091362269)</f>
        <v>46153.64091</v>
      </c>
    </row>
    <row r="623">
      <c r="A623" s="4">
        <f>IFERROR(__xludf.DUMMYFUNCTION("""COMPUTED_VALUE"""),46154.50197199074)</f>
        <v>46154.50197</v>
      </c>
      <c r="B623" s="3" t="str">
        <f>IFERROR(__xludf.DUMMYFUNCTION("""COMPUTED_VALUE"""),"MRNRO0049")</f>
        <v>MRNRO0049</v>
      </c>
      <c r="C623" s="3" t="str">
        <f>IFERROR(__xludf.DUMMYFUNCTION("""COMPUTED_VALUE"""),"MIn Stok")</f>
        <v>MIn Stok</v>
      </c>
      <c r="D623" s="3" t="str">
        <f>IFERROR(__xludf.DUMMYFUNCTION("""COMPUTED_VALUE"""),"-")</f>
        <v>-</v>
      </c>
      <c r="E623" s="3" t="str">
        <f>IFERROR(__xludf.DUMMYFUNCTION("""COMPUTED_VALUE"""),"-")</f>
        <v>-</v>
      </c>
      <c r="F623" s="3" t="str">
        <f>IFERROR(__xludf.DUMMYFUNCTION("""COMPUTED_VALUE"""),"General - UV Lamp SD55-320W; Hanovia; 130071-0320-C; 1 pc")</f>
        <v>General - UV Lamp SD55-320W; Hanovia; 130071-0320-C; 1 pc</v>
      </c>
      <c r="G623" s="3">
        <f>IFERROR(__xludf.DUMMYFUNCTION("""COMPUTED_VALUE"""),2.0)</f>
        <v>2</v>
      </c>
      <c r="H623" s="3" t="str">
        <f>IFERROR(__xludf.DUMMYFUNCTION("""COMPUTED_VALUE"""),"pcs")</f>
        <v>pcs</v>
      </c>
      <c r="I623" s="3" t="str">
        <f>IFERROR(__xludf.DUMMYFUNCTION("""COMPUTED_VALUE"""),"pww skid")</f>
        <v>pww skid</v>
      </c>
      <c r="J623" s="3" t="str">
        <f>IFERROR(__xludf.DUMMYFUNCTION("""COMPUTED_VALUE"""),"P-14244-00")</f>
        <v>P-14244-00</v>
      </c>
      <c r="K623" s="3" t="str">
        <f>IFERROR(__xludf.DUMMYFUNCTION("""COMPUTED_VALUE"""),"Approve")</f>
        <v>Approve</v>
      </c>
      <c r="L623" s="3" t="str">
        <f>IFERROR(__xludf.DUMMYFUNCTION("""COMPUTED_VALUE"""),"Normal")</f>
        <v>Normal</v>
      </c>
      <c r="M623" s="3" t="str">
        <f>IFERROR(__xludf.DUMMYFUNCTION("""COMPUTED_VALUE"""),"Non Urgent")</f>
        <v>Non Urgent</v>
      </c>
      <c r="N623" s="3">
        <f>IFERROR(__xludf.DUMMYFUNCTION("""COMPUTED_VALUE"""),46198.719002743055)</f>
        <v>46198.719</v>
      </c>
    </row>
    <row r="624">
      <c r="A624" s="4">
        <f>IFERROR(__xludf.DUMMYFUNCTION("""COMPUTED_VALUE"""),46155.49358927083)</f>
        <v>46155.49359</v>
      </c>
      <c r="B624" s="3" t="str">
        <f>IFERROR(__xludf.DUMMYFUNCTION("""COMPUTED_VALUE"""),"ERARO0001")</f>
        <v>ERARO0001</v>
      </c>
      <c r="C624" s="3" t="str">
        <f>IFERROR(__xludf.DUMMYFUNCTION("""COMPUTED_VALUE"""),"EJO")</f>
        <v>EJO</v>
      </c>
      <c r="D624" s="3" t="str">
        <f>IFERROR(__xludf.DUMMYFUNCTION("""COMPUTED_VALUE"""),"EJO/2026/05/015")</f>
        <v>EJO/2026/05/015</v>
      </c>
      <c r="E624" s="3" t="str">
        <f>IFERROR(__xludf.DUMMYFUNCTION("""COMPUTED_VALUE"""),"Pack Hall")</f>
        <v>Pack Hall</v>
      </c>
      <c r="F624" s="3" t="str">
        <f>IFERROR(__xludf.DUMMYFUNCTION("""COMPUTED_VALUE"""),"General - Lampu TL LED Bright Boost 18 W; Philips; -; 1 unt")</f>
        <v>General - Lampu TL LED Bright Boost 18 W; Philips; -; 1 unt</v>
      </c>
      <c r="G624" s="3">
        <f>IFERROR(__xludf.DUMMYFUNCTION("""COMPUTED_VALUE"""),5.0)</f>
        <v>5</v>
      </c>
      <c r="H624" s="3" t="str">
        <f>IFERROR(__xludf.DUMMYFUNCTION("""COMPUTED_VALUE"""),"pcs")</f>
        <v>pcs</v>
      </c>
      <c r="I624" s="3" t="str">
        <f>IFERROR(__xludf.DUMMYFUNCTION("""COMPUTED_VALUE"""),"ganti lampu table inspection")</f>
        <v>ganti lampu table inspection</v>
      </c>
      <c r="J624" s="3" t="str">
        <f>IFERROR(__xludf.DUMMYFUNCTION("""COMPUTED_VALUE"""),"P-51894-00")</f>
        <v>P-51894-00</v>
      </c>
      <c r="K624" s="3" t="str">
        <f>IFERROR(__xludf.DUMMYFUNCTION("""COMPUTED_VALUE"""),"Approve")</f>
        <v>Approve</v>
      </c>
      <c r="L624" s="3" t="str">
        <f>IFERROR(__xludf.DUMMYFUNCTION("""COMPUTED_VALUE"""),"Normal")</f>
        <v>Normal</v>
      </c>
      <c r="M624" s="3" t="str">
        <f>IFERROR(__xludf.DUMMYFUNCTION("""COMPUTED_VALUE"""),"Non Urgent")</f>
        <v>Non Urgent</v>
      </c>
      <c r="N624" s="3">
        <f>IFERROR(__xludf.DUMMYFUNCTION("""COMPUTED_VALUE"""),46254.84433478009)</f>
        <v>46254.84433</v>
      </c>
    </row>
    <row r="625">
      <c r="A625" s="4">
        <f>IFERROR(__xludf.DUMMYFUNCTION("""COMPUTED_VALUE"""),46155.4961666088)</f>
        <v>46155.49617</v>
      </c>
      <c r="B625" s="3" t="str">
        <f>IFERROR(__xludf.DUMMYFUNCTION("""COMPUTED_VALUE"""),"ERARO0002")</f>
        <v>ERARO0002</v>
      </c>
      <c r="C625" s="3" t="str">
        <f>IFERROR(__xludf.DUMMYFUNCTION("""COMPUTED_VALUE"""),"EJO")</f>
        <v>EJO</v>
      </c>
      <c r="D625" s="3" t="str">
        <f>IFERROR(__xludf.DUMMYFUNCTION("""COMPUTED_VALUE"""),"EJO/2026/05/015")</f>
        <v>EJO/2026/05/015</v>
      </c>
      <c r="E625" s="3" t="str">
        <f>IFERROR(__xludf.DUMMYFUNCTION("""COMPUTED_VALUE"""),"Pack Hall")</f>
        <v>Pack Hall</v>
      </c>
      <c r="F625" s="3" t="str">
        <f>IFERROR(__xludf.DUMMYFUNCTION("""COMPUTED_VALUE"""),"General - Lampu TL5 14 W G5; Philips; -; 1 unt")</f>
        <v>General - Lampu TL5 14 W G5; Philips; -; 1 unt</v>
      </c>
      <c r="G625" s="3">
        <f>IFERROR(__xludf.DUMMYFUNCTION("""COMPUTED_VALUE"""),5.0)</f>
        <v>5</v>
      </c>
      <c r="H625" s="3" t="str">
        <f>IFERROR(__xludf.DUMMYFUNCTION("""COMPUTED_VALUE"""),"pcs")</f>
        <v>pcs</v>
      </c>
      <c r="I625" s="3" t="str">
        <f>IFERROR(__xludf.DUMMYFUNCTION("""COMPUTED_VALUE"""),"ganti lampu table inspection")</f>
        <v>ganti lampu table inspection</v>
      </c>
      <c r="J625" s="3" t="str">
        <f>IFERROR(__xludf.DUMMYFUNCTION("""COMPUTED_VALUE"""),"P-51929-00")</f>
        <v>P-51929-00</v>
      </c>
      <c r="K625" s="3" t="str">
        <f>IFERROR(__xludf.DUMMYFUNCTION("""COMPUTED_VALUE"""),"Approve")</f>
        <v>Approve</v>
      </c>
      <c r="L625" s="3" t="str">
        <f>IFERROR(__xludf.DUMMYFUNCTION("""COMPUTED_VALUE"""),"Normal")</f>
        <v>Normal</v>
      </c>
      <c r="M625" s="3" t="str">
        <f>IFERROR(__xludf.DUMMYFUNCTION("""COMPUTED_VALUE"""),"Non Urgent")</f>
        <v>Non Urgent</v>
      </c>
      <c r="N625" s="3">
        <f>IFERROR(__xludf.DUMMYFUNCTION("""COMPUTED_VALUE"""),46254.84461483796)</f>
        <v>46254.84461</v>
      </c>
    </row>
    <row r="626">
      <c r="A626" s="4">
        <f>IFERROR(__xludf.DUMMYFUNCTION("""COMPUTED_VALUE"""),46156.37053158565)</f>
        <v>46156.37053</v>
      </c>
      <c r="B626" s="3" t="str">
        <f>IFERROR(__xludf.DUMMYFUNCTION("""COMPUTED_VALUE"""),"RIARO0090")</f>
        <v>RIARO0090</v>
      </c>
      <c r="C626" s="3" t="str">
        <f>IFERROR(__xludf.DUMMYFUNCTION("""COMPUTED_VALUE"""),"EJO")</f>
        <v>EJO</v>
      </c>
      <c r="D626" s="3" t="str">
        <f>IFERROR(__xludf.DUMMYFUNCTION("""COMPUTED_VALUE"""),"-")</f>
        <v>-</v>
      </c>
      <c r="E626" s="3" t="str">
        <f>IFERROR(__xludf.DUMMYFUNCTION("""COMPUTED_VALUE"""),"All Area")</f>
        <v>All Area</v>
      </c>
      <c r="F626" s="3" t="str">
        <f>IFERROR(__xludf.DUMMYFUNCTION("""COMPUTED_VALUE"""),"General - Kabel NYAF Uk. 1 x 0.75mm, Warna Merah; Supreme; -; 100meter/roll")</f>
        <v>General - Kabel NYAF Uk. 1 x 0.75mm, Warna Merah; Supreme; -; 100meter/roll</v>
      </c>
      <c r="G626" s="3">
        <f>IFERROR(__xludf.DUMMYFUNCTION("""COMPUTED_VALUE"""),100.0)</f>
        <v>100</v>
      </c>
      <c r="H626" s="3" t="str">
        <f>IFERROR(__xludf.DUMMYFUNCTION("""COMPUTED_VALUE"""),"Mtr")</f>
        <v>Mtr</v>
      </c>
      <c r="I626" s="3" t="str">
        <f>IFERROR(__xludf.DUMMYFUNCTION("""COMPUTED_VALUE"""),"Buat Stok Kabel Krn Tunggal Habis")</f>
        <v>Buat Stok Kabel Krn Tunggal Habis</v>
      </c>
      <c r="J626" s="3" t="str">
        <f>IFERROR(__xludf.DUMMYFUNCTION("""COMPUTED_VALUE"""),"P-50274-00")</f>
        <v>P-50274-00</v>
      </c>
      <c r="K626" s="3" t="str">
        <f>IFERROR(__xludf.DUMMYFUNCTION("""COMPUTED_VALUE"""),"Approve")</f>
        <v>Approve</v>
      </c>
      <c r="L626" s="3" t="str">
        <f>IFERROR(__xludf.DUMMYFUNCTION("""COMPUTED_VALUE"""),"Normal")</f>
        <v>Normal</v>
      </c>
      <c r="M626" s="3" t="str">
        <f>IFERROR(__xludf.DUMMYFUNCTION("""COMPUTED_VALUE"""),"Non Urgent")</f>
        <v>Non Urgent</v>
      </c>
      <c r="N626" s="3">
        <f>IFERROR(__xludf.DUMMYFUNCTION("""COMPUTED_VALUE"""),46202.92496674768)</f>
        <v>46202.92497</v>
      </c>
    </row>
    <row r="627">
      <c r="A627" s="4">
        <f>IFERROR(__xludf.DUMMYFUNCTION("""COMPUTED_VALUE"""),46156.37143658564)</f>
        <v>46156.37144</v>
      </c>
      <c r="B627" s="3" t="str">
        <f>IFERROR(__xludf.DUMMYFUNCTION("""COMPUTED_VALUE"""),"RIARO0091")</f>
        <v>RIARO0091</v>
      </c>
      <c r="C627" s="3" t="str">
        <f>IFERROR(__xludf.DUMMYFUNCTION("""COMPUTED_VALUE"""),"EJO")</f>
        <v>EJO</v>
      </c>
      <c r="D627" s="3" t="str">
        <f>IFERROR(__xludf.DUMMYFUNCTION("""COMPUTED_VALUE"""),"-")</f>
        <v>-</v>
      </c>
      <c r="E627" s="3" t="str">
        <f>IFERROR(__xludf.DUMMYFUNCTION("""COMPUTED_VALUE"""),"All Area")</f>
        <v>All Area</v>
      </c>
      <c r="F627" s="3" t="str">
        <f>IFERROR(__xludf.DUMMYFUNCTION("""COMPUTED_VALUE"""),"General - Baut L, SS, M3 x 30 mm + Mur + Ring; No Brand; -; 1 pcs")</f>
        <v>General - Baut L, SS, M3 x 30 mm + Mur + Ring; No Brand; -; 1 pcs</v>
      </c>
      <c r="G627" s="3">
        <f>IFERROR(__xludf.DUMMYFUNCTION("""COMPUTED_VALUE"""),100.0)</f>
        <v>100</v>
      </c>
      <c r="H627" s="3" t="str">
        <f>IFERROR(__xludf.DUMMYFUNCTION("""COMPUTED_VALUE"""),"Pcs")</f>
        <v>Pcs</v>
      </c>
      <c r="I627" s="3" t="str">
        <f>IFERROR(__xludf.DUMMYFUNCTION("""COMPUTED_VALUE"""),"Udah mau habis buat ganti lampu")</f>
        <v>Udah mau habis buat ganti lampu</v>
      </c>
      <c r="J627" s="3" t="str">
        <f>IFERROR(__xludf.DUMMYFUNCTION("""COMPUTED_VALUE"""),"O-19427-00")</f>
        <v>O-19427-00</v>
      </c>
      <c r="K627" s="3" t="str">
        <f>IFERROR(__xludf.DUMMYFUNCTION("""COMPUTED_VALUE"""),"Approve")</f>
        <v>Approve</v>
      </c>
      <c r="L627" s="3" t="str">
        <f>IFERROR(__xludf.DUMMYFUNCTION("""COMPUTED_VALUE"""),"Normal")</f>
        <v>Normal</v>
      </c>
      <c r="M627" s="3" t="str">
        <f>IFERROR(__xludf.DUMMYFUNCTION("""COMPUTED_VALUE"""),"Non Urgent")</f>
        <v>Non Urgent</v>
      </c>
      <c r="N627" s="3">
        <f>IFERROR(__xludf.DUMMYFUNCTION("""COMPUTED_VALUE"""),46202.925096377316)</f>
        <v>46202.9251</v>
      </c>
    </row>
    <row r="628">
      <c r="A628" s="4">
        <f>IFERROR(__xludf.DUMMYFUNCTION("""COMPUTED_VALUE"""),46179.56507519676)</f>
        <v>46179.56508</v>
      </c>
      <c r="B628" s="3" t="str">
        <f>IFERROR(__xludf.DUMMYFUNCTION("""COMPUTED_VALUE"""),"MRNRO0050")</f>
        <v>MRNRO0050</v>
      </c>
      <c r="C628" s="3" t="str">
        <f>IFERROR(__xludf.DUMMYFUNCTION("""COMPUTED_VALUE"""),"EJO")</f>
        <v>EJO</v>
      </c>
      <c r="D628" s="3" t="str">
        <f>IFERROR(__xludf.DUMMYFUNCTION("""COMPUTED_VALUE"""),"EJO/2026/04/096")</f>
        <v>EJO/2026/04/096</v>
      </c>
      <c r="E628" s="3" t="str">
        <f>IFERROR(__xludf.DUMMYFUNCTION("""COMPUTED_VALUE"""),"ahu c1-1")</f>
        <v>ahu c1-1</v>
      </c>
      <c r="F628" s="3" t="str">
        <f>IFERROR(__xludf.DUMMYFUNCTION("""COMPUTED_VALUE"""),"INVERTER,DANFOSS, VLT2980PT4B20STR0DBFOOA21C1 S/N 56670CA465")</f>
        <v>INVERTER,DANFOSS, VLT2980PT4B20STR0DBFOOA21C1 S/N 56670CA465</v>
      </c>
      <c r="G628" s="3">
        <f>IFERROR(__xludf.DUMMYFUNCTION("""COMPUTED_VALUE"""),1.0)</f>
        <v>1</v>
      </c>
      <c r="H628" s="3" t="str">
        <f>IFERROR(__xludf.DUMMYFUNCTION("""COMPUTED_VALUE"""),"pcs")</f>
        <v>pcs</v>
      </c>
      <c r="I628" s="3" t="str">
        <f>IFERROR(__xludf.DUMMYFUNCTION("""COMPUTED_VALUE"""),"untuk ahu c1-1")</f>
        <v>untuk ahu c1-1</v>
      </c>
      <c r="J628" s="3" t="str">
        <f>IFERROR(__xludf.DUMMYFUNCTION("""COMPUTED_VALUE"""),"P-15857-00")</f>
        <v>P-15857-00</v>
      </c>
      <c r="K628" s="3" t="str">
        <f>IFERROR(__xludf.DUMMYFUNCTION("""COMPUTED_VALUE"""),"Approve")</f>
        <v>Approve</v>
      </c>
      <c r="L628" s="3" t="str">
        <f>IFERROR(__xludf.DUMMYFUNCTION("""COMPUTED_VALUE"""),"Normal")</f>
        <v>Normal</v>
      </c>
      <c r="M628" s="3" t="str">
        <f>IFERROR(__xludf.DUMMYFUNCTION("""COMPUTED_VALUE"""),"Non Urgent")</f>
        <v>Non Urgent</v>
      </c>
      <c r="N628" s="3">
        <f>IFERROR(__xludf.DUMMYFUNCTION("""COMPUTED_VALUE"""),46198.726438784724)</f>
        <v>46198.72644</v>
      </c>
    </row>
    <row r="629">
      <c r="A629" s="4">
        <f>IFERROR(__xludf.DUMMYFUNCTION("""COMPUTED_VALUE"""),46181.14300125)</f>
        <v>46181.143</v>
      </c>
      <c r="B629" s="3" t="str">
        <f>IFERROR(__xludf.DUMMYFUNCTION("""COMPUTED_VALUE"""),"RIARO0092")</f>
        <v>RIARO0092</v>
      </c>
      <c r="C629" s="3" t="str">
        <f>IFERROR(__xludf.DUMMYFUNCTION("""COMPUTED_VALUE"""),"Consumable")</f>
        <v>Consumable</v>
      </c>
      <c r="D629" s="3" t="str">
        <f>IFERROR(__xludf.DUMMYFUNCTION("""COMPUTED_VALUE"""),"-")</f>
        <v>-</v>
      </c>
      <c r="E629" s="3" t="str">
        <f>IFERROR(__xludf.DUMMYFUNCTION("""COMPUTED_VALUE"""),"All Area")</f>
        <v>All Area</v>
      </c>
      <c r="F629" s="3" t="str">
        <f>IFERROR(__xludf.DUMMYFUNCTION("""COMPUTED_VALUE"""),"STOP KONTAK LUBANG 4, BROCO")</f>
        <v>STOP KONTAK LUBANG 4, BROCO</v>
      </c>
      <c r="G629" s="3">
        <f>IFERROR(__xludf.DUMMYFUNCTION("""COMPUTED_VALUE"""),20.0)</f>
        <v>20</v>
      </c>
      <c r="H629" s="3" t="str">
        <f>IFERROR(__xludf.DUMMYFUNCTION("""COMPUTED_VALUE"""),"Pcs")</f>
        <v>Pcs</v>
      </c>
      <c r="I629" s="3" t="str">
        <f>IFERROR(__xludf.DUMMYFUNCTION("""COMPUTED_VALUE"""),"Habis")</f>
        <v>Habis</v>
      </c>
      <c r="J629" s="3" t="str">
        <f>IFERROR(__xludf.DUMMYFUNCTION("""COMPUTED_VALUE"""),"O-54015-00")</f>
        <v>O-54015-00</v>
      </c>
      <c r="K629" s="3" t="str">
        <f>IFERROR(__xludf.DUMMYFUNCTION("""COMPUTED_VALUE"""),"Approve")</f>
        <v>Approve</v>
      </c>
      <c r="L629" s="3" t="str">
        <f>IFERROR(__xludf.DUMMYFUNCTION("""COMPUTED_VALUE"""),"Normal")</f>
        <v>Normal</v>
      </c>
      <c r="M629" s="3" t="str">
        <f>IFERROR(__xludf.DUMMYFUNCTION("""COMPUTED_VALUE"""),"Non Urgent")</f>
        <v>Non Urgent</v>
      </c>
      <c r="N629" s="3">
        <f>IFERROR(__xludf.DUMMYFUNCTION("""COMPUTED_VALUE"""),46202.92521490741)</f>
        <v>46202.92521</v>
      </c>
    </row>
    <row r="630">
      <c r="A630" s="4">
        <f>IFERROR(__xludf.DUMMYFUNCTION("""COMPUTED_VALUE"""),46181.143763078704)</f>
        <v>46181.14376</v>
      </c>
      <c r="B630" s="3" t="str">
        <f>IFERROR(__xludf.DUMMYFUNCTION("""COMPUTED_VALUE"""),"RIARO0093")</f>
        <v>RIARO0093</v>
      </c>
      <c r="C630" s="3" t="str">
        <f>IFERROR(__xludf.DUMMYFUNCTION("""COMPUTED_VALUE"""),"Consumable")</f>
        <v>Consumable</v>
      </c>
      <c r="D630" s="3" t="str">
        <f>IFERROR(__xludf.DUMMYFUNCTION("""COMPUTED_VALUE"""),"-")</f>
        <v>-</v>
      </c>
      <c r="E630" s="3" t="str">
        <f>IFERROR(__xludf.DUMMYFUNCTION("""COMPUTED_VALUE"""),"N2 Generator")</f>
        <v>N2 Generator</v>
      </c>
      <c r="F630" s="3" t="str">
        <f>IFERROR(__xludf.DUMMYFUNCTION("""COMPUTED_VALUE"""),"General - Element Filter 1 micron; NXE-400-Z; -; 1 pc")</f>
        <v>General - Element Filter 1 micron; NXE-400-Z; -; 1 pc</v>
      </c>
      <c r="G630" s="3">
        <f>IFERROR(__xludf.DUMMYFUNCTION("""COMPUTED_VALUE"""),1.0)</f>
        <v>1</v>
      </c>
      <c r="H630" s="3" t="str">
        <f>IFERROR(__xludf.DUMMYFUNCTION("""COMPUTED_VALUE"""),"Pcs")</f>
        <v>Pcs</v>
      </c>
      <c r="I630" s="3" t="str">
        <f>IFERROR(__xludf.DUMMYFUNCTION("""COMPUTED_VALUE"""),"Stok Habis")</f>
        <v>Stok Habis</v>
      </c>
      <c r="J630" s="3" t="str">
        <f>IFERROR(__xludf.DUMMYFUNCTION("""COMPUTED_VALUE"""),"P-15052-00")</f>
        <v>P-15052-00</v>
      </c>
      <c r="K630" s="3" t="str">
        <f>IFERROR(__xludf.DUMMYFUNCTION("""COMPUTED_VALUE"""),"Approve")</f>
        <v>Approve</v>
      </c>
      <c r="L630" s="3" t="str">
        <f>IFERROR(__xludf.DUMMYFUNCTION("""COMPUTED_VALUE"""),"Normal")</f>
        <v>Normal</v>
      </c>
      <c r="M630" s="3" t="str">
        <f>IFERROR(__xludf.DUMMYFUNCTION("""COMPUTED_VALUE"""),"Non Urgent")</f>
        <v>Non Urgent</v>
      </c>
      <c r="N630" s="3">
        <f>IFERROR(__xludf.DUMMYFUNCTION("""COMPUTED_VALUE"""),46202.925329571764)</f>
        <v>46202.92533</v>
      </c>
    </row>
    <row r="631">
      <c r="A631" s="4">
        <f>IFERROR(__xludf.DUMMYFUNCTION("""COMPUTED_VALUE"""),46181.143786851855)</f>
        <v>46181.14379</v>
      </c>
      <c r="B631" s="3" t="str">
        <f>IFERROR(__xludf.DUMMYFUNCTION("""COMPUTED_VALUE"""),"RIARO0094")</f>
        <v>RIARO0094</v>
      </c>
      <c r="C631" s="3" t="str">
        <f>IFERROR(__xludf.DUMMYFUNCTION("""COMPUTED_VALUE"""),"Consumable")</f>
        <v>Consumable</v>
      </c>
      <c r="D631" s="3" t="str">
        <f>IFERROR(__xludf.DUMMYFUNCTION("""COMPUTED_VALUE"""),"-")</f>
        <v>-</v>
      </c>
      <c r="E631" s="3" t="str">
        <f>IFERROR(__xludf.DUMMYFUNCTION("""COMPUTED_VALUE"""),"N2 Generator")</f>
        <v>N2 Generator</v>
      </c>
      <c r="F631" s="3" t="str">
        <f>IFERROR(__xludf.DUMMYFUNCTION("""COMPUTED_VALUE"""),"General - Element Filter 0.01 micron; NXE-400-X; -; 1 pc")</f>
        <v>General - Element Filter 0.01 micron; NXE-400-X; -; 1 pc</v>
      </c>
      <c r="G631" s="3">
        <f>IFERROR(__xludf.DUMMYFUNCTION("""COMPUTED_VALUE"""),1.0)</f>
        <v>1</v>
      </c>
      <c r="H631" s="3" t="str">
        <f>IFERROR(__xludf.DUMMYFUNCTION("""COMPUTED_VALUE"""),"Pcs")</f>
        <v>Pcs</v>
      </c>
      <c r="I631" s="3" t="str">
        <f>IFERROR(__xludf.DUMMYFUNCTION("""COMPUTED_VALUE"""),"Stok Habis")</f>
        <v>Stok Habis</v>
      </c>
      <c r="J631" s="3" t="str">
        <f>IFERROR(__xludf.DUMMYFUNCTION("""COMPUTED_VALUE"""),"P-15053-00")</f>
        <v>P-15053-00</v>
      </c>
      <c r="K631" s="3" t="str">
        <f>IFERROR(__xludf.DUMMYFUNCTION("""COMPUTED_VALUE"""),"Approve")</f>
        <v>Approve</v>
      </c>
      <c r="L631" s="3" t="str">
        <f>IFERROR(__xludf.DUMMYFUNCTION("""COMPUTED_VALUE"""),"Normal")</f>
        <v>Normal</v>
      </c>
      <c r="M631" s="3" t="str">
        <f>IFERROR(__xludf.DUMMYFUNCTION("""COMPUTED_VALUE"""),"Non Urgent")</f>
        <v>Non Urgent</v>
      </c>
      <c r="N631" s="3">
        <f>IFERROR(__xludf.DUMMYFUNCTION("""COMPUTED_VALUE"""),46202.92546417824)</f>
        <v>46202.92546</v>
      </c>
    </row>
    <row r="632">
      <c r="A632" s="4">
        <f>IFERROR(__xludf.DUMMYFUNCTION("""COMPUTED_VALUE"""),46181.143786851855)</f>
        <v>46181.14379</v>
      </c>
      <c r="B632" s="3" t="str">
        <f>IFERROR(__xludf.DUMMYFUNCTION("""COMPUTED_VALUE"""),"RIARO0095")</f>
        <v>RIARO0095</v>
      </c>
      <c r="C632" s="3" t="str">
        <f>IFERROR(__xludf.DUMMYFUNCTION("""COMPUTED_VALUE"""),"Consumable")</f>
        <v>Consumable</v>
      </c>
      <c r="D632" s="3" t="str">
        <f>IFERROR(__xludf.DUMMYFUNCTION("""COMPUTED_VALUE"""),"-")</f>
        <v>-</v>
      </c>
      <c r="E632" s="3" t="str">
        <f>IFERROR(__xludf.DUMMYFUNCTION("""COMPUTED_VALUE"""),"N2 Generator")</f>
        <v>N2 Generator</v>
      </c>
      <c r="F632" s="3" t="str">
        <f>IFERROR(__xludf.DUMMYFUNCTION("""COMPUTED_VALUE"""),"General - Element Filter for N2; NEXUS; NXE-90-Z; 1 pc")</f>
        <v>General - Element Filter for N2; NEXUS; NXE-90-Z; 1 pc</v>
      </c>
      <c r="G632" s="3">
        <f>IFERROR(__xludf.DUMMYFUNCTION("""COMPUTED_VALUE"""),1.0)</f>
        <v>1</v>
      </c>
      <c r="H632" s="3" t="str">
        <f>IFERROR(__xludf.DUMMYFUNCTION("""COMPUTED_VALUE"""),"Pcs")</f>
        <v>Pcs</v>
      </c>
      <c r="I632" s="3" t="str">
        <f>IFERROR(__xludf.DUMMYFUNCTION("""COMPUTED_VALUE"""),"Stok Habis NXE902")</f>
        <v>Stok Habis NXE902</v>
      </c>
      <c r="J632" s="3" t="str">
        <f>IFERROR(__xludf.DUMMYFUNCTION("""COMPUTED_VALUE"""),"P-17062-00")</f>
        <v>P-17062-00</v>
      </c>
      <c r="K632" s="3" t="str">
        <f>IFERROR(__xludf.DUMMYFUNCTION("""COMPUTED_VALUE"""),"Approve")</f>
        <v>Approve</v>
      </c>
      <c r="L632" s="3" t="str">
        <f>IFERROR(__xludf.DUMMYFUNCTION("""COMPUTED_VALUE"""),"Normal")</f>
        <v>Normal</v>
      </c>
      <c r="M632" s="3" t="str">
        <f>IFERROR(__xludf.DUMMYFUNCTION("""COMPUTED_VALUE"""),"Non Urgent")</f>
        <v>Non Urgent</v>
      </c>
      <c r="N632" s="3">
        <f>IFERROR(__xludf.DUMMYFUNCTION("""COMPUTED_VALUE"""),46202.92562597222)</f>
        <v>46202.92563</v>
      </c>
    </row>
    <row r="633">
      <c r="A633" s="4">
        <f>IFERROR(__xludf.DUMMYFUNCTION("""COMPUTED_VALUE"""),46184.10259724537)</f>
        <v>46184.1026</v>
      </c>
      <c r="B633" s="3" t="str">
        <f>IFERROR(__xludf.DUMMYFUNCTION("""COMPUTED_VALUE"""),"BDURO0008")</f>
        <v>BDURO0008</v>
      </c>
      <c r="C633" s="3" t="str">
        <f>IFERROR(__xludf.DUMMYFUNCTION("""COMPUTED_VALUE"""),"MIn Stok")</f>
        <v>MIn Stok</v>
      </c>
      <c r="D633" s="3" t="str">
        <f>IFERROR(__xludf.DUMMYFUNCTION("""COMPUTED_VALUE"""),"-")</f>
        <v>-</v>
      </c>
      <c r="E633" s="3" t="str">
        <f>IFERROR(__xludf.DUMMYFUNCTION("""COMPUTED_VALUE"""),"Mixing")</f>
        <v>Mixing</v>
      </c>
      <c r="F633" s="3" t="str">
        <f>IFERROR(__xludf.DUMMYFUNCTION("""COMPUTED_VALUE"""),"General - Opto CapBT02T Operating Range 8 ppb - 60% O2 Sat P/N 30018857, Measured Pressure Resistance : 0-6 bar; Mettler Toledo; 30018857; 1 Pc")</f>
        <v>General - Opto CapBT02T Operating Range 8 ppb - 60% O2 Sat P/N 30018857, Measured Pressure Resistance : 0-6 bar; Mettler Toledo; 30018857; 1 Pc</v>
      </c>
      <c r="G633" s="3">
        <f>IFERROR(__xludf.DUMMYFUNCTION("""COMPUTED_VALUE"""),1.0)</f>
        <v>1</v>
      </c>
      <c r="H633" s="3" t="str">
        <f>IFERROR(__xludf.DUMMYFUNCTION("""COMPUTED_VALUE"""),"pcs")</f>
        <v>pcs</v>
      </c>
      <c r="I633" s="3" t="str">
        <f>IFERROR(__xludf.DUMMYFUNCTION("""COMPUTED_VALUE"""),"untuk stock, karena kemarin dilakukan perganrian optpcap")</f>
        <v>untuk stock, karena kemarin dilakukan perganrian optpcap</v>
      </c>
      <c r="J633" s="3" t="str">
        <f>IFERROR(__xludf.DUMMYFUNCTION("""COMPUTED_VALUE"""),"O-50827-00")</f>
        <v>O-50827-00</v>
      </c>
      <c r="K633" s="3" t="str">
        <f>IFERROR(__xludf.DUMMYFUNCTION("""COMPUTED_VALUE"""),"Approve")</f>
        <v>Approve</v>
      </c>
      <c r="L633" s="3" t="str">
        <f>IFERROR(__xludf.DUMMYFUNCTION("""COMPUTED_VALUE"""),"Normal")</f>
        <v>Normal</v>
      </c>
      <c r="M633" s="3" t="str">
        <f>IFERROR(__xludf.DUMMYFUNCTION("""COMPUTED_VALUE"""),"Non Urgent")</f>
        <v>Non Urgent</v>
      </c>
      <c r="N633" s="3">
        <f>IFERROR(__xludf.DUMMYFUNCTION("""COMPUTED_VALUE"""),46191.66396179398)</f>
        <v>46191.66396</v>
      </c>
    </row>
    <row r="634">
      <c r="A634" s="4">
        <f>IFERROR(__xludf.DUMMYFUNCTION("""COMPUTED_VALUE"""),46185.48003271991)</f>
        <v>46185.48003</v>
      </c>
      <c r="B634" s="3" t="str">
        <f>IFERROR(__xludf.DUMMYFUNCTION("""COMPUTED_VALUE"""),"MOBRO0084")</f>
        <v>MOBRO0084</v>
      </c>
      <c r="C634" s="3" t="str">
        <f>IFERROR(__xludf.DUMMYFUNCTION("""COMPUTED_VALUE"""),"MIn Stok")</f>
        <v>MIn Stok</v>
      </c>
      <c r="D634" s="3" t="str">
        <f>IFERROR(__xludf.DUMMYFUNCTION("""COMPUTED_VALUE"""),"-")</f>
        <v>-</v>
      </c>
      <c r="E634" s="3" t="str">
        <f>IFERROR(__xludf.DUMMYFUNCTION("""COMPUTED_VALUE"""),"Water System")</f>
        <v>Water System</v>
      </c>
      <c r="F634" s="3" t="str">
        <f>IFERROR(__xludf.DUMMYFUNCTION("""COMPUTED_VALUE"""),"General - Emflon PFR membrane filter cartridge, 0.2 um sterilizing grade, 5-inch length, double-o-ring (silicone) with bayonet lock and flat end; Pall; AB05PFR2PVH4; 1 pcs")</f>
        <v>General - Emflon PFR membrane filter cartridge, 0.2 um sterilizing grade, 5-inch length, double-o-ring (silicone) with bayonet lock and flat end; Pall; AB05PFR2PVH4; 1 pcs</v>
      </c>
      <c r="G634" s="3">
        <f>IFERROR(__xludf.DUMMYFUNCTION("""COMPUTED_VALUE"""),2.0)</f>
        <v>2</v>
      </c>
      <c r="H634" s="3" t="str">
        <f>IFERROR(__xludf.DUMMYFUNCTION("""COMPUTED_VALUE"""),"Pcs")</f>
        <v>Pcs</v>
      </c>
      <c r="I634" s="3" t="str">
        <f>IFERROR(__xludf.DUMMYFUNCTION("""COMPUTED_VALUE"""),"Penggantian rutin Vent Vilter Water System")</f>
        <v>Penggantian rutin Vent Vilter Water System</v>
      </c>
      <c r="J634" s="3" t="str">
        <f>IFERROR(__xludf.DUMMYFUNCTION("""COMPUTED_VALUE"""),"O-12868-00")</f>
        <v>O-12868-00</v>
      </c>
      <c r="K634" s="3" t="str">
        <f>IFERROR(__xludf.DUMMYFUNCTION("""COMPUTED_VALUE"""),"Approve")</f>
        <v>Approve</v>
      </c>
      <c r="L634" s="3" t="str">
        <f>IFERROR(__xludf.DUMMYFUNCTION("""COMPUTED_VALUE"""),"Normal")</f>
        <v>Normal</v>
      </c>
      <c r="M634" s="3" t="str">
        <f>IFERROR(__xludf.DUMMYFUNCTION("""COMPUTED_VALUE"""),"Non Urgent")</f>
        <v>Non Urgent</v>
      </c>
      <c r="N634" s="3">
        <f>IFERROR(__xludf.DUMMYFUNCTION("""COMPUTED_VALUE"""),46198.73250271991)</f>
        <v>46198.7325</v>
      </c>
    </row>
    <row r="635">
      <c r="A635" s="4">
        <f>IFERROR(__xludf.DUMMYFUNCTION("""COMPUTED_VALUE"""),46185.547453113424)</f>
        <v>46185.54745</v>
      </c>
      <c r="B635" s="3" t="str">
        <f>IFERROR(__xludf.DUMMYFUNCTION("""COMPUTED_VALUE"""),"MOBRO0085")</f>
        <v>MOBRO0085</v>
      </c>
      <c r="C635" s="3" t="str">
        <f>IFERROR(__xludf.DUMMYFUNCTION("""COMPUTED_VALUE"""),"MIn Stok")</f>
        <v>MIn Stok</v>
      </c>
      <c r="D635" s="3" t="str">
        <f>IFERROR(__xludf.DUMMYFUNCTION("""COMPUTED_VALUE"""),"-")</f>
        <v>-</v>
      </c>
      <c r="E635" s="3" t="str">
        <f>IFERROR(__xludf.DUMMYFUNCTION("""COMPUTED_VALUE"""),"Water System")</f>
        <v>Water System</v>
      </c>
      <c r="F635" s="3" t="str">
        <f>IFERROR(__xludf.DUMMYFUNCTION("""COMPUTED_VALUE"""),"Vent Filter HE Press 6.5 bar, temp. 40C ; Brand : NOVASIP ( PALL ) ; P/N : C3PFRPI , IT09556493 ; Pack Size : pcs")</f>
        <v>Vent Filter HE Press 6.5 bar, temp. 40C ; Brand : NOVASIP ( PALL ) ; P/N : C3PFRPI , IT09556493 ; Pack Size : pcs</v>
      </c>
      <c r="G635" s="3">
        <f>IFERROR(__xludf.DUMMYFUNCTION("""COMPUTED_VALUE"""),2.0)</f>
        <v>2</v>
      </c>
      <c r="H635" s="3" t="str">
        <f>IFERROR(__xludf.DUMMYFUNCTION("""COMPUTED_VALUE"""),"Pcs")</f>
        <v>Pcs</v>
      </c>
      <c r="I635" s="3" t="str">
        <f>IFERROR(__xludf.DUMMYFUNCTION("""COMPUTED_VALUE"""),"Penggantian rutin Vent Vilter Water System")</f>
        <v>Penggantian rutin Vent Vilter Water System</v>
      </c>
      <c r="J635" s="3" t="str">
        <f>IFERROR(__xludf.DUMMYFUNCTION("""COMPUTED_VALUE"""),"P-16972-00")</f>
        <v>P-16972-00</v>
      </c>
      <c r="K635" s="3" t="str">
        <f>IFERROR(__xludf.DUMMYFUNCTION("""COMPUTED_VALUE"""),"Approve")</f>
        <v>Approve</v>
      </c>
      <c r="L635" s="3" t="str">
        <f>IFERROR(__xludf.DUMMYFUNCTION("""COMPUTED_VALUE"""),"Normal")</f>
        <v>Normal</v>
      </c>
      <c r="M635" s="3" t="str">
        <f>IFERROR(__xludf.DUMMYFUNCTION("""COMPUTED_VALUE"""),"Non Urgent")</f>
        <v>Non Urgent</v>
      </c>
      <c r="N635" s="3">
        <f>IFERROR(__xludf.DUMMYFUNCTION("""COMPUTED_VALUE"""),46198.73267145833)</f>
        <v>46198.73267</v>
      </c>
    </row>
    <row r="636">
      <c r="A636" s="4">
        <f>IFERROR(__xludf.DUMMYFUNCTION("""COMPUTED_VALUE"""),46185.54784868056)</f>
        <v>46185.54785</v>
      </c>
      <c r="B636" s="3" t="str">
        <f>IFERROR(__xludf.DUMMYFUNCTION("""COMPUTED_VALUE"""),"MOBRO0086")</f>
        <v>MOBRO0086</v>
      </c>
      <c r="C636" s="3" t="str">
        <f>IFERROR(__xludf.DUMMYFUNCTION("""COMPUTED_VALUE"""),"MIn Stok")</f>
        <v>MIn Stok</v>
      </c>
      <c r="D636" s="3" t="str">
        <f>IFERROR(__xludf.DUMMYFUNCTION("""COMPUTED_VALUE"""),"-")</f>
        <v>-</v>
      </c>
      <c r="E636" s="3" t="str">
        <f>IFERROR(__xludf.DUMMYFUNCTION("""COMPUTED_VALUE"""),"Water System")</f>
        <v>Water System</v>
      </c>
      <c r="F636" s="3" t="str">
        <f>IFERROR(__xludf.DUMMYFUNCTION("""COMPUTED_VALUE"""),"IMA F200 Filling Machine - Pall Mini Kleenpak Capsules with Supor EKV Membrane, Filter Capsule 4,1""/0,2 um/0,02 m2/Hydrophilic PVDF/code2/0,25-0,5"" hose barb; Pall; KA02DFLP8G; 1 pcs")</f>
        <v>IMA F200 Filling Machine - Pall Mini Kleenpak Capsules with Supor EKV Membrane, Filter Capsule 4,1"/0,2 um/0,02 m2/Hydrophilic PVDF/code2/0,25-0,5" hose barb; Pall; KA02DFLP8G; 1 pcs</v>
      </c>
      <c r="G636" s="3">
        <f>IFERROR(__xludf.DUMMYFUNCTION("""COMPUTED_VALUE"""),2.0)</f>
        <v>2</v>
      </c>
      <c r="H636" s="3" t="str">
        <f>IFERROR(__xludf.DUMMYFUNCTION("""COMPUTED_VALUE"""),"Pcs")</f>
        <v>Pcs</v>
      </c>
      <c r="I636" s="3" t="str">
        <f>IFERROR(__xludf.DUMMYFUNCTION("""COMPUTED_VALUE"""),"Penggantian rutin Vent Vilter Water System")</f>
        <v>Penggantian rutin Vent Vilter Water System</v>
      </c>
      <c r="J636" s="3" t="str">
        <f>IFERROR(__xludf.DUMMYFUNCTION("""COMPUTED_VALUE"""),"O-11287-00")</f>
        <v>O-11287-00</v>
      </c>
      <c r="K636" s="3" t="str">
        <f>IFERROR(__xludf.DUMMYFUNCTION("""COMPUTED_VALUE"""),"Approve")</f>
        <v>Approve</v>
      </c>
      <c r="L636" s="3" t="str">
        <f>IFERROR(__xludf.DUMMYFUNCTION("""COMPUTED_VALUE"""),"Normal")</f>
        <v>Normal</v>
      </c>
      <c r="M636" s="3" t="str">
        <f>IFERROR(__xludf.DUMMYFUNCTION("""COMPUTED_VALUE"""),"Non Urgent")</f>
        <v>Non Urgent</v>
      </c>
      <c r="N636" s="3">
        <f>IFERROR(__xludf.DUMMYFUNCTION("""COMPUTED_VALUE"""),46198.73284361111)</f>
        <v>46198.73284</v>
      </c>
    </row>
    <row r="637">
      <c r="A637" s="4">
        <f>IFERROR(__xludf.DUMMYFUNCTION("""COMPUTED_VALUE"""),46185.54820877314)</f>
        <v>46185.54821</v>
      </c>
      <c r="B637" s="3" t="str">
        <f>IFERROR(__xludf.DUMMYFUNCTION("""COMPUTED_VALUE"""),"MOBRO0087")</f>
        <v>MOBRO0087</v>
      </c>
      <c r="C637" s="3" t="str">
        <f>IFERROR(__xludf.DUMMYFUNCTION("""COMPUTED_VALUE"""),"MIn Stok")</f>
        <v>MIn Stok</v>
      </c>
      <c r="D637" s="3" t="str">
        <f>IFERROR(__xludf.DUMMYFUNCTION("""COMPUTED_VALUE"""),"-")</f>
        <v>-</v>
      </c>
      <c r="E637" s="3" t="str">
        <f>IFERROR(__xludf.DUMMYFUNCTION("""COMPUTED_VALUE"""),"Water System")</f>
        <v>Water System</v>
      </c>
      <c r="F637" s="3" t="str">
        <f>IFERROR(__xludf.DUMMYFUNCTION("""COMPUTED_VALUE"""),"PALL - AB1PFR7PVH4, 0.2 um; ; ;")</f>
        <v>PALL - AB1PFR7PVH4, 0.2 um; ; ;</v>
      </c>
      <c r="G637" s="3">
        <f>IFERROR(__xludf.DUMMYFUNCTION("""COMPUTED_VALUE"""),2.0)</f>
        <v>2</v>
      </c>
      <c r="H637" s="3" t="str">
        <f>IFERROR(__xludf.DUMMYFUNCTION("""COMPUTED_VALUE"""),"Pcs")</f>
        <v>Pcs</v>
      </c>
      <c r="I637" s="3" t="str">
        <f>IFERROR(__xludf.DUMMYFUNCTION("""COMPUTED_VALUE"""),"Penggantian rutin Vent Vilter Water System")</f>
        <v>Penggantian rutin Vent Vilter Water System</v>
      </c>
      <c r="J637" s="3" t="str">
        <f>IFERROR(__xludf.DUMMYFUNCTION("""COMPUTED_VALUE"""),"P-17390-00")</f>
        <v>P-17390-00</v>
      </c>
      <c r="K637" s="3" t="str">
        <f>IFERROR(__xludf.DUMMYFUNCTION("""COMPUTED_VALUE"""),"Approve")</f>
        <v>Approve</v>
      </c>
      <c r="L637" s="3" t="str">
        <f>IFERROR(__xludf.DUMMYFUNCTION("""COMPUTED_VALUE"""),"Normal")</f>
        <v>Normal</v>
      </c>
      <c r="M637" s="3" t="str">
        <f>IFERROR(__xludf.DUMMYFUNCTION("""COMPUTED_VALUE"""),"Non Urgent")</f>
        <v>Non Urgent</v>
      </c>
      <c r="N637" s="3">
        <f>IFERROR(__xludf.DUMMYFUNCTION("""COMPUTED_VALUE"""),46198.733039108796)</f>
        <v>46198.73304</v>
      </c>
    </row>
    <row r="638">
      <c r="A638" s="4">
        <f>IFERROR(__xludf.DUMMYFUNCTION("""COMPUTED_VALUE"""),46188.363196481485)</f>
        <v>46188.3632</v>
      </c>
      <c r="B638" s="3" t="str">
        <f>IFERROR(__xludf.DUMMYFUNCTION("""COMPUTED_VALUE"""),"ROSRO0033")</f>
        <v>ROSRO0033</v>
      </c>
      <c r="C638" s="3" t="str">
        <f>IFERROR(__xludf.DUMMYFUNCTION("""COMPUTED_VALUE"""),"Consumable")</f>
        <v>Consumable</v>
      </c>
      <c r="D638" s="3" t="str">
        <f>IFERROR(__xludf.DUMMYFUNCTION("""COMPUTED_VALUE"""),"-")</f>
        <v>-</v>
      </c>
      <c r="E638" s="3" t="str">
        <f>IFERROR(__xludf.DUMMYFUNCTION("""COMPUTED_VALUE"""),"Autoclave Terminal")</f>
        <v>Autoclave Terminal</v>
      </c>
      <c r="F638" s="3" t="str">
        <f>IFERROR(__xludf.DUMMYFUNCTION("""COMPUTED_VALUE"""),"PROXIMITY SENSOR, DATALOGIC M8 FLUSH 2X PNP NC IS-08-G2-S1")</f>
        <v>PROXIMITY SENSOR, DATALOGIC M8 FLUSH 2X PNP NC IS-08-G2-S1</v>
      </c>
      <c r="G638" s="3">
        <f>IFERROR(__xludf.DUMMYFUNCTION("""COMPUTED_VALUE"""),4.0)</f>
        <v>4</v>
      </c>
      <c r="H638" s="3" t="str">
        <f>IFERROR(__xludf.DUMMYFUNCTION("""COMPUTED_VALUE"""),"set")</f>
        <v>set</v>
      </c>
      <c r="I638" s="3" t="str">
        <f>IFERROR(__xludf.DUMMYFUNCTION("""COMPUTED_VALUE"""),"Buat Autoclave Terminal")</f>
        <v>Buat Autoclave Terminal</v>
      </c>
      <c r="J638" s="3" t="str">
        <f>IFERROR(__xludf.DUMMYFUNCTION("""COMPUTED_VALUE"""),"O-51721-00")</f>
        <v>O-51721-00</v>
      </c>
      <c r="K638" s="3" t="str">
        <f>IFERROR(__xludf.DUMMYFUNCTION("""COMPUTED_VALUE"""),"Approve")</f>
        <v>Approve</v>
      </c>
      <c r="L638" s="3" t="str">
        <f>IFERROR(__xludf.DUMMYFUNCTION("""COMPUTED_VALUE"""),"Normal")</f>
        <v>Normal</v>
      </c>
      <c r="M638" s="3" t="str">
        <f>IFERROR(__xludf.DUMMYFUNCTION("""COMPUTED_VALUE"""),"Non Urgent")</f>
        <v>Non Urgent</v>
      </c>
      <c r="N638" s="3">
        <f>IFERROR(__xludf.DUMMYFUNCTION("""COMPUTED_VALUE"""),46191.73647974537)</f>
        <v>46191.73648</v>
      </c>
    </row>
    <row r="639">
      <c r="A639" s="4">
        <f>IFERROR(__xludf.DUMMYFUNCTION("""COMPUTED_VALUE"""),46192.42172734954)</f>
        <v>46192.42173</v>
      </c>
      <c r="B639" s="3" t="str">
        <f>IFERROR(__xludf.DUMMYFUNCTION("""COMPUTED_VALUE"""),"WAPRO0001")</f>
        <v>WAPRO0001</v>
      </c>
      <c r="C639" s="3" t="str">
        <f>IFERROR(__xludf.DUMMYFUNCTION("""COMPUTED_VALUE"""),"Consumable")</f>
        <v>Consumable</v>
      </c>
      <c r="D639" s="3" t="str">
        <f>IFERROR(__xludf.DUMMYFUNCTION("""COMPUTED_VALUE"""),"-")</f>
        <v>-</v>
      </c>
      <c r="E639" s="3" t="str">
        <f>IFERROR(__xludf.DUMMYFUNCTION("""COMPUTED_VALUE"""),"Workshop")</f>
        <v>Workshop</v>
      </c>
      <c r="F639" s="3" t="str">
        <f>IFERROR(__xludf.DUMMYFUNCTION("""COMPUTED_VALUE"""),"General - Kawat Las SS E-308 2.0mm; No Brand; -; 1 kg/pack")</f>
        <v>General - Kawat Las SS E-308 2.0mm; No Brand; -; 1 kg/pack</v>
      </c>
      <c r="G639" s="3">
        <f>IFERROR(__xludf.DUMMYFUNCTION("""COMPUTED_VALUE"""),2.0)</f>
        <v>2</v>
      </c>
      <c r="H639" s="3" t="str">
        <f>IFERROR(__xludf.DUMMYFUNCTION("""COMPUTED_VALUE"""),"Pcs")</f>
        <v>Pcs</v>
      </c>
      <c r="I639" s="3" t="str">
        <f>IFERROR(__xludf.DUMMYFUNCTION("""COMPUTED_VALUE"""),"penggunaan las material ss")</f>
        <v>penggunaan las material ss</v>
      </c>
      <c r="J639" s="3" t="str">
        <f>IFERROR(__xludf.DUMMYFUNCTION("""COMPUTED_VALUE"""),"P-20182-00")</f>
        <v>P-20182-00</v>
      </c>
      <c r="K639" s="3" t="str">
        <f>IFERROR(__xludf.DUMMYFUNCTION("""COMPUTED_VALUE"""),"Approve")</f>
        <v>Approve</v>
      </c>
      <c r="L639" s="3" t="str">
        <f>IFERROR(__xludf.DUMMYFUNCTION("""COMPUTED_VALUE"""),"Normal")</f>
        <v>Normal</v>
      </c>
      <c r="M639" s="3" t="str">
        <f>IFERROR(__xludf.DUMMYFUNCTION("""COMPUTED_VALUE"""),"Non Urgent")</f>
        <v>Non Urgent</v>
      </c>
      <c r="N639" s="3">
        <f>IFERROR(__xludf.DUMMYFUNCTION("""COMPUTED_VALUE"""),46251.585314895834)</f>
        <v>46251.58531</v>
      </c>
    </row>
    <row r="640">
      <c r="A640" s="4">
        <f>IFERROR(__xludf.DUMMYFUNCTION("""COMPUTED_VALUE"""),46193.410595636575)</f>
        <v>46193.4106</v>
      </c>
      <c r="B640" s="3" t="str">
        <f>IFERROR(__xludf.DUMMYFUNCTION("""COMPUTED_VALUE"""),"MRNRO0051")</f>
        <v>MRNRO0051</v>
      </c>
      <c r="C640" s="3" t="str">
        <f>IFERROR(__xludf.DUMMYFUNCTION("""COMPUTED_VALUE"""),"EJO")</f>
        <v>EJO</v>
      </c>
      <c r="D640" s="3" t="str">
        <f>IFERROR(__xludf.DUMMYFUNCTION("""COMPUTED_VALUE"""),"EJO/2026/02/41")</f>
        <v>EJO/2026/02/41</v>
      </c>
      <c r="E640" s="3" t="str">
        <f>IFERROR(__xludf.DUMMYFUNCTION("""COMPUTED_VALUE"""),"workshop")</f>
        <v>workshop</v>
      </c>
      <c r="F640" s="3" t="str">
        <f>IFERROR(__xludf.DUMMYFUNCTION("""COMPUTED_VALUE"""),"General - Inline Duct Fan 6""; CKE; CDI-150; 1 pcs")</f>
        <v>General - Inline Duct Fan 6"; CKE; CDI-150; 1 pcs</v>
      </c>
      <c r="G640" s="3">
        <f>IFERROR(__xludf.DUMMYFUNCTION("""COMPUTED_VALUE"""),1.0)</f>
        <v>1</v>
      </c>
      <c r="H640" s="3" t="str">
        <f>IFERROR(__xludf.DUMMYFUNCTION("""COMPUTED_VALUE"""),"pcs")</f>
        <v>pcs</v>
      </c>
      <c r="I640" s="3" t="str">
        <f>IFERROR(__xludf.DUMMYFUNCTION("""COMPUTED_VALUE"""),"untuk workshop")</f>
        <v>untuk workshop</v>
      </c>
      <c r="J640" s="3" t="str">
        <f>IFERROR(__xludf.DUMMYFUNCTION("""COMPUTED_VALUE"""),"P-52228-00")</f>
        <v>P-52228-00</v>
      </c>
      <c r="K640" s="3" t="str">
        <f>IFERROR(__xludf.DUMMYFUNCTION("""COMPUTED_VALUE"""),"Approve")</f>
        <v>Approve</v>
      </c>
      <c r="L640" s="3" t="str">
        <f>IFERROR(__xludf.DUMMYFUNCTION("""COMPUTED_VALUE"""),"Normal")</f>
        <v>Normal</v>
      </c>
      <c r="M640" s="3" t="str">
        <f>IFERROR(__xludf.DUMMYFUNCTION("""COMPUTED_VALUE"""),"Non Urgent")</f>
        <v>Non Urgent</v>
      </c>
      <c r="N640" s="3">
        <f>IFERROR(__xludf.DUMMYFUNCTION("""COMPUTED_VALUE"""),46198.726886793986)</f>
        <v>46198.72689</v>
      </c>
    </row>
    <row r="641">
      <c r="A641" s="4">
        <f>IFERROR(__xludf.DUMMYFUNCTION("""COMPUTED_VALUE"""),46195.8818983912)</f>
        <v>46195.8819</v>
      </c>
      <c r="B641" s="3" t="str">
        <f>IFERROR(__xludf.DUMMYFUNCTION("""COMPUTED_VALUE"""),"RIARO0096")</f>
        <v>RIARO0096</v>
      </c>
      <c r="C641" s="3" t="str">
        <f>IFERROR(__xludf.DUMMYFUNCTION("""COMPUTED_VALUE"""),"EJO")</f>
        <v>EJO</v>
      </c>
      <c r="D641" s="3" t="str">
        <f>IFERROR(__xludf.DUMMYFUNCTION("""COMPUTED_VALUE"""),"-")</f>
        <v>-</v>
      </c>
      <c r="E641" s="3" t="str">
        <f>IFERROR(__xludf.DUMMYFUNCTION("""COMPUTED_VALUE"""),"R Filling")</f>
        <v>R Filling</v>
      </c>
      <c r="F641" s="3" t="str">
        <f>IFERROR(__xludf.DUMMYFUNCTION("""COMPUTED_VALUE"""),"General - Cover Stop Kontak; Schneider; IEC 60529 BS5733; 1 pcs")</f>
        <v>General - Cover Stop Kontak; Schneider; IEC 60529 BS5733; 1 pcs</v>
      </c>
      <c r="G641" s="3">
        <f>IFERROR(__xludf.DUMMYFUNCTION("""COMPUTED_VALUE"""),2.0)</f>
        <v>2</v>
      </c>
      <c r="H641" s="3" t="str">
        <f>IFERROR(__xludf.DUMMYFUNCTION("""COMPUTED_VALUE"""),"Pcs")</f>
        <v>Pcs</v>
      </c>
      <c r="I641" s="3" t="str">
        <f>IFERROR(__xludf.DUMMYFUNCTION("""COMPUTED_VALUE"""),"Buat Project New Filling")</f>
        <v>Buat Project New Filling</v>
      </c>
      <c r="J641" s="3" t="str">
        <f>IFERROR(__xludf.DUMMYFUNCTION("""COMPUTED_VALUE"""),"P-54210-00")</f>
        <v>P-54210-00</v>
      </c>
      <c r="K641" s="3" t="str">
        <f>IFERROR(__xludf.DUMMYFUNCTION("""COMPUTED_VALUE"""),"Approve")</f>
        <v>Approve</v>
      </c>
      <c r="L641" s="3" t="str">
        <f>IFERROR(__xludf.DUMMYFUNCTION("""COMPUTED_VALUE"""),"Normal")</f>
        <v>Normal</v>
      </c>
      <c r="M641" s="3" t="str">
        <f>IFERROR(__xludf.DUMMYFUNCTION("""COMPUTED_VALUE"""),"Non Urgent")</f>
        <v>Non Urgent</v>
      </c>
      <c r="N641" s="3">
        <f>IFERROR(__xludf.DUMMYFUNCTION("""COMPUTED_VALUE"""),46202.925865219906)</f>
        <v>46202.92587</v>
      </c>
    </row>
    <row r="642">
      <c r="A642" s="4">
        <f>IFERROR(__xludf.DUMMYFUNCTION("""COMPUTED_VALUE"""),46197.62707462963)</f>
        <v>46197.62707</v>
      </c>
      <c r="B642" s="3" t="str">
        <f>IFERROR(__xludf.DUMMYFUNCTION("""COMPUTED_VALUE"""),"RIARO0097")</f>
        <v>RIARO0097</v>
      </c>
      <c r="C642" s="3" t="str">
        <f>IFERROR(__xludf.DUMMYFUNCTION("""COMPUTED_VALUE"""),"EJO")</f>
        <v>EJO</v>
      </c>
      <c r="D642" s="3" t="str">
        <f>IFERROR(__xludf.DUMMYFUNCTION("""COMPUTED_VALUE"""),"-")</f>
        <v>-</v>
      </c>
      <c r="E642" s="3" t="str">
        <f>IFERROR(__xludf.DUMMYFUNCTION("""COMPUTED_VALUE"""),"AHU")</f>
        <v>AHU</v>
      </c>
      <c r="F642" s="3" t="str">
        <f>IFERROR(__xludf.DUMMYFUNCTION("""COMPUTED_VALUE"""),"General - Rotary Air Damper Actuator GDB166.1E; Siemens; S55499-D377; 1 pcs")</f>
        <v>General - Rotary Air Damper Actuator GDB166.1E; Siemens; S55499-D377; 1 pcs</v>
      </c>
      <c r="G642" s="3">
        <f>IFERROR(__xludf.DUMMYFUNCTION("""COMPUTED_VALUE"""),20.0)</f>
        <v>20</v>
      </c>
      <c r="H642" s="3" t="str">
        <f>IFERROR(__xludf.DUMMYFUNCTION("""COMPUTED_VALUE"""),"Pcs")</f>
        <v>Pcs</v>
      </c>
      <c r="I642" s="3" t="str">
        <f>IFERROR(__xludf.DUMMYFUNCTION("""COMPUTED_VALUE"""),"Untuk motorized vav")</f>
        <v>Untuk motorized vav</v>
      </c>
      <c r="J642" s="3" t="str">
        <f>IFERROR(__xludf.DUMMYFUNCTION("""COMPUTED_VALUE"""),"P-52017-00")</f>
        <v>P-52017-00</v>
      </c>
      <c r="K642" s="3" t="str">
        <f>IFERROR(__xludf.DUMMYFUNCTION("""COMPUTED_VALUE"""),"Approve")</f>
        <v>Approve</v>
      </c>
      <c r="L642" s="3" t="str">
        <f>IFERROR(__xludf.DUMMYFUNCTION("""COMPUTED_VALUE"""),"Normal")</f>
        <v>Normal</v>
      </c>
      <c r="M642" s="3" t="str">
        <f>IFERROR(__xludf.DUMMYFUNCTION("""COMPUTED_VALUE"""),"Non Urgent")</f>
        <v>Non Urgent</v>
      </c>
      <c r="N642" s="3">
        <f>IFERROR(__xludf.DUMMYFUNCTION("""COMPUTED_VALUE"""),46202.92632899305)</f>
        <v>46202.92633</v>
      </c>
    </row>
    <row r="643">
      <c r="A643" s="4">
        <f>IFERROR(__xludf.DUMMYFUNCTION("""COMPUTED_VALUE"""),46204.94041495371)</f>
        <v>46204.94041</v>
      </c>
      <c r="B643" s="3" t="str">
        <f>IFERROR(__xludf.DUMMYFUNCTION("""COMPUTED_VALUE"""),"ROSRO0034")</f>
        <v>ROSRO0034</v>
      </c>
      <c r="C643" s="3" t="str">
        <f>IFERROR(__xludf.DUMMYFUNCTION("""COMPUTED_VALUE"""),"MIn Stok")</f>
        <v>MIn Stok</v>
      </c>
      <c r="D643" s="3" t="str">
        <f>IFERROR(__xludf.DUMMYFUNCTION("""COMPUTED_VALUE"""),"-")</f>
        <v>-</v>
      </c>
      <c r="E643" s="3" t="str">
        <f>IFERROR(__xludf.DUMMYFUNCTION("""COMPUTED_VALUE"""),"Autoclave Lab micro ")</f>
        <v>Autoclave Lab micro </v>
      </c>
      <c r="F643" s="3" t="str">
        <f>IFERROR(__xludf.DUMMYFUNCTION("""COMPUTED_VALUE"""),"Autoclave - Oring 70 x 59 x 5.5 mm Viton Custom/Lokal  -")</f>
        <v>Autoclave - Oring 70 x 59 x 5.5 mm Viton Custom/Lokal  -</v>
      </c>
      <c r="G643" s="3">
        <f>IFERROR(__xludf.DUMMYFUNCTION("""COMPUTED_VALUE"""),5.0)</f>
        <v>5</v>
      </c>
      <c r="H643" s="3" t="str">
        <f>IFERROR(__xludf.DUMMYFUNCTION("""COMPUTED_VALUE"""),"pcs")</f>
        <v>pcs</v>
      </c>
      <c r="I643" s="3" t="str">
        <f>IFERROR(__xludf.DUMMYFUNCTION("""COMPUTED_VALUE"""),"Buat Heater autoclave lab mikro ")</f>
        <v>Buat Heater autoclave lab mikro </v>
      </c>
      <c r="J643" s="3" t="str">
        <f>IFERROR(__xludf.DUMMYFUNCTION("""COMPUTED_VALUE"""),"O-20294-00")</f>
        <v>O-20294-00</v>
      </c>
      <c r="K643" s="3" t="str">
        <f>IFERROR(__xludf.DUMMYFUNCTION("""COMPUTED_VALUE"""),"Approve")</f>
        <v>Approve</v>
      </c>
      <c r="L643" s="3" t="str">
        <f>IFERROR(__xludf.DUMMYFUNCTION("""COMPUTED_VALUE"""),"Normal")</f>
        <v>Normal</v>
      </c>
      <c r="M643" s="3" t="str">
        <f>IFERROR(__xludf.DUMMYFUNCTION("""COMPUTED_VALUE"""),"Non Urgent")</f>
        <v>Non Urgent</v>
      </c>
      <c r="N643" s="3">
        <f>IFERROR(__xludf.DUMMYFUNCTION("""COMPUTED_VALUE"""),46206.664833773146)</f>
        <v>46206.66483</v>
      </c>
    </row>
    <row r="644">
      <c r="A644" s="4">
        <f>IFERROR(__xludf.DUMMYFUNCTION("""COMPUTED_VALUE"""),46216.16260428241)</f>
        <v>46216.1626</v>
      </c>
      <c r="B644" s="3" t="str">
        <f>IFERROR(__xludf.DUMMYFUNCTION("""COMPUTED_VALUE"""),"ROSRO0035")</f>
        <v>ROSRO0035</v>
      </c>
      <c r="C644" s="3" t="str">
        <f>IFERROR(__xludf.DUMMYFUNCTION("""COMPUTED_VALUE"""),"EJO")</f>
        <v>EJO</v>
      </c>
      <c r="D644" s="3" t="str">
        <f>IFERROR(__xludf.DUMMYFUNCTION("""COMPUTED_VALUE"""),"EJO/2026/06/114")</f>
        <v>EJO/2026/06/114</v>
      </c>
      <c r="E644" s="3" t="str">
        <f>IFERROR(__xludf.DUMMYFUNCTION("""COMPUTED_VALUE"""),"Washing ")</f>
        <v>Washing </v>
      </c>
      <c r="F644" s="3" t="str">
        <f>IFERROR(__xludf.DUMMYFUNCTION("""COMPUTED_VALUE"""),"Strainer Machine - Strainer Crabs CR4 Capping 18X20 mm Custom/Lokal")</f>
        <v>Strainer Machine - Strainer Crabs CR4 Capping 18X20 mm Custom/Lokal</v>
      </c>
      <c r="G644" s="3">
        <f>IFERROR(__xludf.DUMMYFUNCTION("""COMPUTED_VALUE"""),1.0)</f>
        <v>1</v>
      </c>
      <c r="H644" s="3" t="str">
        <f>IFERROR(__xludf.DUMMYFUNCTION("""COMPUTED_VALUE"""),"pcs")</f>
        <v>pcs</v>
      </c>
      <c r="I644" s="3" t="str">
        <f>IFERROR(__xludf.DUMMYFUNCTION("""COMPUTED_VALUE"""),"drain washing ")</f>
        <v>drain washing </v>
      </c>
      <c r="J644" s="3" t="str">
        <f>IFERROR(__xludf.DUMMYFUNCTION("""COMPUTED_VALUE"""),"O-20292-00")</f>
        <v>O-20292-00</v>
      </c>
      <c r="K644" s="3" t="str">
        <f>IFERROR(__xludf.DUMMYFUNCTION("""COMPUTED_VALUE"""),"Approve")</f>
        <v>Approve</v>
      </c>
      <c r="L644" s="3" t="str">
        <f>IFERROR(__xludf.DUMMYFUNCTION("""COMPUTED_VALUE"""),"Normal")</f>
        <v>Normal</v>
      </c>
      <c r="M644" s="3" t="str">
        <f>IFERROR(__xludf.DUMMYFUNCTION("""COMPUTED_VALUE"""),"Non Urgent")</f>
        <v>Non Urgent</v>
      </c>
      <c r="N644" s="3">
        <f>IFERROR(__xludf.DUMMYFUNCTION("""COMPUTED_VALUE"""),46223.467510092596)</f>
        <v>46223.46751</v>
      </c>
    </row>
    <row r="645">
      <c r="A645" s="4">
        <f>IFERROR(__xludf.DUMMYFUNCTION("""COMPUTED_VALUE"""),46218.749626909725)</f>
        <v>46218.74963</v>
      </c>
      <c r="B645" s="3" t="str">
        <f>IFERROR(__xludf.DUMMYFUNCTION("""COMPUTED_VALUE"""),"NDSRO0022")</f>
        <v>NDSRO0022</v>
      </c>
      <c r="C645" s="3" t="str">
        <f>IFERROR(__xludf.DUMMYFUNCTION("""COMPUTED_VALUE"""),"MIn Stok")</f>
        <v>MIn Stok</v>
      </c>
      <c r="D645" s="3" t="str">
        <f>IFERROR(__xludf.DUMMYFUNCTION("""COMPUTED_VALUE"""),"-")</f>
        <v>-</v>
      </c>
      <c r="E645" s="3" t="str">
        <f>IFERROR(__xludf.DUMMYFUNCTION("""COMPUTED_VALUE"""),"Cartoning")</f>
        <v>Cartoning</v>
      </c>
      <c r="F645" s="3" t="str">
        <f>IFERROR(__xludf.DUMMYFUNCTION("""COMPUTED_VALUE"""),"Marchesini MA255 Cartoning Machine - Flat Belt, 728 x 40 x 1 mm; Custom/Lokal; -; 1 unt")</f>
        <v>Marchesini MA255 Cartoning Machine - Flat Belt, 728 x 40 x 1 mm; Custom/Lokal; -; 1 unt</v>
      </c>
      <c r="G645" s="3">
        <f>IFERROR(__xludf.DUMMYFUNCTION("""COMPUTED_VALUE"""),2.0)</f>
        <v>2</v>
      </c>
      <c r="H645" s="3" t="str">
        <f>IFERROR(__xludf.DUMMYFUNCTION("""COMPUTED_VALUE"""),"Pcs")</f>
        <v>Pcs</v>
      </c>
      <c r="I645" s="3" t="str">
        <f>IFERROR(__xludf.DUMMYFUNCTION("""COMPUTED_VALUE"""),"untuk spare, karena di sparepart stock habis")</f>
        <v>untuk spare, karena di sparepart stock habis</v>
      </c>
      <c r="J645" s="3" t="str">
        <f>IFERROR(__xludf.DUMMYFUNCTION("""COMPUTED_VALUE"""),"O-13617-00")</f>
        <v>O-13617-00</v>
      </c>
      <c r="K645" s="3" t="str">
        <f>IFERROR(__xludf.DUMMYFUNCTION("""COMPUTED_VALUE"""),"Approve")</f>
        <v>Approve</v>
      </c>
      <c r="L645" s="3" t="str">
        <f>IFERROR(__xludf.DUMMYFUNCTION("""COMPUTED_VALUE"""),"Normal")</f>
        <v>Normal</v>
      </c>
      <c r="M645" s="3" t="str">
        <f>IFERROR(__xludf.DUMMYFUNCTION("""COMPUTED_VALUE"""),"Non Urgent")</f>
        <v>Non Urgent</v>
      </c>
      <c r="N645" s="3">
        <f>IFERROR(__xludf.DUMMYFUNCTION("""COMPUTED_VALUE"""),46223.469315069444)</f>
        <v>46223.46932</v>
      </c>
    </row>
    <row r="646">
      <c r="A646" s="4">
        <f>IFERROR(__xludf.DUMMYFUNCTION("""COMPUTED_VALUE"""),46221.281111585646)</f>
        <v>46221.28111</v>
      </c>
      <c r="B646" s="3" t="str">
        <f>IFERROR(__xludf.DUMMYFUNCTION("""COMPUTED_VALUE"""),"ROSRO0036")</f>
        <v>ROSRO0036</v>
      </c>
      <c r="C646" s="3" t="str">
        <f>IFERROR(__xludf.DUMMYFUNCTION("""COMPUTED_VALUE"""),"MIn Stok")</f>
        <v>MIn Stok</v>
      </c>
      <c r="D646" s="3" t="str">
        <f>IFERROR(__xludf.DUMMYFUNCTION("""COMPUTED_VALUE"""),"-")</f>
        <v>-</v>
      </c>
      <c r="E646" s="3" t="str">
        <f>IFERROR(__xludf.DUMMYFUNCTION("""COMPUTED_VALUE"""),"crabs")</f>
        <v>crabs</v>
      </c>
      <c r="F646" s="3" t="str">
        <f>IFERROR(__xludf.DUMMYFUNCTION("""COMPUTED_VALUE"""),"cRABS Z064CR - Glove Port Pom White Uk: 227x310x15.25mm; Custom/Lokal; -; 1 Pc")</f>
        <v>cRABS Z064CR - Glove Port Pom White Uk: 227x310x15.25mm; Custom/Lokal; -; 1 Pc</v>
      </c>
      <c r="G646" s="3">
        <f>IFERROR(__xludf.DUMMYFUNCTION("""COMPUTED_VALUE"""),2.0)</f>
        <v>2</v>
      </c>
      <c r="H646" s="3" t="str">
        <f>IFERROR(__xludf.DUMMYFUNCTION("""COMPUTED_VALUE"""),"pcs")</f>
        <v>pcs</v>
      </c>
      <c r="I646" s="3" t="str">
        <f>IFERROR(__xludf.DUMMYFUNCTION("""COMPUTED_VALUE"""),"1 buat Spare 
1 buat pergantian di CR4 capping")</f>
        <v>1 buat Spare 
1 buat pergantian di CR4 capping</v>
      </c>
      <c r="J646" s="3" t="str">
        <f>IFERROR(__xludf.DUMMYFUNCTION("""COMPUTED_VALUE"""),"O-20918-00")</f>
        <v>O-20918-00</v>
      </c>
      <c r="K646" s="3" t="str">
        <f>IFERROR(__xludf.DUMMYFUNCTION("""COMPUTED_VALUE"""),"Approve")</f>
        <v>Approve</v>
      </c>
      <c r="L646" s="3" t="str">
        <f>IFERROR(__xludf.DUMMYFUNCTION("""COMPUTED_VALUE"""),"Normal")</f>
        <v>Normal</v>
      </c>
      <c r="M646" s="3" t="str">
        <f>IFERROR(__xludf.DUMMYFUNCTION("""COMPUTED_VALUE"""),"Non Urgent")</f>
        <v>Non Urgent</v>
      </c>
      <c r="N646" s="3">
        <f>IFERROR(__xludf.DUMMYFUNCTION("""COMPUTED_VALUE"""),46223.46697155092)</f>
        <v>46223.46697</v>
      </c>
    </row>
    <row r="647">
      <c r="A647" s="4">
        <f>IFERROR(__xludf.DUMMYFUNCTION("""COMPUTED_VALUE"""),46225.60162252315)</f>
        <v>46225.60162</v>
      </c>
      <c r="B647" s="3" t="str">
        <f>IFERROR(__xludf.DUMMYFUNCTION("""COMPUTED_VALUE"""),"RIARO0098")</f>
        <v>RIARO0098</v>
      </c>
      <c r="C647" s="3" t="str">
        <f>IFERROR(__xludf.DUMMYFUNCTION("""COMPUTED_VALUE"""),"EJO")</f>
        <v>EJO</v>
      </c>
      <c r="D647" s="3" t="str">
        <f>IFERROR(__xludf.DUMMYFUNCTION("""COMPUTED_VALUE"""),"-")</f>
        <v>-</v>
      </c>
      <c r="E647" s="3" t="str">
        <f>IFERROR(__xludf.DUMMYFUNCTION("""COMPUTED_VALUE"""),"EF C1-41")</f>
        <v>EF C1-41</v>
      </c>
      <c r="F647" s="3" t="str">
        <f>IFERROR(__xludf.DUMMYFUNCTION("""COMPUTED_VALUE"""),"General - Actuator; Belimo; GMX120-3; 1 pcs")</f>
        <v>General - Actuator; Belimo; GMX120-3; 1 pcs</v>
      </c>
      <c r="G647" s="3">
        <f>IFERROR(__xludf.DUMMYFUNCTION("""COMPUTED_VALUE"""),1.0)</f>
        <v>1</v>
      </c>
      <c r="H647" s="3" t="str">
        <f>IFERROR(__xludf.DUMMYFUNCTION("""COMPUTED_VALUE"""),"Pcs")</f>
        <v>Pcs</v>
      </c>
      <c r="I647" s="3" t="str">
        <f>IFERROR(__xludf.DUMMYFUNCTION("""COMPUTED_VALUE"""),"Untuk motorized damper EF C1-41")</f>
        <v>Untuk motorized damper EF C1-41</v>
      </c>
      <c r="J647" s="3" t="str">
        <f>IFERROR(__xludf.DUMMYFUNCTION("""COMPUTED_VALUE"""),"P-53094-00")</f>
        <v>P-53094-00</v>
      </c>
      <c r="K647" s="3" t="str">
        <f>IFERROR(__xludf.DUMMYFUNCTION("""COMPUTED_VALUE"""),"Approve")</f>
        <v>Approve</v>
      </c>
      <c r="L647" s="3" t="str">
        <f>IFERROR(__xludf.DUMMYFUNCTION("""COMPUTED_VALUE"""),"Normal")</f>
        <v>Normal</v>
      </c>
      <c r="M647" s="3" t="str">
        <f>IFERROR(__xludf.DUMMYFUNCTION("""COMPUTED_VALUE"""),"Non Urgent")</f>
        <v>Non Urgent</v>
      </c>
      <c r="N647" s="3">
        <f>IFERROR(__xludf.DUMMYFUNCTION("""COMPUTED_VALUE"""),46254.79612856482)</f>
        <v>46254.79613</v>
      </c>
    </row>
    <row r="648">
      <c r="A648" s="4">
        <f>IFERROR(__xludf.DUMMYFUNCTION("""COMPUTED_VALUE"""),46225.60261159722)</f>
        <v>46225.60261</v>
      </c>
      <c r="B648" s="3" t="str">
        <f>IFERROR(__xludf.DUMMYFUNCTION("""COMPUTED_VALUE"""),"RIARO0099")</f>
        <v>RIARO0099</v>
      </c>
      <c r="C648" s="3" t="str">
        <f>IFERROR(__xludf.DUMMYFUNCTION("""COMPUTED_VALUE"""),"EJO")</f>
        <v>EJO</v>
      </c>
      <c r="D648" s="3" t="str">
        <f>IFERROR(__xludf.DUMMYFUNCTION("""COMPUTED_VALUE"""),"-")</f>
        <v>-</v>
      </c>
      <c r="E648" s="3" t="str">
        <f>IFERROR(__xludf.DUMMYFUNCTION("""COMPUTED_VALUE"""),"EF D1-12")</f>
        <v>EF D1-12</v>
      </c>
      <c r="F648" s="3" t="str">
        <f>IFERROR(__xludf.DUMMYFUNCTION("""COMPUTED_VALUE"""),"General - Motorize Valve; Belimo; NMX 120-3; 1 pc")</f>
        <v>General - Motorize Valve; Belimo; NMX 120-3; 1 pc</v>
      </c>
      <c r="G648" s="3">
        <f>IFERROR(__xludf.DUMMYFUNCTION("""COMPUTED_VALUE"""),1.0)</f>
        <v>1</v>
      </c>
      <c r="H648" s="3" t="str">
        <f>IFERROR(__xludf.DUMMYFUNCTION("""COMPUTED_VALUE"""),"Pcs")</f>
        <v>Pcs</v>
      </c>
      <c r="I648" s="3" t="str">
        <f>IFERROR(__xludf.DUMMYFUNCTION("""COMPUTED_VALUE"""),"Untuk ganti motorized damper")</f>
        <v>Untuk ganti motorized damper</v>
      </c>
      <c r="J648" s="3" t="str">
        <f>IFERROR(__xludf.DUMMYFUNCTION("""COMPUTED_VALUE"""),"P-20637-00")</f>
        <v>P-20637-00</v>
      </c>
      <c r="K648" s="3" t="str">
        <f>IFERROR(__xludf.DUMMYFUNCTION("""COMPUTED_VALUE"""),"Approve")</f>
        <v>Approve</v>
      </c>
      <c r="L648" s="3" t="str">
        <f>IFERROR(__xludf.DUMMYFUNCTION("""COMPUTED_VALUE"""),"Normal")</f>
        <v>Normal</v>
      </c>
      <c r="M648" s="3" t="str">
        <f>IFERROR(__xludf.DUMMYFUNCTION("""COMPUTED_VALUE"""),"Non Urgent")</f>
        <v>Non Urgent</v>
      </c>
      <c r="N648" s="3">
        <f>IFERROR(__xludf.DUMMYFUNCTION("""COMPUTED_VALUE"""),46254.79956534722)</f>
        <v>46254.79957</v>
      </c>
    </row>
    <row r="649">
      <c r="A649" s="4">
        <f>IFERROR(__xludf.DUMMYFUNCTION("""COMPUTED_VALUE"""),46225.60990728009)</f>
        <v>46225.60991</v>
      </c>
      <c r="B649" s="3" t="str">
        <f>IFERROR(__xludf.DUMMYFUNCTION("""COMPUTED_VALUE"""),"RIARO0100")</f>
        <v>RIARO0100</v>
      </c>
      <c r="C649" s="3" t="str">
        <f>IFERROR(__xludf.DUMMYFUNCTION("""COMPUTED_VALUE"""),"EJO")</f>
        <v>EJO</v>
      </c>
      <c r="D649" s="3" t="str">
        <f>IFERROR(__xludf.DUMMYFUNCTION("""COMPUTED_VALUE"""),"EJO/2026/08/024")</f>
        <v>EJO/2026/08/024</v>
      </c>
      <c r="E649" s="3" t="str">
        <f>IFERROR(__xludf.DUMMYFUNCTION("""COMPUTED_VALUE"""),"AHU C12")</f>
        <v>AHU C12</v>
      </c>
      <c r="F649" s="3" t="str">
        <f>IFERROR(__xludf.DUMMYFUNCTION("""COMPUTED_VALUE"""),"General - Actuator; Belimo; GMX120-3; 1 pcs")</f>
        <v>General - Actuator; Belimo; GMX120-3; 1 pcs</v>
      </c>
      <c r="G649" s="3">
        <f>IFERROR(__xludf.DUMMYFUNCTION("""COMPUTED_VALUE"""),1.0)</f>
        <v>1</v>
      </c>
      <c r="H649" s="3" t="str">
        <f>IFERROR(__xludf.DUMMYFUNCTION("""COMPUTED_VALUE"""),"Pcs")</f>
        <v>Pcs</v>
      </c>
      <c r="I649" s="3" t="str">
        <f>IFERROR(__xludf.DUMMYFUNCTION("""COMPUTED_VALUE"""),"Untuk ganti motorized damper")</f>
        <v>Untuk ganti motorized damper</v>
      </c>
      <c r="J649" s="3" t="str">
        <f>IFERROR(__xludf.DUMMYFUNCTION("""COMPUTED_VALUE"""),"P-53094-00")</f>
        <v>P-53094-00</v>
      </c>
      <c r="K649" s="3" t="str">
        <f>IFERROR(__xludf.DUMMYFUNCTION("""COMPUTED_VALUE"""),"Approve")</f>
        <v>Approve</v>
      </c>
      <c r="L649" s="3" t="str">
        <f>IFERROR(__xludf.DUMMYFUNCTION("""COMPUTED_VALUE"""),"Normal")</f>
        <v>Normal</v>
      </c>
      <c r="M649" s="3" t="str">
        <f>IFERROR(__xludf.DUMMYFUNCTION("""COMPUTED_VALUE"""),"Non Urgent")</f>
        <v>Non Urgent</v>
      </c>
      <c r="N649" s="3">
        <f>IFERROR(__xludf.DUMMYFUNCTION("""COMPUTED_VALUE"""),46254.79662731482)</f>
        <v>46254.79663</v>
      </c>
    </row>
    <row r="650">
      <c r="A650" s="4">
        <f>IFERROR(__xludf.DUMMYFUNCTION("""COMPUTED_VALUE"""),46225.62660643518)</f>
        <v>46225.62661</v>
      </c>
      <c r="B650" s="3" t="str">
        <f>IFERROR(__xludf.DUMMYFUNCTION("""COMPUTED_VALUE"""),"RIARO0101")</f>
        <v>RIARO0101</v>
      </c>
      <c r="C650" s="3" t="str">
        <f>IFERROR(__xludf.DUMMYFUNCTION("""COMPUTED_VALUE"""),"EJO")</f>
        <v>EJO</v>
      </c>
      <c r="D650" s="3" t="str">
        <f>IFERROR(__xludf.DUMMYFUNCTION("""COMPUTED_VALUE"""),"EJO/2026/08/021")</f>
        <v>EJO/2026/08/021</v>
      </c>
      <c r="E650" s="3" t="str">
        <f>IFERROR(__xludf.DUMMYFUNCTION("""COMPUTED_VALUE"""),"EF D1-12")</f>
        <v>EF D1-12</v>
      </c>
      <c r="F650" s="3" t="str">
        <f>IFERROR(__xludf.DUMMYFUNCTION("""COMPUTED_VALUE"""),"General - Motorize Valve; Belimo; NMX 120-3; 1 pc")</f>
        <v>General - Motorize Valve; Belimo; NMX 120-3; 1 pc</v>
      </c>
      <c r="G650" s="3">
        <f>IFERROR(__xludf.DUMMYFUNCTION("""COMPUTED_VALUE"""),1.0)</f>
        <v>1</v>
      </c>
      <c r="H650" s="3" t="str">
        <f>IFERROR(__xludf.DUMMYFUNCTION("""COMPUTED_VALUE"""),"Pcs")</f>
        <v>Pcs</v>
      </c>
      <c r="I650" s="3" t="str">
        <f>IFERROR(__xludf.DUMMYFUNCTION("""COMPUTED_VALUE"""),"Untuk ganti motorized damper")</f>
        <v>Untuk ganti motorized damper</v>
      </c>
      <c r="J650" s="3" t="str">
        <f>IFERROR(__xludf.DUMMYFUNCTION("""COMPUTED_VALUE"""),"P-20637-00")</f>
        <v>P-20637-00</v>
      </c>
      <c r="K650" s="3" t="str">
        <f>IFERROR(__xludf.DUMMYFUNCTION("""COMPUTED_VALUE"""),"Approve")</f>
        <v>Approve</v>
      </c>
      <c r="L650" s="3" t="str">
        <f>IFERROR(__xludf.DUMMYFUNCTION("""COMPUTED_VALUE"""),"Normal")</f>
        <v>Normal</v>
      </c>
      <c r="M650" s="3" t="str">
        <f>IFERROR(__xludf.DUMMYFUNCTION("""COMPUTED_VALUE"""),"Non Urgent")</f>
        <v>Non Urgent</v>
      </c>
      <c r="N650" s="3">
        <f>IFERROR(__xludf.DUMMYFUNCTION("""COMPUTED_VALUE"""),46254.797249826384)</f>
        <v>46254.79725</v>
      </c>
    </row>
    <row r="651">
      <c r="A651" s="4">
        <f>IFERROR(__xludf.DUMMYFUNCTION("""COMPUTED_VALUE"""),46225.62832565972)</f>
        <v>46225.62833</v>
      </c>
      <c r="B651" s="3" t="str">
        <f>IFERROR(__xludf.DUMMYFUNCTION("""COMPUTED_VALUE"""),"RIARO0102")</f>
        <v>RIARO0102</v>
      </c>
      <c r="C651" s="3" t="str">
        <f>IFERROR(__xludf.DUMMYFUNCTION("""COMPUTED_VALUE"""),"EJO")</f>
        <v>EJO</v>
      </c>
      <c r="D651" s="3" t="str">
        <f>IFERROR(__xludf.DUMMYFUNCTION("""COMPUTED_VALUE"""),"EJO/2026/08/022")</f>
        <v>EJO/2026/08/022</v>
      </c>
      <c r="E651" s="3" t="str">
        <f>IFERROR(__xludf.DUMMYFUNCTION("""COMPUTED_VALUE"""),"AHU D1-1")</f>
        <v>AHU D1-1</v>
      </c>
      <c r="F651" s="3" t="str">
        <f>IFERROR(__xludf.DUMMYFUNCTION("""COMPUTED_VALUE"""),"General - Motorize Valve; Belimo; NMX 120-3; 1 pc")</f>
        <v>General - Motorize Valve; Belimo; NMX 120-3; 1 pc</v>
      </c>
      <c r="G651" s="3">
        <f>IFERROR(__xludf.DUMMYFUNCTION("""COMPUTED_VALUE"""),1.0)</f>
        <v>1</v>
      </c>
      <c r="H651" s="3" t="str">
        <f>IFERROR(__xludf.DUMMYFUNCTION("""COMPUTED_VALUE"""),"Pcs")</f>
        <v>Pcs</v>
      </c>
      <c r="I651" s="3" t="str">
        <f>IFERROR(__xludf.DUMMYFUNCTION("""COMPUTED_VALUE"""),"Untuk ganti motorized damper")</f>
        <v>Untuk ganti motorized damper</v>
      </c>
      <c r="J651" s="3" t="str">
        <f>IFERROR(__xludf.DUMMYFUNCTION("""COMPUTED_VALUE"""),"P-20637-00")</f>
        <v>P-20637-00</v>
      </c>
      <c r="K651" s="3" t="str">
        <f>IFERROR(__xludf.DUMMYFUNCTION("""COMPUTED_VALUE"""),"Approve")</f>
        <v>Approve</v>
      </c>
      <c r="L651" s="3" t="str">
        <f>IFERROR(__xludf.DUMMYFUNCTION("""COMPUTED_VALUE"""),"Normal")</f>
        <v>Normal</v>
      </c>
      <c r="M651" s="3" t="str">
        <f>IFERROR(__xludf.DUMMYFUNCTION("""COMPUTED_VALUE"""),"Non Urgent")</f>
        <v>Non Urgent</v>
      </c>
      <c r="N651" s="3">
        <f>IFERROR(__xludf.DUMMYFUNCTION("""COMPUTED_VALUE"""),46254.796999467595)</f>
        <v>46254.797</v>
      </c>
    </row>
    <row r="652">
      <c r="A652" s="4">
        <f>IFERROR(__xludf.DUMMYFUNCTION("""COMPUTED_VALUE"""),46225.629403043975)</f>
        <v>46225.6294</v>
      </c>
      <c r="B652" s="3" t="str">
        <f>IFERROR(__xludf.DUMMYFUNCTION("""COMPUTED_VALUE"""),"RIARO0103")</f>
        <v>RIARO0103</v>
      </c>
      <c r="C652" s="3" t="str">
        <f>IFERROR(__xludf.DUMMYFUNCTION("""COMPUTED_VALUE"""),"EJO")</f>
        <v>EJO</v>
      </c>
      <c r="D652" s="3" t="str">
        <f>IFERROR(__xludf.DUMMYFUNCTION("""COMPUTED_VALUE"""),"EJO/2026/08/023")</f>
        <v>EJO/2026/08/023</v>
      </c>
      <c r="E652" s="3" t="str">
        <f>IFERROR(__xludf.DUMMYFUNCTION("""COMPUTED_VALUE"""),"AHU C13")</f>
        <v>AHU C13</v>
      </c>
      <c r="F652" s="3" t="str">
        <f>IFERROR(__xludf.DUMMYFUNCTION("""COMPUTED_VALUE"""),"General - Motorize Valve; Belimo; NMX 120-3; 1 pc")</f>
        <v>General - Motorize Valve; Belimo; NMX 120-3; 1 pc</v>
      </c>
      <c r="G652" s="3">
        <f>IFERROR(__xludf.DUMMYFUNCTION("""COMPUTED_VALUE"""),1.0)</f>
        <v>1</v>
      </c>
      <c r="H652" s="3" t="str">
        <f>IFERROR(__xludf.DUMMYFUNCTION("""COMPUTED_VALUE"""),"Pcs")</f>
        <v>Pcs</v>
      </c>
      <c r="I652" s="3" t="str">
        <f>IFERROR(__xludf.DUMMYFUNCTION("""COMPUTED_VALUE"""),"Untuk ganti motorized damper")</f>
        <v>Untuk ganti motorized damper</v>
      </c>
      <c r="J652" s="3" t="str">
        <f>IFERROR(__xludf.DUMMYFUNCTION("""COMPUTED_VALUE"""),"P-20637-00")</f>
        <v>P-20637-00</v>
      </c>
      <c r="K652" s="3" t="str">
        <f>IFERROR(__xludf.DUMMYFUNCTION("""COMPUTED_VALUE"""),"Approve")</f>
        <v>Approve</v>
      </c>
      <c r="L652" s="3" t="str">
        <f>IFERROR(__xludf.DUMMYFUNCTION("""COMPUTED_VALUE"""),"Normal")</f>
        <v>Normal</v>
      </c>
      <c r="M652" s="3" t="str">
        <f>IFERROR(__xludf.DUMMYFUNCTION("""COMPUTED_VALUE"""),"Non Urgent")</f>
        <v>Non Urgent</v>
      </c>
      <c r="N652" s="3">
        <f>IFERROR(__xludf.DUMMYFUNCTION("""COMPUTED_VALUE"""),46254.79741047454)</f>
        <v>46254.79741</v>
      </c>
    </row>
    <row r="653">
      <c r="A653" s="4">
        <f>IFERROR(__xludf.DUMMYFUNCTION("""COMPUTED_VALUE"""),46225.64109975695)</f>
        <v>46225.6411</v>
      </c>
      <c r="B653" s="3" t="str">
        <f>IFERROR(__xludf.DUMMYFUNCTION("""COMPUTED_VALUE"""),"ROSRO0037")</f>
        <v>ROSRO0037</v>
      </c>
      <c r="C653" s="3" t="str">
        <f>IFERROR(__xludf.DUMMYFUNCTION("""COMPUTED_VALUE"""),"EJO")</f>
        <v>EJO</v>
      </c>
      <c r="D653" s="3" t="str">
        <f>IFERROR(__xludf.DUMMYFUNCTION("""COMPUTED_VALUE"""),"EJO Menyusul")</f>
        <v>EJO Menyusul</v>
      </c>
      <c r="E653" s="3" t="str">
        <f>IFERROR(__xludf.DUMMYFUNCTION("""COMPUTED_VALUE"""),"CC1000 retained")</f>
        <v>CC1000 retained</v>
      </c>
      <c r="F653" s="3" t="str">
        <f>IFERROR(__xludf.DUMMYFUNCTION("""COMPUTED_VALUE"""),"CC600L Machine - Coil Evaporator Uk. 40 cm x 15 x 15, Material Tembaga; Custom/Lokal; -; 1 Unit")</f>
        <v>CC600L Machine - Coil Evaporator Uk. 40 cm x 15 x 15, Material Tembaga; Custom/Lokal; -; 1 Unit</v>
      </c>
      <c r="G653" s="3">
        <f>IFERROR(__xludf.DUMMYFUNCTION("""COMPUTED_VALUE"""),1.0)</f>
        <v>1</v>
      </c>
      <c r="H653" s="3" t="str">
        <f>IFERROR(__xludf.DUMMYFUNCTION("""COMPUTED_VALUE"""),"pcs")</f>
        <v>pcs</v>
      </c>
      <c r="I653" s="3" t="str">
        <f>IFERROR(__xludf.DUMMYFUNCTION("""COMPUTED_VALUE"""),"buat CC 1000 Retained")</f>
        <v>buat CC 1000 Retained</v>
      </c>
      <c r="J653" s="3" t="str">
        <f>IFERROR(__xludf.DUMMYFUNCTION("""COMPUTED_VALUE"""),"O-19911-00")</f>
        <v>O-19911-00</v>
      </c>
      <c r="K653" s="3" t="str">
        <f>IFERROR(__xludf.DUMMYFUNCTION("""COMPUTED_VALUE"""),"Approve")</f>
        <v>Approve</v>
      </c>
      <c r="L653" s="3" t="str">
        <f>IFERROR(__xludf.DUMMYFUNCTION("""COMPUTED_VALUE"""),"Normal")</f>
        <v>Normal</v>
      </c>
      <c r="M653" s="3" t="str">
        <f>IFERROR(__xludf.DUMMYFUNCTION("""COMPUTED_VALUE"""),"Non Urgent")</f>
        <v>Non Urgent</v>
      </c>
      <c r="N653" s="3">
        <f>IFERROR(__xludf.DUMMYFUNCTION("""COMPUTED_VALUE"""),46237.549602430554)</f>
        <v>46237.5496</v>
      </c>
    </row>
    <row r="654">
      <c r="A654" s="4">
        <f>IFERROR(__xludf.DUMMYFUNCTION("""COMPUTED_VALUE"""),46233.63903380788)</f>
        <v>46233.63903</v>
      </c>
      <c r="B654" s="3" t="str">
        <f>IFERROR(__xludf.DUMMYFUNCTION("""COMPUTED_VALUE"""),"SFHRO0047")</f>
        <v>SFHRO0047</v>
      </c>
      <c r="C654" s="3" t="str">
        <f>IFERROR(__xludf.DUMMYFUNCTION("""COMPUTED_VALUE"""),"MIn Stok")</f>
        <v>MIn Stok</v>
      </c>
      <c r="D654" s="3" t="str">
        <f>IFERROR(__xludf.DUMMYFUNCTION("""COMPUTED_VALUE"""),"-")</f>
        <v>-</v>
      </c>
      <c r="E654" s="3" t="str">
        <f>IFERROR(__xludf.DUMMYFUNCTION("""COMPUTED_VALUE"""),"lantai 2")</f>
        <v>lantai 2</v>
      </c>
      <c r="F654" s="3" t="str">
        <f>IFERROR(__xludf.DUMMYFUNCTION("""COMPUTED_VALUE"""),"Kuas Cat Roller uk. 110 mm;No Brand;;pack size per set")</f>
        <v>Kuas Cat Roller uk. 110 mm;No Brand;;pack size per set</v>
      </c>
      <c r="G654" s="3">
        <f>IFERROR(__xludf.DUMMYFUNCTION("""COMPUTED_VALUE"""),30.0)</f>
        <v>30</v>
      </c>
      <c r="H654" s="3" t="str">
        <f>IFERROR(__xludf.DUMMYFUNCTION("""COMPUTED_VALUE"""),"pcs")</f>
        <v>pcs</v>
      </c>
      <c r="I654" s="3" t="str">
        <f>IFERROR(__xludf.DUMMYFUNCTION("""COMPUTED_VALUE"""),"-")</f>
        <v>-</v>
      </c>
      <c r="J654" s="3" t="str">
        <f>IFERROR(__xludf.DUMMYFUNCTION("""COMPUTED_VALUE"""),"Q-10153-00")</f>
        <v>Q-10153-00</v>
      </c>
      <c r="K654" s="3" t="str">
        <f>IFERROR(__xludf.DUMMYFUNCTION("""COMPUTED_VALUE"""),"Approve")</f>
        <v>Approve</v>
      </c>
      <c r="L654" s="3" t="str">
        <f>IFERROR(__xludf.DUMMYFUNCTION("""COMPUTED_VALUE"""),"Normal")</f>
        <v>Normal</v>
      </c>
      <c r="M654" s="3" t="str">
        <f>IFERROR(__xludf.DUMMYFUNCTION("""COMPUTED_VALUE"""),"Non Urgent")</f>
        <v>Non Urgent</v>
      </c>
      <c r="N654" s="3">
        <f>IFERROR(__xludf.DUMMYFUNCTION("""COMPUTED_VALUE"""),46244.6571340625)</f>
        <v>46244.65713</v>
      </c>
    </row>
    <row r="655">
      <c r="A655" s="4">
        <f>IFERROR(__xludf.DUMMYFUNCTION("""COMPUTED_VALUE"""),46233.63916390046)</f>
        <v>46233.63916</v>
      </c>
      <c r="B655" s="3" t="str">
        <f>IFERROR(__xludf.DUMMYFUNCTION("""COMPUTED_VALUE"""),"SFHRO0048")</f>
        <v>SFHRO0048</v>
      </c>
      <c r="C655" s="3" t="str">
        <f>IFERROR(__xludf.DUMMYFUNCTION("""COMPUTED_VALUE"""),"MIn Stok")</f>
        <v>MIn Stok</v>
      </c>
      <c r="D655" s="3" t="str">
        <f>IFERROR(__xludf.DUMMYFUNCTION("""COMPUTED_VALUE"""),"-")</f>
        <v>-</v>
      </c>
      <c r="E655" s="3" t="str">
        <f>IFERROR(__xludf.DUMMYFUNCTION("""COMPUTED_VALUE"""),"lantai 2")</f>
        <v>lantai 2</v>
      </c>
      <c r="F655" s="3" t="str">
        <f>IFERROR(__xludf.DUMMYFUNCTION("""COMPUTED_VALUE"""),"Kuas Cat Roller uk. 230 mm;No Brand;;pack size per set")</f>
        <v>Kuas Cat Roller uk. 230 mm;No Brand;;pack size per set</v>
      </c>
      <c r="G655" s="3">
        <f>IFERROR(__xludf.DUMMYFUNCTION("""COMPUTED_VALUE"""),10.0)</f>
        <v>10</v>
      </c>
      <c r="H655" s="3" t="str">
        <f>IFERROR(__xludf.DUMMYFUNCTION("""COMPUTED_VALUE"""),"pcs")</f>
        <v>pcs</v>
      </c>
      <c r="I655" s="3" t="str">
        <f>IFERROR(__xludf.DUMMYFUNCTION("""COMPUTED_VALUE"""),"-")</f>
        <v>-</v>
      </c>
      <c r="J655" s="3" t="str">
        <f>IFERROR(__xludf.DUMMYFUNCTION("""COMPUTED_VALUE"""),"Q-10154-00")</f>
        <v>Q-10154-00</v>
      </c>
      <c r="K655" s="3" t="str">
        <f>IFERROR(__xludf.DUMMYFUNCTION("""COMPUTED_VALUE"""),"Approve")</f>
        <v>Approve</v>
      </c>
      <c r="L655" s="3" t="str">
        <f>IFERROR(__xludf.DUMMYFUNCTION("""COMPUTED_VALUE"""),"Normal")</f>
        <v>Normal</v>
      </c>
      <c r="M655" s="3" t="str">
        <f>IFERROR(__xludf.DUMMYFUNCTION("""COMPUTED_VALUE"""),"Non Urgent")</f>
        <v>Non Urgent</v>
      </c>
      <c r="N655" s="3">
        <f>IFERROR(__xludf.DUMMYFUNCTION("""COMPUTED_VALUE"""),46244.65740649306)</f>
        <v>46244.65741</v>
      </c>
    </row>
    <row r="656">
      <c r="A656" s="4">
        <f>IFERROR(__xludf.DUMMYFUNCTION("""COMPUTED_VALUE"""),46233.66596554398)</f>
        <v>46233.66597</v>
      </c>
      <c r="B656" s="3" t="str">
        <f>IFERROR(__xludf.DUMMYFUNCTION("""COMPUTED_VALUE"""),"SFHRO0049")</f>
        <v>SFHRO0049</v>
      </c>
      <c r="C656" s="3" t="str">
        <f>IFERROR(__xludf.DUMMYFUNCTION("""COMPUTED_VALUE"""),"MIn Stok")</f>
        <v>MIn Stok</v>
      </c>
      <c r="D656" s="3" t="str">
        <f>IFERROR(__xludf.DUMMYFUNCTION("""COMPUTED_VALUE"""),"-")</f>
        <v>-</v>
      </c>
      <c r="E656" s="3" t="str">
        <f>IFERROR(__xludf.DUMMYFUNCTION("""COMPUTED_VALUE"""),"lantai 2")</f>
        <v>lantai 2</v>
      </c>
      <c r="F656" s="3" t="str">
        <f>IFERROR(__xludf.DUMMYFUNCTION("""COMPUTED_VALUE"""),"Compound / Kompon Gypsum;No Brand;;pack size 20 kg per pck")</f>
        <v>Compound / Kompon Gypsum;No Brand;;pack size 20 kg per pck</v>
      </c>
      <c r="G656" s="3">
        <f>IFERROR(__xludf.DUMMYFUNCTION("""COMPUTED_VALUE"""),5.0)</f>
        <v>5</v>
      </c>
      <c r="H656" s="3" t="str">
        <f>IFERROR(__xludf.DUMMYFUNCTION("""COMPUTED_VALUE"""),"sak")</f>
        <v>sak</v>
      </c>
      <c r="I656" s="3" t="str">
        <f>IFERROR(__xludf.DUMMYFUNCTION("""COMPUTED_VALUE"""),"-")</f>
        <v>-</v>
      </c>
      <c r="J656" s="3" t="str">
        <f>IFERROR(__xludf.DUMMYFUNCTION("""COMPUTED_VALUE"""),"Q-10302-00")</f>
        <v>Q-10302-00</v>
      </c>
      <c r="K656" s="3" t="str">
        <f>IFERROR(__xludf.DUMMYFUNCTION("""COMPUTED_VALUE"""),"Approve")</f>
        <v>Approve</v>
      </c>
      <c r="L656" s="3" t="str">
        <f>IFERROR(__xludf.DUMMYFUNCTION("""COMPUTED_VALUE"""),"Normal")</f>
        <v>Normal</v>
      </c>
      <c r="M656" s="3" t="str">
        <f>IFERROR(__xludf.DUMMYFUNCTION("""COMPUTED_VALUE"""),"Non Urgent")</f>
        <v>Non Urgent</v>
      </c>
      <c r="N656" s="3">
        <f>IFERROR(__xludf.DUMMYFUNCTION("""COMPUTED_VALUE"""),46244.65758579861)</f>
        <v>46244.65759</v>
      </c>
    </row>
    <row r="657">
      <c r="A657" s="4">
        <f>IFERROR(__xludf.DUMMYFUNCTION("""COMPUTED_VALUE"""),46233.66660667824)</f>
        <v>46233.66661</v>
      </c>
      <c r="B657" s="3" t="str">
        <f>IFERROR(__xludf.DUMMYFUNCTION("""COMPUTED_VALUE"""),"SFHRO0050")</f>
        <v>SFHRO0050</v>
      </c>
      <c r="C657" s="3" t="str">
        <f>IFERROR(__xludf.DUMMYFUNCTION("""COMPUTED_VALUE"""),"Consumable")</f>
        <v>Consumable</v>
      </c>
      <c r="D657" s="3" t="str">
        <f>IFERROR(__xludf.DUMMYFUNCTION("""COMPUTED_VALUE"""),"-")</f>
        <v>-</v>
      </c>
      <c r="E657" s="3" t="str">
        <f>IFERROR(__xludf.DUMMYFUNCTION("""COMPUTED_VALUE"""),"lantai 2")</f>
        <v>lantai 2</v>
      </c>
      <c r="F657" s="3" t="str">
        <f>IFERROR(__xludf.DUMMYFUNCTION("""COMPUTED_VALUE"""),"Silicone Sealant, Silglaze, Type N10 Grey, pack size per pcs")</f>
        <v>Silicone Sealant, Silglaze, Type N10 Grey, pack size per pcs</v>
      </c>
      <c r="G657" s="3">
        <f>IFERROR(__xludf.DUMMYFUNCTION("""COMPUTED_VALUE"""),50.0)</f>
        <v>50</v>
      </c>
      <c r="H657" s="3" t="str">
        <f>IFERROR(__xludf.DUMMYFUNCTION("""COMPUTED_VALUE"""),"pcs")</f>
        <v>pcs</v>
      </c>
      <c r="I657" s="3" t="str">
        <f>IFERROR(__xludf.DUMMYFUNCTION("""COMPUTED_VALUE"""),"buat sealant lantai temuan pak kris")</f>
        <v>buat sealant lantai temuan pak kris</v>
      </c>
      <c r="J657" s="3" t="str">
        <f>IFERROR(__xludf.DUMMYFUNCTION("""COMPUTED_VALUE"""),"Q-60500-00")</f>
        <v>Q-60500-00</v>
      </c>
      <c r="K657" s="3" t="str">
        <f>IFERROR(__xludf.DUMMYFUNCTION("""COMPUTED_VALUE"""),"Approve")</f>
        <v>Approve</v>
      </c>
      <c r="L657" s="3" t="str">
        <f>IFERROR(__xludf.DUMMYFUNCTION("""COMPUTED_VALUE"""),"Normal")</f>
        <v>Normal</v>
      </c>
      <c r="M657" s="3" t="str">
        <f>IFERROR(__xludf.DUMMYFUNCTION("""COMPUTED_VALUE"""),"Non Urgent")</f>
        <v>Non Urgent</v>
      </c>
      <c r="N657" s="3">
        <f>IFERROR(__xludf.DUMMYFUNCTION("""COMPUTED_VALUE"""),46244.657924178246)</f>
        <v>46244.65792</v>
      </c>
    </row>
    <row r="658">
      <c r="A658" s="4">
        <f>IFERROR(__xludf.DUMMYFUNCTION("""COMPUTED_VALUE"""),46233.6675984375)</f>
        <v>46233.6676</v>
      </c>
      <c r="B658" s="3" t="str">
        <f>IFERROR(__xludf.DUMMYFUNCTION("""COMPUTED_VALUE"""),"SFHRO0051")</f>
        <v>SFHRO0051</v>
      </c>
      <c r="C658" s="3" t="str">
        <f>IFERROR(__xludf.DUMMYFUNCTION("""COMPUTED_VALUE"""),"Consumable")</f>
        <v>Consumable</v>
      </c>
      <c r="D658" s="3" t="str">
        <f>IFERROR(__xludf.DUMMYFUNCTION("""COMPUTED_VALUE"""),"-")</f>
        <v>-</v>
      </c>
      <c r="E658" s="3" t="str">
        <f>IFERROR(__xludf.DUMMYFUNCTION("""COMPUTED_VALUE"""),"lantai 2")</f>
        <v>lantai 2</v>
      </c>
      <c r="F658" s="3" t="str">
        <f>IFERROR(__xludf.DUMMYFUNCTION("""COMPUTED_VALUE"""),"Cellotape / Lakban Kertas 1 inch warna Putih ; No Brand ; pack size per pcs")</f>
        <v>Cellotape / Lakban Kertas 1 inch warna Putih ; No Brand ; pack size per pcs</v>
      </c>
      <c r="G658" s="3">
        <f>IFERROR(__xludf.DUMMYFUNCTION("""COMPUTED_VALUE"""),50.0)</f>
        <v>50</v>
      </c>
      <c r="H658" s="3" t="str">
        <f>IFERROR(__xludf.DUMMYFUNCTION("""COMPUTED_VALUE"""),"pcs")</f>
        <v>pcs</v>
      </c>
      <c r="I658" s="3" t="str">
        <f>IFERROR(__xludf.DUMMYFUNCTION("""COMPUTED_VALUE"""),"-")</f>
        <v>-</v>
      </c>
      <c r="J658" s="3" t="str">
        <f>IFERROR(__xludf.DUMMYFUNCTION("""COMPUTED_VALUE"""),"T-80109-00")</f>
        <v>T-80109-00</v>
      </c>
      <c r="K658" s="3" t="str">
        <f>IFERROR(__xludf.DUMMYFUNCTION("""COMPUTED_VALUE"""),"Approve")</f>
        <v>Approve</v>
      </c>
      <c r="L658" s="3" t="str">
        <f>IFERROR(__xludf.DUMMYFUNCTION("""COMPUTED_VALUE"""),"Normal")</f>
        <v>Normal</v>
      </c>
      <c r="M658" s="3" t="str">
        <f>IFERROR(__xludf.DUMMYFUNCTION("""COMPUTED_VALUE"""),"Non Urgent")</f>
        <v>Non Urgent</v>
      </c>
      <c r="N658" s="3">
        <f>IFERROR(__xludf.DUMMYFUNCTION("""COMPUTED_VALUE"""),46244.658133310186)</f>
        <v>46244.65813</v>
      </c>
    </row>
    <row r="659">
      <c r="A659" s="4">
        <f>IFERROR(__xludf.DUMMYFUNCTION("""COMPUTED_VALUE"""),46234.863553298615)</f>
        <v>46234.86355</v>
      </c>
      <c r="B659" s="3" t="str">
        <f>IFERROR(__xludf.DUMMYFUNCTION("""COMPUTED_VALUE"""),"SFHRO0052")</f>
        <v>SFHRO0052</v>
      </c>
      <c r="C659" s="3" t="str">
        <f>IFERROR(__xludf.DUMMYFUNCTION("""COMPUTED_VALUE"""),"Consumable")</f>
        <v>Consumable</v>
      </c>
      <c r="D659" s="3" t="str">
        <f>IFERROR(__xludf.DUMMYFUNCTION("""COMPUTED_VALUE"""),"-")</f>
        <v>-</v>
      </c>
      <c r="E659" s="3" t="str">
        <f>IFERROR(__xludf.DUMMYFUNCTION("""COMPUTED_VALUE"""),"lantai 2")</f>
        <v>lantai 2</v>
      </c>
      <c r="F659" s="3" t="str">
        <f>IFERROR(__xludf.DUMMYFUNCTION("""COMPUTED_VALUE"""),"Cat Tembok; ; ; - Cat Dulux Ambiance Brilliant White @ 20 Ltr")</f>
        <v>Cat Tembok; ; ; - Cat Dulux Ambiance Brilliant White @ 20 Ltr</v>
      </c>
      <c r="G659" s="3">
        <f>IFERROR(__xludf.DUMMYFUNCTION("""COMPUTED_VALUE"""),5.0)</f>
        <v>5</v>
      </c>
      <c r="H659" s="3" t="str">
        <f>IFERROR(__xludf.DUMMYFUNCTION("""COMPUTED_VALUE"""),"pel")</f>
        <v>pel</v>
      </c>
      <c r="I659" s="3" t="str">
        <f>IFERROR(__xludf.DUMMYFUNCTION("""COMPUTED_VALUE"""),"-")</f>
        <v>-</v>
      </c>
      <c r="J659" s="3" t="str">
        <f>IFERROR(__xludf.DUMMYFUNCTION("""COMPUTED_VALUE"""),"Q-10475-00")</f>
        <v>Q-10475-00</v>
      </c>
      <c r="K659" s="3" t="str">
        <f>IFERROR(__xludf.DUMMYFUNCTION("""COMPUTED_VALUE"""),"Approve")</f>
        <v>Approve</v>
      </c>
      <c r="L659" s="3" t="str">
        <f>IFERROR(__xludf.DUMMYFUNCTION("""COMPUTED_VALUE"""),"Normal")</f>
        <v>Normal</v>
      </c>
      <c r="M659" s="3" t="str">
        <f>IFERROR(__xludf.DUMMYFUNCTION("""COMPUTED_VALUE"""),"Non Urgent")</f>
        <v>Non Urgent</v>
      </c>
      <c r="N659" s="3">
        <f>IFERROR(__xludf.DUMMYFUNCTION("""COMPUTED_VALUE"""),46244.65843643519)</f>
        <v>46244.65844</v>
      </c>
    </row>
    <row r="660">
      <c r="A660" s="4">
        <f>IFERROR(__xludf.DUMMYFUNCTION("""COMPUTED_VALUE"""),46238.17218084491)</f>
        <v>46238.17218</v>
      </c>
      <c r="B660" s="3" t="str">
        <f>IFERROR(__xludf.DUMMYFUNCTION("""COMPUTED_VALUE"""),"MRNRO0052")</f>
        <v>MRNRO0052</v>
      </c>
      <c r="C660" s="3" t="str">
        <f>IFERROR(__xludf.DUMMYFUNCTION("""COMPUTED_VALUE"""),"EJO")</f>
        <v>EJO</v>
      </c>
      <c r="D660" s="3" t="str">
        <f>IFERROR(__xludf.DUMMYFUNCTION("""COMPUTED_VALUE"""),"EJO/2026/07/021")</f>
        <v>EJO/2026/07/021</v>
      </c>
      <c r="E660" s="3" t="str">
        <f>IFERROR(__xludf.DUMMYFUNCTION("""COMPUTED_VALUE"""),"toilet lantai 2")</f>
        <v>toilet lantai 2</v>
      </c>
      <c r="F660" s="3" t="str">
        <f>IFERROR(__xludf.DUMMYFUNCTION("""COMPUTED_VALUE"""),"General - Elbow PVC 90 AW 1 1/2inch; Rucika; -; 1 Pc")</f>
        <v>General - Elbow PVC 90 AW 1 1/2inch; Rucika; -; 1 Pc</v>
      </c>
      <c r="G660" s="3">
        <f>IFERROR(__xludf.DUMMYFUNCTION("""COMPUTED_VALUE"""),5.0)</f>
        <v>5</v>
      </c>
      <c r="H660" s="3" t="str">
        <f>IFERROR(__xludf.DUMMYFUNCTION("""COMPUTED_VALUE"""),"pcs")</f>
        <v>pcs</v>
      </c>
      <c r="I660" s="3" t="str">
        <f>IFERROR(__xludf.DUMMYFUNCTION("""COMPUTED_VALUE"""),"untuk pipa bocor di atas plafon engineering")</f>
        <v>untuk pipa bocor di atas plafon engineering</v>
      </c>
      <c r="J660" s="3" t="str">
        <f>IFERROR(__xludf.DUMMYFUNCTION("""COMPUTED_VALUE"""),"P-10857-00")</f>
        <v>P-10857-00</v>
      </c>
      <c r="K660" s="3" t="str">
        <f>IFERROR(__xludf.DUMMYFUNCTION("""COMPUTED_VALUE"""),"Approve")</f>
        <v>Approve</v>
      </c>
      <c r="L660" s="3" t="str">
        <f>IFERROR(__xludf.DUMMYFUNCTION("""COMPUTED_VALUE"""),"Normal")</f>
        <v>Normal</v>
      </c>
      <c r="M660" s="3" t="str">
        <f>IFERROR(__xludf.DUMMYFUNCTION("""COMPUTED_VALUE"""),"Non Urgent")</f>
        <v>Non Urgent</v>
      </c>
      <c r="N660" s="3">
        <f>IFERROR(__xludf.DUMMYFUNCTION("""COMPUTED_VALUE"""),46251.5812587963)</f>
        <v>46251.58126</v>
      </c>
    </row>
    <row r="661">
      <c r="A661" s="4">
        <f>IFERROR(__xludf.DUMMYFUNCTION("""COMPUTED_VALUE"""),46238.177333287036)</f>
        <v>46238.17733</v>
      </c>
      <c r="B661" s="3" t="str">
        <f>IFERROR(__xludf.DUMMYFUNCTION("""COMPUTED_VALUE"""),"MRNRO0053")</f>
        <v>MRNRO0053</v>
      </c>
      <c r="C661" s="3" t="str">
        <f>IFERROR(__xludf.DUMMYFUNCTION("""COMPUTED_VALUE"""),"EJO")</f>
        <v>EJO</v>
      </c>
      <c r="D661" s="3" t="str">
        <f>IFERROR(__xludf.DUMMYFUNCTION("""COMPUTED_VALUE"""),"EJO/2026/07/021")</f>
        <v>EJO/2026/07/021</v>
      </c>
      <c r="E661" s="3" t="str">
        <f>IFERROR(__xludf.DUMMYFUNCTION("""COMPUTED_VALUE"""),"toilet lantai 2")</f>
        <v>toilet lantai 2</v>
      </c>
      <c r="F661" s="3" t="str">
        <f>IFERROR(__xludf.DUMMYFUNCTION("""COMPUTED_VALUE"""),"General - Ball Valve PVC 1 1/2inch; No Brand; -; 1 pcs")</f>
        <v>General - Ball Valve PVC 1 1/2inch; No Brand; -; 1 pcs</v>
      </c>
      <c r="G661" s="3">
        <f>IFERROR(__xludf.DUMMYFUNCTION("""COMPUTED_VALUE"""),5.0)</f>
        <v>5</v>
      </c>
      <c r="H661" s="3" t="str">
        <f>IFERROR(__xludf.DUMMYFUNCTION("""COMPUTED_VALUE"""),"pcs")</f>
        <v>pcs</v>
      </c>
      <c r="I661" s="3" t="str">
        <f>IFERROR(__xludf.DUMMYFUNCTION("""COMPUTED_VALUE"""),"untuk pipa bocor di atas plafon engineering")</f>
        <v>untuk pipa bocor di atas plafon engineering</v>
      </c>
      <c r="J661" s="3" t="str">
        <f>IFERROR(__xludf.DUMMYFUNCTION("""COMPUTED_VALUE"""),"P-10389-00")</f>
        <v>P-10389-00</v>
      </c>
      <c r="K661" s="3" t="str">
        <f>IFERROR(__xludf.DUMMYFUNCTION("""COMPUTED_VALUE"""),"Approve")</f>
        <v>Approve</v>
      </c>
      <c r="L661" s="3" t="str">
        <f>IFERROR(__xludf.DUMMYFUNCTION("""COMPUTED_VALUE"""),"Normal")</f>
        <v>Normal</v>
      </c>
      <c r="M661" s="3" t="str">
        <f>IFERROR(__xludf.DUMMYFUNCTION("""COMPUTED_VALUE"""),"Non Urgent")</f>
        <v>Non Urgent</v>
      </c>
      <c r="N661" s="3">
        <f>IFERROR(__xludf.DUMMYFUNCTION("""COMPUTED_VALUE"""),46251.58090383102)</f>
        <v>46251.5809</v>
      </c>
    </row>
    <row r="662">
      <c r="A662" s="4">
        <f>IFERROR(__xludf.DUMMYFUNCTION("""COMPUTED_VALUE"""),46240.8010968287)</f>
        <v>46240.8011</v>
      </c>
      <c r="B662" s="3" t="str">
        <f>IFERROR(__xludf.DUMMYFUNCTION("""COMPUTED_VALUE"""),"SFHRO0053")</f>
        <v>SFHRO0053</v>
      </c>
      <c r="C662" s="3" t="str">
        <f>IFERROR(__xludf.DUMMYFUNCTION("""COMPUTED_VALUE"""),"MIn Stok")</f>
        <v>MIn Stok</v>
      </c>
      <c r="D662" s="3" t="str">
        <f>IFERROR(__xludf.DUMMYFUNCTION("""COMPUTED_VALUE"""),"-")</f>
        <v>-</v>
      </c>
      <c r="E662" s="3" t="str">
        <f>IFERROR(__xludf.DUMMYFUNCTION("""COMPUTED_VALUE"""),"lantai 2")</f>
        <v>lantai 2</v>
      </c>
      <c r="F662" s="3" t="str">
        <f>IFERROR(__xludf.DUMMYFUNCTION("""COMPUTED_VALUE"""),"Polyfloor PFT-213 Ivory @ 20 KG")</f>
        <v>Polyfloor PFT-213 Ivory @ 20 KG</v>
      </c>
      <c r="G662" s="3">
        <f>IFERROR(__xludf.DUMMYFUNCTION("""COMPUTED_VALUE"""),2.0)</f>
        <v>2</v>
      </c>
      <c r="H662" s="3" t="str">
        <f>IFERROR(__xludf.DUMMYFUNCTION("""COMPUTED_VALUE"""),"pel")</f>
        <v>pel</v>
      </c>
      <c r="I662" s="3" t="str">
        <f>IFERROR(__xludf.DUMMYFUNCTION("""COMPUTED_VALUE"""),"stock abis")</f>
        <v>stock abis</v>
      </c>
      <c r="J662" s="3" t="str">
        <f>IFERROR(__xludf.DUMMYFUNCTION("""COMPUTED_VALUE"""),"Q-10005-00")</f>
        <v>Q-10005-00</v>
      </c>
      <c r="K662" s="3" t="str">
        <f>IFERROR(__xludf.DUMMYFUNCTION("""COMPUTED_VALUE"""),"Approve")</f>
        <v>Approve</v>
      </c>
      <c r="L662" s="3" t="str">
        <f>IFERROR(__xludf.DUMMYFUNCTION("""COMPUTED_VALUE"""),"Normal")</f>
        <v>Normal</v>
      </c>
      <c r="M662" s="3" t="str">
        <f>IFERROR(__xludf.DUMMYFUNCTION("""COMPUTED_VALUE"""),"Non Urgent")</f>
        <v>Non Urgent</v>
      </c>
      <c r="N662" s="3">
        <f>IFERROR(__xludf.DUMMYFUNCTION("""COMPUTED_VALUE"""),46244.658670034725)</f>
        <v>46244.65867</v>
      </c>
    </row>
    <row r="663">
      <c r="A663" s="4">
        <f>IFERROR(__xludf.DUMMYFUNCTION("""COMPUTED_VALUE"""),46240.80255071759)</f>
        <v>46240.80255</v>
      </c>
      <c r="B663" s="3" t="str">
        <f>IFERROR(__xludf.DUMMYFUNCTION("""COMPUTED_VALUE"""),"SFHRO0054")</f>
        <v>SFHRO0054</v>
      </c>
      <c r="C663" s="3" t="str">
        <f>IFERROR(__xludf.DUMMYFUNCTION("""COMPUTED_VALUE"""),"Consumable")</f>
        <v>Consumable</v>
      </c>
      <c r="D663" s="3" t="str">
        <f>IFERROR(__xludf.DUMMYFUNCTION("""COMPUTED_VALUE"""),"-")</f>
        <v>-</v>
      </c>
      <c r="E663" s="3" t="str">
        <f>IFERROR(__xludf.DUMMYFUNCTION("""COMPUTED_VALUE"""),"lantai 2")</f>
        <v>lantai 2</v>
      </c>
      <c r="F663" s="3" t="str">
        <f>IFERROR(__xludf.DUMMYFUNCTION("""COMPUTED_VALUE"""),"Cat Decor Acrylic Enamel DAE - 550 / Solvent Based; Propan; TEAL 5412 - Warna Biru; pack size 20 liter per pail")</f>
        <v>Cat Decor Acrylic Enamel DAE - 550 / Solvent Based; Propan; TEAL 5412 - Warna Biru; pack size 20 liter per pail</v>
      </c>
      <c r="G663" s="3">
        <f>IFERROR(__xludf.DUMMYFUNCTION("""COMPUTED_VALUE"""),4.0)</f>
        <v>4</v>
      </c>
      <c r="H663" s="3" t="str">
        <f>IFERROR(__xludf.DUMMYFUNCTION("""COMPUTED_VALUE"""),"pel")</f>
        <v>pel</v>
      </c>
      <c r="I663" s="3" t="str">
        <f>IFERROR(__xludf.DUMMYFUNCTION("""COMPUTED_VALUE"""),"-")</f>
        <v>-</v>
      </c>
      <c r="J663" s="3" t="str">
        <f>IFERROR(__xludf.DUMMYFUNCTION("""COMPUTED_VALUE"""),"Q-60328-00")</f>
        <v>Q-60328-00</v>
      </c>
      <c r="K663" s="3" t="str">
        <f>IFERROR(__xludf.DUMMYFUNCTION("""COMPUTED_VALUE"""),"Approve")</f>
        <v>Approve</v>
      </c>
      <c r="L663" s="3" t="str">
        <f>IFERROR(__xludf.DUMMYFUNCTION("""COMPUTED_VALUE"""),"Normal")</f>
        <v>Normal</v>
      </c>
      <c r="M663" s="3" t="str">
        <f>IFERROR(__xludf.DUMMYFUNCTION("""COMPUTED_VALUE"""),"Non Urgent")</f>
        <v>Non Urgent</v>
      </c>
      <c r="N663" s="3">
        <f>IFERROR(__xludf.DUMMYFUNCTION("""COMPUTED_VALUE"""),46244.65889651621)</f>
        <v>46244.6589</v>
      </c>
    </row>
    <row r="664">
      <c r="A664" s="4">
        <f>IFERROR(__xludf.DUMMYFUNCTION("""COMPUTED_VALUE"""),46245.702375416666)</f>
        <v>46245.70238</v>
      </c>
      <c r="B664" s="3" t="str">
        <f>IFERROR(__xludf.DUMMYFUNCTION("""COMPUTED_VALUE"""),"SFHRO0055")</f>
        <v>SFHRO0055</v>
      </c>
      <c r="C664" s="3" t="str">
        <f>IFERROR(__xludf.DUMMYFUNCTION("""COMPUTED_VALUE"""),"Consumable")</f>
        <v>Consumable</v>
      </c>
      <c r="D664" s="3" t="str">
        <f>IFERROR(__xludf.DUMMYFUNCTION("""COMPUTED_VALUE"""),"-")</f>
        <v>-</v>
      </c>
      <c r="E664" s="3" t="str">
        <f>IFERROR(__xludf.DUMMYFUNCTION("""COMPUTED_VALUE"""),"lantai 1")</f>
        <v>lantai 1</v>
      </c>
      <c r="F664" s="3" t="str">
        <f>IFERROR(__xludf.DUMMYFUNCTION("""COMPUTED_VALUE"""),"Cat Ftalit 113 Primrose @1kg")</f>
        <v>Cat Ftalit 113 Primrose @1kg</v>
      </c>
      <c r="G664" s="3">
        <f>IFERROR(__xludf.DUMMYFUNCTION("""COMPUTED_VALUE"""),3.0)</f>
        <v>3</v>
      </c>
      <c r="H664" s="3" t="str">
        <f>IFERROR(__xludf.DUMMYFUNCTION("""COMPUTED_VALUE"""),"kg")</f>
        <v>kg</v>
      </c>
      <c r="I664" s="3" t="str">
        <f>IFERROR(__xludf.DUMMYFUNCTION("""COMPUTED_VALUE"""),"-")</f>
        <v>-</v>
      </c>
      <c r="J664" s="3" t="str">
        <f>IFERROR(__xludf.DUMMYFUNCTION("""COMPUTED_VALUE"""),"Q-10064-00")</f>
        <v>Q-10064-00</v>
      </c>
      <c r="K664" s="3" t="str">
        <f>IFERROR(__xludf.DUMMYFUNCTION("""COMPUTED_VALUE"""),"Approve")</f>
        <v>Approve</v>
      </c>
      <c r="L664" s="3" t="str">
        <f>IFERROR(__xludf.DUMMYFUNCTION("""COMPUTED_VALUE"""),"Normal")</f>
        <v>Normal</v>
      </c>
      <c r="M664" s="3" t="str">
        <f>IFERROR(__xludf.DUMMYFUNCTION("""COMPUTED_VALUE"""),"Non Urgent")</f>
        <v>Non Urgent</v>
      </c>
      <c r="N664" s="3">
        <f>IFERROR(__xludf.DUMMYFUNCTION("""COMPUTED_VALUE"""),46251.57944260417)</f>
        <v>46251.57944</v>
      </c>
    </row>
    <row r="665">
      <c r="A665" s="4">
        <f>IFERROR(__xludf.DUMMYFUNCTION("""COMPUTED_VALUE"""),46255.82219748843)</f>
        <v>46255.8222</v>
      </c>
      <c r="B665" s="3" t="str">
        <f>IFERROR(__xludf.DUMMYFUNCTION("""COMPUTED_VALUE"""),"AAARO0002")</f>
        <v>AAARO0002</v>
      </c>
      <c r="C665" s="3" t="str">
        <f>IFERROR(__xludf.DUMMYFUNCTION("""COMPUTED_VALUE"""),"MIn Stok")</f>
        <v>MIn Stok</v>
      </c>
      <c r="D665" s="3" t="str">
        <f>IFERROR(__xludf.DUMMYFUNCTION("""COMPUTED_VALUE"""),"N/A")</f>
        <v>N/A</v>
      </c>
      <c r="E665" s="3" t="str">
        <f>IFERROR(__xludf.DUMMYFUNCTION("""COMPUTED_VALUE"""),"Mixing tank")</f>
        <v>Mixing tank</v>
      </c>
      <c r="F665" s="3" t="str">
        <f>IFERROR(__xludf.DUMMYFUNCTION("""COMPUTED_VALUE"""),"General - Lampu Halogen 20 W; Osram; -; 1 unt")</f>
        <v>General - Lampu Halogen 20 W; Osram; -; 1 unt</v>
      </c>
      <c r="G665" s="3">
        <f>IFERROR(__xludf.DUMMYFUNCTION("""COMPUTED_VALUE"""),4.0)</f>
        <v>4</v>
      </c>
      <c r="H665" s="3" t="str">
        <f>IFERROR(__xludf.DUMMYFUNCTION("""COMPUTED_VALUE"""),"Pcs")</f>
        <v>Pcs</v>
      </c>
      <c r="I665" s="3" t="str">
        <f>IFERROR(__xludf.DUMMYFUNCTION("""COMPUTED_VALUE"""),"Needed date :  07-Mar-25")</f>
        <v>Needed date :  07-Mar-25</v>
      </c>
      <c r="J665" s="3" t="str">
        <f>IFERROR(__xludf.DUMMYFUNCTION("""COMPUTED_VALUE"""),"#N/A")</f>
        <v>#N/A</v>
      </c>
      <c r="K665" s="3" t="str">
        <f>IFERROR(__xludf.DUMMYFUNCTION("""COMPUTED_VALUE"""),"Approve")</f>
        <v>Approve</v>
      </c>
      <c r="L665" s="3" t="str">
        <f>IFERROR(__xludf.DUMMYFUNCTION("""COMPUTED_VALUE"""),"Normal")</f>
        <v>Normal</v>
      </c>
      <c r="M665" s="3" t="str">
        <f>IFERROR(__xludf.DUMMYFUNCTION("""COMPUTED_VALUE"""),"Non Urgent")</f>
        <v>Non Urgent</v>
      </c>
      <c r="N665" s="3">
        <f>IFERROR(__xludf.DUMMYFUNCTION("""COMPUTED_VALUE"""),45729.59638354166)</f>
        <v>45729.59638</v>
      </c>
    </row>
    <row r="666">
      <c r="A666" s="4">
        <f>IFERROR(__xludf.DUMMYFUNCTION("""COMPUTED_VALUE"""),46255.82219748843)</f>
        <v>46255.8222</v>
      </c>
      <c r="B666" s="3" t="str">
        <f>IFERROR(__xludf.DUMMYFUNCTION("""COMPUTED_VALUE"""),"AAARO0003")</f>
        <v>AAARO0003</v>
      </c>
      <c r="C666" s="3" t="str">
        <f>IFERROR(__xludf.DUMMYFUNCTION("""COMPUTED_VALUE"""),"Consumable")</f>
        <v>Consumable</v>
      </c>
      <c r="D666" s="3" t="str">
        <f>IFERROR(__xludf.DUMMYFUNCTION("""COMPUTED_VALUE"""),"NA")</f>
        <v>NA</v>
      </c>
      <c r="E666" s="3" t="str">
        <f>IFERROR(__xludf.DUMMYFUNCTION("""COMPUTED_VALUE"""),"Cartoning")</f>
        <v>Cartoning</v>
      </c>
      <c r="F666" s="3" t="str">
        <f>IFERROR(__xludf.DUMMYFUNCTION("""COMPUTED_VALUE"""),"Marchesini MA155 - Leaflet Grippet p/n:A920000005")</f>
        <v>Marchesini MA155 - Leaflet Grippet p/n:A920000005</v>
      </c>
      <c r="G666" s="3">
        <f>IFERROR(__xludf.DUMMYFUNCTION("""COMPUTED_VALUE"""),2.0)</f>
        <v>2</v>
      </c>
      <c r="H666" s="3" t="str">
        <f>IFERROR(__xludf.DUMMYFUNCTION("""COMPUTED_VALUE"""),"Pcs")</f>
        <v>Pcs</v>
      </c>
      <c r="I666" s="3" t="str">
        <f>IFERROR(__xludf.DUMMYFUNCTION("""COMPUTED_VALUE"""),"Needed date 27-Mar-25")</f>
        <v>Needed date 27-Mar-25</v>
      </c>
      <c r="J666" s="3" t="str">
        <f>IFERROR(__xludf.DUMMYFUNCTION("""COMPUTED_VALUE"""),"O-16588-00")</f>
        <v>O-16588-00</v>
      </c>
      <c r="K666" s="3" t="str">
        <f>IFERROR(__xludf.DUMMYFUNCTION("""COMPUTED_VALUE"""),"Approve")</f>
        <v>Approve</v>
      </c>
      <c r="L666" s="3" t="str">
        <f>IFERROR(__xludf.DUMMYFUNCTION("""COMPUTED_VALUE"""),"Normal")</f>
        <v>Normal</v>
      </c>
      <c r="M666" s="3" t="str">
        <f>IFERROR(__xludf.DUMMYFUNCTION("""COMPUTED_VALUE"""),"Non Urgent")</f>
        <v>Non Urgent</v>
      </c>
      <c r="N666" s="3">
        <f>IFERROR(__xludf.DUMMYFUNCTION("""COMPUTED_VALUE"""),45729.59678209491)</f>
        <v>45729.59678</v>
      </c>
    </row>
    <row r="667">
      <c r="A667" s="4">
        <f>IFERROR(__xludf.DUMMYFUNCTION("""COMPUTED_VALUE"""),46255.82219748843)</f>
        <v>46255.8222</v>
      </c>
      <c r="B667" s="3" t="str">
        <f>IFERROR(__xludf.DUMMYFUNCTION("""COMPUTED_VALUE"""),"AAARO0004")</f>
        <v>AAARO0004</v>
      </c>
      <c r="C667" s="3" t="str">
        <f>IFERROR(__xludf.DUMMYFUNCTION("""COMPUTED_VALUE"""),"Consumable")</f>
        <v>Consumable</v>
      </c>
      <c r="D667" s="3" t="str">
        <f>IFERROR(__xludf.DUMMYFUNCTION("""COMPUTED_VALUE"""),"NA")</f>
        <v>NA</v>
      </c>
      <c r="E667" s="3" t="str">
        <f>IFERROR(__xludf.DUMMYFUNCTION("""COMPUTED_VALUE"""),"Cartoning")</f>
        <v>Cartoning</v>
      </c>
      <c r="F667" s="3" t="str">
        <f>IFERROR(__xludf.DUMMYFUNCTION("""COMPUTED_VALUE"""),"Marchesini MA155 - Conveyor Belt FNI-5E ER 1110 X 75 (SIL) p/n:C721411175")</f>
        <v>Marchesini MA155 - Conveyor Belt FNI-5E ER 1110 X 75 (SIL) p/n:C721411175</v>
      </c>
      <c r="G667" s="3">
        <f>IFERROR(__xludf.DUMMYFUNCTION("""COMPUTED_VALUE"""),2.0)</f>
        <v>2</v>
      </c>
      <c r="H667" s="3" t="str">
        <f>IFERROR(__xludf.DUMMYFUNCTION("""COMPUTED_VALUE"""),"Pcs")</f>
        <v>Pcs</v>
      </c>
      <c r="I667" s="3" t="str">
        <f>IFERROR(__xludf.DUMMYFUNCTION("""COMPUTED_VALUE"""),"Needed date 27-Mar-25")</f>
        <v>Needed date 27-Mar-25</v>
      </c>
      <c r="J667" s="3" t="str">
        <f>IFERROR(__xludf.DUMMYFUNCTION("""COMPUTED_VALUE"""),"O-16564-00")</f>
        <v>O-16564-00</v>
      </c>
      <c r="K667" s="3" t="str">
        <f>IFERROR(__xludf.DUMMYFUNCTION("""COMPUTED_VALUE"""),"Approve")</f>
        <v>Approve</v>
      </c>
      <c r="L667" s="3" t="str">
        <f>IFERROR(__xludf.DUMMYFUNCTION("""COMPUTED_VALUE"""),"Normal")</f>
        <v>Normal</v>
      </c>
      <c r="M667" s="3" t="str">
        <f>IFERROR(__xludf.DUMMYFUNCTION("""COMPUTED_VALUE"""),"Non Urgent")</f>
        <v>Non Urgent</v>
      </c>
      <c r="N667" s="3">
        <f>IFERROR(__xludf.DUMMYFUNCTION("""COMPUTED_VALUE"""),45729.59719958333)</f>
        <v>45729.5972</v>
      </c>
    </row>
    <row r="668">
      <c r="A668" s="4">
        <f>IFERROR(__xludf.DUMMYFUNCTION("""COMPUTED_VALUE"""),46255.82219748843)</f>
        <v>46255.8222</v>
      </c>
      <c r="B668" s="3" t="str">
        <f>IFERROR(__xludf.DUMMYFUNCTION("""COMPUTED_VALUE"""),"AAARO0005")</f>
        <v>AAARO0005</v>
      </c>
      <c r="C668" s="3" t="str">
        <f>IFERROR(__xludf.DUMMYFUNCTION("""COMPUTED_VALUE"""),"Consumable")</f>
        <v>Consumable</v>
      </c>
      <c r="D668" s="3" t="str">
        <f>IFERROR(__xludf.DUMMYFUNCTION("""COMPUTED_VALUE"""),"AAABR0029")</f>
        <v>AAABR0029</v>
      </c>
      <c r="E668" s="3" t="str">
        <f>IFERROR(__xludf.DUMMYFUNCTION("""COMPUTED_VALUE"""),"Cartoning")</f>
        <v>Cartoning</v>
      </c>
      <c r="F668" s="3" t="str">
        <f>IFERROR(__xludf.DUMMYFUNCTION("""COMPUTED_VALUE"""),"Marchesini MA155 - Conveyor Belt NB-8E 1850 x 40 p/n:C720718540")</f>
        <v>Marchesini MA155 - Conveyor Belt NB-8E 1850 x 40 p/n:C720718540</v>
      </c>
      <c r="G668" s="3">
        <f>IFERROR(__xludf.DUMMYFUNCTION("""COMPUTED_VALUE"""),1.0)</f>
        <v>1</v>
      </c>
      <c r="H668" s="3" t="str">
        <f>IFERROR(__xludf.DUMMYFUNCTION("""COMPUTED_VALUE"""),"Pcs")</f>
        <v>Pcs</v>
      </c>
      <c r="I668" s="3" t="str">
        <f>IFERROR(__xludf.DUMMYFUNCTION("""COMPUTED_VALUE"""),"Needed date 27-Mar-25")</f>
        <v>Needed date 27-Mar-25</v>
      </c>
      <c r="J668" s="3" t="str">
        <f>IFERROR(__xludf.DUMMYFUNCTION("""COMPUTED_VALUE"""),"O-16566-00")</f>
        <v>O-16566-00</v>
      </c>
      <c r="K668" s="3" t="str">
        <f>IFERROR(__xludf.DUMMYFUNCTION("""COMPUTED_VALUE"""),"Approve")</f>
        <v>Approve</v>
      </c>
      <c r="L668" s="3" t="str">
        <f>IFERROR(__xludf.DUMMYFUNCTION("""COMPUTED_VALUE"""),"Normal")</f>
        <v>Normal</v>
      </c>
      <c r="M668" s="3" t="str">
        <f>IFERROR(__xludf.DUMMYFUNCTION("""COMPUTED_VALUE"""),"Non Urgent")</f>
        <v>Non Urgent</v>
      </c>
      <c r="N668" s="3">
        <f>IFERROR(__xludf.DUMMYFUNCTION("""COMPUTED_VALUE"""),45729.59754554398)</f>
        <v>45729.59755</v>
      </c>
    </row>
    <row r="669">
      <c r="A669" s="4">
        <f>IFERROR(__xludf.DUMMYFUNCTION("""COMPUTED_VALUE"""),46255.82219748843)</f>
        <v>46255.8222</v>
      </c>
      <c r="B669" s="3" t="str">
        <f>IFERROR(__xludf.DUMMYFUNCTION("""COMPUTED_VALUE"""),"AAARO0006")</f>
        <v>AAARO0006</v>
      </c>
      <c r="C669" s="3" t="str">
        <f>IFERROR(__xludf.DUMMYFUNCTION("""COMPUTED_VALUE"""),"Consumable")</f>
        <v>Consumable</v>
      </c>
      <c r="D669" s="3" t="str">
        <f>IFERROR(__xludf.DUMMYFUNCTION("""COMPUTED_VALUE"""),"NA")</f>
        <v>NA</v>
      </c>
      <c r="E669" s="3" t="str">
        <f>IFERROR(__xludf.DUMMYFUNCTION("""COMPUTED_VALUE"""),"Cartoning")</f>
        <v>Cartoning</v>
      </c>
      <c r="F669" s="3" t="str">
        <f>IFERROR(__xludf.DUMMYFUNCTION("""COMPUTED_VALUE"""),"Marchesini MA155 - Conveyor Belt 1380 x 40 HA p/n:C720713840")</f>
        <v>Marchesini MA155 - Conveyor Belt 1380 x 40 HA p/n:C720713840</v>
      </c>
      <c r="G669" s="3">
        <f>IFERROR(__xludf.DUMMYFUNCTION("""COMPUTED_VALUE"""),1.0)</f>
        <v>1</v>
      </c>
      <c r="H669" s="3" t="str">
        <f>IFERROR(__xludf.DUMMYFUNCTION("""COMPUTED_VALUE"""),"pcs")</f>
        <v>pcs</v>
      </c>
      <c r="I669" s="3" t="str">
        <f>IFERROR(__xludf.DUMMYFUNCTION("""COMPUTED_VALUE"""),"Needed date 27-Mar-25")</f>
        <v>Needed date 27-Mar-25</v>
      </c>
      <c r="J669" s="3" t="str">
        <f>IFERROR(__xludf.DUMMYFUNCTION("""COMPUTED_VALUE"""),"O-16567-00")</f>
        <v>O-16567-00</v>
      </c>
      <c r="K669" s="3" t="str">
        <f>IFERROR(__xludf.DUMMYFUNCTION("""COMPUTED_VALUE"""),"Approve")</f>
        <v>Approve</v>
      </c>
      <c r="L669" s="3" t="str">
        <f>IFERROR(__xludf.DUMMYFUNCTION("""COMPUTED_VALUE"""),"Normal")</f>
        <v>Normal</v>
      </c>
      <c r="M669" s="3" t="str">
        <f>IFERROR(__xludf.DUMMYFUNCTION("""COMPUTED_VALUE"""),"Non Urgent")</f>
        <v>Non Urgent</v>
      </c>
      <c r="N669" s="3">
        <f>IFERROR(__xludf.DUMMYFUNCTION("""COMPUTED_VALUE"""),45729.59787643519)</f>
        <v>45729.59788</v>
      </c>
    </row>
    <row r="670">
      <c r="A670" s="4">
        <f>IFERROR(__xludf.DUMMYFUNCTION("""COMPUTED_VALUE"""),46255.82219748843)</f>
        <v>46255.8222</v>
      </c>
      <c r="B670" s="3" t="str">
        <f>IFERROR(__xludf.DUMMYFUNCTION("""COMPUTED_VALUE"""),"AAARO0007")</f>
        <v>AAARO0007</v>
      </c>
      <c r="C670" s="3" t="str">
        <f>IFERROR(__xludf.DUMMYFUNCTION("""COMPUTED_VALUE"""),"MIn Stok")</f>
        <v>MIn Stok</v>
      </c>
      <c r="D670" s="3" t="str">
        <f>IFERROR(__xludf.DUMMYFUNCTION("""COMPUTED_VALUE"""),"NA")</f>
        <v>NA</v>
      </c>
      <c r="E670" s="3" t="str">
        <f>IFERROR(__xludf.DUMMYFUNCTION("""COMPUTED_VALUE"""),"Tunnel")</f>
        <v>Tunnel</v>
      </c>
      <c r="F670" s="3" t="str">
        <f>IFERROR(__xludf.DUMMYFUNCTION("""COMPUTED_VALUE"""),"STERILIZING CHAMBER HEATERS ;NO. 03 RIBBED HEATERS RCU - 1000W - 230VAC -50/60HZ MATERIAL AISI316/304, MECHANICAL DIMENSION:; LENGTH: 397 MM -CENTER DISTANCE: 50 MM HEATING BODY DIAMETER: 10 MM RIBBED DIAMETER: 22 MM;")</f>
        <v>STERILIZING CHAMBER HEATERS ;NO. 03 RIBBED HEATERS RCU - 1000W - 230VAC -50/60HZ MATERIAL AISI316/304, MECHANICAL DIMENSION:; LENGTH: 397 MM -CENTER DISTANCE: 50 MM HEATING BODY DIAMETER: 10 MM RIBBED DIAMETER: 22 MM;</v>
      </c>
      <c r="G670" s="3">
        <f>IFERROR(__xludf.DUMMYFUNCTION("""COMPUTED_VALUE"""),5.0)</f>
        <v>5</v>
      </c>
      <c r="H670" s="3" t="str">
        <f>IFERROR(__xludf.DUMMYFUNCTION("""COMPUTED_VALUE"""),"Pcs")</f>
        <v>Pcs</v>
      </c>
      <c r="I670" s="3" t="str">
        <f>IFERROR(__xludf.DUMMYFUNCTION("""COMPUTED_VALUE"""),"Needed date 07-Apr-25")</f>
        <v>Needed date 07-Apr-25</v>
      </c>
      <c r="J670" s="3" t="str">
        <f>IFERROR(__xludf.DUMMYFUNCTION("""COMPUTED_VALUE"""),"O-15669-00")</f>
        <v>O-15669-00</v>
      </c>
      <c r="K670" s="3" t="str">
        <f>IFERROR(__xludf.DUMMYFUNCTION("""COMPUTED_VALUE"""),"Approve")</f>
        <v>Approve</v>
      </c>
      <c r="L670" s="3" t="str">
        <f>IFERROR(__xludf.DUMMYFUNCTION("""COMPUTED_VALUE"""),"Normal")</f>
        <v>Normal</v>
      </c>
      <c r="M670" s="3" t="str">
        <f>IFERROR(__xludf.DUMMYFUNCTION("""COMPUTED_VALUE"""),"Non Urgent")</f>
        <v>Non Urgent</v>
      </c>
      <c r="N670" s="3">
        <f>IFERROR(__xludf.DUMMYFUNCTION("""COMPUTED_VALUE"""),45729.598727233795)</f>
        <v>45729.59873</v>
      </c>
    </row>
    <row r="671">
      <c r="A671" s="4">
        <f>IFERROR(__xludf.DUMMYFUNCTION("""COMPUTED_VALUE"""),46255.82219748843)</f>
        <v>46255.8222</v>
      </c>
      <c r="B671" s="3" t="str">
        <f>IFERROR(__xludf.DUMMYFUNCTION("""COMPUTED_VALUE"""),"AAARO0008")</f>
        <v>AAARO0008</v>
      </c>
      <c r="C671" s="3" t="str">
        <f>IFERROR(__xludf.DUMMYFUNCTION("""COMPUTED_VALUE"""),"MIn Stok")</f>
        <v>MIn Stok</v>
      </c>
      <c r="D671" s="3" t="str">
        <f>IFERROR(__xludf.DUMMYFUNCTION("""COMPUTED_VALUE"""),"NA")</f>
        <v>NA</v>
      </c>
      <c r="E671" s="3" t="str">
        <f>IFERROR(__xludf.DUMMYFUNCTION("""COMPUTED_VALUE"""),"Tunnel")</f>
        <v>Tunnel</v>
      </c>
      <c r="F671" s="3" t="str">
        <f>IFERROR(__xludf.DUMMYFUNCTION("""COMPUTED_VALUE"""),"STERILIZING CHAMBER HEATERS ; NO. 15 RIBBED HEATERS RCU - 1200W - 230VAC - 50/60HZ - MATERIAL: AISI 304; DIMENSION 75X20 MM;")</f>
        <v>STERILIZING CHAMBER HEATERS ; NO. 15 RIBBED HEATERS RCU - 1200W - 230VAC - 50/60HZ - MATERIAL: AISI 304; DIMENSION 75X20 MM;</v>
      </c>
      <c r="G671" s="3">
        <f>IFERROR(__xludf.DUMMYFUNCTION("""COMPUTED_VALUE"""),10.0)</f>
        <v>10</v>
      </c>
      <c r="H671" s="3" t="str">
        <f>IFERROR(__xludf.DUMMYFUNCTION("""COMPUTED_VALUE"""),"Pcs")</f>
        <v>Pcs</v>
      </c>
      <c r="I671" s="3" t="str">
        <f>IFERROR(__xludf.DUMMYFUNCTION("""COMPUTED_VALUE"""),"Needed date 07-Apr-26")</f>
        <v>Needed date 07-Apr-26</v>
      </c>
      <c r="J671" s="3" t="str">
        <f>IFERROR(__xludf.DUMMYFUNCTION("""COMPUTED_VALUE"""),"O-15708-00")</f>
        <v>O-15708-00</v>
      </c>
      <c r="K671" s="3" t="str">
        <f>IFERROR(__xludf.DUMMYFUNCTION("""COMPUTED_VALUE"""),"Approve")</f>
        <v>Approve</v>
      </c>
      <c r="L671" s="3" t="str">
        <f>IFERROR(__xludf.DUMMYFUNCTION("""COMPUTED_VALUE"""),"Normal")</f>
        <v>Normal</v>
      </c>
      <c r="M671" s="3" t="str">
        <f>IFERROR(__xludf.DUMMYFUNCTION("""COMPUTED_VALUE"""),"Non Urgent")</f>
        <v>Non Urgent</v>
      </c>
      <c r="N671" s="3">
        <f>IFERROR(__xludf.DUMMYFUNCTION("""COMPUTED_VALUE"""),45729.59921054398)</f>
        <v>45729.59921</v>
      </c>
    </row>
    <row r="672">
      <c r="A672" s="4">
        <f>IFERROR(__xludf.DUMMYFUNCTION("""COMPUTED_VALUE"""),46255.82219748843)</f>
        <v>46255.8222</v>
      </c>
      <c r="B672" s="3" t="str">
        <f>IFERROR(__xludf.DUMMYFUNCTION("""COMPUTED_VALUE"""),"AAARO0009")</f>
        <v>AAARO0009</v>
      </c>
      <c r="C672" s="3" t="str">
        <f>IFERROR(__xludf.DUMMYFUNCTION("""COMPUTED_VALUE"""),"MIn Stok")</f>
        <v>MIn Stok</v>
      </c>
      <c r="D672" s="3" t="str">
        <f>IFERROR(__xludf.DUMMYFUNCTION("""COMPUTED_VALUE"""),"NA")</f>
        <v>NA</v>
      </c>
      <c r="E672" s="3" t="str">
        <f>IFERROR(__xludf.DUMMYFUNCTION("""COMPUTED_VALUE"""),"EDM")</f>
        <v>EDM</v>
      </c>
      <c r="F672" s="3" t="str">
        <f>IFERROR(__xludf.DUMMYFUNCTION("""COMPUTED_VALUE"""),"General - Silicone Guide Infeed; Custom/Lokal; -; 1 Pc")</f>
        <v>General - Silicone Guide Infeed; Custom/Lokal; -; 1 Pc</v>
      </c>
      <c r="G672" s="3">
        <f>IFERROR(__xludf.DUMMYFUNCTION("""COMPUTED_VALUE"""),1.0)</f>
        <v>1</v>
      </c>
      <c r="H672" s="3" t="str">
        <f>IFERROR(__xludf.DUMMYFUNCTION("""COMPUTED_VALUE"""),"Set")</f>
        <v>Set</v>
      </c>
      <c r="I672" s="3" t="str">
        <f>IFERROR(__xludf.DUMMYFUNCTION("""COMPUTED_VALUE"""),"Needed date 07-Apr-25")</f>
        <v>Needed date 07-Apr-25</v>
      </c>
      <c r="J672" s="3" t="str">
        <f>IFERROR(__xludf.DUMMYFUNCTION("""COMPUTED_VALUE"""),"O-18446-00")</f>
        <v>O-18446-00</v>
      </c>
      <c r="K672" s="3" t="str">
        <f>IFERROR(__xludf.DUMMYFUNCTION("""COMPUTED_VALUE"""),"Approve")</f>
        <v>Approve</v>
      </c>
      <c r="L672" s="3" t="str">
        <f>IFERROR(__xludf.DUMMYFUNCTION("""COMPUTED_VALUE"""),"Normal")</f>
        <v>Normal</v>
      </c>
      <c r="M672" s="3" t="str">
        <f>IFERROR(__xludf.DUMMYFUNCTION("""COMPUTED_VALUE"""),"Non Urgent")</f>
        <v>Non Urgent</v>
      </c>
      <c r="N672" s="3">
        <f>IFERROR(__xludf.DUMMYFUNCTION("""COMPUTED_VALUE"""),45729.59998059028)</f>
        <v>45729.59998</v>
      </c>
    </row>
    <row r="673">
      <c r="A673" s="4">
        <f>IFERROR(__xludf.DUMMYFUNCTION("""COMPUTED_VALUE"""),46255.82219748843)</f>
        <v>46255.8222</v>
      </c>
      <c r="B673" s="3" t="str">
        <f>IFERROR(__xludf.DUMMYFUNCTION("""COMPUTED_VALUE"""),"AAARO0010")</f>
        <v>AAARO0010</v>
      </c>
      <c r="C673" s="3" t="str">
        <f>IFERROR(__xludf.DUMMYFUNCTION("""COMPUTED_VALUE"""),"MIn Stok")</f>
        <v>MIn Stok</v>
      </c>
      <c r="D673" s="3" t="str">
        <f>IFERROR(__xludf.DUMMYFUNCTION("""COMPUTED_VALUE"""),"NA")</f>
        <v>NA</v>
      </c>
      <c r="E673" s="3" t="str">
        <f>IFERROR(__xludf.DUMMYFUNCTION("""COMPUTED_VALUE"""),"EDM")</f>
        <v>EDM</v>
      </c>
      <c r="F673" s="3" t="str">
        <f>IFERROR(__xludf.DUMMYFUNCTION("""COMPUTED_VALUE"""),"General - Silicone Guide Outfeed; Custom/Lokal; -; 1 Pc")</f>
        <v>General - Silicone Guide Outfeed; Custom/Lokal; -; 1 Pc</v>
      </c>
      <c r="G673" s="3">
        <f>IFERROR(__xludf.DUMMYFUNCTION("""COMPUTED_VALUE"""),1.0)</f>
        <v>1</v>
      </c>
      <c r="H673" s="3" t="str">
        <f>IFERROR(__xludf.DUMMYFUNCTION("""COMPUTED_VALUE"""),"Set")</f>
        <v>Set</v>
      </c>
      <c r="I673" s="3" t="str">
        <f>IFERROR(__xludf.DUMMYFUNCTION("""COMPUTED_VALUE"""),"Needed date 07-Apr-25")</f>
        <v>Needed date 07-Apr-25</v>
      </c>
      <c r="J673" s="3" t="str">
        <f>IFERROR(__xludf.DUMMYFUNCTION("""COMPUTED_VALUE"""),"O-18447-00")</f>
        <v>O-18447-00</v>
      </c>
      <c r="K673" s="3" t="str">
        <f>IFERROR(__xludf.DUMMYFUNCTION("""COMPUTED_VALUE"""),"Approve")</f>
        <v>Approve</v>
      </c>
      <c r="L673" s="3" t="str">
        <f>IFERROR(__xludf.DUMMYFUNCTION("""COMPUTED_VALUE"""),"Normal")</f>
        <v>Normal</v>
      </c>
      <c r="M673" s="3" t="str">
        <f>IFERROR(__xludf.DUMMYFUNCTION("""COMPUTED_VALUE"""),"Non Urgent")</f>
        <v>Non Urgent</v>
      </c>
      <c r="N673" s="3">
        <f>IFERROR(__xludf.DUMMYFUNCTION("""COMPUTED_VALUE"""),45729.60297894676)</f>
        <v>45729.60298</v>
      </c>
    </row>
    <row r="674">
      <c r="A674" s="4">
        <f>IFERROR(__xludf.DUMMYFUNCTION("""COMPUTED_VALUE"""),46255.82219748843)</f>
        <v>46255.8222</v>
      </c>
      <c r="B674" s="3" t="str">
        <f>IFERROR(__xludf.DUMMYFUNCTION("""COMPUTED_VALUE"""),"AAARO0011")</f>
        <v>AAARO0011</v>
      </c>
      <c r="C674" s="3" t="str">
        <f>IFERROR(__xludf.DUMMYFUNCTION("""COMPUTED_VALUE"""),"EJO")</f>
        <v>EJO</v>
      </c>
      <c r="D674" s="3" t="str">
        <f>IFERROR(__xludf.DUMMYFUNCTION("""COMPUTED_VALUE"""),"NA")</f>
        <v>NA</v>
      </c>
      <c r="E674" s="3" t="str">
        <f>IFERROR(__xludf.DUMMYFUNCTION("""COMPUTED_VALUE"""),"BOD Incubator")</f>
        <v>BOD Incubator</v>
      </c>
      <c r="F674" s="3" t="str">
        <f>IFERROR(__xludf.DUMMYFUNCTION("""COMPUTED_VALUE"""),"Relay / RXM 2AB2P7 / 230 V / 50-60 Hz / 12 A / 250 VAC")</f>
        <v>Relay / RXM 2AB2P7 / 230 V / 50-60 Hz / 12 A / 250 VAC</v>
      </c>
      <c r="G674" s="3">
        <f>IFERROR(__xludf.DUMMYFUNCTION("""COMPUTED_VALUE"""),10.0)</f>
        <v>10</v>
      </c>
      <c r="H674" s="3" t="str">
        <f>IFERROR(__xludf.DUMMYFUNCTION("""COMPUTED_VALUE"""),"Pcs")</f>
        <v>Pcs</v>
      </c>
      <c r="I674" s="3" t="str">
        <f>IFERROR(__xludf.DUMMYFUNCTION("""COMPUTED_VALUE"""),"Needed date 13-Sep-25")</f>
        <v>Needed date 13-Sep-25</v>
      </c>
      <c r="J674" s="3" t="str">
        <f>IFERROR(__xludf.DUMMYFUNCTION("""COMPUTED_VALUE"""),"#N/A")</f>
        <v>#N/A</v>
      </c>
      <c r="K674" s="3" t="str">
        <f>IFERROR(__xludf.DUMMYFUNCTION("""COMPUTED_VALUE"""),"Approve")</f>
        <v>Approve</v>
      </c>
      <c r="L674" s="3" t="str">
        <f>IFERROR(__xludf.DUMMYFUNCTION("""COMPUTED_VALUE"""),"Normal")</f>
        <v>Normal</v>
      </c>
      <c r="M674" s="3" t="str">
        <f>IFERROR(__xludf.DUMMYFUNCTION("""COMPUTED_VALUE"""),"Non Urgent")</f>
        <v>Non Urgent</v>
      </c>
      <c r="N674" s="3">
        <f>IFERROR(__xludf.DUMMYFUNCTION("""COMPUTED_VALUE"""),45887.46161025463)</f>
        <v>45887.46161</v>
      </c>
    </row>
    <row r="675">
      <c r="A675" s="4">
        <f>IFERROR(__xludf.DUMMYFUNCTION("""COMPUTED_VALUE"""),46255.82219748843)</f>
        <v>46255.8222</v>
      </c>
      <c r="B675" s="3" t="str">
        <f>IFERROR(__xludf.DUMMYFUNCTION("""COMPUTED_VALUE"""),"AAARO0012")</f>
        <v>AAARO0012</v>
      </c>
      <c r="C675" s="3" t="str">
        <f>IFERROR(__xludf.DUMMYFUNCTION("""COMPUTED_VALUE"""),"EJO")</f>
        <v>EJO</v>
      </c>
      <c r="D675" s="3" t="str">
        <f>IFERROR(__xludf.DUMMYFUNCTION("""COMPUTED_VALUE"""),"EJO/2025/09/108")</f>
        <v>EJO/2025/09/108</v>
      </c>
      <c r="E675" s="3" t="str">
        <f>IFERROR(__xludf.DUMMYFUNCTION("""COMPUTED_VALUE"""),"meja inspeksi packhall")</f>
        <v>meja inspeksi packhall</v>
      </c>
      <c r="F675" s="3" t="str">
        <f>IFERROR(__xludf.DUMMYFUNCTION("""COMPUTED_VALUE"""),"Cabel Tie Mount 30 x 30 mm; Sigma; ;")</f>
        <v>Cabel Tie Mount 30 x 30 mm; Sigma; ;</v>
      </c>
      <c r="G675" s="3">
        <f>IFERROR(__xludf.DUMMYFUNCTION("""COMPUTED_VALUE"""),1.0)</f>
        <v>1</v>
      </c>
      <c r="H675" s="3" t="str">
        <f>IFERROR(__xludf.DUMMYFUNCTION("""COMPUTED_VALUE"""),"pack")</f>
        <v>pack</v>
      </c>
      <c r="I675" s="3" t="str">
        <f>IFERROR(__xludf.DUMMYFUNCTION("""COMPUTED_VALUE"""),"Needed date 29-Oct-25")</f>
        <v>Needed date 29-Oct-25</v>
      </c>
      <c r="J675" s="3" t="str">
        <f>IFERROR(__xludf.DUMMYFUNCTION("""COMPUTED_VALUE"""),"P-19080-00")</f>
        <v>P-19080-00</v>
      </c>
      <c r="K675" s="3" t="str">
        <f>IFERROR(__xludf.DUMMYFUNCTION("""COMPUTED_VALUE"""),"Approve")</f>
        <v>Approve</v>
      </c>
      <c r="L675" s="3" t="str">
        <f>IFERROR(__xludf.DUMMYFUNCTION("""COMPUTED_VALUE"""),"Normal")</f>
        <v>Normal</v>
      </c>
      <c r="M675" s="3" t="str">
        <f>IFERROR(__xludf.DUMMYFUNCTION("""COMPUTED_VALUE"""),"Non Urgent")</f>
        <v>Non Urgent</v>
      </c>
      <c r="N675" s="3">
        <f>IFERROR(__xludf.DUMMYFUNCTION("""COMPUTED_VALUE"""),45930.23515445602)</f>
        <v>45930.23515</v>
      </c>
    </row>
    <row r="676">
      <c r="A676" s="4">
        <f>IFERROR(__xludf.DUMMYFUNCTION("""COMPUTED_VALUE"""),46255.82219748843)</f>
        <v>46255.8222</v>
      </c>
      <c r="B676" s="3" t="str">
        <f>IFERROR(__xludf.DUMMYFUNCTION("""COMPUTED_VALUE"""),"AAARO0014")</f>
        <v>AAARO0014</v>
      </c>
      <c r="C676" s="3" t="str">
        <f>IFERROR(__xludf.DUMMYFUNCTION("""COMPUTED_VALUE"""),"EJO")</f>
        <v>EJO</v>
      </c>
      <c r="D676" s="3" t="str">
        <f>IFERROR(__xludf.DUMMYFUNCTION("""COMPUTED_VALUE"""),"EJO/2025/10/51")</f>
        <v>EJO/2025/10/51</v>
      </c>
      <c r="E676" s="3" t="str">
        <f>IFERROR(__xludf.DUMMYFUNCTION("""COMPUTED_VALUE"""),"AHU cRABS sensor TE 0111")</f>
        <v>AHU cRABS sensor TE 0111</v>
      </c>
      <c r="F676" s="3" t="str">
        <f>IFERROR(__xludf.DUMMYFUNCTION("""COMPUTED_VALUE"""),"RTD - Single Element. Built according to directive 94/9/CE ATEX II 2GD Ex d IIC T6; Temperature Rang; ; ;")</f>
        <v>RTD - Single Element. Built according to directive 94/9/CE ATEX II 2GD Ex d IIC T6; Temperature Rang; ; ;</v>
      </c>
      <c r="G676" s="3">
        <f>IFERROR(__xludf.DUMMYFUNCTION("""COMPUTED_VALUE"""),2.0)</f>
        <v>2</v>
      </c>
      <c r="H676" s="3" t="str">
        <f>IFERROR(__xludf.DUMMYFUNCTION("""COMPUTED_VALUE"""),"unit")</f>
        <v>unit</v>
      </c>
      <c r="I676" s="3" t="str">
        <f>IFERROR(__xludf.DUMMYFUNCTION("""COMPUTED_VALUE"""),"RTD - Single Element. Built according to directive 94/9/CE ATEX II 2GD Ex 
IIC T6 Temperature Range -40°/60°
Serial no. ORC294-12
Brand Master
part no 25220")</f>
        <v>RTD - Single Element. Built according to directive 94/9/CE ATEX II 2GD Ex 
IIC T6 Temperature Range -40°/60°
Serial no. ORC294-12
Brand Master
part no 25220</v>
      </c>
      <c r="J676" s="3" t="str">
        <f>IFERROR(__xludf.DUMMYFUNCTION("""COMPUTED_VALUE"""),"O-51818-00")</f>
        <v>O-51818-00</v>
      </c>
      <c r="K676" s="3" t="str">
        <f>IFERROR(__xludf.DUMMYFUNCTION("""COMPUTED_VALUE"""),"Approve")</f>
        <v>Approve</v>
      </c>
      <c r="L676" s="3" t="str">
        <f>IFERROR(__xludf.DUMMYFUNCTION("""COMPUTED_VALUE"""),"Normal")</f>
        <v>Normal</v>
      </c>
      <c r="M676" s="3" t="str">
        <f>IFERROR(__xludf.DUMMYFUNCTION("""COMPUTED_VALUE"""),"Non Urgent")</f>
        <v>Non Urgent</v>
      </c>
      <c r="N676" s="3">
        <f>IFERROR(__xludf.DUMMYFUNCTION("""COMPUTED_VALUE"""),45976.21481107639)</f>
        <v>45976.21481</v>
      </c>
    </row>
    <row r="677">
      <c r="A677" s="4">
        <f>IFERROR(__xludf.DUMMYFUNCTION("""COMPUTED_VALUE"""),46255.82219748843)</f>
        <v>46255.8222</v>
      </c>
      <c r="B677" s="3" t="str">
        <f>IFERROR(__xludf.DUMMYFUNCTION("""COMPUTED_VALUE"""),"AAARO0015")</f>
        <v>AAARO0015</v>
      </c>
      <c r="C677" s="3" t="str">
        <f>IFERROR(__xludf.DUMMYFUNCTION("""COMPUTED_VALUE"""),"MIn Stok")</f>
        <v>MIn Stok</v>
      </c>
      <c r="D677" s="3" t="str">
        <f>IFERROR(__xludf.DUMMYFUNCTION("""COMPUTED_VALUE"""),"NA")</f>
        <v>NA</v>
      </c>
      <c r="E677" s="3" t="str">
        <f>IFERROR(__xludf.DUMMYFUNCTION("""COMPUTED_VALUE"""),"Washing")</f>
        <v>Washing</v>
      </c>
      <c r="F677" s="3" t="str">
        <f>IFERROR(__xludf.DUMMYFUNCTION("""COMPUTED_VALUE"""),"DOOR SAFETY SWITCHES ; SCHMERSAL ; PROXIMITY SENSOR , BNS-260 FOR DOOR")</f>
        <v>DOOR SAFETY SWITCHES ; SCHMERSAL ; PROXIMITY SENSOR , BNS-260 FOR DOOR</v>
      </c>
      <c r="G677" s="3">
        <f>IFERROR(__xludf.DUMMYFUNCTION("""COMPUTED_VALUE"""),2.0)</f>
        <v>2</v>
      </c>
      <c r="H677" s="3" t="str">
        <f>IFERROR(__xludf.DUMMYFUNCTION("""COMPUTED_VALUE"""),"pcs")</f>
        <v>pcs</v>
      </c>
      <c r="I677" s="3" t="str">
        <f>IFERROR(__xludf.DUMMYFUNCTION("""COMPUTED_VALUE"""),"BNS260-11Z-ST-R")</f>
        <v>BNS260-11Z-ST-R</v>
      </c>
      <c r="J677" s="3" t="str">
        <f>IFERROR(__xludf.DUMMYFUNCTION("""COMPUTED_VALUE"""),"O-15582-00")</f>
        <v>O-15582-00</v>
      </c>
      <c r="K677" s="3" t="str">
        <f>IFERROR(__xludf.DUMMYFUNCTION("""COMPUTED_VALUE"""),"Approve")</f>
        <v>Approve</v>
      </c>
      <c r="L677" s="3" t="str">
        <f>IFERROR(__xludf.DUMMYFUNCTION("""COMPUTED_VALUE"""),"Normal")</f>
        <v>Normal</v>
      </c>
      <c r="M677" s="3" t="str">
        <f>IFERROR(__xludf.DUMMYFUNCTION("""COMPUTED_VALUE"""),"Non Urgent")</f>
        <v>Non Urgent</v>
      </c>
      <c r="N677" s="3">
        <f>IFERROR(__xludf.DUMMYFUNCTION("""COMPUTED_VALUE"""),46027.77861059028)</f>
        <v>46027.77861</v>
      </c>
    </row>
    <row r="678">
      <c r="A678" s="4">
        <f>IFERROR(__xludf.DUMMYFUNCTION("""COMPUTED_VALUE"""),46255.82219748843)</f>
        <v>46255.8222</v>
      </c>
      <c r="B678" s="3" t="str">
        <f>IFERROR(__xludf.DUMMYFUNCTION("""COMPUTED_VALUE"""),"AAARO0016")</f>
        <v>AAARO0016</v>
      </c>
      <c r="C678" s="3" t="str">
        <f>IFERROR(__xludf.DUMMYFUNCTION("""COMPUTED_VALUE"""),"MIn Stok")</f>
        <v>MIn Stok</v>
      </c>
      <c r="D678" s="3" t="str">
        <f>IFERROR(__xludf.DUMMYFUNCTION("""COMPUTED_VALUE"""),"NA")</f>
        <v>NA</v>
      </c>
      <c r="E678" s="3" t="str">
        <f>IFERROR(__xludf.DUMMYFUNCTION("""COMPUTED_VALUE"""),"Washing")</f>
        <v>Washing</v>
      </c>
      <c r="F678" s="3" t="str">
        <f>IFERROR(__xludf.DUMMYFUNCTION("""COMPUTED_VALUE"""),"DOOR SAFETY SWITCHES ; SCHMERSAL ; PROXIMITY SENSOR , BNS-260 FOR DOOR")</f>
        <v>DOOR SAFETY SWITCHES ; SCHMERSAL ; PROXIMITY SENSOR , BNS-260 FOR DOOR</v>
      </c>
      <c r="G678" s="3">
        <f>IFERROR(__xludf.DUMMYFUNCTION("""COMPUTED_VALUE"""),2.0)</f>
        <v>2</v>
      </c>
      <c r="H678" s="3" t="str">
        <f>IFERROR(__xludf.DUMMYFUNCTION("""COMPUTED_VALUE"""),"pcs")</f>
        <v>pcs</v>
      </c>
      <c r="I678" s="3" t="str">
        <f>IFERROR(__xludf.DUMMYFUNCTION("""COMPUTED_VALUE"""),"BNS260-11Z-ST-L")</f>
        <v>BNS260-11Z-ST-L</v>
      </c>
      <c r="J678" s="3" t="str">
        <f>IFERROR(__xludf.DUMMYFUNCTION("""COMPUTED_VALUE"""),"O-15582-00")</f>
        <v>O-15582-00</v>
      </c>
      <c r="K678" s="3" t="str">
        <f>IFERROR(__xludf.DUMMYFUNCTION("""COMPUTED_VALUE"""),"Approve")</f>
        <v>Approve</v>
      </c>
      <c r="L678" s="3" t="str">
        <f>IFERROR(__xludf.DUMMYFUNCTION("""COMPUTED_VALUE"""),"Normal")</f>
        <v>Normal</v>
      </c>
      <c r="M678" s="3" t="str">
        <f>IFERROR(__xludf.DUMMYFUNCTION("""COMPUTED_VALUE"""),"Non Urgent")</f>
        <v>Non Urgent</v>
      </c>
      <c r="N678" s="3">
        <f>IFERROR(__xludf.DUMMYFUNCTION("""COMPUTED_VALUE"""),46027.77878659722)</f>
        <v>46027.77879</v>
      </c>
    </row>
    <row r="679">
      <c r="A679" s="4">
        <f>IFERROR(__xludf.DUMMYFUNCTION("""COMPUTED_VALUE"""),46255.82219748843)</f>
        <v>46255.8222</v>
      </c>
      <c r="B679" s="3" t="str">
        <f>IFERROR(__xludf.DUMMYFUNCTION("""COMPUTED_VALUE"""),"AAARO0017")</f>
        <v>AAARO0017</v>
      </c>
      <c r="C679" s="3" t="str">
        <f>IFERROR(__xludf.DUMMYFUNCTION("""COMPUTED_VALUE"""),"MIn Stok")</f>
        <v>MIn Stok</v>
      </c>
      <c r="D679" s="3" t="str">
        <f>IFERROR(__xludf.DUMMYFUNCTION("""COMPUTED_VALUE"""),"NA")</f>
        <v>NA</v>
      </c>
      <c r="E679" s="3" t="str">
        <f>IFERROR(__xludf.DUMMYFUNCTION("""COMPUTED_VALUE"""),"Washing")</f>
        <v>Washing</v>
      </c>
      <c r="F679" s="3" t="str">
        <f>IFERROR(__xludf.DUMMYFUNCTION("""COMPUTED_VALUE"""),"DOOR SAFETY SWITCHES ; SCHMERSAL ; MAGNET BPS-260")</f>
        <v>DOOR SAFETY SWITCHES ; SCHMERSAL ; MAGNET BPS-260</v>
      </c>
      <c r="G679" s="3">
        <f>IFERROR(__xludf.DUMMYFUNCTION("""COMPUTED_VALUE"""),2.0)</f>
        <v>2</v>
      </c>
      <c r="H679" s="3" t="str">
        <f>IFERROR(__xludf.DUMMYFUNCTION("""COMPUTED_VALUE"""),"pcs")</f>
        <v>pcs</v>
      </c>
      <c r="I679" s="3" t="str">
        <f>IFERROR(__xludf.DUMMYFUNCTION("""COMPUTED_VALUE"""),"magnetnya safety door")</f>
        <v>magnetnya safety door</v>
      </c>
      <c r="J679" s="3" t="str">
        <f>IFERROR(__xludf.DUMMYFUNCTION("""COMPUTED_VALUE"""),"O-15581-00")</f>
        <v>O-15581-00</v>
      </c>
      <c r="K679" s="3" t="str">
        <f>IFERROR(__xludf.DUMMYFUNCTION("""COMPUTED_VALUE"""),"Approve")</f>
        <v>Approve</v>
      </c>
      <c r="L679" s="3" t="str">
        <f>IFERROR(__xludf.DUMMYFUNCTION("""COMPUTED_VALUE"""),"Normal")</f>
        <v>Normal</v>
      </c>
      <c r="M679" s="3" t="str">
        <f>IFERROR(__xludf.DUMMYFUNCTION("""COMPUTED_VALUE"""),"Non Urgent")</f>
        <v>Non Urgent</v>
      </c>
      <c r="N679" s="3">
        <f>IFERROR(__xludf.DUMMYFUNCTION("""COMPUTED_VALUE"""),46027.779032129634)</f>
        <v>46027.77903</v>
      </c>
    </row>
    <row r="680">
      <c r="A680" s="4">
        <f>IFERROR(__xludf.DUMMYFUNCTION("""COMPUTED_VALUE"""),46255.871175127315)</f>
        <v>46255.87118</v>
      </c>
      <c r="B680" s="3" t="str">
        <f>IFERROR(__xludf.DUMMYFUNCTION("""COMPUTED_VALUE"""),"SFHRO0056")</f>
        <v>SFHRO0056</v>
      </c>
      <c r="C680" s="3" t="str">
        <f>IFERROR(__xludf.DUMMYFUNCTION("""COMPUTED_VALUE"""),"Consumable")</f>
        <v>Consumable</v>
      </c>
      <c r="D680" s="3" t="str">
        <f>IFERROR(__xludf.DUMMYFUNCTION("""COMPUTED_VALUE"""),"-")</f>
        <v>-</v>
      </c>
      <c r="E680" s="3" t="str">
        <f>IFERROR(__xludf.DUMMYFUNCTION("""COMPUTED_VALUE"""),"lantai 2")</f>
        <v>lantai 2</v>
      </c>
      <c r="F680" s="3" t="str">
        <f>IFERROR(__xludf.DUMMYFUNCTION("""COMPUTED_VALUE"""),"Cat Ambiance Lakestone 44537M Tinting; Dulux; ;")</f>
        <v>Cat Ambiance Lakestone 44537M Tinting; Dulux; ;</v>
      </c>
      <c r="G680" s="3">
        <f>IFERROR(__xludf.DUMMYFUNCTION("""COMPUTED_VALUE"""),2.0)</f>
        <v>2</v>
      </c>
      <c r="H680" s="3" t="str">
        <f>IFERROR(__xludf.DUMMYFUNCTION("""COMPUTED_VALUE"""),"pel")</f>
        <v>pel</v>
      </c>
      <c r="I680" s="3" t="str">
        <f>IFERROR(__xludf.DUMMYFUNCTION("""COMPUTED_VALUE"""),"-")</f>
        <v>-</v>
      </c>
      <c r="J680" s="3" t="str">
        <f>IFERROR(__xludf.DUMMYFUNCTION("""COMPUTED_VALUE"""),"Q-10829-00")</f>
        <v>Q-10829-00</v>
      </c>
      <c r="K680" s="3" t="str">
        <f>IFERROR(__xludf.DUMMYFUNCTION("""COMPUTED_VALUE"""),"Approve")</f>
        <v>Approve</v>
      </c>
      <c r="L680" s="3" t="str">
        <f>IFERROR(__xludf.DUMMYFUNCTION("""COMPUTED_VALUE"""),"Normal")</f>
        <v>Normal</v>
      </c>
      <c r="M680" s="3" t="str">
        <f>IFERROR(__xludf.DUMMYFUNCTION("""COMPUTED_VALUE"""),"Non Urgent")</f>
        <v>Non Urgent</v>
      </c>
      <c r="N680" s="3">
        <f>IFERROR(__xludf.DUMMYFUNCTION("""COMPUTED_VALUE"""),46272.80814403935)</f>
        <v>46272.80814</v>
      </c>
    </row>
    <row r="681">
      <c r="A681" s="4">
        <f>IFERROR(__xludf.DUMMYFUNCTION("""COMPUTED_VALUE"""),46262.84448984954)</f>
        <v>46262.84449</v>
      </c>
      <c r="B681" s="3" t="str">
        <f>IFERROR(__xludf.DUMMYFUNCTION("""COMPUTED_VALUE"""),"ROSRO0038")</f>
        <v>ROSRO0038</v>
      </c>
      <c r="C681" s="3" t="str">
        <f>IFERROR(__xludf.DUMMYFUNCTION("""COMPUTED_VALUE"""),"Consumable")</f>
        <v>Consumable</v>
      </c>
      <c r="D681" s="3" t="str">
        <f>IFERROR(__xludf.DUMMYFUNCTION("""COMPUTED_VALUE"""),"-")</f>
        <v>-</v>
      </c>
      <c r="E681" s="3" t="str">
        <f>IFERROR(__xludf.DUMMYFUNCTION("""COMPUTED_VALUE"""),"Filling")</f>
        <v>Filling</v>
      </c>
      <c r="F681" s="3" t="str">
        <f>IFERROR(__xludf.DUMMYFUNCTION("""COMPUTED_VALUE"""),"Filling VFM100 - Oring Silicone ID 6,96mm OD 10,34 Tebal 1,69mm; Custom/Lokal; -; 1 Pc")</f>
        <v>Filling VFM100 - Oring Silicone ID 6,96mm OD 10,34 Tebal 1,69mm; Custom/Lokal; -; 1 Pc</v>
      </c>
      <c r="G681" s="3">
        <f>IFERROR(__xludf.DUMMYFUNCTION("""COMPUTED_VALUE"""),20.0)</f>
        <v>20</v>
      </c>
      <c r="H681" s="3" t="str">
        <f>IFERROR(__xludf.DUMMYFUNCTION("""COMPUTED_VALUE"""),"Pcs")</f>
        <v>Pcs</v>
      </c>
      <c r="I681" s="3" t="str">
        <f>IFERROR(__xludf.DUMMYFUNCTION("""COMPUTED_VALUE"""),"Head stoper filling")</f>
        <v>Head stoper filling</v>
      </c>
      <c r="J681" s="3" t="str">
        <f>IFERROR(__xludf.DUMMYFUNCTION("""COMPUTED_VALUE"""),"O-21703-00")</f>
        <v>O-21703-00</v>
      </c>
      <c r="K681" s="3" t="str">
        <f>IFERROR(__xludf.DUMMYFUNCTION("""COMPUTED_VALUE"""),"Approve")</f>
        <v>Approve</v>
      </c>
      <c r="L681" s="3" t="str">
        <f>IFERROR(__xludf.DUMMYFUNCTION("""COMPUTED_VALUE"""),"Normal")</f>
        <v>Normal</v>
      </c>
      <c r="M681" s="3" t="str">
        <f>IFERROR(__xludf.DUMMYFUNCTION("""COMPUTED_VALUE"""),"Non Urgent")</f>
        <v>Non Urgent</v>
      </c>
      <c r="N681" s="3">
        <f>IFERROR(__xludf.DUMMYFUNCTION("""COMPUTED_VALUE"""),46268.46656917824)</f>
        <v>46268.46657</v>
      </c>
    </row>
    <row r="682">
      <c r="A682" s="4">
        <f>IFERROR(__xludf.DUMMYFUNCTION("""COMPUTED_VALUE"""),46262.88575918982)</f>
        <v>46262.88576</v>
      </c>
      <c r="B682" s="3" t="str">
        <f>IFERROR(__xludf.DUMMYFUNCTION("""COMPUTED_VALUE"""),"SFHRO0057")</f>
        <v>SFHRO0057</v>
      </c>
      <c r="C682" s="3" t="str">
        <f>IFERROR(__xludf.DUMMYFUNCTION("""COMPUTED_VALUE"""),"Consumable")</f>
        <v>Consumable</v>
      </c>
      <c r="D682" s="3" t="str">
        <f>IFERROR(__xludf.DUMMYFUNCTION("""COMPUTED_VALUE"""),"-")</f>
        <v>-</v>
      </c>
      <c r="E682" s="3" t="str">
        <f>IFERROR(__xludf.DUMMYFUNCTION("""COMPUTED_VALUE"""),"lantai 2")</f>
        <v>lantai 2</v>
      </c>
      <c r="F682" s="3" t="str">
        <f>IFERROR(__xludf.DUMMYFUNCTION("""COMPUTED_VALUE"""),"Cat Durogloss DR-2000; Propan; Type Spiders Web 90YY 73/040; 0,9 L/can")</f>
        <v>Cat Durogloss DR-2000; Propan; Type Spiders Web 90YY 73/040; 0,9 L/can</v>
      </c>
      <c r="G682" s="3">
        <f>IFERROR(__xludf.DUMMYFUNCTION("""COMPUTED_VALUE"""),5.0)</f>
        <v>5</v>
      </c>
      <c r="H682" s="3" t="str">
        <f>IFERROR(__xludf.DUMMYFUNCTION("""COMPUTED_VALUE"""),"liter")</f>
        <v>liter</v>
      </c>
      <c r="I682" s="3" t="str">
        <f>IFERROR(__xludf.DUMMYFUNCTION("""COMPUTED_VALUE"""),"-")</f>
        <v>-</v>
      </c>
      <c r="J682" s="3" t="str">
        <f>IFERROR(__xludf.DUMMYFUNCTION("""COMPUTED_VALUE"""),"Q-60405-00")</f>
        <v>Q-60405-00</v>
      </c>
      <c r="K682" s="3" t="str">
        <f>IFERROR(__xludf.DUMMYFUNCTION("""COMPUTED_VALUE"""),"Approve")</f>
        <v>Approve</v>
      </c>
      <c r="L682" s="3" t="str">
        <f>IFERROR(__xludf.DUMMYFUNCTION("""COMPUTED_VALUE"""),"Normal")</f>
        <v>Normal</v>
      </c>
      <c r="M682" s="3" t="str">
        <f>IFERROR(__xludf.DUMMYFUNCTION("""COMPUTED_VALUE"""),"Non Urgent")</f>
        <v>Non Urgent</v>
      </c>
      <c r="N682" s="3">
        <f>IFERROR(__xludf.DUMMYFUNCTION("""COMPUTED_VALUE"""),46272.80827432871)</f>
        <v>46272.80827</v>
      </c>
    </row>
    <row r="683">
      <c r="A683" s="4">
        <f>IFERROR(__xludf.DUMMYFUNCTION("""COMPUTED_VALUE"""),46266.950218680555)</f>
        <v>46266.95022</v>
      </c>
      <c r="B683" s="3" t="str">
        <f>IFERROR(__xludf.DUMMYFUNCTION("""COMPUTED_VALUE"""),"MRNRO0054")</f>
        <v>MRNRO0054</v>
      </c>
      <c r="C683" s="3" t="str">
        <f>IFERROR(__xludf.DUMMYFUNCTION("""COMPUTED_VALUE"""),"EJO")</f>
        <v>EJO</v>
      </c>
      <c r="D683" s="3" t="str">
        <f>IFERROR(__xludf.DUMMYFUNCTION("""COMPUTED_VALUE"""),"EJO/2026/05/028")</f>
        <v>EJO/2026/05/028</v>
      </c>
      <c r="E683" s="3" t="str">
        <f>IFERROR(__xludf.DUMMYFUNCTION("""COMPUTED_VALUE"""),"WWTP")</f>
        <v>WWTP</v>
      </c>
      <c r="F683" s="3" t="str">
        <f>IFERROR(__xludf.DUMMYFUNCTION("""COMPUTED_VALUE"""),"General - Pompa Magnetik 150W 1 phase; Sanso; PMD 1564; 1 Unit")</f>
        <v>General - Pompa Magnetik 150W 1 phase; Sanso; PMD 1564; 1 Unit</v>
      </c>
      <c r="G683" s="3">
        <f>IFERROR(__xludf.DUMMYFUNCTION("""COMPUTED_VALUE"""),1.0)</f>
        <v>1</v>
      </c>
      <c r="H683" s="3" t="str">
        <f>IFERROR(__xludf.DUMMYFUNCTION("""COMPUTED_VALUE"""),"pcs")</f>
        <v>pcs</v>
      </c>
      <c r="I683" s="3" t="str">
        <f>IFERROR(__xludf.DUMMYFUNCTION("""COMPUTED_VALUE"""),"Untuk pompa transfer ke cfm rusak 1 ")</f>
        <v>Untuk pompa transfer ke cfm rusak 1 </v>
      </c>
      <c r="J683" s="3" t="str">
        <f>IFERROR(__xludf.DUMMYFUNCTION("""COMPUTED_VALUE"""),"P-53050-00")</f>
        <v>P-53050-00</v>
      </c>
      <c r="K683" s="3" t="str">
        <f>IFERROR(__xludf.DUMMYFUNCTION("""COMPUTED_VALUE"""),"Approve")</f>
        <v>Approve</v>
      </c>
      <c r="L683" s="3" t="str">
        <f>IFERROR(__xludf.DUMMYFUNCTION("""COMPUTED_VALUE"""),"Normal")</f>
        <v>Normal</v>
      </c>
      <c r="M683" s="3" t="str">
        <f>IFERROR(__xludf.DUMMYFUNCTION("""COMPUTED_VALUE"""),"Non Urgent")</f>
        <v>Non Urgent</v>
      </c>
      <c r="N683" s="3">
        <f>IFERROR(__xludf.DUMMYFUNCTION("""COMPUTED_VALUE"""),46272.8057946412)</f>
        <v>46272.80579</v>
      </c>
    </row>
    <row r="684">
      <c r="A684" s="4">
        <f>IFERROR(__xludf.DUMMYFUNCTION("""COMPUTED_VALUE"""),46272.29273902778)</f>
        <v>46272.29274</v>
      </c>
      <c r="B684" s="3" t="str">
        <f>IFERROR(__xludf.DUMMYFUNCTION("""COMPUTED_VALUE"""),"SFHRO0059")</f>
        <v>SFHRO0059</v>
      </c>
      <c r="C684" s="3" t="str">
        <f>IFERROR(__xludf.DUMMYFUNCTION("""COMPUTED_VALUE"""),"Consumable")</f>
        <v>Consumable</v>
      </c>
      <c r="D684" s="3" t="str">
        <f>IFERROR(__xludf.DUMMYFUNCTION("""COMPUTED_VALUE"""),"-")</f>
        <v>-</v>
      </c>
      <c r="E684" s="3" t="str">
        <f>IFERROR(__xludf.DUMMYFUNCTION("""COMPUTED_VALUE"""),"lantai  2")</f>
        <v>lantai  2</v>
      </c>
      <c r="F684" s="3" t="str">
        <f>IFERROR(__xludf.DUMMYFUNCTION("""COMPUTED_VALUE"""),"Handle Pintu Bulat, Elbow Press Lock; Meroni; N13NE TB127;")</f>
        <v>Handle Pintu Bulat, Elbow Press Lock; Meroni; N13NE TB127;</v>
      </c>
      <c r="G684" s="3">
        <f>IFERROR(__xludf.DUMMYFUNCTION("""COMPUTED_VALUE"""),4.0)</f>
        <v>4</v>
      </c>
      <c r="H684" s="3" t="str">
        <f>IFERROR(__xludf.DUMMYFUNCTION("""COMPUTED_VALUE"""),"pcs")</f>
        <v>pcs</v>
      </c>
      <c r="I684" s="3" t="str">
        <f>IFERROR(__xludf.DUMMYFUNCTION("""COMPUTED_VALUE"""),"-")</f>
        <v>-</v>
      </c>
      <c r="J684" s="3" t="str">
        <f>IFERROR(__xludf.DUMMYFUNCTION("""COMPUTED_VALUE"""),"Q-60401-00")</f>
        <v>Q-60401-00</v>
      </c>
      <c r="K684" s="3" t="str">
        <f>IFERROR(__xludf.DUMMYFUNCTION("""COMPUTED_VALUE"""),"Approve")</f>
        <v>Approve</v>
      </c>
      <c r="L684" s="3" t="str">
        <f>IFERROR(__xludf.DUMMYFUNCTION("""COMPUTED_VALUE"""),"Normal")</f>
        <v>Normal</v>
      </c>
      <c r="M684" s="3" t="str">
        <f>IFERROR(__xludf.DUMMYFUNCTION("""COMPUTED_VALUE"""),"Non Urgent")</f>
        <v>Non Urgent</v>
      </c>
      <c r="N684" s="3">
        <f>IFERROR(__xludf.DUMMYFUNCTION("""COMPUTED_VALUE"""),46272.80856010417)</f>
        <v>46272.80856</v>
      </c>
    </row>
    <row r="685">
      <c r="A685" s="4">
        <f>IFERROR(__xludf.DUMMYFUNCTION("""COMPUTED_VALUE"""),46272.292790555555)</f>
        <v>46272.29279</v>
      </c>
      <c r="B685" s="3" t="str">
        <f>IFERROR(__xludf.DUMMYFUNCTION("""COMPUTED_VALUE"""),"SFHRO0058")</f>
        <v>SFHRO0058</v>
      </c>
      <c r="C685" s="3" t="str">
        <f>IFERROR(__xludf.DUMMYFUNCTION("""COMPUTED_VALUE"""),"Consumable")</f>
        <v>Consumable</v>
      </c>
      <c r="D685" s="3" t="str">
        <f>IFERROR(__xludf.DUMMYFUNCTION("""COMPUTED_VALUE"""),"-")</f>
        <v>-</v>
      </c>
      <c r="E685" s="3" t="str">
        <f>IFERROR(__xludf.DUMMYFUNCTION("""COMPUTED_VALUE"""),"lantai 2")</f>
        <v>lantai 2</v>
      </c>
      <c r="F685" s="3" t="str">
        <f>IFERROR(__xludf.DUMMYFUNCTION("""COMPUTED_VALUE"""),"Besi siku SS 304 40x40x3x6000")</f>
        <v>Besi siku SS 304 40x40x3x6000</v>
      </c>
      <c r="G685" s="3">
        <f>IFERROR(__xludf.DUMMYFUNCTION("""COMPUTED_VALUE"""),4.0)</f>
        <v>4</v>
      </c>
      <c r="H685" s="3" t="str">
        <f>IFERROR(__xludf.DUMMYFUNCTION("""COMPUTED_VALUE"""),"btgt")</f>
        <v>btgt</v>
      </c>
      <c r="I685" s="3" t="str">
        <f>IFERROR(__xludf.DUMMYFUNCTION("""COMPUTED_VALUE"""),"buat  siku dinding")</f>
        <v>buat  siku dinding</v>
      </c>
      <c r="J685" s="3" t="str">
        <f>IFERROR(__xludf.DUMMYFUNCTION("""COMPUTED_VALUE"""),"P-11974-00")</f>
        <v>P-11974-00</v>
      </c>
      <c r="K685" s="3" t="str">
        <f>IFERROR(__xludf.DUMMYFUNCTION("""COMPUTED_VALUE"""),"Approve")</f>
        <v>Approve</v>
      </c>
      <c r="L685" s="3" t="str">
        <f>IFERROR(__xludf.DUMMYFUNCTION("""COMPUTED_VALUE"""),"Normal")</f>
        <v>Normal</v>
      </c>
      <c r="M685" s="3" t="str">
        <f>IFERROR(__xludf.DUMMYFUNCTION("""COMPUTED_VALUE"""),"Non Urgent")</f>
        <v>Non Urgent</v>
      </c>
      <c r="N685" s="3">
        <f>IFERROR(__xludf.DUMMYFUNCTION("""COMPUTED_VALUE"""),46272.808426041665)</f>
        <v>46272.80843</v>
      </c>
    </row>
    <row r="686">
      <c r="A686" s="4">
        <f>IFERROR(__xludf.DUMMYFUNCTION("""COMPUTED_VALUE"""),46274.42842173611)</f>
        <v>46274.42842</v>
      </c>
      <c r="B686" s="3" t="str">
        <f>IFERROR(__xludf.DUMMYFUNCTION("""COMPUTED_VALUE"""),"ANORO0010")</f>
        <v>ANORO0010</v>
      </c>
      <c r="C686" s="3" t="str">
        <f>IFERROR(__xludf.DUMMYFUNCTION("""COMPUTED_VALUE"""),"Consumable")</f>
        <v>Consumable</v>
      </c>
      <c r="D686" s="3" t="str">
        <f>IFERROR(__xludf.DUMMYFUNCTION("""COMPUTED_VALUE"""),"-")</f>
        <v>-</v>
      </c>
      <c r="E686" s="3" t="str">
        <f>IFERROR(__xludf.DUMMYFUNCTION("""COMPUTED_VALUE"""),"Exhaust Fan ")</f>
        <v>Exhaust Fan </v>
      </c>
      <c r="F686" s="3" t="str">
        <f>IFERROR(__xludf.DUMMYFUNCTION("""COMPUTED_VALUE"""),"SPA 1120 Brand : Optibelt / Bando Merah; Optibelt; ;")</f>
        <v>SPA 1120 Brand : Optibelt / Bando Merah; Optibelt; ;</v>
      </c>
      <c r="G686" s="3">
        <f>IFERROR(__xludf.DUMMYFUNCTION("""COMPUTED_VALUE"""),10.0)</f>
        <v>10</v>
      </c>
      <c r="H686" s="3" t="str">
        <f>IFERROR(__xludf.DUMMYFUNCTION("""COMPUTED_VALUE"""),"pcs")</f>
        <v>pcs</v>
      </c>
      <c r="I686" s="3" t="str">
        <f>IFERROR(__xludf.DUMMYFUNCTION("""COMPUTED_VALUE"""),"untuk stock dan untuk ganti di EF ahu ")</f>
        <v>untuk stock dan untuk ganti di EF ahu </v>
      </c>
      <c r="J686" s="3" t="str">
        <f>IFERROR(__xludf.DUMMYFUNCTION("""COMPUTED_VALUE"""),"O-15489-00")</f>
        <v>O-15489-00</v>
      </c>
      <c r="K686" s="3" t="str">
        <f>IFERROR(__xludf.DUMMYFUNCTION("""COMPUTED_VALUE"""),"Approve")</f>
        <v>Approve</v>
      </c>
      <c r="L686" s="3" t="str">
        <f>IFERROR(__xludf.DUMMYFUNCTION("""COMPUTED_VALUE"""),"Normal")</f>
        <v>Normal</v>
      </c>
      <c r="M686" s="3" t="str">
        <f>IFERROR(__xludf.DUMMYFUNCTION("""COMPUTED_VALUE"""),"Non Urgent")</f>
        <v>Non Urgent</v>
      </c>
      <c r="N686" s="3">
        <f>IFERROR(__xludf.DUMMYFUNCTION("""COMPUTED_VALUE"""),46280.51103450231)</f>
        <v>46280.51103</v>
      </c>
    </row>
    <row r="687">
      <c r="A687" s="4">
        <f>IFERROR(__xludf.DUMMYFUNCTION("""COMPUTED_VALUE"""),46275.46967363426)</f>
        <v>46275.46967</v>
      </c>
      <c r="B687" s="3" t="str">
        <f>IFERROR(__xludf.DUMMYFUNCTION("""COMPUTED_VALUE"""),"NDSRO0024")</f>
        <v>NDSRO0024</v>
      </c>
      <c r="C687" s="3" t="str">
        <f>IFERROR(__xludf.DUMMYFUNCTION("""COMPUTED_VALUE"""),"MIn Stok")</f>
        <v>MIn Stok</v>
      </c>
      <c r="D687" s="3" t="str">
        <f>IFERROR(__xludf.DUMMYFUNCTION("""COMPUTED_VALUE"""),"-")</f>
        <v>-</v>
      </c>
      <c r="E687" s="3" t="str">
        <f>IFERROR(__xludf.DUMMYFUNCTION("""COMPUTED_VALUE"""),"MV60")</f>
        <v>MV60</v>
      </c>
      <c r="F687" s="3" t="str">
        <f>IFERROR(__xludf.DUMMYFUNCTION("""COMPUTED_VALUE"""),"Mixing Tank Adam - Pressure Transmitter d trans P31 type: 402050/000 TN : 43010260 -1.5 bar rel, DC10..30V. 4..20mA 2-6 JUMO")</f>
        <v>Mixing Tank Adam - Pressure Transmitter d trans P31 type: 402050/000 TN : 43010260 -1.5 bar rel, DC10..30V. 4..20mA 2-6 JUMO</v>
      </c>
      <c r="G687" s="3">
        <f>IFERROR(__xludf.DUMMYFUNCTION("""COMPUTED_VALUE"""),2.0)</f>
        <v>2</v>
      </c>
      <c r="H687" s="3" t="str">
        <f>IFERROR(__xludf.DUMMYFUNCTION("""COMPUTED_VALUE"""),"Pcs")</f>
        <v>Pcs</v>
      </c>
      <c r="I687" s="3" t="str">
        <f>IFERROR(__xludf.DUMMYFUNCTION("""COMPUTED_VALUE"""),"Spare")</f>
        <v>Spare</v>
      </c>
      <c r="J687" s="3" t="str">
        <f>IFERROR(__xludf.DUMMYFUNCTION("""COMPUTED_VALUE"""),"O-51071-00")</f>
        <v>O-51071-00</v>
      </c>
      <c r="K687" s="3" t="str">
        <f>IFERROR(__xludf.DUMMYFUNCTION("""COMPUTED_VALUE"""),"Approve")</f>
        <v>Approve</v>
      </c>
      <c r="L687" s="3" t="str">
        <f>IFERROR(__xludf.DUMMYFUNCTION("""COMPUTED_VALUE"""),"Normal")</f>
        <v>Normal</v>
      </c>
      <c r="M687" s="3" t="str">
        <f>IFERROR(__xludf.DUMMYFUNCTION("""COMPUTED_VALUE"""),"Non Urgent")</f>
        <v>Non Urgent</v>
      </c>
      <c r="N687" s="3">
        <f>IFERROR(__xludf.DUMMYFUNCTION("""COMPUTED_VALUE"""),46280.65375438657)</f>
        <v>46280.65375</v>
      </c>
    </row>
    <row r="688">
      <c r="A688" s="4">
        <f>IFERROR(__xludf.DUMMYFUNCTION("""COMPUTED_VALUE"""),46276.29018721065)</f>
        <v>46276.29019</v>
      </c>
      <c r="B688" s="3" t="str">
        <f>IFERROR(__xludf.DUMMYFUNCTION("""COMPUTED_VALUE"""),"SFHRO0061")</f>
        <v>SFHRO0061</v>
      </c>
      <c r="C688" s="3" t="str">
        <f>IFERROR(__xludf.DUMMYFUNCTION("""COMPUTED_VALUE"""),"Consumable")</f>
        <v>Consumable</v>
      </c>
      <c r="D688" s="3" t="str">
        <f>IFERROR(__xludf.DUMMYFUNCTION("""COMPUTED_VALUE"""),"-")</f>
        <v>-</v>
      </c>
      <c r="E688" s="3" t="str">
        <f>IFERROR(__xludf.DUMMYFUNCTION("""COMPUTED_VALUE"""),"lantai 2")</f>
        <v>lantai 2</v>
      </c>
      <c r="F688" s="3" t="str">
        <f>IFERROR(__xludf.DUMMYFUNCTION("""COMPUTED_VALUE"""),"Handle Pintu Bulat, Elbow Press Lock; Meroni; N13NE TB127;")</f>
        <v>Handle Pintu Bulat, Elbow Press Lock; Meroni; N13NE TB127;</v>
      </c>
      <c r="G688" s="3">
        <f>IFERROR(__xludf.DUMMYFUNCTION("""COMPUTED_VALUE"""),4.0)</f>
        <v>4</v>
      </c>
      <c r="H688" s="3" t="str">
        <f>IFERROR(__xludf.DUMMYFUNCTION("""COMPUTED_VALUE"""),"pasang")</f>
        <v>pasang</v>
      </c>
      <c r="I688" s="3" t="str">
        <f>IFERROR(__xludf.DUMMYFUNCTION("""COMPUTED_VALUE"""),"-")</f>
        <v>-</v>
      </c>
      <c r="J688" s="3" t="str">
        <f>IFERROR(__xludf.DUMMYFUNCTION("""COMPUTED_VALUE"""),"Q-60401-00")</f>
        <v>Q-60401-00</v>
      </c>
      <c r="K688" s="3" t="str">
        <f>IFERROR(__xludf.DUMMYFUNCTION("""COMPUTED_VALUE"""),"Approve")</f>
        <v>Approve</v>
      </c>
      <c r="L688" s="3" t="str">
        <f>IFERROR(__xludf.DUMMYFUNCTION("""COMPUTED_VALUE"""),"Normal")</f>
        <v>Normal</v>
      </c>
      <c r="M688" s="3" t="str">
        <f>IFERROR(__xludf.DUMMYFUNCTION("""COMPUTED_VALUE"""),"Non Urgent")</f>
        <v>Non Urgent</v>
      </c>
      <c r="N688" s="3">
        <f>IFERROR(__xludf.DUMMYFUNCTION("""COMPUTED_VALUE"""),46280.51243159722)</f>
        <v>46280.51243</v>
      </c>
    </row>
    <row r="689">
      <c r="A689" s="4">
        <f>IFERROR(__xludf.DUMMYFUNCTION("""COMPUTED_VALUE"""),46276.29147578703)</f>
        <v>46276.29148</v>
      </c>
      <c r="B689" s="3" t="str">
        <f>IFERROR(__xludf.DUMMYFUNCTION("""COMPUTED_VALUE"""),"SFHRO0062")</f>
        <v>SFHRO0062</v>
      </c>
      <c r="C689" s="3" t="str">
        <f>IFERROR(__xludf.DUMMYFUNCTION("""COMPUTED_VALUE"""),"Consumable")</f>
        <v>Consumable</v>
      </c>
      <c r="D689" s="3" t="str">
        <f>IFERROR(__xludf.DUMMYFUNCTION("""COMPUTED_VALUE"""),"-")</f>
        <v>-</v>
      </c>
      <c r="E689" s="3" t="str">
        <f>IFERROR(__xludf.DUMMYFUNCTION("""COMPUTED_VALUE"""),"lantai 2 ")</f>
        <v>lantai 2 </v>
      </c>
      <c r="F689" s="3" t="str">
        <f>IFERROR(__xludf.DUMMYFUNCTION("""COMPUTED_VALUE"""),"Door Closer Type: TS77 Hold Open; DORMA; ;")</f>
        <v>Door Closer Type: TS77 Hold Open; DORMA; ;</v>
      </c>
      <c r="G689" s="3">
        <f>IFERROR(__xludf.DUMMYFUNCTION("""COMPUTED_VALUE"""),4.0)</f>
        <v>4</v>
      </c>
      <c r="H689" s="3" t="str">
        <f>IFERROR(__xludf.DUMMYFUNCTION("""COMPUTED_VALUE"""),"pcs")</f>
        <v>pcs</v>
      </c>
      <c r="I689" s="3" t="str">
        <f>IFERROR(__xludf.DUMMYFUNCTION("""COMPUTED_VALUE"""),"-")</f>
        <v>-</v>
      </c>
      <c r="J689" s="3" t="str">
        <f>IFERROR(__xludf.DUMMYFUNCTION("""COMPUTED_VALUE"""),"Q-10817-00")</f>
        <v>Q-10817-00</v>
      </c>
      <c r="K689" s="3" t="str">
        <f>IFERROR(__xludf.DUMMYFUNCTION("""COMPUTED_VALUE"""),"Approve")</f>
        <v>Approve</v>
      </c>
      <c r="L689" s="3" t="str">
        <f>IFERROR(__xludf.DUMMYFUNCTION("""COMPUTED_VALUE"""),"Normal")</f>
        <v>Normal</v>
      </c>
      <c r="M689" s="3" t="str">
        <f>IFERROR(__xludf.DUMMYFUNCTION("""COMPUTED_VALUE"""),"Non Urgent")</f>
        <v>Non Urgent</v>
      </c>
      <c r="N689" s="3">
        <f>IFERROR(__xludf.DUMMYFUNCTION("""COMPUTED_VALUE"""),46280.51257831018)</f>
        <v>46280.51258</v>
      </c>
    </row>
    <row r="690">
      <c r="N690" s="3"/>
    </row>
    <row r="691">
      <c r="N691" s="3"/>
    </row>
    <row r="692">
      <c r="N692" s="3"/>
    </row>
    <row r="693">
      <c r="N693" s="3"/>
    </row>
    <row r="694">
      <c r="N694" s="3"/>
    </row>
    <row r="695">
      <c r="N695" s="3"/>
    </row>
    <row r="696">
      <c r="N696" s="3"/>
    </row>
    <row r="697">
      <c r="N697" s="3"/>
    </row>
    <row r="698">
      <c r="N698" s="3"/>
    </row>
    <row r="699">
      <c r="N699" s="3"/>
    </row>
    <row r="700">
      <c r="N700" s="3"/>
    </row>
    <row r="701">
      <c r="N701" s="3"/>
    </row>
    <row r="702">
      <c r="N702" s="3"/>
    </row>
    <row r="703">
      <c r="N703" s="3"/>
    </row>
    <row r="704">
      <c r="N704" s="3"/>
    </row>
    <row r="705">
      <c r="N705" s="3"/>
    </row>
    <row r="706">
      <c r="N706" s="3"/>
    </row>
    <row r="707">
      <c r="N707" s="3"/>
    </row>
    <row r="708">
      <c r="N708" s="3"/>
    </row>
    <row r="709">
      <c r="N709" s="3"/>
    </row>
    <row r="710">
      <c r="N710" s="3"/>
    </row>
    <row r="711">
      <c r="N711" s="3"/>
    </row>
    <row r="712">
      <c r="N712" s="3"/>
    </row>
    <row r="713">
      <c r="N713" s="3"/>
    </row>
    <row r="714">
      <c r="N714" s="3"/>
    </row>
    <row r="715">
      <c r="N715" s="3"/>
    </row>
    <row r="716">
      <c r="N716" s="3"/>
    </row>
    <row r="717">
      <c r="N717" s="3"/>
    </row>
    <row r="718">
      <c r="N718" s="3"/>
    </row>
    <row r="719">
      <c r="N719" s="3"/>
    </row>
    <row r="720">
      <c r="N720" s="3"/>
    </row>
    <row r="721">
      <c r="N721" s="3"/>
    </row>
    <row r="722">
      <c r="N722" s="3"/>
    </row>
    <row r="723">
      <c r="N723" s="3"/>
    </row>
    <row r="724">
      <c r="N724" s="3"/>
    </row>
    <row r="725">
      <c r="N725" s="3"/>
    </row>
    <row r="726">
      <c r="N726" s="3"/>
    </row>
    <row r="727">
      <c r="N727" s="3"/>
    </row>
    <row r="728">
      <c r="N728" s="3"/>
    </row>
    <row r="729">
      <c r="N729" s="3"/>
    </row>
    <row r="730">
      <c r="N730" s="3"/>
    </row>
    <row r="731">
      <c r="N731" s="3"/>
    </row>
    <row r="732">
      <c r="N732" s="3"/>
    </row>
    <row r="733">
      <c r="N733" s="3"/>
    </row>
    <row r="734">
      <c r="N734" s="3"/>
    </row>
    <row r="735">
      <c r="N735" s="3"/>
    </row>
    <row r="736">
      <c r="N736" s="3"/>
    </row>
    <row r="737">
      <c r="N737" s="3"/>
    </row>
    <row r="738">
      <c r="N738" s="3"/>
    </row>
    <row r="739">
      <c r="N739" s="3"/>
    </row>
    <row r="740">
      <c r="N740" s="3"/>
    </row>
    <row r="741">
      <c r="N741" s="3"/>
    </row>
    <row r="742">
      <c r="N742" s="3"/>
    </row>
    <row r="743">
      <c r="N743" s="3"/>
    </row>
    <row r="744">
      <c r="N744" s="3"/>
    </row>
    <row r="745">
      <c r="N745" s="3"/>
    </row>
    <row r="746">
      <c r="N746" s="3"/>
    </row>
    <row r="747">
      <c r="N747" s="3"/>
    </row>
    <row r="748">
      <c r="N748" s="3"/>
    </row>
    <row r="749">
      <c r="N749" s="3"/>
    </row>
    <row r="750">
      <c r="N750" s="3"/>
    </row>
    <row r="751">
      <c r="N751" s="3"/>
    </row>
    <row r="752">
      <c r="N752" s="3"/>
    </row>
    <row r="753">
      <c r="N753" s="3"/>
    </row>
    <row r="754">
      <c r="N754" s="3"/>
    </row>
    <row r="755">
      <c r="N755" s="3"/>
    </row>
    <row r="756">
      <c r="N756" s="3"/>
    </row>
    <row r="757">
      <c r="N757" s="3"/>
    </row>
    <row r="758">
      <c r="N758" s="3"/>
    </row>
    <row r="759">
      <c r="N759" s="3"/>
    </row>
    <row r="760">
      <c r="N760" s="3"/>
    </row>
    <row r="761">
      <c r="N761" s="3"/>
    </row>
    <row r="762">
      <c r="N762" s="3"/>
    </row>
    <row r="763">
      <c r="N763" s="3"/>
    </row>
    <row r="764">
      <c r="N764" s="3"/>
    </row>
    <row r="765">
      <c r="N765" s="3"/>
    </row>
    <row r="766">
      <c r="N766" s="3"/>
    </row>
    <row r="767">
      <c r="N767" s="3"/>
    </row>
    <row r="768">
      <c r="N768" s="3"/>
    </row>
    <row r="769">
      <c r="N769" s="3"/>
    </row>
    <row r="770">
      <c r="N770" s="3"/>
    </row>
    <row r="771">
      <c r="N771" s="3"/>
    </row>
    <row r="772">
      <c r="N772" s="3"/>
    </row>
    <row r="773">
      <c r="N773" s="3"/>
    </row>
    <row r="774">
      <c r="N774" s="3"/>
    </row>
    <row r="775">
      <c r="N775" s="3"/>
    </row>
    <row r="776">
      <c r="N776" s="3"/>
    </row>
    <row r="777">
      <c r="N777" s="3"/>
    </row>
    <row r="778">
      <c r="N778" s="3"/>
    </row>
    <row r="779">
      <c r="N779" s="3"/>
    </row>
    <row r="780">
      <c r="N780" s="3"/>
    </row>
    <row r="781">
      <c r="N781" s="3"/>
    </row>
    <row r="782">
      <c r="N782" s="3"/>
    </row>
    <row r="783">
      <c r="N783" s="3"/>
    </row>
    <row r="784">
      <c r="N784" s="3"/>
    </row>
    <row r="785">
      <c r="N785" s="3"/>
    </row>
    <row r="786">
      <c r="N786" s="3"/>
    </row>
    <row r="787">
      <c r="N787" s="3"/>
    </row>
    <row r="788">
      <c r="N788" s="3"/>
    </row>
    <row r="789">
      <c r="N789" s="3"/>
    </row>
    <row r="790">
      <c r="N790" s="3"/>
    </row>
    <row r="791">
      <c r="N791" s="3"/>
    </row>
    <row r="792">
      <c r="N792" s="3"/>
    </row>
    <row r="793">
      <c r="N793" s="3"/>
    </row>
    <row r="794">
      <c r="N794" s="3"/>
    </row>
    <row r="795">
      <c r="N795" s="3"/>
    </row>
    <row r="796">
      <c r="N796" s="3"/>
    </row>
    <row r="797">
      <c r="N797" s="3"/>
    </row>
    <row r="798">
      <c r="N798" s="3"/>
    </row>
    <row r="799">
      <c r="N799" s="3"/>
    </row>
    <row r="800">
      <c r="N800" s="3"/>
    </row>
    <row r="801">
      <c r="N801" s="3"/>
    </row>
    <row r="802">
      <c r="N802" s="3"/>
    </row>
    <row r="803">
      <c r="N803" s="3"/>
    </row>
    <row r="804">
      <c r="N804" s="3"/>
    </row>
    <row r="805">
      <c r="N805" s="3"/>
    </row>
    <row r="806">
      <c r="N806" s="3"/>
    </row>
    <row r="807">
      <c r="N807" s="3"/>
    </row>
    <row r="808">
      <c r="N808" s="3"/>
    </row>
    <row r="809">
      <c r="N809" s="3"/>
    </row>
    <row r="810">
      <c r="N810" s="3"/>
    </row>
    <row r="811">
      <c r="N811" s="3"/>
    </row>
    <row r="812">
      <c r="N812" s="3"/>
    </row>
    <row r="813">
      <c r="N813" s="3"/>
    </row>
    <row r="814">
      <c r="N814" s="3"/>
    </row>
    <row r="815">
      <c r="N815" s="3"/>
    </row>
    <row r="816">
      <c r="N816" s="3"/>
    </row>
    <row r="817">
      <c r="N817" s="3"/>
    </row>
    <row r="818">
      <c r="N818" s="3"/>
    </row>
    <row r="819">
      <c r="N819" s="3"/>
    </row>
    <row r="820">
      <c r="N820" s="3"/>
    </row>
    <row r="821">
      <c r="N821" s="3"/>
    </row>
    <row r="822">
      <c r="N822" s="3"/>
    </row>
    <row r="823">
      <c r="N823" s="3"/>
    </row>
    <row r="824">
      <c r="N824" s="3"/>
    </row>
    <row r="825">
      <c r="N825" s="3"/>
    </row>
    <row r="826">
      <c r="N826" s="3"/>
    </row>
    <row r="827">
      <c r="N827" s="3"/>
    </row>
    <row r="828">
      <c r="N828" s="3"/>
    </row>
    <row r="829">
      <c r="N829" s="3"/>
    </row>
    <row r="830">
      <c r="N830" s="3"/>
    </row>
    <row r="831">
      <c r="N831" s="3"/>
    </row>
    <row r="832">
      <c r="N832" s="3"/>
    </row>
    <row r="833">
      <c r="N833" s="3"/>
    </row>
    <row r="834">
      <c r="N834" s="3"/>
    </row>
    <row r="835">
      <c r="N835" s="3"/>
    </row>
    <row r="836">
      <c r="N836" s="3"/>
    </row>
    <row r="837">
      <c r="N837" s="3"/>
    </row>
    <row r="838">
      <c r="N838" s="3"/>
    </row>
    <row r="839">
      <c r="N839" s="3"/>
    </row>
    <row r="840">
      <c r="N840" s="3"/>
    </row>
    <row r="841">
      <c r="N841" s="3"/>
    </row>
    <row r="842">
      <c r="N842" s="3"/>
    </row>
    <row r="843">
      <c r="N843" s="3"/>
    </row>
    <row r="844">
      <c r="N844" s="3"/>
    </row>
    <row r="845">
      <c r="N845" s="3"/>
    </row>
    <row r="846">
      <c r="N846" s="3"/>
    </row>
    <row r="847">
      <c r="N847" s="3"/>
    </row>
    <row r="848">
      <c r="N848" s="3"/>
    </row>
    <row r="849">
      <c r="N849" s="3"/>
    </row>
    <row r="850">
      <c r="N850" s="3"/>
    </row>
    <row r="851">
      <c r="N851" s="3"/>
    </row>
    <row r="852">
      <c r="N852" s="3"/>
    </row>
    <row r="853">
      <c r="N853" s="3"/>
    </row>
    <row r="854">
      <c r="N854" s="3"/>
    </row>
    <row r="855">
      <c r="N855" s="3"/>
    </row>
    <row r="856">
      <c r="N856" s="3"/>
    </row>
    <row r="857">
      <c r="N857" s="3"/>
    </row>
    <row r="858">
      <c r="N858" s="3"/>
    </row>
    <row r="859">
      <c r="N859" s="3"/>
    </row>
    <row r="860">
      <c r="N860" s="3"/>
    </row>
    <row r="861">
      <c r="N861" s="3"/>
    </row>
    <row r="862">
      <c r="N862" s="3"/>
    </row>
    <row r="863">
      <c r="N863" s="3"/>
    </row>
    <row r="864">
      <c r="N864" s="3"/>
    </row>
    <row r="865">
      <c r="N865" s="3"/>
    </row>
    <row r="866">
      <c r="N866" s="3"/>
    </row>
    <row r="867">
      <c r="N867" s="3"/>
    </row>
    <row r="868">
      <c r="N868" s="3"/>
    </row>
    <row r="869">
      <c r="N869" s="3"/>
    </row>
    <row r="870">
      <c r="N870" s="3"/>
    </row>
    <row r="871">
      <c r="N871" s="3"/>
    </row>
    <row r="872">
      <c r="N872" s="3"/>
    </row>
    <row r="873">
      <c r="N873" s="3"/>
    </row>
    <row r="874">
      <c r="N874" s="3"/>
    </row>
    <row r="875">
      <c r="N875" s="3"/>
    </row>
    <row r="876">
      <c r="N876" s="3"/>
    </row>
    <row r="877">
      <c r="N877" s="3"/>
    </row>
    <row r="878">
      <c r="N878" s="3"/>
    </row>
    <row r="879">
      <c r="N879" s="3"/>
    </row>
    <row r="880">
      <c r="N880" s="3"/>
    </row>
    <row r="881">
      <c r="N881" s="3"/>
    </row>
    <row r="882">
      <c r="N882" s="3"/>
    </row>
    <row r="883">
      <c r="N883" s="3"/>
    </row>
    <row r="884">
      <c r="N884" s="3"/>
    </row>
    <row r="885">
      <c r="N885" s="3"/>
    </row>
    <row r="886">
      <c r="N886" s="3"/>
    </row>
    <row r="887">
      <c r="N887" s="3"/>
    </row>
    <row r="888">
      <c r="N888" s="3"/>
    </row>
    <row r="889">
      <c r="N889" s="3"/>
    </row>
    <row r="890">
      <c r="N890" s="3"/>
    </row>
    <row r="891">
      <c r="N891" s="3"/>
    </row>
    <row r="892">
      <c r="N892" s="3"/>
    </row>
    <row r="893">
      <c r="N893" s="3"/>
    </row>
    <row r="894">
      <c r="N894" s="3"/>
    </row>
    <row r="895">
      <c r="N895" s="3"/>
    </row>
    <row r="896">
      <c r="N896" s="3"/>
    </row>
    <row r="897">
      <c r="N897" s="3"/>
    </row>
    <row r="898">
      <c r="N898" s="3"/>
    </row>
    <row r="899">
      <c r="N899" s="3"/>
    </row>
    <row r="900">
      <c r="N900" s="3"/>
    </row>
    <row r="901">
      <c r="N901" s="3"/>
    </row>
    <row r="902">
      <c r="N902" s="3"/>
    </row>
    <row r="903">
      <c r="N903" s="3"/>
    </row>
    <row r="904">
      <c r="N904" s="3"/>
    </row>
    <row r="905">
      <c r="N905" s="3"/>
    </row>
    <row r="906">
      <c r="N906" s="3"/>
    </row>
    <row r="907">
      <c r="N907" s="3"/>
    </row>
    <row r="908">
      <c r="N908" s="3"/>
    </row>
    <row r="909">
      <c r="N909" s="3"/>
    </row>
    <row r="910">
      <c r="N910" s="3"/>
    </row>
    <row r="911">
      <c r="N911" s="3"/>
    </row>
    <row r="912">
      <c r="N912" s="3"/>
    </row>
    <row r="913">
      <c r="N913" s="3"/>
    </row>
    <row r="914">
      <c r="N914" s="3"/>
    </row>
    <row r="915">
      <c r="N915" s="3"/>
    </row>
    <row r="916">
      <c r="N916" s="3"/>
    </row>
    <row r="917">
      <c r="N917" s="3"/>
    </row>
    <row r="918">
      <c r="N918" s="3"/>
    </row>
    <row r="919">
      <c r="N919" s="3"/>
    </row>
    <row r="920">
      <c r="N920" s="3"/>
    </row>
    <row r="921">
      <c r="N921" s="3"/>
    </row>
    <row r="922">
      <c r="N922" s="3"/>
    </row>
    <row r="923">
      <c r="N923" s="3"/>
    </row>
    <row r="924">
      <c r="N924" s="3"/>
    </row>
    <row r="925">
      <c r="N925" s="3"/>
    </row>
    <row r="926">
      <c r="N926" s="3"/>
    </row>
    <row r="927">
      <c r="N927" s="3"/>
    </row>
    <row r="928">
      <c r="N928" s="3"/>
    </row>
    <row r="929">
      <c r="N929" s="3"/>
    </row>
    <row r="930">
      <c r="N930" s="3"/>
    </row>
    <row r="931">
      <c r="N931" s="3"/>
    </row>
    <row r="932">
      <c r="N932" s="3"/>
    </row>
    <row r="933">
      <c r="N933" s="3"/>
    </row>
    <row r="934">
      <c r="N934" s="3"/>
    </row>
    <row r="935">
      <c r="N935" s="3"/>
    </row>
    <row r="936">
      <c r="N936" s="3"/>
    </row>
    <row r="937">
      <c r="N937" s="3"/>
    </row>
    <row r="938">
      <c r="N938" s="3"/>
    </row>
    <row r="939">
      <c r="N939" s="3"/>
    </row>
    <row r="940">
      <c r="N940" s="3"/>
    </row>
    <row r="941">
      <c r="N941" s="3"/>
    </row>
    <row r="942">
      <c r="N942" s="3"/>
    </row>
    <row r="943">
      <c r="N943" s="3"/>
    </row>
    <row r="944">
      <c r="N944" s="3"/>
    </row>
    <row r="945">
      <c r="N945" s="3"/>
    </row>
    <row r="946">
      <c r="N946" s="3"/>
    </row>
    <row r="947">
      <c r="N947" s="3"/>
    </row>
    <row r="948">
      <c r="N948" s="3"/>
    </row>
    <row r="949">
      <c r="N949" s="3"/>
    </row>
    <row r="950">
      <c r="N950" s="3"/>
    </row>
    <row r="951">
      <c r="N951" s="3"/>
    </row>
    <row r="952">
      <c r="N952" s="3"/>
    </row>
    <row r="953">
      <c r="N953" s="3"/>
    </row>
    <row r="954">
      <c r="N954" s="3"/>
    </row>
    <row r="955">
      <c r="N955" s="3"/>
    </row>
    <row r="956">
      <c r="N956" s="3"/>
    </row>
    <row r="957">
      <c r="N957" s="3"/>
    </row>
    <row r="958">
      <c r="N958" s="3"/>
    </row>
    <row r="959">
      <c r="N959" s="3"/>
    </row>
    <row r="960">
      <c r="N960" s="3"/>
    </row>
    <row r="961">
      <c r="N961" s="3"/>
    </row>
    <row r="962">
      <c r="N962" s="3"/>
    </row>
    <row r="963">
      <c r="N963" s="3"/>
    </row>
    <row r="964">
      <c r="N964" s="3"/>
    </row>
    <row r="965">
      <c r="N965" s="3"/>
    </row>
    <row r="966">
      <c r="N966" s="3"/>
    </row>
    <row r="967">
      <c r="N967" s="3"/>
    </row>
    <row r="968">
      <c r="N968" s="3"/>
    </row>
    <row r="969">
      <c r="N969" s="3"/>
    </row>
    <row r="970">
      <c r="N970" s="3"/>
    </row>
    <row r="971">
      <c r="N971" s="3"/>
    </row>
    <row r="972">
      <c r="N972" s="3"/>
    </row>
    <row r="973">
      <c r="N973" s="3"/>
    </row>
    <row r="974">
      <c r="N974" s="3"/>
    </row>
    <row r="975">
      <c r="N975" s="3"/>
    </row>
    <row r="976">
      <c r="N976" s="3"/>
    </row>
    <row r="977">
      <c r="N977" s="3"/>
    </row>
    <row r="978">
      <c r="N978" s="3"/>
    </row>
    <row r="979">
      <c r="N979" s="3"/>
    </row>
    <row r="980">
      <c r="N980" s="3"/>
    </row>
    <row r="981">
      <c r="N981" s="3"/>
    </row>
    <row r="982">
      <c r="N982" s="3"/>
    </row>
    <row r="983">
      <c r="N983" s="3"/>
    </row>
    <row r="984">
      <c r="N984" s="3"/>
    </row>
    <row r="985">
      <c r="N985" s="3"/>
    </row>
    <row r="986">
      <c r="N986" s="3"/>
    </row>
    <row r="987">
      <c r="N987" s="3"/>
    </row>
    <row r="988">
      <c r="N988" s="3"/>
    </row>
    <row r="989">
      <c r="N989" s="3"/>
    </row>
    <row r="990">
      <c r="N990" s="3"/>
    </row>
    <row r="991">
      <c r="N991" s="3"/>
    </row>
    <row r="992">
      <c r="N992" s="3"/>
    </row>
    <row r="993">
      <c r="N993" s="3"/>
    </row>
    <row r="994">
      <c r="N994" s="3"/>
    </row>
    <row r="995">
      <c r="N995" s="3"/>
    </row>
    <row r="996">
      <c r="N996" s="3"/>
    </row>
    <row r="997">
      <c r="N997" s="3"/>
    </row>
    <row r="998">
      <c r="N998" s="3"/>
    </row>
    <row r="999">
      <c r="N999" s="3"/>
    </row>
    <row r="1000">
      <c r="N1000" s="3"/>
    </row>
    <row r="1001">
      <c r="N1001" s="3"/>
    </row>
    <row r="1002">
      <c r="N1002" s="3"/>
    </row>
    <row r="1003">
      <c r="N1003" s="3"/>
    </row>
    <row r="1004">
      <c r="N1004" s="3"/>
    </row>
    <row r="1005">
      <c r="N1005" s="3"/>
    </row>
    <row r="1006">
      <c r="N1006" s="3"/>
    </row>
    <row r="1007">
      <c r="N1007" s="3"/>
    </row>
    <row r="1008">
      <c r="N1008" s="3"/>
    </row>
    <row r="1009">
      <c r="N1009" s="3"/>
    </row>
    <row r="1010">
      <c r="N1010" s="3"/>
    </row>
    <row r="1011">
      <c r="N1011" s="3"/>
    </row>
    <row r="1012">
      <c r="N1012" s="3"/>
    </row>
    <row r="1013">
      <c r="N1013" s="3"/>
    </row>
    <row r="1014">
      <c r="N1014" s="3"/>
    </row>
    <row r="1015">
      <c r="N1015" s="3"/>
    </row>
    <row r="1016">
      <c r="N1016" s="3"/>
    </row>
    <row r="1017">
      <c r="N1017" s="3"/>
    </row>
    <row r="1018">
      <c r="N1018" s="3"/>
    </row>
    <row r="1019">
      <c r="N1019" s="3"/>
    </row>
    <row r="1020">
      <c r="N1020" s="3"/>
    </row>
    <row r="1021">
      <c r="N1021" s="3"/>
    </row>
    <row r="1022">
      <c r="N1022" s="3"/>
    </row>
    <row r="1023">
      <c r="N1023" s="3"/>
    </row>
    <row r="1024">
      <c r="N1024" s="3"/>
    </row>
    <row r="1025">
      <c r="N1025" s="3"/>
    </row>
    <row r="1026">
      <c r="N1026" s="3"/>
    </row>
    <row r="1027">
      <c r="N1027" s="3"/>
    </row>
    <row r="1028">
      <c r="N1028" s="3"/>
    </row>
    <row r="1029">
      <c r="N1029" s="3"/>
    </row>
    <row r="1030">
      <c r="N1030" s="3"/>
    </row>
    <row r="1031">
      <c r="N1031" s="3"/>
    </row>
    <row r="1032">
      <c r="N1032" s="3"/>
    </row>
    <row r="1033">
      <c r="N1033" s="3"/>
    </row>
    <row r="1034">
      <c r="N1034" s="3"/>
    </row>
    <row r="1035">
      <c r="N1035" s="3"/>
    </row>
    <row r="1036">
      <c r="N1036" s="3"/>
    </row>
    <row r="1037">
      <c r="N1037" s="3"/>
    </row>
    <row r="1038">
      <c r="N1038" s="3"/>
    </row>
    <row r="1039">
      <c r="N1039" s="3"/>
    </row>
    <row r="1040">
      <c r="N1040" s="3"/>
    </row>
    <row r="1041">
      <c r="N1041" s="3"/>
    </row>
    <row r="1042">
      <c r="N1042" s="3"/>
    </row>
    <row r="1043">
      <c r="N1043" s="3"/>
    </row>
    <row r="1044">
      <c r="N1044" s="3"/>
    </row>
    <row r="1045">
      <c r="N1045" s="3"/>
    </row>
    <row r="1046">
      <c r="N1046" s="3"/>
    </row>
    <row r="1047">
      <c r="N1047" s="3"/>
    </row>
    <row r="1048">
      <c r="N1048" s="3"/>
    </row>
    <row r="1049">
      <c r="N1049" s="3"/>
    </row>
    <row r="1050">
      <c r="N1050" s="3"/>
    </row>
    <row r="1051">
      <c r="N1051" s="3"/>
    </row>
    <row r="1052">
      <c r="N1052" s="3"/>
    </row>
    <row r="1053">
      <c r="N1053" s="3"/>
    </row>
    <row r="1054">
      <c r="N1054" s="3"/>
    </row>
    <row r="1055">
      <c r="N1055" s="3"/>
    </row>
    <row r="1056">
      <c r="N1056" s="3"/>
    </row>
    <row r="1057">
      <c r="N1057" s="3"/>
    </row>
    <row r="1058">
      <c r="N1058" s="3"/>
    </row>
    <row r="1059">
      <c r="N1059" s="3"/>
    </row>
    <row r="1060">
      <c r="N1060" s="3"/>
    </row>
    <row r="1061">
      <c r="N1061" s="3"/>
    </row>
    <row r="1062">
      <c r="N1062" s="3"/>
    </row>
    <row r="1063">
      <c r="N1063" s="3"/>
    </row>
    <row r="1064">
      <c r="N1064" s="3"/>
    </row>
    <row r="1065">
      <c r="N1065" s="3"/>
    </row>
    <row r="1066">
      <c r="N1066" s="3"/>
    </row>
    <row r="1067">
      <c r="N1067" s="3"/>
    </row>
    <row r="1068">
      <c r="N1068" s="3"/>
    </row>
    <row r="1069">
      <c r="N1069" s="3"/>
    </row>
    <row r="1070">
      <c r="N1070" s="3"/>
    </row>
    <row r="1071">
      <c r="N1071" s="3"/>
    </row>
    <row r="1072">
      <c r="N1072" s="3"/>
    </row>
    <row r="1073">
      <c r="N1073" s="3"/>
    </row>
    <row r="1074">
      <c r="N1074" s="3"/>
    </row>
    <row r="1075">
      <c r="N1075" s="3"/>
    </row>
    <row r="1076">
      <c r="N1076" s="3"/>
    </row>
    <row r="1077">
      <c r="N1077" s="3"/>
    </row>
    <row r="1078">
      <c r="N1078" s="3"/>
    </row>
    <row r="1079">
      <c r="N1079" s="3"/>
    </row>
    <row r="1080">
      <c r="N1080" s="3"/>
    </row>
    <row r="1081">
      <c r="N1081" s="3"/>
    </row>
    <row r="1082">
      <c r="N1082" s="3"/>
    </row>
    <row r="1083">
      <c r="N1083" s="3"/>
    </row>
    <row r="1084">
      <c r="N1084" s="3"/>
    </row>
    <row r="1085">
      <c r="N1085" s="3"/>
    </row>
    <row r="1086">
      <c r="N1086" s="3"/>
    </row>
    <row r="1087">
      <c r="N1087" s="3"/>
    </row>
    <row r="1088">
      <c r="N1088" s="3"/>
    </row>
    <row r="1089">
      <c r="N1089" s="3"/>
    </row>
    <row r="1090">
      <c r="N1090" s="3"/>
    </row>
    <row r="1091">
      <c r="N1091" s="3"/>
    </row>
    <row r="1092">
      <c r="N1092" s="3"/>
    </row>
    <row r="1093">
      <c r="N1093" s="3"/>
    </row>
    <row r="1094">
      <c r="N1094" s="3"/>
    </row>
    <row r="1095">
      <c r="N1095" s="3"/>
    </row>
    <row r="1096">
      <c r="N1096" s="3"/>
    </row>
    <row r="1097">
      <c r="N1097" s="3"/>
    </row>
    <row r="1098">
      <c r="N1098" s="3"/>
    </row>
    <row r="1099">
      <c r="N1099" s="3"/>
    </row>
    <row r="1100">
      <c r="N1100" s="3"/>
    </row>
    <row r="1101">
      <c r="N1101" s="3"/>
    </row>
    <row r="1102">
      <c r="N1102" s="3"/>
    </row>
    <row r="1103">
      <c r="N1103" s="3"/>
    </row>
    <row r="1104">
      <c r="N1104" s="3"/>
    </row>
    <row r="1105">
      <c r="N1105" s="3"/>
    </row>
    <row r="1106">
      <c r="N1106" s="3"/>
    </row>
    <row r="1107">
      <c r="N1107" s="3"/>
    </row>
    <row r="1108">
      <c r="N1108" s="3"/>
    </row>
    <row r="1109">
      <c r="N1109" s="3"/>
    </row>
    <row r="1110">
      <c r="N1110" s="3"/>
    </row>
    <row r="1111">
      <c r="N1111" s="3"/>
    </row>
    <row r="1112">
      <c r="N1112" s="3"/>
    </row>
    <row r="1113">
      <c r="N1113" s="3"/>
    </row>
    <row r="1114">
      <c r="N1114" s="3"/>
    </row>
    <row r="1115">
      <c r="N1115" s="3"/>
    </row>
    <row r="1116">
      <c r="N1116" s="3"/>
    </row>
    <row r="1117">
      <c r="N1117" s="3"/>
    </row>
    <row r="1118">
      <c r="N1118" s="3"/>
    </row>
    <row r="1119">
      <c r="N1119" s="3"/>
    </row>
    <row r="1120">
      <c r="N1120" s="3"/>
    </row>
    <row r="1121">
      <c r="N1121" s="3"/>
    </row>
    <row r="1122">
      <c r="N1122" s="3"/>
    </row>
    <row r="1123">
      <c r="N1123" s="3"/>
    </row>
    <row r="1124">
      <c r="N1124" s="3"/>
    </row>
    <row r="1125">
      <c r="N1125" s="3"/>
    </row>
    <row r="1126">
      <c r="N1126" s="3"/>
    </row>
    <row r="1127">
      <c r="N1127" s="3"/>
    </row>
    <row r="1128">
      <c r="N1128" s="3"/>
    </row>
    <row r="1129">
      <c r="N1129" s="3"/>
    </row>
    <row r="1130">
      <c r="N1130" s="3"/>
    </row>
    <row r="1131">
      <c r="N1131" s="3"/>
    </row>
    <row r="1132">
      <c r="N1132" s="3"/>
    </row>
    <row r="1133">
      <c r="N1133" s="3"/>
    </row>
    <row r="1134">
      <c r="N1134" s="3"/>
    </row>
    <row r="1135">
      <c r="N1135" s="3"/>
    </row>
    <row r="1136">
      <c r="N1136" s="3"/>
    </row>
    <row r="1137">
      <c r="N1137" s="3"/>
    </row>
    <row r="1138">
      <c r="N1138" s="3"/>
    </row>
    <row r="1139">
      <c r="N1139" s="3"/>
    </row>
    <row r="1140">
      <c r="N1140" s="3"/>
    </row>
    <row r="1141">
      <c r="N1141" s="3"/>
    </row>
    <row r="1142">
      <c r="N1142" s="3"/>
    </row>
    <row r="1143">
      <c r="N1143" s="3"/>
    </row>
    <row r="1144">
      <c r="N1144" s="3"/>
    </row>
    <row r="1145">
      <c r="N1145" s="3"/>
    </row>
    <row r="1146">
      <c r="N1146" s="3"/>
    </row>
    <row r="1147">
      <c r="N1147" s="3"/>
    </row>
    <row r="1148">
      <c r="N1148" s="3"/>
    </row>
    <row r="1149">
      <c r="N1149" s="3"/>
    </row>
    <row r="1150">
      <c r="N1150" s="3"/>
    </row>
    <row r="1151">
      <c r="N1151" s="3"/>
    </row>
    <row r="1152">
      <c r="N1152" s="3"/>
    </row>
    <row r="1153">
      <c r="N1153" s="3"/>
    </row>
    <row r="1154">
      <c r="N1154" s="3"/>
    </row>
    <row r="1155">
      <c r="N1155" s="3"/>
    </row>
    <row r="1156">
      <c r="N1156" s="3"/>
    </row>
    <row r="1157">
      <c r="N1157" s="3"/>
    </row>
    <row r="1158">
      <c r="N1158" s="3"/>
    </row>
    <row r="1159">
      <c r="N1159" s="3"/>
    </row>
    <row r="1160">
      <c r="N1160" s="3"/>
    </row>
    <row r="1161">
      <c r="N1161" s="3"/>
    </row>
    <row r="1162">
      <c r="N1162" s="3"/>
    </row>
    <row r="1163">
      <c r="N1163" s="3"/>
    </row>
    <row r="1164">
      <c r="N1164" s="3"/>
    </row>
    <row r="1165">
      <c r="N1165" s="3"/>
    </row>
    <row r="1166">
      <c r="N1166" s="3"/>
    </row>
    <row r="1167">
      <c r="N1167" s="3"/>
    </row>
    <row r="1168">
      <c r="N1168" s="3"/>
    </row>
    <row r="1169">
      <c r="N1169" s="3"/>
    </row>
    <row r="1170">
      <c r="N1170" s="3"/>
    </row>
    <row r="1171">
      <c r="N1171" s="3"/>
    </row>
    <row r="1172">
      <c r="N1172" s="3"/>
    </row>
    <row r="1173">
      <c r="N1173" s="3"/>
    </row>
    <row r="1174">
      <c r="N1174" s="3"/>
    </row>
    <row r="1175">
      <c r="N1175" s="3"/>
    </row>
    <row r="1176">
      <c r="N1176" s="3"/>
    </row>
    <row r="1177">
      <c r="N1177" s="3"/>
    </row>
    <row r="1178">
      <c r="N1178" s="3"/>
    </row>
    <row r="1179">
      <c r="N1179" s="3"/>
    </row>
    <row r="1180">
      <c r="N1180" s="3"/>
    </row>
    <row r="1181">
      <c r="N1181" s="3"/>
    </row>
    <row r="1182">
      <c r="N1182" s="3"/>
    </row>
    <row r="1183">
      <c r="N1183" s="3"/>
    </row>
    <row r="1184">
      <c r="N1184" s="3"/>
    </row>
    <row r="1185">
      <c r="N1185" s="3"/>
    </row>
    <row r="1186">
      <c r="N1186" s="3"/>
    </row>
    <row r="1187">
      <c r="N1187" s="3"/>
    </row>
    <row r="1188">
      <c r="N1188" s="3"/>
    </row>
    <row r="1189">
      <c r="N1189" s="3"/>
    </row>
    <row r="1190">
      <c r="N1190" s="3"/>
    </row>
    <row r="1191">
      <c r="N1191" s="3"/>
    </row>
    <row r="1192">
      <c r="N1192" s="3"/>
    </row>
    <row r="1193">
      <c r="N1193" s="3"/>
    </row>
    <row r="1194">
      <c r="N1194" s="3"/>
    </row>
    <row r="1195">
      <c r="N1195" s="3"/>
    </row>
    <row r="1196">
      <c r="N1196" s="3"/>
    </row>
    <row r="1197">
      <c r="N1197" s="3"/>
    </row>
    <row r="1198">
      <c r="N1198" s="3"/>
    </row>
    <row r="1199">
      <c r="N1199" s="3"/>
    </row>
    <row r="1200">
      <c r="N1200" s="3"/>
    </row>
    <row r="1201">
      <c r="N1201" s="3"/>
    </row>
    <row r="1202">
      <c r="N1202" s="3"/>
    </row>
    <row r="1203">
      <c r="N1203" s="3"/>
    </row>
    <row r="1204">
      <c r="N1204" s="3"/>
    </row>
    <row r="1205">
      <c r="N1205" s="3"/>
    </row>
    <row r="1206">
      <c r="N1206" s="3"/>
    </row>
    <row r="1207">
      <c r="N1207" s="3"/>
    </row>
    <row r="1208">
      <c r="N1208" s="3"/>
    </row>
    <row r="1209">
      <c r="N1209" s="3"/>
    </row>
    <row r="1210">
      <c r="N1210" s="3"/>
    </row>
    <row r="1211">
      <c r="N1211" s="3"/>
    </row>
    <row r="1212">
      <c r="N1212" s="3"/>
    </row>
    <row r="1213">
      <c r="N1213" s="3"/>
    </row>
    <row r="1214">
      <c r="N1214" s="3"/>
    </row>
    <row r="1215">
      <c r="N1215" s="3"/>
    </row>
    <row r="1216">
      <c r="N1216" s="3"/>
    </row>
    <row r="1217">
      <c r="N1217" s="3"/>
    </row>
    <row r="1218">
      <c r="N1218" s="3"/>
    </row>
    <row r="1219">
      <c r="N1219" s="3"/>
    </row>
    <row r="1220">
      <c r="N1220" s="3"/>
    </row>
    <row r="1221">
      <c r="N1221" s="3"/>
    </row>
    <row r="1222">
      <c r="N1222" s="3"/>
    </row>
    <row r="1223">
      <c r="N1223" s="3"/>
    </row>
    <row r="1224">
      <c r="N1224" s="3"/>
    </row>
    <row r="1225">
      <c r="N1225" s="3"/>
    </row>
    <row r="1226">
      <c r="N1226" s="3"/>
    </row>
    <row r="1227">
      <c r="N1227" s="3"/>
    </row>
    <row r="1228">
      <c r="N1228" s="3"/>
    </row>
    <row r="1229">
      <c r="N1229" s="3"/>
    </row>
    <row r="1230">
      <c r="N1230" s="3"/>
    </row>
    <row r="1231">
      <c r="N1231" s="3"/>
    </row>
    <row r="1232">
      <c r="N1232" s="3"/>
    </row>
    <row r="1233">
      <c r="N1233" s="3"/>
    </row>
    <row r="1234">
      <c r="N1234" s="3"/>
    </row>
    <row r="1235">
      <c r="N1235" s="3"/>
    </row>
    <row r="1236">
      <c r="N1236" s="3"/>
    </row>
    <row r="1237">
      <c r="N1237" s="3"/>
    </row>
    <row r="1238">
      <c r="N1238" s="3"/>
    </row>
    <row r="1239">
      <c r="N1239" s="3"/>
    </row>
    <row r="1240">
      <c r="N1240" s="3"/>
    </row>
    <row r="1241">
      <c r="N1241" s="3"/>
    </row>
    <row r="1242">
      <c r="N1242" s="3"/>
    </row>
    <row r="1243">
      <c r="N1243" s="3"/>
    </row>
    <row r="1244">
      <c r="N1244" s="3"/>
    </row>
    <row r="1245">
      <c r="N1245" s="3"/>
    </row>
    <row r="1246">
      <c r="N1246" s="3"/>
    </row>
    <row r="1247">
      <c r="N1247" s="3"/>
    </row>
    <row r="1248">
      <c r="N1248" s="3"/>
    </row>
    <row r="1249">
      <c r="N1249" s="3"/>
    </row>
    <row r="1250">
      <c r="N1250" s="3"/>
    </row>
    <row r="1251">
      <c r="N1251" s="3"/>
    </row>
    <row r="1252">
      <c r="N1252" s="3"/>
    </row>
    <row r="1253">
      <c r="N1253" s="3"/>
    </row>
    <row r="1254">
      <c r="N1254" s="3"/>
    </row>
    <row r="1255">
      <c r="N1255" s="3"/>
    </row>
    <row r="1256">
      <c r="N1256" s="3"/>
    </row>
    <row r="1257">
      <c r="N1257" s="3"/>
    </row>
    <row r="1258">
      <c r="N1258" s="3"/>
    </row>
    <row r="1259">
      <c r="N1259" s="3"/>
    </row>
    <row r="1260">
      <c r="N1260" s="3"/>
    </row>
    <row r="1261">
      <c r="N1261" s="3"/>
    </row>
    <row r="1262">
      <c r="N1262" s="3"/>
    </row>
    <row r="1263">
      <c r="N1263" s="3"/>
    </row>
    <row r="1264">
      <c r="N1264" s="3"/>
    </row>
    <row r="1265">
      <c r="N1265" s="3"/>
    </row>
    <row r="1266">
      <c r="N1266" s="3"/>
    </row>
    <row r="1267">
      <c r="N1267" s="3"/>
    </row>
    <row r="1268">
      <c r="N1268" s="3"/>
    </row>
    <row r="1269">
      <c r="N1269" s="3"/>
    </row>
    <row r="1270">
      <c r="N1270" s="3"/>
    </row>
    <row r="1271">
      <c r="N1271" s="3"/>
    </row>
    <row r="1272">
      <c r="N1272" s="3"/>
    </row>
    <row r="1273">
      <c r="N1273" s="3"/>
    </row>
    <row r="1274">
      <c r="N1274" s="3"/>
    </row>
    <row r="1275">
      <c r="N1275" s="3"/>
    </row>
    <row r="1276">
      <c r="N1276" s="3"/>
    </row>
    <row r="1277">
      <c r="N1277" s="3"/>
    </row>
    <row r="1278">
      <c r="N1278" s="3"/>
    </row>
    <row r="1279">
      <c r="N1279" s="3"/>
    </row>
    <row r="1280">
      <c r="N1280" s="3"/>
    </row>
    <row r="1281">
      <c r="N1281" s="3"/>
    </row>
    <row r="1282">
      <c r="N1282" s="3"/>
    </row>
    <row r="1283">
      <c r="N1283" s="3"/>
    </row>
    <row r="1284">
      <c r="N1284" s="3"/>
    </row>
    <row r="1285">
      <c r="N1285" s="3"/>
    </row>
    <row r="1286">
      <c r="N1286" s="3"/>
    </row>
    <row r="1287">
      <c r="N1287" s="3"/>
    </row>
    <row r="1288">
      <c r="N1288" s="3"/>
    </row>
    <row r="1289">
      <c r="N1289" s="3"/>
    </row>
    <row r="1290">
      <c r="N1290" s="3"/>
    </row>
    <row r="1291">
      <c r="N1291" s="3"/>
    </row>
    <row r="1292">
      <c r="N1292" s="3"/>
    </row>
    <row r="1293">
      <c r="N1293" s="3"/>
    </row>
    <row r="1294">
      <c r="N1294" s="3"/>
    </row>
    <row r="1295">
      <c r="N1295" s="3"/>
    </row>
    <row r="1296">
      <c r="N1296" s="3"/>
    </row>
    <row r="1297">
      <c r="N1297" s="3"/>
    </row>
    <row r="1298">
      <c r="N1298" s="3"/>
    </row>
    <row r="1299">
      <c r="N1299" s="3"/>
    </row>
    <row r="1300">
      <c r="N1300" s="3"/>
    </row>
    <row r="1301">
      <c r="N1301" s="3"/>
    </row>
    <row r="1302">
      <c r="N1302" s="3"/>
    </row>
    <row r="1303">
      <c r="N1303" s="3"/>
    </row>
    <row r="1304">
      <c r="N1304" s="3"/>
    </row>
    <row r="1305">
      <c r="N1305" s="3"/>
    </row>
    <row r="1306">
      <c r="N1306" s="3"/>
    </row>
    <row r="1307">
      <c r="N1307" s="3"/>
    </row>
    <row r="1308">
      <c r="N1308" s="3"/>
    </row>
    <row r="1309">
      <c r="N1309" s="3"/>
    </row>
    <row r="1310">
      <c r="N1310" s="3"/>
    </row>
    <row r="1311">
      <c r="N1311" s="3"/>
    </row>
    <row r="1312">
      <c r="N1312" s="3"/>
    </row>
    <row r="1313">
      <c r="N1313" s="3"/>
    </row>
    <row r="1314">
      <c r="N1314" s="3"/>
    </row>
    <row r="1315">
      <c r="N1315" s="3"/>
    </row>
    <row r="1316">
      <c r="N1316" s="3"/>
    </row>
    <row r="1317">
      <c r="N1317" s="3"/>
    </row>
    <row r="1318">
      <c r="N1318" s="3"/>
    </row>
    <row r="1319">
      <c r="N1319" s="3"/>
    </row>
    <row r="1320">
      <c r="N1320" s="3"/>
    </row>
    <row r="1321">
      <c r="N1321" s="3"/>
    </row>
    <row r="1322">
      <c r="N1322" s="3"/>
    </row>
    <row r="1323">
      <c r="N1323" s="3"/>
    </row>
    <row r="1324">
      <c r="N1324" s="3"/>
    </row>
    <row r="1325">
      <c r="N1325" s="3"/>
    </row>
    <row r="1326">
      <c r="N1326" s="3"/>
    </row>
    <row r="1327">
      <c r="N1327" s="3"/>
    </row>
    <row r="1328">
      <c r="N1328" s="3"/>
    </row>
    <row r="1329">
      <c r="N1329" s="3"/>
    </row>
    <row r="1330">
      <c r="N1330" s="3"/>
    </row>
    <row r="1331">
      <c r="N1331" s="3"/>
    </row>
    <row r="1332">
      <c r="N1332" s="3"/>
    </row>
    <row r="1333">
      <c r="N1333" s="3"/>
    </row>
    <row r="1334">
      <c r="N1334" s="3"/>
    </row>
    <row r="1335">
      <c r="N1335" s="3"/>
    </row>
    <row r="1336">
      <c r="N1336" s="3"/>
    </row>
    <row r="1337">
      <c r="N1337" s="3"/>
    </row>
    <row r="1338">
      <c r="N1338" s="3"/>
    </row>
    <row r="1339">
      <c r="N1339" s="3"/>
    </row>
    <row r="1340">
      <c r="N1340" s="3"/>
    </row>
    <row r="1341">
      <c r="N1341" s="3"/>
    </row>
    <row r="1342">
      <c r="N1342" s="3"/>
    </row>
    <row r="1343">
      <c r="N1343" s="3"/>
    </row>
    <row r="1344">
      <c r="N1344" s="3"/>
    </row>
    <row r="1345">
      <c r="N1345" s="3"/>
    </row>
    <row r="1346">
      <c r="N1346" s="3"/>
    </row>
    <row r="1347">
      <c r="N1347" s="3"/>
    </row>
    <row r="1348">
      <c r="N1348" s="3"/>
    </row>
    <row r="1349">
      <c r="N1349" s="3"/>
    </row>
    <row r="1350">
      <c r="N1350" s="3"/>
    </row>
    <row r="1351">
      <c r="N1351" s="3"/>
    </row>
    <row r="1352">
      <c r="N1352" s="3"/>
    </row>
    <row r="1353">
      <c r="N1353" s="3"/>
    </row>
    <row r="1354">
      <c r="N1354" s="3"/>
    </row>
    <row r="1355">
      <c r="N1355" s="3"/>
    </row>
    <row r="1356">
      <c r="N1356" s="3"/>
    </row>
    <row r="1357">
      <c r="N1357" s="3"/>
    </row>
    <row r="1358">
      <c r="N1358" s="3"/>
    </row>
    <row r="1359">
      <c r="N1359" s="3"/>
    </row>
    <row r="1360">
      <c r="N1360" s="3"/>
    </row>
    <row r="1361">
      <c r="N1361" s="3"/>
    </row>
    <row r="1362">
      <c r="N1362" s="3"/>
    </row>
    <row r="1363">
      <c r="N1363" s="3"/>
    </row>
    <row r="1364">
      <c r="N1364" s="3"/>
    </row>
    <row r="1365">
      <c r="N1365" s="3"/>
    </row>
    <row r="1366">
      <c r="N1366" s="3"/>
    </row>
    <row r="1367">
      <c r="N1367" s="3"/>
    </row>
    <row r="1368">
      <c r="N1368" s="3"/>
    </row>
    <row r="1369">
      <c r="N1369" s="3"/>
    </row>
    <row r="1370">
      <c r="N1370" s="3"/>
    </row>
    <row r="1371">
      <c r="N1371" s="3"/>
    </row>
    <row r="1372">
      <c r="N1372" s="3"/>
    </row>
    <row r="1373">
      <c r="N1373" s="3"/>
    </row>
    <row r="1374">
      <c r="N1374" s="3"/>
    </row>
    <row r="1375">
      <c r="N1375" s="3"/>
    </row>
    <row r="1376">
      <c r="N1376" s="3"/>
    </row>
    <row r="1377">
      <c r="N1377" s="3"/>
    </row>
    <row r="1378">
      <c r="N1378" s="3"/>
    </row>
    <row r="1379">
      <c r="N1379" s="3"/>
    </row>
    <row r="1380">
      <c r="N1380" s="3"/>
    </row>
    <row r="1381">
      <c r="N1381" s="3"/>
    </row>
    <row r="1382">
      <c r="N1382" s="3"/>
    </row>
    <row r="1383">
      <c r="N1383" s="3"/>
    </row>
    <row r="1384">
      <c r="N1384" s="3"/>
    </row>
    <row r="1385">
      <c r="N1385" s="3"/>
    </row>
    <row r="1386">
      <c r="N1386" s="3"/>
    </row>
    <row r="1387">
      <c r="N1387" s="3"/>
    </row>
    <row r="1388">
      <c r="N1388" s="3"/>
    </row>
    <row r="1389">
      <c r="N1389" s="3"/>
    </row>
    <row r="1390">
      <c r="N1390" s="3"/>
    </row>
    <row r="1391">
      <c r="N1391" s="3"/>
    </row>
    <row r="1392">
      <c r="N1392" s="3"/>
    </row>
    <row r="1393">
      <c r="N1393" s="3"/>
    </row>
    <row r="1394">
      <c r="N1394" s="3"/>
    </row>
    <row r="1395">
      <c r="N1395" s="3"/>
    </row>
    <row r="1396">
      <c r="N1396" s="3"/>
    </row>
    <row r="1397">
      <c r="N1397" s="3"/>
    </row>
    <row r="1398">
      <c r="N1398" s="3"/>
    </row>
    <row r="1399">
      <c r="N1399" s="3"/>
    </row>
    <row r="1400">
      <c r="N1400" s="3"/>
    </row>
    <row r="1401">
      <c r="N1401" s="3"/>
    </row>
    <row r="1402">
      <c r="N1402" s="3"/>
    </row>
    <row r="1403">
      <c r="N1403" s="3"/>
    </row>
    <row r="1404">
      <c r="N1404" s="3"/>
    </row>
    <row r="1405">
      <c r="N1405" s="3"/>
    </row>
    <row r="1406">
      <c r="N1406" s="3"/>
    </row>
    <row r="1407">
      <c r="N1407" s="3"/>
    </row>
    <row r="1408">
      <c r="N1408" s="3"/>
    </row>
    <row r="1409">
      <c r="N1409" s="3"/>
    </row>
    <row r="1410">
      <c r="N1410" s="3"/>
    </row>
    <row r="1411">
      <c r="N1411" s="3"/>
    </row>
    <row r="1412">
      <c r="N1412" s="3"/>
    </row>
    <row r="1413">
      <c r="N1413" s="3"/>
    </row>
    <row r="1414">
      <c r="N1414" s="3"/>
    </row>
    <row r="1415">
      <c r="N1415" s="3"/>
    </row>
    <row r="1416">
      <c r="N1416" s="3"/>
    </row>
    <row r="1417">
      <c r="N1417" s="3"/>
    </row>
    <row r="1418">
      <c r="N1418" s="3"/>
    </row>
    <row r="1419">
      <c r="N1419" s="3"/>
    </row>
    <row r="1420">
      <c r="N1420" s="3"/>
    </row>
    <row r="1421">
      <c r="N1421" s="3"/>
    </row>
    <row r="1422">
      <c r="N1422" s="3"/>
    </row>
    <row r="1423">
      <c r="N1423" s="3"/>
    </row>
    <row r="1424">
      <c r="N1424" s="3"/>
    </row>
    <row r="1425">
      <c r="N1425" s="3"/>
    </row>
    <row r="1426">
      <c r="N1426" s="3"/>
    </row>
    <row r="1427">
      <c r="N1427" s="3"/>
    </row>
    <row r="1428">
      <c r="N1428" s="3"/>
    </row>
    <row r="1429">
      <c r="N1429" s="3"/>
    </row>
    <row r="1430">
      <c r="N1430" s="3"/>
    </row>
    <row r="1431">
      <c r="N1431" s="3"/>
    </row>
    <row r="1432">
      <c r="N1432" s="3"/>
    </row>
    <row r="1433">
      <c r="N1433" s="3"/>
    </row>
    <row r="1434">
      <c r="N1434" s="3"/>
    </row>
    <row r="1435">
      <c r="N1435" s="3"/>
    </row>
    <row r="1436">
      <c r="N1436" s="3"/>
    </row>
    <row r="1437">
      <c r="N1437" s="3"/>
    </row>
    <row r="1438">
      <c r="N1438" s="3"/>
    </row>
    <row r="1439">
      <c r="N1439" s="3"/>
    </row>
    <row r="1440">
      <c r="N1440" s="3"/>
    </row>
    <row r="1441">
      <c r="N1441" s="3"/>
    </row>
    <row r="1442">
      <c r="N1442" s="3"/>
    </row>
    <row r="1443">
      <c r="N1443" s="3"/>
    </row>
    <row r="1444">
      <c r="N1444" s="3"/>
    </row>
    <row r="1445">
      <c r="N1445" s="3"/>
    </row>
    <row r="1446">
      <c r="N1446" s="3"/>
    </row>
    <row r="1447">
      <c r="N1447" s="3"/>
    </row>
    <row r="1448">
      <c r="N1448" s="3"/>
    </row>
    <row r="1449">
      <c r="N1449" s="3"/>
    </row>
    <row r="1450">
      <c r="N1450" s="3"/>
    </row>
    <row r="1451">
      <c r="N1451" s="3"/>
    </row>
    <row r="1452">
      <c r="N1452" s="3"/>
    </row>
    <row r="1453">
      <c r="N1453" s="3"/>
    </row>
    <row r="1454">
      <c r="N1454" s="3"/>
    </row>
    <row r="1455">
      <c r="N1455" s="3"/>
    </row>
    <row r="1456">
      <c r="N1456" s="3"/>
    </row>
    <row r="1457">
      <c r="N1457" s="3"/>
    </row>
    <row r="1458">
      <c r="N1458" s="3"/>
    </row>
    <row r="1459">
      <c r="N1459" s="3"/>
    </row>
    <row r="1460">
      <c r="N1460" s="3"/>
    </row>
    <row r="1461">
      <c r="N1461" s="3"/>
    </row>
    <row r="1462">
      <c r="N1462" s="3"/>
    </row>
    <row r="1463">
      <c r="N1463" s="3"/>
    </row>
    <row r="1464">
      <c r="N1464" s="3"/>
    </row>
    <row r="1465">
      <c r="N1465" s="3"/>
    </row>
    <row r="1466">
      <c r="N1466" s="3"/>
    </row>
    <row r="1467">
      <c r="N1467" s="3"/>
    </row>
    <row r="1468">
      <c r="N1468" s="3"/>
    </row>
    <row r="1469">
      <c r="N1469" s="3"/>
    </row>
    <row r="1470">
      <c r="N1470" s="3"/>
    </row>
    <row r="1471">
      <c r="N1471" s="3"/>
    </row>
    <row r="1472">
      <c r="N1472" s="3"/>
    </row>
    <row r="1473">
      <c r="N1473" s="3"/>
    </row>
    <row r="1474">
      <c r="N1474" s="3"/>
    </row>
    <row r="1475">
      <c r="N1475" s="3"/>
    </row>
    <row r="1476">
      <c r="N1476" s="3"/>
    </row>
    <row r="1477">
      <c r="N1477" s="3"/>
    </row>
    <row r="1478">
      <c r="N1478" s="3"/>
    </row>
    <row r="1479">
      <c r="N1479" s="3"/>
    </row>
    <row r="1480">
      <c r="N1480" s="3"/>
    </row>
    <row r="1481">
      <c r="N1481" s="3"/>
    </row>
    <row r="1482">
      <c r="N1482" s="3"/>
    </row>
    <row r="1483">
      <c r="N1483" s="3"/>
    </row>
    <row r="1484">
      <c r="N1484" s="3"/>
    </row>
    <row r="1485">
      <c r="N1485" s="3"/>
    </row>
    <row r="1486">
      <c r="N1486" s="3"/>
    </row>
    <row r="1487">
      <c r="N1487" s="3"/>
    </row>
    <row r="1488">
      <c r="N1488" s="3"/>
    </row>
    <row r="1489">
      <c r="N1489" s="3"/>
    </row>
    <row r="1490">
      <c r="N1490" s="3"/>
    </row>
    <row r="1491">
      <c r="N1491" s="3"/>
    </row>
    <row r="1492">
      <c r="N1492" s="3"/>
    </row>
    <row r="1493">
      <c r="N1493" s="3"/>
    </row>
    <row r="1494">
      <c r="N1494" s="3"/>
    </row>
    <row r="1495">
      <c r="N1495" s="3"/>
    </row>
    <row r="1496">
      <c r="N1496" s="3"/>
    </row>
    <row r="1497">
      <c r="N1497" s="3"/>
    </row>
    <row r="1498">
      <c r="N1498" s="3"/>
    </row>
    <row r="1499">
      <c r="N1499" s="3"/>
    </row>
    <row r="1500">
      <c r="N1500" s="3"/>
    </row>
    <row r="1501">
      <c r="N1501" s="3"/>
    </row>
    <row r="1502">
      <c r="N1502" s="3"/>
    </row>
    <row r="1503">
      <c r="N1503" s="3"/>
    </row>
    <row r="1504">
      <c r="N1504" s="3"/>
    </row>
    <row r="1505">
      <c r="N1505" s="3"/>
    </row>
    <row r="1506">
      <c r="N1506"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v>
      </c>
      <c r="E1" s="3" t="s">
        <v>4</v>
      </c>
      <c r="F1" s="3" t="s">
        <v>5</v>
      </c>
      <c r="G1" s="3" t="s">
        <v>6</v>
      </c>
      <c r="H1" s="3" t="s">
        <v>7</v>
      </c>
      <c r="I1" s="3" t="s">
        <v>8</v>
      </c>
      <c r="J1" s="3" t="s">
        <v>9</v>
      </c>
      <c r="K1" s="3" t="s">
        <v>10</v>
      </c>
      <c r="L1" s="3" t="s">
        <v>11</v>
      </c>
      <c r="M1" s="3" t="s">
        <v>12</v>
      </c>
      <c r="N1" s="3" t="str">
        <f>IFERROR(__xludf.DUMMYFUNCTION("ArrayFormula(IF(LEN(M:M),if(ROW(M:M)=1,""Tanggal Approved"",vlookup(B:B,importrange(""1BTErKYh1WX2wnFOTdYQu-l6Dd40D7PAZBDI78WZqujQ"",""Salinan Gform!B:E""),4,0)),))"),"Tanggal Approved")</f>
        <v>Tanggal Approved</v>
      </c>
    </row>
    <row r="2">
      <c r="A2" s="4">
        <f>IFERROR(__xludf.DUMMYFUNCTION("if(isna(filter('All RO BQ'!A:M,'All RO BQ'!K:K=""Approve"",'All RO BQ'!L:L=""Urgent"",'All RO BQ'!M:M=""Approve"")),"""",filter('All RO BQ'!A:M,'All RO BQ'!K:K=""Approve"",'All RO BQ'!L:L=""Urgent"",'All RO BQ'!M:M=""Approve""))"),45678.67155555555)</f>
        <v>45678.67156</v>
      </c>
      <c r="B2" s="3" t="str">
        <f>IFERROR(__xludf.DUMMYFUNCTION("""COMPUTED_VALUE"""),"SFHRO0001")</f>
        <v>SFHRO0001</v>
      </c>
      <c r="C2" s="3" t="str">
        <f>IFERROR(__xludf.DUMMYFUNCTION("""COMPUTED_VALUE"""),"Consumable")</f>
        <v>Consumable</v>
      </c>
      <c r="D2" s="3" t="str">
        <f>IFERROR(__xludf.DUMMYFUNCTION("""COMPUTED_VALUE"""),"-")</f>
        <v>-</v>
      </c>
      <c r="E2" s="3" t="str">
        <f>IFERROR(__xludf.DUMMYFUNCTION("""COMPUTED_VALUE"""),"lantai 2 ")</f>
        <v>lantai 2 </v>
      </c>
      <c r="F2" s="3" t="str">
        <f>IFERROR(__xludf.DUMMYFUNCTION("""COMPUTED_VALUE"""),"Compound / Kompon Gypsum;No Brand;;pack size 20 kg per pck")</f>
        <v>Compound / Kompon Gypsum;No Brand;;pack size 20 kg per pck</v>
      </c>
      <c r="G2" s="3">
        <f>IFERROR(__xludf.DUMMYFUNCTION("""COMPUTED_VALUE"""),60.0)</f>
        <v>60</v>
      </c>
      <c r="H2" s="3" t="str">
        <f>IFERROR(__xludf.DUMMYFUNCTION("""COMPUTED_VALUE"""),"kg")</f>
        <v>kg</v>
      </c>
      <c r="I2" s="3" t="str">
        <f>IFERROR(__xludf.DUMMYFUNCTION("""COMPUTED_VALUE"""),"-")</f>
        <v>-</v>
      </c>
      <c r="J2" s="3" t="str">
        <f>IFERROR(__xludf.DUMMYFUNCTION("""COMPUTED_VALUE"""),"Q-10302-00")</f>
        <v>Q-10302-00</v>
      </c>
      <c r="K2" s="3" t="str">
        <f>IFERROR(__xludf.DUMMYFUNCTION("""COMPUTED_VALUE"""),"Approve")</f>
        <v>Approve</v>
      </c>
      <c r="L2" s="3" t="str">
        <f>IFERROR(__xludf.DUMMYFUNCTION("""COMPUTED_VALUE"""),"Urgent")</f>
        <v>Urgent</v>
      </c>
      <c r="M2" s="3" t="str">
        <f>IFERROR(__xludf.DUMMYFUNCTION("""COMPUTED_VALUE"""),"Approve")</f>
        <v>Approve</v>
      </c>
      <c r="N2" s="3">
        <f>IFERROR(__xludf.DUMMYFUNCTION("""COMPUTED_VALUE"""),45680.5826012037)</f>
        <v>45680.5826</v>
      </c>
    </row>
    <row r="3">
      <c r="A3" s="4">
        <f>IFERROR(__xludf.DUMMYFUNCTION("""COMPUTED_VALUE"""),45691.58993614583)</f>
        <v>45691.58994</v>
      </c>
      <c r="B3" s="3" t="str">
        <f>IFERROR(__xludf.DUMMYFUNCTION("""COMPUTED_VALUE"""),"MOBRO0018")</f>
        <v>MOBRO0018</v>
      </c>
      <c r="C3" s="3" t="str">
        <f>IFERROR(__xludf.DUMMYFUNCTION("""COMPUTED_VALUE"""),"EJO")</f>
        <v>EJO</v>
      </c>
      <c r="D3" s="3" t="str">
        <f>IFERROR(__xludf.DUMMYFUNCTION("""COMPUTED_VALUE"""),"EJO/2025/02/38")</f>
        <v>EJO/2025/02/38</v>
      </c>
      <c r="E3" s="3" t="str">
        <f>IFERROR(__xludf.DUMMYFUNCTION("""COMPUTED_VALUE"""),"UV Lamp PW SKID")</f>
        <v>UV Lamp PW SKID</v>
      </c>
      <c r="F3" s="3" t="str">
        <f>IFERROR(__xludf.DUMMYFUNCTION("""COMPUTED_VALUE"""),"Arc tube Hanovia UV System; HANOVIA; p/n 130071 - 0320 - 01;")</f>
        <v>Arc tube Hanovia UV System; HANOVIA; p/n 130071 - 0320 - 01;</v>
      </c>
      <c r="G3" s="3">
        <f>IFERROR(__xludf.DUMMYFUNCTION("""COMPUTED_VALUE"""),2.0)</f>
        <v>2</v>
      </c>
      <c r="H3" s="3" t="str">
        <f>IFERROR(__xludf.DUMMYFUNCTION("""COMPUTED_VALUE"""),"Pcs")</f>
        <v>Pcs</v>
      </c>
      <c r="I3" s="3" t="str">
        <f>IFERROR(__xludf.DUMMYFUNCTION("""COMPUTED_VALUE"""),"Urgent")</f>
        <v>Urgent</v>
      </c>
      <c r="J3" s="3" t="str">
        <f>IFERROR(__xludf.DUMMYFUNCTION("""COMPUTED_VALUE"""),"P-53182-00")</f>
        <v>P-53182-00</v>
      </c>
      <c r="K3" s="3" t="str">
        <f>IFERROR(__xludf.DUMMYFUNCTION("""COMPUTED_VALUE"""),"Approve")</f>
        <v>Approve</v>
      </c>
      <c r="L3" s="3" t="str">
        <f>IFERROR(__xludf.DUMMYFUNCTION("""COMPUTED_VALUE"""),"Urgent")</f>
        <v>Urgent</v>
      </c>
      <c r="M3" s="3" t="str">
        <f>IFERROR(__xludf.DUMMYFUNCTION("""COMPUTED_VALUE"""),"Approve")</f>
        <v>Approve</v>
      </c>
      <c r="N3" s="3">
        <f>IFERROR(__xludf.DUMMYFUNCTION("""COMPUTED_VALUE"""),45709.5518825926)</f>
        <v>45709.55188</v>
      </c>
    </row>
    <row r="4">
      <c r="A4" s="4">
        <f>IFERROR(__xludf.DUMMYFUNCTION("""COMPUTED_VALUE"""),45696.25871767361)</f>
        <v>45696.25872</v>
      </c>
      <c r="B4" s="3" t="str">
        <f>IFERROR(__xludf.DUMMYFUNCTION("""COMPUTED_VALUE"""),"RIARO0012")</f>
        <v>RIARO0012</v>
      </c>
      <c r="C4" s="3" t="str">
        <f>IFERROR(__xludf.DUMMYFUNCTION("""COMPUTED_VALUE"""),"EJO")</f>
        <v>EJO</v>
      </c>
      <c r="D4" s="3" t="str">
        <f>IFERROR(__xludf.DUMMYFUNCTION("""COMPUTED_VALUE"""),"EJO/2025/02/38")</f>
        <v>EJO/2025/02/38</v>
      </c>
      <c r="E4" s="3" t="str">
        <f>IFERROR(__xludf.DUMMYFUNCTION("""COMPUTED_VALUE"""),"PW SKID")</f>
        <v>PW SKID</v>
      </c>
      <c r="F4" s="3" t="str">
        <f>IFERROR(__xludf.DUMMYFUNCTION("""COMPUTED_VALUE"""),"UV DEVICE ; REMOVAL OF OZONE; HANOVIA UV; Pharma Line SD55; ID : S203-001")</f>
        <v>UV DEVICE ; REMOVAL OF OZONE; HANOVIA UV; Pharma Line SD55; ID : S203-001</v>
      </c>
      <c r="G4" s="3">
        <f>IFERROR(__xludf.DUMMYFUNCTION("""COMPUTED_VALUE"""),2.0)</f>
        <v>2</v>
      </c>
      <c r="H4" s="3" t="str">
        <f>IFERROR(__xludf.DUMMYFUNCTION("""COMPUTED_VALUE"""),"Pcs")</f>
        <v>Pcs</v>
      </c>
      <c r="I4" s="3" t="str">
        <f>IFERROR(__xludf.DUMMYFUNCTION("""COMPUTED_VALUE"""),"UV Lamp Waktunya Ganti")</f>
        <v>UV Lamp Waktunya Ganti</v>
      </c>
      <c r="J4" s="3" t="str">
        <f>IFERROR(__xludf.DUMMYFUNCTION("""COMPUTED_VALUE"""),"O-54018-00")</f>
        <v>O-54018-00</v>
      </c>
      <c r="K4" s="3" t="str">
        <f>IFERROR(__xludf.DUMMYFUNCTION("""COMPUTED_VALUE"""),"Approve")</f>
        <v>Approve</v>
      </c>
      <c r="L4" s="3" t="str">
        <f>IFERROR(__xludf.DUMMYFUNCTION("""COMPUTED_VALUE"""),"Urgent")</f>
        <v>Urgent</v>
      </c>
      <c r="M4" s="3" t="str">
        <f>IFERROR(__xludf.DUMMYFUNCTION("""COMPUTED_VALUE"""),"Approve")</f>
        <v>Approve</v>
      </c>
      <c r="N4" s="3">
        <f>IFERROR(__xludf.DUMMYFUNCTION("""COMPUTED_VALUE"""),45700.61964012732)</f>
        <v>45700.61964</v>
      </c>
    </row>
    <row r="5">
      <c r="A5" s="4">
        <f>IFERROR(__xludf.DUMMYFUNCTION("""COMPUTED_VALUE"""),46017.12780109954)</f>
        <v>46017.1278</v>
      </c>
      <c r="B5" s="3" t="str">
        <f>IFERROR(__xludf.DUMMYFUNCTION("""COMPUTED_VALUE"""),"INNRO0010")</f>
        <v>INNRO0010</v>
      </c>
      <c r="C5" s="3" t="str">
        <f>IFERROR(__xludf.DUMMYFUNCTION("""COMPUTED_VALUE"""),"MIn Stok")</f>
        <v>MIn Stok</v>
      </c>
      <c r="D5" s="3" t="str">
        <f>IFERROR(__xludf.DUMMYFUNCTION("""COMPUTED_VALUE"""),"EJO/2025/10/69")</f>
        <v>EJO/2025/10/69</v>
      </c>
      <c r="E5" s="3" t="str">
        <f>IFERROR(__xludf.DUMMYFUNCTION("""COMPUTED_VALUE"""),"Filling")</f>
        <v>Filling</v>
      </c>
      <c r="F5" s="3" t="str">
        <f>IFERROR(__xludf.DUMMYFUNCTION("""COMPUTED_VALUE"""),"General - Pulsed DC Ionising Bar Hyperion 929IPS Length 325mm; Steriline; 1096041; 1 Pc")</f>
        <v>General - Pulsed DC Ionising Bar Hyperion 929IPS Length 325mm; Steriline; 1096041; 1 Pc</v>
      </c>
      <c r="G5" s="3">
        <f>IFERROR(__xludf.DUMMYFUNCTION("""COMPUTED_VALUE"""),1.0)</f>
        <v>1</v>
      </c>
      <c r="H5" s="3" t="str">
        <f>IFERROR(__xludf.DUMMYFUNCTION("""COMPUTED_VALUE"""),"Pcs")</f>
        <v>Pcs</v>
      </c>
      <c r="I5" s="3" t="str">
        <f>IFERROR(__xludf.DUMMYFUNCTION("""COMPUTED_VALUE"""),"Untuk ion shower filling")</f>
        <v>Untuk ion shower filling</v>
      </c>
      <c r="J5" s="3" t="str">
        <f>IFERROR(__xludf.DUMMYFUNCTION("""COMPUTED_VALUE"""),"O-51996-00")</f>
        <v>O-51996-00</v>
      </c>
      <c r="K5" s="3" t="str">
        <f>IFERROR(__xludf.DUMMYFUNCTION("""COMPUTED_VALUE"""),"Approve")</f>
        <v>Approve</v>
      </c>
      <c r="L5" s="3" t="str">
        <f>IFERROR(__xludf.DUMMYFUNCTION("""COMPUTED_VALUE"""),"Urgent")</f>
        <v>Urgent</v>
      </c>
      <c r="M5" s="3" t="str">
        <f>IFERROR(__xludf.DUMMYFUNCTION("""COMPUTED_VALUE"""),"Approve")</f>
        <v>Approve</v>
      </c>
      <c r="N5" s="3">
        <f>IFERROR(__xludf.DUMMYFUNCTION("""COMPUTED_VALUE"""),46049.87946181713)</f>
        <v>46049.87946</v>
      </c>
    </row>
    <row r="6">
      <c r="A6" s="4">
        <f>IFERROR(__xludf.DUMMYFUNCTION("""COMPUTED_VALUE"""),46255.82219748843)</f>
        <v>46255.8222</v>
      </c>
      <c r="B6" s="3" t="str">
        <f>IFERROR(__xludf.DUMMYFUNCTION("""COMPUTED_VALUE"""),"AAARO0001")</f>
        <v>AAARO0001</v>
      </c>
      <c r="C6" s="3" t="str">
        <f>IFERROR(__xludf.DUMMYFUNCTION("""COMPUTED_VALUE"""),"Consumable")</f>
        <v>Consumable</v>
      </c>
      <c r="D6" s="3" t="str">
        <f>IFERROR(__xludf.DUMMYFUNCTION("""COMPUTED_VALUE"""),"EJO/2025/02/142")</f>
        <v>EJO/2025/02/142</v>
      </c>
      <c r="E6" s="3" t="str">
        <f>IFERROR(__xludf.DUMMYFUNCTION("""COMPUTED_VALUE"""),"Mixing Tank")</f>
        <v>Mixing Tank</v>
      </c>
      <c r="F6" s="3" t="str">
        <f>IFERROR(__xludf.DUMMYFUNCTION("""COMPUTED_VALUE"""),"SENSOR SUHU 2 x PT100 (DUPLEX), Jumo type 902810/13 Dia probe 6 mm, probe lenght 150 mm, conection threaded dia 29,1 mm. range temp. -15 ~ 150 oC.")</f>
        <v>SENSOR SUHU 2 x PT100 (DUPLEX), Jumo type 902810/13 Dia probe 6 mm, probe lenght 150 mm, conection threaded dia 29,1 mm. range temp. -15 ~ 150 oC.</v>
      </c>
      <c r="G6" s="3">
        <f>IFERROR(__xludf.DUMMYFUNCTION("""COMPUTED_VALUE"""),3.0)</f>
        <v>3</v>
      </c>
      <c r="H6" s="3" t="str">
        <f>IFERROR(__xludf.DUMMYFUNCTION("""COMPUTED_VALUE"""),"Pcs")</f>
        <v>Pcs</v>
      </c>
      <c r="I6" s="3" t="str">
        <f>IFERROR(__xludf.DUMMYFUNCTION("""COMPUTED_VALUE"""),"Needed date :  07-Mar-25")</f>
        <v>Needed date :  07-Mar-25</v>
      </c>
      <c r="J6" s="3" t="str">
        <f>IFERROR(__xludf.DUMMYFUNCTION("""COMPUTED_VALUE"""),"O-51742-00")</f>
        <v>O-51742-00</v>
      </c>
      <c r="K6" s="3" t="str">
        <f>IFERROR(__xludf.DUMMYFUNCTION("""COMPUTED_VALUE"""),"Approve")</f>
        <v>Approve</v>
      </c>
      <c r="L6" s="3" t="str">
        <f>IFERROR(__xludf.DUMMYFUNCTION("""COMPUTED_VALUE"""),"Urgent")</f>
        <v>Urgent</v>
      </c>
      <c r="M6" s="3" t="str">
        <f>IFERROR(__xludf.DUMMYFUNCTION("""COMPUTED_VALUE"""),"Approve")</f>
        <v>Approve</v>
      </c>
      <c r="N6" s="3">
        <f>IFERROR(__xludf.DUMMYFUNCTION("""COMPUTED_VALUE"""),45709.59816729167)</f>
        <v>45709.59817</v>
      </c>
    </row>
    <row r="7">
      <c r="A7" s="4">
        <f>IFERROR(__xludf.DUMMYFUNCTION("""COMPUTED_VALUE"""),46255.82219748843)</f>
        <v>46255.8222</v>
      </c>
      <c r="B7" s="3" t="str">
        <f>IFERROR(__xludf.DUMMYFUNCTION("""COMPUTED_VALUE"""),"AAARO0018")</f>
        <v>AAARO0018</v>
      </c>
      <c r="C7" s="3" t="str">
        <f>IFERROR(__xludf.DUMMYFUNCTION("""COMPUTED_VALUE"""),"EJO")</f>
        <v>EJO</v>
      </c>
      <c r="D7" s="3" t="str">
        <f>IFERROR(__xludf.DUMMYFUNCTION("""COMPUTED_VALUE"""),"menyusul")</f>
        <v>menyusul</v>
      </c>
      <c r="E7" s="3" t="str">
        <f>IFERROR(__xludf.DUMMYFUNCTION("""COMPUTED_VALUE"""),"Huber")</f>
        <v>Huber</v>
      </c>
      <c r="F7" s="3" t="str">
        <f>IFERROR(__xludf.DUMMYFUNCTION("""COMPUTED_VALUE"""),"General - Kabel NYAF Uk. 1 x 0.75mm, Warna Merah; Supreme; -; 100meter/roll")</f>
        <v>General - Kabel NYAF Uk. 1 x 0.75mm, Warna Merah; Supreme; -; 100meter/roll</v>
      </c>
      <c r="G7" s="3">
        <f>IFERROR(__xludf.DUMMYFUNCTION("""COMPUTED_VALUE"""),1.0)</f>
        <v>1</v>
      </c>
      <c r="H7" s="3" t="str">
        <f>IFERROR(__xludf.DUMMYFUNCTION("""COMPUTED_VALUE"""),"roll")</f>
        <v>roll</v>
      </c>
      <c r="I7" s="3" t="str">
        <f>IFERROR(__xludf.DUMMYFUNCTION("""COMPUTED_VALUE"""),"NYAF 1x0.75 mm")</f>
        <v>NYAF 1x0.75 mm</v>
      </c>
      <c r="J7" s="3" t="str">
        <f>IFERROR(__xludf.DUMMYFUNCTION("""COMPUTED_VALUE"""),"#N/A")</f>
        <v>#N/A</v>
      </c>
      <c r="K7" s="3" t="str">
        <f>IFERROR(__xludf.DUMMYFUNCTION("""COMPUTED_VALUE"""),"Approve")</f>
        <v>Approve</v>
      </c>
      <c r="L7" s="3" t="str">
        <f>IFERROR(__xludf.DUMMYFUNCTION("""COMPUTED_VALUE"""),"Urgent")</f>
        <v>Urgent</v>
      </c>
      <c r="M7" s="3" t="str">
        <f>IFERROR(__xludf.DUMMYFUNCTION("""COMPUTED_VALUE"""),"Approve")</f>
        <v>Approve</v>
      </c>
      <c r="N7" s="3">
        <f>IFERROR(__xludf.DUMMYFUNCTION("""COMPUTED_VALUE"""),46062.3687772338)</f>
        <v>46062.36878</v>
      </c>
    </row>
    <row r="8">
      <c r="A8" s="4">
        <f>IFERROR(__xludf.DUMMYFUNCTION("""COMPUTED_VALUE"""),46255.82219748843)</f>
        <v>46255.8222</v>
      </c>
      <c r="B8" s="3" t="str">
        <f>IFERROR(__xludf.DUMMYFUNCTION("""COMPUTED_VALUE"""),"AAARO0019")</f>
        <v>AAARO0019</v>
      </c>
      <c r="C8" s="3" t="str">
        <f>IFERROR(__xludf.DUMMYFUNCTION("""COMPUTED_VALUE"""),"EJO")</f>
        <v>EJO</v>
      </c>
      <c r="D8" s="3" t="str">
        <f>IFERROR(__xludf.DUMMYFUNCTION("""COMPUTED_VALUE"""),"menyusul")</f>
        <v>menyusul</v>
      </c>
      <c r="E8" s="3" t="str">
        <f>IFERROR(__xludf.DUMMYFUNCTION("""COMPUTED_VALUE"""),"Huber")</f>
        <v>Huber</v>
      </c>
      <c r="F8" s="3" t="str">
        <f>IFERROR(__xludf.DUMMYFUNCTION("""COMPUTED_VALUE"""),"General - Kabel NYAF 1x0.75mm, Warna Biru; JEMBO; -; 1 meter")</f>
        <v>General - Kabel NYAF 1x0.75mm, Warna Biru; JEMBO; -; 1 meter</v>
      </c>
      <c r="G8" s="3">
        <f>IFERROR(__xludf.DUMMYFUNCTION("""COMPUTED_VALUE"""),1.0)</f>
        <v>1</v>
      </c>
      <c r="H8" s="3" t="str">
        <f>IFERROR(__xludf.DUMMYFUNCTION("""COMPUTED_VALUE"""),"roll")</f>
        <v>roll</v>
      </c>
      <c r="I8" s="3" t="str">
        <f>IFERROR(__xludf.DUMMYFUNCTION("""COMPUTED_VALUE"""),"warna biru")</f>
        <v>warna biru</v>
      </c>
      <c r="J8" s="3" t="str">
        <f>IFERROR(__xludf.DUMMYFUNCTION("""COMPUTED_VALUE"""),"#N/A")</f>
        <v>#N/A</v>
      </c>
      <c r="K8" s="3" t="str">
        <f>IFERROR(__xludf.DUMMYFUNCTION("""COMPUTED_VALUE"""),"Approve")</f>
        <v>Approve</v>
      </c>
      <c r="L8" s="3" t="str">
        <f>IFERROR(__xludf.DUMMYFUNCTION("""COMPUTED_VALUE"""),"Urgent")</f>
        <v>Urgent</v>
      </c>
      <c r="M8" s="3" t="str">
        <f>IFERROR(__xludf.DUMMYFUNCTION("""COMPUTED_VALUE"""),"Approve")</f>
        <v>Approve</v>
      </c>
      <c r="N8" s="3">
        <f>IFERROR(__xludf.DUMMYFUNCTION("""COMPUTED_VALUE"""),46065.440529687505)</f>
        <v>46065.44053</v>
      </c>
    </row>
    <row r="9">
      <c r="A9" s="4">
        <f>IFERROR(__xludf.DUMMYFUNCTION("""COMPUTED_VALUE"""),46255.82219748843)</f>
        <v>46255.8222</v>
      </c>
      <c r="B9" s="3" t="str">
        <f>IFERROR(__xludf.DUMMYFUNCTION("""COMPUTED_VALUE"""),"AAARO0020")</f>
        <v>AAARO0020</v>
      </c>
      <c r="C9" s="3" t="str">
        <f>IFERROR(__xludf.DUMMYFUNCTION("""COMPUTED_VALUE"""),"EJO")</f>
        <v>EJO</v>
      </c>
      <c r="D9" s="3" t="str">
        <f>IFERROR(__xludf.DUMMYFUNCTION("""COMPUTED_VALUE"""),"menyusul")</f>
        <v>menyusul</v>
      </c>
      <c r="E9" s="3" t="str">
        <f>IFERROR(__xludf.DUMMYFUNCTION("""COMPUTED_VALUE"""),"Huber")</f>
        <v>Huber</v>
      </c>
      <c r="F9" s="3" t="str">
        <f>IFERROR(__xludf.DUMMYFUNCTION("""COMPUTED_VALUE"""),"General - Panel Box Uk. 20 x 30 x 15cm; No Brand; -; 1 pc")</f>
        <v>General - Panel Box Uk. 20 x 30 x 15cm; No Brand; -; 1 pc</v>
      </c>
      <c r="G9" s="3">
        <f>IFERROR(__xludf.DUMMYFUNCTION("""COMPUTED_VALUE"""),1.0)</f>
        <v>1</v>
      </c>
      <c r="H9" s="3" t="str">
        <f>IFERROR(__xludf.DUMMYFUNCTION("""COMPUTED_VALUE"""),"box")</f>
        <v>box</v>
      </c>
      <c r="I9" s="3" t="str">
        <f>IFERROR(__xludf.DUMMYFUNCTION("""COMPUTED_VALUE"""),"warna putih")</f>
        <v>warna putih</v>
      </c>
      <c r="J9" s="3" t="str">
        <f>IFERROR(__xludf.DUMMYFUNCTION("""COMPUTED_VALUE"""),"#N/A")</f>
        <v>#N/A</v>
      </c>
      <c r="K9" s="3" t="str">
        <f>IFERROR(__xludf.DUMMYFUNCTION("""COMPUTED_VALUE"""),"Approve")</f>
        <v>Approve</v>
      </c>
      <c r="L9" s="3" t="str">
        <f>IFERROR(__xludf.DUMMYFUNCTION("""COMPUTED_VALUE"""),"Urgent")</f>
        <v>Urgent</v>
      </c>
      <c r="M9" s="3" t="str">
        <f>IFERROR(__xludf.DUMMYFUNCTION("""COMPUTED_VALUE"""),"Approve")</f>
        <v>Approve</v>
      </c>
      <c r="N9" s="3">
        <f>IFERROR(__xludf.DUMMYFUNCTION("""COMPUTED_VALUE"""),46062.36814873843)</f>
        <v>46062.36815</v>
      </c>
    </row>
    <row r="10">
      <c r="A10" s="4">
        <f>IFERROR(__xludf.DUMMYFUNCTION("""COMPUTED_VALUE"""),46255.82219748843)</f>
        <v>46255.8222</v>
      </c>
      <c r="B10" s="3" t="str">
        <f>IFERROR(__xludf.DUMMYFUNCTION("""COMPUTED_VALUE"""),"AAARO0021")</f>
        <v>AAARO0021</v>
      </c>
      <c r="C10" s="3" t="str">
        <f>IFERROR(__xludf.DUMMYFUNCTION("""COMPUTED_VALUE"""),"EJO")</f>
        <v>EJO</v>
      </c>
      <c r="D10" s="3" t="str">
        <f>IFERROR(__xludf.DUMMYFUNCTION("""COMPUTED_VALUE"""),"menyusul")</f>
        <v>menyusul</v>
      </c>
      <c r="E10" s="3" t="str">
        <f>IFERROR(__xludf.DUMMYFUNCTION("""COMPUTED_VALUE"""),"Huber")</f>
        <v>Huber</v>
      </c>
      <c r="F10" s="3" t="str">
        <f>IFERROR(__xludf.DUMMYFUNCTION("""COMPUTED_VALUE"""),"General - Key Selector Switch; Autonics; S2KR-4CK2AM; 1 pc")</f>
        <v>General - Key Selector Switch; Autonics; S2KR-4CK2AM; 1 pc</v>
      </c>
      <c r="G10" s="3">
        <f>IFERROR(__xludf.DUMMYFUNCTION("""COMPUTED_VALUE"""),2.0)</f>
        <v>2</v>
      </c>
      <c r="H10" s="3" t="str">
        <f>IFERROR(__xludf.DUMMYFUNCTION("""COMPUTED_VALUE"""),"pcs")</f>
        <v>pcs</v>
      </c>
      <c r="I10" s="3" t="str">
        <f>IFERROR(__xludf.DUMMYFUNCTION("""COMPUTED_VALUE"""),"include auxiliary contact  ; 2 posisi")</f>
        <v>include auxiliary contact  ; 2 posisi</v>
      </c>
      <c r="J10" s="3" t="str">
        <f>IFERROR(__xludf.DUMMYFUNCTION("""COMPUTED_VALUE"""),"#N/A")</f>
        <v>#N/A</v>
      </c>
      <c r="K10" s="3" t="str">
        <f>IFERROR(__xludf.DUMMYFUNCTION("""COMPUTED_VALUE"""),"Approve")</f>
        <v>Approve</v>
      </c>
      <c r="L10" s="3" t="str">
        <f>IFERROR(__xludf.DUMMYFUNCTION("""COMPUTED_VALUE"""),"Urgent")</f>
        <v>Urgent</v>
      </c>
      <c r="M10" s="3" t="str">
        <f>IFERROR(__xludf.DUMMYFUNCTION("""COMPUTED_VALUE"""),"Approve")</f>
        <v>Approve</v>
      </c>
      <c r="N10" s="3">
        <f>IFERROR(__xludf.DUMMYFUNCTION("""COMPUTED_VALUE"""),46062.36783347222)</f>
        <v>46062.36783</v>
      </c>
    </row>
    <row r="11">
      <c r="A11" s="4">
        <f>IFERROR(__xludf.DUMMYFUNCTION("""COMPUTED_VALUE"""),46255.82219748843)</f>
        <v>46255.8222</v>
      </c>
      <c r="B11" s="3" t="str">
        <f>IFERROR(__xludf.DUMMYFUNCTION("""COMPUTED_VALUE"""),"AAARO0022")</f>
        <v>AAARO0022</v>
      </c>
      <c r="C11" s="3" t="str">
        <f>IFERROR(__xludf.DUMMYFUNCTION("""COMPUTED_VALUE"""),"EJO")</f>
        <v>EJO</v>
      </c>
      <c r="D11" s="3" t="str">
        <f>IFERROR(__xludf.DUMMYFUNCTION("""COMPUTED_VALUE"""),"menyusul")</f>
        <v>menyusul</v>
      </c>
      <c r="E11" s="3" t="str">
        <f>IFERROR(__xludf.DUMMYFUNCTION("""COMPUTED_VALUE"""),"Huber")</f>
        <v>Huber</v>
      </c>
      <c r="F11" s="3" t="str">
        <f>IFERROR(__xludf.DUMMYFUNCTION("""COMPUTED_VALUE"""),"General - Solid State Relay 3-32 VDC - 330 VAC 25 A; Fotek; SSR 3-32; 1 Pc")</f>
        <v>General - Solid State Relay 3-32 VDC - 330 VAC 25 A; Fotek; SSR 3-32; 1 Pc</v>
      </c>
      <c r="G11" s="3">
        <f>IFERROR(__xludf.DUMMYFUNCTION("""COMPUTED_VALUE"""),2.0)</f>
        <v>2</v>
      </c>
      <c r="H11" s="3" t="str">
        <f>IFERROR(__xludf.DUMMYFUNCTION("""COMPUTED_VALUE"""),"pcs")</f>
        <v>pcs</v>
      </c>
      <c r="I11" s="3" t="str">
        <f>IFERROR(__xludf.DUMMYFUNCTION("""COMPUTED_VALUE"""),"FOTEK ; SSR-25 DA")</f>
        <v>FOTEK ; SSR-25 DA</v>
      </c>
      <c r="J11" s="3" t="str">
        <f>IFERROR(__xludf.DUMMYFUNCTION("""COMPUTED_VALUE"""),"O-51967-00")</f>
        <v>O-51967-00</v>
      </c>
      <c r="K11" s="3" t="str">
        <f>IFERROR(__xludf.DUMMYFUNCTION("""COMPUTED_VALUE"""),"Approve")</f>
        <v>Approve</v>
      </c>
      <c r="L11" s="3" t="str">
        <f>IFERROR(__xludf.DUMMYFUNCTION("""COMPUTED_VALUE"""),"Urgent")</f>
        <v>Urgent</v>
      </c>
      <c r="M11" s="3" t="str">
        <f>IFERROR(__xludf.DUMMYFUNCTION("""COMPUTED_VALUE"""),"Approve")</f>
        <v>Approve</v>
      </c>
      <c r="N11" s="3">
        <f>IFERROR(__xludf.DUMMYFUNCTION("""COMPUTED_VALUE"""),46062.36742077547)</f>
        <v>46062.36742</v>
      </c>
    </row>
    <row r="12">
      <c r="A12" s="4">
        <f>IFERROR(__xludf.DUMMYFUNCTION("""COMPUTED_VALUE"""),46255.82219748843)</f>
        <v>46255.8222</v>
      </c>
      <c r="B12" s="3" t="str">
        <f>IFERROR(__xludf.DUMMYFUNCTION("""COMPUTED_VALUE"""),"AAARO0023")</f>
        <v>AAARO0023</v>
      </c>
      <c r="C12" s="3" t="str">
        <f>IFERROR(__xludf.DUMMYFUNCTION("""COMPUTED_VALUE"""),"EJO")</f>
        <v>EJO</v>
      </c>
      <c r="D12" s="3" t="str">
        <f>IFERROR(__xludf.DUMMYFUNCTION("""COMPUTED_VALUE"""),"menyusul")</f>
        <v>menyusul</v>
      </c>
      <c r="E12" s="3" t="str">
        <f>IFERROR(__xludf.DUMMYFUNCTION("""COMPUTED_VALUE"""),"Huber")</f>
        <v>Huber</v>
      </c>
      <c r="F12" s="3" t="str">
        <f>IFERROR(__xludf.DUMMYFUNCTION("""COMPUTED_VALUE"""),"General - Relay 220-240 VAC; Omron; MY4N; 1 Pc")</f>
        <v>General - Relay 220-240 VAC; Omron; MY4N; 1 Pc</v>
      </c>
      <c r="G12" s="3">
        <f>IFERROR(__xludf.DUMMYFUNCTION("""COMPUTED_VALUE"""),5.0)</f>
        <v>5</v>
      </c>
      <c r="H12" s="3" t="str">
        <f>IFERROR(__xludf.DUMMYFUNCTION("""COMPUTED_VALUE"""),"pcs")</f>
        <v>pcs</v>
      </c>
      <c r="I12" s="3" t="str">
        <f>IFERROR(__xludf.DUMMYFUNCTION("""COMPUTED_VALUE"""),"OMRON")</f>
        <v>OMRON</v>
      </c>
      <c r="J12" s="3" t="str">
        <f>IFERROR(__xludf.DUMMYFUNCTION("""COMPUTED_VALUE"""),"O-50863-00")</f>
        <v>O-50863-00</v>
      </c>
      <c r="K12" s="3" t="str">
        <f>IFERROR(__xludf.DUMMYFUNCTION("""COMPUTED_VALUE"""),"Approve")</f>
        <v>Approve</v>
      </c>
      <c r="L12" s="3" t="str">
        <f>IFERROR(__xludf.DUMMYFUNCTION("""COMPUTED_VALUE"""),"Urgent")</f>
        <v>Urgent</v>
      </c>
      <c r="M12" s="3" t="str">
        <f>IFERROR(__xludf.DUMMYFUNCTION("""COMPUTED_VALUE"""),"Approve")</f>
        <v>Approve</v>
      </c>
      <c r="N12" s="3">
        <f>IFERROR(__xludf.DUMMYFUNCTION("""COMPUTED_VALUE"""),46062.367053634254)</f>
        <v>46062.36705</v>
      </c>
    </row>
    <row r="13">
      <c r="N13" s="3"/>
    </row>
    <row r="14">
      <c r="N14" s="3"/>
    </row>
    <row r="15">
      <c r="N15" s="3"/>
    </row>
    <row r="16">
      <c r="N16" s="3"/>
    </row>
    <row r="17">
      <c r="N17" s="3"/>
    </row>
    <row r="18">
      <c r="N18" s="3"/>
    </row>
    <row r="19">
      <c r="N19" s="3"/>
    </row>
    <row r="20">
      <c r="N20" s="3"/>
    </row>
    <row r="21">
      <c r="N21" s="3"/>
    </row>
    <row r="22">
      <c r="N22" s="3"/>
    </row>
    <row r="23">
      <c r="N23" s="3"/>
    </row>
    <row r="24">
      <c r="N24" s="3"/>
    </row>
    <row r="25">
      <c r="N25" s="3"/>
    </row>
    <row r="26">
      <c r="N26" s="3"/>
    </row>
    <row r="27">
      <c r="N27" s="3"/>
    </row>
    <row r="28">
      <c r="N28" s="3"/>
    </row>
    <row r="29">
      <c r="N29" s="3"/>
    </row>
    <row r="30">
      <c r="N30" s="3"/>
    </row>
    <row r="31">
      <c r="N31" s="3"/>
    </row>
    <row r="32">
      <c r="N32" s="3"/>
    </row>
    <row r="33">
      <c r="N33" s="3"/>
    </row>
    <row r="34">
      <c r="N34" s="3"/>
    </row>
    <row r="35">
      <c r="N35" s="3"/>
    </row>
    <row r="36">
      <c r="N36" s="3"/>
    </row>
    <row r="37">
      <c r="N37" s="3"/>
    </row>
    <row r="38">
      <c r="N38" s="3"/>
    </row>
    <row r="39">
      <c r="N39" s="3"/>
    </row>
    <row r="40">
      <c r="N40" s="3"/>
    </row>
    <row r="41">
      <c r="N41" s="3"/>
    </row>
    <row r="42">
      <c r="N42" s="3"/>
    </row>
    <row r="43">
      <c r="N43" s="3"/>
    </row>
    <row r="44">
      <c r="N44" s="3"/>
    </row>
    <row r="45">
      <c r="N45" s="3"/>
    </row>
    <row r="46">
      <c r="N46" s="3"/>
    </row>
    <row r="47">
      <c r="N47" s="3"/>
    </row>
    <row r="48">
      <c r="N48" s="3"/>
    </row>
    <row r="49">
      <c r="N49" s="3"/>
    </row>
    <row r="50">
      <c r="N50" s="3"/>
    </row>
    <row r="51">
      <c r="N51" s="3"/>
    </row>
    <row r="52">
      <c r="N52" s="3"/>
    </row>
    <row r="53">
      <c r="N53" s="3"/>
    </row>
    <row r="54">
      <c r="N54" s="3"/>
    </row>
    <row r="55">
      <c r="N55" s="3"/>
    </row>
    <row r="56">
      <c r="N56" s="3"/>
    </row>
    <row r="57">
      <c r="N57" s="3"/>
    </row>
    <row r="58">
      <c r="N58" s="3"/>
    </row>
    <row r="59">
      <c r="N59" s="3"/>
    </row>
    <row r="60">
      <c r="N60" s="3"/>
    </row>
    <row r="61">
      <c r="N61" s="3"/>
    </row>
    <row r="62">
      <c r="N62" s="3"/>
    </row>
    <row r="63">
      <c r="N63" s="3"/>
    </row>
    <row r="64">
      <c r="N64" s="3"/>
    </row>
    <row r="65">
      <c r="N65" s="3"/>
    </row>
    <row r="66">
      <c r="N66" s="3"/>
    </row>
    <row r="67">
      <c r="N67" s="3"/>
    </row>
    <row r="68">
      <c r="N68" s="3"/>
    </row>
    <row r="69">
      <c r="N69" s="3"/>
    </row>
    <row r="70">
      <c r="N70" s="3"/>
    </row>
    <row r="71">
      <c r="N71" s="3"/>
    </row>
    <row r="72">
      <c r="N72" s="3"/>
    </row>
    <row r="73">
      <c r="N73" s="3"/>
    </row>
    <row r="74">
      <c r="N74" s="3"/>
    </row>
    <row r="75">
      <c r="N75" s="3"/>
    </row>
    <row r="76">
      <c r="N76" s="3"/>
    </row>
    <row r="77">
      <c r="N77" s="3"/>
    </row>
    <row r="78">
      <c r="N78" s="3"/>
    </row>
    <row r="79">
      <c r="N79" s="3"/>
    </row>
    <row r="80">
      <c r="N80" s="3"/>
    </row>
    <row r="81">
      <c r="N81" s="3"/>
    </row>
    <row r="82">
      <c r="N82" s="3"/>
    </row>
    <row r="83">
      <c r="N83" s="3"/>
    </row>
    <row r="84">
      <c r="N84" s="3"/>
    </row>
    <row r="85">
      <c r="N85" s="3"/>
    </row>
    <row r="86">
      <c r="N86" s="3"/>
    </row>
    <row r="87">
      <c r="N87" s="3"/>
    </row>
    <row r="88">
      <c r="N88" s="3"/>
    </row>
    <row r="89">
      <c r="N89" s="3"/>
    </row>
    <row r="90">
      <c r="N90" s="3"/>
    </row>
    <row r="91">
      <c r="N91" s="3"/>
    </row>
    <row r="92">
      <c r="N92" s="3"/>
    </row>
    <row r="93">
      <c r="N93" s="3"/>
    </row>
    <row r="94">
      <c r="N94" s="3"/>
    </row>
    <row r="95">
      <c r="N95" s="3"/>
    </row>
    <row r="96">
      <c r="N96" s="3"/>
    </row>
    <row r="97">
      <c r="N97" s="3"/>
    </row>
    <row r="98">
      <c r="N98" s="3"/>
    </row>
    <row r="99">
      <c r="N99" s="3"/>
    </row>
    <row r="100">
      <c r="N100" s="3"/>
    </row>
    <row r="101">
      <c r="N101" s="3"/>
    </row>
    <row r="102">
      <c r="N102" s="3"/>
    </row>
    <row r="103">
      <c r="N103" s="3"/>
    </row>
    <row r="104">
      <c r="N104" s="3"/>
    </row>
    <row r="105">
      <c r="N105" s="3"/>
    </row>
    <row r="106">
      <c r="N106" s="3"/>
    </row>
    <row r="107">
      <c r="N107" s="3"/>
    </row>
    <row r="108">
      <c r="N108" s="3"/>
    </row>
    <row r="109">
      <c r="N109" s="3"/>
    </row>
    <row r="110">
      <c r="N110" s="3"/>
    </row>
    <row r="111">
      <c r="N111" s="3"/>
    </row>
    <row r="112">
      <c r="N112" s="3"/>
    </row>
    <row r="113">
      <c r="N113" s="3"/>
    </row>
    <row r="114">
      <c r="N114" s="3"/>
    </row>
    <row r="115">
      <c r="N115" s="3"/>
    </row>
    <row r="116">
      <c r="N116" s="3"/>
    </row>
    <row r="117">
      <c r="N117" s="3"/>
    </row>
    <row r="118">
      <c r="N118" s="3"/>
    </row>
    <row r="119">
      <c r="N119" s="3"/>
    </row>
    <row r="120">
      <c r="N120" s="3"/>
    </row>
    <row r="121">
      <c r="N121" s="3"/>
    </row>
    <row r="122">
      <c r="N122" s="3"/>
    </row>
    <row r="123">
      <c r="N123" s="3"/>
    </row>
    <row r="124">
      <c r="N124" s="3"/>
    </row>
    <row r="125">
      <c r="N125" s="3"/>
    </row>
    <row r="126">
      <c r="N126" s="3"/>
    </row>
    <row r="127">
      <c r="N127" s="3"/>
    </row>
    <row r="128">
      <c r="N128" s="3"/>
    </row>
    <row r="129">
      <c r="N129" s="3"/>
    </row>
    <row r="130">
      <c r="N130" s="3"/>
    </row>
    <row r="131">
      <c r="N131" s="3"/>
    </row>
    <row r="132">
      <c r="N132" s="3"/>
    </row>
    <row r="133">
      <c r="N133" s="3"/>
    </row>
    <row r="134">
      <c r="N134" s="3"/>
    </row>
    <row r="135">
      <c r="N135" s="3"/>
    </row>
    <row r="136">
      <c r="N136" s="3"/>
    </row>
    <row r="137">
      <c r="N137" s="3"/>
    </row>
    <row r="138">
      <c r="N138" s="3"/>
    </row>
    <row r="139">
      <c r="N139" s="3"/>
    </row>
    <row r="140">
      <c r="N140" s="3"/>
    </row>
    <row r="141">
      <c r="N141" s="3"/>
    </row>
    <row r="142">
      <c r="N142" s="3"/>
    </row>
    <row r="143">
      <c r="N143" s="3"/>
    </row>
    <row r="144">
      <c r="N144" s="3"/>
    </row>
    <row r="145">
      <c r="N145" s="3"/>
    </row>
    <row r="146">
      <c r="N146" s="3"/>
    </row>
    <row r="147">
      <c r="N147" s="3"/>
    </row>
    <row r="148">
      <c r="N148" s="3"/>
    </row>
    <row r="149">
      <c r="N149" s="3"/>
    </row>
    <row r="150">
      <c r="N150" s="3"/>
    </row>
    <row r="151">
      <c r="N151" s="3"/>
    </row>
    <row r="152">
      <c r="N152" s="3"/>
    </row>
    <row r="153">
      <c r="N153" s="3"/>
    </row>
    <row r="154">
      <c r="N154" s="3"/>
    </row>
    <row r="155">
      <c r="N155" s="3"/>
    </row>
    <row r="156">
      <c r="N156" s="3"/>
    </row>
    <row r="157">
      <c r="N157" s="3"/>
    </row>
    <row r="158">
      <c r="N158" s="3"/>
    </row>
    <row r="159">
      <c r="N159" s="3"/>
    </row>
    <row r="160">
      <c r="N160" s="3"/>
    </row>
    <row r="161">
      <c r="N161" s="3"/>
    </row>
    <row r="162">
      <c r="N162" s="3"/>
    </row>
    <row r="163">
      <c r="N163" s="3"/>
    </row>
    <row r="164">
      <c r="N164" s="3"/>
    </row>
    <row r="165">
      <c r="N165" s="3"/>
    </row>
    <row r="166">
      <c r="N166" s="3"/>
    </row>
    <row r="167">
      <c r="N167" s="3"/>
    </row>
    <row r="168">
      <c r="N168" s="3"/>
    </row>
    <row r="169">
      <c r="N169" s="3"/>
    </row>
    <row r="170">
      <c r="N170" s="3"/>
    </row>
    <row r="171">
      <c r="N171" s="3"/>
    </row>
    <row r="172">
      <c r="N172" s="3"/>
    </row>
    <row r="173">
      <c r="N173" s="3"/>
    </row>
    <row r="174">
      <c r="N174" s="3"/>
    </row>
    <row r="175">
      <c r="N175" s="3"/>
    </row>
    <row r="176">
      <c r="N176" s="3"/>
    </row>
    <row r="177">
      <c r="N177" s="3"/>
    </row>
    <row r="178">
      <c r="N178" s="3"/>
    </row>
    <row r="179">
      <c r="N179" s="3"/>
    </row>
    <row r="180">
      <c r="N180" s="3"/>
    </row>
    <row r="181">
      <c r="N181" s="3"/>
    </row>
    <row r="182">
      <c r="N182" s="3"/>
    </row>
    <row r="183">
      <c r="N183" s="3"/>
    </row>
    <row r="184">
      <c r="N184" s="3"/>
    </row>
    <row r="185">
      <c r="N185" s="3"/>
    </row>
    <row r="186">
      <c r="N186" s="3"/>
    </row>
    <row r="187">
      <c r="N187" s="3"/>
    </row>
    <row r="188">
      <c r="N188" s="3"/>
    </row>
    <row r="189">
      <c r="N189" s="3"/>
    </row>
    <row r="190">
      <c r="N190" s="3"/>
    </row>
    <row r="191">
      <c r="N191" s="3"/>
    </row>
    <row r="192">
      <c r="N192" s="3"/>
    </row>
    <row r="193">
      <c r="N193" s="3"/>
    </row>
    <row r="194">
      <c r="N194" s="3"/>
    </row>
    <row r="195">
      <c r="N195" s="3"/>
    </row>
    <row r="196">
      <c r="N196" s="3"/>
    </row>
    <row r="197">
      <c r="N197" s="3"/>
    </row>
    <row r="198">
      <c r="N198" s="3"/>
    </row>
    <row r="199">
      <c r="N199" s="3"/>
    </row>
    <row r="200">
      <c r="N200" s="3"/>
    </row>
    <row r="201">
      <c r="N201" s="3"/>
    </row>
    <row r="202">
      <c r="N202" s="3"/>
    </row>
    <row r="203">
      <c r="N203" s="3"/>
    </row>
    <row r="204">
      <c r="N204" s="3"/>
    </row>
    <row r="205">
      <c r="N205" s="3"/>
    </row>
    <row r="206">
      <c r="N206" s="3"/>
    </row>
    <row r="207">
      <c r="N207" s="3"/>
    </row>
    <row r="208">
      <c r="N208" s="3"/>
    </row>
    <row r="209">
      <c r="N209" s="3"/>
    </row>
    <row r="210">
      <c r="N210" s="3"/>
    </row>
    <row r="211">
      <c r="N211" s="3"/>
    </row>
    <row r="212">
      <c r="N212" s="3"/>
    </row>
    <row r="213">
      <c r="N213" s="3"/>
    </row>
    <row r="214">
      <c r="N214" s="3"/>
    </row>
    <row r="215">
      <c r="N215" s="3"/>
    </row>
    <row r="216">
      <c r="N216" s="3"/>
    </row>
    <row r="217">
      <c r="N217" s="3"/>
    </row>
    <row r="218">
      <c r="N218" s="3"/>
    </row>
    <row r="219">
      <c r="N219" s="3"/>
    </row>
    <row r="220">
      <c r="N220" s="3"/>
    </row>
    <row r="221">
      <c r="N221" s="3"/>
    </row>
    <row r="222">
      <c r="N222" s="3"/>
    </row>
    <row r="223">
      <c r="N223" s="3"/>
    </row>
    <row r="224">
      <c r="N224" s="3"/>
    </row>
    <row r="225">
      <c r="N225" s="3"/>
    </row>
    <row r="226">
      <c r="N226" s="3"/>
    </row>
    <row r="227">
      <c r="N227" s="3"/>
    </row>
    <row r="228">
      <c r="N228" s="3"/>
    </row>
    <row r="229">
      <c r="N229" s="3"/>
    </row>
    <row r="230">
      <c r="N230" s="3"/>
    </row>
    <row r="231">
      <c r="N231" s="3"/>
    </row>
    <row r="232">
      <c r="N232" s="3"/>
    </row>
    <row r="233">
      <c r="N233" s="3"/>
    </row>
    <row r="234">
      <c r="N234" s="3"/>
    </row>
    <row r="235">
      <c r="N235" s="3"/>
    </row>
    <row r="236">
      <c r="N236" s="3"/>
    </row>
    <row r="237">
      <c r="N237" s="3"/>
    </row>
    <row r="238">
      <c r="N238" s="3"/>
    </row>
    <row r="239">
      <c r="N239" s="3"/>
    </row>
    <row r="240">
      <c r="N240" s="3"/>
    </row>
    <row r="241">
      <c r="N241" s="3"/>
    </row>
    <row r="242">
      <c r="N242" s="3"/>
    </row>
    <row r="243">
      <c r="N243" s="3"/>
    </row>
    <row r="244">
      <c r="N244" s="3"/>
    </row>
    <row r="245">
      <c r="N245" s="3"/>
    </row>
    <row r="246">
      <c r="N246" s="3"/>
    </row>
    <row r="247">
      <c r="N247" s="3"/>
    </row>
    <row r="248">
      <c r="N248" s="3"/>
    </row>
    <row r="249">
      <c r="N249" s="3"/>
    </row>
    <row r="250">
      <c r="N250" s="3"/>
    </row>
    <row r="251">
      <c r="N251" s="3"/>
    </row>
    <row r="252">
      <c r="N252" s="3"/>
    </row>
    <row r="253">
      <c r="N253" s="3"/>
    </row>
    <row r="254">
      <c r="N254" s="3"/>
    </row>
    <row r="255">
      <c r="N255" s="3"/>
    </row>
    <row r="256">
      <c r="N256" s="3"/>
    </row>
    <row r="257">
      <c r="N257" s="3"/>
    </row>
    <row r="258">
      <c r="N258" s="3"/>
    </row>
    <row r="259">
      <c r="N259" s="3"/>
    </row>
    <row r="260">
      <c r="N260" s="3"/>
    </row>
    <row r="261">
      <c r="N261" s="3"/>
    </row>
    <row r="262">
      <c r="N262" s="3"/>
    </row>
    <row r="263">
      <c r="N263" s="3"/>
    </row>
    <row r="264">
      <c r="N264" s="3"/>
    </row>
    <row r="265">
      <c r="N265" s="3"/>
    </row>
    <row r="266">
      <c r="N266" s="3"/>
    </row>
    <row r="267">
      <c r="N267" s="3"/>
    </row>
    <row r="268">
      <c r="N268" s="3"/>
    </row>
    <row r="269">
      <c r="N269" s="3"/>
    </row>
    <row r="270">
      <c r="N270" s="3"/>
    </row>
    <row r="271">
      <c r="N271" s="3"/>
    </row>
    <row r="272">
      <c r="N272" s="3"/>
    </row>
    <row r="273">
      <c r="N273" s="3"/>
    </row>
    <row r="274">
      <c r="N274" s="3"/>
    </row>
    <row r="275">
      <c r="N275" s="3"/>
    </row>
    <row r="276">
      <c r="N276" s="3"/>
    </row>
    <row r="277">
      <c r="N277" s="3"/>
    </row>
    <row r="278">
      <c r="N278" s="3"/>
    </row>
    <row r="279">
      <c r="N279" s="3"/>
    </row>
    <row r="280">
      <c r="N280" s="3"/>
    </row>
    <row r="281">
      <c r="N281" s="3"/>
    </row>
    <row r="282">
      <c r="N282" s="3"/>
    </row>
    <row r="283">
      <c r="N283" s="3"/>
    </row>
    <row r="284">
      <c r="N284" s="3"/>
    </row>
    <row r="285">
      <c r="N285" s="3"/>
    </row>
    <row r="286">
      <c r="N286" s="3"/>
    </row>
    <row r="287">
      <c r="N287" s="3"/>
    </row>
    <row r="288">
      <c r="N288" s="3"/>
    </row>
    <row r="289">
      <c r="N289" s="3"/>
    </row>
    <row r="290">
      <c r="N290" s="3"/>
    </row>
    <row r="291">
      <c r="N291" s="3"/>
    </row>
    <row r="292">
      <c r="N292" s="3"/>
    </row>
    <row r="293">
      <c r="N293" s="3"/>
    </row>
    <row r="294">
      <c r="N294" s="3"/>
    </row>
    <row r="295">
      <c r="N295" s="3"/>
    </row>
    <row r="296">
      <c r="N296" s="3"/>
    </row>
    <row r="297">
      <c r="N297" s="3"/>
    </row>
    <row r="298">
      <c r="N298" s="3"/>
    </row>
    <row r="299">
      <c r="N299" s="3"/>
    </row>
    <row r="300">
      <c r="N300" s="3"/>
    </row>
    <row r="301">
      <c r="N301" s="3"/>
    </row>
    <row r="302">
      <c r="N302" s="3"/>
    </row>
    <row r="303">
      <c r="N303" s="3"/>
    </row>
    <row r="304">
      <c r="N304" s="3"/>
    </row>
    <row r="305">
      <c r="N305" s="3"/>
    </row>
    <row r="306">
      <c r="N306" s="3"/>
    </row>
    <row r="307">
      <c r="N307" s="3"/>
    </row>
    <row r="308">
      <c r="N308" s="3"/>
    </row>
    <row r="309">
      <c r="N309" s="3"/>
    </row>
    <row r="310">
      <c r="N310" s="3"/>
    </row>
    <row r="311">
      <c r="N311" s="3"/>
    </row>
    <row r="312">
      <c r="N312" s="3"/>
    </row>
    <row r="313">
      <c r="N313" s="3"/>
    </row>
    <row r="314">
      <c r="N314" s="3"/>
    </row>
    <row r="315">
      <c r="N315" s="3"/>
    </row>
    <row r="316">
      <c r="N316" s="3"/>
    </row>
    <row r="317">
      <c r="N317" s="3"/>
    </row>
    <row r="318">
      <c r="N318" s="3"/>
    </row>
    <row r="319">
      <c r="N319" s="3"/>
    </row>
    <row r="320">
      <c r="N320" s="3"/>
    </row>
    <row r="321">
      <c r="N321" s="3"/>
    </row>
    <row r="322">
      <c r="N322" s="3"/>
    </row>
    <row r="323">
      <c r="N323" s="3"/>
    </row>
    <row r="324">
      <c r="N324" s="3"/>
    </row>
    <row r="325">
      <c r="N325" s="3"/>
    </row>
    <row r="326">
      <c r="N326" s="3"/>
    </row>
    <row r="327">
      <c r="N327" s="3"/>
    </row>
    <row r="328">
      <c r="N328" s="3"/>
    </row>
    <row r="329">
      <c r="N329" s="3"/>
    </row>
    <row r="330">
      <c r="N330" s="3"/>
    </row>
    <row r="331">
      <c r="N331" s="3"/>
    </row>
    <row r="332">
      <c r="N332" s="3"/>
    </row>
    <row r="333">
      <c r="N333" s="3"/>
    </row>
    <row r="334">
      <c r="N334" s="3"/>
    </row>
    <row r="335">
      <c r="N335" s="3"/>
    </row>
    <row r="336">
      <c r="N336" s="3"/>
    </row>
    <row r="337">
      <c r="N337" s="3"/>
    </row>
    <row r="338">
      <c r="N338" s="3"/>
    </row>
    <row r="339">
      <c r="N339" s="3"/>
    </row>
    <row r="340">
      <c r="N340" s="3"/>
    </row>
    <row r="341">
      <c r="N341" s="3"/>
    </row>
    <row r="342">
      <c r="N342" s="3"/>
    </row>
    <row r="343">
      <c r="N343" s="3"/>
    </row>
    <row r="344">
      <c r="N344" s="3"/>
    </row>
    <row r="345">
      <c r="N345" s="3"/>
    </row>
    <row r="346">
      <c r="N346" s="3"/>
    </row>
    <row r="347">
      <c r="N347" s="3"/>
    </row>
    <row r="348">
      <c r="N348" s="3"/>
    </row>
    <row r="349">
      <c r="N349" s="3"/>
    </row>
    <row r="350">
      <c r="N350" s="3"/>
    </row>
    <row r="351">
      <c r="N351" s="3"/>
    </row>
    <row r="352">
      <c r="N352" s="3"/>
    </row>
    <row r="353">
      <c r="N353" s="3"/>
    </row>
    <row r="354">
      <c r="N354" s="3"/>
    </row>
    <row r="355">
      <c r="N355" s="3"/>
    </row>
    <row r="356">
      <c r="N356" s="3"/>
    </row>
    <row r="357">
      <c r="N357" s="3"/>
    </row>
    <row r="358">
      <c r="N358" s="3"/>
    </row>
    <row r="359">
      <c r="N359" s="3"/>
    </row>
    <row r="360">
      <c r="N360" s="3"/>
    </row>
    <row r="361">
      <c r="N361" s="3"/>
    </row>
    <row r="362">
      <c r="N362" s="3"/>
    </row>
    <row r="363">
      <c r="N363" s="3"/>
    </row>
    <row r="364">
      <c r="N364" s="3"/>
    </row>
    <row r="365">
      <c r="N365" s="3"/>
    </row>
    <row r="366">
      <c r="N366" s="3"/>
    </row>
    <row r="367">
      <c r="N367" s="3"/>
    </row>
    <row r="368">
      <c r="N368" s="3"/>
    </row>
    <row r="369">
      <c r="N369" s="3"/>
    </row>
    <row r="370">
      <c r="N370" s="3"/>
    </row>
    <row r="371">
      <c r="N371" s="3"/>
    </row>
    <row r="372">
      <c r="N372" s="3"/>
    </row>
    <row r="373">
      <c r="N373" s="3"/>
    </row>
    <row r="374">
      <c r="N374" s="3"/>
    </row>
    <row r="375">
      <c r="N375" s="3"/>
    </row>
    <row r="376">
      <c r="N376" s="3"/>
    </row>
    <row r="377">
      <c r="N377" s="3"/>
    </row>
    <row r="378">
      <c r="N378" s="3"/>
    </row>
    <row r="379">
      <c r="N379" s="3"/>
    </row>
    <row r="380">
      <c r="N380" s="3"/>
    </row>
    <row r="381">
      <c r="N381" s="3"/>
    </row>
    <row r="382">
      <c r="N382" s="3"/>
    </row>
    <row r="383">
      <c r="N383" s="3"/>
    </row>
    <row r="384">
      <c r="N384" s="3"/>
    </row>
    <row r="385">
      <c r="N385" s="3"/>
    </row>
    <row r="386">
      <c r="N386" s="3"/>
    </row>
    <row r="387">
      <c r="N387" s="3"/>
    </row>
    <row r="388">
      <c r="N388" s="3"/>
    </row>
    <row r="389">
      <c r="N389" s="3"/>
    </row>
    <row r="390">
      <c r="N390" s="3"/>
    </row>
    <row r="391">
      <c r="N391" s="3"/>
    </row>
    <row r="392">
      <c r="N392" s="3"/>
    </row>
    <row r="393">
      <c r="N393" s="3"/>
    </row>
    <row r="394">
      <c r="N394" s="3"/>
    </row>
    <row r="395">
      <c r="N395" s="3"/>
    </row>
    <row r="396">
      <c r="N396" s="3"/>
    </row>
    <row r="397">
      <c r="N397" s="3"/>
    </row>
    <row r="398">
      <c r="N398" s="3"/>
    </row>
    <row r="399">
      <c r="N399" s="3"/>
    </row>
    <row r="400">
      <c r="N400" s="3"/>
    </row>
    <row r="401">
      <c r="N401" s="3"/>
    </row>
    <row r="402">
      <c r="N402" s="3"/>
    </row>
    <row r="403">
      <c r="N403" s="3"/>
    </row>
    <row r="404">
      <c r="N404" s="3"/>
    </row>
    <row r="405">
      <c r="N405" s="3"/>
    </row>
    <row r="406">
      <c r="N406" s="3"/>
    </row>
    <row r="407">
      <c r="N407" s="3"/>
    </row>
    <row r="408">
      <c r="N408" s="3"/>
    </row>
    <row r="409">
      <c r="N409" s="3"/>
    </row>
    <row r="410">
      <c r="N410" s="3"/>
    </row>
    <row r="411">
      <c r="N411" s="3"/>
    </row>
    <row r="412">
      <c r="N412" s="3"/>
    </row>
    <row r="413">
      <c r="N413" s="3"/>
    </row>
    <row r="414">
      <c r="N414" s="3"/>
    </row>
    <row r="415">
      <c r="N415" s="3"/>
    </row>
    <row r="416">
      <c r="N416" s="3"/>
    </row>
    <row r="417">
      <c r="N417" s="3"/>
    </row>
    <row r="418">
      <c r="N418" s="3"/>
    </row>
    <row r="419">
      <c r="N419" s="3"/>
    </row>
    <row r="420">
      <c r="N420" s="3"/>
    </row>
    <row r="421">
      <c r="N421" s="3"/>
    </row>
    <row r="422">
      <c r="N422" s="3"/>
    </row>
    <row r="423">
      <c r="N423" s="3"/>
    </row>
    <row r="424">
      <c r="N424" s="3"/>
    </row>
    <row r="425">
      <c r="N425" s="3"/>
    </row>
    <row r="426">
      <c r="N426" s="3"/>
    </row>
    <row r="427">
      <c r="N427" s="3"/>
    </row>
    <row r="428">
      <c r="N428" s="3"/>
    </row>
    <row r="429">
      <c r="N429" s="3"/>
    </row>
    <row r="430">
      <c r="N430" s="3"/>
    </row>
    <row r="431">
      <c r="N431" s="3"/>
    </row>
    <row r="432">
      <c r="N432" s="3"/>
    </row>
    <row r="433">
      <c r="N433" s="3"/>
    </row>
    <row r="434">
      <c r="N434" s="3"/>
    </row>
    <row r="435">
      <c r="N435" s="3"/>
    </row>
    <row r="436">
      <c r="N436" s="3"/>
    </row>
    <row r="437">
      <c r="N437" s="3"/>
    </row>
    <row r="438">
      <c r="N438" s="3"/>
    </row>
    <row r="439">
      <c r="N439" s="3"/>
    </row>
    <row r="440">
      <c r="N440" s="3"/>
    </row>
    <row r="441">
      <c r="N441" s="3"/>
    </row>
    <row r="442">
      <c r="N442" s="3"/>
    </row>
    <row r="443">
      <c r="N443" s="3"/>
    </row>
    <row r="444">
      <c r="N444" s="3"/>
    </row>
    <row r="445">
      <c r="N445" s="3"/>
    </row>
    <row r="446">
      <c r="N446" s="3"/>
    </row>
    <row r="447">
      <c r="N447" s="3"/>
    </row>
    <row r="448">
      <c r="N448" s="3"/>
    </row>
    <row r="449">
      <c r="N449" s="3"/>
    </row>
    <row r="450">
      <c r="N450" s="3"/>
    </row>
    <row r="451">
      <c r="N451" s="3"/>
    </row>
    <row r="452">
      <c r="N452" s="3"/>
    </row>
    <row r="453">
      <c r="N453" s="3"/>
    </row>
    <row r="454">
      <c r="N454" s="3"/>
    </row>
    <row r="455">
      <c r="N455" s="3"/>
    </row>
    <row r="456">
      <c r="N456" s="3"/>
    </row>
    <row r="457">
      <c r="N457" s="3"/>
    </row>
    <row r="458">
      <c r="N458" s="3"/>
    </row>
    <row r="459">
      <c r="N459" s="3"/>
    </row>
    <row r="460">
      <c r="N460" s="3"/>
    </row>
    <row r="461">
      <c r="N461" s="3"/>
    </row>
    <row r="462">
      <c r="N462" s="3"/>
    </row>
    <row r="463">
      <c r="N463" s="3"/>
    </row>
    <row r="464">
      <c r="N464" s="3"/>
    </row>
    <row r="465">
      <c r="N465" s="3"/>
    </row>
    <row r="466">
      <c r="N466" s="3"/>
    </row>
    <row r="467">
      <c r="N467" s="3"/>
    </row>
    <row r="468">
      <c r="N468" s="3"/>
    </row>
    <row r="469">
      <c r="N469" s="3"/>
    </row>
    <row r="470">
      <c r="N470" s="3"/>
    </row>
    <row r="471">
      <c r="N471" s="3"/>
    </row>
    <row r="472">
      <c r="N472" s="3"/>
    </row>
    <row r="473">
      <c r="N473" s="3"/>
    </row>
    <row r="474">
      <c r="N474" s="3"/>
    </row>
    <row r="475">
      <c r="N475" s="3"/>
    </row>
    <row r="476">
      <c r="N476" s="3"/>
    </row>
    <row r="477">
      <c r="N477" s="3"/>
    </row>
    <row r="478">
      <c r="N478" s="3"/>
    </row>
    <row r="479">
      <c r="N479" s="3"/>
    </row>
    <row r="480">
      <c r="N480" s="3"/>
    </row>
    <row r="481">
      <c r="N481" s="3"/>
    </row>
    <row r="482">
      <c r="N482" s="3"/>
    </row>
    <row r="483">
      <c r="N483" s="3"/>
    </row>
    <row r="484">
      <c r="N484" s="3"/>
    </row>
    <row r="485">
      <c r="N485" s="3"/>
    </row>
    <row r="486">
      <c r="N486" s="3"/>
    </row>
    <row r="487">
      <c r="N487" s="3"/>
    </row>
    <row r="488">
      <c r="N488" s="3"/>
    </row>
    <row r="489">
      <c r="N489" s="3"/>
    </row>
    <row r="490">
      <c r="N490" s="3"/>
    </row>
    <row r="491">
      <c r="N491" s="3"/>
    </row>
    <row r="492">
      <c r="N492" s="3"/>
    </row>
    <row r="493">
      <c r="N493" s="3"/>
    </row>
    <row r="494">
      <c r="N494" s="3"/>
    </row>
    <row r="495">
      <c r="N495" s="3"/>
    </row>
    <row r="496">
      <c r="N496" s="3"/>
    </row>
    <row r="497">
      <c r="N497" s="3"/>
    </row>
    <row r="498">
      <c r="N498" s="3"/>
    </row>
    <row r="499">
      <c r="N499" s="3"/>
    </row>
    <row r="500">
      <c r="N500" s="3"/>
    </row>
    <row r="501">
      <c r="N501" s="3"/>
    </row>
    <row r="502">
      <c r="N502" s="3"/>
    </row>
    <row r="503">
      <c r="N503" s="3"/>
    </row>
    <row r="504">
      <c r="N504" s="3"/>
    </row>
    <row r="505">
      <c r="N505" s="3"/>
    </row>
    <row r="506">
      <c r="N506" s="3"/>
    </row>
    <row r="507">
      <c r="N507" s="3"/>
    </row>
    <row r="508">
      <c r="N508" s="3"/>
    </row>
    <row r="509">
      <c r="N509" s="3"/>
    </row>
    <row r="510">
      <c r="N510" s="3"/>
    </row>
    <row r="511">
      <c r="N511" s="3"/>
    </row>
    <row r="512">
      <c r="N512" s="3"/>
    </row>
    <row r="513">
      <c r="N513" s="3"/>
    </row>
    <row r="514">
      <c r="N514" s="3"/>
    </row>
    <row r="515">
      <c r="N515" s="3"/>
    </row>
    <row r="516">
      <c r="N516" s="3"/>
    </row>
    <row r="517">
      <c r="N517" s="3"/>
    </row>
    <row r="518">
      <c r="N518" s="3"/>
    </row>
    <row r="519">
      <c r="N519" s="3"/>
    </row>
    <row r="520">
      <c r="N520" s="3"/>
    </row>
    <row r="521">
      <c r="N521" s="3"/>
    </row>
    <row r="522">
      <c r="N522" s="3"/>
    </row>
    <row r="523">
      <c r="N523" s="3"/>
    </row>
    <row r="524">
      <c r="N524" s="3"/>
    </row>
    <row r="525">
      <c r="N525" s="3"/>
    </row>
    <row r="526">
      <c r="N526" s="3"/>
    </row>
    <row r="527">
      <c r="N527" s="3"/>
    </row>
    <row r="528">
      <c r="N528" s="3"/>
    </row>
    <row r="529">
      <c r="N529" s="3"/>
    </row>
    <row r="530">
      <c r="N530" s="3"/>
    </row>
    <row r="531">
      <c r="N531" s="3"/>
    </row>
    <row r="532">
      <c r="N532" s="3"/>
    </row>
    <row r="533">
      <c r="N533" s="3"/>
    </row>
    <row r="534">
      <c r="N534" s="3"/>
    </row>
    <row r="535">
      <c r="N535" s="3"/>
    </row>
    <row r="536">
      <c r="N536" s="3"/>
    </row>
    <row r="537">
      <c r="N537" s="3"/>
    </row>
    <row r="538">
      <c r="N538" s="3"/>
    </row>
    <row r="539">
      <c r="N539" s="3"/>
    </row>
    <row r="540">
      <c r="N540" s="3"/>
    </row>
    <row r="541">
      <c r="N541" s="3"/>
    </row>
    <row r="542">
      <c r="N542" s="3"/>
    </row>
    <row r="543">
      <c r="N543" s="3"/>
    </row>
    <row r="544">
      <c r="N544" s="3"/>
    </row>
    <row r="545">
      <c r="N545" s="3"/>
    </row>
    <row r="546">
      <c r="N546" s="3"/>
    </row>
    <row r="547">
      <c r="N547" s="3"/>
    </row>
    <row r="548">
      <c r="N548" s="3"/>
    </row>
    <row r="549">
      <c r="N549" s="3"/>
    </row>
    <row r="550">
      <c r="N550" s="3"/>
    </row>
    <row r="551">
      <c r="N551" s="3"/>
    </row>
    <row r="552">
      <c r="N552" s="3"/>
    </row>
    <row r="553">
      <c r="N553" s="3"/>
    </row>
    <row r="554">
      <c r="N554" s="3"/>
    </row>
    <row r="555">
      <c r="N555" s="3"/>
    </row>
    <row r="556">
      <c r="N556" s="3"/>
    </row>
    <row r="557">
      <c r="N557" s="3"/>
    </row>
    <row r="558">
      <c r="N558" s="3"/>
    </row>
    <row r="559">
      <c r="N559" s="3"/>
    </row>
    <row r="560">
      <c r="N560" s="3"/>
    </row>
    <row r="561">
      <c r="N561" s="3"/>
    </row>
    <row r="562">
      <c r="N562" s="3"/>
    </row>
    <row r="563">
      <c r="N563" s="3"/>
    </row>
    <row r="564">
      <c r="N564" s="3"/>
    </row>
    <row r="565">
      <c r="N565" s="3"/>
    </row>
    <row r="566">
      <c r="N566" s="3"/>
    </row>
    <row r="567">
      <c r="N567" s="3"/>
    </row>
    <row r="568">
      <c r="N568" s="3"/>
    </row>
    <row r="569">
      <c r="N569" s="3"/>
    </row>
    <row r="570">
      <c r="N570" s="3"/>
    </row>
    <row r="571">
      <c r="N571" s="3"/>
    </row>
    <row r="572">
      <c r="N572" s="3"/>
    </row>
    <row r="573">
      <c r="N573" s="3"/>
    </row>
    <row r="574">
      <c r="N574" s="3"/>
    </row>
    <row r="575">
      <c r="N575" s="3"/>
    </row>
    <row r="576">
      <c r="N576" s="3"/>
    </row>
    <row r="577">
      <c r="N577" s="3"/>
    </row>
    <row r="578">
      <c r="N578" s="3"/>
    </row>
    <row r="579">
      <c r="N579" s="3"/>
    </row>
    <row r="580">
      <c r="N580" s="3"/>
    </row>
    <row r="581">
      <c r="N581" s="3"/>
    </row>
    <row r="582">
      <c r="N582" s="3"/>
    </row>
    <row r="583">
      <c r="N583" s="3"/>
    </row>
    <row r="584">
      <c r="N584" s="3"/>
    </row>
    <row r="585">
      <c r="N585" s="3"/>
    </row>
    <row r="586">
      <c r="N586" s="3"/>
    </row>
    <row r="587">
      <c r="N587" s="3"/>
    </row>
    <row r="588">
      <c r="N588" s="3"/>
    </row>
    <row r="589">
      <c r="N589" s="3"/>
    </row>
    <row r="590">
      <c r="N590" s="3"/>
    </row>
    <row r="591">
      <c r="N591" s="3"/>
    </row>
    <row r="592">
      <c r="N592" s="3"/>
    </row>
    <row r="593">
      <c r="N593" s="3"/>
    </row>
    <row r="594">
      <c r="N594" s="3"/>
    </row>
    <row r="595">
      <c r="N595" s="3"/>
    </row>
    <row r="596">
      <c r="N596" s="3"/>
    </row>
    <row r="597">
      <c r="N597" s="3"/>
    </row>
    <row r="598">
      <c r="N598" s="3"/>
    </row>
    <row r="599">
      <c r="N599" s="3"/>
    </row>
    <row r="600">
      <c r="N600" s="3"/>
    </row>
    <row r="601">
      <c r="N601" s="3"/>
    </row>
    <row r="602">
      <c r="N602" s="3"/>
    </row>
    <row r="603">
      <c r="N603" s="3"/>
    </row>
    <row r="604">
      <c r="N604" s="3"/>
    </row>
    <row r="605">
      <c r="N605" s="3"/>
    </row>
    <row r="606">
      <c r="N606" s="3"/>
    </row>
    <row r="607">
      <c r="N607" s="3"/>
    </row>
    <row r="608">
      <c r="N608" s="3"/>
    </row>
    <row r="609">
      <c r="N609" s="3"/>
    </row>
    <row r="610">
      <c r="N610" s="3"/>
    </row>
    <row r="611">
      <c r="N611" s="3"/>
    </row>
    <row r="612">
      <c r="N612" s="3"/>
    </row>
    <row r="613">
      <c r="N613" s="3"/>
    </row>
    <row r="614">
      <c r="N614" s="3"/>
    </row>
    <row r="615">
      <c r="N615" s="3"/>
    </row>
    <row r="616">
      <c r="N616" s="3"/>
    </row>
    <row r="617">
      <c r="N617" s="3"/>
    </row>
    <row r="618">
      <c r="N618" s="3"/>
    </row>
    <row r="619">
      <c r="N619" s="3"/>
    </row>
    <row r="620">
      <c r="N620" s="3"/>
    </row>
    <row r="621">
      <c r="N621" s="3"/>
    </row>
    <row r="622">
      <c r="N622" s="3"/>
    </row>
    <row r="623">
      <c r="N623" s="3"/>
    </row>
    <row r="624">
      <c r="N624" s="3"/>
    </row>
    <row r="625">
      <c r="N625" s="3"/>
    </row>
    <row r="626">
      <c r="N626" s="3"/>
    </row>
    <row r="627">
      <c r="N627" s="3"/>
    </row>
    <row r="628">
      <c r="N628" s="3"/>
    </row>
    <row r="629">
      <c r="N629" s="3"/>
    </row>
    <row r="630">
      <c r="N630" s="3"/>
    </row>
    <row r="631">
      <c r="N631" s="3"/>
    </row>
    <row r="632">
      <c r="N632" s="3"/>
    </row>
    <row r="633">
      <c r="N633" s="3"/>
    </row>
    <row r="634">
      <c r="N634" s="3"/>
    </row>
    <row r="635">
      <c r="N635" s="3"/>
    </row>
    <row r="636">
      <c r="N636" s="3"/>
    </row>
    <row r="637">
      <c r="N637" s="3"/>
    </row>
    <row r="638">
      <c r="N638" s="3"/>
    </row>
    <row r="639">
      <c r="N639" s="3"/>
    </row>
    <row r="640">
      <c r="N640" s="3"/>
    </row>
    <row r="641">
      <c r="N641" s="3"/>
    </row>
    <row r="642">
      <c r="N642" s="3"/>
    </row>
    <row r="643">
      <c r="N643" s="3"/>
    </row>
    <row r="644">
      <c r="N644" s="3"/>
    </row>
    <row r="645">
      <c r="N645" s="3"/>
    </row>
    <row r="646">
      <c r="N646" s="3"/>
    </row>
    <row r="647">
      <c r="N647" s="3"/>
    </row>
    <row r="648">
      <c r="N648" s="3"/>
    </row>
    <row r="649">
      <c r="N649" s="3"/>
    </row>
    <row r="650">
      <c r="N650" s="3"/>
    </row>
    <row r="651">
      <c r="N651" s="3"/>
    </row>
    <row r="652">
      <c r="N652" s="3"/>
    </row>
    <row r="653">
      <c r="N653" s="3"/>
    </row>
    <row r="654">
      <c r="N654" s="3"/>
    </row>
    <row r="655">
      <c r="N655" s="3"/>
    </row>
    <row r="656">
      <c r="N656" s="3"/>
    </row>
    <row r="657">
      <c r="N657" s="3"/>
    </row>
    <row r="658">
      <c r="N658" s="3"/>
    </row>
    <row r="659">
      <c r="N659" s="3"/>
    </row>
    <row r="660">
      <c r="N660" s="3"/>
    </row>
    <row r="661">
      <c r="N661" s="3"/>
    </row>
    <row r="662">
      <c r="N662" s="3"/>
    </row>
    <row r="663">
      <c r="N663" s="3"/>
    </row>
    <row r="664">
      <c r="N664" s="3"/>
    </row>
    <row r="665">
      <c r="N665" s="3"/>
    </row>
    <row r="666">
      <c r="N666" s="3"/>
    </row>
    <row r="667">
      <c r="N667" s="3"/>
    </row>
    <row r="668">
      <c r="N668" s="3"/>
    </row>
    <row r="669">
      <c r="N669" s="3"/>
    </row>
    <row r="670">
      <c r="N670" s="3"/>
    </row>
    <row r="671">
      <c r="N671" s="3"/>
    </row>
    <row r="672">
      <c r="N672" s="3"/>
    </row>
    <row r="673">
      <c r="N673" s="3"/>
    </row>
    <row r="674">
      <c r="N674" s="3"/>
    </row>
    <row r="675">
      <c r="N675" s="3"/>
    </row>
    <row r="676">
      <c r="N676" s="3"/>
    </row>
    <row r="677">
      <c r="N677" s="3"/>
    </row>
    <row r="678">
      <c r="N678" s="3"/>
    </row>
    <row r="679">
      <c r="N679" s="3"/>
    </row>
    <row r="680">
      <c r="N680" s="3"/>
    </row>
    <row r="681">
      <c r="N681" s="3"/>
    </row>
    <row r="682">
      <c r="N682" s="3"/>
    </row>
    <row r="683">
      <c r="N683" s="3"/>
    </row>
    <row r="684">
      <c r="N684" s="3"/>
    </row>
    <row r="685">
      <c r="N685" s="3"/>
    </row>
    <row r="686">
      <c r="N686" s="3"/>
    </row>
    <row r="687">
      <c r="N687" s="3"/>
    </row>
    <row r="688">
      <c r="N688" s="3"/>
    </row>
    <row r="689">
      <c r="N689" s="3"/>
    </row>
    <row r="690">
      <c r="N690" s="3"/>
    </row>
    <row r="691">
      <c r="N691" s="3"/>
    </row>
    <row r="692">
      <c r="N692" s="3"/>
    </row>
    <row r="693">
      <c r="N693" s="3"/>
    </row>
    <row r="694">
      <c r="N694" s="3"/>
    </row>
    <row r="695">
      <c r="N695" s="3"/>
    </row>
    <row r="696">
      <c r="N696" s="3"/>
    </row>
    <row r="697">
      <c r="N697" s="3"/>
    </row>
    <row r="698">
      <c r="N698" s="3"/>
    </row>
    <row r="699">
      <c r="N699" s="3"/>
    </row>
    <row r="700">
      <c r="N700" s="3"/>
    </row>
    <row r="701">
      <c r="N701" s="3"/>
    </row>
    <row r="702">
      <c r="N702" s="3"/>
    </row>
    <row r="703">
      <c r="N703" s="3"/>
    </row>
    <row r="704">
      <c r="N704" s="3"/>
    </row>
    <row r="705">
      <c r="N705" s="3"/>
    </row>
    <row r="706">
      <c r="N706" s="3"/>
    </row>
    <row r="707">
      <c r="N707" s="3"/>
    </row>
    <row r="708">
      <c r="N708" s="3"/>
    </row>
    <row r="709">
      <c r="N709" s="3"/>
    </row>
    <row r="710">
      <c r="N710" s="3"/>
    </row>
    <row r="711">
      <c r="N711" s="3"/>
    </row>
    <row r="712">
      <c r="N712" s="3"/>
    </row>
    <row r="713">
      <c r="N713" s="3"/>
    </row>
    <row r="714">
      <c r="N714" s="3"/>
    </row>
    <row r="715">
      <c r="N715" s="3"/>
    </row>
    <row r="716">
      <c r="N716" s="3"/>
    </row>
    <row r="717">
      <c r="N717" s="3"/>
    </row>
    <row r="718">
      <c r="N718" s="3"/>
    </row>
    <row r="719">
      <c r="N719" s="3"/>
    </row>
    <row r="720">
      <c r="N720" s="3"/>
    </row>
    <row r="721">
      <c r="N721" s="3"/>
    </row>
    <row r="722">
      <c r="N722" s="3"/>
    </row>
    <row r="723">
      <c r="N723" s="3"/>
    </row>
    <row r="724">
      <c r="N724" s="3"/>
    </row>
    <row r="725">
      <c r="N725" s="3"/>
    </row>
    <row r="726">
      <c r="N726" s="3"/>
    </row>
    <row r="727">
      <c r="N727" s="3"/>
    </row>
    <row r="728">
      <c r="N728" s="3"/>
    </row>
    <row r="729">
      <c r="N729" s="3"/>
    </row>
    <row r="730">
      <c r="N730" s="3"/>
    </row>
    <row r="731">
      <c r="N731" s="3"/>
    </row>
    <row r="732">
      <c r="N732" s="3"/>
    </row>
    <row r="733">
      <c r="N733" s="3"/>
    </row>
    <row r="734">
      <c r="N734" s="3"/>
    </row>
    <row r="735">
      <c r="N735" s="3"/>
    </row>
    <row r="736">
      <c r="N736" s="3"/>
    </row>
    <row r="737">
      <c r="N737" s="3"/>
    </row>
    <row r="738">
      <c r="N738" s="3"/>
    </row>
    <row r="739">
      <c r="N739" s="3"/>
    </row>
    <row r="740">
      <c r="N740" s="3"/>
    </row>
    <row r="741">
      <c r="N741" s="3"/>
    </row>
    <row r="742">
      <c r="N742" s="3"/>
    </row>
    <row r="743">
      <c r="N743" s="3"/>
    </row>
    <row r="744">
      <c r="N744" s="3"/>
    </row>
    <row r="745">
      <c r="N745" s="3"/>
    </row>
    <row r="746">
      <c r="N746" s="3"/>
    </row>
    <row r="747">
      <c r="N747" s="3"/>
    </row>
    <row r="748">
      <c r="N748" s="3"/>
    </row>
    <row r="749">
      <c r="N749" s="3"/>
    </row>
    <row r="750">
      <c r="N750" s="3"/>
    </row>
    <row r="751">
      <c r="N751" s="3"/>
    </row>
    <row r="752">
      <c r="N752" s="3"/>
    </row>
    <row r="753">
      <c r="N753" s="3"/>
    </row>
    <row r="754">
      <c r="N754" s="3"/>
    </row>
    <row r="755">
      <c r="N755" s="3"/>
    </row>
    <row r="756">
      <c r="N756" s="3"/>
    </row>
    <row r="757">
      <c r="N757" s="3"/>
    </row>
    <row r="758">
      <c r="N758" s="3"/>
    </row>
    <row r="759">
      <c r="N759" s="3"/>
    </row>
    <row r="760">
      <c r="N760" s="3"/>
    </row>
    <row r="761">
      <c r="N761" s="3"/>
    </row>
    <row r="762">
      <c r="N762" s="3"/>
    </row>
    <row r="763">
      <c r="N763" s="3"/>
    </row>
    <row r="764">
      <c r="N764" s="3"/>
    </row>
    <row r="765">
      <c r="N765" s="3"/>
    </row>
    <row r="766">
      <c r="N766" s="3"/>
    </row>
    <row r="767">
      <c r="N767" s="3"/>
    </row>
    <row r="768">
      <c r="N768" s="3"/>
    </row>
    <row r="769">
      <c r="N769" s="3"/>
    </row>
    <row r="770">
      <c r="N770" s="3"/>
    </row>
    <row r="771">
      <c r="N771" s="3"/>
    </row>
    <row r="772">
      <c r="N772" s="3"/>
    </row>
    <row r="773">
      <c r="N773" s="3"/>
    </row>
    <row r="774">
      <c r="N774" s="3"/>
    </row>
    <row r="775">
      <c r="N775" s="3"/>
    </row>
    <row r="776">
      <c r="N776" s="3"/>
    </row>
    <row r="777">
      <c r="N777" s="3"/>
    </row>
    <row r="778">
      <c r="N778" s="3"/>
    </row>
    <row r="779">
      <c r="N779" s="3"/>
    </row>
    <row r="780">
      <c r="N780" s="3"/>
    </row>
    <row r="781">
      <c r="N781" s="3"/>
    </row>
    <row r="782">
      <c r="N782" s="3"/>
    </row>
    <row r="783">
      <c r="N783" s="3"/>
    </row>
    <row r="784">
      <c r="N784" s="3"/>
    </row>
    <row r="785">
      <c r="N785" s="3"/>
    </row>
    <row r="786">
      <c r="N786" s="3"/>
    </row>
    <row r="787">
      <c r="N787" s="3"/>
    </row>
    <row r="788">
      <c r="N788" s="3"/>
    </row>
    <row r="789">
      <c r="N789" s="3"/>
    </row>
    <row r="790">
      <c r="N790" s="3"/>
    </row>
    <row r="791">
      <c r="N791" s="3"/>
    </row>
    <row r="792">
      <c r="N792" s="3"/>
    </row>
    <row r="793">
      <c r="N793" s="3"/>
    </row>
    <row r="794">
      <c r="N794" s="3"/>
    </row>
    <row r="795">
      <c r="N795" s="3"/>
    </row>
    <row r="796">
      <c r="N796" s="3"/>
    </row>
    <row r="797">
      <c r="N797" s="3"/>
    </row>
    <row r="798">
      <c r="N798" s="3"/>
    </row>
    <row r="799">
      <c r="N799" s="3"/>
    </row>
    <row r="800">
      <c r="N800" s="3"/>
    </row>
    <row r="801">
      <c r="N801" s="3"/>
    </row>
    <row r="802">
      <c r="N802" s="3"/>
    </row>
    <row r="803">
      <c r="N803" s="3"/>
    </row>
    <row r="804">
      <c r="N804" s="3"/>
    </row>
    <row r="805">
      <c r="N805" s="3"/>
    </row>
    <row r="806">
      <c r="N806" s="3"/>
    </row>
    <row r="807">
      <c r="N807" s="3"/>
    </row>
    <row r="808">
      <c r="N808" s="3"/>
    </row>
    <row r="809">
      <c r="N809" s="3"/>
    </row>
    <row r="810">
      <c r="N810" s="3"/>
    </row>
    <row r="811">
      <c r="N811" s="3"/>
    </row>
    <row r="812">
      <c r="N812" s="3"/>
    </row>
    <row r="813">
      <c r="N813" s="3"/>
    </row>
    <row r="814">
      <c r="N814" s="3"/>
    </row>
    <row r="815">
      <c r="N815" s="3"/>
    </row>
    <row r="816">
      <c r="N816" s="3"/>
    </row>
    <row r="817">
      <c r="N817" s="3"/>
    </row>
    <row r="818">
      <c r="N818" s="3"/>
    </row>
    <row r="819">
      <c r="N819" s="3"/>
    </row>
    <row r="820">
      <c r="N820" s="3"/>
    </row>
    <row r="821">
      <c r="N821" s="3"/>
    </row>
    <row r="822">
      <c r="N822" s="3"/>
    </row>
    <row r="823">
      <c r="N823" s="3"/>
    </row>
    <row r="824">
      <c r="N824" s="3"/>
    </row>
    <row r="825">
      <c r="N825" s="3"/>
    </row>
    <row r="826">
      <c r="N826" s="3"/>
    </row>
    <row r="827">
      <c r="N827" s="3"/>
    </row>
    <row r="828">
      <c r="N828" s="3"/>
    </row>
    <row r="829">
      <c r="N829" s="3"/>
    </row>
    <row r="830">
      <c r="N830" s="3"/>
    </row>
    <row r="831">
      <c r="N831" s="3"/>
    </row>
    <row r="832">
      <c r="N832" s="3"/>
    </row>
    <row r="833">
      <c r="N833" s="3"/>
    </row>
    <row r="834">
      <c r="N834" s="3"/>
    </row>
    <row r="835">
      <c r="N835" s="3"/>
    </row>
    <row r="836">
      <c r="N836" s="3"/>
    </row>
    <row r="837">
      <c r="N837" s="3"/>
    </row>
    <row r="838">
      <c r="N838" s="3"/>
    </row>
    <row r="839">
      <c r="N839" s="3"/>
    </row>
    <row r="840">
      <c r="N840" s="3"/>
    </row>
    <row r="841">
      <c r="N841" s="3"/>
    </row>
    <row r="842">
      <c r="N842" s="3"/>
    </row>
    <row r="843">
      <c r="N843" s="3"/>
    </row>
    <row r="844">
      <c r="N844" s="3"/>
    </row>
    <row r="845">
      <c r="N845" s="3"/>
    </row>
    <row r="846">
      <c r="N846" s="3"/>
    </row>
    <row r="847">
      <c r="N847" s="3"/>
    </row>
    <row r="848">
      <c r="N848" s="3"/>
    </row>
    <row r="849">
      <c r="N849" s="3"/>
    </row>
    <row r="850">
      <c r="N850" s="3"/>
    </row>
    <row r="851">
      <c r="N851" s="3"/>
    </row>
    <row r="852">
      <c r="N852" s="3"/>
    </row>
    <row r="853">
      <c r="N853" s="3"/>
    </row>
    <row r="854">
      <c r="N854" s="3"/>
    </row>
    <row r="855">
      <c r="N855" s="3"/>
    </row>
    <row r="856">
      <c r="N856" s="3"/>
    </row>
    <row r="857">
      <c r="N857" s="3"/>
    </row>
    <row r="858">
      <c r="N858" s="3"/>
    </row>
    <row r="859">
      <c r="N859" s="3"/>
    </row>
    <row r="860">
      <c r="N860" s="3"/>
    </row>
    <row r="861">
      <c r="N861" s="3"/>
    </row>
    <row r="862">
      <c r="N862" s="3"/>
    </row>
    <row r="863">
      <c r="N863" s="3"/>
    </row>
    <row r="864">
      <c r="N864" s="3"/>
    </row>
    <row r="865">
      <c r="N865" s="3"/>
    </row>
    <row r="866">
      <c r="N866" s="3"/>
    </row>
    <row r="867">
      <c r="N867" s="3"/>
    </row>
    <row r="868">
      <c r="N868" s="3"/>
    </row>
    <row r="869">
      <c r="N869" s="3"/>
    </row>
    <row r="870">
      <c r="N870" s="3"/>
    </row>
    <row r="871">
      <c r="N871" s="3"/>
    </row>
    <row r="872">
      <c r="N872" s="3"/>
    </row>
    <row r="873">
      <c r="N873" s="3"/>
    </row>
    <row r="874">
      <c r="N874" s="3"/>
    </row>
    <row r="875">
      <c r="N875" s="3"/>
    </row>
    <row r="876">
      <c r="N876" s="3"/>
    </row>
    <row r="877">
      <c r="N877" s="3"/>
    </row>
    <row r="878">
      <c r="N878" s="3"/>
    </row>
    <row r="879">
      <c r="N879" s="3"/>
    </row>
    <row r="880">
      <c r="N880" s="3"/>
    </row>
    <row r="881">
      <c r="N881" s="3"/>
    </row>
    <row r="882">
      <c r="N882" s="3"/>
    </row>
    <row r="883">
      <c r="N883" s="3"/>
    </row>
    <row r="884">
      <c r="N884" s="3"/>
    </row>
    <row r="885">
      <c r="N885" s="3"/>
    </row>
    <row r="886">
      <c r="N886" s="3"/>
    </row>
    <row r="887">
      <c r="N887" s="3"/>
    </row>
    <row r="888">
      <c r="N888" s="3"/>
    </row>
    <row r="889">
      <c r="N889" s="3"/>
    </row>
    <row r="890">
      <c r="N890" s="3"/>
    </row>
    <row r="891">
      <c r="N891" s="3"/>
    </row>
    <row r="892">
      <c r="N892" s="3"/>
    </row>
    <row r="893">
      <c r="N893" s="3"/>
    </row>
    <row r="894">
      <c r="N894" s="3"/>
    </row>
    <row r="895">
      <c r="N895" s="3"/>
    </row>
    <row r="896">
      <c r="N896" s="3"/>
    </row>
    <row r="897">
      <c r="N897" s="3"/>
    </row>
    <row r="898">
      <c r="N898" s="3"/>
    </row>
    <row r="899">
      <c r="N899" s="3"/>
    </row>
    <row r="900">
      <c r="N900" s="3"/>
    </row>
    <row r="901">
      <c r="N901" s="3"/>
    </row>
    <row r="902">
      <c r="N902" s="3"/>
    </row>
    <row r="903">
      <c r="N903" s="3"/>
    </row>
    <row r="904">
      <c r="N904" s="3"/>
    </row>
    <row r="905">
      <c r="N905" s="3"/>
    </row>
    <row r="906">
      <c r="N906" s="3"/>
    </row>
    <row r="907">
      <c r="N907" s="3"/>
    </row>
    <row r="908">
      <c r="N908" s="3"/>
    </row>
    <row r="909">
      <c r="N909" s="3"/>
    </row>
    <row r="910">
      <c r="N910" s="3"/>
    </row>
    <row r="911">
      <c r="N911" s="3"/>
    </row>
    <row r="912">
      <c r="N912" s="3"/>
    </row>
    <row r="913">
      <c r="N913" s="3"/>
    </row>
    <row r="914">
      <c r="N914" s="3"/>
    </row>
    <row r="915">
      <c r="N915" s="3"/>
    </row>
    <row r="916">
      <c r="N916" s="3"/>
    </row>
    <row r="917">
      <c r="N917" s="3"/>
    </row>
    <row r="918">
      <c r="N918" s="3"/>
    </row>
    <row r="919">
      <c r="N919" s="3"/>
    </row>
    <row r="920">
      <c r="N920" s="3"/>
    </row>
    <row r="921">
      <c r="N921" s="3"/>
    </row>
    <row r="922">
      <c r="N922" s="3"/>
    </row>
    <row r="923">
      <c r="N923" s="3"/>
    </row>
    <row r="924">
      <c r="N924" s="3"/>
    </row>
    <row r="925">
      <c r="N925" s="3"/>
    </row>
    <row r="926">
      <c r="N926" s="3"/>
    </row>
    <row r="927">
      <c r="N927" s="3"/>
    </row>
    <row r="928">
      <c r="N928" s="3"/>
    </row>
    <row r="929">
      <c r="N929" s="3"/>
    </row>
    <row r="930">
      <c r="N930" s="3"/>
    </row>
    <row r="931">
      <c r="N931" s="3"/>
    </row>
    <row r="932">
      <c r="N932" s="3"/>
    </row>
    <row r="933">
      <c r="N933" s="3"/>
    </row>
    <row r="934">
      <c r="N934" s="3"/>
    </row>
    <row r="935">
      <c r="N935" s="3"/>
    </row>
    <row r="936">
      <c r="N936" s="3"/>
    </row>
    <row r="937">
      <c r="N937" s="3"/>
    </row>
    <row r="938">
      <c r="N938" s="3"/>
    </row>
    <row r="939">
      <c r="N939" s="3"/>
    </row>
    <row r="940">
      <c r="N940" s="3"/>
    </row>
    <row r="941">
      <c r="N941" s="3"/>
    </row>
    <row r="942">
      <c r="N942" s="3"/>
    </row>
    <row r="943">
      <c r="N943" s="3"/>
    </row>
    <row r="944">
      <c r="N944" s="3"/>
    </row>
    <row r="945">
      <c r="N945" s="3"/>
    </row>
    <row r="946">
      <c r="N946" s="3"/>
    </row>
    <row r="947">
      <c r="N947" s="3"/>
    </row>
    <row r="948">
      <c r="N948" s="3"/>
    </row>
    <row r="949">
      <c r="N949" s="3"/>
    </row>
    <row r="950">
      <c r="N950" s="3"/>
    </row>
    <row r="951">
      <c r="N951" s="3"/>
    </row>
    <row r="952">
      <c r="N952" s="3"/>
    </row>
    <row r="953">
      <c r="N953" s="3"/>
    </row>
    <row r="954">
      <c r="N954" s="3"/>
    </row>
    <row r="955">
      <c r="N955" s="3"/>
    </row>
    <row r="956">
      <c r="N956" s="3"/>
    </row>
    <row r="957">
      <c r="N957" s="3"/>
    </row>
    <row r="958">
      <c r="N958" s="3"/>
    </row>
    <row r="959">
      <c r="N959" s="3"/>
    </row>
    <row r="960">
      <c r="N960" s="3"/>
    </row>
    <row r="961">
      <c r="N961" s="3"/>
    </row>
    <row r="962">
      <c r="N962" s="3"/>
    </row>
    <row r="963">
      <c r="N963" s="3"/>
    </row>
    <row r="964">
      <c r="N964" s="3"/>
    </row>
    <row r="965">
      <c r="N965" s="3"/>
    </row>
    <row r="966">
      <c r="N966" s="3"/>
    </row>
    <row r="967">
      <c r="N967" s="3"/>
    </row>
    <row r="968">
      <c r="N968" s="3"/>
    </row>
    <row r="969">
      <c r="N969" s="3"/>
    </row>
    <row r="970">
      <c r="N970" s="3"/>
    </row>
    <row r="971">
      <c r="N971" s="3"/>
    </row>
    <row r="972">
      <c r="N972" s="3"/>
    </row>
    <row r="973">
      <c r="N973" s="3"/>
    </row>
    <row r="974">
      <c r="N974" s="3"/>
    </row>
    <row r="975">
      <c r="N975" s="3"/>
    </row>
    <row r="976">
      <c r="N976" s="3"/>
    </row>
    <row r="977">
      <c r="N977" s="3"/>
    </row>
    <row r="978">
      <c r="N978" s="3"/>
    </row>
    <row r="979">
      <c r="N979" s="3"/>
    </row>
    <row r="980">
      <c r="N980" s="3"/>
    </row>
    <row r="981">
      <c r="N981" s="3"/>
    </row>
    <row r="982">
      <c r="N982" s="3"/>
    </row>
    <row r="983">
      <c r="N983" s="3"/>
    </row>
    <row r="984">
      <c r="N984" s="3"/>
    </row>
    <row r="985">
      <c r="N985" s="3"/>
    </row>
    <row r="986">
      <c r="N986" s="3"/>
    </row>
    <row r="987">
      <c r="N987" s="3"/>
    </row>
    <row r="988">
      <c r="N988" s="3"/>
    </row>
    <row r="989">
      <c r="N989" s="3"/>
    </row>
    <row r="990">
      <c r="N990" s="3"/>
    </row>
    <row r="991">
      <c r="N991" s="3"/>
    </row>
    <row r="992">
      <c r="N992" s="3"/>
    </row>
    <row r="993">
      <c r="N993" s="3"/>
    </row>
    <row r="994">
      <c r="N994" s="3"/>
    </row>
    <row r="995">
      <c r="N995" s="3"/>
    </row>
    <row r="996">
      <c r="N996" s="3"/>
    </row>
    <row r="997">
      <c r="N997" s="3"/>
    </row>
    <row r="998">
      <c r="N998" s="3"/>
    </row>
    <row r="999">
      <c r="N999" s="3"/>
    </row>
    <row r="1000">
      <c r="N1000"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17</v>
      </c>
      <c r="B1" s="6" t="s">
        <v>18</v>
      </c>
      <c r="C1" s="6" t="s">
        <v>19</v>
      </c>
      <c r="D1" s="6" t="s">
        <v>4</v>
      </c>
      <c r="E1" s="6" t="s">
        <v>20</v>
      </c>
      <c r="F1" s="6" t="s">
        <v>21</v>
      </c>
      <c r="G1" s="6" t="s">
        <v>6</v>
      </c>
      <c r="H1" s="6" t="s">
        <v>7</v>
      </c>
      <c r="I1" s="6" t="str">
        <f>IFERROR(__xludf.DUMMYFUNCTION("ArrayFormula(IF(LEN(H:H),if(ROW(H:H)=1,""Status BQ"",if(isna(vlookup(A:A,importrange(""12RH_Y861MPkQruhOF4E_cpprpbUSwY3AnrI0zPCJREI"",""Sheet1!L:R""),2,0)),""-"",vlookup(A:A,importrange(""12RH_Y861MPkQruhOF4E_cpprpbUSwY3AnrI0zPCJREI"",""Sheet1!L:R""),2,0)"&amp;")),))"),"Status BQ")</f>
        <v>Status BQ</v>
      </c>
      <c r="J1" s="6" t="str">
        <f>IFERROR(__xludf.DUMMYFUNCTION("ArrayFormula(IF(LEN(H:H),if(ROW(H:H)=1,""No PR"",if(isna(vlookup(A:A,importrange(""12RH_Y861MPkQruhOF4E_cpprpbUSwY3AnrI0zPCJREI"",""Sheet1!L:P""),5,0)),""-"",vlookup(A:A,importrange(""12RH_Y861MPkQruhOF4E_cpprpbUSwY3AnrI0zPCJREI"",""Sheet1!L:P""),5,0))),)"&amp;")"),"No PR")</f>
        <v>No PR</v>
      </c>
      <c r="K1" s="6" t="str">
        <f>IFERROR(__xludf.DUMMYFUNCTION("ArrayFormula(IF(LEN(H:H),if(ROW(H:H)=1,""No PO"",if(isna(vlookup(A:A,importrange(""12RH_Y861MPkQruhOF4E_cpprpbUSwY3AnrI0zPCJREI"",""Sheet1!L:Q""),6,0)),""-"",vlookup(A:A,importrange(""12RH_Y861MPkQruhOF4E_cpprpbUSwY3AnrI0zPCJREI"",""Sheet1!L:Q""),6,0))),)"&amp;")"),"No PO")</f>
        <v>No PO</v>
      </c>
    </row>
    <row r="2">
      <c r="A2" s="3" t="str">
        <f>IFERROR(__xludf.DUMMYFUNCTION("if(isna(query({'Filter RO Approve SPV Normal'!B2:B1000;'Filter RO Approve MGR Urgent'!B2:B1000},""SELECT * WHERE Col1 IS NOT NULL"")),"""",query({'Filter RO Approve SPV Normal'!B2:B1000;'Filter RO Approve MGR Urgent'!B2:B1000},""SELECT * WHERE Col1 IS NOT"&amp;" NULL""))"),"SFHRO0002")</f>
        <v>SFHRO0002</v>
      </c>
      <c r="B2" s="4">
        <f>IFERROR(__xludf.DUMMYFUNCTION("if(isna(query({'Filter RO Approve SPV Normal'!A2:A1000;'Filter RO Approve MGR Urgent'!A2:A1000},""SELECT * WHERE Col1 IS NOT NULL"")),"""",query({'Filter RO Approve SPV Normal'!A2:A1000;'Filter RO Approve MGR Urgent'!A2:A1000},""SELECT * WHERE Col1 IS NOT"&amp;" NULL""))"),45678.67302818287)</f>
        <v>45678.67303</v>
      </c>
      <c r="C2" s="3">
        <f>IFERROR(__xludf.DUMMYFUNCTION("if(isna(query({'Filter RO Approve SPV Normal'!N2:N1000;'Filter RO Approve MGR Urgent'!N2:N1000},""SELECT * WHERE Col1 IS NOT NULL"")),"""",query({'Filter RO Approve SPV Normal'!N2:N1000;'Filter RO Approve MGR Urgent'!N2:N1000},""SELECT * WHERE Col1 IS NOT"&amp;" NULL""))"),45679.395960891205)</f>
        <v>45679.39596</v>
      </c>
      <c r="D2" s="3" t="str">
        <f>IFERROR(__xludf.DUMMYFUNCTION("if(isna(query({'Filter RO Approve SPV Normal'!E2:E1000;'Filter RO Approve MGR Urgent'!E2:E1000},""SELECT * WHERE Col1 IS NOT NULL"")),"""",query({'Filter RO Approve SPV Normal'!E2:E1000;'Filter RO Approve MGR Urgent'!E2:E1000},""SELECT * WHERE Col1 IS NOT"&amp;" NULL""))"),"lantai 2")</f>
        <v>lantai 2</v>
      </c>
      <c r="E2" s="3" t="str">
        <f>IFERROR(__xludf.DUMMYFUNCTION("if(isna(query({'Filter RO Approve SPV Normal'!D2:D1000;'Filter RO Approve MGR Urgent'!D2:D1000},""SELECT * WHERE Col1 IS NOT NULL"")),"""",query({'Filter RO Approve SPV Normal'!D2:D1000;'Filter RO Approve MGR Urgent'!D2:D1000},""SELECT * WHERE Col1 IS NOT"&amp;" NULL""))"),"-")</f>
        <v>-</v>
      </c>
      <c r="F2" s="3" t="str">
        <f>IFERROR(__xludf.DUMMYFUNCTION("if(isna(query({'Filter RO Approve SPV Normal'!F2:F1000;'Filter RO Approve MGR Urgent'!F2:F1000},""SELECT * WHERE Col1 IS NOT NULL"")),"""",query({'Filter RO Approve SPV Normal'!F2:F1000;'Filter RO Approve MGR Urgent'!F2:F1000},""SELECT * WHERE Col1 IS NOT"&amp;" NULL""))"),"Door Seal Karet Penutup Bawah Pintu Abu 2,5 cm x 1 M; ; ;")</f>
        <v>Door Seal Karet Penutup Bawah Pintu Abu 2,5 cm x 1 M; ; ;</v>
      </c>
      <c r="G2" s="3">
        <f>IFERROR(__xludf.DUMMYFUNCTION("if(isna(query({'Filter RO Approve SPV Normal'!G2:G1000;'Filter RO Approve MGR Urgent'!G2:G1000},""SELECT * WHERE Col1 IS NOT NULL"")),"""",query({'Filter RO Approve SPV Normal'!G2:G1000;'Filter RO Approve MGR Urgent'!G2:G1000},""SELECT * WHERE Col1 IS NOT"&amp;" NULL""))"),10.0)</f>
        <v>10</v>
      </c>
      <c r="H2" s="3" t="str">
        <f>IFERROR(__xludf.DUMMYFUNCTION("if(isna(query({'Filter RO Approve SPV Normal'!H2:H1000;'Filter RO Approve MGR Urgent'!H2:H1000},""SELECT * WHERE Col1 IS NOT NULL"")),"""",query({'Filter RO Approve SPV Normal'!H2:H1000;'Filter RO Approve MGR Urgent'!H2:H1000},""SELECT * WHERE Col1 IS NOT"&amp;" NULL""))"),"m")</f>
        <v>m</v>
      </c>
      <c r="I2" s="3" t="str">
        <f>IFERROR(__xludf.DUMMYFUNCTION("""COMPUTED_VALUE"""),"Deliver")</f>
        <v>Deliver</v>
      </c>
      <c r="J2" s="3" t="str">
        <f>IFERROR(__xludf.DUMMYFUNCTION("""COMPUTED_VALUE"""),"-")</f>
        <v>-</v>
      </c>
      <c r="K2" s="3" t="str">
        <f>IFERROR(__xludf.DUMMYFUNCTION("""COMPUTED_VALUE"""),"-")</f>
        <v>-</v>
      </c>
    </row>
    <row r="3">
      <c r="A3" s="3" t="str">
        <f>IFERROR(__xludf.DUMMYFUNCTION("""COMPUTED_VALUE"""),"MOBRO0001")</f>
        <v>MOBRO0001</v>
      </c>
      <c r="B3" s="4">
        <f>IFERROR(__xludf.DUMMYFUNCTION("""COMPUTED_VALUE"""),45679.47850109954)</f>
        <v>45679.4785</v>
      </c>
      <c r="C3" s="3">
        <f>IFERROR(__xludf.DUMMYFUNCTION("""COMPUTED_VALUE"""),45682.45505209491)</f>
        <v>45682.45505</v>
      </c>
      <c r="D3" s="3" t="str">
        <f>IFERROR(__xludf.DUMMYFUNCTION("""COMPUTED_VALUE"""),"Building")</f>
        <v>Building</v>
      </c>
      <c r="E3" s="3" t="str">
        <f>IFERROR(__xludf.DUMMYFUNCTION("""COMPUTED_VALUE"""),"-")</f>
        <v>-</v>
      </c>
      <c r="F3" s="3" t="str">
        <f>IFERROR(__xludf.DUMMYFUNCTION("""COMPUTED_VALUE"""),"General - Elbow PVC 90 AW 1/2inch; Rucika; -; 1 Pc")</f>
        <v>General - Elbow PVC 90 AW 1/2inch; Rucika; -; 1 Pc</v>
      </c>
      <c r="G3" s="3">
        <f>IFERROR(__xludf.DUMMYFUNCTION("""COMPUTED_VALUE"""),5.0)</f>
        <v>5</v>
      </c>
      <c r="H3" s="3" t="str">
        <f>IFERROR(__xludf.DUMMYFUNCTION("""COMPUTED_VALUE"""),"Pcs")</f>
        <v>Pcs</v>
      </c>
      <c r="I3" s="3" t="str">
        <f>IFERROR(__xludf.DUMMYFUNCTION("""COMPUTED_VALUE"""),"Deliver")</f>
        <v>Deliver</v>
      </c>
      <c r="J3" s="3" t="str">
        <f>IFERROR(__xludf.DUMMYFUNCTION("""COMPUTED_VALUE"""),"-")</f>
        <v>-</v>
      </c>
      <c r="K3" s="3" t="str">
        <f>IFERROR(__xludf.DUMMYFUNCTION("""COMPUTED_VALUE"""),"-")</f>
        <v>-</v>
      </c>
    </row>
    <row r="4">
      <c r="A4" s="3" t="str">
        <f>IFERROR(__xludf.DUMMYFUNCTION("""COMPUTED_VALUE"""),"MOBRO0002")</f>
        <v>MOBRO0002</v>
      </c>
      <c r="B4" s="4">
        <f>IFERROR(__xludf.DUMMYFUNCTION("""COMPUTED_VALUE"""),45679.47935678241)</f>
        <v>45679.47936</v>
      </c>
      <c r="C4" s="3">
        <f>IFERROR(__xludf.DUMMYFUNCTION("""COMPUTED_VALUE"""),45682.45523871528)</f>
        <v>45682.45524</v>
      </c>
      <c r="D4" s="3" t="str">
        <f>IFERROR(__xludf.DUMMYFUNCTION("""COMPUTED_VALUE"""),"Building")</f>
        <v>Building</v>
      </c>
      <c r="E4" s="3" t="str">
        <f>IFERROR(__xludf.DUMMYFUNCTION("""COMPUTED_VALUE"""),"-")</f>
        <v>-</v>
      </c>
      <c r="F4" s="3" t="str">
        <f>IFERROR(__xludf.DUMMYFUNCTION("""COMPUTED_VALUE"""),"Fitting PVC - Elbow PVC 3/4""")</f>
        <v>Fitting PVC - Elbow PVC 3/4"</v>
      </c>
      <c r="G4" s="3">
        <f>IFERROR(__xludf.DUMMYFUNCTION("""COMPUTED_VALUE"""),5.0)</f>
        <v>5</v>
      </c>
      <c r="H4" s="3" t="str">
        <f>IFERROR(__xludf.DUMMYFUNCTION("""COMPUTED_VALUE"""),"Pcs")</f>
        <v>Pcs</v>
      </c>
      <c r="I4" s="3" t="str">
        <f>IFERROR(__xludf.DUMMYFUNCTION("""COMPUTED_VALUE"""),"Deliver")</f>
        <v>Deliver</v>
      </c>
      <c r="J4" s="3" t="str">
        <f>IFERROR(__xludf.DUMMYFUNCTION("""COMPUTED_VALUE"""),"-")</f>
        <v>-</v>
      </c>
      <c r="K4" s="3" t="str">
        <f>IFERROR(__xludf.DUMMYFUNCTION("""COMPUTED_VALUE"""),"-")</f>
        <v>-</v>
      </c>
    </row>
    <row r="5">
      <c r="A5" s="3" t="str">
        <f>IFERROR(__xludf.DUMMYFUNCTION("""COMPUTED_VALUE"""),"MOBRO0003")</f>
        <v>MOBRO0003</v>
      </c>
      <c r="B5" s="4">
        <f>IFERROR(__xludf.DUMMYFUNCTION("""COMPUTED_VALUE"""),45679.47991846065)</f>
        <v>45679.47992</v>
      </c>
      <c r="C5" s="3">
        <f>IFERROR(__xludf.DUMMYFUNCTION("""COMPUTED_VALUE"""),45682.45538417824)</f>
        <v>45682.45538</v>
      </c>
      <c r="D5" s="3" t="str">
        <f>IFERROR(__xludf.DUMMYFUNCTION("""COMPUTED_VALUE"""),"Building")</f>
        <v>Building</v>
      </c>
      <c r="E5" s="3" t="str">
        <f>IFERROR(__xludf.DUMMYFUNCTION("""COMPUTED_VALUE"""),"-")</f>
        <v>-</v>
      </c>
      <c r="F5" s="3" t="str">
        <f>IFERROR(__xludf.DUMMYFUNCTION("""COMPUTED_VALUE"""),"Fitting PVC - Elbow PVC 1""")</f>
        <v>Fitting PVC - Elbow PVC 1"</v>
      </c>
      <c r="G5" s="3">
        <f>IFERROR(__xludf.DUMMYFUNCTION("""COMPUTED_VALUE"""),5.0)</f>
        <v>5</v>
      </c>
      <c r="H5" s="3" t="str">
        <f>IFERROR(__xludf.DUMMYFUNCTION("""COMPUTED_VALUE"""),"Pcs")</f>
        <v>Pcs</v>
      </c>
      <c r="I5" s="3" t="str">
        <f>IFERROR(__xludf.DUMMYFUNCTION("""COMPUTED_VALUE"""),"Deliver")</f>
        <v>Deliver</v>
      </c>
      <c r="J5" s="3" t="str">
        <f>IFERROR(__xludf.DUMMYFUNCTION("""COMPUTED_VALUE"""),"-")</f>
        <v>-</v>
      </c>
      <c r="K5" s="3" t="str">
        <f>IFERROR(__xludf.DUMMYFUNCTION("""COMPUTED_VALUE"""),"-")</f>
        <v>-</v>
      </c>
    </row>
    <row r="6">
      <c r="A6" s="3" t="str">
        <f>IFERROR(__xludf.DUMMYFUNCTION("""COMPUTED_VALUE"""),"MOBRO0004")</f>
        <v>MOBRO0004</v>
      </c>
      <c r="B6" s="4">
        <f>IFERROR(__xludf.DUMMYFUNCTION("""COMPUTED_VALUE"""),45679.48062346065)</f>
        <v>45679.48062</v>
      </c>
      <c r="C6" s="3">
        <f>IFERROR(__xludf.DUMMYFUNCTION("""COMPUTED_VALUE"""),45682.45565002315)</f>
        <v>45682.45565</v>
      </c>
      <c r="D6" s="3" t="str">
        <f>IFERROR(__xludf.DUMMYFUNCTION("""COMPUTED_VALUE"""),"Bulding")</f>
        <v>Bulding</v>
      </c>
      <c r="E6" s="3" t="str">
        <f>IFERROR(__xludf.DUMMYFUNCTION("""COMPUTED_VALUE"""),"-")</f>
        <v>-</v>
      </c>
      <c r="F6" s="3" t="str">
        <f>IFERROR(__xludf.DUMMYFUNCTION("""COMPUTED_VALUE"""),"Fitting PVC - Elbow PVC 1 1/4""")</f>
        <v>Fitting PVC - Elbow PVC 1 1/4"</v>
      </c>
      <c r="G6" s="3">
        <f>IFERROR(__xludf.DUMMYFUNCTION("""COMPUTED_VALUE"""),5.0)</f>
        <v>5</v>
      </c>
      <c r="H6" s="3" t="str">
        <f>IFERROR(__xludf.DUMMYFUNCTION("""COMPUTED_VALUE"""),"Pcs")</f>
        <v>Pcs</v>
      </c>
      <c r="I6" s="3" t="str">
        <f>IFERROR(__xludf.DUMMYFUNCTION("""COMPUTED_VALUE"""),"Deliver")</f>
        <v>Deliver</v>
      </c>
      <c r="J6" s="3" t="str">
        <f>IFERROR(__xludf.DUMMYFUNCTION("""COMPUTED_VALUE"""),"-")</f>
        <v>-</v>
      </c>
      <c r="K6" s="3" t="str">
        <f>IFERROR(__xludf.DUMMYFUNCTION("""COMPUTED_VALUE"""),"-")</f>
        <v>-</v>
      </c>
    </row>
    <row r="7">
      <c r="A7" s="3" t="str">
        <f>IFERROR(__xludf.DUMMYFUNCTION("""COMPUTED_VALUE"""),"MOBRO0005")</f>
        <v>MOBRO0005</v>
      </c>
      <c r="B7" s="4">
        <f>IFERROR(__xludf.DUMMYFUNCTION("""COMPUTED_VALUE"""),45679.481238009255)</f>
        <v>45679.48124</v>
      </c>
      <c r="C7" s="3">
        <f>IFERROR(__xludf.DUMMYFUNCTION("""COMPUTED_VALUE"""),45682.455831203704)</f>
        <v>45682.45583</v>
      </c>
      <c r="D7" s="3" t="str">
        <f>IFERROR(__xludf.DUMMYFUNCTION("""COMPUTED_VALUE"""),"Building")</f>
        <v>Building</v>
      </c>
      <c r="E7" s="3" t="str">
        <f>IFERROR(__xludf.DUMMYFUNCTION("""COMPUTED_VALUE"""),"-")</f>
        <v>-</v>
      </c>
      <c r="F7" s="3" t="str">
        <f>IFERROR(__xludf.DUMMYFUNCTION("""COMPUTED_VALUE"""),"General - Elbow PVC 90 AW 1 1/2inch; Rucika; -; 1 Pc")</f>
        <v>General - Elbow PVC 90 AW 1 1/2inch; Rucika; -; 1 Pc</v>
      </c>
      <c r="G7" s="3">
        <f>IFERROR(__xludf.DUMMYFUNCTION("""COMPUTED_VALUE"""),5.0)</f>
        <v>5</v>
      </c>
      <c r="H7" s="3" t="str">
        <f>IFERROR(__xludf.DUMMYFUNCTION("""COMPUTED_VALUE"""),"Pcs")</f>
        <v>Pcs</v>
      </c>
      <c r="I7" s="3" t="str">
        <f>IFERROR(__xludf.DUMMYFUNCTION("""COMPUTED_VALUE"""),"Deliver")</f>
        <v>Deliver</v>
      </c>
      <c r="J7" s="3" t="str">
        <f>IFERROR(__xludf.DUMMYFUNCTION("""COMPUTED_VALUE"""),"-")</f>
        <v>-</v>
      </c>
      <c r="K7" s="3" t="str">
        <f>IFERROR(__xludf.DUMMYFUNCTION("""COMPUTED_VALUE"""),"-")</f>
        <v>-</v>
      </c>
    </row>
    <row r="8">
      <c r="A8" s="3" t="str">
        <f>IFERROR(__xludf.DUMMYFUNCTION("""COMPUTED_VALUE"""),"MOBRO0006")</f>
        <v>MOBRO0006</v>
      </c>
      <c r="B8" s="4">
        <f>IFERROR(__xludf.DUMMYFUNCTION("""COMPUTED_VALUE"""),45679.48156423611)</f>
        <v>45679.48156</v>
      </c>
      <c r="C8" s="3">
        <f>IFERROR(__xludf.DUMMYFUNCTION("""COMPUTED_VALUE"""),45682.45599736111)</f>
        <v>45682.456</v>
      </c>
      <c r="D8" s="3" t="str">
        <f>IFERROR(__xludf.DUMMYFUNCTION("""COMPUTED_VALUE"""),"Building")</f>
        <v>Building</v>
      </c>
      <c r="E8" s="3" t="str">
        <f>IFERROR(__xludf.DUMMYFUNCTION("""COMPUTED_VALUE"""),"-")</f>
        <v>-</v>
      </c>
      <c r="F8" s="3" t="str">
        <f>IFERROR(__xludf.DUMMYFUNCTION("""COMPUTED_VALUE"""),"Fitting PVC - Elbow PVC 2""")</f>
        <v>Fitting PVC - Elbow PVC 2"</v>
      </c>
      <c r="G8" s="3">
        <f>IFERROR(__xludf.DUMMYFUNCTION("""COMPUTED_VALUE"""),5.0)</f>
        <v>5</v>
      </c>
      <c r="H8" s="3" t="str">
        <f>IFERROR(__xludf.DUMMYFUNCTION("""COMPUTED_VALUE"""),"Pcs")</f>
        <v>Pcs</v>
      </c>
      <c r="I8" s="3" t="str">
        <f>IFERROR(__xludf.DUMMYFUNCTION("""COMPUTED_VALUE"""),"Deliver")</f>
        <v>Deliver</v>
      </c>
      <c r="J8" s="3" t="str">
        <f>IFERROR(__xludf.DUMMYFUNCTION("""COMPUTED_VALUE"""),"-")</f>
        <v>-</v>
      </c>
      <c r="K8" s="3" t="str">
        <f>IFERROR(__xludf.DUMMYFUNCTION("""COMPUTED_VALUE"""),"-")</f>
        <v>-</v>
      </c>
    </row>
    <row r="9">
      <c r="A9" s="3" t="str">
        <f>IFERROR(__xludf.DUMMYFUNCTION("""COMPUTED_VALUE"""),"MOBRO0007")</f>
        <v>MOBRO0007</v>
      </c>
      <c r="B9" s="4">
        <f>IFERROR(__xludf.DUMMYFUNCTION("""COMPUTED_VALUE"""),45679.481986597224)</f>
        <v>45679.48199</v>
      </c>
      <c r="C9" s="3">
        <f>IFERROR(__xludf.DUMMYFUNCTION("""COMPUTED_VALUE"""),45682.456679525465)</f>
        <v>45682.45668</v>
      </c>
      <c r="D9" s="3" t="str">
        <f>IFERROR(__xludf.DUMMYFUNCTION("""COMPUTED_VALUE"""),"Building")</f>
        <v>Building</v>
      </c>
      <c r="E9" s="3" t="str">
        <f>IFERROR(__xludf.DUMMYFUNCTION("""COMPUTED_VALUE"""),"-")</f>
        <v>-</v>
      </c>
      <c r="F9" s="3" t="str">
        <f>IFERROR(__xludf.DUMMYFUNCTION("""COMPUTED_VALUE"""),"Fitting PVC - Elbow PVC 2 1/2""")</f>
        <v>Fitting PVC - Elbow PVC 2 1/2"</v>
      </c>
      <c r="G9" s="3">
        <f>IFERROR(__xludf.DUMMYFUNCTION("""COMPUTED_VALUE"""),5.0)</f>
        <v>5</v>
      </c>
      <c r="H9" s="3" t="str">
        <f>IFERROR(__xludf.DUMMYFUNCTION("""COMPUTED_VALUE"""),"Pcs")</f>
        <v>Pcs</v>
      </c>
      <c r="I9" s="3" t="str">
        <f>IFERROR(__xludf.DUMMYFUNCTION("""COMPUTED_VALUE"""),"Deliver")</f>
        <v>Deliver</v>
      </c>
      <c r="J9" s="3" t="str">
        <f>IFERROR(__xludf.DUMMYFUNCTION("""COMPUTED_VALUE"""),"-")</f>
        <v>-</v>
      </c>
      <c r="K9" s="3" t="str">
        <f>IFERROR(__xludf.DUMMYFUNCTION("""COMPUTED_VALUE"""),"-")</f>
        <v>-</v>
      </c>
    </row>
    <row r="10">
      <c r="A10" s="3" t="str">
        <f>IFERROR(__xludf.DUMMYFUNCTION("""COMPUTED_VALUE"""),"MOBRO0008")</f>
        <v>MOBRO0008</v>
      </c>
      <c r="B10" s="4">
        <f>IFERROR(__xludf.DUMMYFUNCTION("""COMPUTED_VALUE"""),45679.48238184028)</f>
        <v>45679.48238</v>
      </c>
      <c r="C10" s="3">
        <f>IFERROR(__xludf.DUMMYFUNCTION("""COMPUTED_VALUE"""),45682.456819618055)</f>
        <v>45682.45682</v>
      </c>
      <c r="D10" s="3" t="str">
        <f>IFERROR(__xludf.DUMMYFUNCTION("""COMPUTED_VALUE"""),"Building")</f>
        <v>Building</v>
      </c>
      <c r="E10" s="3" t="str">
        <f>IFERROR(__xludf.DUMMYFUNCTION("""COMPUTED_VALUE"""),"-")</f>
        <v>-</v>
      </c>
      <c r="F10" s="3" t="str">
        <f>IFERROR(__xludf.DUMMYFUNCTION("""COMPUTED_VALUE"""),"General - Socket, PVC, 1/2""; No Brand; -; 1 pcs")</f>
        <v>General - Socket, PVC, 1/2"; No Brand; -; 1 pcs</v>
      </c>
      <c r="G10" s="3">
        <f>IFERROR(__xludf.DUMMYFUNCTION("""COMPUTED_VALUE"""),4.0)</f>
        <v>4</v>
      </c>
      <c r="H10" s="3" t="str">
        <f>IFERROR(__xludf.DUMMYFUNCTION("""COMPUTED_VALUE"""),"Pcs")</f>
        <v>Pcs</v>
      </c>
      <c r="I10" s="3" t="str">
        <f>IFERROR(__xludf.DUMMYFUNCTION("""COMPUTED_VALUE"""),"Deliver")</f>
        <v>Deliver</v>
      </c>
      <c r="J10" s="3" t="str">
        <f>IFERROR(__xludf.DUMMYFUNCTION("""COMPUTED_VALUE"""),"-")</f>
        <v>-</v>
      </c>
      <c r="K10" s="3" t="str">
        <f>IFERROR(__xludf.DUMMYFUNCTION("""COMPUTED_VALUE"""),"-")</f>
        <v>-</v>
      </c>
    </row>
    <row r="11">
      <c r="A11" s="3" t="str">
        <f>IFERROR(__xludf.DUMMYFUNCTION("""COMPUTED_VALUE"""),"MOBRO0009")</f>
        <v>MOBRO0009</v>
      </c>
      <c r="B11" s="4">
        <f>IFERROR(__xludf.DUMMYFUNCTION("""COMPUTED_VALUE"""),45679.48338646991)</f>
        <v>45679.48339</v>
      </c>
      <c r="C11" s="3">
        <f>IFERROR(__xludf.DUMMYFUNCTION("""COMPUTED_VALUE"""),45682.45694318287)</f>
        <v>45682.45694</v>
      </c>
      <c r="D11" s="3" t="str">
        <f>IFERROR(__xludf.DUMMYFUNCTION("""COMPUTED_VALUE"""),"Building")</f>
        <v>Building</v>
      </c>
      <c r="E11" s="3" t="str">
        <f>IFERROR(__xludf.DUMMYFUNCTION("""COMPUTED_VALUE"""),"-")</f>
        <v>-</v>
      </c>
      <c r="F11" s="3" t="str">
        <f>IFERROR(__xludf.DUMMYFUNCTION("""COMPUTED_VALUE"""),"General - Socket, PVC, 3/4""; Rucika; -; 1 pcs")</f>
        <v>General - Socket, PVC, 3/4"; Rucika; -; 1 pcs</v>
      </c>
      <c r="G11" s="3">
        <f>IFERROR(__xludf.DUMMYFUNCTION("""COMPUTED_VALUE"""),4.0)</f>
        <v>4</v>
      </c>
      <c r="H11" s="3" t="str">
        <f>IFERROR(__xludf.DUMMYFUNCTION("""COMPUTED_VALUE"""),"Pcs")</f>
        <v>Pcs</v>
      </c>
      <c r="I11" s="3" t="str">
        <f>IFERROR(__xludf.DUMMYFUNCTION("""COMPUTED_VALUE"""),"Deliver")</f>
        <v>Deliver</v>
      </c>
      <c r="J11" s="3" t="str">
        <f>IFERROR(__xludf.DUMMYFUNCTION("""COMPUTED_VALUE"""),"-")</f>
        <v>-</v>
      </c>
      <c r="K11" s="3" t="str">
        <f>IFERROR(__xludf.DUMMYFUNCTION("""COMPUTED_VALUE"""),"-")</f>
        <v>-</v>
      </c>
    </row>
    <row r="12">
      <c r="A12" s="3" t="str">
        <f>IFERROR(__xludf.DUMMYFUNCTION("""COMPUTED_VALUE"""),"MOBRO0010")</f>
        <v>MOBRO0010</v>
      </c>
      <c r="B12" s="4">
        <f>IFERROR(__xludf.DUMMYFUNCTION("""COMPUTED_VALUE"""),45679.484258136574)</f>
        <v>45679.48426</v>
      </c>
      <c r="C12" s="3">
        <f>IFERROR(__xludf.DUMMYFUNCTION("""COMPUTED_VALUE"""),45682.457068171294)</f>
        <v>45682.45707</v>
      </c>
      <c r="D12" s="3" t="str">
        <f>IFERROR(__xludf.DUMMYFUNCTION("""COMPUTED_VALUE"""),"Building")</f>
        <v>Building</v>
      </c>
      <c r="E12" s="3" t="str">
        <f>IFERROR(__xludf.DUMMYFUNCTION("""COMPUTED_VALUE"""),"-")</f>
        <v>-</v>
      </c>
      <c r="F12" s="3" t="str">
        <f>IFERROR(__xludf.DUMMYFUNCTION("""COMPUTED_VALUE"""),"Fitting PVC - Sock PVC 1""")</f>
        <v>Fitting PVC - Sock PVC 1"</v>
      </c>
      <c r="G12" s="3">
        <f>IFERROR(__xludf.DUMMYFUNCTION("""COMPUTED_VALUE"""),4.0)</f>
        <v>4</v>
      </c>
      <c r="H12" s="3" t="str">
        <f>IFERROR(__xludf.DUMMYFUNCTION("""COMPUTED_VALUE"""),"Pcs")</f>
        <v>Pcs</v>
      </c>
      <c r="I12" s="3" t="str">
        <f>IFERROR(__xludf.DUMMYFUNCTION("""COMPUTED_VALUE"""),"Deliver")</f>
        <v>Deliver</v>
      </c>
      <c r="J12" s="3" t="str">
        <f>IFERROR(__xludf.DUMMYFUNCTION("""COMPUTED_VALUE"""),"-")</f>
        <v>-</v>
      </c>
      <c r="K12" s="3" t="str">
        <f>IFERROR(__xludf.DUMMYFUNCTION("""COMPUTED_VALUE"""),"-")</f>
        <v>-</v>
      </c>
    </row>
    <row r="13">
      <c r="A13" s="3" t="str">
        <f>IFERROR(__xludf.DUMMYFUNCTION("""COMPUTED_VALUE"""),"MOBRO0011")</f>
        <v>MOBRO0011</v>
      </c>
      <c r="B13" s="4">
        <f>IFERROR(__xludf.DUMMYFUNCTION("""COMPUTED_VALUE"""),45679.48484324074)</f>
        <v>45679.48484</v>
      </c>
      <c r="C13" s="3">
        <f>IFERROR(__xludf.DUMMYFUNCTION("""COMPUTED_VALUE"""),45682.4571980787)</f>
        <v>45682.4572</v>
      </c>
      <c r="D13" s="3" t="str">
        <f>IFERROR(__xludf.DUMMYFUNCTION("""COMPUTED_VALUE"""),"Building")</f>
        <v>Building</v>
      </c>
      <c r="E13" s="3" t="str">
        <f>IFERROR(__xludf.DUMMYFUNCTION("""COMPUTED_VALUE"""),"-")</f>
        <v>-</v>
      </c>
      <c r="F13" s="3" t="str">
        <f>IFERROR(__xludf.DUMMYFUNCTION("""COMPUTED_VALUE"""),"Fitting PVC - Sock PVC 2""")</f>
        <v>Fitting PVC - Sock PVC 2"</v>
      </c>
      <c r="G13" s="3">
        <f>IFERROR(__xludf.DUMMYFUNCTION("""COMPUTED_VALUE"""),4.0)</f>
        <v>4</v>
      </c>
      <c r="H13" s="3" t="str">
        <f>IFERROR(__xludf.DUMMYFUNCTION("""COMPUTED_VALUE"""),"PCS")</f>
        <v>PCS</v>
      </c>
      <c r="I13" s="3" t="str">
        <f>IFERROR(__xludf.DUMMYFUNCTION("""COMPUTED_VALUE"""),"Deliver")</f>
        <v>Deliver</v>
      </c>
      <c r="J13" s="3" t="str">
        <f>IFERROR(__xludf.DUMMYFUNCTION("""COMPUTED_VALUE"""),"-")</f>
        <v>-</v>
      </c>
      <c r="K13" s="3" t="str">
        <f>IFERROR(__xludf.DUMMYFUNCTION("""COMPUTED_VALUE"""),"-")</f>
        <v>-</v>
      </c>
    </row>
    <row r="14">
      <c r="A14" s="3" t="str">
        <f>IFERROR(__xludf.DUMMYFUNCTION("""COMPUTED_VALUE"""),"MOBRO0012")</f>
        <v>MOBRO0012</v>
      </c>
      <c r="B14" s="4">
        <f>IFERROR(__xludf.DUMMYFUNCTION("""COMPUTED_VALUE"""),45679.48616252314)</f>
        <v>45679.48616</v>
      </c>
      <c r="C14" s="3">
        <f>IFERROR(__xludf.DUMMYFUNCTION("""COMPUTED_VALUE"""),45682.457324953706)</f>
        <v>45682.45732</v>
      </c>
      <c r="D14" s="3" t="str">
        <f>IFERROR(__xludf.DUMMYFUNCTION("""COMPUTED_VALUE"""),"Building")</f>
        <v>Building</v>
      </c>
      <c r="E14" s="3" t="str">
        <f>IFERROR(__xludf.DUMMYFUNCTION("""COMPUTED_VALUE"""),"-")</f>
        <v>-</v>
      </c>
      <c r="F14" s="3" t="str">
        <f>IFERROR(__xludf.DUMMYFUNCTION("""COMPUTED_VALUE"""),"Fitting PVC - Tee PVC 1"" Rucika AW")</f>
        <v>Fitting PVC - Tee PVC 1" Rucika AW</v>
      </c>
      <c r="G14" s="3">
        <f>IFERROR(__xludf.DUMMYFUNCTION("""COMPUTED_VALUE"""),4.0)</f>
        <v>4</v>
      </c>
      <c r="H14" s="3" t="str">
        <f>IFERROR(__xludf.DUMMYFUNCTION("""COMPUTED_VALUE"""),"Pcs")</f>
        <v>Pcs</v>
      </c>
      <c r="I14" s="3" t="str">
        <f>IFERROR(__xludf.DUMMYFUNCTION("""COMPUTED_VALUE"""),"Deliver")</f>
        <v>Deliver</v>
      </c>
      <c r="J14" s="3" t="str">
        <f>IFERROR(__xludf.DUMMYFUNCTION("""COMPUTED_VALUE"""),"-")</f>
        <v>-</v>
      </c>
      <c r="K14" s="3" t="str">
        <f>IFERROR(__xludf.DUMMYFUNCTION("""COMPUTED_VALUE"""),"-")</f>
        <v>-</v>
      </c>
    </row>
    <row r="15">
      <c r="A15" s="3" t="str">
        <f>IFERROR(__xludf.DUMMYFUNCTION("""COMPUTED_VALUE"""),"MOBRO0013")</f>
        <v>MOBRO0013</v>
      </c>
      <c r="B15" s="4">
        <f>IFERROR(__xludf.DUMMYFUNCTION("""COMPUTED_VALUE"""),45679.49535489584)</f>
        <v>45679.49535</v>
      </c>
      <c r="C15" s="3">
        <f>IFERROR(__xludf.DUMMYFUNCTION("""COMPUTED_VALUE"""),45682.45991875)</f>
        <v>45682.45992</v>
      </c>
      <c r="D15" s="3" t="str">
        <f>IFERROR(__xludf.DUMMYFUNCTION("""COMPUTED_VALUE"""),"Ruang Gas QC")</f>
        <v>Ruang Gas QC</v>
      </c>
      <c r="E15" s="3" t="str">
        <f>IFERROR(__xludf.DUMMYFUNCTION("""COMPUTED_VALUE"""),"EJO/01/123")</f>
        <v>EJO/01/123</v>
      </c>
      <c r="F15" s="3" t="str">
        <f>IFERROR(__xludf.DUMMYFUNCTION("""COMPUTED_VALUE"""),"Regulator Hydrogen 96A-10M Morris; ; ;")</f>
        <v>Regulator Hydrogen 96A-10M Morris; ; ;</v>
      </c>
      <c r="G15" s="3">
        <f>IFERROR(__xludf.DUMMYFUNCTION("""COMPUTED_VALUE"""),1.0)</f>
        <v>1</v>
      </c>
      <c r="H15" s="3" t="str">
        <f>IFERROR(__xludf.DUMMYFUNCTION("""COMPUTED_VALUE"""),"Pcs")</f>
        <v>Pcs</v>
      </c>
      <c r="I15" s="3" t="str">
        <f>IFERROR(__xludf.DUMMYFUNCTION("""COMPUTED_VALUE"""),"Deliver")</f>
        <v>Deliver</v>
      </c>
      <c r="J15" s="3" t="str">
        <f>IFERROR(__xludf.DUMMYFUNCTION("""COMPUTED_VALUE"""),"-")</f>
        <v>-</v>
      </c>
      <c r="K15" s="3" t="str">
        <f>IFERROR(__xludf.DUMMYFUNCTION("""COMPUTED_VALUE"""),"-")</f>
        <v>-</v>
      </c>
    </row>
    <row r="16">
      <c r="A16" s="3" t="str">
        <f>IFERROR(__xludf.DUMMYFUNCTION("""COMPUTED_VALUE"""),"MOBRO0014")</f>
        <v>MOBRO0014</v>
      </c>
      <c r="B16" s="4">
        <f>IFERROR(__xludf.DUMMYFUNCTION("""COMPUTED_VALUE"""),45679.50538865741)</f>
        <v>45679.50539</v>
      </c>
      <c r="C16" s="3">
        <f>IFERROR(__xludf.DUMMYFUNCTION("""COMPUTED_VALUE"""),45682.46004101852)</f>
        <v>45682.46004</v>
      </c>
      <c r="D16" s="3" t="str">
        <f>IFERROR(__xludf.DUMMYFUNCTION("""COMPUTED_VALUE"""),"Ruang Gas QC")</f>
        <v>Ruang Gas QC</v>
      </c>
      <c r="E16" s="3" t="str">
        <f>IFERROR(__xludf.DUMMYFUNCTION("""COMPUTED_VALUE"""),"-")</f>
        <v>-</v>
      </c>
      <c r="F16" s="3" t="str">
        <f>IFERROR(__xludf.DUMMYFUNCTION("""COMPUTED_VALUE"""),"Regulator Nitrogen ( N2 )  YAMATO P/N : -  pc")</f>
        <v>Regulator Nitrogen ( N2 )  YAMATO P/N : -  pc</v>
      </c>
      <c r="G16" s="3">
        <f>IFERROR(__xludf.DUMMYFUNCTION("""COMPUTED_VALUE"""),1.0)</f>
        <v>1</v>
      </c>
      <c r="H16" s="3" t="str">
        <f>IFERROR(__xludf.DUMMYFUNCTION("""COMPUTED_VALUE"""),"Pcs")</f>
        <v>Pcs</v>
      </c>
      <c r="I16" s="3" t="str">
        <f>IFERROR(__xludf.DUMMYFUNCTION("""COMPUTED_VALUE"""),"Deliver")</f>
        <v>Deliver</v>
      </c>
      <c r="J16" s="3" t="str">
        <f>IFERROR(__xludf.DUMMYFUNCTION("""COMPUTED_VALUE"""),"-")</f>
        <v>-</v>
      </c>
      <c r="K16" s="3" t="str">
        <f>IFERROR(__xludf.DUMMYFUNCTION("""COMPUTED_VALUE"""),"-")</f>
        <v>-</v>
      </c>
    </row>
    <row r="17">
      <c r="A17" s="3" t="str">
        <f>IFERROR(__xludf.DUMMYFUNCTION("""COMPUTED_VALUE"""),"MOBRO0015")</f>
        <v>MOBRO0015</v>
      </c>
      <c r="B17" s="4">
        <f>IFERROR(__xludf.DUMMYFUNCTION("""COMPUTED_VALUE"""),45679.50815523148)</f>
        <v>45679.50816</v>
      </c>
      <c r="C17" s="3">
        <f>IFERROR(__xludf.DUMMYFUNCTION("""COMPUTED_VALUE"""),45682.46607689815)</f>
        <v>45682.46608</v>
      </c>
      <c r="D17" s="3" t="str">
        <f>IFERROR(__xludf.DUMMYFUNCTION("""COMPUTED_VALUE"""),"Building")</f>
        <v>Building</v>
      </c>
      <c r="E17" s="3" t="str">
        <f>IFERROR(__xludf.DUMMYFUNCTION("""COMPUTED_VALUE"""),"-")</f>
        <v>-</v>
      </c>
      <c r="F17" s="3" t="str">
        <f>IFERROR(__xludf.DUMMYFUNCTION("""COMPUTED_VALUE"""),"General - Reducer, PVC, 1"" x 1/2""; Rucika; -; 1 pcs")</f>
        <v>General - Reducer, PVC, 1" x 1/2"; Rucika; -; 1 pcs</v>
      </c>
      <c r="G17" s="3">
        <f>IFERROR(__xludf.DUMMYFUNCTION("""COMPUTED_VALUE"""),4.0)</f>
        <v>4</v>
      </c>
      <c r="H17" s="3" t="str">
        <f>IFERROR(__xludf.DUMMYFUNCTION("""COMPUTED_VALUE"""),"Pcs")</f>
        <v>Pcs</v>
      </c>
      <c r="I17" s="3" t="str">
        <f>IFERROR(__xludf.DUMMYFUNCTION("""COMPUTED_VALUE"""),"Deliver")</f>
        <v>Deliver</v>
      </c>
      <c r="J17" s="3" t="str">
        <f>IFERROR(__xludf.DUMMYFUNCTION("""COMPUTED_VALUE"""),"-")</f>
        <v>-</v>
      </c>
      <c r="K17" s="3" t="str">
        <f>IFERROR(__xludf.DUMMYFUNCTION("""COMPUTED_VALUE"""),"-")</f>
        <v>-</v>
      </c>
    </row>
    <row r="18">
      <c r="A18" s="3" t="str">
        <f>IFERROR(__xludf.DUMMYFUNCTION("""COMPUTED_VALUE"""),"MOBRO0016")</f>
        <v>MOBRO0016</v>
      </c>
      <c r="B18" s="4">
        <f>IFERROR(__xludf.DUMMYFUNCTION("""COMPUTED_VALUE"""),45680.38341931713)</f>
        <v>45680.38342</v>
      </c>
      <c r="C18" s="3">
        <f>IFERROR(__xludf.DUMMYFUNCTION("""COMPUTED_VALUE"""),45682.46622954861)</f>
        <v>45682.46623</v>
      </c>
      <c r="D18" s="3" t="str">
        <f>IFERROR(__xludf.DUMMYFUNCTION("""COMPUTED_VALUE"""),"Building")</f>
        <v>Building</v>
      </c>
      <c r="E18" s="3" t="str">
        <f>IFERROR(__xludf.DUMMYFUNCTION("""COMPUTED_VALUE"""),"-")</f>
        <v>-</v>
      </c>
      <c r="F18" s="3" t="str">
        <f>IFERROR(__xludf.DUMMYFUNCTION("""COMPUTED_VALUE"""),"PVC - Dop 1 inch; ; ;")</f>
        <v>PVC - Dop 1 inch; ; ;</v>
      </c>
      <c r="G18" s="3">
        <f>IFERROR(__xludf.DUMMYFUNCTION("""COMPUTED_VALUE"""),4.0)</f>
        <v>4</v>
      </c>
      <c r="H18" s="3" t="str">
        <f>IFERROR(__xludf.DUMMYFUNCTION("""COMPUTED_VALUE"""),"Pcs")</f>
        <v>Pcs</v>
      </c>
      <c r="I18" s="3" t="str">
        <f>IFERROR(__xludf.DUMMYFUNCTION("""COMPUTED_VALUE"""),"Deliver")</f>
        <v>Deliver</v>
      </c>
      <c r="J18" s="3" t="str">
        <f>IFERROR(__xludf.DUMMYFUNCTION("""COMPUTED_VALUE"""),"-")</f>
        <v>-</v>
      </c>
      <c r="K18" s="3" t="str">
        <f>IFERROR(__xludf.DUMMYFUNCTION("""COMPUTED_VALUE"""),"-")</f>
        <v>-</v>
      </c>
    </row>
    <row r="19">
      <c r="A19" s="3" t="str">
        <f>IFERROR(__xludf.DUMMYFUNCTION("""COMPUTED_VALUE"""),"RIARO0001")</f>
        <v>RIARO0001</v>
      </c>
      <c r="B19" s="4">
        <f>IFERROR(__xludf.DUMMYFUNCTION("""COMPUTED_VALUE"""),45688.279736620374)</f>
        <v>45688.27974</v>
      </c>
      <c r="C19" s="3">
        <f>IFERROR(__xludf.DUMMYFUNCTION("""COMPUTED_VALUE"""),45688.93968822916)</f>
        <v>45688.93969</v>
      </c>
      <c r="D19" s="3" t="str">
        <f>IFERROR(__xludf.DUMMYFUNCTION("""COMPUTED_VALUE"""),"AHU F31")</f>
        <v>AHU F31</v>
      </c>
      <c r="E19" s="3" t="str">
        <f>IFERROR(__xludf.DUMMYFUNCTION("""COMPUTED_VALUE"""),"EJO/2025/01/69")</f>
        <v>EJO/2025/01/69</v>
      </c>
      <c r="F19" s="3" t="str">
        <f>IFERROR(__xludf.DUMMYFUNCTION("""COMPUTED_VALUE"""),"HVAC - Pressure Flow Control MF PFC Ver.3 24 VAC/VDC 0 - 100 Pa Micatrone; ; ;")</f>
        <v>HVAC - Pressure Flow Control MF PFC Ver.3 24 VAC/VDC 0 - 100 Pa Micatrone; ; ;</v>
      </c>
      <c r="G19" s="3">
        <f>IFERROR(__xludf.DUMMYFUNCTION("""COMPUTED_VALUE"""),1.0)</f>
        <v>1</v>
      </c>
      <c r="H19" s="3" t="str">
        <f>IFERROR(__xludf.DUMMYFUNCTION("""COMPUTED_VALUE"""),"Pcs")</f>
        <v>Pcs</v>
      </c>
      <c r="I19" s="3" t="str">
        <f>IFERROR(__xludf.DUMMYFUNCTION("""COMPUTED_VALUE"""),"Deliver")</f>
        <v>Deliver</v>
      </c>
      <c r="J19" s="3" t="str">
        <f>IFERROR(__xludf.DUMMYFUNCTION("""COMPUTED_VALUE"""),"-")</f>
        <v>-</v>
      </c>
      <c r="K19" s="3" t="str">
        <f>IFERROR(__xludf.DUMMYFUNCTION("""COMPUTED_VALUE"""),"-")</f>
        <v>-</v>
      </c>
    </row>
    <row r="20">
      <c r="A20" s="3" t="str">
        <f>IFERROR(__xludf.DUMMYFUNCTION("""COMPUTED_VALUE"""),"RIARO0002")</f>
        <v>RIARO0002</v>
      </c>
      <c r="B20" s="4">
        <f>IFERROR(__xludf.DUMMYFUNCTION("""COMPUTED_VALUE"""),45688.280334166666)</f>
        <v>45688.28033</v>
      </c>
      <c r="C20" s="3">
        <f>IFERROR(__xludf.DUMMYFUNCTION("""COMPUTED_VALUE"""),45688.94002701389)</f>
        <v>45688.94003</v>
      </c>
      <c r="D20" s="3" t="str">
        <f>IFERROR(__xludf.DUMMYFUNCTION("""COMPUTED_VALUE"""),"AHU F32")</f>
        <v>AHU F32</v>
      </c>
      <c r="E20" s="3" t="str">
        <f>IFERROR(__xludf.DUMMYFUNCTION("""COMPUTED_VALUE"""),"EJO/2025/01/69")</f>
        <v>EJO/2025/01/69</v>
      </c>
      <c r="F20" s="3" t="str">
        <f>IFERROR(__xludf.DUMMYFUNCTION("""COMPUTED_VALUE"""),"HVAC - Pressure Flow Control MF PFC Ver.3 24 VAC/VDC 0 - 100 Pa Micatrone; ; ;")</f>
        <v>HVAC - Pressure Flow Control MF PFC Ver.3 24 VAC/VDC 0 - 100 Pa Micatrone; ; ;</v>
      </c>
      <c r="G20" s="3">
        <f>IFERROR(__xludf.DUMMYFUNCTION("""COMPUTED_VALUE"""),1.0)</f>
        <v>1</v>
      </c>
      <c r="H20" s="3" t="str">
        <f>IFERROR(__xludf.DUMMYFUNCTION("""COMPUTED_VALUE"""),"Pcs")</f>
        <v>Pcs</v>
      </c>
      <c r="I20" s="3" t="str">
        <f>IFERROR(__xludf.DUMMYFUNCTION("""COMPUTED_VALUE"""),"Deliver")</f>
        <v>Deliver</v>
      </c>
      <c r="J20" s="3" t="str">
        <f>IFERROR(__xludf.DUMMYFUNCTION("""COMPUTED_VALUE"""),"-")</f>
        <v>-</v>
      </c>
      <c r="K20" s="3" t="str">
        <f>IFERROR(__xludf.DUMMYFUNCTION("""COMPUTED_VALUE"""),"-")</f>
        <v>-</v>
      </c>
    </row>
    <row r="21">
      <c r="A21" s="3" t="str">
        <f>IFERROR(__xludf.DUMMYFUNCTION("""COMPUTED_VALUE"""),"MOBRO0017")</f>
        <v>MOBRO0017</v>
      </c>
      <c r="B21" s="4">
        <f>IFERROR(__xludf.DUMMYFUNCTION("""COMPUTED_VALUE"""),45691.57719454861)</f>
        <v>45691.57719</v>
      </c>
      <c r="C21" s="3">
        <f>IFERROR(__xludf.DUMMYFUNCTION("""COMPUTED_VALUE"""),45692.389934363426)</f>
        <v>45692.38993</v>
      </c>
      <c r="D21" s="3" t="str">
        <f>IFERROR(__xludf.DUMMYFUNCTION("""COMPUTED_VALUE"""),"AHU F3-6")</f>
        <v>AHU F3-6</v>
      </c>
      <c r="E21" s="3" t="str">
        <f>IFERROR(__xludf.DUMMYFUNCTION("""COMPUTED_VALUE"""),"EJO/2025/01/50")</f>
        <v>EJO/2025/01/50</v>
      </c>
      <c r="F21" s="3" t="str">
        <f>IFERROR(__xludf.DUMMYFUNCTION("""COMPUTED_VALUE"""),"HVAC - Pressure Flow Control MF PFC Ver.3 24 VAC/VDC 0 - 100 Pa Micatrone; ; ;")</f>
        <v>HVAC - Pressure Flow Control MF PFC Ver.3 24 VAC/VDC 0 - 100 Pa Micatrone; ; ;</v>
      </c>
      <c r="G21" s="3">
        <f>IFERROR(__xludf.DUMMYFUNCTION("""COMPUTED_VALUE"""),2.0)</f>
        <v>2</v>
      </c>
      <c r="H21" s="3" t="str">
        <f>IFERROR(__xludf.DUMMYFUNCTION("""COMPUTED_VALUE"""),"Pcs")</f>
        <v>Pcs</v>
      </c>
      <c r="I21" s="3" t="str">
        <f>IFERROR(__xludf.DUMMYFUNCTION("""COMPUTED_VALUE"""),"Deliver")</f>
        <v>Deliver</v>
      </c>
      <c r="J21" s="3" t="str">
        <f>IFERROR(__xludf.DUMMYFUNCTION("""COMPUTED_VALUE"""),"-")</f>
        <v>-</v>
      </c>
      <c r="K21" s="3" t="str">
        <f>IFERROR(__xludf.DUMMYFUNCTION("""COMPUTED_VALUE"""),"-")</f>
        <v>-</v>
      </c>
    </row>
    <row r="22">
      <c r="A22" s="3" t="str">
        <f>IFERROR(__xludf.DUMMYFUNCTION("""COMPUTED_VALUE"""),"MOBRO0020")</f>
        <v>MOBRO0020</v>
      </c>
      <c r="B22" s="4">
        <f>IFERROR(__xludf.DUMMYFUNCTION("""COMPUTED_VALUE"""),45691.67420321759)</f>
        <v>45691.6742</v>
      </c>
      <c r="C22" s="3">
        <f>IFERROR(__xludf.DUMMYFUNCTION("""COMPUTED_VALUE"""),45692.396353171294)</f>
        <v>45692.39635</v>
      </c>
      <c r="D22" s="3" t="str">
        <f>IFERROR(__xludf.DUMMYFUNCTION("""COMPUTED_VALUE"""),"Plumbing")</f>
        <v>Plumbing</v>
      </c>
      <c r="E22" s="3" t="str">
        <f>IFERROR(__xludf.DUMMYFUNCTION("""COMPUTED_VALUE"""),"-")</f>
        <v>-</v>
      </c>
      <c r="F22" s="3" t="str">
        <f>IFERROR(__xludf.DUMMYFUNCTION("""COMPUTED_VALUE"""),"RUCIKA - Pipa PVC AW dia 1 inch Warna Abu-Abu")</f>
        <v>RUCIKA - Pipa PVC AW dia 1 inch Warna Abu-Abu</v>
      </c>
      <c r="G22" s="3">
        <f>IFERROR(__xludf.DUMMYFUNCTION("""COMPUTED_VALUE"""),5.0)</f>
        <v>5</v>
      </c>
      <c r="H22" s="3" t="str">
        <f>IFERROR(__xludf.DUMMYFUNCTION("""COMPUTED_VALUE"""),"Pcs")</f>
        <v>Pcs</v>
      </c>
      <c r="I22" s="3" t="str">
        <f>IFERROR(__xludf.DUMMYFUNCTION("""COMPUTED_VALUE"""),"Deliver")</f>
        <v>Deliver</v>
      </c>
      <c r="J22" s="3" t="str">
        <f>IFERROR(__xludf.DUMMYFUNCTION("""COMPUTED_VALUE"""),"-")</f>
        <v>-</v>
      </c>
      <c r="K22" s="3" t="str">
        <f>IFERROR(__xludf.DUMMYFUNCTION("""COMPUTED_VALUE"""),"-")</f>
        <v>-</v>
      </c>
    </row>
    <row r="23">
      <c r="A23" s="3" t="str">
        <f>IFERROR(__xludf.DUMMYFUNCTION("""COMPUTED_VALUE"""),"MOBRO0021")</f>
        <v>MOBRO0021</v>
      </c>
      <c r="B23" s="4">
        <f>IFERROR(__xludf.DUMMYFUNCTION("""COMPUTED_VALUE"""),45691.6794790625)</f>
        <v>45691.67948</v>
      </c>
      <c r="C23" s="3">
        <f>IFERROR(__xludf.DUMMYFUNCTION("""COMPUTED_VALUE"""),45692.3967227199)</f>
        <v>45692.39672</v>
      </c>
      <c r="D23" s="3" t="str">
        <f>IFERROR(__xludf.DUMMYFUNCTION("""COMPUTED_VALUE"""),"Plumbing")</f>
        <v>Plumbing</v>
      </c>
      <c r="E23" s="3" t="str">
        <f>IFERROR(__xludf.DUMMYFUNCTION("""COMPUTED_VALUE"""),"-")</f>
        <v>-</v>
      </c>
      <c r="F23" s="3" t="str">
        <f>IFERROR(__xludf.DUMMYFUNCTION("""COMPUTED_VALUE"""),"RUCIKA - Pipa PVC aw dia 1/2 inch Warna Abu-Abu")</f>
        <v>RUCIKA - Pipa PVC aw dia 1/2 inch Warna Abu-Abu</v>
      </c>
      <c r="G23" s="3">
        <f>IFERROR(__xludf.DUMMYFUNCTION("""COMPUTED_VALUE"""),5.0)</f>
        <v>5</v>
      </c>
      <c r="H23" s="3" t="str">
        <f>IFERROR(__xludf.DUMMYFUNCTION("""COMPUTED_VALUE"""),"Pcs")</f>
        <v>Pcs</v>
      </c>
      <c r="I23" s="3" t="str">
        <f>IFERROR(__xludf.DUMMYFUNCTION("""COMPUTED_VALUE"""),"Deliver")</f>
        <v>Deliver</v>
      </c>
      <c r="J23" s="3" t="str">
        <f>IFERROR(__xludf.DUMMYFUNCTION("""COMPUTED_VALUE"""),"-")</f>
        <v>-</v>
      </c>
      <c r="K23" s="3" t="str">
        <f>IFERROR(__xludf.DUMMYFUNCTION("""COMPUTED_VALUE"""),"-")</f>
        <v>-</v>
      </c>
    </row>
    <row r="24">
      <c r="A24" s="3" t="str">
        <f>IFERROR(__xludf.DUMMYFUNCTION("""COMPUTED_VALUE"""),"MOBRO0022")</f>
        <v>MOBRO0022</v>
      </c>
      <c r="B24" s="4">
        <f>IFERROR(__xludf.DUMMYFUNCTION("""COMPUTED_VALUE"""),45691.67974535879)</f>
        <v>45691.67975</v>
      </c>
      <c r="C24" s="3">
        <f>IFERROR(__xludf.DUMMYFUNCTION("""COMPUTED_VALUE"""),45692.39708385417)</f>
        <v>45692.39708</v>
      </c>
      <c r="D24" s="3" t="str">
        <f>IFERROR(__xludf.DUMMYFUNCTION("""COMPUTED_VALUE"""),"Plumbing")</f>
        <v>Plumbing</v>
      </c>
      <c r="E24" s="3" t="str">
        <f>IFERROR(__xludf.DUMMYFUNCTION("""COMPUTED_VALUE"""),"-")</f>
        <v>-</v>
      </c>
      <c r="F24" s="3" t="str">
        <f>IFERROR(__xludf.DUMMYFUNCTION("""COMPUTED_VALUE"""),"RUCIKA - Pipa PVC AW dia 3/4inch")</f>
        <v>RUCIKA - Pipa PVC AW dia 3/4inch</v>
      </c>
      <c r="G24" s="3">
        <f>IFERROR(__xludf.DUMMYFUNCTION("""COMPUTED_VALUE"""),5.0)</f>
        <v>5</v>
      </c>
      <c r="H24" s="3" t="str">
        <f>IFERROR(__xludf.DUMMYFUNCTION("""COMPUTED_VALUE"""),"Pcs")</f>
        <v>Pcs</v>
      </c>
      <c r="I24" s="3" t="str">
        <f>IFERROR(__xludf.DUMMYFUNCTION("""COMPUTED_VALUE"""),"Deliver")</f>
        <v>Deliver</v>
      </c>
      <c r="J24" s="3" t="str">
        <f>IFERROR(__xludf.DUMMYFUNCTION("""COMPUTED_VALUE"""),"-")</f>
        <v>-</v>
      </c>
      <c r="K24" s="3" t="str">
        <f>IFERROR(__xludf.DUMMYFUNCTION("""COMPUTED_VALUE"""),"-")</f>
        <v>-</v>
      </c>
    </row>
    <row r="25">
      <c r="A25" s="3" t="str">
        <f>IFERROR(__xludf.DUMMYFUNCTION("""COMPUTED_VALUE"""),"RIARO0008")</f>
        <v>RIARO0008</v>
      </c>
      <c r="B25" s="4">
        <f>IFERROR(__xludf.DUMMYFUNCTION("""COMPUTED_VALUE"""),45692.454085289355)</f>
        <v>45692.45409</v>
      </c>
      <c r="C25" s="3">
        <f>IFERROR(__xludf.DUMMYFUNCTION("""COMPUTED_VALUE"""),45694.61051193287)</f>
        <v>45694.61051</v>
      </c>
      <c r="D25" s="3" t="str">
        <f>IFERROR(__xludf.DUMMYFUNCTION("""COMPUTED_VALUE"""),"Hot Water")</f>
        <v>Hot Water</v>
      </c>
      <c r="E25" s="3" t="str">
        <f>IFERROR(__xludf.DUMMYFUNCTION("""COMPUTED_VALUE"""),"EJO/2025/01/34")</f>
        <v>EJO/2025/01/34</v>
      </c>
      <c r="F25" s="3" t="str">
        <f>IFERROR(__xludf.DUMMYFUNCTION("""COMPUTED_VALUE"""),"General - Exhaust Fan Panel 240VAC; TW; -; 1 pc")</f>
        <v>General - Exhaust Fan Panel 240VAC; TW; -; 1 pc</v>
      </c>
      <c r="G25" s="3">
        <f>IFERROR(__xludf.DUMMYFUNCTION("""COMPUTED_VALUE"""),2.0)</f>
        <v>2</v>
      </c>
      <c r="H25" s="3" t="str">
        <f>IFERROR(__xludf.DUMMYFUNCTION("""COMPUTED_VALUE"""),"Pcs")</f>
        <v>Pcs</v>
      </c>
      <c r="I25" s="3" t="str">
        <f>IFERROR(__xludf.DUMMYFUNCTION("""COMPUTED_VALUE"""),"Deliver")</f>
        <v>Deliver</v>
      </c>
      <c r="J25" s="3" t="str">
        <f>IFERROR(__xludf.DUMMYFUNCTION("""COMPUTED_VALUE"""),"-")</f>
        <v>-</v>
      </c>
      <c r="K25" s="3" t="str">
        <f>IFERROR(__xludf.DUMMYFUNCTION("""COMPUTED_VALUE"""),"-")</f>
        <v>-</v>
      </c>
    </row>
    <row r="26">
      <c r="A26" s="3" t="str">
        <f>IFERROR(__xludf.DUMMYFUNCTION("""COMPUTED_VALUE"""),"RIARO0010")</f>
        <v>RIARO0010</v>
      </c>
      <c r="B26" s="4">
        <f>IFERROR(__xludf.DUMMYFUNCTION("""COMPUTED_VALUE"""),45692.585179340276)</f>
        <v>45692.58518</v>
      </c>
      <c r="C26" s="3">
        <f>IFERROR(__xludf.DUMMYFUNCTION("""COMPUTED_VALUE"""),45694.74487995371)</f>
        <v>45694.74488</v>
      </c>
      <c r="D26" s="3" t="str">
        <f>IFERROR(__xludf.DUMMYFUNCTION("""COMPUTED_VALUE"""),"PWG")</f>
        <v>PWG</v>
      </c>
      <c r="E26" s="3" t="str">
        <f>IFERROR(__xludf.DUMMYFUNCTION("""COMPUTED_VALUE"""),"EJO/2025/02/25")</f>
        <v>EJO/2025/02/25</v>
      </c>
      <c r="F26" s="3" t="str">
        <f>IFERROR(__xludf.DUMMYFUNCTION("""COMPUTED_VALUE"""),"General - External Cable 5 Wire for Dosing Pump Analogue 4-20mA; Prominent; BT4B 0708 PVT 2000UA011A00YP; 1 pc")</f>
        <v>General - External Cable 5 Wire for Dosing Pump Analogue 4-20mA; Prominent; BT4B 0708 PVT 2000UA011A00YP; 1 pc</v>
      </c>
      <c r="G26" s="3">
        <f>IFERROR(__xludf.DUMMYFUNCTION("""COMPUTED_VALUE"""),2.0)</f>
        <v>2</v>
      </c>
      <c r="H26" s="3" t="str">
        <f>IFERROR(__xludf.DUMMYFUNCTION("""COMPUTED_VALUE"""),"Pcs")</f>
        <v>Pcs</v>
      </c>
      <c r="I26" s="3" t="str">
        <f>IFERROR(__xludf.DUMMYFUNCTION("""COMPUTED_VALUE"""),"Deliver")</f>
        <v>Deliver</v>
      </c>
      <c r="J26" s="3" t="str">
        <f>IFERROR(__xludf.DUMMYFUNCTION("""COMPUTED_VALUE"""),"-")</f>
        <v>-</v>
      </c>
      <c r="K26" s="3" t="str">
        <f>IFERROR(__xludf.DUMMYFUNCTION("""COMPUTED_VALUE"""),"-")</f>
        <v>-</v>
      </c>
    </row>
    <row r="27">
      <c r="A27" s="3" t="str">
        <f>IFERROR(__xludf.DUMMYFUNCTION("""COMPUTED_VALUE"""),"RIARO0011")</f>
        <v>RIARO0011</v>
      </c>
      <c r="B27" s="4">
        <f>IFERROR(__xludf.DUMMYFUNCTION("""COMPUTED_VALUE"""),45692.58546775463)</f>
        <v>45692.58547</v>
      </c>
      <c r="C27" s="3">
        <f>IFERROR(__xludf.DUMMYFUNCTION("""COMPUTED_VALUE"""),45694.7452875)</f>
        <v>45694.74529</v>
      </c>
      <c r="D27" s="3" t="str">
        <f>IFERROR(__xludf.DUMMYFUNCTION("""COMPUTED_VALUE"""),"PWG")</f>
        <v>PWG</v>
      </c>
      <c r="E27" s="3" t="str">
        <f>IFERROR(__xludf.DUMMYFUNCTION("""COMPUTED_VALUE"""),"EJO/2025/02/25")</f>
        <v>EJO/2025/02/25</v>
      </c>
      <c r="F27" s="3" t="str">
        <f>IFERROR(__xludf.DUMMYFUNCTION("""COMPUTED_VALUE"""),"Doshing Pump BT4B Merk Prominent; ; ;")</f>
        <v>Doshing Pump BT4B Merk Prominent; ; ;</v>
      </c>
      <c r="G27" s="3">
        <f>IFERROR(__xludf.DUMMYFUNCTION("""COMPUTED_VALUE"""),2.0)</f>
        <v>2</v>
      </c>
      <c r="H27" s="3" t="str">
        <f>IFERROR(__xludf.DUMMYFUNCTION("""COMPUTED_VALUE"""),"Pcs")</f>
        <v>Pcs</v>
      </c>
      <c r="I27" s="3" t="str">
        <f>IFERROR(__xludf.DUMMYFUNCTION("""COMPUTED_VALUE"""),"Deliver")</f>
        <v>Deliver</v>
      </c>
      <c r="J27" s="3" t="str">
        <f>IFERROR(__xludf.DUMMYFUNCTION("""COMPUTED_VALUE"""),"-")</f>
        <v>-</v>
      </c>
      <c r="K27" s="3" t="str">
        <f>IFERROR(__xludf.DUMMYFUNCTION("""COMPUTED_VALUE"""),"-")</f>
        <v>-</v>
      </c>
    </row>
    <row r="28">
      <c r="A28" s="3" t="str">
        <f>IFERROR(__xludf.DUMMYFUNCTION("""COMPUTED_VALUE"""),"ANORO0001")</f>
        <v>ANORO0001</v>
      </c>
      <c r="B28" s="4">
        <f>IFERROR(__xludf.DUMMYFUNCTION("""COMPUTED_VALUE"""),45693.39191435185)</f>
        <v>45693.39191</v>
      </c>
      <c r="C28" s="3">
        <f>IFERROR(__xludf.DUMMYFUNCTION("""COMPUTED_VALUE"""),45698.382479733795)</f>
        <v>45698.38248</v>
      </c>
      <c r="D28" s="3" t="str">
        <f>IFERROR(__xludf.DUMMYFUNCTION("""COMPUTED_VALUE"""),"Lab micro")</f>
        <v>Lab micro</v>
      </c>
      <c r="E28" s="3" t="str">
        <f>IFERROR(__xludf.DUMMYFUNCTION("""COMPUTED_VALUE"""),"EJO/2025/01/137")</f>
        <v>EJO/2025/01/137</v>
      </c>
      <c r="F28" s="3" t="str">
        <f>IFERROR(__xludf.DUMMYFUNCTION("""COMPUTED_VALUE"""),"Trolly - Roda ABUS 4inch (100 x 27mm), Without Brake; No Brand; -; 1 pc")</f>
        <v>Trolly - Roda ABUS 4inch (100 x 27mm), Without Brake; No Brand; -; 1 pc</v>
      </c>
      <c r="G28" s="3">
        <f>IFERROR(__xludf.DUMMYFUNCTION("""COMPUTED_VALUE"""),5.0)</f>
        <v>5</v>
      </c>
      <c r="H28" s="3" t="str">
        <f>IFERROR(__xludf.DUMMYFUNCTION("""COMPUTED_VALUE"""),"pcs")</f>
        <v>pcs</v>
      </c>
      <c r="I28" s="3" t="str">
        <f>IFERROR(__xludf.DUMMYFUNCTION("""COMPUTED_VALUE"""),"Deliver")</f>
        <v>Deliver</v>
      </c>
      <c r="J28" s="3" t="str">
        <f>IFERROR(__xludf.DUMMYFUNCTION("""COMPUTED_VALUE"""),"-")</f>
        <v>-</v>
      </c>
      <c r="K28" s="3" t="str">
        <f>IFERROR(__xludf.DUMMYFUNCTION("""COMPUTED_VALUE"""),"-")</f>
        <v>-</v>
      </c>
    </row>
    <row r="29">
      <c r="A29" s="3" t="str">
        <f>IFERROR(__xludf.DUMMYFUNCTION("""COMPUTED_VALUE"""),"MRNRO0001")</f>
        <v>MRNRO0001</v>
      </c>
      <c r="B29" s="4">
        <f>IFERROR(__xludf.DUMMYFUNCTION("""COMPUTED_VALUE"""),45693.71919592593)</f>
        <v>45693.7192</v>
      </c>
      <c r="C29" s="3">
        <f>IFERROR(__xludf.DUMMYFUNCTION("""COMPUTED_VALUE"""),45694.74675329861)</f>
        <v>45694.74675</v>
      </c>
      <c r="D29" s="3" t="str">
        <f>IFERROR(__xludf.DUMMYFUNCTION("""COMPUTED_VALUE"""),"CC baru di stability")</f>
        <v>CC baru di stability</v>
      </c>
      <c r="E29" s="3" t="str">
        <f>IFERROR(__xludf.DUMMYFUNCTION("""COMPUTED_VALUE"""),"EJO/2025/01/23")</f>
        <v>EJO/2025/01/23</v>
      </c>
      <c r="F29" s="3" t="str">
        <f>IFERROR(__xludf.DUMMYFUNCTION("""COMPUTED_VALUE"""),"RUCIKA - Pipa PVC aw dia 1/2 inch Warna Abu-Abu")</f>
        <v>RUCIKA - Pipa PVC aw dia 1/2 inch Warna Abu-Abu</v>
      </c>
      <c r="G29" s="3">
        <f>IFERROR(__xludf.DUMMYFUNCTION("""COMPUTED_VALUE"""),4.0)</f>
        <v>4</v>
      </c>
      <c r="H29" s="3" t="str">
        <f>IFERROR(__xludf.DUMMYFUNCTION("""COMPUTED_VALUE"""),"btg")</f>
        <v>btg</v>
      </c>
      <c r="I29" s="3" t="str">
        <f>IFERROR(__xludf.DUMMYFUNCTION("""COMPUTED_VALUE"""),"Deliver")</f>
        <v>Deliver</v>
      </c>
      <c r="J29" s="3" t="str">
        <f>IFERROR(__xludf.DUMMYFUNCTION("""COMPUTED_VALUE"""),"-")</f>
        <v>-</v>
      </c>
      <c r="K29" s="3" t="str">
        <f>IFERROR(__xludf.DUMMYFUNCTION("""COMPUTED_VALUE"""),"-")</f>
        <v>-</v>
      </c>
    </row>
    <row r="30">
      <c r="A30" s="3" t="str">
        <f>IFERROR(__xludf.DUMMYFUNCTION("""COMPUTED_VALUE"""),"MRNRO0002")</f>
        <v>MRNRO0002</v>
      </c>
      <c r="B30" s="4">
        <f>IFERROR(__xludf.DUMMYFUNCTION("""COMPUTED_VALUE"""),45693.722962534725)</f>
        <v>45693.72296</v>
      </c>
      <c r="C30" s="3">
        <f>IFERROR(__xludf.DUMMYFUNCTION("""COMPUTED_VALUE"""),45694.746936192125)</f>
        <v>45694.74694</v>
      </c>
      <c r="D30" s="3" t="str">
        <f>IFERROR(__xludf.DUMMYFUNCTION("""COMPUTED_VALUE"""),"CC baru di stability")</f>
        <v>CC baru di stability</v>
      </c>
      <c r="E30" s="3" t="str">
        <f>IFERROR(__xludf.DUMMYFUNCTION("""COMPUTED_VALUE"""),"EJO/2025/01/23")</f>
        <v>EJO/2025/01/23</v>
      </c>
      <c r="F30" s="3" t="str">
        <f>IFERROR(__xludf.DUMMYFUNCTION("""COMPUTED_VALUE"""),"Cable Duct Round Putih 35 x 10 mm; ; ;")</f>
        <v>Cable Duct Round Putih 35 x 10 mm; ; ;</v>
      </c>
      <c r="G30" s="3">
        <f>IFERROR(__xludf.DUMMYFUNCTION("""COMPUTED_VALUE"""),2.0)</f>
        <v>2</v>
      </c>
      <c r="H30" s="3" t="str">
        <f>IFERROR(__xludf.DUMMYFUNCTION("""COMPUTED_VALUE"""),"btg")</f>
        <v>btg</v>
      </c>
      <c r="I30" s="3" t="str">
        <f>IFERROR(__xludf.DUMMYFUNCTION("""COMPUTED_VALUE"""),"Deliver")</f>
        <v>Deliver</v>
      </c>
      <c r="J30" s="3" t="str">
        <f>IFERROR(__xludf.DUMMYFUNCTION("""COMPUTED_VALUE"""),"-")</f>
        <v>-</v>
      </c>
      <c r="K30" s="3" t="str">
        <f>IFERROR(__xludf.DUMMYFUNCTION("""COMPUTED_VALUE"""),"-")</f>
        <v>-</v>
      </c>
    </row>
    <row r="31">
      <c r="A31" s="3" t="str">
        <f>IFERROR(__xludf.DUMMYFUNCTION("""COMPUTED_VALUE"""),"MRNRO0003")</f>
        <v>MRNRO0003</v>
      </c>
      <c r="B31" s="4">
        <f>IFERROR(__xludf.DUMMYFUNCTION("""COMPUTED_VALUE"""),45693.722962534725)</f>
        <v>45693.72296</v>
      </c>
      <c r="C31" s="3">
        <f>IFERROR(__xludf.DUMMYFUNCTION("""COMPUTED_VALUE"""),45694.747144849534)</f>
        <v>45694.74714</v>
      </c>
      <c r="D31" s="3" t="str">
        <f>IFERROR(__xludf.DUMMYFUNCTION("""COMPUTED_VALUE"""),"CC baru di stability")</f>
        <v>CC baru di stability</v>
      </c>
      <c r="E31" s="3" t="str">
        <f>IFERROR(__xludf.DUMMYFUNCTION("""COMPUTED_VALUE"""),"EJO/2025/01/23")</f>
        <v>EJO/2025/01/23</v>
      </c>
      <c r="F31" s="3" t="str">
        <f>IFERROR(__xludf.DUMMYFUNCTION("""COMPUTED_VALUE"""),"General - Elbow PVC 90 AW 1/2inch; Rucika; -; 1 Pc")</f>
        <v>General - Elbow PVC 90 AW 1/2inch; Rucika; -; 1 Pc</v>
      </c>
      <c r="G31" s="3">
        <f>IFERROR(__xludf.DUMMYFUNCTION("""COMPUTED_VALUE"""),6.0)</f>
        <v>6</v>
      </c>
      <c r="H31" s="3" t="str">
        <f>IFERROR(__xludf.DUMMYFUNCTION("""COMPUTED_VALUE"""),"pcs")</f>
        <v>pcs</v>
      </c>
      <c r="I31" s="3" t="str">
        <f>IFERROR(__xludf.DUMMYFUNCTION("""COMPUTED_VALUE"""),"Deliver")</f>
        <v>Deliver</v>
      </c>
      <c r="J31" s="3" t="str">
        <f>IFERROR(__xludf.DUMMYFUNCTION("""COMPUTED_VALUE"""),"-")</f>
        <v>-</v>
      </c>
      <c r="K31" s="3" t="str">
        <f>IFERROR(__xludf.DUMMYFUNCTION("""COMPUTED_VALUE"""),"-")</f>
        <v>-</v>
      </c>
    </row>
    <row r="32">
      <c r="A32" s="3" t="str">
        <f>IFERROR(__xludf.DUMMYFUNCTION("""COMPUTED_VALUE"""),"MRNRO0004")</f>
        <v>MRNRO0004</v>
      </c>
      <c r="B32" s="4">
        <f>IFERROR(__xludf.DUMMYFUNCTION("""COMPUTED_VALUE"""),45693.722962534725)</f>
        <v>45693.72296</v>
      </c>
      <c r="C32" s="3">
        <f>IFERROR(__xludf.DUMMYFUNCTION("""COMPUTED_VALUE"""),45694.74732289352)</f>
        <v>45694.74732</v>
      </c>
      <c r="D32" s="3" t="str">
        <f>IFERROR(__xludf.DUMMYFUNCTION("""COMPUTED_VALUE"""),"CC baru di stability")</f>
        <v>CC baru di stability</v>
      </c>
      <c r="E32" s="3" t="str">
        <f>IFERROR(__xludf.DUMMYFUNCTION("""COMPUTED_VALUE"""),"EJO/2025/01/23")</f>
        <v>EJO/2025/01/23</v>
      </c>
      <c r="F32" s="3" t="str">
        <f>IFERROR(__xludf.DUMMYFUNCTION("""COMPUTED_VALUE"""),"Water Mur PVC dia 1/2inch")</f>
        <v>Water Mur PVC dia 1/2inch</v>
      </c>
      <c r="G32" s="3">
        <f>IFERROR(__xludf.DUMMYFUNCTION("""COMPUTED_VALUE"""),3.0)</f>
        <v>3</v>
      </c>
      <c r="H32" s="3" t="str">
        <f>IFERROR(__xludf.DUMMYFUNCTION("""COMPUTED_VALUE"""),"pcs")</f>
        <v>pcs</v>
      </c>
      <c r="I32" s="3" t="str">
        <f>IFERROR(__xludf.DUMMYFUNCTION("""COMPUTED_VALUE"""),"Deliver")</f>
        <v>Deliver</v>
      </c>
      <c r="J32" s="3" t="str">
        <f>IFERROR(__xludf.DUMMYFUNCTION("""COMPUTED_VALUE"""),"-")</f>
        <v>-</v>
      </c>
      <c r="K32" s="3" t="str">
        <f>IFERROR(__xludf.DUMMYFUNCTION("""COMPUTED_VALUE"""),"-")</f>
        <v>-</v>
      </c>
    </row>
    <row r="33">
      <c r="A33" s="3" t="str">
        <f>IFERROR(__xludf.DUMMYFUNCTION("""COMPUTED_VALUE"""),"MRNRO0005")</f>
        <v>MRNRO0005</v>
      </c>
      <c r="B33" s="4">
        <f>IFERROR(__xludf.DUMMYFUNCTION("""COMPUTED_VALUE"""),45693.722962534725)</f>
        <v>45693.72296</v>
      </c>
      <c r="C33" s="3">
        <f>IFERROR(__xludf.DUMMYFUNCTION("""COMPUTED_VALUE"""),45694.747519745375)</f>
        <v>45694.74752</v>
      </c>
      <c r="D33" s="3" t="str">
        <f>IFERROR(__xludf.DUMMYFUNCTION("""COMPUTED_VALUE"""),"CC baru di stability")</f>
        <v>CC baru di stability</v>
      </c>
      <c r="E33" s="3" t="str">
        <f>IFERROR(__xludf.DUMMYFUNCTION("""COMPUTED_VALUE"""),"EJO/2025/01/23")</f>
        <v>EJO/2025/01/23</v>
      </c>
      <c r="F33" s="3" t="str">
        <f>IFERROR(__xludf.DUMMYFUNCTION("""COMPUTED_VALUE"""),"Tee PVC AW General - Tee PVC AW dia 1/2inch X 1/2inch; Rucika; -; 1 pcs")</f>
        <v>Tee PVC AW General - Tee PVC AW dia 1/2inch X 1/2inch; Rucika; -; 1 pcs</v>
      </c>
      <c r="G33" s="3">
        <f>IFERROR(__xludf.DUMMYFUNCTION("""COMPUTED_VALUE"""),2.0)</f>
        <v>2</v>
      </c>
      <c r="H33" s="3" t="str">
        <f>IFERROR(__xludf.DUMMYFUNCTION("""COMPUTED_VALUE"""),"pcs")</f>
        <v>pcs</v>
      </c>
      <c r="I33" s="3" t="str">
        <f>IFERROR(__xludf.DUMMYFUNCTION("""COMPUTED_VALUE"""),"Deliver")</f>
        <v>Deliver</v>
      </c>
      <c r="J33" s="3" t="str">
        <f>IFERROR(__xludf.DUMMYFUNCTION("""COMPUTED_VALUE"""),"-")</f>
        <v>-</v>
      </c>
      <c r="K33" s="3" t="str">
        <f>IFERROR(__xludf.DUMMYFUNCTION("""COMPUTED_VALUE"""),"-")</f>
        <v>-</v>
      </c>
    </row>
    <row r="34">
      <c r="A34" s="3" t="str">
        <f>IFERROR(__xludf.DUMMYFUNCTION("""COMPUTED_VALUE"""),"MRNRO0006")</f>
        <v>MRNRO0006</v>
      </c>
      <c r="B34" s="4">
        <f>IFERROR(__xludf.DUMMYFUNCTION("""COMPUTED_VALUE"""),45693.722962534725)</f>
        <v>45693.72296</v>
      </c>
      <c r="C34" s="3">
        <f>IFERROR(__xludf.DUMMYFUNCTION("""COMPUTED_VALUE"""),45694.74771689815)</f>
        <v>45694.74772</v>
      </c>
      <c r="D34" s="3" t="str">
        <f>IFERROR(__xludf.DUMMYFUNCTION("""COMPUTED_VALUE"""),"CC baru di stability")</f>
        <v>CC baru di stability</v>
      </c>
      <c r="E34" s="3" t="str">
        <f>IFERROR(__xludf.DUMMYFUNCTION("""COMPUTED_VALUE"""),"EJO/2025/01/23")</f>
        <v>EJO/2025/01/23</v>
      </c>
      <c r="F34" s="3" t="str">
        <f>IFERROR(__xludf.DUMMYFUNCTION("""COMPUTED_VALUE"""),"Hollow Baja Ringan 4x4cm, Tebal 0.5mm, Panjang 4m; ; ;")</f>
        <v>Hollow Baja Ringan 4x4cm, Tebal 0.5mm, Panjang 4m; ; ;</v>
      </c>
      <c r="G34" s="3">
        <f>IFERROR(__xludf.DUMMYFUNCTION("""COMPUTED_VALUE"""),3.0)</f>
        <v>3</v>
      </c>
      <c r="H34" s="3" t="str">
        <f>IFERROR(__xludf.DUMMYFUNCTION("""COMPUTED_VALUE"""),"btg")</f>
        <v>btg</v>
      </c>
      <c r="I34" s="3" t="str">
        <f>IFERROR(__xludf.DUMMYFUNCTION("""COMPUTED_VALUE"""),"Deliver")</f>
        <v>Deliver</v>
      </c>
      <c r="J34" s="3" t="str">
        <f>IFERROR(__xludf.DUMMYFUNCTION("""COMPUTED_VALUE"""),"-")</f>
        <v>-</v>
      </c>
      <c r="K34" s="3" t="str">
        <f>IFERROR(__xludf.DUMMYFUNCTION("""COMPUTED_VALUE"""),"-")</f>
        <v>-</v>
      </c>
    </row>
    <row r="35">
      <c r="A35" s="3" t="str">
        <f>IFERROR(__xludf.DUMMYFUNCTION("""COMPUTED_VALUE"""),"MRNRO0007")</f>
        <v>MRNRO0007</v>
      </c>
      <c r="B35" s="4">
        <f>IFERROR(__xludf.DUMMYFUNCTION("""COMPUTED_VALUE"""),45693.722962534725)</f>
        <v>45693.72296</v>
      </c>
      <c r="C35" s="3">
        <f>IFERROR(__xludf.DUMMYFUNCTION("""COMPUTED_VALUE"""),45694.74814009259)</f>
        <v>45694.74814</v>
      </c>
      <c r="D35" s="3" t="str">
        <f>IFERROR(__xludf.DUMMYFUNCTION("""COMPUTED_VALUE"""),"CC baru di stability")</f>
        <v>CC baru di stability</v>
      </c>
      <c r="E35" s="3" t="str">
        <f>IFERROR(__xludf.DUMMYFUNCTION("""COMPUTED_VALUE"""),"EJO/2025/01/23")</f>
        <v>EJO/2025/01/23</v>
      </c>
      <c r="F35" s="3" t="str">
        <f>IFERROR(__xludf.DUMMYFUNCTION("""COMPUTED_VALUE"""),"Skrup Baja Hitam;No Brand;;pack size per pack")</f>
        <v>Skrup Baja Hitam;No Brand;;pack size per pack</v>
      </c>
      <c r="G35" s="3">
        <f>IFERROR(__xludf.DUMMYFUNCTION("""COMPUTED_VALUE"""),1.0)</f>
        <v>1</v>
      </c>
      <c r="H35" s="3" t="str">
        <f>IFERROR(__xludf.DUMMYFUNCTION("""COMPUTED_VALUE"""),"pack")</f>
        <v>pack</v>
      </c>
      <c r="I35" s="3" t="str">
        <f>IFERROR(__xludf.DUMMYFUNCTION("""COMPUTED_VALUE"""),"Deliver")</f>
        <v>Deliver</v>
      </c>
      <c r="J35" s="3" t="str">
        <f>IFERROR(__xludf.DUMMYFUNCTION("""COMPUTED_VALUE"""),"-")</f>
        <v>-</v>
      </c>
      <c r="K35" s="3" t="str">
        <f>IFERROR(__xludf.DUMMYFUNCTION("""COMPUTED_VALUE"""),"-")</f>
        <v>-</v>
      </c>
    </row>
    <row r="36">
      <c r="A36" s="3" t="str">
        <f>IFERROR(__xludf.DUMMYFUNCTION("""COMPUTED_VALUE"""),"MRNRO0008")</f>
        <v>MRNRO0008</v>
      </c>
      <c r="B36" s="4">
        <f>IFERROR(__xludf.DUMMYFUNCTION("""COMPUTED_VALUE"""),45693.72360567129)</f>
        <v>45693.72361</v>
      </c>
      <c r="C36" s="3">
        <f>IFERROR(__xludf.DUMMYFUNCTION("""COMPUTED_VALUE"""),45694.748360196754)</f>
        <v>45694.74836</v>
      </c>
      <c r="D36" s="3" t="str">
        <f>IFERROR(__xludf.DUMMYFUNCTION("""COMPUTED_VALUE"""),"Building")</f>
        <v>Building</v>
      </c>
      <c r="E36" s="3" t="str">
        <f>IFERROR(__xludf.DUMMYFUNCTION("""COMPUTED_VALUE"""),"EJO/2025/01/28")</f>
        <v>EJO/2025/01/28</v>
      </c>
      <c r="F36" s="3" t="str">
        <f>IFERROR(__xludf.DUMMYFUNCTION("""COMPUTED_VALUE"""),"Compound / Kompon Gypsum;No Brand;;pack size 20 kg per pck")</f>
        <v>Compound / Kompon Gypsum;No Brand;;pack size 20 kg per pck</v>
      </c>
      <c r="G36" s="3">
        <f>IFERROR(__xludf.DUMMYFUNCTION("""COMPUTED_VALUE"""),5.0)</f>
        <v>5</v>
      </c>
      <c r="H36" s="3" t="str">
        <f>IFERROR(__xludf.DUMMYFUNCTION("""COMPUTED_VALUE"""),"sack")</f>
        <v>sack</v>
      </c>
      <c r="I36" s="3" t="str">
        <f>IFERROR(__xludf.DUMMYFUNCTION("""COMPUTED_VALUE"""),"Deliver")</f>
        <v>Deliver</v>
      </c>
      <c r="J36" s="3" t="str">
        <f>IFERROR(__xludf.DUMMYFUNCTION("""COMPUTED_VALUE"""),"-")</f>
        <v>-</v>
      </c>
      <c r="K36" s="3" t="str">
        <f>IFERROR(__xludf.DUMMYFUNCTION("""COMPUTED_VALUE"""),"-")</f>
        <v>-</v>
      </c>
    </row>
    <row r="37">
      <c r="A37" s="3" t="str">
        <f>IFERROR(__xludf.DUMMYFUNCTION("""COMPUTED_VALUE"""),"MRNRO0009")</f>
        <v>MRNRO0009</v>
      </c>
      <c r="B37" s="4">
        <f>IFERROR(__xludf.DUMMYFUNCTION("""COMPUTED_VALUE"""),45693.72575957176)</f>
        <v>45693.72576</v>
      </c>
      <c r="C37" s="3">
        <f>IFERROR(__xludf.DUMMYFUNCTION("""COMPUTED_VALUE"""),45694.74862033565)</f>
        <v>45694.74862</v>
      </c>
      <c r="D37" s="3" t="str">
        <f>IFERROR(__xludf.DUMMYFUNCTION("""COMPUTED_VALUE"""),"CC baru di stability")</f>
        <v>CC baru di stability</v>
      </c>
      <c r="E37" s="3" t="str">
        <f>IFERROR(__xludf.DUMMYFUNCTION("""COMPUTED_VALUE"""),"EJO/2025/01/23")</f>
        <v>EJO/2025/01/23</v>
      </c>
      <c r="F37" s="3" t="str">
        <f>IFERROR(__xludf.DUMMYFUNCTION("""COMPUTED_VALUE"""),"PVC - Dop 1/2 inch; ; ;")</f>
        <v>PVC - Dop 1/2 inch; ; ;</v>
      </c>
      <c r="G37" s="3">
        <f>IFERROR(__xludf.DUMMYFUNCTION("""COMPUTED_VALUE"""),2.0)</f>
        <v>2</v>
      </c>
      <c r="H37" s="3" t="str">
        <f>IFERROR(__xludf.DUMMYFUNCTION("""COMPUTED_VALUE"""),"pcs")</f>
        <v>pcs</v>
      </c>
      <c r="I37" s="3" t="str">
        <f>IFERROR(__xludf.DUMMYFUNCTION("""COMPUTED_VALUE"""),"Deliver")</f>
        <v>Deliver</v>
      </c>
      <c r="J37" s="3" t="str">
        <f>IFERROR(__xludf.DUMMYFUNCTION("""COMPUTED_VALUE"""),"-")</f>
        <v>-</v>
      </c>
      <c r="K37" s="3" t="str">
        <f>IFERROR(__xludf.DUMMYFUNCTION("""COMPUTED_VALUE"""),"-")</f>
        <v>-</v>
      </c>
    </row>
    <row r="38">
      <c r="A38" s="3" t="str">
        <f>IFERROR(__xludf.DUMMYFUNCTION("""COMPUTED_VALUE"""),"MRNRO0010")</f>
        <v>MRNRO0010</v>
      </c>
      <c r="B38" s="4">
        <f>IFERROR(__xludf.DUMMYFUNCTION("""COMPUTED_VALUE"""),45693.73084386574)</f>
        <v>45693.73084</v>
      </c>
      <c r="C38" s="3">
        <f>IFERROR(__xludf.DUMMYFUNCTION("""COMPUTED_VALUE"""),45694.74886173611)</f>
        <v>45694.74886</v>
      </c>
      <c r="D38" s="3" t="str">
        <f>IFERROR(__xludf.DUMMYFUNCTION("""COMPUTED_VALUE"""),"CC baru di stability")</f>
        <v>CC baru di stability</v>
      </c>
      <c r="E38" s="3" t="str">
        <f>IFERROR(__xludf.DUMMYFUNCTION("""COMPUTED_VALUE"""),"EJO/2025/01/23")</f>
        <v>EJO/2025/01/23</v>
      </c>
      <c r="F38" s="3" t="str">
        <f>IFERROR(__xludf.DUMMYFUNCTION("""COMPUTED_VALUE"""),"General - Tee, PVC, 1 1/4""; Rucika; -; 1 pcs")</f>
        <v>General - Tee, PVC, 1 1/4"; Rucika; -; 1 pcs</v>
      </c>
      <c r="G38" s="3">
        <f>IFERROR(__xludf.DUMMYFUNCTION("""COMPUTED_VALUE"""),1.0)</f>
        <v>1</v>
      </c>
      <c r="H38" s="3" t="str">
        <f>IFERROR(__xludf.DUMMYFUNCTION("""COMPUTED_VALUE"""),"pcs")</f>
        <v>pcs</v>
      </c>
      <c r="I38" s="3" t="str">
        <f>IFERROR(__xludf.DUMMYFUNCTION("""COMPUTED_VALUE"""),"Deliver")</f>
        <v>Deliver</v>
      </c>
      <c r="J38" s="3" t="str">
        <f>IFERROR(__xludf.DUMMYFUNCTION("""COMPUTED_VALUE"""),"-")</f>
        <v>-</v>
      </c>
      <c r="K38" s="3" t="str">
        <f>IFERROR(__xludf.DUMMYFUNCTION("""COMPUTED_VALUE"""),"-")</f>
        <v>-</v>
      </c>
    </row>
    <row r="39">
      <c r="A39" s="3" t="str">
        <f>IFERROR(__xludf.DUMMYFUNCTION("""COMPUTED_VALUE"""),"MRNRO0011")</f>
        <v>MRNRO0011</v>
      </c>
      <c r="B39" s="4">
        <f>IFERROR(__xludf.DUMMYFUNCTION("""COMPUTED_VALUE"""),45693.75055214121)</f>
        <v>45693.75055</v>
      </c>
      <c r="C39" s="3">
        <f>IFERROR(__xludf.DUMMYFUNCTION("""COMPUTED_VALUE"""),45694.74903899306)</f>
        <v>45694.74904</v>
      </c>
      <c r="D39" s="3" t="str">
        <f>IFERROR(__xludf.DUMMYFUNCTION("""COMPUTED_VALUE"""),"Building")</f>
        <v>Building</v>
      </c>
      <c r="E39" s="3" t="str">
        <f>IFERROR(__xludf.DUMMYFUNCTION("""COMPUTED_VALUE"""),"EJO/2025/01/28")</f>
        <v>EJO/2025/01/28</v>
      </c>
      <c r="F39" s="3" t="str">
        <f>IFERROR(__xludf.DUMMYFUNCTION("""COMPUTED_VALUE"""),"Kuas Cat Uk. 2 inch;Eterna;Tipe 611;pack size per pcs")</f>
        <v>Kuas Cat Uk. 2 inch;Eterna;Tipe 611;pack size per pcs</v>
      </c>
      <c r="G39" s="3">
        <f>IFERROR(__xludf.DUMMYFUNCTION("""COMPUTED_VALUE"""),10.0)</f>
        <v>10</v>
      </c>
      <c r="H39" s="3" t="str">
        <f>IFERROR(__xludf.DUMMYFUNCTION("""COMPUTED_VALUE"""),"pcs")</f>
        <v>pcs</v>
      </c>
      <c r="I39" s="3" t="str">
        <f>IFERROR(__xludf.DUMMYFUNCTION("""COMPUTED_VALUE"""),"Deliver")</f>
        <v>Deliver</v>
      </c>
      <c r="J39" s="3" t="str">
        <f>IFERROR(__xludf.DUMMYFUNCTION("""COMPUTED_VALUE"""),"-")</f>
        <v>-</v>
      </c>
      <c r="K39" s="3" t="str">
        <f>IFERROR(__xludf.DUMMYFUNCTION("""COMPUTED_VALUE"""),"-")</f>
        <v>-</v>
      </c>
    </row>
    <row r="40">
      <c r="A40" s="3" t="str">
        <f>IFERROR(__xludf.DUMMYFUNCTION("""COMPUTED_VALUE"""),"RIARO0013")</f>
        <v>RIARO0013</v>
      </c>
      <c r="B40" s="4">
        <f>IFERROR(__xludf.DUMMYFUNCTION("""COMPUTED_VALUE"""),45696.258744942126)</f>
        <v>45696.25874</v>
      </c>
      <c r="C40" s="3">
        <f>IFERROR(__xludf.DUMMYFUNCTION("""COMPUTED_VALUE"""),45698.63372162037)</f>
        <v>45698.63372</v>
      </c>
      <c r="D40" s="3" t="str">
        <f>IFERROR(__xludf.DUMMYFUNCTION("""COMPUTED_VALUE"""),"Heater Mixing")</f>
        <v>Heater Mixing</v>
      </c>
      <c r="E40" s="3" t="str">
        <f>IFERROR(__xludf.DUMMYFUNCTION("""COMPUTED_VALUE"""),"EJO/2025/02/65")</f>
        <v>EJO/2025/02/65</v>
      </c>
      <c r="F40" s="3" t="str">
        <f>IFERROR(__xludf.DUMMYFUNCTION("""COMPUTED_VALUE"""),"General - Exhaust Fan Panel 240VAC; TW; -; 1 pc")</f>
        <v>General - Exhaust Fan Panel 240VAC; TW; -; 1 pc</v>
      </c>
      <c r="G40" s="3">
        <f>IFERROR(__xludf.DUMMYFUNCTION("""COMPUTED_VALUE"""),2.0)</f>
        <v>2</v>
      </c>
      <c r="H40" s="3" t="str">
        <f>IFERROR(__xludf.DUMMYFUNCTION("""COMPUTED_VALUE"""),"Pcs")</f>
        <v>Pcs</v>
      </c>
      <c r="I40" s="3" t="str">
        <f>IFERROR(__xludf.DUMMYFUNCTION("""COMPUTED_VALUE"""),"Deliver")</f>
        <v>Deliver</v>
      </c>
      <c r="J40" s="3" t="str">
        <f>IFERROR(__xludf.DUMMYFUNCTION("""COMPUTED_VALUE"""),"-")</f>
        <v>-</v>
      </c>
      <c r="K40" s="3" t="str">
        <f>IFERROR(__xludf.DUMMYFUNCTION("""COMPUTED_VALUE"""),"-")</f>
        <v>-</v>
      </c>
    </row>
    <row r="41">
      <c r="A41" s="3" t="str">
        <f>IFERROR(__xludf.DUMMYFUNCTION("""COMPUTED_VALUE"""),"NDSRO0001")</f>
        <v>NDSRO0001</v>
      </c>
      <c r="B41" s="4">
        <f>IFERROR(__xludf.DUMMYFUNCTION("""COMPUTED_VALUE"""),45698.442053217594)</f>
        <v>45698.44205</v>
      </c>
      <c r="C41" s="3">
        <f>IFERROR(__xludf.DUMMYFUNCTION("""COMPUTED_VALUE"""),45700.574230150465)</f>
        <v>45700.57423</v>
      </c>
      <c r="D41" s="3" t="str">
        <f>IFERROR(__xludf.DUMMYFUNCTION("""COMPUTED_VALUE"""),"Conveyor A &amp; B")</f>
        <v>Conveyor A &amp; B</v>
      </c>
      <c r="E41" s="3" t="str">
        <f>IFERROR(__xludf.DUMMYFUNCTION("""COMPUTED_VALUE"""),"EJO/2025/02/76")</f>
        <v>EJO/2025/02/76</v>
      </c>
      <c r="F41" s="3" t="str">
        <f>IFERROR(__xludf.DUMMYFUNCTION("""COMPUTED_VALUE"""),"Bola lampu 24V 5 Watt")</f>
        <v>Bola lampu 24V 5 Watt</v>
      </c>
      <c r="G41" s="3">
        <f>IFERROR(__xludf.DUMMYFUNCTION("""COMPUTED_VALUE"""),20.0)</f>
        <v>20</v>
      </c>
      <c r="H41" s="3" t="str">
        <f>IFERROR(__xludf.DUMMYFUNCTION("""COMPUTED_VALUE"""),"Pcs")</f>
        <v>Pcs</v>
      </c>
      <c r="I41" s="3" t="str">
        <f>IFERROR(__xludf.DUMMYFUNCTION("""COMPUTED_VALUE"""),"Deliver")</f>
        <v>Deliver</v>
      </c>
      <c r="J41" s="3" t="str">
        <f>IFERROR(__xludf.DUMMYFUNCTION("""COMPUTED_VALUE"""),"-")</f>
        <v>-</v>
      </c>
      <c r="K41" s="3" t="str">
        <f>IFERROR(__xludf.DUMMYFUNCTION("""COMPUTED_VALUE"""),"-")</f>
        <v>-</v>
      </c>
    </row>
    <row r="42">
      <c r="A42" s="3" t="str">
        <f>IFERROR(__xludf.DUMMYFUNCTION("""COMPUTED_VALUE"""),"NDSRO0002")</f>
        <v>NDSRO0002</v>
      </c>
      <c r="B42" s="4">
        <f>IFERROR(__xludf.DUMMYFUNCTION("""COMPUTED_VALUE"""),45698.453369571755)</f>
        <v>45698.45337</v>
      </c>
      <c r="C42" s="3">
        <f>IFERROR(__xludf.DUMMYFUNCTION("""COMPUTED_VALUE"""),45700.57314202546)</f>
        <v>45700.57314</v>
      </c>
      <c r="D42" s="3" t="str">
        <f>IFERROR(__xludf.DUMMYFUNCTION("""COMPUTED_VALUE"""),"Labeling")</f>
        <v>Labeling</v>
      </c>
      <c r="E42" s="3" t="str">
        <f>IFERROR(__xludf.DUMMYFUNCTION("""COMPUTED_VALUE"""),"EJO/2025/02/75")</f>
        <v>EJO/2025/02/75</v>
      </c>
      <c r="F42" s="3" t="str">
        <f>IFERROR(__xludf.DUMMYFUNCTION("""COMPUTED_VALUE"""),"Belt HTD 720-5M-95mm + Lapisan Blue Sponge 6mm DIAN BATARA INTI, PT P/N : -  set")</f>
        <v>Belt HTD 720-5M-95mm + Lapisan Blue Sponge 6mm DIAN BATARA INTI, PT P/N : -  set</v>
      </c>
      <c r="G42" s="3">
        <f>IFERROR(__xludf.DUMMYFUNCTION("""COMPUTED_VALUE"""),3.0)</f>
        <v>3</v>
      </c>
      <c r="H42" s="3" t="str">
        <f>IFERROR(__xludf.DUMMYFUNCTION("""COMPUTED_VALUE"""),"Pcs")</f>
        <v>Pcs</v>
      </c>
      <c r="I42" s="3" t="str">
        <f>IFERROR(__xludf.DUMMYFUNCTION("""COMPUTED_VALUE"""),"Deliver")</f>
        <v>Deliver</v>
      </c>
      <c r="J42" s="3" t="str">
        <f>IFERROR(__xludf.DUMMYFUNCTION("""COMPUTED_VALUE"""),"-")</f>
        <v>-</v>
      </c>
      <c r="K42" s="3" t="str">
        <f>IFERROR(__xludf.DUMMYFUNCTION("""COMPUTED_VALUE"""),"-")</f>
        <v>-</v>
      </c>
    </row>
    <row r="43">
      <c r="A43" s="3" t="str">
        <f>IFERROR(__xludf.DUMMYFUNCTION("""COMPUTED_VALUE"""),"SFHRO0003")</f>
        <v>SFHRO0003</v>
      </c>
      <c r="B43" s="4">
        <f>IFERROR(__xludf.DUMMYFUNCTION("""COMPUTED_VALUE"""),45699.18760521991)</f>
        <v>45699.18761</v>
      </c>
      <c r="C43" s="3">
        <f>IFERROR(__xludf.DUMMYFUNCTION("""COMPUTED_VALUE"""),45700.63538237268)</f>
        <v>45700.63538</v>
      </c>
      <c r="D43" s="3" t="str">
        <f>IFERROR(__xludf.DUMMYFUNCTION("""COMPUTED_VALUE"""),"lantai 2")</f>
        <v>lantai 2</v>
      </c>
      <c r="E43" s="3" t="str">
        <f>IFERROR(__xludf.DUMMYFUNCTION("""COMPUTED_VALUE"""),"-")</f>
        <v>-</v>
      </c>
      <c r="F43" s="3" t="str">
        <f>IFERROR(__xludf.DUMMYFUNCTION("""COMPUTED_VALUE"""),"Thinner Super End/Impala @ 1 Liter")</f>
        <v>Thinner Super End/Impala @ 1 Liter</v>
      </c>
      <c r="G43" s="3">
        <f>IFERROR(__xludf.DUMMYFUNCTION("""COMPUTED_VALUE"""),20.0)</f>
        <v>20</v>
      </c>
      <c r="H43" s="3" t="str">
        <f>IFERROR(__xludf.DUMMYFUNCTION("""COMPUTED_VALUE"""),"liter")</f>
        <v>liter</v>
      </c>
      <c r="I43" s="3" t="str">
        <f>IFERROR(__xludf.DUMMYFUNCTION("""COMPUTED_VALUE"""),"Deliver")</f>
        <v>Deliver</v>
      </c>
      <c r="J43" s="3" t="str">
        <f>IFERROR(__xludf.DUMMYFUNCTION("""COMPUTED_VALUE"""),"-")</f>
        <v>-</v>
      </c>
      <c r="K43" s="3" t="str">
        <f>IFERROR(__xludf.DUMMYFUNCTION("""COMPUTED_VALUE"""),"-")</f>
        <v>-</v>
      </c>
    </row>
    <row r="44">
      <c r="A44" s="3" t="str">
        <f>IFERROR(__xludf.DUMMYFUNCTION("""COMPUTED_VALUE"""),"ANORO0002")</f>
        <v>ANORO0002</v>
      </c>
      <c r="B44" s="4">
        <f>IFERROR(__xludf.DUMMYFUNCTION("""COMPUTED_VALUE"""),45703.74109815972)</f>
        <v>45703.7411</v>
      </c>
      <c r="C44" s="3">
        <f>IFERROR(__xludf.DUMMYFUNCTION("""COMPUTED_VALUE"""),45712.991248969905)</f>
        <v>45712.99125</v>
      </c>
      <c r="D44" s="3" t="str">
        <f>IFERROR(__xludf.DUMMYFUNCTION("""COMPUTED_VALUE"""),"washing ")</f>
        <v>washing </v>
      </c>
      <c r="E44" s="3" t="str">
        <f>IFERROR(__xludf.DUMMYFUNCTION("""COMPUTED_VALUE"""),"-")</f>
        <v>-</v>
      </c>
      <c r="F44" s="3" t="str">
        <f>IFERROR(__xludf.DUMMYFUNCTION("""COMPUTED_VALUE"""),"Washing RAV4 - Black Arm Mat. SUS 304; Custom/Lokal; -; 1 Pc")</f>
        <v>Washing RAV4 - Black Arm Mat. SUS 304; Custom/Lokal; -; 1 Pc</v>
      </c>
      <c r="G44" s="3">
        <f>IFERROR(__xludf.DUMMYFUNCTION("""COMPUTED_VALUE"""),6.0)</f>
        <v>6</v>
      </c>
      <c r="H44" s="3" t="str">
        <f>IFERROR(__xludf.DUMMYFUNCTION("""COMPUTED_VALUE"""),"pcs")</f>
        <v>pcs</v>
      </c>
      <c r="I44" s="3" t="str">
        <f>IFERROR(__xludf.DUMMYFUNCTION("""COMPUTED_VALUE"""),"PO Open")</f>
        <v>PO Open</v>
      </c>
      <c r="J44" s="3" t="str">
        <f>IFERROR(__xludf.DUMMYFUNCTION("""COMPUTED_VALUE"""),"121702486 - APPROVED")</f>
        <v>121702486 - APPROVED</v>
      </c>
      <c r="K44" s="3" t="str">
        <f>IFERROR(__xludf.DUMMYFUNCTION("""COMPUTED_VALUE"""),"GL2503060")</f>
        <v>GL2503060</v>
      </c>
    </row>
    <row r="45">
      <c r="A45" s="3" t="str">
        <f>IFERROR(__xludf.DUMMYFUNCTION("""COMPUTED_VALUE"""),"ANORO0003")</f>
        <v>ANORO0003</v>
      </c>
      <c r="B45" s="4">
        <f>IFERROR(__xludf.DUMMYFUNCTION("""COMPUTED_VALUE"""),45703.74109815972)</f>
        <v>45703.7411</v>
      </c>
      <c r="C45" s="3">
        <f>IFERROR(__xludf.DUMMYFUNCTION("""COMPUTED_VALUE"""),45712.964251111116)</f>
        <v>45712.96425</v>
      </c>
      <c r="D45" s="3" t="str">
        <f>IFERROR(__xludf.DUMMYFUNCTION("""COMPUTED_VALUE"""),"washing ")</f>
        <v>washing </v>
      </c>
      <c r="E45" s="3" t="str">
        <f>IFERROR(__xludf.DUMMYFUNCTION("""COMPUTED_VALUE"""),"-")</f>
        <v>-</v>
      </c>
      <c r="F45" s="3" t="str">
        <f>IFERROR(__xludf.DUMMYFUNCTION("""COMPUTED_VALUE"""),"Washing RAV4 - Base Black Arm Mat. VCN; Custom/Lokal; -; 1 Pc")</f>
        <v>Washing RAV4 - Base Black Arm Mat. VCN; Custom/Lokal; -; 1 Pc</v>
      </c>
      <c r="G45" s="3">
        <f>IFERROR(__xludf.DUMMYFUNCTION("""COMPUTED_VALUE"""),3.0)</f>
        <v>3</v>
      </c>
      <c r="H45" s="3" t="str">
        <f>IFERROR(__xludf.DUMMYFUNCTION("""COMPUTED_VALUE"""),"pcs")</f>
        <v>pcs</v>
      </c>
      <c r="I45" s="3" t="str">
        <f>IFERROR(__xludf.DUMMYFUNCTION("""COMPUTED_VALUE"""),"PO Open")</f>
        <v>PO Open</v>
      </c>
      <c r="J45" s="3" t="str">
        <f>IFERROR(__xludf.DUMMYFUNCTION("""COMPUTED_VALUE"""),"121702486 - APPROVED")</f>
        <v>121702486 - APPROVED</v>
      </c>
      <c r="K45" s="3" t="str">
        <f>IFERROR(__xludf.DUMMYFUNCTION("""COMPUTED_VALUE"""),"GL2503060")</f>
        <v>GL2503060</v>
      </c>
    </row>
    <row r="46">
      <c r="A46" s="3" t="str">
        <f>IFERROR(__xludf.DUMMYFUNCTION("""COMPUTED_VALUE"""),"MOBRO0023")</f>
        <v>MOBRO0023</v>
      </c>
      <c r="B46" s="4">
        <f>IFERROR(__xludf.DUMMYFUNCTION("""COMPUTED_VALUE"""),45707.49983197916)</f>
        <v>45707.49983</v>
      </c>
      <c r="C46" s="3">
        <f>IFERROR(__xludf.DUMMYFUNCTION("""COMPUTED_VALUE"""),45712.51459329861)</f>
        <v>45712.51459</v>
      </c>
      <c r="D46" s="3" t="str">
        <f>IFERROR(__xludf.DUMMYFUNCTION("""COMPUTED_VALUE"""),"FMS AHU")</f>
        <v>FMS AHU</v>
      </c>
      <c r="E46" s="3" t="str">
        <f>IFERROR(__xludf.DUMMYFUNCTION("""COMPUTED_VALUE"""),"EJO/2025/02/91")</f>
        <v>EJO/2025/02/91</v>
      </c>
      <c r="F46" s="3" t="str">
        <f>IFERROR(__xludf.DUMMYFUNCTION("""COMPUTED_VALUE"""),"General - TU Polyurethane Tubing, TU1065C-100; SMC Pneumatics; -; 1 roll")</f>
        <v>General - TU Polyurethane Tubing, TU1065C-100; SMC Pneumatics; -; 1 roll</v>
      </c>
      <c r="G46" s="3">
        <f>IFERROR(__xludf.DUMMYFUNCTION("""COMPUTED_VALUE"""),4.0)</f>
        <v>4</v>
      </c>
      <c r="H46" s="3" t="str">
        <f>IFERROR(__xludf.DUMMYFUNCTION("""COMPUTED_VALUE"""),"Pcs")</f>
        <v>Pcs</v>
      </c>
      <c r="I46" s="3" t="str">
        <f>IFERROR(__xludf.DUMMYFUNCTION("""COMPUTED_VALUE"""),"Deliver")</f>
        <v>Deliver</v>
      </c>
      <c r="J46" s="3" t="str">
        <f>IFERROR(__xludf.DUMMYFUNCTION("""COMPUTED_VALUE"""),"-")</f>
        <v>-</v>
      </c>
      <c r="K46" s="3" t="str">
        <f>IFERROR(__xludf.DUMMYFUNCTION("""COMPUTED_VALUE"""),"-")</f>
        <v>-</v>
      </c>
    </row>
    <row r="47">
      <c r="A47" s="3" t="str">
        <f>IFERROR(__xludf.DUMMYFUNCTION("""COMPUTED_VALUE"""),"RIARO0014")</f>
        <v>RIARO0014</v>
      </c>
      <c r="B47" s="4">
        <f>IFERROR(__xludf.DUMMYFUNCTION("""COMPUTED_VALUE"""),45708.40492289352)</f>
        <v>45708.40492</v>
      </c>
      <c r="C47" s="3">
        <f>IFERROR(__xludf.DUMMYFUNCTION("""COMPUTED_VALUE"""),45712.51503483797)</f>
        <v>45712.51503</v>
      </c>
      <c r="D47" s="3" t="str">
        <f>IFERROR(__xludf.DUMMYFUNCTION("""COMPUTED_VALUE"""),"Pipa FW OSD")</f>
        <v>Pipa FW OSD</v>
      </c>
      <c r="E47" s="3" t="str">
        <f>IFERROR(__xludf.DUMMYFUNCTION("""COMPUTED_VALUE"""),"EJO/2024/12/75")</f>
        <v>EJO/2024/12/75</v>
      </c>
      <c r="F47" s="3" t="str">
        <f>IFERROR(__xludf.DUMMYFUNCTION("""COMPUTED_VALUE"""),"Acrylic tebal 5mm ukr : 1000 x 2000")</f>
        <v>Acrylic tebal 5mm ukr : 1000 x 2000</v>
      </c>
      <c r="G47" s="3">
        <f>IFERROR(__xludf.DUMMYFUNCTION("""COMPUTED_VALUE"""),1.0)</f>
        <v>1</v>
      </c>
      <c r="H47" s="3" t="str">
        <f>IFERROR(__xludf.DUMMYFUNCTION("""COMPUTED_VALUE"""),"Pcs")</f>
        <v>Pcs</v>
      </c>
      <c r="I47" s="3" t="str">
        <f>IFERROR(__xludf.DUMMYFUNCTION("""COMPUTED_VALUE"""),"Deliver")</f>
        <v>Deliver</v>
      </c>
      <c r="J47" s="3" t="str">
        <f>IFERROR(__xludf.DUMMYFUNCTION("""COMPUTED_VALUE"""),"-")</f>
        <v>-</v>
      </c>
      <c r="K47" s="3" t="str">
        <f>IFERROR(__xludf.DUMMYFUNCTION("""COMPUTED_VALUE"""),"-")</f>
        <v>-</v>
      </c>
    </row>
    <row r="48">
      <c r="A48" s="3" t="str">
        <f>IFERROR(__xludf.DUMMYFUNCTION("""COMPUTED_VALUE"""),"SHFRO0002")</f>
        <v>SHFRO0002</v>
      </c>
      <c r="B48" s="4">
        <f>IFERROR(__xludf.DUMMYFUNCTION("""COMPUTED_VALUE"""),45712.503166400464)</f>
        <v>45712.50317</v>
      </c>
      <c r="C48" s="3">
        <f>IFERROR(__xludf.DUMMYFUNCTION("""COMPUTED_VALUE"""),45723.65193114583)</f>
        <v>45723.65193</v>
      </c>
      <c r="D48" s="3" t="str">
        <f>IFERROR(__xludf.DUMMYFUNCTION("""COMPUTED_VALUE"""),"Tank Hot Water OSD")</f>
        <v>Tank Hot Water OSD</v>
      </c>
      <c r="E48" s="3" t="str">
        <f>IFERROR(__xludf.DUMMYFUNCTION("""COMPUTED_VALUE"""),"EJO/2024/12/158")</f>
        <v>EJO/2024/12/158</v>
      </c>
      <c r="F48" s="3" t="str">
        <f>IFERROR(__xludf.DUMMYFUNCTION("""COMPUTED_VALUE"""),"General - ELBOW PVC AW 2"" ; Rucika; -; 1 pc")</f>
        <v>General - ELBOW PVC AW 2" ; Rucika; -; 1 pc</v>
      </c>
      <c r="G48" s="3">
        <f>IFERROR(__xludf.DUMMYFUNCTION("""COMPUTED_VALUE"""),4.0)</f>
        <v>4</v>
      </c>
      <c r="H48" s="3" t="str">
        <f>IFERROR(__xludf.DUMMYFUNCTION("""COMPUTED_VALUE"""),"Pc")</f>
        <v>Pc</v>
      </c>
      <c r="I48" s="3" t="str">
        <f>IFERROR(__xludf.DUMMYFUNCTION("""COMPUTED_VALUE"""),"Deliver")</f>
        <v>Deliver</v>
      </c>
      <c r="J48" s="3" t="str">
        <f>IFERROR(__xludf.DUMMYFUNCTION("""COMPUTED_VALUE"""),"-")</f>
        <v>-</v>
      </c>
      <c r="K48" s="3" t="str">
        <f>IFERROR(__xludf.DUMMYFUNCTION("""COMPUTED_VALUE"""),"-")</f>
        <v>-</v>
      </c>
    </row>
    <row r="49">
      <c r="A49" s="3" t="str">
        <f>IFERROR(__xludf.DUMMYFUNCTION("""COMPUTED_VALUE"""),"SHFRO0003")</f>
        <v>SHFRO0003</v>
      </c>
      <c r="B49" s="4">
        <f>IFERROR(__xludf.DUMMYFUNCTION("""COMPUTED_VALUE"""),45712.503166400464)</f>
        <v>45712.50317</v>
      </c>
      <c r="C49" s="3">
        <f>IFERROR(__xludf.DUMMYFUNCTION("""COMPUTED_VALUE"""),45723.651759155095)</f>
        <v>45723.65176</v>
      </c>
      <c r="D49" s="3" t="str">
        <f>IFERROR(__xludf.DUMMYFUNCTION("""COMPUTED_VALUE"""),"Tank Hot Water OSD")</f>
        <v>Tank Hot Water OSD</v>
      </c>
      <c r="E49" s="3" t="str">
        <f>IFERROR(__xludf.DUMMYFUNCTION("""COMPUTED_VALUE"""),"EJO/2024/12/158")</f>
        <v>EJO/2024/12/158</v>
      </c>
      <c r="F49" s="3" t="str">
        <f>IFERROR(__xludf.DUMMYFUNCTION("""COMPUTED_VALUE"""),"Elbow PVC AW 45 deg dia 2 Inch; ; ;")</f>
        <v>Elbow PVC AW 45 deg dia 2 Inch; ; ;</v>
      </c>
      <c r="G49" s="3">
        <f>IFERROR(__xludf.DUMMYFUNCTION("""COMPUTED_VALUE"""),4.0)</f>
        <v>4</v>
      </c>
      <c r="H49" s="3" t="str">
        <f>IFERROR(__xludf.DUMMYFUNCTION("""COMPUTED_VALUE"""),"Pc")</f>
        <v>Pc</v>
      </c>
      <c r="I49" s="3" t="str">
        <f>IFERROR(__xludf.DUMMYFUNCTION("""COMPUTED_VALUE"""),"Deliver")</f>
        <v>Deliver</v>
      </c>
      <c r="J49" s="3" t="str">
        <f>IFERROR(__xludf.DUMMYFUNCTION("""COMPUTED_VALUE"""),"-")</f>
        <v>-</v>
      </c>
      <c r="K49" s="3" t="str">
        <f>IFERROR(__xludf.DUMMYFUNCTION("""COMPUTED_VALUE"""),"-")</f>
        <v>-</v>
      </c>
    </row>
    <row r="50">
      <c r="A50" s="3" t="str">
        <f>IFERROR(__xludf.DUMMYFUNCTION("""COMPUTED_VALUE"""),"RIARO0016")</f>
        <v>RIARO0016</v>
      </c>
      <c r="B50" s="4">
        <f>IFERROR(__xludf.DUMMYFUNCTION("""COMPUTED_VALUE"""),45712.50946371528)</f>
        <v>45712.50946</v>
      </c>
      <c r="C50" s="3">
        <f>IFERROR(__xludf.DUMMYFUNCTION("""COMPUTED_VALUE"""),45713.7385360301)</f>
        <v>45713.73854</v>
      </c>
      <c r="D50" s="3" t="str">
        <f>IFERROR(__xludf.DUMMYFUNCTION("""COMPUTED_VALUE"""),"TOC WFI SKID")</f>
        <v>TOC WFI SKID</v>
      </c>
      <c r="E50" s="3" t="str">
        <f>IFERROR(__xludf.DUMMYFUNCTION("""COMPUTED_VALUE"""),"-")</f>
        <v>-</v>
      </c>
      <c r="F50" s="3" t="str">
        <f>IFERROR(__xludf.DUMMYFUNCTION("""COMPUTED_VALUE"""),"Sample Pump Head for TOC Sievers M500; ; ;")</f>
        <v>Sample Pump Head for TOC Sievers M500; ; ;</v>
      </c>
      <c r="G50" s="3">
        <f>IFERROR(__xludf.DUMMYFUNCTION("""COMPUTED_VALUE"""),1.0)</f>
        <v>1</v>
      </c>
      <c r="H50" s="3" t="str">
        <f>IFERROR(__xludf.DUMMYFUNCTION("""COMPUTED_VALUE"""),"Set")</f>
        <v>Set</v>
      </c>
      <c r="I50" s="3" t="str">
        <f>IFERROR(__xludf.DUMMYFUNCTION("""COMPUTED_VALUE"""),"Deliver")</f>
        <v>Deliver</v>
      </c>
      <c r="J50" s="3" t="str">
        <f>IFERROR(__xludf.DUMMYFUNCTION("""COMPUTED_VALUE"""),"-")</f>
        <v>-</v>
      </c>
      <c r="K50" s="3" t="str">
        <f>IFERROR(__xludf.DUMMYFUNCTION("""COMPUTED_VALUE"""),"-")</f>
        <v>-</v>
      </c>
    </row>
    <row r="51">
      <c r="A51" s="3" t="str">
        <f>IFERROR(__xludf.DUMMYFUNCTION("""COMPUTED_VALUE"""),"RIARO0017")</f>
        <v>RIARO0017</v>
      </c>
      <c r="B51" s="4">
        <f>IFERROR(__xludf.DUMMYFUNCTION("""COMPUTED_VALUE"""),45712.50997244213)</f>
        <v>45712.50997</v>
      </c>
      <c r="C51" s="3">
        <f>IFERROR(__xludf.DUMMYFUNCTION("""COMPUTED_VALUE"""),45713.738795150464)</f>
        <v>45713.7388</v>
      </c>
      <c r="D51" s="3" t="str">
        <f>IFERROR(__xludf.DUMMYFUNCTION("""COMPUTED_VALUE"""),"TOC WFI SKID")</f>
        <v>TOC WFI SKID</v>
      </c>
      <c r="E51" s="3" t="str">
        <f>IFERROR(__xludf.DUMMYFUNCTION("""COMPUTED_VALUE"""),"-")</f>
        <v>-</v>
      </c>
      <c r="F51" s="3" t="str">
        <f>IFERROR(__xludf.DUMMYFUNCTION("""COMPUTED_VALUE"""),"UV lamp for TOC Sievers M500; TOC Sievers; ; pack size per pc")</f>
        <v>UV lamp for TOC Sievers M500; TOC Sievers; ; pack size per pc</v>
      </c>
      <c r="G51" s="3">
        <f>IFERROR(__xludf.DUMMYFUNCTION("""COMPUTED_VALUE"""),2.0)</f>
        <v>2</v>
      </c>
      <c r="H51" s="3" t="str">
        <f>IFERROR(__xludf.DUMMYFUNCTION("""COMPUTED_VALUE"""),"Pcs")</f>
        <v>Pcs</v>
      </c>
      <c r="I51" s="3" t="str">
        <f>IFERROR(__xludf.DUMMYFUNCTION("""COMPUTED_VALUE"""),"Deliver")</f>
        <v>Deliver</v>
      </c>
      <c r="J51" s="3" t="str">
        <f>IFERROR(__xludf.DUMMYFUNCTION("""COMPUTED_VALUE"""),"-")</f>
        <v>-</v>
      </c>
      <c r="K51" s="3" t="str">
        <f>IFERROR(__xludf.DUMMYFUNCTION("""COMPUTED_VALUE"""),"-")</f>
        <v>-</v>
      </c>
    </row>
    <row r="52">
      <c r="A52" s="3" t="str">
        <f>IFERROR(__xludf.DUMMYFUNCTION("""COMPUTED_VALUE"""),"RIARO0018")</f>
        <v>RIARO0018</v>
      </c>
      <c r="B52" s="4">
        <f>IFERROR(__xludf.DUMMYFUNCTION("""COMPUTED_VALUE"""),45712.510523680554)</f>
        <v>45712.51052</v>
      </c>
      <c r="C52" s="3">
        <f>IFERROR(__xludf.DUMMYFUNCTION("""COMPUTED_VALUE"""),45713.73900954861)</f>
        <v>45713.73901</v>
      </c>
      <c r="D52" s="3" t="str">
        <f>IFERROR(__xludf.DUMMYFUNCTION("""COMPUTED_VALUE"""),"TOC WFI SKID")</f>
        <v>TOC WFI SKID</v>
      </c>
      <c r="E52" s="3" t="str">
        <f>IFERROR(__xludf.DUMMYFUNCTION("""COMPUTED_VALUE"""),"-")</f>
        <v>-</v>
      </c>
      <c r="F52" s="3" t="str">
        <f>IFERROR(__xludf.DUMMYFUNCTION("""COMPUTED_VALUE"""),"Resin Bed Replacement for TOC Sievers M500; ; ;")</f>
        <v>Resin Bed Replacement for TOC Sievers M500; ; ;</v>
      </c>
      <c r="G52" s="3">
        <f>IFERROR(__xludf.DUMMYFUNCTION("""COMPUTED_VALUE"""),1.0)</f>
        <v>1</v>
      </c>
      <c r="H52" s="3" t="str">
        <f>IFERROR(__xludf.DUMMYFUNCTION("""COMPUTED_VALUE"""),"Pcs")</f>
        <v>Pcs</v>
      </c>
      <c r="I52" s="3" t="str">
        <f>IFERROR(__xludf.DUMMYFUNCTION("""COMPUTED_VALUE"""),"Deliver")</f>
        <v>Deliver</v>
      </c>
      <c r="J52" s="3" t="str">
        <f>IFERROR(__xludf.DUMMYFUNCTION("""COMPUTED_VALUE"""),"-")</f>
        <v>-</v>
      </c>
      <c r="K52" s="3" t="str">
        <f>IFERROR(__xludf.DUMMYFUNCTION("""COMPUTED_VALUE"""),"-")</f>
        <v>-</v>
      </c>
    </row>
    <row r="53">
      <c r="A53" s="3" t="str">
        <f>IFERROR(__xludf.DUMMYFUNCTION("""COMPUTED_VALUE"""),"RIARO0019")</f>
        <v>RIARO0019</v>
      </c>
      <c r="B53" s="4">
        <f>IFERROR(__xludf.DUMMYFUNCTION("""COMPUTED_VALUE"""),45712.51167266203)</f>
        <v>45712.51167</v>
      </c>
      <c r="C53" s="3">
        <f>IFERROR(__xludf.DUMMYFUNCTION("""COMPUTED_VALUE"""),45713.73983664352)</f>
        <v>45713.73984</v>
      </c>
      <c r="D53" s="3" t="str">
        <f>IFERROR(__xludf.DUMMYFUNCTION("""COMPUTED_VALUE"""),"UPS 40KVA")</f>
        <v>UPS 40KVA</v>
      </c>
      <c r="E53" s="3" t="str">
        <f>IFERROR(__xludf.DUMMYFUNCTION("""COMPUTED_VALUE"""),"EJO/2024/11/89")</f>
        <v>EJO/2024/11/89</v>
      </c>
      <c r="F53" s="3" t="str">
        <f>IFERROR(__xludf.DUMMYFUNCTION("""COMPUTED_VALUE"""),"General - Accu 6FM40, Baterai Kering, 12 V, 40 Ah; Vision; -; 1 pcs")</f>
        <v>General - Accu 6FM40, Baterai Kering, 12 V, 40 Ah; Vision; -; 1 pcs</v>
      </c>
      <c r="G53" s="3">
        <f>IFERROR(__xludf.DUMMYFUNCTION("""COMPUTED_VALUE"""),32.0)</f>
        <v>32</v>
      </c>
      <c r="H53" s="3" t="str">
        <f>IFERROR(__xludf.DUMMYFUNCTION("""COMPUTED_VALUE"""),"Pcs")</f>
        <v>Pcs</v>
      </c>
      <c r="I53" s="3" t="str">
        <f>IFERROR(__xludf.DUMMYFUNCTION("""COMPUTED_VALUE"""),"Deliver")</f>
        <v>Deliver</v>
      </c>
      <c r="J53" s="3" t="str">
        <f>IFERROR(__xludf.DUMMYFUNCTION("""COMPUTED_VALUE"""),"-")</f>
        <v>-</v>
      </c>
      <c r="K53" s="3" t="str">
        <f>IFERROR(__xludf.DUMMYFUNCTION("""COMPUTED_VALUE"""),"-")</f>
        <v>-</v>
      </c>
    </row>
    <row r="54">
      <c r="A54" s="3" t="str">
        <f>IFERROR(__xludf.DUMMYFUNCTION("""COMPUTED_VALUE"""),"RIARO0020")</f>
        <v>RIARO0020</v>
      </c>
      <c r="B54" s="4">
        <f>IFERROR(__xludf.DUMMYFUNCTION("""COMPUTED_VALUE"""),45712.512104594905)</f>
        <v>45712.5121</v>
      </c>
      <c r="C54" s="3">
        <f>IFERROR(__xludf.DUMMYFUNCTION("""COMPUTED_VALUE"""),45713.7402378588)</f>
        <v>45713.74024</v>
      </c>
      <c r="D54" s="3" t="str">
        <f>IFERROR(__xludf.DUMMYFUNCTION("""COMPUTED_VALUE"""),"UPS 40KVA")</f>
        <v>UPS 40KVA</v>
      </c>
      <c r="E54" s="3" t="str">
        <f>IFERROR(__xludf.DUMMYFUNCTION("""COMPUTED_VALUE"""),"EJO/2024/11/89")</f>
        <v>EJO/2024/11/89</v>
      </c>
      <c r="F54" s="3" t="str">
        <f>IFERROR(__xludf.DUMMYFUNCTION("""COMPUTED_VALUE"""),"Capacitor 50F 250VAC 25A 5% Screw (KMT) P/N : 6R 01502010; ; ;")</f>
        <v>Capacitor 50F 250VAC 25A 5% Screw (KMT) P/N : 6R 01502010; ; ;</v>
      </c>
      <c r="G54" s="3">
        <f>IFERROR(__xludf.DUMMYFUNCTION("""COMPUTED_VALUE"""),10.0)</f>
        <v>10</v>
      </c>
      <c r="H54" s="3" t="str">
        <f>IFERROR(__xludf.DUMMYFUNCTION("""COMPUTED_VALUE"""),"Pcs")</f>
        <v>Pcs</v>
      </c>
      <c r="I54" s="3" t="str">
        <f>IFERROR(__xludf.DUMMYFUNCTION("""COMPUTED_VALUE"""),"Deliver")</f>
        <v>Deliver</v>
      </c>
      <c r="J54" s="3" t="str">
        <f>IFERROR(__xludf.DUMMYFUNCTION("""COMPUTED_VALUE"""),"-")</f>
        <v>-</v>
      </c>
      <c r="K54" s="3" t="str">
        <f>IFERROR(__xludf.DUMMYFUNCTION("""COMPUTED_VALUE"""),"-")</f>
        <v>-</v>
      </c>
    </row>
    <row r="55">
      <c r="A55" s="3" t="str">
        <f>IFERROR(__xludf.DUMMYFUNCTION("""COMPUTED_VALUE"""),"ANORO0004")</f>
        <v>ANORO0004</v>
      </c>
      <c r="B55" s="4">
        <f>IFERROR(__xludf.DUMMYFUNCTION("""COMPUTED_VALUE"""),45712.56990068287)</f>
        <v>45712.5699</v>
      </c>
      <c r="C55" s="3">
        <f>IFERROR(__xludf.DUMMYFUNCTION("""COMPUTED_VALUE"""),45712.99018756945)</f>
        <v>45712.99019</v>
      </c>
      <c r="D55" s="3" t="str">
        <f>IFERROR(__xludf.DUMMYFUNCTION("""COMPUTED_VALUE"""),"Autoclave Decontam")</f>
        <v>Autoclave Decontam</v>
      </c>
      <c r="E55" s="3" t="str">
        <f>IFERROR(__xludf.DUMMYFUNCTION("""COMPUTED_VALUE"""),"EJO/2025/02/170")</f>
        <v>EJO/2025/02/170</v>
      </c>
      <c r="F55" s="3" t="str">
        <f>IFERROR(__xludf.DUMMYFUNCTION("""COMPUTED_VALUE"""),"Ball Valve SS 316 1/2"" 1000 WOG SANKYO")</f>
        <v>Ball Valve SS 316 1/2" 1000 WOG SANKYO</v>
      </c>
      <c r="G55" s="3">
        <f>IFERROR(__xludf.DUMMYFUNCTION("""COMPUTED_VALUE"""),3.0)</f>
        <v>3</v>
      </c>
      <c r="H55" s="3" t="str">
        <f>IFERROR(__xludf.DUMMYFUNCTION("""COMPUTED_VALUE"""),"pcs")</f>
        <v>pcs</v>
      </c>
      <c r="I55" s="3" t="str">
        <f>IFERROR(__xludf.DUMMYFUNCTION("""COMPUTED_VALUE"""),"Deliver")</f>
        <v>Deliver</v>
      </c>
      <c r="J55" s="3" t="str">
        <f>IFERROR(__xludf.DUMMYFUNCTION("""COMPUTED_VALUE"""),"-")</f>
        <v>-</v>
      </c>
      <c r="K55" s="3" t="str">
        <f>IFERROR(__xludf.DUMMYFUNCTION("""COMPUTED_VALUE"""),"-")</f>
        <v>-</v>
      </c>
    </row>
    <row r="56">
      <c r="A56" s="3" t="str">
        <f>IFERROR(__xludf.DUMMYFUNCTION("""COMPUTED_VALUE"""),"SHFRO0004")</f>
        <v>SHFRO0004</v>
      </c>
      <c r="B56" s="4">
        <f>IFERROR(__xludf.DUMMYFUNCTION("""COMPUTED_VALUE"""),45713.40445349537)</f>
        <v>45713.40445</v>
      </c>
      <c r="C56" s="3">
        <f>IFERROR(__xludf.DUMMYFUNCTION("""COMPUTED_VALUE"""),45723.649419375)</f>
        <v>45723.64942</v>
      </c>
      <c r="D56" s="3" t="str">
        <f>IFERROR(__xludf.DUMMYFUNCTION("""COMPUTED_VALUE"""),"Tank Hot Water OSD")</f>
        <v>Tank Hot Water OSD</v>
      </c>
      <c r="E56" s="3" t="str">
        <f>IFERROR(__xludf.DUMMYFUNCTION("""COMPUTED_VALUE"""),"EJO/2024/12/158")</f>
        <v>EJO/2024/12/158</v>
      </c>
      <c r="F56" s="3" t="str">
        <f>IFERROR(__xludf.DUMMYFUNCTION("""COMPUTED_VALUE"""),"Ball Valve PVC 2""")</f>
        <v>Ball Valve PVC 2"</v>
      </c>
      <c r="G56" s="3">
        <f>IFERROR(__xludf.DUMMYFUNCTION("""COMPUTED_VALUE"""),2.0)</f>
        <v>2</v>
      </c>
      <c r="H56" s="3" t="str">
        <f>IFERROR(__xludf.DUMMYFUNCTION("""COMPUTED_VALUE"""),"Pcs")</f>
        <v>Pcs</v>
      </c>
      <c r="I56" s="3" t="str">
        <f>IFERROR(__xludf.DUMMYFUNCTION("""COMPUTED_VALUE"""),"Deliver")</f>
        <v>Deliver</v>
      </c>
      <c r="J56" s="3" t="str">
        <f>IFERROR(__xludf.DUMMYFUNCTION("""COMPUTED_VALUE"""),"-")</f>
        <v>-</v>
      </c>
      <c r="K56" s="3" t="str">
        <f>IFERROR(__xludf.DUMMYFUNCTION("""COMPUTED_VALUE"""),"-")</f>
        <v>-</v>
      </c>
    </row>
    <row r="57">
      <c r="A57" s="3" t="str">
        <f>IFERROR(__xludf.DUMMYFUNCTION("""COMPUTED_VALUE"""),"RIARO0022")</f>
        <v>RIARO0022</v>
      </c>
      <c r="B57" s="4">
        <f>IFERROR(__xludf.DUMMYFUNCTION("""COMPUTED_VALUE"""),45720.86735175926)</f>
        <v>45720.86735</v>
      </c>
      <c r="C57" s="3">
        <f>IFERROR(__xludf.DUMMYFUNCTION("""COMPUTED_VALUE"""),45723.653454363426)</f>
        <v>45723.65345</v>
      </c>
      <c r="D57" s="3" t="str">
        <f>IFERROR(__xludf.DUMMYFUNCTION("""COMPUTED_VALUE"""),"PW SKID")</f>
        <v>PW SKID</v>
      </c>
      <c r="E57" s="3" t="str">
        <f>IFERROR(__xludf.DUMMYFUNCTION("""COMPUTED_VALUE"""),"-")</f>
        <v>-</v>
      </c>
      <c r="F57" s="3" t="str">
        <f>IFERROR(__xludf.DUMMYFUNCTION("""COMPUTED_VALUE"""),"Membrane Diaphragm Valve EPDM PTFE DN 25 Gemu KRISNA DWI MITRA P/N : 600 25M 17 pc")</f>
        <v>Membrane Diaphragm Valve EPDM PTFE DN 25 Gemu KRISNA DWI MITRA P/N : 600 25M 17 pc</v>
      </c>
      <c r="G57" s="3">
        <f>IFERROR(__xludf.DUMMYFUNCTION("""COMPUTED_VALUE"""),5.0)</f>
        <v>5</v>
      </c>
      <c r="H57" s="3" t="str">
        <f>IFERROR(__xludf.DUMMYFUNCTION("""COMPUTED_VALUE"""),"Pcs")</f>
        <v>Pcs</v>
      </c>
      <c r="I57" s="3" t="str">
        <f>IFERROR(__xludf.DUMMYFUNCTION("""COMPUTED_VALUE"""),"Deliver")</f>
        <v>Deliver</v>
      </c>
      <c r="J57" s="3" t="str">
        <f>IFERROR(__xludf.DUMMYFUNCTION("""COMPUTED_VALUE"""),"-")</f>
        <v>-</v>
      </c>
      <c r="K57" s="3" t="str">
        <f>IFERROR(__xludf.DUMMYFUNCTION("""COMPUTED_VALUE"""),"-")</f>
        <v>-</v>
      </c>
    </row>
    <row r="58">
      <c r="A58" s="3" t="str">
        <f>IFERROR(__xludf.DUMMYFUNCTION("""COMPUTED_VALUE"""),"RIARO0023")</f>
        <v>RIARO0023</v>
      </c>
      <c r="B58" s="4">
        <f>IFERROR(__xludf.DUMMYFUNCTION("""COMPUTED_VALUE"""),45720.871782905095)</f>
        <v>45720.87178</v>
      </c>
      <c r="C58" s="3">
        <f>IFERROR(__xludf.DUMMYFUNCTION("""COMPUTED_VALUE"""),45723.653291608796)</f>
        <v>45723.65329</v>
      </c>
      <c r="D58" s="3" t="str">
        <f>IFERROR(__xludf.DUMMYFUNCTION("""COMPUTED_VALUE"""),"PW SKID")</f>
        <v>PW SKID</v>
      </c>
      <c r="E58" s="3" t="str">
        <f>IFERROR(__xludf.DUMMYFUNCTION("""COMPUTED_VALUE"""),"-")</f>
        <v>-</v>
      </c>
      <c r="F58" s="3" t="str">
        <f>IFERROR(__xludf.DUMMYFUNCTION("""COMPUTED_VALUE"""),"Membrane Valve PTFE/EPDM DN15 type 612 GEMU; ; ;")</f>
        <v>Membrane Valve PTFE/EPDM DN15 type 612 GEMU; ; ;</v>
      </c>
      <c r="G58" s="3">
        <f>IFERROR(__xludf.DUMMYFUNCTION("""COMPUTED_VALUE"""),5.0)</f>
        <v>5</v>
      </c>
      <c r="H58" s="3" t="str">
        <f>IFERROR(__xludf.DUMMYFUNCTION("""COMPUTED_VALUE"""),"Pcs")</f>
        <v>Pcs</v>
      </c>
      <c r="I58" s="3" t="str">
        <f>IFERROR(__xludf.DUMMYFUNCTION("""COMPUTED_VALUE"""),"Deliver")</f>
        <v>Deliver</v>
      </c>
      <c r="J58" s="3" t="str">
        <f>IFERROR(__xludf.DUMMYFUNCTION("""COMPUTED_VALUE"""),"-")</f>
        <v>-</v>
      </c>
      <c r="K58" s="3" t="str">
        <f>IFERROR(__xludf.DUMMYFUNCTION("""COMPUTED_VALUE"""),"-")</f>
        <v>-</v>
      </c>
    </row>
    <row r="59">
      <c r="A59" s="3" t="str">
        <f>IFERROR(__xludf.DUMMYFUNCTION("""COMPUTED_VALUE"""),"RIARO0024")</f>
        <v>RIARO0024</v>
      </c>
      <c r="B59" s="4">
        <f>IFERROR(__xludf.DUMMYFUNCTION("""COMPUTED_VALUE"""),45720.9661524074)</f>
        <v>45720.96615</v>
      </c>
      <c r="C59" s="3">
        <f>IFERROR(__xludf.DUMMYFUNCTION("""COMPUTED_VALUE"""),45723.65293586806)</f>
        <v>45723.65294</v>
      </c>
      <c r="D59" s="3" t="str">
        <f>IFERROR(__xludf.DUMMYFUNCTION("""COMPUTED_VALUE"""),"Wet Lab")</f>
        <v>Wet Lab</v>
      </c>
      <c r="E59" s="3" t="str">
        <f>IFERROR(__xludf.DUMMYFUNCTION("""COMPUTED_VALUE"""),"EJO/2025/03/01")</f>
        <v>EJO/2025/03/01</v>
      </c>
      <c r="F59" s="3" t="str">
        <f>IFERROR(__xludf.DUMMYFUNCTION("""COMPUTED_VALUE"""),"General - Ceiling Exhaust Fan; KDK; FV-25TGU5; 1 Pc")</f>
        <v>General - Ceiling Exhaust Fan; KDK; FV-25TGU5; 1 Pc</v>
      </c>
      <c r="G59" s="3">
        <f>IFERROR(__xludf.DUMMYFUNCTION("""COMPUTED_VALUE"""),1.0)</f>
        <v>1</v>
      </c>
      <c r="H59" s="3" t="str">
        <f>IFERROR(__xludf.DUMMYFUNCTION("""COMPUTED_VALUE"""),"Pcs")</f>
        <v>Pcs</v>
      </c>
      <c r="I59" s="3" t="str">
        <f>IFERROR(__xludf.DUMMYFUNCTION("""COMPUTED_VALUE"""),"Deliver")</f>
        <v>Deliver</v>
      </c>
      <c r="J59" s="3" t="str">
        <f>IFERROR(__xludf.DUMMYFUNCTION("""COMPUTED_VALUE"""),"-")</f>
        <v>-</v>
      </c>
      <c r="K59" s="3" t="str">
        <f>IFERROR(__xludf.DUMMYFUNCTION("""COMPUTED_VALUE"""),"-")</f>
        <v>-</v>
      </c>
    </row>
    <row r="60">
      <c r="A60" s="3" t="str">
        <f>IFERROR(__xludf.DUMMYFUNCTION("""COMPUTED_VALUE"""),"ROSRO0001")</f>
        <v>ROSRO0001</v>
      </c>
      <c r="B60" s="4">
        <f>IFERROR(__xludf.DUMMYFUNCTION("""COMPUTED_VALUE"""),45723.63803334491)</f>
        <v>45723.63803</v>
      </c>
      <c r="C60" s="3">
        <f>IFERROR(__xludf.DUMMYFUNCTION("""COMPUTED_VALUE"""),45729.47068056713)</f>
        <v>45729.47068</v>
      </c>
      <c r="D60" s="3" t="str">
        <f>IFERROR(__xludf.DUMMYFUNCTION("""COMPUTED_VALUE"""),"refigerator GEA")</f>
        <v>refigerator GEA</v>
      </c>
      <c r="E60" s="3" t="str">
        <f>IFERROR(__xludf.DUMMYFUNCTION("""COMPUTED_VALUE"""),"EJO/2023/02/60")</f>
        <v>EJO/2023/02/60</v>
      </c>
      <c r="F60" s="3" t="str">
        <f>IFERROR(__xludf.DUMMYFUNCTION("""COMPUTED_VALUE"""),"Cable Temperature Sensor Silicone 1,5m PT1000 QAP2012.150")</f>
        <v>Cable Temperature Sensor Silicone 1,5m PT1000 QAP2012.150</v>
      </c>
      <c r="G60" s="3">
        <f>IFERROR(__xludf.DUMMYFUNCTION("""COMPUTED_VALUE"""),4.0)</f>
        <v>4</v>
      </c>
      <c r="H60" s="3" t="str">
        <f>IFERROR(__xludf.DUMMYFUNCTION("""COMPUTED_VALUE"""),"pcs")</f>
        <v>pcs</v>
      </c>
      <c r="I60" s="3" t="str">
        <f>IFERROR(__xludf.DUMMYFUNCTION("""COMPUTED_VALUE"""),"Deliver")</f>
        <v>Deliver</v>
      </c>
      <c r="J60" s="3" t="str">
        <f>IFERROR(__xludf.DUMMYFUNCTION("""COMPUTED_VALUE"""),"-")</f>
        <v>-</v>
      </c>
      <c r="K60" s="3" t="str">
        <f>IFERROR(__xludf.DUMMYFUNCTION("""COMPUTED_VALUE"""),"-")</f>
        <v>-</v>
      </c>
    </row>
    <row r="61">
      <c r="A61" s="3" t="str">
        <f>IFERROR(__xludf.DUMMYFUNCTION("""COMPUTED_VALUE"""),"MOBRO0025")</f>
        <v>MOBRO0025</v>
      </c>
      <c r="B61" s="4">
        <f>IFERROR(__xludf.DUMMYFUNCTION("""COMPUTED_VALUE"""),45727.048098761574)</f>
        <v>45727.0481</v>
      </c>
      <c r="C61" s="3">
        <f>IFERROR(__xludf.DUMMYFUNCTION("""COMPUTED_VALUE"""),45727.726657534724)</f>
        <v>45727.72666</v>
      </c>
      <c r="D61" s="3" t="str">
        <f>IFERROR(__xludf.DUMMYFUNCTION("""COMPUTED_VALUE"""),"Plumbing")</f>
        <v>Plumbing</v>
      </c>
      <c r="E61" s="3" t="str">
        <f>IFERROR(__xludf.DUMMYFUNCTION("""COMPUTED_VALUE"""),"-")</f>
        <v>-</v>
      </c>
      <c r="F61" s="3" t="str">
        <f>IFERROR(__xludf.DUMMYFUNCTION("""COMPUTED_VALUE"""),"Pneumatic  Fitting - QS 1/2-10 / PN : 190646 / Festo")</f>
        <v>Pneumatic  Fitting - QS 1/2-10 / PN : 190646 / Festo</v>
      </c>
      <c r="G61" s="3">
        <f>IFERROR(__xludf.DUMMYFUNCTION("""COMPUTED_VALUE"""),8.0)</f>
        <v>8</v>
      </c>
      <c r="H61" s="3" t="str">
        <f>IFERROR(__xludf.DUMMYFUNCTION("""COMPUTED_VALUE"""),"Pcs")</f>
        <v>Pcs</v>
      </c>
      <c r="I61" s="3" t="str">
        <f>IFERROR(__xludf.DUMMYFUNCTION("""COMPUTED_VALUE"""),"Deliver")</f>
        <v>Deliver</v>
      </c>
      <c r="J61" s="3" t="str">
        <f>IFERROR(__xludf.DUMMYFUNCTION("""COMPUTED_VALUE"""),"-")</f>
        <v>-</v>
      </c>
      <c r="K61" s="3" t="str">
        <f>IFERROR(__xludf.DUMMYFUNCTION("""COMPUTED_VALUE"""),"-")</f>
        <v>-</v>
      </c>
    </row>
    <row r="62">
      <c r="A62" s="3" t="str">
        <f>IFERROR(__xludf.DUMMYFUNCTION("""COMPUTED_VALUE"""),"NDSRO0003")</f>
        <v>NDSRO0003</v>
      </c>
      <c r="B62" s="4">
        <f>IFERROR(__xludf.DUMMYFUNCTION("""COMPUTED_VALUE"""),45729.89329858796)</f>
        <v>45729.8933</v>
      </c>
      <c r="C62" s="3">
        <f>IFERROR(__xludf.DUMMYFUNCTION("""COMPUTED_VALUE"""),45736.68805202546)</f>
        <v>45736.68805</v>
      </c>
      <c r="D62" s="3" t="str">
        <f>IFERROR(__xludf.DUMMYFUNCTION("""COMPUTED_VALUE"""),"Tunnel")</f>
        <v>Tunnel</v>
      </c>
      <c r="E62" s="3" t="str">
        <f>IFERROR(__xludf.DUMMYFUNCTION("""COMPUTED_VALUE"""),"-")</f>
        <v>-</v>
      </c>
      <c r="F62" s="3" t="str">
        <f>IFERROR(__xludf.DUMMYFUNCTION("""COMPUTED_VALUE"""),"Selenoid Valve VSNC-FC-M52-MD-G14-F8-1B2; Festo; P/n: 577295;")</f>
        <v>Selenoid Valve VSNC-FC-M52-MD-G14-F8-1B2; Festo; P/n: 577295;</v>
      </c>
      <c r="G62" s="3">
        <f>IFERROR(__xludf.DUMMYFUNCTION("""COMPUTED_VALUE"""),2.0)</f>
        <v>2</v>
      </c>
      <c r="H62" s="3" t="str">
        <f>IFERROR(__xludf.DUMMYFUNCTION("""COMPUTED_VALUE"""),"Pcs")</f>
        <v>Pcs</v>
      </c>
      <c r="I62" s="3" t="str">
        <f>IFERROR(__xludf.DUMMYFUNCTION("""COMPUTED_VALUE"""),"Deliver")</f>
        <v>Deliver</v>
      </c>
      <c r="J62" s="3" t="str">
        <f>IFERROR(__xludf.DUMMYFUNCTION("""COMPUTED_VALUE"""),"-")</f>
        <v>-</v>
      </c>
      <c r="K62" s="3" t="str">
        <f>IFERROR(__xludf.DUMMYFUNCTION("""COMPUTED_VALUE"""),"-")</f>
        <v>-</v>
      </c>
    </row>
    <row r="63">
      <c r="A63" s="3" t="str">
        <f>IFERROR(__xludf.DUMMYFUNCTION("""COMPUTED_VALUE"""),"MOBRO0026")</f>
        <v>MOBRO0026</v>
      </c>
      <c r="B63" s="4">
        <f>IFERROR(__xludf.DUMMYFUNCTION("""COMPUTED_VALUE"""),45729.97195557871)</f>
        <v>45729.97196</v>
      </c>
      <c r="C63" s="3">
        <f>IFERROR(__xludf.DUMMYFUNCTION("""COMPUTED_VALUE"""),45735.372606053235)</f>
        <v>45735.37261</v>
      </c>
      <c r="D63" s="3" t="str">
        <f>IFERROR(__xludf.DUMMYFUNCTION("""COMPUTED_VALUE"""),"Pneumatic Fitting")</f>
        <v>Pneumatic Fitting</v>
      </c>
      <c r="E63" s="3" t="str">
        <f>IFERROR(__xludf.DUMMYFUNCTION("""COMPUTED_VALUE"""),"-")</f>
        <v>-</v>
      </c>
      <c r="F63" s="3" t="str">
        <f>IFERROR(__xludf.DUMMYFUNCTION("""COMPUTED_VALUE"""),"General - Push-in Connector, QS-8-6; Festo; 153038; 1 pcs")</f>
        <v>General - Push-in Connector, QS-8-6; Festo; 153038; 1 pcs</v>
      </c>
      <c r="G63" s="3">
        <f>IFERROR(__xludf.DUMMYFUNCTION("""COMPUTED_VALUE"""),8.0)</f>
        <v>8</v>
      </c>
      <c r="H63" s="3" t="str">
        <f>IFERROR(__xludf.DUMMYFUNCTION("""COMPUTED_VALUE"""),"Pcs")</f>
        <v>Pcs</v>
      </c>
      <c r="I63" s="3" t="str">
        <f>IFERROR(__xludf.DUMMYFUNCTION("""COMPUTED_VALUE"""),"Deliver")</f>
        <v>Deliver</v>
      </c>
      <c r="J63" s="3" t="str">
        <f>IFERROR(__xludf.DUMMYFUNCTION("""COMPUTED_VALUE"""),"-")</f>
        <v>-</v>
      </c>
      <c r="K63" s="3" t="str">
        <f>IFERROR(__xludf.DUMMYFUNCTION("""COMPUTED_VALUE"""),"-")</f>
        <v>-</v>
      </c>
    </row>
    <row r="64">
      <c r="A64" s="3" t="str">
        <f>IFERROR(__xludf.DUMMYFUNCTION("""COMPUTED_VALUE"""),"MOBRO0027")</f>
        <v>MOBRO0027</v>
      </c>
      <c r="B64" s="4">
        <f>IFERROR(__xludf.DUMMYFUNCTION("""COMPUTED_VALUE"""),45729.9726683912)</f>
        <v>45729.97267</v>
      </c>
      <c r="C64" s="3">
        <f>IFERROR(__xludf.DUMMYFUNCTION("""COMPUTED_VALUE"""),45735.3728446875)</f>
        <v>45735.37284</v>
      </c>
      <c r="D64" s="3" t="str">
        <f>IFERROR(__xludf.DUMMYFUNCTION("""COMPUTED_VALUE"""),"Pneumatic Fitting")</f>
        <v>Pneumatic Fitting</v>
      </c>
      <c r="E64" s="3" t="str">
        <f>IFERROR(__xludf.DUMMYFUNCTION("""COMPUTED_VALUE"""),"-")</f>
        <v>-</v>
      </c>
      <c r="F64" s="3" t="str">
        <f>IFERROR(__xludf.DUMMYFUNCTION("""COMPUTED_VALUE"""),"FESTO - QS-10-8 Push In Connector p/n 153039")</f>
        <v>FESTO - QS-10-8 Push In Connector p/n 153039</v>
      </c>
      <c r="G64" s="3">
        <f>IFERROR(__xludf.DUMMYFUNCTION("""COMPUTED_VALUE"""),8.0)</f>
        <v>8</v>
      </c>
      <c r="H64" s="3" t="str">
        <f>IFERROR(__xludf.DUMMYFUNCTION("""COMPUTED_VALUE"""),"Pcs")</f>
        <v>Pcs</v>
      </c>
      <c r="I64" s="3" t="str">
        <f>IFERROR(__xludf.DUMMYFUNCTION("""COMPUTED_VALUE"""),"Deliver")</f>
        <v>Deliver</v>
      </c>
      <c r="J64" s="3" t="str">
        <f>IFERROR(__xludf.DUMMYFUNCTION("""COMPUTED_VALUE"""),"-")</f>
        <v>-</v>
      </c>
      <c r="K64" s="3" t="str">
        <f>IFERROR(__xludf.DUMMYFUNCTION("""COMPUTED_VALUE"""),"-")</f>
        <v>-</v>
      </c>
    </row>
    <row r="65">
      <c r="A65" s="3" t="str">
        <f>IFERROR(__xludf.DUMMYFUNCTION("""COMPUTED_VALUE"""),"MOBRO0028")</f>
        <v>MOBRO0028</v>
      </c>
      <c r="B65" s="4">
        <f>IFERROR(__xludf.DUMMYFUNCTION("""COMPUTED_VALUE"""),45729.97299439815)</f>
        <v>45729.97299</v>
      </c>
      <c r="C65" s="3">
        <f>IFERROR(__xludf.DUMMYFUNCTION("""COMPUTED_VALUE"""),45735.3730405324)</f>
        <v>45735.37304</v>
      </c>
      <c r="D65" s="3" t="str">
        <f>IFERROR(__xludf.DUMMYFUNCTION("""COMPUTED_VALUE"""),"Pneumatic Fitting")</f>
        <v>Pneumatic Fitting</v>
      </c>
      <c r="E65" s="3" t="str">
        <f>IFERROR(__xludf.DUMMYFUNCTION("""COMPUTED_VALUE"""),"-")</f>
        <v>-</v>
      </c>
      <c r="F65" s="3" t="str">
        <f>IFERROR(__xludf.DUMMYFUNCTION("""COMPUTED_VALUE"""),"FESTO - QS-12-10 Push in Connector p/n: 153040")</f>
        <v>FESTO - QS-12-10 Push in Connector p/n: 153040</v>
      </c>
      <c r="G65" s="3">
        <f>IFERROR(__xludf.DUMMYFUNCTION("""COMPUTED_VALUE"""),8.0)</f>
        <v>8</v>
      </c>
      <c r="H65" s="3" t="str">
        <f>IFERROR(__xludf.DUMMYFUNCTION("""COMPUTED_VALUE"""),"Pcs")</f>
        <v>Pcs</v>
      </c>
      <c r="I65" s="3" t="str">
        <f>IFERROR(__xludf.DUMMYFUNCTION("""COMPUTED_VALUE"""),"Deliver")</f>
        <v>Deliver</v>
      </c>
      <c r="J65" s="3" t="str">
        <f>IFERROR(__xludf.DUMMYFUNCTION("""COMPUTED_VALUE"""),"-")</f>
        <v>-</v>
      </c>
      <c r="K65" s="3" t="str">
        <f>IFERROR(__xludf.DUMMYFUNCTION("""COMPUTED_VALUE"""),"-")</f>
        <v>-</v>
      </c>
    </row>
    <row r="66">
      <c r="A66" s="3" t="str">
        <f>IFERROR(__xludf.DUMMYFUNCTION("""COMPUTED_VALUE"""),"ROSRO0002")</f>
        <v>ROSRO0002</v>
      </c>
      <c r="B66" s="4">
        <f>IFERROR(__xludf.DUMMYFUNCTION("""COMPUTED_VALUE"""),45734.94708142361)</f>
        <v>45734.94708</v>
      </c>
      <c r="C66" s="3">
        <f>IFERROR(__xludf.DUMMYFUNCTION("""COMPUTED_VALUE"""),45735.66663653935)</f>
        <v>45735.66664</v>
      </c>
      <c r="D66" s="3" t="str">
        <f>IFERROR(__xludf.DUMMYFUNCTION("""COMPUTED_VALUE"""),"autoclave preparasi dan decontam")</f>
        <v>autoclave preparasi dan decontam</v>
      </c>
      <c r="E66" s="3" t="str">
        <f>IFERROR(__xludf.DUMMYFUNCTION("""COMPUTED_VALUE"""),"-")</f>
        <v>-</v>
      </c>
      <c r="F66" s="3" t="str">
        <f>IFERROR(__xludf.DUMMYFUNCTION("""COMPUTED_VALUE"""),"Fedegari FVA2/A1 - O-RING 15.47x3.53 ; Code : CC150170; ; ;")</f>
        <v>Fedegari FVA2/A1 - O-RING 15.47x3.53 ; Code : CC150170; ; ;</v>
      </c>
      <c r="G66" s="3">
        <f>IFERROR(__xludf.DUMMYFUNCTION("""COMPUTED_VALUE"""),20.0)</f>
        <v>20</v>
      </c>
      <c r="H66" s="3" t="str">
        <f>IFERROR(__xludf.DUMMYFUNCTION("""COMPUTED_VALUE"""),"pcs")</f>
        <v>pcs</v>
      </c>
      <c r="I66" s="3" t="str">
        <f>IFERROR(__xludf.DUMMYFUNCTION("""COMPUTED_VALUE"""),"Deliver")</f>
        <v>Deliver</v>
      </c>
      <c r="J66" s="3" t="str">
        <f>IFERROR(__xludf.DUMMYFUNCTION("""COMPUTED_VALUE"""),"-")</f>
        <v>-</v>
      </c>
      <c r="K66" s="3" t="str">
        <f>IFERROR(__xludf.DUMMYFUNCTION("""COMPUTED_VALUE"""),"-")</f>
        <v>-</v>
      </c>
    </row>
    <row r="67">
      <c r="A67" s="3" t="str">
        <f>IFERROR(__xludf.DUMMYFUNCTION("""COMPUTED_VALUE"""),"MFHRO0001")</f>
        <v>MFHRO0001</v>
      </c>
      <c r="B67" s="4">
        <f>IFERROR(__xludf.DUMMYFUNCTION("""COMPUTED_VALUE"""),45755.25170274305)</f>
        <v>45755.2517</v>
      </c>
      <c r="C67" s="3">
        <f>IFERROR(__xludf.DUMMYFUNCTION("""COMPUTED_VALUE"""),45756.238117071756)</f>
        <v>45756.23812</v>
      </c>
      <c r="D67" s="3" t="str">
        <f>IFERROR(__xludf.DUMMYFUNCTION("""COMPUTED_VALUE"""),"General")</f>
        <v>General</v>
      </c>
      <c r="E67" s="3" t="str">
        <f>IFERROR(__xludf.DUMMYFUNCTION("""COMPUTED_VALUE"""),"-")</f>
        <v>-</v>
      </c>
      <c r="F67" s="3" t="str">
        <f>IFERROR(__xludf.DUMMYFUNCTION("""COMPUTED_VALUE"""),"Silicone Sealant;Silglaze;Type N10 White;pack size per pcs")</f>
        <v>Silicone Sealant;Silglaze;Type N10 White;pack size per pcs</v>
      </c>
      <c r="G67" s="3">
        <f>IFERROR(__xludf.DUMMYFUNCTION("""COMPUTED_VALUE"""),30.0)</f>
        <v>30</v>
      </c>
      <c r="H67" s="3" t="str">
        <f>IFERROR(__xludf.DUMMYFUNCTION("""COMPUTED_VALUE"""),"Pc")</f>
        <v>Pc</v>
      </c>
      <c r="I67" s="3" t="str">
        <f>IFERROR(__xludf.DUMMYFUNCTION("""COMPUTED_VALUE"""),"Deliver")</f>
        <v>Deliver</v>
      </c>
      <c r="J67" s="3" t="str">
        <f>IFERROR(__xludf.DUMMYFUNCTION("""COMPUTED_VALUE"""),"-")</f>
        <v>-</v>
      </c>
      <c r="K67" s="3" t="str">
        <f>IFERROR(__xludf.DUMMYFUNCTION("""COMPUTED_VALUE"""),"-")</f>
        <v>-</v>
      </c>
    </row>
    <row r="68">
      <c r="A68" s="3" t="str">
        <f>IFERROR(__xludf.DUMMYFUNCTION("""COMPUTED_VALUE"""),"MFHRO0002")</f>
        <v>MFHRO0002</v>
      </c>
      <c r="B68" s="4">
        <f>IFERROR(__xludf.DUMMYFUNCTION("""COMPUTED_VALUE"""),45755.25272611112)</f>
        <v>45755.25273</v>
      </c>
      <c r="C68" s="3">
        <f>IFERROR(__xludf.DUMMYFUNCTION("""COMPUTED_VALUE"""),45756.238212662036)</f>
        <v>45756.23821</v>
      </c>
      <c r="D68" s="3" t="str">
        <f>IFERROR(__xludf.DUMMYFUNCTION("""COMPUTED_VALUE"""),"General")</f>
        <v>General</v>
      </c>
      <c r="E68" s="3" t="str">
        <f>IFERROR(__xludf.DUMMYFUNCTION("""COMPUTED_VALUE"""),"-")</f>
        <v>-</v>
      </c>
      <c r="F68" s="3" t="str">
        <f>IFERROR(__xludf.DUMMYFUNCTION("""COMPUTED_VALUE"""),"STEKER 1 PHASE, BROCO")</f>
        <v>STEKER 1 PHASE, BROCO</v>
      </c>
      <c r="G68" s="3">
        <f>IFERROR(__xludf.DUMMYFUNCTION("""COMPUTED_VALUE"""),50.0)</f>
        <v>50</v>
      </c>
      <c r="H68" s="3" t="str">
        <f>IFERROR(__xludf.DUMMYFUNCTION("""COMPUTED_VALUE"""),"Pc")</f>
        <v>Pc</v>
      </c>
      <c r="I68" s="3" t="str">
        <f>IFERROR(__xludf.DUMMYFUNCTION("""COMPUTED_VALUE"""),"Deliver")</f>
        <v>Deliver</v>
      </c>
      <c r="J68" s="3" t="str">
        <f>IFERROR(__xludf.DUMMYFUNCTION("""COMPUTED_VALUE"""),"-")</f>
        <v>-</v>
      </c>
      <c r="K68" s="3" t="str">
        <f>IFERROR(__xludf.DUMMYFUNCTION("""COMPUTED_VALUE"""),"-")</f>
        <v>-</v>
      </c>
    </row>
    <row r="69">
      <c r="A69" s="3" t="str">
        <f>IFERROR(__xludf.DUMMYFUNCTION("""COMPUTED_VALUE"""),"MFHRO0003")</f>
        <v>MFHRO0003</v>
      </c>
      <c r="B69" s="4">
        <f>IFERROR(__xludf.DUMMYFUNCTION("""COMPUTED_VALUE"""),45755.253356273155)</f>
        <v>45755.25336</v>
      </c>
      <c r="C69" s="3">
        <f>IFERROR(__xludf.DUMMYFUNCTION("""COMPUTED_VALUE"""),45756.23835168981)</f>
        <v>45756.23835</v>
      </c>
      <c r="D69" s="3" t="str">
        <f>IFERROR(__xludf.DUMMYFUNCTION("""COMPUTED_VALUE"""),"General")</f>
        <v>General</v>
      </c>
      <c r="E69" s="3" t="str">
        <f>IFERROR(__xludf.DUMMYFUNCTION("""COMPUTED_VALUE"""),"-")</f>
        <v>-</v>
      </c>
      <c r="F69" s="3" t="str">
        <f>IFERROR(__xludf.DUMMYFUNCTION("""COMPUTED_VALUE"""),"Thinner Super End/Impala @ 1 Liter")</f>
        <v>Thinner Super End/Impala @ 1 Liter</v>
      </c>
      <c r="G69" s="3">
        <f>IFERROR(__xludf.DUMMYFUNCTION("""COMPUTED_VALUE"""),10.0)</f>
        <v>10</v>
      </c>
      <c r="H69" s="3" t="str">
        <f>IFERROR(__xludf.DUMMYFUNCTION("""COMPUTED_VALUE"""),"Pc")</f>
        <v>Pc</v>
      </c>
      <c r="I69" s="3" t="str">
        <f>IFERROR(__xludf.DUMMYFUNCTION("""COMPUTED_VALUE"""),"Deliver")</f>
        <v>Deliver</v>
      </c>
      <c r="J69" s="3" t="str">
        <f>IFERROR(__xludf.DUMMYFUNCTION("""COMPUTED_VALUE"""),"-")</f>
        <v>-</v>
      </c>
      <c r="K69" s="3" t="str">
        <f>IFERROR(__xludf.DUMMYFUNCTION("""COMPUTED_VALUE"""),"-")</f>
        <v>-</v>
      </c>
    </row>
    <row r="70">
      <c r="A70" s="3" t="str">
        <f>IFERROR(__xludf.DUMMYFUNCTION("""COMPUTED_VALUE"""),"MFHRO0004")</f>
        <v>MFHRO0004</v>
      </c>
      <c r="B70" s="4">
        <f>IFERROR(__xludf.DUMMYFUNCTION("""COMPUTED_VALUE"""),45755.25370533565)</f>
        <v>45755.25371</v>
      </c>
      <c r="C70" s="3">
        <f>IFERROR(__xludf.DUMMYFUNCTION("""COMPUTED_VALUE"""),45756.238474791666)</f>
        <v>45756.23847</v>
      </c>
      <c r="D70" s="3" t="str">
        <f>IFERROR(__xludf.DUMMYFUNCTION("""COMPUTED_VALUE"""),"General")</f>
        <v>General</v>
      </c>
      <c r="E70" s="3" t="str">
        <f>IFERROR(__xludf.DUMMYFUNCTION("""COMPUTED_VALUE"""),"-")</f>
        <v>-</v>
      </c>
      <c r="F70" s="3" t="str">
        <f>IFERROR(__xludf.DUMMYFUNCTION("""COMPUTED_VALUE"""),"Silicone Sealant, Silglaze, Type N10 Clear, pack size per pcs")</f>
        <v>Silicone Sealant, Silglaze, Type N10 Clear, pack size per pcs</v>
      </c>
      <c r="G70" s="3">
        <f>IFERROR(__xludf.DUMMYFUNCTION("""COMPUTED_VALUE"""),40.0)</f>
        <v>40</v>
      </c>
      <c r="H70" s="3" t="str">
        <f>IFERROR(__xludf.DUMMYFUNCTION("""COMPUTED_VALUE"""),"Pc")</f>
        <v>Pc</v>
      </c>
      <c r="I70" s="3" t="str">
        <f>IFERROR(__xludf.DUMMYFUNCTION("""COMPUTED_VALUE"""),"Deliver")</f>
        <v>Deliver</v>
      </c>
      <c r="J70" s="3" t="str">
        <f>IFERROR(__xludf.DUMMYFUNCTION("""COMPUTED_VALUE"""),"-")</f>
        <v>-</v>
      </c>
      <c r="K70" s="3" t="str">
        <f>IFERROR(__xludf.DUMMYFUNCTION("""COMPUTED_VALUE"""),"-")</f>
        <v>-</v>
      </c>
    </row>
    <row r="71">
      <c r="A71" s="3" t="str">
        <f>IFERROR(__xludf.DUMMYFUNCTION("""COMPUTED_VALUE"""),"MFHRO0005")</f>
        <v>MFHRO0005</v>
      </c>
      <c r="B71" s="4">
        <f>IFERROR(__xludf.DUMMYFUNCTION("""COMPUTED_VALUE"""),45755.254206631944)</f>
        <v>45755.25421</v>
      </c>
      <c r="C71" s="3">
        <f>IFERROR(__xludf.DUMMYFUNCTION("""COMPUTED_VALUE"""),45756.23857725694)</f>
        <v>45756.23858</v>
      </c>
      <c r="D71" s="3" t="str">
        <f>IFERROR(__xludf.DUMMYFUNCTION("""COMPUTED_VALUE"""),"General")</f>
        <v>General</v>
      </c>
      <c r="E71" s="3" t="str">
        <f>IFERROR(__xludf.DUMMYFUNCTION("""COMPUTED_VALUE"""),"-")</f>
        <v>-</v>
      </c>
      <c r="F71" s="3" t="str">
        <f>IFERROR(__xludf.DUMMYFUNCTION("""COMPUTED_VALUE"""),"General - IsoLasi Kabel Hitam 33 (19mm x 20mm x 0.177mm); Scotch; -; 1 Pcs")</f>
        <v>General - IsoLasi Kabel Hitam 33 (19mm x 20mm x 0.177mm); Scotch; -; 1 Pcs</v>
      </c>
      <c r="G71" s="3">
        <f>IFERROR(__xludf.DUMMYFUNCTION("""COMPUTED_VALUE"""),10.0)</f>
        <v>10</v>
      </c>
      <c r="H71" s="3" t="str">
        <f>IFERROR(__xludf.DUMMYFUNCTION("""COMPUTED_VALUE"""),"Pc")</f>
        <v>Pc</v>
      </c>
      <c r="I71" s="3" t="str">
        <f>IFERROR(__xludf.DUMMYFUNCTION("""COMPUTED_VALUE"""),"Deliver")</f>
        <v>Deliver</v>
      </c>
      <c r="J71" s="3" t="str">
        <f>IFERROR(__xludf.DUMMYFUNCTION("""COMPUTED_VALUE"""),"-")</f>
        <v>-</v>
      </c>
      <c r="K71" s="3" t="str">
        <f>IFERROR(__xludf.DUMMYFUNCTION("""COMPUTED_VALUE"""),"-")</f>
        <v>-</v>
      </c>
    </row>
    <row r="72">
      <c r="A72" s="3" t="str">
        <f>IFERROR(__xludf.DUMMYFUNCTION("""COMPUTED_VALUE"""),"MFHRO0006")</f>
        <v>MFHRO0006</v>
      </c>
      <c r="B72" s="4">
        <f>IFERROR(__xludf.DUMMYFUNCTION("""COMPUTED_VALUE"""),45755.254629745374)</f>
        <v>45755.25463</v>
      </c>
      <c r="C72" s="3">
        <f>IFERROR(__xludf.DUMMYFUNCTION("""COMPUTED_VALUE"""),45756.23868001158)</f>
        <v>45756.23868</v>
      </c>
      <c r="D72" s="3" t="str">
        <f>IFERROR(__xludf.DUMMYFUNCTION("""COMPUTED_VALUE"""),"General")</f>
        <v>General</v>
      </c>
      <c r="E72" s="3" t="str">
        <f>IFERROR(__xludf.DUMMYFUNCTION("""COMPUTED_VALUE"""),"-")</f>
        <v>-</v>
      </c>
      <c r="F72" s="3" t="str">
        <f>IFERROR(__xludf.DUMMYFUNCTION("""COMPUTED_VALUE"""),"Cable Ties, 200 x 4.8 mm; SIGMA; CS 200L; Putih;100 pcs/pack")</f>
        <v>Cable Ties, 200 x 4.8 mm; SIGMA; CS 200L; Putih;100 pcs/pack</v>
      </c>
      <c r="G72" s="3">
        <f>IFERROR(__xludf.DUMMYFUNCTION("""COMPUTED_VALUE"""),10.0)</f>
        <v>10</v>
      </c>
      <c r="H72" s="3" t="str">
        <f>IFERROR(__xludf.DUMMYFUNCTION("""COMPUTED_VALUE"""),"pc")</f>
        <v>pc</v>
      </c>
      <c r="I72" s="3" t="str">
        <f>IFERROR(__xludf.DUMMYFUNCTION("""COMPUTED_VALUE"""),"Deliver")</f>
        <v>Deliver</v>
      </c>
      <c r="J72" s="3" t="str">
        <f>IFERROR(__xludf.DUMMYFUNCTION("""COMPUTED_VALUE"""),"-")</f>
        <v>-</v>
      </c>
      <c r="K72" s="3" t="str">
        <f>IFERROR(__xludf.DUMMYFUNCTION("""COMPUTED_VALUE"""),"-")</f>
        <v>-</v>
      </c>
    </row>
    <row r="73">
      <c r="A73" s="3" t="str">
        <f>IFERROR(__xludf.DUMMYFUNCTION("""COMPUTED_VALUE"""),"MFHRO0007")</f>
        <v>MFHRO0007</v>
      </c>
      <c r="B73" s="4">
        <f>IFERROR(__xludf.DUMMYFUNCTION("""COMPUTED_VALUE"""),45755.25746793982)</f>
        <v>45755.25747</v>
      </c>
      <c r="C73" s="3">
        <f>IFERROR(__xludf.DUMMYFUNCTION("""COMPUTED_VALUE"""),45756.23877582176)</f>
        <v>45756.23878</v>
      </c>
      <c r="D73" s="3" t="str">
        <f>IFERROR(__xludf.DUMMYFUNCTION("""COMPUTED_VALUE"""),"General")</f>
        <v>General</v>
      </c>
      <c r="E73" s="3" t="str">
        <f>IFERROR(__xludf.DUMMYFUNCTION("""COMPUTED_VALUE"""),"-")</f>
        <v>-</v>
      </c>
      <c r="F73" s="3" t="str">
        <f>IFERROR(__xludf.DUMMYFUNCTION("""COMPUTED_VALUE"""),"Robot Casepacker - Suction cup; VB17. single below; diameter Cup 17 mm; Vmeca; -; 1 Pc")</f>
        <v>Robot Casepacker - Suction cup; VB17. single below; diameter Cup 17 mm; Vmeca; -; 1 Pc</v>
      </c>
      <c r="G73" s="3">
        <f>IFERROR(__xludf.DUMMYFUNCTION("""COMPUTED_VALUE"""),20.0)</f>
        <v>20</v>
      </c>
      <c r="H73" s="3" t="str">
        <f>IFERROR(__xludf.DUMMYFUNCTION("""COMPUTED_VALUE"""),"pc")</f>
        <v>pc</v>
      </c>
      <c r="I73" s="3" t="str">
        <f>IFERROR(__xludf.DUMMYFUNCTION("""COMPUTED_VALUE"""),"Deliver")</f>
        <v>Deliver</v>
      </c>
      <c r="J73" s="3" t="str">
        <f>IFERROR(__xludf.DUMMYFUNCTION("""COMPUTED_VALUE"""),"-")</f>
        <v>-</v>
      </c>
      <c r="K73" s="3" t="str">
        <f>IFERROR(__xludf.DUMMYFUNCTION("""COMPUTED_VALUE"""),"-")</f>
        <v>-</v>
      </c>
    </row>
    <row r="74">
      <c r="A74" s="3" t="str">
        <f>IFERROR(__xludf.DUMMYFUNCTION("""COMPUTED_VALUE"""),"MFHRO0008")</f>
        <v>MFHRO0008</v>
      </c>
      <c r="B74" s="4">
        <f>IFERROR(__xludf.DUMMYFUNCTION("""COMPUTED_VALUE"""),45755.25936387731)</f>
        <v>45755.25936</v>
      </c>
      <c r="C74" s="3">
        <f>IFERROR(__xludf.DUMMYFUNCTION("""COMPUTED_VALUE"""),45756.23889209491)</f>
        <v>45756.23889</v>
      </c>
      <c r="D74" s="3" t="str">
        <f>IFERROR(__xludf.DUMMYFUNCTION("""COMPUTED_VALUE"""),"General")</f>
        <v>General</v>
      </c>
      <c r="E74" s="3" t="str">
        <f>IFERROR(__xludf.DUMMYFUNCTION("""COMPUTED_VALUE"""),"-")</f>
        <v>-</v>
      </c>
      <c r="F74" s="3" t="str">
        <f>IFERROR(__xludf.DUMMYFUNCTION("""COMPUTED_VALUE"""),"Majun AA, No Brand, Budhi Supplies, pack size per kg")</f>
        <v>Majun AA, No Brand, Budhi Supplies, pack size per kg</v>
      </c>
      <c r="G74" s="3">
        <f>IFERROR(__xludf.DUMMYFUNCTION("""COMPUTED_VALUE"""),80.0)</f>
        <v>80</v>
      </c>
      <c r="H74" s="3" t="str">
        <f>IFERROR(__xludf.DUMMYFUNCTION("""COMPUTED_VALUE"""),"Kg")</f>
        <v>Kg</v>
      </c>
      <c r="I74" s="3" t="str">
        <f>IFERROR(__xludf.DUMMYFUNCTION("""COMPUTED_VALUE"""),"Deliver")</f>
        <v>Deliver</v>
      </c>
      <c r="J74" s="3" t="str">
        <f>IFERROR(__xludf.DUMMYFUNCTION("""COMPUTED_VALUE"""),"-")</f>
        <v>-</v>
      </c>
      <c r="K74" s="3" t="str">
        <f>IFERROR(__xludf.DUMMYFUNCTION("""COMPUTED_VALUE"""),"-")</f>
        <v>-</v>
      </c>
    </row>
    <row r="75">
      <c r="A75" s="3" t="str">
        <f>IFERROR(__xludf.DUMMYFUNCTION("""COMPUTED_VALUE"""),"MFHRO0009")</f>
        <v>MFHRO0009</v>
      </c>
      <c r="B75" s="4">
        <f>IFERROR(__xludf.DUMMYFUNCTION("""COMPUTED_VALUE"""),45755.26163431713)</f>
        <v>45755.26163</v>
      </c>
      <c r="C75" s="3">
        <f>IFERROR(__xludf.DUMMYFUNCTION("""COMPUTED_VALUE"""),45756.239067789356)</f>
        <v>45756.23907</v>
      </c>
      <c r="D75" s="3" t="str">
        <f>IFERROR(__xludf.DUMMYFUNCTION("""COMPUTED_VALUE"""),"General")</f>
        <v>General</v>
      </c>
      <c r="E75" s="3" t="str">
        <f>IFERROR(__xludf.DUMMYFUNCTION("""COMPUTED_VALUE"""),"-")</f>
        <v>-</v>
      </c>
      <c r="F75" s="3" t="str">
        <f>IFERROR(__xludf.DUMMYFUNCTION("""COMPUTED_VALUE"""),"General - Pre Filter G4 2m x 20m x 2mm; No Brand; -; 1 Pc")</f>
        <v>General - Pre Filter G4 2m x 20m x 2mm; No Brand; -; 1 Pc</v>
      </c>
      <c r="G75" s="3">
        <f>IFERROR(__xludf.DUMMYFUNCTION("""COMPUTED_VALUE"""),1.0)</f>
        <v>1</v>
      </c>
      <c r="H75" s="3" t="str">
        <f>IFERROR(__xludf.DUMMYFUNCTION("""COMPUTED_VALUE"""),"Pc")</f>
        <v>Pc</v>
      </c>
      <c r="I75" s="3" t="str">
        <f>IFERROR(__xludf.DUMMYFUNCTION("""COMPUTED_VALUE"""),"Deliver")</f>
        <v>Deliver</v>
      </c>
      <c r="J75" s="3" t="str">
        <f>IFERROR(__xludf.DUMMYFUNCTION("""COMPUTED_VALUE"""),"-")</f>
        <v>-</v>
      </c>
      <c r="K75" s="3" t="str">
        <f>IFERROR(__xludf.DUMMYFUNCTION("""COMPUTED_VALUE"""),"-")</f>
        <v>-</v>
      </c>
    </row>
    <row r="76">
      <c r="A76" s="3" t="str">
        <f>IFERROR(__xludf.DUMMYFUNCTION("""COMPUTED_VALUE"""),"MFHRO0010")</f>
        <v>MFHRO0010</v>
      </c>
      <c r="B76" s="4">
        <f>IFERROR(__xludf.DUMMYFUNCTION("""COMPUTED_VALUE"""),45755.262467581015)</f>
        <v>45755.26247</v>
      </c>
      <c r="C76" s="3">
        <f>IFERROR(__xludf.DUMMYFUNCTION("""COMPUTED_VALUE"""),45756.23918106481)</f>
        <v>45756.23918</v>
      </c>
      <c r="D76" s="3" t="str">
        <f>IFERROR(__xludf.DUMMYFUNCTION("""COMPUTED_VALUE"""),"General")</f>
        <v>General</v>
      </c>
      <c r="E76" s="3" t="str">
        <f>IFERROR(__xludf.DUMMYFUNCTION("""COMPUTED_VALUE"""),"-")</f>
        <v>-</v>
      </c>
      <c r="F76" s="3" t="str">
        <f>IFERROR(__xludf.DUMMYFUNCTION("""COMPUTED_VALUE"""),"Gas Argon (Ar); 6 M3; Refill; High Purity (HP); Purity ? 99.995%")</f>
        <v>Gas Argon (Ar); 6 M3; Refill; High Purity (HP); Purity ? 99.995%</v>
      </c>
      <c r="G76" s="3">
        <f>IFERROR(__xludf.DUMMYFUNCTION("""COMPUTED_VALUE"""),1.0)</f>
        <v>1</v>
      </c>
      <c r="H76" s="3" t="str">
        <f>IFERROR(__xludf.DUMMYFUNCTION("""COMPUTED_VALUE"""),"Tube")</f>
        <v>Tube</v>
      </c>
      <c r="I76" s="3" t="str">
        <f>IFERROR(__xludf.DUMMYFUNCTION("""COMPUTED_VALUE"""),"Deliver")</f>
        <v>Deliver</v>
      </c>
      <c r="J76" s="3" t="str">
        <f>IFERROR(__xludf.DUMMYFUNCTION("""COMPUTED_VALUE"""),"-")</f>
        <v>-</v>
      </c>
      <c r="K76" s="3" t="str">
        <f>IFERROR(__xludf.DUMMYFUNCTION("""COMPUTED_VALUE"""),"-")</f>
        <v>-</v>
      </c>
    </row>
    <row r="77">
      <c r="A77" s="3" t="str">
        <f>IFERROR(__xludf.DUMMYFUNCTION("""COMPUTED_VALUE"""),"MFHRO0011")</f>
        <v>MFHRO0011</v>
      </c>
      <c r="B77" s="4">
        <f>IFERROR(__xludf.DUMMYFUNCTION("""COMPUTED_VALUE"""),45755.33000243056)</f>
        <v>45755.33</v>
      </c>
      <c r="C77" s="3">
        <f>IFERROR(__xludf.DUMMYFUNCTION("""COMPUTED_VALUE"""),45756.239278078705)</f>
        <v>45756.23928</v>
      </c>
      <c r="D77" s="3" t="str">
        <f>IFERROR(__xludf.DUMMYFUNCTION("""COMPUTED_VALUE"""),"Tunnel")</f>
        <v>Tunnel</v>
      </c>
      <c r="E77" s="3" t="str">
        <f>IFERROR(__xludf.DUMMYFUNCTION("""COMPUTED_VALUE"""),"-")</f>
        <v>-</v>
      </c>
      <c r="F77" s="3" t="str">
        <f>IFERROR(__xludf.DUMMYFUNCTION("""COMPUTED_VALUE"""),"Tunnel ST1L - Silicone Inflatable Gasket AIRMATIC AIR 1055 MVQ Centre length:1312 mm; ; ;")</f>
        <v>Tunnel ST1L - Silicone Inflatable Gasket AIRMATIC AIR 1055 MVQ Centre length:1312 mm; ; ;</v>
      </c>
      <c r="G77" s="3">
        <f>IFERROR(__xludf.DUMMYFUNCTION("""COMPUTED_VALUE"""),2.0)</f>
        <v>2</v>
      </c>
      <c r="H77" s="3" t="str">
        <f>IFERROR(__xludf.DUMMYFUNCTION("""COMPUTED_VALUE"""),"Pc")</f>
        <v>Pc</v>
      </c>
      <c r="I77" s="3" t="str">
        <f>IFERROR(__xludf.DUMMYFUNCTION("""COMPUTED_VALUE"""),"Deliver")</f>
        <v>Deliver</v>
      </c>
      <c r="J77" s="3" t="str">
        <f>IFERROR(__xludf.DUMMYFUNCTION("""COMPUTED_VALUE"""),"-")</f>
        <v>-</v>
      </c>
      <c r="K77" s="3" t="str">
        <f>IFERROR(__xludf.DUMMYFUNCTION("""COMPUTED_VALUE"""),"-")</f>
        <v>-</v>
      </c>
    </row>
    <row r="78">
      <c r="A78" s="3" t="str">
        <f>IFERROR(__xludf.DUMMYFUNCTION("""COMPUTED_VALUE"""),"MFHRO0012")</f>
        <v>MFHRO0012</v>
      </c>
      <c r="B78" s="4">
        <f>IFERROR(__xludf.DUMMYFUNCTION("""COMPUTED_VALUE"""),45755.33160991898)</f>
        <v>45755.33161</v>
      </c>
      <c r="C78" s="3">
        <f>IFERROR(__xludf.DUMMYFUNCTION("""COMPUTED_VALUE"""),45756.23941951389)</f>
        <v>45756.23942</v>
      </c>
      <c r="D78" s="3" t="str">
        <f>IFERROR(__xludf.DUMMYFUNCTION("""COMPUTED_VALUE"""),"cRABS")</f>
        <v>cRABS</v>
      </c>
      <c r="E78" s="3" t="str">
        <f>IFERROR(__xludf.DUMMYFUNCTION("""COMPUTED_VALUE"""),"-")</f>
        <v>-</v>
      </c>
      <c r="F78" s="3" t="str">
        <f>IFERROR(__xludf.DUMMYFUNCTION("""COMPUTED_VALUE"""),"cRABS z064CR - Pressure Transmitter 0-500 Pa P-Sensor/PIZ (2 wires); Steriline; 20075; 1 pc")</f>
        <v>cRABS z064CR - Pressure Transmitter 0-500 Pa P-Sensor/PIZ (2 wires); Steriline; 20075; 1 pc</v>
      </c>
      <c r="G78" s="3">
        <f>IFERROR(__xludf.DUMMYFUNCTION("""COMPUTED_VALUE"""),1.0)</f>
        <v>1</v>
      </c>
      <c r="H78" s="3" t="str">
        <f>IFERROR(__xludf.DUMMYFUNCTION("""COMPUTED_VALUE"""),"Pc")</f>
        <v>Pc</v>
      </c>
      <c r="I78" s="3" t="str">
        <f>IFERROR(__xludf.DUMMYFUNCTION("""COMPUTED_VALUE"""),"Deliver")</f>
        <v>Deliver</v>
      </c>
      <c r="J78" s="3" t="str">
        <f>IFERROR(__xludf.DUMMYFUNCTION("""COMPUTED_VALUE"""),"-")</f>
        <v>-</v>
      </c>
      <c r="K78" s="3" t="str">
        <f>IFERROR(__xludf.DUMMYFUNCTION("""COMPUTED_VALUE"""),"-")</f>
        <v>-</v>
      </c>
    </row>
    <row r="79">
      <c r="A79" s="3" t="str">
        <f>IFERROR(__xludf.DUMMYFUNCTION("""COMPUTED_VALUE"""),"MFHRO0013")</f>
        <v>MFHRO0013</v>
      </c>
      <c r="B79" s="4">
        <f>IFERROR(__xludf.DUMMYFUNCTION("""COMPUTED_VALUE"""),45755.33226079861)</f>
        <v>45755.33226</v>
      </c>
      <c r="C79" s="3">
        <f>IFERROR(__xludf.DUMMYFUNCTION("""COMPUTED_VALUE"""),45756.23951836806)</f>
        <v>45756.23952</v>
      </c>
      <c r="D79" s="3" t="str">
        <f>IFERROR(__xludf.DUMMYFUNCTION("""COMPUTED_VALUE"""),"Tunnel")</f>
        <v>Tunnel</v>
      </c>
      <c r="E79" s="3" t="str">
        <f>IFERROR(__xludf.DUMMYFUNCTION("""COMPUTED_VALUE"""),"-")</f>
        <v>-</v>
      </c>
      <c r="F79" s="3" t="str">
        <f>IFERROR(__xludf.DUMMYFUNCTION("""COMPUTED_VALUE"""),"Tunnel ST1L - Heating Element 75W-230Vac D 10mm L 120mm Gkass Fiber Cable 400C 2.5m; Steriline; 4462; 1 pc")</f>
        <v>Tunnel ST1L - Heating Element 75W-230Vac D 10mm L 120mm Gkass Fiber Cable 400C 2.5m; Steriline; 4462; 1 pc</v>
      </c>
      <c r="G79" s="3">
        <f>IFERROR(__xludf.DUMMYFUNCTION("""COMPUTED_VALUE"""),1.0)</f>
        <v>1</v>
      </c>
      <c r="H79" s="3" t="str">
        <f>IFERROR(__xludf.DUMMYFUNCTION("""COMPUTED_VALUE"""),"Pc")</f>
        <v>Pc</v>
      </c>
      <c r="I79" s="3" t="str">
        <f>IFERROR(__xludf.DUMMYFUNCTION("""COMPUTED_VALUE"""),"Deliver")</f>
        <v>Deliver</v>
      </c>
      <c r="J79" s="3" t="str">
        <f>IFERROR(__xludf.DUMMYFUNCTION("""COMPUTED_VALUE"""),"-")</f>
        <v>-</v>
      </c>
      <c r="K79" s="3" t="str">
        <f>IFERROR(__xludf.DUMMYFUNCTION("""COMPUTED_VALUE"""),"-")</f>
        <v>-</v>
      </c>
    </row>
    <row r="80">
      <c r="A80" s="3" t="str">
        <f>IFERROR(__xludf.DUMMYFUNCTION("""COMPUTED_VALUE"""),"MFHRO0014")</f>
        <v>MFHRO0014</v>
      </c>
      <c r="B80" s="4">
        <f>IFERROR(__xludf.DUMMYFUNCTION("""COMPUTED_VALUE"""),45755.333980474534)</f>
        <v>45755.33398</v>
      </c>
      <c r="C80" s="3">
        <f>IFERROR(__xludf.DUMMYFUNCTION("""COMPUTED_VALUE"""),45756.23962471065)</f>
        <v>45756.23962</v>
      </c>
      <c r="D80" s="3" t="str">
        <f>IFERROR(__xludf.DUMMYFUNCTION("""COMPUTED_VALUE"""),"Tunnel")</f>
        <v>Tunnel</v>
      </c>
      <c r="E80" s="3" t="str">
        <f>IFERROR(__xludf.DUMMYFUNCTION("""COMPUTED_VALUE"""),"-")</f>
        <v>-</v>
      </c>
      <c r="F80" s="3" t="str">
        <f>IFERROR(__xludf.DUMMYFUNCTION("""COMPUTED_VALUE"""),"Tunnel ST1L - Heater for Tight Door 500W-230V Stainless H 60mm L 455mm T 5mm Cable L 2m; Steriline; 6763; 1 pc")</f>
        <v>Tunnel ST1L - Heater for Tight Door 500W-230V Stainless H 60mm L 455mm T 5mm Cable L 2m; Steriline; 6763; 1 pc</v>
      </c>
      <c r="G80" s="3">
        <f>IFERROR(__xludf.DUMMYFUNCTION("""COMPUTED_VALUE"""),1.0)</f>
        <v>1</v>
      </c>
      <c r="H80" s="3" t="str">
        <f>IFERROR(__xludf.DUMMYFUNCTION("""COMPUTED_VALUE"""),"Pc")</f>
        <v>Pc</v>
      </c>
      <c r="I80" s="3" t="str">
        <f>IFERROR(__xludf.DUMMYFUNCTION("""COMPUTED_VALUE"""),"Deliver")</f>
        <v>Deliver</v>
      </c>
      <c r="J80" s="3" t="str">
        <f>IFERROR(__xludf.DUMMYFUNCTION("""COMPUTED_VALUE"""),"-")</f>
        <v>-</v>
      </c>
      <c r="K80" s="3" t="str">
        <f>IFERROR(__xludf.DUMMYFUNCTION("""COMPUTED_VALUE"""),"-")</f>
        <v>-</v>
      </c>
    </row>
    <row r="81">
      <c r="A81" s="3" t="str">
        <f>IFERROR(__xludf.DUMMYFUNCTION("""COMPUTED_VALUE"""),"MFHRO0015")</f>
        <v>MFHRO0015</v>
      </c>
      <c r="B81" s="4">
        <f>IFERROR(__xludf.DUMMYFUNCTION("""COMPUTED_VALUE"""),45755.376629907405)</f>
        <v>45755.37663</v>
      </c>
      <c r="C81" s="3">
        <f>IFERROR(__xludf.DUMMYFUNCTION("""COMPUTED_VALUE"""),45756.24039798611)</f>
        <v>45756.2404</v>
      </c>
      <c r="D81" s="3" t="str">
        <f>IFERROR(__xludf.DUMMYFUNCTION("""COMPUTED_VALUE"""),"Tunnel")</f>
        <v>Tunnel</v>
      </c>
      <c r="E81" s="3" t="str">
        <f>IFERROR(__xludf.DUMMYFUNCTION("""COMPUTED_VALUE"""),"-")</f>
        <v>-</v>
      </c>
      <c r="F81" s="3" t="str">
        <f>IFERROR(__xludf.DUMMYFUNCTION("""COMPUTED_VALUE"""),"Tunnel ST1L - Pressure Transmitter 0-250Pa output 4-20 P-Sensor/PIZ (2 Wires); Steriline; 12320; 1 pc")</f>
        <v>Tunnel ST1L - Pressure Transmitter 0-250Pa output 4-20 P-Sensor/PIZ (2 Wires); Steriline; 12320; 1 pc</v>
      </c>
      <c r="G81" s="3">
        <f>IFERROR(__xludf.DUMMYFUNCTION("""COMPUTED_VALUE"""),1.0)</f>
        <v>1</v>
      </c>
      <c r="H81" s="3" t="str">
        <f>IFERROR(__xludf.DUMMYFUNCTION("""COMPUTED_VALUE"""),"Pc")</f>
        <v>Pc</v>
      </c>
      <c r="I81" s="3" t="str">
        <f>IFERROR(__xludf.DUMMYFUNCTION("""COMPUTED_VALUE"""),"Deliver")</f>
        <v>Deliver</v>
      </c>
      <c r="J81" s="3" t="str">
        <f>IFERROR(__xludf.DUMMYFUNCTION("""COMPUTED_VALUE"""),"-")</f>
        <v>-</v>
      </c>
      <c r="K81" s="3" t="str">
        <f>IFERROR(__xludf.DUMMYFUNCTION("""COMPUTED_VALUE"""),"-")</f>
        <v>-</v>
      </c>
    </row>
    <row r="82">
      <c r="A82" s="3" t="str">
        <f>IFERROR(__xludf.DUMMYFUNCTION("""COMPUTED_VALUE"""),"MFHRO0016")</f>
        <v>MFHRO0016</v>
      </c>
      <c r="B82" s="4">
        <f>IFERROR(__xludf.DUMMYFUNCTION("""COMPUTED_VALUE"""),45755.378147881944)</f>
        <v>45755.37815</v>
      </c>
      <c r="C82" s="3">
        <f>IFERROR(__xludf.DUMMYFUNCTION("""COMPUTED_VALUE"""),45756.240485381946)</f>
        <v>45756.24049</v>
      </c>
      <c r="D82" s="3" t="str">
        <f>IFERROR(__xludf.DUMMYFUNCTION("""COMPUTED_VALUE"""),"Tunnel")</f>
        <v>Tunnel</v>
      </c>
      <c r="E82" s="3" t="str">
        <f>IFERROR(__xludf.DUMMYFUNCTION("""COMPUTED_VALUE"""),"-")</f>
        <v>-</v>
      </c>
      <c r="F82" s="3" t="str">
        <f>IFERROR(__xludf.DUMMYFUNCTION("""COMPUTED_VALUE"""),"Tunnel ST1L - Pressure Transmitter 0-100Pa output 4-20 P-Sensor-PIZ (2 Wires); Steriline; 1667; 1 pc")</f>
        <v>Tunnel ST1L - Pressure Transmitter 0-100Pa output 4-20 P-Sensor-PIZ (2 Wires); Steriline; 1667; 1 pc</v>
      </c>
      <c r="G82" s="3">
        <f>IFERROR(__xludf.DUMMYFUNCTION("""COMPUTED_VALUE"""),1.0)</f>
        <v>1</v>
      </c>
      <c r="H82" s="3" t="str">
        <f>IFERROR(__xludf.DUMMYFUNCTION("""COMPUTED_VALUE"""),"Pc")</f>
        <v>Pc</v>
      </c>
      <c r="I82" s="3" t="str">
        <f>IFERROR(__xludf.DUMMYFUNCTION("""COMPUTED_VALUE"""),"Deliver")</f>
        <v>Deliver</v>
      </c>
      <c r="J82" s="3" t="str">
        <f>IFERROR(__xludf.DUMMYFUNCTION("""COMPUTED_VALUE"""),"-")</f>
        <v>-</v>
      </c>
      <c r="K82" s="3" t="str">
        <f>IFERROR(__xludf.DUMMYFUNCTION("""COMPUTED_VALUE"""),"-")</f>
        <v>-</v>
      </c>
    </row>
    <row r="83">
      <c r="A83" s="3" t="str">
        <f>IFERROR(__xludf.DUMMYFUNCTION("""COMPUTED_VALUE"""),"MFHRO0017")</f>
        <v>MFHRO0017</v>
      </c>
      <c r="B83" s="4">
        <f>IFERROR(__xludf.DUMMYFUNCTION("""COMPUTED_VALUE"""),45755.3786365162)</f>
        <v>45755.37864</v>
      </c>
      <c r="C83" s="3">
        <f>IFERROR(__xludf.DUMMYFUNCTION("""COMPUTED_VALUE"""),45756.24069547454)</f>
        <v>45756.2407</v>
      </c>
      <c r="D83" s="3" t="str">
        <f>IFERROR(__xludf.DUMMYFUNCTION("""COMPUTED_VALUE"""),"Tunnel")</f>
        <v>Tunnel</v>
      </c>
      <c r="E83" s="3" t="str">
        <f>IFERROR(__xludf.DUMMYFUNCTION("""COMPUTED_VALUE"""),"-")</f>
        <v>-</v>
      </c>
      <c r="F83" s="3" t="str">
        <f>IFERROR(__xludf.DUMMYFUNCTION("""COMPUTED_VALUE"""),"Tunnel ST1L - Gear Motor N100/SO-UFR1 24VAC 50Hz Torque 4Nm Speed 2 U (R1:250; Steriline; 19474; 1 pc")</f>
        <v>Tunnel ST1L - Gear Motor N100/SO-UFR1 24VAC 50Hz Torque 4Nm Speed 2 U (R1:250; Steriline; 19474; 1 pc</v>
      </c>
      <c r="G83" s="3">
        <f>IFERROR(__xludf.DUMMYFUNCTION("""COMPUTED_VALUE"""),2.0)</f>
        <v>2</v>
      </c>
      <c r="H83" s="3" t="str">
        <f>IFERROR(__xludf.DUMMYFUNCTION("""COMPUTED_VALUE"""),"Pc")</f>
        <v>Pc</v>
      </c>
      <c r="I83" s="3" t="str">
        <f>IFERROR(__xludf.DUMMYFUNCTION("""COMPUTED_VALUE"""),"Deliver")</f>
        <v>Deliver</v>
      </c>
      <c r="J83" s="3" t="str">
        <f>IFERROR(__xludf.DUMMYFUNCTION("""COMPUTED_VALUE"""),"-")</f>
        <v>-</v>
      </c>
      <c r="K83" s="3" t="str">
        <f>IFERROR(__xludf.DUMMYFUNCTION("""COMPUTED_VALUE"""),"-")</f>
        <v>-</v>
      </c>
    </row>
    <row r="84">
      <c r="A84" s="3" t="str">
        <f>IFERROR(__xludf.DUMMYFUNCTION("""COMPUTED_VALUE"""),"MFHRO0018")</f>
        <v>MFHRO0018</v>
      </c>
      <c r="B84" s="4">
        <f>IFERROR(__xludf.DUMMYFUNCTION("""COMPUTED_VALUE"""),45755.38176986111)</f>
        <v>45755.38177</v>
      </c>
      <c r="C84" s="3">
        <f>IFERROR(__xludf.DUMMYFUNCTION("""COMPUTED_VALUE"""),45756.24082412037)</f>
        <v>45756.24082</v>
      </c>
      <c r="D84" s="3" t="str">
        <f>IFERROR(__xludf.DUMMYFUNCTION("""COMPUTED_VALUE"""),"Tunnel")</f>
        <v>Tunnel</v>
      </c>
      <c r="E84" s="3" t="str">
        <f>IFERROR(__xludf.DUMMYFUNCTION("""COMPUTED_VALUE"""),"-")</f>
        <v>-</v>
      </c>
      <c r="F84" s="3" t="str">
        <f>IFERROR(__xludf.DUMMYFUNCTION("""COMPUTED_VALUE"""),"Tunnel ST1L - Gear Motor N100/So-UFR1 24Vac 50Hz 15Nm 0.5U/min (R1:1000) Metal Cover; Steriline; 19475; 1 pc")</f>
        <v>Tunnel ST1L - Gear Motor N100/So-UFR1 24Vac 50Hz 15Nm 0.5U/min (R1:1000) Metal Cover; Steriline; 19475; 1 pc</v>
      </c>
      <c r="G84" s="3">
        <f>IFERROR(__xludf.DUMMYFUNCTION("""COMPUTED_VALUE"""),1.0)</f>
        <v>1</v>
      </c>
      <c r="H84" s="3" t="str">
        <f>IFERROR(__xludf.DUMMYFUNCTION("""COMPUTED_VALUE"""),"Pc")</f>
        <v>Pc</v>
      </c>
      <c r="I84" s="3" t="str">
        <f>IFERROR(__xludf.DUMMYFUNCTION("""COMPUTED_VALUE"""),"Deliver")</f>
        <v>Deliver</v>
      </c>
      <c r="J84" s="3" t="str">
        <f>IFERROR(__xludf.DUMMYFUNCTION("""COMPUTED_VALUE"""),"-")</f>
        <v>-</v>
      </c>
      <c r="K84" s="3" t="str">
        <f>IFERROR(__xludf.DUMMYFUNCTION("""COMPUTED_VALUE"""),"-")</f>
        <v>-</v>
      </c>
    </row>
    <row r="85">
      <c r="A85" s="3" t="str">
        <f>IFERROR(__xludf.DUMMYFUNCTION("""COMPUTED_VALUE"""),"MFHRO0019")</f>
        <v>MFHRO0019</v>
      </c>
      <c r="B85" s="4">
        <f>IFERROR(__xludf.DUMMYFUNCTION("""COMPUTED_VALUE"""),45755.38263226852)</f>
        <v>45755.38263</v>
      </c>
      <c r="C85" s="3">
        <f>IFERROR(__xludf.DUMMYFUNCTION("""COMPUTED_VALUE"""),45756.24101637732)</f>
        <v>45756.24102</v>
      </c>
      <c r="D85" s="3" t="str">
        <f>IFERROR(__xludf.DUMMYFUNCTION("""COMPUTED_VALUE"""),"General")</f>
        <v>General</v>
      </c>
      <c r="E85" s="3" t="str">
        <f>IFERROR(__xludf.DUMMYFUNCTION("""COMPUTED_VALUE"""),"-")</f>
        <v>-</v>
      </c>
      <c r="F85" s="3" t="str">
        <f>IFERROR(__xludf.DUMMYFUNCTION("""COMPUTED_VALUE"""),"EPDM Gasket for Ferrule dia. 1/2"" - P/N : -  pc")</f>
        <v>EPDM Gasket for Ferrule dia. 1/2" - P/N : -  pc</v>
      </c>
      <c r="G85" s="3">
        <f>IFERROR(__xludf.DUMMYFUNCTION("""COMPUTED_VALUE"""),50.0)</f>
        <v>50</v>
      </c>
      <c r="H85" s="3" t="str">
        <f>IFERROR(__xludf.DUMMYFUNCTION("""COMPUTED_VALUE"""),"Pc")</f>
        <v>Pc</v>
      </c>
      <c r="I85" s="3" t="str">
        <f>IFERROR(__xludf.DUMMYFUNCTION("""COMPUTED_VALUE"""),"Deliver")</f>
        <v>Deliver</v>
      </c>
      <c r="J85" s="3" t="str">
        <f>IFERROR(__xludf.DUMMYFUNCTION("""COMPUTED_VALUE"""),"-")</f>
        <v>-</v>
      </c>
      <c r="K85" s="3" t="str">
        <f>IFERROR(__xludf.DUMMYFUNCTION("""COMPUTED_VALUE"""),"-")</f>
        <v>-</v>
      </c>
    </row>
    <row r="86">
      <c r="A86" s="3" t="str">
        <f>IFERROR(__xludf.DUMMYFUNCTION("""COMPUTED_VALUE"""),"MFHRO0020")</f>
        <v>MFHRO0020</v>
      </c>
      <c r="B86" s="4">
        <f>IFERROR(__xludf.DUMMYFUNCTION("""COMPUTED_VALUE"""),45755.383381527776)</f>
        <v>45755.38338</v>
      </c>
      <c r="C86" s="3">
        <f>IFERROR(__xludf.DUMMYFUNCTION("""COMPUTED_VALUE"""),45756.241113854165)</f>
        <v>45756.24111</v>
      </c>
      <c r="D86" s="3" t="str">
        <f>IFERROR(__xludf.DUMMYFUNCTION("""COMPUTED_VALUE"""),"General")</f>
        <v>General</v>
      </c>
      <c r="E86" s="3" t="str">
        <f>IFERROR(__xludf.DUMMYFUNCTION("""COMPUTED_VALUE"""),"-")</f>
        <v>-</v>
      </c>
      <c r="F86" s="3" t="str">
        <f>IFERROR(__xludf.DUMMYFUNCTION("""COMPUTED_VALUE"""),"General - Silicone Gasket for Ferrule dia. 1""; -; -; 1 Pc")</f>
        <v>General - Silicone Gasket for Ferrule dia. 1"; -; -; 1 Pc</v>
      </c>
      <c r="G86" s="3">
        <f>IFERROR(__xludf.DUMMYFUNCTION("""COMPUTED_VALUE"""),30.0)</f>
        <v>30</v>
      </c>
      <c r="H86" s="3" t="str">
        <f>IFERROR(__xludf.DUMMYFUNCTION("""COMPUTED_VALUE"""),"Pc")</f>
        <v>Pc</v>
      </c>
      <c r="I86" s="3" t="str">
        <f>IFERROR(__xludf.DUMMYFUNCTION("""COMPUTED_VALUE"""),"Deliver")</f>
        <v>Deliver</v>
      </c>
      <c r="J86" s="3" t="str">
        <f>IFERROR(__xludf.DUMMYFUNCTION("""COMPUTED_VALUE"""),"-")</f>
        <v>-</v>
      </c>
      <c r="K86" s="3" t="str">
        <f>IFERROR(__xludf.DUMMYFUNCTION("""COMPUTED_VALUE"""),"-")</f>
        <v>-</v>
      </c>
    </row>
    <row r="87">
      <c r="A87" s="3" t="str">
        <f>IFERROR(__xludf.DUMMYFUNCTION("""COMPUTED_VALUE"""),"MFHRO0021")</f>
        <v>MFHRO0021</v>
      </c>
      <c r="B87" s="4">
        <f>IFERROR(__xludf.DUMMYFUNCTION("""COMPUTED_VALUE"""),45755.38571625)</f>
        <v>45755.38572</v>
      </c>
      <c r="C87" s="3">
        <f>IFERROR(__xludf.DUMMYFUNCTION("""COMPUTED_VALUE"""),45756.24121872685)</f>
        <v>45756.24122</v>
      </c>
      <c r="D87" s="3" t="str">
        <f>IFERROR(__xludf.DUMMYFUNCTION("""COMPUTED_VALUE"""),"General")</f>
        <v>General</v>
      </c>
      <c r="E87" s="3" t="str">
        <f>IFERROR(__xludf.DUMMYFUNCTION("""COMPUTED_VALUE"""),"-")</f>
        <v>-</v>
      </c>
      <c r="F87" s="3" t="str">
        <f>IFERROR(__xludf.DUMMYFUNCTION("""COMPUTED_VALUE"""),"Silicone gasket for ferrule dia 1 1/2inch Taiwan")</f>
        <v>Silicone gasket for ferrule dia 1 1/2inch Taiwan</v>
      </c>
      <c r="G87" s="3">
        <f>IFERROR(__xludf.DUMMYFUNCTION("""COMPUTED_VALUE"""),30.0)</f>
        <v>30</v>
      </c>
      <c r="H87" s="3" t="str">
        <f>IFERROR(__xludf.DUMMYFUNCTION("""COMPUTED_VALUE"""),"Pc")</f>
        <v>Pc</v>
      </c>
      <c r="I87" s="3" t="str">
        <f>IFERROR(__xludf.DUMMYFUNCTION("""COMPUTED_VALUE"""),"Deliver")</f>
        <v>Deliver</v>
      </c>
      <c r="J87" s="3" t="str">
        <f>IFERROR(__xludf.DUMMYFUNCTION("""COMPUTED_VALUE"""),"-")</f>
        <v>-</v>
      </c>
      <c r="K87" s="3" t="str">
        <f>IFERROR(__xludf.DUMMYFUNCTION("""COMPUTED_VALUE"""),"-")</f>
        <v>-</v>
      </c>
    </row>
    <row r="88">
      <c r="A88" s="3" t="str">
        <f>IFERROR(__xludf.DUMMYFUNCTION("""COMPUTED_VALUE"""),"MFHRO0022")</f>
        <v>MFHRO0022</v>
      </c>
      <c r="B88" s="4">
        <f>IFERROR(__xludf.DUMMYFUNCTION("""COMPUTED_VALUE"""),45755.386306203705)</f>
        <v>45755.38631</v>
      </c>
      <c r="C88" s="3">
        <f>IFERROR(__xludf.DUMMYFUNCTION("""COMPUTED_VALUE"""),45756.241335081024)</f>
        <v>45756.24134</v>
      </c>
      <c r="D88" s="3" t="str">
        <f>IFERROR(__xludf.DUMMYFUNCTION("""COMPUTED_VALUE"""),"General")</f>
        <v>General</v>
      </c>
      <c r="E88" s="3" t="str">
        <f>IFERROR(__xludf.DUMMYFUNCTION("""COMPUTED_VALUE"""),"-")</f>
        <v>-</v>
      </c>
      <c r="F88" s="3" t="str">
        <f>IFERROR(__xludf.DUMMYFUNCTION("""COMPUTED_VALUE"""),"Silicone gasket for ferrule dia 2inch Taiwan")</f>
        <v>Silicone gasket for ferrule dia 2inch Taiwan</v>
      </c>
      <c r="G88" s="3">
        <f>IFERROR(__xludf.DUMMYFUNCTION("""COMPUTED_VALUE"""),20.0)</f>
        <v>20</v>
      </c>
      <c r="H88" s="3" t="str">
        <f>IFERROR(__xludf.DUMMYFUNCTION("""COMPUTED_VALUE"""),"Pc")</f>
        <v>Pc</v>
      </c>
      <c r="I88" s="3" t="str">
        <f>IFERROR(__xludf.DUMMYFUNCTION("""COMPUTED_VALUE"""),"Deliver")</f>
        <v>Deliver</v>
      </c>
      <c r="J88" s="3" t="str">
        <f>IFERROR(__xludf.DUMMYFUNCTION("""COMPUTED_VALUE"""),"-")</f>
        <v>-</v>
      </c>
      <c r="K88" s="3" t="str">
        <f>IFERROR(__xludf.DUMMYFUNCTION("""COMPUTED_VALUE"""),"-")</f>
        <v>-</v>
      </c>
    </row>
    <row r="89">
      <c r="A89" s="3" t="str">
        <f>IFERROR(__xludf.DUMMYFUNCTION("""COMPUTED_VALUE"""),"MFHRO0023")</f>
        <v>MFHRO0023</v>
      </c>
      <c r="B89" s="4">
        <f>IFERROR(__xludf.DUMMYFUNCTION("""COMPUTED_VALUE"""),45755.38758525463)</f>
        <v>45755.38759</v>
      </c>
      <c r="C89" s="3">
        <f>IFERROR(__xludf.DUMMYFUNCTION("""COMPUTED_VALUE"""),45756.241442314815)</f>
        <v>45756.24144</v>
      </c>
      <c r="D89" s="3" t="str">
        <f>IFERROR(__xludf.DUMMYFUNCTION("""COMPUTED_VALUE"""),"General")</f>
        <v>General</v>
      </c>
      <c r="E89" s="3" t="str">
        <f>IFERROR(__xludf.DUMMYFUNCTION("""COMPUTED_VALUE"""),"-")</f>
        <v>-</v>
      </c>
      <c r="F89" s="3" t="str">
        <f>IFERROR(__xludf.DUMMYFUNCTION("""COMPUTED_VALUE"""),"General - Silicone Gasket for Ferrule dia. 2,5""; -; -; 1 Pc")</f>
        <v>General - Silicone Gasket for Ferrule dia. 2,5"; -; -; 1 Pc</v>
      </c>
      <c r="G89" s="3">
        <f>IFERROR(__xludf.DUMMYFUNCTION("""COMPUTED_VALUE"""),25.0)</f>
        <v>25</v>
      </c>
      <c r="H89" s="3" t="str">
        <f>IFERROR(__xludf.DUMMYFUNCTION("""COMPUTED_VALUE"""),"pc")</f>
        <v>pc</v>
      </c>
      <c r="I89" s="3" t="str">
        <f>IFERROR(__xludf.DUMMYFUNCTION("""COMPUTED_VALUE"""),"Deliver")</f>
        <v>Deliver</v>
      </c>
      <c r="J89" s="3" t="str">
        <f>IFERROR(__xludf.DUMMYFUNCTION("""COMPUTED_VALUE"""),"-")</f>
        <v>-</v>
      </c>
      <c r="K89" s="3" t="str">
        <f>IFERROR(__xludf.DUMMYFUNCTION("""COMPUTED_VALUE"""),"-")</f>
        <v>-</v>
      </c>
    </row>
    <row r="90">
      <c r="A90" s="3" t="str">
        <f>IFERROR(__xludf.DUMMYFUNCTION("""COMPUTED_VALUE"""),"MFHRO0024")</f>
        <v>MFHRO0024</v>
      </c>
      <c r="B90" s="4">
        <f>IFERROR(__xludf.DUMMYFUNCTION("""COMPUTED_VALUE"""),45755.389249432876)</f>
        <v>45755.38925</v>
      </c>
      <c r="C90" s="3">
        <f>IFERROR(__xludf.DUMMYFUNCTION("""COMPUTED_VALUE"""),45756.241941643515)</f>
        <v>45756.24194</v>
      </c>
      <c r="D90" s="3" t="str">
        <f>IFERROR(__xludf.DUMMYFUNCTION("""COMPUTED_VALUE"""),"General")</f>
        <v>General</v>
      </c>
      <c r="E90" s="3" t="str">
        <f>IFERROR(__xludf.DUMMYFUNCTION("""COMPUTED_VALUE"""),"-")</f>
        <v>-</v>
      </c>
      <c r="F90" s="3" t="str">
        <f>IFERROR(__xludf.DUMMYFUNCTION("""COMPUTED_VALUE"""),"General - Silicone Gasket for Ferrule dia. 4""; -; -; 1 Pc")</f>
        <v>General - Silicone Gasket for Ferrule dia. 4"; -; -; 1 Pc</v>
      </c>
      <c r="G90" s="3">
        <f>IFERROR(__xludf.DUMMYFUNCTION("""COMPUTED_VALUE"""),10.0)</f>
        <v>10</v>
      </c>
      <c r="H90" s="3" t="str">
        <f>IFERROR(__xludf.DUMMYFUNCTION("""COMPUTED_VALUE"""),"pc")</f>
        <v>pc</v>
      </c>
      <c r="I90" s="3" t="str">
        <f>IFERROR(__xludf.DUMMYFUNCTION("""COMPUTED_VALUE"""),"Deliver")</f>
        <v>Deliver</v>
      </c>
      <c r="J90" s="3" t="str">
        <f>IFERROR(__xludf.DUMMYFUNCTION("""COMPUTED_VALUE"""),"-")</f>
        <v>-</v>
      </c>
      <c r="K90" s="3" t="str">
        <f>IFERROR(__xludf.DUMMYFUNCTION("""COMPUTED_VALUE"""),"-")</f>
        <v>-</v>
      </c>
    </row>
    <row r="91">
      <c r="A91" s="3" t="str">
        <f>IFERROR(__xludf.DUMMYFUNCTION("""COMPUTED_VALUE"""),"MFHRO0025")</f>
        <v>MFHRO0025</v>
      </c>
      <c r="B91" s="4">
        <f>IFERROR(__xludf.DUMMYFUNCTION("""COMPUTED_VALUE"""),45755.39053237268)</f>
        <v>45755.39053</v>
      </c>
      <c r="C91" s="3">
        <f>IFERROR(__xludf.DUMMYFUNCTION("""COMPUTED_VALUE"""),45756.2423137963)</f>
        <v>45756.24231</v>
      </c>
      <c r="D91" s="3" t="str">
        <f>IFERROR(__xludf.DUMMYFUNCTION("""COMPUTED_VALUE"""),"General")</f>
        <v>General</v>
      </c>
      <c r="E91" s="3" t="str">
        <f>IFERROR(__xludf.DUMMYFUNCTION("""COMPUTED_VALUE"""),"-")</f>
        <v>-</v>
      </c>
      <c r="F91" s="3" t="str">
        <f>IFERROR(__xludf.DUMMYFUNCTION("""COMPUTED_VALUE"""),"EPDM Gasket for Ferrule dia. 3""; ; ;")</f>
        <v>EPDM Gasket for Ferrule dia. 3"; ; ;</v>
      </c>
      <c r="G91" s="3">
        <f>IFERROR(__xludf.DUMMYFUNCTION("""COMPUTED_VALUE"""),10.0)</f>
        <v>10</v>
      </c>
      <c r="H91" s="3" t="str">
        <f>IFERROR(__xludf.DUMMYFUNCTION("""COMPUTED_VALUE"""),"Pc")</f>
        <v>Pc</v>
      </c>
      <c r="I91" s="3" t="str">
        <f>IFERROR(__xludf.DUMMYFUNCTION("""COMPUTED_VALUE"""),"Deliver")</f>
        <v>Deliver</v>
      </c>
      <c r="J91" s="3" t="str">
        <f>IFERROR(__xludf.DUMMYFUNCTION("""COMPUTED_VALUE"""),"-")</f>
        <v>-</v>
      </c>
      <c r="K91" s="3" t="str">
        <f>IFERROR(__xludf.DUMMYFUNCTION("""COMPUTED_VALUE"""),"-")</f>
        <v>-</v>
      </c>
    </row>
    <row r="92">
      <c r="A92" s="3" t="str">
        <f>IFERROR(__xludf.DUMMYFUNCTION("""COMPUTED_VALUE"""),"MFHRO0026")</f>
        <v>MFHRO0026</v>
      </c>
      <c r="B92" s="4">
        <f>IFERROR(__xludf.DUMMYFUNCTION("""COMPUTED_VALUE"""),45755.39287927083)</f>
        <v>45755.39288</v>
      </c>
      <c r="C92" s="3">
        <f>IFERROR(__xludf.DUMMYFUNCTION("""COMPUTED_VALUE"""),45756.24240833333)</f>
        <v>45756.24241</v>
      </c>
      <c r="D92" s="3" t="str">
        <f>IFERROR(__xludf.DUMMYFUNCTION("""COMPUTED_VALUE"""),"FD")</f>
        <v>FD</v>
      </c>
      <c r="E92" s="3" t="str">
        <f>IFERROR(__xludf.DUMMYFUNCTION("""COMPUTED_VALUE"""),"-")</f>
        <v>-</v>
      </c>
      <c r="F92" s="3" t="str">
        <f>IFERROR(__xludf.DUMMYFUNCTION("""COMPUTED_VALUE"""),"Freeze Dryer MBE1207 -  Orifice No. 03 068-2006; Danfoss; ;")</f>
        <v>Freeze Dryer MBE1207 -  Orifice No. 03 068-2006; Danfoss; ;</v>
      </c>
      <c r="G92" s="3">
        <f>IFERROR(__xludf.DUMMYFUNCTION("""COMPUTED_VALUE"""),4.0)</f>
        <v>4</v>
      </c>
      <c r="H92" s="3" t="str">
        <f>IFERROR(__xludf.DUMMYFUNCTION("""COMPUTED_VALUE"""),"Pc")</f>
        <v>Pc</v>
      </c>
      <c r="I92" s="3" t="str">
        <f>IFERROR(__xludf.DUMMYFUNCTION("""COMPUTED_VALUE"""),"Deliver")</f>
        <v>Deliver</v>
      </c>
      <c r="J92" s="3" t="str">
        <f>IFERROR(__xludf.DUMMYFUNCTION("""COMPUTED_VALUE"""),"-")</f>
        <v>-</v>
      </c>
      <c r="K92" s="3" t="str">
        <f>IFERROR(__xludf.DUMMYFUNCTION("""COMPUTED_VALUE"""),"-")</f>
        <v>-</v>
      </c>
    </row>
    <row r="93">
      <c r="A93" s="3" t="str">
        <f>IFERROR(__xludf.DUMMYFUNCTION("""COMPUTED_VALUE"""),"MFHRO0027")</f>
        <v>MFHRO0027</v>
      </c>
      <c r="B93" s="4">
        <f>IFERROR(__xludf.DUMMYFUNCTION("""COMPUTED_VALUE"""),45755.39597195602)</f>
        <v>45755.39597</v>
      </c>
      <c r="C93" s="3">
        <f>IFERROR(__xludf.DUMMYFUNCTION("""COMPUTED_VALUE"""),45756.24257357639)</f>
        <v>45756.24257</v>
      </c>
      <c r="D93" s="3" t="str">
        <f>IFERROR(__xludf.DUMMYFUNCTION("""COMPUTED_VALUE"""),"FD")</f>
        <v>FD</v>
      </c>
      <c r="E93" s="3" t="str">
        <f>IFERROR(__xludf.DUMMYFUNCTION("""COMPUTED_VALUE"""),"-")</f>
        <v>-</v>
      </c>
      <c r="F93" s="3" t="str">
        <f>IFERROR(__xludf.DUMMYFUNCTION("""COMPUTED_VALUE"""),"FD Lyofast 10 - hydraulically Balanced Valve EB02-00595 Disused:CMB 20/T-N_FLUCOM Replaced by:M8596N; ; ;")</f>
        <v>FD Lyofast 10 - hydraulically Balanced Valve EB02-00595 Disused:CMB 20/T-N_FLUCOM Replaced by:M8596N; ; ;</v>
      </c>
      <c r="G93" s="3">
        <f>IFERROR(__xludf.DUMMYFUNCTION("""COMPUTED_VALUE"""),1.0)</f>
        <v>1</v>
      </c>
      <c r="H93" s="3" t="str">
        <f>IFERROR(__xludf.DUMMYFUNCTION("""COMPUTED_VALUE"""),"Pc")</f>
        <v>Pc</v>
      </c>
      <c r="I93" s="3" t="str">
        <f>IFERROR(__xludf.DUMMYFUNCTION("""COMPUTED_VALUE"""),"Deliver")</f>
        <v>Deliver</v>
      </c>
      <c r="J93" s="3" t="str">
        <f>IFERROR(__xludf.DUMMYFUNCTION("""COMPUTED_VALUE"""),"-")</f>
        <v>-</v>
      </c>
      <c r="K93" s="3" t="str">
        <f>IFERROR(__xludf.DUMMYFUNCTION("""COMPUTED_VALUE"""),"-")</f>
        <v>-</v>
      </c>
    </row>
    <row r="94">
      <c r="A94" s="3" t="str">
        <f>IFERROR(__xludf.DUMMYFUNCTION("""COMPUTED_VALUE"""),"MFHRO0028")</f>
        <v>MFHRO0028</v>
      </c>
      <c r="B94" s="4">
        <f>IFERROR(__xludf.DUMMYFUNCTION("""COMPUTED_VALUE"""),45755.39732106481)</f>
        <v>45755.39732</v>
      </c>
      <c r="C94" s="3">
        <f>IFERROR(__xludf.DUMMYFUNCTION("""COMPUTED_VALUE"""),45756.24270300926)</f>
        <v>45756.2427</v>
      </c>
      <c r="D94" s="3" t="str">
        <f>IFERROR(__xludf.DUMMYFUNCTION("""COMPUTED_VALUE"""),"FD")</f>
        <v>FD</v>
      </c>
      <c r="E94" s="3" t="str">
        <f>IFERROR(__xludf.DUMMYFUNCTION("""COMPUTED_VALUE"""),"-")</f>
        <v>-</v>
      </c>
      <c r="F94" s="3" t="str">
        <f>IFERROR(__xludf.DUMMYFUNCTION("""COMPUTED_VALUE"""),"Freeze Dryer MBE1207 - SV169 MYCOM COMPLETE SOLENOLD VALVE, XOF-240V1 include valve body and coil P/; MAYEKAWA; ;")</f>
        <v>Freeze Dryer MBE1207 - SV169 MYCOM COMPLETE SOLENOLD VALVE, XOF-240V1 include valve body and coil P/; MAYEKAWA; ;</v>
      </c>
      <c r="G94" s="3">
        <f>IFERROR(__xludf.DUMMYFUNCTION("""COMPUTED_VALUE"""),2.0)</f>
        <v>2</v>
      </c>
      <c r="H94" s="3" t="str">
        <f>IFERROR(__xludf.DUMMYFUNCTION("""COMPUTED_VALUE"""),"Pc")</f>
        <v>Pc</v>
      </c>
      <c r="I94" s="3" t="str">
        <f>IFERROR(__xludf.DUMMYFUNCTION("""COMPUTED_VALUE"""),"Deliver")</f>
        <v>Deliver</v>
      </c>
      <c r="J94" s="3" t="str">
        <f>IFERROR(__xludf.DUMMYFUNCTION("""COMPUTED_VALUE"""),"-")</f>
        <v>-</v>
      </c>
      <c r="K94" s="3" t="str">
        <f>IFERROR(__xludf.DUMMYFUNCTION("""COMPUTED_VALUE"""),"-")</f>
        <v>-</v>
      </c>
    </row>
    <row r="95">
      <c r="A95" s="3" t="str">
        <f>IFERROR(__xludf.DUMMYFUNCTION("""COMPUTED_VALUE"""),"MFHRO0029")</f>
        <v>MFHRO0029</v>
      </c>
      <c r="B95" s="4">
        <f>IFERROR(__xludf.DUMMYFUNCTION("""COMPUTED_VALUE"""),45755.39801503473)</f>
        <v>45755.39802</v>
      </c>
      <c r="C95" s="3">
        <f>IFERROR(__xludf.DUMMYFUNCTION("""COMPUTED_VALUE"""),45756.242907673615)</f>
        <v>45756.24291</v>
      </c>
      <c r="D95" s="3" t="str">
        <f>IFERROR(__xludf.DUMMYFUNCTION("""COMPUTED_VALUE"""),"FD")</f>
        <v>FD</v>
      </c>
      <c r="E95" s="3" t="str">
        <f>IFERROR(__xludf.DUMMYFUNCTION("""COMPUTED_VALUE"""),"-")</f>
        <v>-</v>
      </c>
      <c r="F95" s="3" t="str">
        <f>IFERROR(__xludf.DUMMYFUNCTION("""COMPUTED_VALUE"""),"Freeze Dryer MBE1207 - Valve Body S20 DN40 ANSI150 Flg BODY:CI DISC:316SS Mirror finish STEM 316SS P; ; ;")</f>
        <v>Freeze Dryer MBE1207 - Valve Body S20 DN40 ANSI150 Flg BODY:CI DISC:316SS Mirror finish STEM 316SS P; ; ;</v>
      </c>
      <c r="G95" s="3">
        <f>IFERROR(__xludf.DUMMYFUNCTION("""COMPUTED_VALUE"""),2.0)</f>
        <v>2</v>
      </c>
      <c r="H95" s="3" t="str">
        <f>IFERROR(__xludf.DUMMYFUNCTION("""COMPUTED_VALUE"""),"Pc")</f>
        <v>Pc</v>
      </c>
      <c r="I95" s="3" t="str">
        <f>IFERROR(__xludf.DUMMYFUNCTION("""COMPUTED_VALUE"""),"Deliver")</f>
        <v>Deliver</v>
      </c>
      <c r="J95" s="3" t="str">
        <f>IFERROR(__xludf.DUMMYFUNCTION("""COMPUTED_VALUE"""),"-")</f>
        <v>-</v>
      </c>
      <c r="K95" s="3" t="str">
        <f>IFERROR(__xludf.DUMMYFUNCTION("""COMPUTED_VALUE"""),"-")</f>
        <v>-</v>
      </c>
    </row>
    <row r="96">
      <c r="A96" s="3" t="str">
        <f>IFERROR(__xludf.DUMMYFUNCTION("""COMPUTED_VALUE"""),"MFHRO0030")</f>
        <v>MFHRO0030</v>
      </c>
      <c r="B96" s="4">
        <f>IFERROR(__xludf.DUMMYFUNCTION("""COMPUTED_VALUE"""),45755.3986628125)</f>
        <v>45755.39866</v>
      </c>
      <c r="C96" s="3">
        <f>IFERROR(__xludf.DUMMYFUNCTION("""COMPUTED_VALUE"""),45756.24300398148)</f>
        <v>45756.243</v>
      </c>
      <c r="D96" s="3" t="str">
        <f>IFERROR(__xludf.DUMMYFUNCTION("""COMPUTED_VALUE"""),"FD")</f>
        <v>FD</v>
      </c>
      <c r="E96" s="3" t="str">
        <f>IFERROR(__xludf.DUMMYFUNCTION("""COMPUTED_VALUE"""),"-")</f>
        <v>-</v>
      </c>
      <c r="F96" s="3" t="str">
        <f>IFERROR(__xludf.DUMMYFUNCTION("""COMPUTED_VALUE"""),"Clamp Vacuum KF16 Alumunium; ; ;")</f>
        <v>Clamp Vacuum KF16 Alumunium; ; ;</v>
      </c>
      <c r="G96" s="3">
        <f>IFERROR(__xludf.DUMMYFUNCTION("""COMPUTED_VALUE"""),10.0)</f>
        <v>10</v>
      </c>
      <c r="H96" s="3" t="str">
        <f>IFERROR(__xludf.DUMMYFUNCTION("""COMPUTED_VALUE"""),"Pc")</f>
        <v>Pc</v>
      </c>
      <c r="I96" s="3" t="str">
        <f>IFERROR(__xludf.DUMMYFUNCTION("""COMPUTED_VALUE"""),"Deliver")</f>
        <v>Deliver</v>
      </c>
      <c r="J96" s="3" t="str">
        <f>IFERROR(__xludf.DUMMYFUNCTION("""COMPUTED_VALUE"""),"-")</f>
        <v>-</v>
      </c>
      <c r="K96" s="3" t="str">
        <f>IFERROR(__xludf.DUMMYFUNCTION("""COMPUTED_VALUE"""),"-")</f>
        <v>-</v>
      </c>
    </row>
    <row r="97">
      <c r="A97" s="3" t="str">
        <f>IFERROR(__xludf.DUMMYFUNCTION("""COMPUTED_VALUE"""),"MFHRO0031")</f>
        <v>MFHRO0031</v>
      </c>
      <c r="B97" s="4">
        <f>IFERROR(__xludf.DUMMYFUNCTION("""COMPUTED_VALUE"""),45755.39978251157)</f>
        <v>45755.39978</v>
      </c>
      <c r="C97" s="3">
        <f>IFERROR(__xludf.DUMMYFUNCTION("""COMPUTED_VALUE"""),45756.24309292824)</f>
        <v>45756.24309</v>
      </c>
      <c r="D97" s="3" t="str">
        <f>IFERROR(__xludf.DUMMYFUNCTION("""COMPUTED_VALUE"""),"PWG")</f>
        <v>PWG</v>
      </c>
      <c r="E97" s="3" t="str">
        <f>IFERROR(__xludf.DUMMYFUNCTION("""COMPUTED_VALUE"""),"-")</f>
        <v>-</v>
      </c>
      <c r="F97" s="3" t="str">
        <f>IFERROR(__xludf.DUMMYFUNCTION("""COMPUTED_VALUE"""),"Garam Kutreat RGN-9800F; ; ; 25Kg/zak")</f>
        <v>Garam Kutreat RGN-9800F; ; ; 25Kg/zak</v>
      </c>
      <c r="G97" s="3">
        <f>IFERROR(__xludf.DUMMYFUNCTION("""COMPUTED_VALUE"""),450.0)</f>
        <v>450</v>
      </c>
      <c r="H97" s="3" t="str">
        <f>IFERROR(__xludf.DUMMYFUNCTION("""COMPUTED_VALUE"""),"Kg")</f>
        <v>Kg</v>
      </c>
      <c r="I97" s="3" t="str">
        <f>IFERROR(__xludf.DUMMYFUNCTION("""COMPUTED_VALUE"""),"Deliver")</f>
        <v>Deliver</v>
      </c>
      <c r="J97" s="3" t="str">
        <f>IFERROR(__xludf.DUMMYFUNCTION("""COMPUTED_VALUE"""),"-")</f>
        <v>-</v>
      </c>
      <c r="K97" s="3" t="str">
        <f>IFERROR(__xludf.DUMMYFUNCTION("""COMPUTED_VALUE"""),"-")</f>
        <v>-</v>
      </c>
    </row>
    <row r="98">
      <c r="A98" s="3" t="str">
        <f>IFERROR(__xludf.DUMMYFUNCTION("""COMPUTED_VALUE"""),"MFHRO0032")</f>
        <v>MFHRO0032</v>
      </c>
      <c r="B98" s="4">
        <f>IFERROR(__xludf.DUMMYFUNCTION("""COMPUTED_VALUE"""),45755.40140925926)</f>
        <v>45755.40141</v>
      </c>
      <c r="C98" s="3">
        <f>IFERROR(__xludf.DUMMYFUNCTION("""COMPUTED_VALUE"""),45756.243300625)</f>
        <v>45756.2433</v>
      </c>
      <c r="D98" s="3" t="str">
        <f>IFERROR(__xludf.DUMMYFUNCTION("""COMPUTED_VALUE"""),"HPLC")</f>
        <v>HPLC</v>
      </c>
      <c r="E98" s="3" t="str">
        <f>IFERROR(__xludf.DUMMYFUNCTION("""COMPUTED_VALUE"""),"-")</f>
        <v>-</v>
      </c>
      <c r="F98" s="3" t="str">
        <f>IFERROR(__xludf.DUMMYFUNCTION("""COMPUTED_VALUE"""),"Acquity PDA/TUV 2489/2998 Perf Main Kit (lampu HPLC); Waters; P/N 201000281; 1 pc")</f>
        <v>Acquity PDA/TUV 2489/2998 Perf Main Kit (lampu HPLC); Waters; P/N 201000281; 1 pc</v>
      </c>
      <c r="G98" s="3">
        <f>IFERROR(__xludf.DUMMYFUNCTION("""COMPUTED_VALUE"""),6.0)</f>
        <v>6</v>
      </c>
      <c r="H98" s="3" t="str">
        <f>IFERROR(__xludf.DUMMYFUNCTION("""COMPUTED_VALUE"""),"Pc")</f>
        <v>Pc</v>
      </c>
      <c r="I98" s="3" t="str">
        <f>IFERROR(__xludf.DUMMYFUNCTION("""COMPUTED_VALUE"""),"Deliver")</f>
        <v>Deliver</v>
      </c>
      <c r="J98" s="3" t="str">
        <f>IFERROR(__xludf.DUMMYFUNCTION("""COMPUTED_VALUE"""),"-")</f>
        <v>-</v>
      </c>
      <c r="K98" s="3" t="str">
        <f>IFERROR(__xludf.DUMMYFUNCTION("""COMPUTED_VALUE"""),"-")</f>
        <v>-</v>
      </c>
    </row>
    <row r="99">
      <c r="A99" s="3" t="str">
        <f>IFERROR(__xludf.DUMMYFUNCTION("""COMPUTED_VALUE"""),"MFHRO0033")</f>
        <v>MFHRO0033</v>
      </c>
      <c r="B99" s="4">
        <f>IFERROR(__xludf.DUMMYFUNCTION("""COMPUTED_VALUE"""),45755.40190237269)</f>
        <v>45755.4019</v>
      </c>
      <c r="C99" s="3">
        <f>IFERROR(__xludf.DUMMYFUNCTION("""COMPUTED_VALUE"""),45756.243397997685)</f>
        <v>45756.2434</v>
      </c>
      <c r="D99" s="3" t="str">
        <f>IFERROR(__xludf.DUMMYFUNCTION("""COMPUTED_VALUE"""),"Mixing")</f>
        <v>Mixing</v>
      </c>
      <c r="E99" s="3" t="str">
        <f>IFERROR(__xludf.DUMMYFUNCTION("""COMPUTED_VALUE"""),"-")</f>
        <v>-</v>
      </c>
      <c r="F99" s="3" t="str">
        <f>IFERROR(__xludf.DUMMYFUNCTION("""COMPUTED_VALUE"""),"Mixing Tank - Sensor RTD 2X 100 Ohm (Duplex) with Transmitter Dia 6x81mm Mat SUS316 Class A; Custom/Lokal; -; 1 Pc")</f>
        <v>Mixing Tank - Sensor RTD 2X 100 Ohm (Duplex) with Transmitter Dia 6x81mm Mat SUS316 Class A; Custom/Lokal; -; 1 Pc</v>
      </c>
      <c r="G99" s="3">
        <f>IFERROR(__xludf.DUMMYFUNCTION("""COMPUTED_VALUE"""),1.0)</f>
        <v>1</v>
      </c>
      <c r="H99" s="3" t="str">
        <f>IFERROR(__xludf.DUMMYFUNCTION("""COMPUTED_VALUE"""),"Pc")</f>
        <v>Pc</v>
      </c>
      <c r="I99" s="3" t="str">
        <f>IFERROR(__xludf.DUMMYFUNCTION("""COMPUTED_VALUE"""),"Deliver")</f>
        <v>Deliver</v>
      </c>
      <c r="J99" s="3" t="str">
        <f>IFERROR(__xludf.DUMMYFUNCTION("""COMPUTED_VALUE"""),"-")</f>
        <v>-</v>
      </c>
      <c r="K99" s="3" t="str">
        <f>IFERROR(__xludf.DUMMYFUNCTION("""COMPUTED_VALUE"""),"-")</f>
        <v>-</v>
      </c>
    </row>
    <row r="100">
      <c r="A100" s="3" t="str">
        <f>IFERROR(__xludf.DUMMYFUNCTION("""COMPUTED_VALUE"""),"MFHRO0034")</f>
        <v>MFHRO0034</v>
      </c>
      <c r="B100" s="4">
        <f>IFERROR(__xludf.DUMMYFUNCTION("""COMPUTED_VALUE"""),45755.445092685186)</f>
        <v>45755.44509</v>
      </c>
      <c r="C100" s="3">
        <f>IFERROR(__xludf.DUMMYFUNCTION("""COMPUTED_VALUE"""),45756.243506493054)</f>
        <v>45756.24351</v>
      </c>
      <c r="D100" s="3" t="str">
        <f>IFERROR(__xludf.DUMMYFUNCTION("""COMPUTED_VALUE"""),"Building")</f>
        <v>Building</v>
      </c>
      <c r="E100" s="3" t="str">
        <f>IFERROR(__xludf.DUMMYFUNCTION("""COMPUTED_VALUE"""),"-")</f>
        <v>-</v>
      </c>
      <c r="F100" s="3" t="str">
        <f>IFERROR(__xludf.DUMMYFUNCTION("""COMPUTED_VALUE"""),"Magnetic door stopper; Dekson; Part No. MDS 889 SN;")</f>
        <v>Magnetic door stopper; Dekson; Part No. MDS 889 SN;</v>
      </c>
      <c r="G100" s="3">
        <f>IFERROR(__xludf.DUMMYFUNCTION("""COMPUTED_VALUE"""),35.0)</f>
        <v>35</v>
      </c>
      <c r="H100" s="3" t="str">
        <f>IFERROR(__xludf.DUMMYFUNCTION("""COMPUTED_VALUE"""),"Pc")</f>
        <v>Pc</v>
      </c>
      <c r="I100" s="3" t="str">
        <f>IFERROR(__xludf.DUMMYFUNCTION("""COMPUTED_VALUE"""),"Deliver")</f>
        <v>Deliver</v>
      </c>
      <c r="J100" s="3" t="str">
        <f>IFERROR(__xludf.DUMMYFUNCTION("""COMPUTED_VALUE"""),"-")</f>
        <v>-</v>
      </c>
      <c r="K100" s="3" t="str">
        <f>IFERROR(__xludf.DUMMYFUNCTION("""COMPUTED_VALUE"""),"-")</f>
        <v>-</v>
      </c>
    </row>
    <row r="101">
      <c r="A101" s="3" t="str">
        <f>IFERROR(__xludf.DUMMYFUNCTION("""COMPUTED_VALUE"""),"MFHRO0035")</f>
        <v>MFHRO0035</v>
      </c>
      <c r="B101" s="4">
        <f>IFERROR(__xludf.DUMMYFUNCTION("""COMPUTED_VALUE"""),45755.445092685186)</f>
        <v>45755.44509</v>
      </c>
      <c r="C101" s="3">
        <f>IFERROR(__xludf.DUMMYFUNCTION("""COMPUTED_VALUE"""),45756.2436174537)</f>
        <v>45756.24362</v>
      </c>
      <c r="D101" s="3" t="str">
        <f>IFERROR(__xludf.DUMMYFUNCTION("""COMPUTED_VALUE"""),"Tabletting")</f>
        <v>Tabletting</v>
      </c>
      <c r="E101" s="3" t="str">
        <f>IFERROR(__xludf.DUMMYFUNCTION("""COMPUTED_VALUE"""),"-")</f>
        <v>-</v>
      </c>
      <c r="F101" s="3" t="str">
        <f>IFERROR(__xludf.DUMMYFUNCTION("""COMPUTED_VALUE"""),"Lubricant ? Food grade oil Viscolab 150 - Pc=Liter")</f>
        <v>Lubricant ? Food grade oil Viscolab 150 - Pc=Liter</v>
      </c>
      <c r="G101" s="3">
        <f>IFERROR(__xludf.DUMMYFUNCTION("""COMPUTED_VALUE"""),40.0)</f>
        <v>40</v>
      </c>
      <c r="H101" s="3" t="str">
        <f>IFERROR(__xludf.DUMMYFUNCTION("""COMPUTED_VALUE"""),"Pc")</f>
        <v>Pc</v>
      </c>
      <c r="I101" s="3" t="str">
        <f>IFERROR(__xludf.DUMMYFUNCTION("""COMPUTED_VALUE"""),"Deliver")</f>
        <v>Deliver</v>
      </c>
      <c r="J101" s="3" t="str">
        <f>IFERROR(__xludf.DUMMYFUNCTION("""COMPUTED_VALUE"""),"-")</f>
        <v>-</v>
      </c>
      <c r="K101" s="3" t="str">
        <f>IFERROR(__xludf.DUMMYFUNCTION("""COMPUTED_VALUE"""),"-")</f>
        <v>-</v>
      </c>
    </row>
    <row r="102">
      <c r="A102" s="3" t="str">
        <f>IFERROR(__xludf.DUMMYFUNCTION("""COMPUTED_VALUE"""),"MFHRO0036")</f>
        <v>MFHRO0036</v>
      </c>
      <c r="B102" s="4">
        <f>IFERROR(__xludf.DUMMYFUNCTION("""COMPUTED_VALUE"""),45755.445092685186)</f>
        <v>45755.44509</v>
      </c>
      <c r="C102" s="3">
        <f>IFERROR(__xludf.DUMMYFUNCTION("""COMPUTED_VALUE"""),45756.24373015046)</f>
        <v>45756.24373</v>
      </c>
      <c r="D102" s="3" t="str">
        <f>IFERROR(__xludf.DUMMYFUNCTION("""COMPUTED_VALUE"""),"Tools")</f>
        <v>Tools</v>
      </c>
      <c r="E102" s="3" t="str">
        <f>IFERROR(__xludf.DUMMYFUNCTION("""COMPUTED_VALUE"""),"-")</f>
        <v>-</v>
      </c>
      <c r="F102" s="3" t="str">
        <f>IFERROR(__xludf.DUMMYFUNCTION("""COMPUTED_VALUE"""),"Bor Impact Drill GSB 600; Bosch; 06011A03K2; set")</f>
        <v>Bor Impact Drill GSB 600; Bosch; 06011A03K2; set</v>
      </c>
      <c r="G102" s="3">
        <f>IFERROR(__xludf.DUMMYFUNCTION("""COMPUTED_VALUE"""),1.0)</f>
        <v>1</v>
      </c>
      <c r="H102" s="3" t="str">
        <f>IFERROR(__xludf.DUMMYFUNCTION("""COMPUTED_VALUE"""),"Pc")</f>
        <v>Pc</v>
      </c>
      <c r="I102" s="3" t="str">
        <f>IFERROR(__xludf.DUMMYFUNCTION("""COMPUTED_VALUE"""),"Deliver")</f>
        <v>Deliver</v>
      </c>
      <c r="J102" s="3" t="str">
        <f>IFERROR(__xludf.DUMMYFUNCTION("""COMPUTED_VALUE"""),"-")</f>
        <v>-</v>
      </c>
      <c r="K102" s="3" t="str">
        <f>IFERROR(__xludf.DUMMYFUNCTION("""COMPUTED_VALUE"""),"-")</f>
        <v>-</v>
      </c>
    </row>
    <row r="103">
      <c r="A103" s="3" t="str">
        <f>IFERROR(__xludf.DUMMYFUNCTION("""COMPUTED_VALUE"""),"MFHRO0037")</f>
        <v>MFHRO0037</v>
      </c>
      <c r="B103" s="4">
        <f>IFERROR(__xludf.DUMMYFUNCTION("""COMPUTED_VALUE"""),45755.445092685186)</f>
        <v>45755.44509</v>
      </c>
      <c r="C103" s="3">
        <f>IFERROR(__xludf.DUMMYFUNCTION("""COMPUTED_VALUE"""),45756.24383457176)</f>
        <v>45756.24383</v>
      </c>
      <c r="D103" s="3" t="str">
        <f>IFERROR(__xludf.DUMMYFUNCTION("""COMPUTED_VALUE"""),"cRABS")</f>
        <v>cRABS</v>
      </c>
      <c r="E103" s="3" t="str">
        <f>IFERROR(__xludf.DUMMYFUNCTION("""COMPUTED_VALUE"""),"-")</f>
        <v>-</v>
      </c>
      <c r="F103" s="3" t="str">
        <f>IFERROR(__xludf.DUMMYFUNCTION("""COMPUTED_VALUE"""),"Isolator Gloves E10330 Y 7 E4 4; 000156; Material : CSM; Shape : E10; Size : 7; Thickness (mm) : 4/1; ; ;")</f>
        <v>Isolator Gloves E10330 Y 7 E4 4; 000156; Material : CSM; Shape : E10; Size : 7; Thickness (mm) : 4/1; ; ;</v>
      </c>
      <c r="G103" s="3">
        <f>IFERROR(__xludf.DUMMYFUNCTION("""COMPUTED_VALUE"""),20.0)</f>
        <v>20</v>
      </c>
      <c r="H103" s="3" t="str">
        <f>IFERROR(__xludf.DUMMYFUNCTION("""COMPUTED_VALUE"""),"Pc")</f>
        <v>Pc</v>
      </c>
      <c r="I103" s="3" t="str">
        <f>IFERROR(__xludf.DUMMYFUNCTION("""COMPUTED_VALUE"""),"Deliver")</f>
        <v>Deliver</v>
      </c>
      <c r="J103" s="3" t="str">
        <f>IFERROR(__xludf.DUMMYFUNCTION("""COMPUTED_VALUE"""),"-")</f>
        <v>-</v>
      </c>
      <c r="K103" s="3" t="str">
        <f>IFERROR(__xludf.DUMMYFUNCTION("""COMPUTED_VALUE"""),"-")</f>
        <v>-</v>
      </c>
    </row>
    <row r="104">
      <c r="A104" s="3" t="str">
        <f>IFERROR(__xludf.DUMMYFUNCTION("""COMPUTED_VALUE"""),"MFHRO0038")</f>
        <v>MFHRO0038</v>
      </c>
      <c r="B104" s="4">
        <f>IFERROR(__xludf.DUMMYFUNCTION("""COMPUTED_VALUE"""),45755.44785783565)</f>
        <v>45755.44786</v>
      </c>
      <c r="C104" s="3">
        <f>IFERROR(__xludf.DUMMYFUNCTION("""COMPUTED_VALUE"""),45756.24394388889)</f>
        <v>45756.24394</v>
      </c>
      <c r="D104" s="3" t="str">
        <f>IFERROR(__xludf.DUMMYFUNCTION("""COMPUTED_VALUE"""),"General")</f>
        <v>General</v>
      </c>
      <c r="E104" s="3" t="str">
        <f>IFERROR(__xludf.DUMMYFUNCTION("""COMPUTED_VALUE"""),"-")</f>
        <v>-</v>
      </c>
      <c r="F104" s="3" t="str">
        <f>IFERROR(__xludf.DUMMYFUNCTION("""COMPUTED_VALUE"""),"Container Box; Claris; ; - Container/Box Plastik claris 70 liter (77x42x32) Type 1022")</f>
        <v>Container Box; Claris; ; - Container/Box Plastik claris 70 liter (77x42x32) Type 1022</v>
      </c>
      <c r="G104" s="3">
        <f>IFERROR(__xludf.DUMMYFUNCTION("""COMPUTED_VALUE"""),5.0)</f>
        <v>5</v>
      </c>
      <c r="H104" s="3" t="str">
        <f>IFERROR(__xludf.DUMMYFUNCTION("""COMPUTED_VALUE"""),"Pc")</f>
        <v>Pc</v>
      </c>
      <c r="I104" s="3" t="str">
        <f>IFERROR(__xludf.DUMMYFUNCTION("""COMPUTED_VALUE"""),"Deliver")</f>
        <v>Deliver</v>
      </c>
      <c r="J104" s="3" t="str">
        <f>IFERROR(__xludf.DUMMYFUNCTION("""COMPUTED_VALUE"""),"-")</f>
        <v>-</v>
      </c>
      <c r="K104" s="3" t="str">
        <f>IFERROR(__xludf.DUMMYFUNCTION("""COMPUTED_VALUE"""),"-")</f>
        <v>-</v>
      </c>
    </row>
    <row r="105">
      <c r="A105" s="3" t="str">
        <f>IFERROR(__xludf.DUMMYFUNCTION("""COMPUTED_VALUE"""),"MFHRO0039")</f>
        <v>MFHRO0039</v>
      </c>
      <c r="B105" s="4">
        <f>IFERROR(__xludf.DUMMYFUNCTION("""COMPUTED_VALUE"""),45756.247224074075)</f>
        <v>45756.24722</v>
      </c>
      <c r="C105" s="3">
        <f>IFERROR(__xludf.DUMMYFUNCTION("""COMPUTED_VALUE"""),45756.25503590278)</f>
        <v>45756.25504</v>
      </c>
      <c r="D105" s="3" t="str">
        <f>IFERROR(__xludf.DUMMYFUNCTION("""COMPUTED_VALUE"""),"cRABS")</f>
        <v>cRABS</v>
      </c>
      <c r="E105" s="3" t="str">
        <f>IFERROR(__xludf.DUMMYFUNCTION("""COMPUTED_VALUE"""),"-")</f>
        <v>-</v>
      </c>
      <c r="F105" s="3" t="str">
        <f>IFERROR(__xludf.DUMMYFUNCTION("""COMPUTED_VALUE"""),"General - Isolator Glove Smaller glove CSM  (AS : E10330 Y 7 E4); Austar; ; 1 Pc")</f>
        <v>General - Isolator Glove Smaller glove CSM  (AS : E10330 Y 7 E4); Austar; ; 1 Pc</v>
      </c>
      <c r="G105" s="3">
        <f>IFERROR(__xludf.DUMMYFUNCTION("""COMPUTED_VALUE"""),20.0)</f>
        <v>20</v>
      </c>
      <c r="H105" s="3" t="str">
        <f>IFERROR(__xludf.DUMMYFUNCTION("""COMPUTED_VALUE"""),"Pc")</f>
        <v>Pc</v>
      </c>
      <c r="I105" s="3" t="str">
        <f>IFERROR(__xludf.DUMMYFUNCTION("""COMPUTED_VALUE"""),"Deliver")</f>
        <v>Deliver</v>
      </c>
      <c r="J105" s="3" t="str">
        <f>IFERROR(__xludf.DUMMYFUNCTION("""COMPUTED_VALUE"""),"-")</f>
        <v>-</v>
      </c>
      <c r="K105" s="3" t="str">
        <f>IFERROR(__xludf.DUMMYFUNCTION("""COMPUTED_VALUE"""),"-")</f>
        <v>-</v>
      </c>
    </row>
    <row r="106">
      <c r="A106" s="3" t="str">
        <f>IFERROR(__xludf.DUMMYFUNCTION("""COMPUTED_VALUE"""),"MFHRO0040")</f>
        <v>MFHRO0040</v>
      </c>
      <c r="B106" s="4">
        <f>IFERROR(__xludf.DUMMYFUNCTION("""COMPUTED_VALUE"""),45756.24822056713)</f>
        <v>45756.24822</v>
      </c>
      <c r="C106" s="3">
        <f>IFERROR(__xludf.DUMMYFUNCTION("""COMPUTED_VALUE"""),45756.25513659722)</f>
        <v>45756.25514</v>
      </c>
      <c r="D106" s="3" t="str">
        <f>IFERROR(__xludf.DUMMYFUNCTION("""COMPUTED_VALUE"""),"Workshop")</f>
        <v>Workshop</v>
      </c>
      <c r="E106" s="3" t="str">
        <f>IFERROR(__xludf.DUMMYFUNCTION("""COMPUTED_VALUE"""),"-")</f>
        <v>-</v>
      </c>
      <c r="F106" s="3" t="str">
        <f>IFERROR(__xludf.DUMMYFUNCTION("""COMPUTED_VALUE"""),"General - Tungsten Electrodes dia 1.6 mm; No Brand; -; 1 pc")</f>
        <v>General - Tungsten Electrodes dia 1.6 mm; No Brand; -; 1 pc</v>
      </c>
      <c r="G106" s="3">
        <f>IFERROR(__xludf.DUMMYFUNCTION("""COMPUTED_VALUE"""),2.0)</f>
        <v>2</v>
      </c>
      <c r="H106" s="3" t="str">
        <f>IFERROR(__xludf.DUMMYFUNCTION("""COMPUTED_VALUE"""),"Pc")</f>
        <v>Pc</v>
      </c>
      <c r="I106" s="3" t="str">
        <f>IFERROR(__xludf.DUMMYFUNCTION("""COMPUTED_VALUE"""),"Deliver")</f>
        <v>Deliver</v>
      </c>
      <c r="J106" s="3" t="str">
        <f>IFERROR(__xludf.DUMMYFUNCTION("""COMPUTED_VALUE"""),"-")</f>
        <v>-</v>
      </c>
      <c r="K106" s="3" t="str">
        <f>IFERROR(__xludf.DUMMYFUNCTION("""COMPUTED_VALUE"""),"-")</f>
        <v>-</v>
      </c>
    </row>
    <row r="107">
      <c r="A107" s="3" t="str">
        <f>IFERROR(__xludf.DUMMYFUNCTION("""COMPUTED_VALUE"""),"MFHRO0041")</f>
        <v>MFHRO0041</v>
      </c>
      <c r="B107" s="4">
        <f>IFERROR(__xludf.DUMMYFUNCTION("""COMPUTED_VALUE"""),45756.24866356482)</f>
        <v>45756.24866</v>
      </c>
      <c r="C107" s="3">
        <f>IFERROR(__xludf.DUMMYFUNCTION("""COMPUTED_VALUE"""),45756.25522831018)</f>
        <v>45756.25523</v>
      </c>
      <c r="D107" s="3" t="str">
        <f>IFERROR(__xludf.DUMMYFUNCTION("""COMPUTED_VALUE"""),"Capping")</f>
        <v>Capping</v>
      </c>
      <c r="E107" s="3" t="str">
        <f>IFERROR(__xludf.DUMMYFUNCTION("""COMPUTED_VALUE"""),"-")</f>
        <v>-</v>
      </c>
      <c r="F107" s="3" t="str">
        <f>IFERROR(__xludf.DUMMYFUNCTION("""COMPUTED_VALUE"""),"General - Oring Silicone Merah 23x18x2.5 mm; -; -; 1 Pc")</f>
        <v>General - Oring Silicone Merah 23x18x2.5 mm; -; -; 1 Pc</v>
      </c>
      <c r="G107" s="3">
        <f>IFERROR(__xludf.DUMMYFUNCTION("""COMPUTED_VALUE"""),300.0)</f>
        <v>300</v>
      </c>
      <c r="H107" s="3" t="str">
        <f>IFERROR(__xludf.DUMMYFUNCTION("""COMPUTED_VALUE"""),"Pc")</f>
        <v>Pc</v>
      </c>
      <c r="I107" s="3" t="str">
        <f>IFERROR(__xludf.DUMMYFUNCTION("""COMPUTED_VALUE"""),"Deliver")</f>
        <v>Deliver</v>
      </c>
      <c r="J107" s="3" t="str">
        <f>IFERROR(__xludf.DUMMYFUNCTION("""COMPUTED_VALUE"""),"-")</f>
        <v>-</v>
      </c>
      <c r="K107" s="3" t="str">
        <f>IFERROR(__xludf.DUMMYFUNCTION("""COMPUTED_VALUE"""),"-")</f>
        <v>-</v>
      </c>
    </row>
    <row r="108">
      <c r="A108" s="3" t="str">
        <f>IFERROR(__xludf.DUMMYFUNCTION("""COMPUTED_VALUE"""),"MFHRO0042")</f>
        <v>MFHRO0042</v>
      </c>
      <c r="B108" s="4">
        <f>IFERROR(__xludf.DUMMYFUNCTION("""COMPUTED_VALUE"""),45756.25163817129)</f>
        <v>45756.25164</v>
      </c>
      <c r="C108" s="3">
        <f>IFERROR(__xludf.DUMMYFUNCTION("""COMPUTED_VALUE"""),45756.25531284722)</f>
        <v>45756.25531</v>
      </c>
      <c r="D108" s="3" t="str">
        <f>IFERROR(__xludf.DUMMYFUNCTION("""COMPUTED_VALUE"""),"WWTP")</f>
        <v>WWTP</v>
      </c>
      <c r="E108" s="3" t="str">
        <f>IFERROR(__xludf.DUMMYFUNCTION("""COMPUTED_VALUE"""),"-")</f>
        <v>-</v>
      </c>
      <c r="F108" s="3" t="str">
        <f>IFERROR(__xludf.DUMMYFUNCTION("""COMPUTED_VALUE"""),"General - Gearbox, Ratio I=14.3x, Frame 071, DIM.25x50, Flange Mounted, Helical Gear; Motovario; HA42 F; 1 unit")</f>
        <v>General - Gearbox, Ratio I=14.3x, Frame 071, DIM.25x50, Flange Mounted, Helical Gear; Motovario; HA42 F; 1 unit</v>
      </c>
      <c r="G108" s="3">
        <f>IFERROR(__xludf.DUMMYFUNCTION("""COMPUTED_VALUE"""),1.0)</f>
        <v>1</v>
      </c>
      <c r="H108" s="3" t="str">
        <f>IFERROR(__xludf.DUMMYFUNCTION("""COMPUTED_VALUE"""),"Pc")</f>
        <v>Pc</v>
      </c>
      <c r="I108" s="3" t="str">
        <f>IFERROR(__xludf.DUMMYFUNCTION("""COMPUTED_VALUE"""),"Deliver")</f>
        <v>Deliver</v>
      </c>
      <c r="J108" s="3" t="str">
        <f>IFERROR(__xludf.DUMMYFUNCTION("""COMPUTED_VALUE"""),"-")</f>
        <v>-</v>
      </c>
      <c r="K108" s="3" t="str">
        <f>IFERROR(__xludf.DUMMYFUNCTION("""COMPUTED_VALUE"""),"-")</f>
        <v>-</v>
      </c>
    </row>
    <row r="109">
      <c r="A109" s="3" t="str">
        <f>IFERROR(__xludf.DUMMYFUNCTION("""COMPUTED_VALUE"""),"MFHRO0043")</f>
        <v>MFHRO0043</v>
      </c>
      <c r="B109" s="4">
        <f>IFERROR(__xludf.DUMMYFUNCTION("""COMPUTED_VALUE"""),45756.252202291675)</f>
        <v>45756.2522</v>
      </c>
      <c r="C109" s="3">
        <f>IFERROR(__xludf.DUMMYFUNCTION("""COMPUTED_VALUE"""),45756.25539892361)</f>
        <v>45756.2554</v>
      </c>
      <c r="D109" s="3" t="str">
        <f>IFERROR(__xludf.DUMMYFUNCTION("""COMPUTED_VALUE"""),"WWTP")</f>
        <v>WWTP</v>
      </c>
      <c r="E109" s="3" t="str">
        <f>IFERROR(__xludf.DUMMYFUNCTION("""COMPUTED_VALUE"""),"-")</f>
        <v>-</v>
      </c>
      <c r="F109" s="3" t="str">
        <f>IFERROR(__xludf.DUMMYFUNCTION("""COMPUTED_VALUE"""),"General - Electric motor, 0.37 Kw, S1, 230-400V, 50 Hz, B5, ISOL.Class F, IP55 IE2; Motovario; TH 71B4; 1 unit")</f>
        <v>General - Electric motor, 0.37 Kw, S1, 230-400V, 50 Hz, B5, ISOL.Class F, IP55 IE2; Motovario; TH 71B4; 1 unit</v>
      </c>
      <c r="G109" s="3">
        <f>IFERROR(__xludf.DUMMYFUNCTION("""COMPUTED_VALUE"""),1.0)</f>
        <v>1</v>
      </c>
      <c r="H109" s="3" t="str">
        <f>IFERROR(__xludf.DUMMYFUNCTION("""COMPUTED_VALUE"""),"Pc")</f>
        <v>Pc</v>
      </c>
      <c r="I109" s="3" t="str">
        <f>IFERROR(__xludf.DUMMYFUNCTION("""COMPUTED_VALUE"""),"Deliver")</f>
        <v>Deliver</v>
      </c>
      <c r="J109" s="3" t="str">
        <f>IFERROR(__xludf.DUMMYFUNCTION("""COMPUTED_VALUE"""),"-")</f>
        <v>-</v>
      </c>
      <c r="K109" s="3" t="str">
        <f>IFERROR(__xludf.DUMMYFUNCTION("""COMPUTED_VALUE"""),"-")</f>
        <v>-</v>
      </c>
    </row>
    <row r="110">
      <c r="A110" s="3" t="str">
        <f>IFERROR(__xludf.DUMMYFUNCTION("""COMPUTED_VALUE"""),"MFHRO0044")</f>
        <v>MFHRO0044</v>
      </c>
      <c r="B110" s="4">
        <f>IFERROR(__xludf.DUMMYFUNCTION("""COMPUTED_VALUE"""),45756.25264371528)</f>
        <v>45756.25264</v>
      </c>
      <c r="C110" s="3">
        <f>IFERROR(__xludf.DUMMYFUNCTION("""COMPUTED_VALUE"""),45756.255478182866)</f>
        <v>45756.25548</v>
      </c>
      <c r="D110" s="3" t="str">
        <f>IFERROR(__xludf.DUMMYFUNCTION("""COMPUTED_VALUE"""),"WWTP")</f>
        <v>WWTP</v>
      </c>
      <c r="E110" s="3" t="str">
        <f>IFERROR(__xludf.DUMMYFUNCTION("""COMPUTED_VALUE"""),"-")</f>
        <v>-</v>
      </c>
      <c r="F110" s="3" t="str">
        <f>IFERROR(__xludf.DUMMYFUNCTION("""COMPUTED_VALUE"""),"General - Gearbox, Ratio I=14.5, Frame 090, DIM. 30x60, Flange Mounted, Helical Gear; Motovario; HA52; 1 unit")</f>
        <v>General - Gearbox, Ratio I=14.5, Frame 090, DIM. 30x60, Flange Mounted, Helical Gear; Motovario; HA52; 1 unit</v>
      </c>
      <c r="G110" s="3">
        <f>IFERROR(__xludf.DUMMYFUNCTION("""COMPUTED_VALUE"""),2.0)</f>
        <v>2</v>
      </c>
      <c r="H110" s="3" t="str">
        <f>IFERROR(__xludf.DUMMYFUNCTION("""COMPUTED_VALUE"""),"Pc")</f>
        <v>Pc</v>
      </c>
      <c r="I110" s="3" t="str">
        <f>IFERROR(__xludf.DUMMYFUNCTION("""COMPUTED_VALUE"""),"Deliver")</f>
        <v>Deliver</v>
      </c>
      <c r="J110" s="3" t="str">
        <f>IFERROR(__xludf.DUMMYFUNCTION("""COMPUTED_VALUE"""),"-")</f>
        <v>-</v>
      </c>
      <c r="K110" s="3" t="str">
        <f>IFERROR(__xludf.DUMMYFUNCTION("""COMPUTED_VALUE"""),"-")</f>
        <v>-</v>
      </c>
    </row>
    <row r="111">
      <c r="A111" s="3" t="str">
        <f>IFERROR(__xludf.DUMMYFUNCTION("""COMPUTED_VALUE"""),"MFHRO0045")</f>
        <v>MFHRO0045</v>
      </c>
      <c r="B111" s="4">
        <f>IFERROR(__xludf.DUMMYFUNCTION("""COMPUTED_VALUE"""),45756.2529860301)</f>
        <v>45756.25299</v>
      </c>
      <c r="C111" s="3">
        <f>IFERROR(__xludf.DUMMYFUNCTION("""COMPUTED_VALUE"""),45756.25559071759)</f>
        <v>45756.25559</v>
      </c>
      <c r="D111" s="3" t="str">
        <f>IFERROR(__xludf.DUMMYFUNCTION("""COMPUTED_VALUE"""),"WWTP")</f>
        <v>WWTP</v>
      </c>
      <c r="E111" s="3" t="str">
        <f>IFERROR(__xludf.DUMMYFUNCTION("""COMPUTED_VALUE"""),"-")</f>
        <v>-</v>
      </c>
      <c r="F111" s="3" t="str">
        <f>IFERROR(__xludf.DUMMYFUNCTION("""COMPUTED_VALUE"""),"General - Electric Motor, 1.5 KW, 230-400V, 50Hz, B5, ISOL.Class F, IP55, IE3; Motovario; TP 90L4; 1 unit")</f>
        <v>General - Electric Motor, 1.5 KW, 230-400V, 50Hz, B5, ISOL.Class F, IP55, IE3; Motovario; TP 90L4; 1 unit</v>
      </c>
      <c r="G111" s="3">
        <f>IFERROR(__xludf.DUMMYFUNCTION("""COMPUTED_VALUE"""),2.0)</f>
        <v>2</v>
      </c>
      <c r="H111" s="3" t="str">
        <f>IFERROR(__xludf.DUMMYFUNCTION("""COMPUTED_VALUE"""),"Pc")</f>
        <v>Pc</v>
      </c>
      <c r="I111" s="3" t="str">
        <f>IFERROR(__xludf.DUMMYFUNCTION("""COMPUTED_VALUE"""),"Deliver")</f>
        <v>Deliver</v>
      </c>
      <c r="J111" s="3" t="str">
        <f>IFERROR(__xludf.DUMMYFUNCTION("""COMPUTED_VALUE"""),"-")</f>
        <v>-</v>
      </c>
      <c r="K111" s="3" t="str">
        <f>IFERROR(__xludf.DUMMYFUNCTION("""COMPUTED_VALUE"""),"-")</f>
        <v>-</v>
      </c>
    </row>
    <row r="112">
      <c r="A112" s="3" t="str">
        <f>IFERROR(__xludf.DUMMYFUNCTION("""COMPUTED_VALUE"""),"MOBRO0030")</f>
        <v>MOBRO0030</v>
      </c>
      <c r="B112" s="4">
        <f>IFERROR(__xludf.DUMMYFUNCTION("""COMPUTED_VALUE"""),45757.675373240745)</f>
        <v>45757.67537</v>
      </c>
      <c r="C112" s="3">
        <f>IFERROR(__xludf.DUMMYFUNCTION("""COMPUTED_VALUE"""),45761.6027668287)</f>
        <v>45761.60277</v>
      </c>
      <c r="D112" s="3" t="str">
        <f>IFERROR(__xludf.DUMMYFUNCTION("""COMPUTED_VALUE"""),"AHU")</f>
        <v>AHU</v>
      </c>
      <c r="E112" s="3" t="str">
        <f>IFERROR(__xludf.DUMMYFUNCTION("""COMPUTED_VALUE"""),"-")</f>
        <v>-</v>
      </c>
      <c r="F112" s="3" t="str">
        <f>IFERROR(__xludf.DUMMYFUNCTION("""COMPUTED_VALUE"""),"General - Pulser SCR Heater Controller Wall Mounted 0-10 VD DC; Regin; 240-X010; 1 unit")</f>
        <v>General - Pulser SCR Heater Controller Wall Mounted 0-10 VD DC; Regin; 240-X010; 1 unit</v>
      </c>
      <c r="G112" s="3">
        <f>IFERROR(__xludf.DUMMYFUNCTION("""COMPUTED_VALUE"""),4.0)</f>
        <v>4</v>
      </c>
      <c r="H112" s="3" t="str">
        <f>IFERROR(__xludf.DUMMYFUNCTION("""COMPUTED_VALUE"""),"Pcs")</f>
        <v>Pcs</v>
      </c>
      <c r="I112" s="3" t="str">
        <f>IFERROR(__xludf.DUMMYFUNCTION("""COMPUTED_VALUE"""),"Deliver")</f>
        <v>Deliver</v>
      </c>
      <c r="J112" s="3" t="str">
        <f>IFERROR(__xludf.DUMMYFUNCTION("""COMPUTED_VALUE"""),"-")</f>
        <v>-</v>
      </c>
      <c r="K112" s="3" t="str">
        <f>IFERROR(__xludf.DUMMYFUNCTION("""COMPUTED_VALUE"""),"-")</f>
        <v>-</v>
      </c>
    </row>
    <row r="113">
      <c r="A113" s="3" t="str">
        <f>IFERROR(__xludf.DUMMYFUNCTION("""COMPUTED_VALUE"""),"MOBRO0031")</f>
        <v>MOBRO0031</v>
      </c>
      <c r="B113" s="4">
        <f>IFERROR(__xludf.DUMMYFUNCTION("""COMPUTED_VALUE"""),45757.676482731484)</f>
        <v>45757.67648</v>
      </c>
      <c r="C113" s="3">
        <f>IFERROR(__xludf.DUMMYFUNCTION("""COMPUTED_VALUE"""),45761.60251945602)</f>
        <v>45761.60252</v>
      </c>
      <c r="D113" s="3" t="str">
        <f>IFERROR(__xludf.DUMMYFUNCTION("""COMPUTED_VALUE"""),"WWTP")</f>
        <v>WWTP</v>
      </c>
      <c r="E113" s="3" t="str">
        <f>IFERROR(__xludf.DUMMYFUNCTION("""COMPUTED_VALUE"""),"-")</f>
        <v>-</v>
      </c>
      <c r="F113" s="3" t="str">
        <f>IFERROR(__xludf.DUMMYFUNCTION("""COMPUTED_VALUE"""),"Gelas Ukur 1000 ml Class A ; Brand : Iwaki ; CN : 3022-1000-N")</f>
        <v>Gelas Ukur 1000 ml Class A ; Brand : Iwaki ; CN : 3022-1000-N</v>
      </c>
      <c r="G113" s="3">
        <f>IFERROR(__xludf.DUMMYFUNCTION("""COMPUTED_VALUE"""),1.0)</f>
        <v>1</v>
      </c>
      <c r="H113" s="3" t="str">
        <f>IFERROR(__xludf.DUMMYFUNCTION("""COMPUTED_VALUE"""),"Pcs")</f>
        <v>Pcs</v>
      </c>
      <c r="I113" s="3" t="str">
        <f>IFERROR(__xludf.DUMMYFUNCTION("""COMPUTED_VALUE"""),"Deliver")</f>
        <v>Deliver</v>
      </c>
      <c r="J113" s="3" t="str">
        <f>IFERROR(__xludf.DUMMYFUNCTION("""COMPUTED_VALUE"""),"-")</f>
        <v>-</v>
      </c>
      <c r="K113" s="3" t="str">
        <f>IFERROR(__xludf.DUMMYFUNCTION("""COMPUTED_VALUE"""),"-")</f>
        <v>-</v>
      </c>
    </row>
    <row r="114">
      <c r="A114" s="3" t="str">
        <f>IFERROR(__xludf.DUMMYFUNCTION("""COMPUTED_VALUE"""),"ROSRO0003")</f>
        <v>ROSRO0003</v>
      </c>
      <c r="B114" s="4">
        <f>IFERROR(__xludf.DUMMYFUNCTION("""COMPUTED_VALUE"""),45761.670253518525)</f>
        <v>45761.67025</v>
      </c>
      <c r="C114" s="3">
        <f>IFERROR(__xludf.DUMMYFUNCTION("""COMPUTED_VALUE"""),45767.80992883102)</f>
        <v>45767.80993</v>
      </c>
      <c r="D114" s="3" t="str">
        <f>IFERROR(__xludf.DUMMYFUNCTION("""COMPUTED_VALUE"""),"HPLC 1")</f>
        <v>HPLC 1</v>
      </c>
      <c r="E114" s="3" t="str">
        <f>IFERROR(__xludf.DUMMYFUNCTION("""COMPUTED_VALUE"""),"EJO/2025/04/57")</f>
        <v>EJO/2025/04/57</v>
      </c>
      <c r="F114" s="3" t="str">
        <f>IFERROR(__xludf.DUMMYFUNCTION("""COMPUTED_VALUE"""),"Heater/Cooler Engine 2690; Waters; 700001066;")</f>
        <v>Heater/Cooler Engine 2690; Waters; 700001066;</v>
      </c>
      <c r="G114" s="3">
        <f>IFERROR(__xludf.DUMMYFUNCTION("""COMPUTED_VALUE"""),1.0)</f>
        <v>1</v>
      </c>
      <c r="H114" s="3" t="str">
        <f>IFERROR(__xludf.DUMMYFUNCTION("""COMPUTED_VALUE"""),"Set")</f>
        <v>Set</v>
      </c>
      <c r="I114" s="3" t="str">
        <f>IFERROR(__xludf.DUMMYFUNCTION("""COMPUTED_VALUE"""),"Deliver")</f>
        <v>Deliver</v>
      </c>
      <c r="J114" s="3" t="str">
        <f>IFERROR(__xludf.DUMMYFUNCTION("""COMPUTED_VALUE"""),"-")</f>
        <v>-</v>
      </c>
      <c r="K114" s="3" t="str">
        <f>IFERROR(__xludf.DUMMYFUNCTION("""COMPUTED_VALUE"""),"-")</f>
        <v>-</v>
      </c>
    </row>
    <row r="115">
      <c r="A115" s="3" t="str">
        <f>IFERROR(__xludf.DUMMYFUNCTION("""COMPUTED_VALUE"""),"RIARO0025")</f>
        <v>RIARO0025</v>
      </c>
      <c r="B115" s="4">
        <f>IFERROR(__xludf.DUMMYFUNCTION("""COMPUTED_VALUE"""),45762.66750984953)</f>
        <v>45762.66751</v>
      </c>
      <c r="C115" s="3">
        <f>IFERROR(__xludf.DUMMYFUNCTION("""COMPUTED_VALUE"""),45768.63826605324)</f>
        <v>45768.63827</v>
      </c>
      <c r="D115" s="3" t="str">
        <f>IFERROR(__xludf.DUMMYFUNCTION("""COMPUTED_VALUE"""),"B12")</f>
        <v>B12</v>
      </c>
      <c r="E115" s="3" t="str">
        <f>IFERROR(__xludf.DUMMYFUNCTION("""COMPUTED_VALUE"""),"EJO/2025/04/75")</f>
        <v>EJO/2025/04/75</v>
      </c>
      <c r="F115" s="3" t="str">
        <f>IFERROR(__xludf.DUMMYFUNCTION("""COMPUTED_VALUE"""),"General - Pulser SCR Heater Controller Wall Mounted 0-10 VD DC; Regin; 240-X010; 1 unit")</f>
        <v>General - Pulser SCR Heater Controller Wall Mounted 0-10 VD DC; Regin; 240-X010; 1 unit</v>
      </c>
      <c r="G115" s="3">
        <f>IFERROR(__xludf.DUMMYFUNCTION("""COMPUTED_VALUE"""),2.0)</f>
        <v>2</v>
      </c>
      <c r="H115" s="3" t="str">
        <f>IFERROR(__xludf.DUMMYFUNCTION("""COMPUTED_VALUE"""),"Pcs")</f>
        <v>Pcs</v>
      </c>
      <c r="I115" s="3" t="str">
        <f>IFERROR(__xludf.DUMMYFUNCTION("""COMPUTED_VALUE"""),"Deliver")</f>
        <v>Deliver</v>
      </c>
      <c r="J115" s="3" t="str">
        <f>IFERROR(__xludf.DUMMYFUNCTION("""COMPUTED_VALUE"""),"-")</f>
        <v>-</v>
      </c>
      <c r="K115" s="3" t="str">
        <f>IFERROR(__xludf.DUMMYFUNCTION("""COMPUTED_VALUE"""),"-")</f>
        <v>-</v>
      </c>
    </row>
    <row r="116">
      <c r="A116" s="3" t="str">
        <f>IFERROR(__xludf.DUMMYFUNCTION("""COMPUTED_VALUE"""),"RIARO0026")</f>
        <v>RIARO0026</v>
      </c>
      <c r="B116" s="4">
        <f>IFERROR(__xludf.DUMMYFUNCTION("""COMPUTED_VALUE"""),45762.66919855324)</f>
        <v>45762.6692</v>
      </c>
      <c r="C116" s="3">
        <f>IFERROR(__xludf.DUMMYFUNCTION("""COMPUTED_VALUE"""),45768.63849297454)</f>
        <v>45768.63849</v>
      </c>
      <c r="D116" s="3" t="str">
        <f>IFERROR(__xludf.DUMMYFUNCTION("""COMPUTED_VALUE"""),"D13")</f>
        <v>D13</v>
      </c>
      <c r="E116" s="3" t="str">
        <f>IFERROR(__xludf.DUMMYFUNCTION("""COMPUTED_VALUE"""),"EJO/2025/04/76")</f>
        <v>EJO/2025/04/76</v>
      </c>
      <c r="F116" s="3" t="str">
        <f>IFERROR(__xludf.DUMMYFUNCTION("""COMPUTED_VALUE"""),"General - Pulser SCR Heater Controller Wall Mounted 0-10 VD DC; Regin; 240-X010; 1 unit")</f>
        <v>General - Pulser SCR Heater Controller Wall Mounted 0-10 VD DC; Regin; 240-X010; 1 unit</v>
      </c>
      <c r="G116" s="3">
        <f>IFERROR(__xludf.DUMMYFUNCTION("""COMPUTED_VALUE"""),2.0)</f>
        <v>2</v>
      </c>
      <c r="H116" s="3" t="str">
        <f>IFERROR(__xludf.DUMMYFUNCTION("""COMPUTED_VALUE"""),"Pcs")</f>
        <v>Pcs</v>
      </c>
      <c r="I116" s="3" t="str">
        <f>IFERROR(__xludf.DUMMYFUNCTION("""COMPUTED_VALUE"""),"Deliver")</f>
        <v>Deliver</v>
      </c>
      <c r="J116" s="3" t="str">
        <f>IFERROR(__xludf.DUMMYFUNCTION("""COMPUTED_VALUE"""),"-")</f>
        <v>-</v>
      </c>
      <c r="K116" s="3" t="str">
        <f>IFERROR(__xludf.DUMMYFUNCTION("""COMPUTED_VALUE"""),"-")</f>
        <v>-</v>
      </c>
    </row>
    <row r="117">
      <c r="A117" s="3" t="str">
        <f>IFERROR(__xludf.DUMMYFUNCTION("""COMPUTED_VALUE"""),"RIARO0027")</f>
        <v>RIARO0027</v>
      </c>
      <c r="B117" s="4">
        <f>IFERROR(__xludf.DUMMYFUNCTION("""COMPUTED_VALUE"""),45762.74859664352)</f>
        <v>45762.7486</v>
      </c>
      <c r="C117" s="3">
        <f>IFERROR(__xludf.DUMMYFUNCTION("""COMPUTED_VALUE"""),45768.63990171296)</f>
        <v>45768.6399</v>
      </c>
      <c r="D117" s="3" t="str">
        <f>IFERROR(__xludf.DUMMYFUNCTION("""COMPUTED_VALUE"""),"All Room New")</f>
        <v>All Room New</v>
      </c>
      <c r="E117" s="3" t="str">
        <f>IFERROR(__xludf.DUMMYFUNCTION("""COMPUTED_VALUE"""),"EJO/2025/04/18")</f>
        <v>EJO/2025/04/18</v>
      </c>
      <c r="F117" s="3" t="str">
        <f>IFERROR(__xludf.DUMMYFUNCTION("""COMPUTED_VALUE"""),"Cable Temperature Sensor Silicone 1,5m PT1000 QAP2012.150")</f>
        <v>Cable Temperature Sensor Silicone 1,5m PT1000 QAP2012.150</v>
      </c>
      <c r="G117" s="3">
        <f>IFERROR(__xludf.DUMMYFUNCTION("""COMPUTED_VALUE"""),4.0)</f>
        <v>4</v>
      </c>
      <c r="H117" s="3" t="str">
        <f>IFERROR(__xludf.DUMMYFUNCTION("""COMPUTED_VALUE"""),"Pcs")</f>
        <v>Pcs</v>
      </c>
      <c r="I117" s="3" t="str">
        <f>IFERROR(__xludf.DUMMYFUNCTION("""COMPUTED_VALUE"""),"Deliver")</f>
        <v>Deliver</v>
      </c>
      <c r="J117" s="3" t="str">
        <f>IFERROR(__xludf.DUMMYFUNCTION("""COMPUTED_VALUE"""),"-")</f>
        <v>-</v>
      </c>
      <c r="K117" s="3" t="str">
        <f>IFERROR(__xludf.DUMMYFUNCTION("""COMPUTED_VALUE"""),"-")</f>
        <v>-</v>
      </c>
    </row>
    <row r="118">
      <c r="A118" s="3" t="str">
        <f>IFERROR(__xludf.DUMMYFUNCTION("""COMPUTED_VALUE"""),"INNRO0002")</f>
        <v>INNRO0002</v>
      </c>
      <c r="B118" s="4">
        <f>IFERROR(__xludf.DUMMYFUNCTION("""COMPUTED_VALUE"""),45762.96033415509)</f>
        <v>45762.96033</v>
      </c>
      <c r="C118" s="3">
        <f>IFERROR(__xludf.DUMMYFUNCTION("""COMPUTED_VALUE"""),45767.8177896875)</f>
        <v>45767.81779</v>
      </c>
      <c r="D118" s="3" t="str">
        <f>IFERROR(__xludf.DUMMYFUNCTION("""COMPUTED_VALUE"""),"Autoclave Decontam")</f>
        <v>Autoclave Decontam</v>
      </c>
      <c r="E118" s="3" t="str">
        <f>IFERROR(__xludf.DUMMYFUNCTION("""COMPUTED_VALUE"""),"EJO/2025/03/146")</f>
        <v>EJO/2025/03/146</v>
      </c>
      <c r="F118" s="3" t="str">
        <f>IFERROR(__xludf.DUMMYFUNCTION("""COMPUTED_VALUE"""),"Autoclave Fedegari FVA2/A1 - Vacuum Compressor  2BV3 151-0GW02-1E; ELMO RIETSCHLE; ;")</f>
        <v>Autoclave Fedegari FVA2/A1 - Vacuum Compressor  2BV3 151-0GW02-1E; ELMO RIETSCHLE; ;</v>
      </c>
      <c r="G118" s="3">
        <f>IFERROR(__xludf.DUMMYFUNCTION("""COMPUTED_VALUE"""),1.0)</f>
        <v>1</v>
      </c>
      <c r="H118" s="3" t="str">
        <f>IFERROR(__xludf.DUMMYFUNCTION("""COMPUTED_VALUE"""),"Unit")</f>
        <v>Unit</v>
      </c>
      <c r="I118" s="3" t="str">
        <f>IFERROR(__xludf.DUMMYFUNCTION("""COMPUTED_VALUE"""),"Deliver")</f>
        <v>Deliver</v>
      </c>
      <c r="J118" s="3" t="str">
        <f>IFERROR(__xludf.DUMMYFUNCTION("""COMPUTED_VALUE"""),"-")</f>
        <v>-</v>
      </c>
      <c r="K118" s="3" t="str">
        <f>IFERROR(__xludf.DUMMYFUNCTION("""COMPUTED_VALUE"""),"-")</f>
        <v>-</v>
      </c>
    </row>
    <row r="119">
      <c r="A119" s="3" t="str">
        <f>IFERROR(__xludf.DUMMYFUNCTION("""COMPUTED_VALUE"""),"MRNRO0012")</f>
        <v>MRNRO0012</v>
      </c>
      <c r="B119" s="4">
        <f>IFERROR(__xludf.DUMMYFUNCTION("""COMPUTED_VALUE"""),45763.88987730324)</f>
        <v>45763.88988</v>
      </c>
      <c r="C119" s="3">
        <f>IFERROR(__xludf.DUMMYFUNCTION("""COMPUTED_VALUE"""),45768.64381171296)</f>
        <v>45768.64381</v>
      </c>
      <c r="D119" s="3" t="str">
        <f>IFERROR(__xludf.DUMMYFUNCTION("""COMPUTED_VALUE"""),"Utility")</f>
        <v>Utility</v>
      </c>
      <c r="E119" s="3" t="str">
        <f>IFERROR(__xludf.DUMMYFUNCTION("""COMPUTED_VALUE"""),"-")</f>
        <v>-</v>
      </c>
      <c r="F119" s="3" t="str">
        <f>IFERROR(__xludf.DUMMYFUNCTION("""COMPUTED_VALUE"""),"General - Washable G4 Avg arrestance : 94%. Rec. Final resistance: 250 Pa. Size: 24"" x 24"" x 2""; IAF; ; pcs")</f>
        <v>General - Washable G4 Avg arrestance : 94%. Rec. Final resistance: 250 Pa. Size: 24" x 24" x 2"; IAF; ; pcs</v>
      </c>
      <c r="G119" s="3">
        <f>IFERROR(__xludf.DUMMYFUNCTION("""COMPUTED_VALUE"""),20.0)</f>
        <v>20</v>
      </c>
      <c r="H119" s="3" t="str">
        <f>IFERROR(__xludf.DUMMYFUNCTION("""COMPUTED_VALUE"""),"pcs")</f>
        <v>pcs</v>
      </c>
      <c r="I119" s="3" t="str">
        <f>IFERROR(__xludf.DUMMYFUNCTION("""COMPUTED_VALUE"""),"Deliver")</f>
        <v>Deliver</v>
      </c>
      <c r="J119" s="3" t="str">
        <f>IFERROR(__xludf.DUMMYFUNCTION("""COMPUTED_VALUE"""),"-")</f>
        <v>-</v>
      </c>
      <c r="K119" s="3" t="str">
        <f>IFERROR(__xludf.DUMMYFUNCTION("""COMPUTED_VALUE"""),"-")</f>
        <v>-</v>
      </c>
    </row>
    <row r="120">
      <c r="A120" s="3" t="str">
        <f>IFERROR(__xludf.DUMMYFUNCTION("""COMPUTED_VALUE"""),"MRNRO0013")</f>
        <v>MRNRO0013</v>
      </c>
      <c r="B120" s="4">
        <f>IFERROR(__xludf.DUMMYFUNCTION("""COMPUTED_VALUE"""),45763.88989003473)</f>
        <v>45763.88989</v>
      </c>
      <c r="C120" s="3">
        <f>IFERROR(__xludf.DUMMYFUNCTION("""COMPUTED_VALUE"""),45768.64404792824)</f>
        <v>45768.64405</v>
      </c>
      <c r="D120" s="3" t="str">
        <f>IFERROR(__xludf.DUMMYFUNCTION("""COMPUTED_VALUE"""),"Utility")</f>
        <v>Utility</v>
      </c>
      <c r="E120" s="3" t="str">
        <f>IFERROR(__xludf.DUMMYFUNCTION("""COMPUTED_VALUE"""),"-")</f>
        <v>-</v>
      </c>
      <c r="F120" s="3" t="str">
        <f>IFERROR(__xludf.DUMMYFUNCTION("""COMPUTED_VALUE"""),"General - Washable G4 Avg arrestance : 94%. Rec. Final resistance: 250 Pa. Size: 12"" x 24"" x 2""; IAF; ; pcs")</f>
        <v>General - Washable G4 Avg arrestance : 94%. Rec. Final resistance: 250 Pa. Size: 12" x 24" x 2"; IAF; ; pcs</v>
      </c>
      <c r="G120" s="3">
        <f>IFERROR(__xludf.DUMMYFUNCTION("""COMPUTED_VALUE"""),10.0)</f>
        <v>10</v>
      </c>
      <c r="H120" s="3" t="str">
        <f>IFERROR(__xludf.DUMMYFUNCTION("""COMPUTED_VALUE"""),"pcs")</f>
        <v>pcs</v>
      </c>
      <c r="I120" s="3" t="str">
        <f>IFERROR(__xludf.DUMMYFUNCTION("""COMPUTED_VALUE"""),"Deliver")</f>
        <v>Deliver</v>
      </c>
      <c r="J120" s="3" t="str">
        <f>IFERROR(__xludf.DUMMYFUNCTION("""COMPUTED_VALUE"""),"-")</f>
        <v>-</v>
      </c>
      <c r="K120" s="3" t="str">
        <f>IFERROR(__xludf.DUMMYFUNCTION("""COMPUTED_VALUE"""),"-")</f>
        <v>-</v>
      </c>
    </row>
    <row r="121">
      <c r="A121" s="3" t="str">
        <f>IFERROR(__xludf.DUMMYFUNCTION("""COMPUTED_VALUE"""),"MOBRO0032")</f>
        <v>MOBRO0032</v>
      </c>
      <c r="B121" s="4">
        <f>IFERROR(__xludf.DUMMYFUNCTION("""COMPUTED_VALUE"""),45764.70053857639)</f>
        <v>45764.70054</v>
      </c>
      <c r="C121" s="3">
        <f>IFERROR(__xludf.DUMMYFUNCTION("""COMPUTED_VALUE"""),45775.60855950232)</f>
        <v>45775.60856</v>
      </c>
      <c r="D121" s="3" t="str">
        <f>IFERROR(__xludf.DUMMYFUNCTION("""COMPUTED_VALUE"""),"AHU F3-6")</f>
        <v>AHU F3-6</v>
      </c>
      <c r="E121" s="3" t="str">
        <f>IFERROR(__xludf.DUMMYFUNCTION("""COMPUTED_VALUE"""),"EJO2025/04/86")</f>
        <v>EJO2025/04/86</v>
      </c>
      <c r="F121" s="3" t="str">
        <f>IFERROR(__xludf.DUMMYFUNCTION("""COMPUTED_VALUE"""),"HVAC - Pressure Flow Control MF PFC Ver.3 24 VAC/VDC 0 - 100 Pa Micatrone; ; ;")</f>
        <v>HVAC - Pressure Flow Control MF PFC Ver.3 24 VAC/VDC 0 - 100 Pa Micatrone; ; ;</v>
      </c>
      <c r="G121" s="3">
        <f>IFERROR(__xludf.DUMMYFUNCTION("""COMPUTED_VALUE"""),2.0)</f>
        <v>2</v>
      </c>
      <c r="H121" s="3" t="str">
        <f>IFERROR(__xludf.DUMMYFUNCTION("""COMPUTED_VALUE"""),"Pcs")</f>
        <v>Pcs</v>
      </c>
      <c r="I121" s="3" t="str">
        <f>IFERROR(__xludf.DUMMYFUNCTION("""COMPUTED_VALUE"""),"Deliver")</f>
        <v>Deliver</v>
      </c>
      <c r="J121" s="3" t="str">
        <f>IFERROR(__xludf.DUMMYFUNCTION("""COMPUTED_VALUE"""),"-")</f>
        <v>-</v>
      </c>
      <c r="K121" s="3" t="str">
        <f>IFERROR(__xludf.DUMMYFUNCTION("""COMPUTED_VALUE"""),"-")</f>
        <v>-</v>
      </c>
    </row>
    <row r="122">
      <c r="A122" s="3" t="str">
        <f>IFERROR(__xludf.DUMMYFUNCTION("""COMPUTED_VALUE"""),"ANORO0005")</f>
        <v>ANORO0005</v>
      </c>
      <c r="B122" s="4">
        <f>IFERROR(__xludf.DUMMYFUNCTION("""COMPUTED_VALUE"""),45764.894528379635)</f>
        <v>45764.89453</v>
      </c>
      <c r="C122" s="3">
        <f>IFERROR(__xludf.DUMMYFUNCTION("""COMPUTED_VALUE"""),45767.82035239584)</f>
        <v>45767.82035</v>
      </c>
      <c r="D122" s="3" t="str">
        <f>IFERROR(__xludf.DUMMYFUNCTION("""COMPUTED_VALUE"""),"BSC")</f>
        <v>BSC</v>
      </c>
      <c r="E122" s="3" t="str">
        <f>IFERROR(__xludf.DUMMYFUNCTION("""COMPUTED_VALUE"""),"EJO/2025/03/88")</f>
        <v>EJO/2025/03/88</v>
      </c>
      <c r="F122" s="3" t="str">
        <f>IFERROR(__xludf.DUMMYFUNCTION("""COMPUTED_VALUE"""),"FESTO - QS-3/8-8 Push-In fitting p/n 153006")</f>
        <v>FESTO - QS-3/8-8 Push-In fitting p/n 153006</v>
      </c>
      <c r="G122" s="3">
        <f>IFERROR(__xludf.DUMMYFUNCTION("""COMPUTED_VALUE"""),10.0)</f>
        <v>10</v>
      </c>
      <c r="H122" s="3" t="str">
        <f>IFERROR(__xludf.DUMMYFUNCTION("""COMPUTED_VALUE"""),"PCS")</f>
        <v>PCS</v>
      </c>
      <c r="I122" s="3" t="str">
        <f>IFERROR(__xludf.DUMMYFUNCTION("""COMPUTED_VALUE"""),"Deliver")</f>
        <v>Deliver</v>
      </c>
      <c r="J122" s="3" t="str">
        <f>IFERROR(__xludf.DUMMYFUNCTION("""COMPUTED_VALUE"""),"-")</f>
        <v>-</v>
      </c>
      <c r="K122" s="3" t="str">
        <f>IFERROR(__xludf.DUMMYFUNCTION("""COMPUTED_VALUE"""),"-")</f>
        <v>-</v>
      </c>
    </row>
    <row r="123">
      <c r="A123" s="3" t="str">
        <f>IFERROR(__xludf.DUMMYFUNCTION("""COMPUTED_VALUE"""),"RIARO0029")</f>
        <v>RIARO0029</v>
      </c>
      <c r="B123" s="4">
        <f>IFERROR(__xludf.DUMMYFUNCTION("""COMPUTED_VALUE"""),45768.59221689814)</f>
        <v>45768.59222</v>
      </c>
      <c r="C123" s="3">
        <f>IFERROR(__xludf.DUMMYFUNCTION("""COMPUTED_VALUE"""),45768.645275937495)</f>
        <v>45768.64528</v>
      </c>
      <c r="D123" s="3" t="str">
        <f>IFERROR(__xludf.DUMMYFUNCTION("""COMPUTED_VALUE"""),"PW SKID")</f>
        <v>PW SKID</v>
      </c>
      <c r="E123" s="3" t="str">
        <f>IFERROR(__xludf.DUMMYFUNCTION("""COMPUTED_VALUE"""),"-")</f>
        <v>-</v>
      </c>
      <c r="F123" s="3" t="str">
        <f>IFERROR(__xludf.DUMMYFUNCTION("""COMPUTED_VALUE"""),"Kit, membrane ozone 6510 METTLER TOLEDO INDONESIA, PT P/N : -  pc")</f>
        <v>Kit, membrane ozone 6510 METTLER TOLEDO INDONESIA, PT P/N : -  pc</v>
      </c>
      <c r="G123" s="3">
        <f>IFERROR(__xludf.DUMMYFUNCTION("""COMPUTED_VALUE"""),1.0)</f>
        <v>1</v>
      </c>
      <c r="H123" s="3" t="str">
        <f>IFERROR(__xludf.DUMMYFUNCTION("""COMPUTED_VALUE"""),"Set")</f>
        <v>Set</v>
      </c>
      <c r="I123" s="3" t="str">
        <f>IFERROR(__xludf.DUMMYFUNCTION("""COMPUTED_VALUE"""),"Deliver")</f>
        <v>Deliver</v>
      </c>
      <c r="J123" s="3" t="str">
        <f>IFERROR(__xludf.DUMMYFUNCTION("""COMPUTED_VALUE"""),"-")</f>
        <v>-</v>
      </c>
      <c r="K123" s="3" t="str">
        <f>IFERROR(__xludf.DUMMYFUNCTION("""COMPUTED_VALUE"""),"-")</f>
        <v>-</v>
      </c>
    </row>
    <row r="124">
      <c r="A124" s="3" t="str">
        <f>IFERROR(__xludf.DUMMYFUNCTION("""COMPUTED_VALUE"""),"INNRO0003")</f>
        <v>INNRO0003</v>
      </c>
      <c r="B124" s="4">
        <f>IFERROR(__xludf.DUMMYFUNCTION("""COMPUTED_VALUE"""),45771.33905258102)</f>
        <v>45771.33905</v>
      </c>
      <c r="C124" s="3">
        <f>IFERROR(__xludf.DUMMYFUNCTION("""COMPUTED_VALUE"""),45772.64253064815)</f>
        <v>45772.64253</v>
      </c>
      <c r="D124" s="3" t="str">
        <f>IFERROR(__xludf.DUMMYFUNCTION("""COMPUTED_VALUE"""),"PMS")</f>
        <v>PMS</v>
      </c>
      <c r="E124" s="3" t="str">
        <f>IFERROR(__xludf.DUMMYFUNCTION("""COMPUTED_VALUE"""),"-")</f>
        <v>-</v>
      </c>
      <c r="F124" s="3" t="str">
        <f>IFERROR(__xludf.DUMMYFUNCTION("""COMPUTED_VALUE"""),"FESTO - Plastic tubing PUN-10x1,5-BL (Blue) p/n 159668; ; ;")</f>
        <v>FESTO - Plastic tubing PUN-10x1,5-BL (Blue) p/n 159668; ; ;</v>
      </c>
      <c r="G124" s="3">
        <f>IFERROR(__xludf.DUMMYFUNCTION("""COMPUTED_VALUE"""),150.0)</f>
        <v>150</v>
      </c>
      <c r="H124" s="3" t="str">
        <f>IFERROR(__xludf.DUMMYFUNCTION("""COMPUTED_VALUE"""),"meter")</f>
        <v>meter</v>
      </c>
      <c r="I124" s="3" t="str">
        <f>IFERROR(__xludf.DUMMYFUNCTION("""COMPUTED_VALUE"""),"Deliver")</f>
        <v>Deliver</v>
      </c>
      <c r="J124" s="3" t="str">
        <f>IFERROR(__xludf.DUMMYFUNCTION("""COMPUTED_VALUE"""),"-")</f>
        <v>-</v>
      </c>
      <c r="K124" s="3" t="str">
        <f>IFERROR(__xludf.DUMMYFUNCTION("""COMPUTED_VALUE"""),"-")</f>
        <v>-</v>
      </c>
    </row>
    <row r="125">
      <c r="A125" s="3" t="str">
        <f>IFERROR(__xludf.DUMMYFUNCTION("""COMPUTED_VALUE"""),"INNRO0004")</f>
        <v>INNRO0004</v>
      </c>
      <c r="B125" s="4">
        <f>IFERROR(__xludf.DUMMYFUNCTION("""COMPUTED_VALUE"""),45771.33991049769)</f>
        <v>45771.33991</v>
      </c>
      <c r="C125" s="3">
        <f>IFERROR(__xludf.DUMMYFUNCTION("""COMPUTED_VALUE"""),45772.643688553246)</f>
        <v>45772.64369</v>
      </c>
      <c r="D125" s="3" t="str">
        <f>IFERROR(__xludf.DUMMYFUNCTION("""COMPUTED_VALUE"""),"Isolator Mixing")</f>
        <v>Isolator Mixing</v>
      </c>
      <c r="E125" s="3" t="str">
        <f>IFERROR(__xludf.DUMMYFUNCTION("""COMPUTED_VALUE"""),"-")</f>
        <v>-</v>
      </c>
      <c r="F125" s="3" t="str">
        <f>IFERROR(__xludf.DUMMYFUNCTION("""COMPUTED_VALUE"""),"General - Plastic Tubing, PUN-H-8X1,25-BL; Festo; 197385; 1 m")</f>
        <v>General - Plastic Tubing, PUN-H-8X1,25-BL; Festo; 197385; 1 m</v>
      </c>
      <c r="G125" s="3">
        <f>IFERROR(__xludf.DUMMYFUNCTION("""COMPUTED_VALUE"""),100.0)</f>
        <v>100</v>
      </c>
      <c r="H125" s="3" t="str">
        <f>IFERROR(__xludf.DUMMYFUNCTION("""COMPUTED_VALUE"""),"meter")</f>
        <v>meter</v>
      </c>
      <c r="I125" s="3" t="str">
        <f>IFERROR(__xludf.DUMMYFUNCTION("""COMPUTED_VALUE"""),"Deliver")</f>
        <v>Deliver</v>
      </c>
      <c r="J125" s="3" t="str">
        <f>IFERROR(__xludf.DUMMYFUNCTION("""COMPUTED_VALUE"""),"-")</f>
        <v>-</v>
      </c>
      <c r="K125" s="3" t="str">
        <f>IFERROR(__xludf.DUMMYFUNCTION("""COMPUTED_VALUE"""),"-")</f>
        <v>-</v>
      </c>
    </row>
    <row r="126">
      <c r="A126" s="3" t="str">
        <f>IFERROR(__xludf.DUMMYFUNCTION("""COMPUTED_VALUE"""),"SFHRO0004")</f>
        <v>SFHRO0004</v>
      </c>
      <c r="B126" s="4">
        <f>IFERROR(__xludf.DUMMYFUNCTION("""COMPUTED_VALUE"""),45771.65996020833)</f>
        <v>45771.65996</v>
      </c>
      <c r="C126" s="3">
        <f>IFERROR(__xludf.DUMMYFUNCTION("""COMPUTED_VALUE"""),45775.61204394676)</f>
        <v>45775.61204</v>
      </c>
      <c r="D126" s="3" t="str">
        <f>IFERROR(__xludf.DUMMYFUNCTION("""COMPUTED_VALUE"""),"lantai 2")</f>
        <v>lantai 2</v>
      </c>
      <c r="E126" s="3" t="str">
        <f>IFERROR(__xludf.DUMMYFUNCTION("""COMPUTED_VALUE"""),"-")</f>
        <v>-</v>
      </c>
      <c r="F126" s="3" t="str">
        <f>IFERROR(__xludf.DUMMYFUNCTION("""COMPUTED_VALUE"""),"Kuas Cat Roller uk. 230 mm;No Brand;;pack size per set")</f>
        <v>Kuas Cat Roller uk. 230 mm;No Brand;;pack size per set</v>
      </c>
      <c r="G126" s="3">
        <f>IFERROR(__xludf.DUMMYFUNCTION("""COMPUTED_VALUE"""),20.0)</f>
        <v>20</v>
      </c>
      <c r="H126" s="3" t="str">
        <f>IFERROR(__xludf.DUMMYFUNCTION("""COMPUTED_VALUE"""),"pcs")</f>
        <v>pcs</v>
      </c>
      <c r="I126" s="3" t="str">
        <f>IFERROR(__xludf.DUMMYFUNCTION("""COMPUTED_VALUE"""),"Deliver")</f>
        <v>Deliver</v>
      </c>
      <c r="J126" s="3" t="str">
        <f>IFERROR(__xludf.DUMMYFUNCTION("""COMPUTED_VALUE"""),"-")</f>
        <v>-</v>
      </c>
      <c r="K126" s="3" t="str">
        <f>IFERROR(__xludf.DUMMYFUNCTION("""COMPUTED_VALUE"""),"-")</f>
        <v>-</v>
      </c>
    </row>
    <row r="127">
      <c r="A127" s="3" t="str">
        <f>IFERROR(__xludf.DUMMYFUNCTION("""COMPUTED_VALUE"""),"SFHRO0005")</f>
        <v>SFHRO0005</v>
      </c>
      <c r="B127" s="4">
        <f>IFERROR(__xludf.DUMMYFUNCTION("""COMPUTED_VALUE"""),45771.66250979166)</f>
        <v>45771.66251</v>
      </c>
      <c r="C127" s="3">
        <f>IFERROR(__xludf.DUMMYFUNCTION("""COMPUTED_VALUE"""),45775.61225239583)</f>
        <v>45775.61225</v>
      </c>
      <c r="D127" s="3" t="str">
        <f>IFERROR(__xludf.DUMMYFUNCTION("""COMPUTED_VALUE"""),"lantai 2")</f>
        <v>lantai 2</v>
      </c>
      <c r="E127" s="3" t="str">
        <f>IFERROR(__xludf.DUMMYFUNCTION("""COMPUTED_VALUE"""),"-")</f>
        <v>-</v>
      </c>
      <c r="F127" s="3" t="str">
        <f>IFERROR(__xludf.DUMMYFUNCTION("""COMPUTED_VALUE"""),"Kuas 3 inch")</f>
        <v>Kuas 3 inch</v>
      </c>
      <c r="G127" s="3">
        <f>IFERROR(__xludf.DUMMYFUNCTION("""COMPUTED_VALUE"""),15.0)</f>
        <v>15</v>
      </c>
      <c r="H127" s="3" t="str">
        <f>IFERROR(__xludf.DUMMYFUNCTION("""COMPUTED_VALUE"""),"pcs")</f>
        <v>pcs</v>
      </c>
      <c r="I127" s="3" t="str">
        <f>IFERROR(__xludf.DUMMYFUNCTION("""COMPUTED_VALUE"""),"Deliver")</f>
        <v>Deliver</v>
      </c>
      <c r="J127" s="3" t="str">
        <f>IFERROR(__xludf.DUMMYFUNCTION("""COMPUTED_VALUE"""),"-")</f>
        <v>-</v>
      </c>
      <c r="K127" s="3" t="str">
        <f>IFERROR(__xludf.DUMMYFUNCTION("""COMPUTED_VALUE"""),"-")</f>
        <v>-</v>
      </c>
    </row>
    <row r="128">
      <c r="A128" s="3" t="str">
        <f>IFERROR(__xludf.DUMMYFUNCTION("""COMPUTED_VALUE"""),"RIARO0030")</f>
        <v>RIARO0030</v>
      </c>
      <c r="B128" s="4">
        <f>IFERROR(__xludf.DUMMYFUNCTION("""COMPUTED_VALUE"""),45776.65775798611)</f>
        <v>45776.65776</v>
      </c>
      <c r="C128" s="3">
        <f>IFERROR(__xludf.DUMMYFUNCTION("""COMPUTED_VALUE"""),45783.66916622686)</f>
        <v>45783.66917</v>
      </c>
      <c r="D128" s="3" t="str">
        <f>IFERROR(__xludf.DUMMYFUNCTION("""COMPUTED_VALUE"""),"Alarm System")</f>
        <v>Alarm System</v>
      </c>
      <c r="E128" s="3" t="str">
        <f>IFERROR(__xludf.DUMMYFUNCTION("""COMPUTED_VALUE"""),"EJO/2025/05/05")</f>
        <v>EJO/2025/05/05</v>
      </c>
      <c r="F128" s="3" t="str">
        <f>IFERROR(__xludf.DUMMYFUNCTION("""COMPUTED_VALUE"""),"General - Kabel Belden AWG 22 2 Pair; Belden; 8723; 305m/roll")</f>
        <v>General - Kabel Belden AWG 22 2 Pair; Belden; 8723; 305m/roll</v>
      </c>
      <c r="G128" s="3">
        <f>IFERROR(__xludf.DUMMYFUNCTION("""COMPUTED_VALUE"""),2.0)</f>
        <v>2</v>
      </c>
      <c r="H128" s="3" t="str">
        <f>IFERROR(__xludf.DUMMYFUNCTION("""COMPUTED_VALUE"""),"Roll")</f>
        <v>Roll</v>
      </c>
      <c r="I128" s="3" t="str">
        <f>IFERROR(__xludf.DUMMYFUNCTION("""COMPUTED_VALUE"""),"Deliver")</f>
        <v>Deliver</v>
      </c>
      <c r="J128" s="3" t="str">
        <f>IFERROR(__xludf.DUMMYFUNCTION("""COMPUTED_VALUE"""),"-")</f>
        <v>-</v>
      </c>
      <c r="K128" s="3" t="str">
        <f>IFERROR(__xludf.DUMMYFUNCTION("""COMPUTED_VALUE"""),"-")</f>
        <v>-</v>
      </c>
    </row>
    <row r="129">
      <c r="A129" s="3" t="str">
        <f>IFERROR(__xludf.DUMMYFUNCTION("""COMPUTED_VALUE"""),"RIARO0031")</f>
        <v>RIARO0031</v>
      </c>
      <c r="B129" s="4">
        <f>IFERROR(__xludf.DUMMYFUNCTION("""COMPUTED_VALUE"""),45776.65922327546)</f>
        <v>45776.65922</v>
      </c>
      <c r="C129" s="3">
        <f>IFERROR(__xludf.DUMMYFUNCTION("""COMPUTED_VALUE"""),45783.66943045139)</f>
        <v>45783.66943</v>
      </c>
      <c r="D129" s="3" t="str">
        <f>IFERROR(__xludf.DUMMYFUNCTION("""COMPUTED_VALUE"""),"Alarm System")</f>
        <v>Alarm System</v>
      </c>
      <c r="E129" s="3" t="str">
        <f>IFERROR(__xludf.DUMMYFUNCTION("""COMPUTED_VALUE"""),"EJO/2025/05/05")</f>
        <v>EJO/2025/05/05</v>
      </c>
      <c r="F129" s="3" t="str">
        <f>IFERROR(__xludf.DUMMYFUNCTION("""COMPUTED_VALUE"""),"OMRON - Relay MY4Z 24VDC; ; ;")</f>
        <v>OMRON - Relay MY4Z 24VDC; ; ;</v>
      </c>
      <c r="G129" s="3">
        <f>IFERROR(__xludf.DUMMYFUNCTION("""COMPUTED_VALUE"""),4.0)</f>
        <v>4</v>
      </c>
      <c r="H129" s="3" t="str">
        <f>IFERROR(__xludf.DUMMYFUNCTION("""COMPUTED_VALUE"""),"Pcs")</f>
        <v>Pcs</v>
      </c>
      <c r="I129" s="3" t="str">
        <f>IFERROR(__xludf.DUMMYFUNCTION("""COMPUTED_VALUE"""),"Deliver")</f>
        <v>Deliver</v>
      </c>
      <c r="J129" s="3" t="str">
        <f>IFERROR(__xludf.DUMMYFUNCTION("""COMPUTED_VALUE"""),"-")</f>
        <v>-</v>
      </c>
      <c r="K129" s="3" t="str">
        <f>IFERROR(__xludf.DUMMYFUNCTION("""COMPUTED_VALUE"""),"-")</f>
        <v>-</v>
      </c>
    </row>
    <row r="130">
      <c r="A130" s="3" t="str">
        <f>IFERROR(__xludf.DUMMYFUNCTION("""COMPUTED_VALUE"""),"RIARO0032")</f>
        <v>RIARO0032</v>
      </c>
      <c r="B130" s="4">
        <f>IFERROR(__xludf.DUMMYFUNCTION("""COMPUTED_VALUE"""),45776.66004902778)</f>
        <v>45776.66005</v>
      </c>
      <c r="C130" s="3">
        <f>IFERROR(__xludf.DUMMYFUNCTION("""COMPUTED_VALUE"""),45783.669655150465)</f>
        <v>45783.66966</v>
      </c>
      <c r="D130" s="3" t="str">
        <f>IFERROR(__xludf.DUMMYFUNCTION("""COMPUTED_VALUE"""),"Alarm System")</f>
        <v>Alarm System</v>
      </c>
      <c r="E130" s="3" t="str">
        <f>IFERROR(__xludf.DUMMYFUNCTION("""COMPUTED_VALUE"""),"EJO/2025/05/05")</f>
        <v>EJO/2025/05/05</v>
      </c>
      <c r="F130" s="3" t="str">
        <f>IFERROR(__xludf.DUMMYFUNCTION("""COMPUTED_VALUE"""),"General - Cable Ducting 25mm x 40mm; Lokal; -; 1 pcs")</f>
        <v>General - Cable Ducting 25mm x 40mm; Lokal; -; 1 pcs</v>
      </c>
      <c r="G130" s="3">
        <f>IFERROR(__xludf.DUMMYFUNCTION("""COMPUTED_VALUE"""),3.0)</f>
        <v>3</v>
      </c>
      <c r="H130" s="3" t="str">
        <f>IFERROR(__xludf.DUMMYFUNCTION("""COMPUTED_VALUE"""),"Btg")</f>
        <v>Btg</v>
      </c>
      <c r="I130" s="3" t="str">
        <f>IFERROR(__xludf.DUMMYFUNCTION("""COMPUTED_VALUE"""),"Deliver")</f>
        <v>Deliver</v>
      </c>
      <c r="J130" s="3" t="str">
        <f>IFERROR(__xludf.DUMMYFUNCTION("""COMPUTED_VALUE"""),"-")</f>
        <v>-</v>
      </c>
      <c r="K130" s="3" t="str">
        <f>IFERROR(__xludf.DUMMYFUNCTION("""COMPUTED_VALUE"""),"-")</f>
        <v>-</v>
      </c>
    </row>
    <row r="131">
      <c r="A131" s="3" t="str">
        <f>IFERROR(__xludf.DUMMYFUNCTION("""COMPUTED_VALUE"""),"MOBRO0033")</f>
        <v>MOBRO0033</v>
      </c>
      <c r="B131" s="4">
        <f>IFERROR(__xludf.DUMMYFUNCTION("""COMPUTED_VALUE"""),45779.6627975)</f>
        <v>45779.6628</v>
      </c>
      <c r="C131" s="3">
        <f>IFERROR(__xludf.DUMMYFUNCTION("""COMPUTED_VALUE"""),45785.48844634259)</f>
        <v>45785.48845</v>
      </c>
      <c r="D131" s="3" t="str">
        <f>IFERROR(__xludf.DUMMYFUNCTION("""COMPUTED_VALUE"""),"N2 Generator")</f>
        <v>N2 Generator</v>
      </c>
      <c r="E131" s="3" t="str">
        <f>IFERROR(__xludf.DUMMYFUNCTION("""COMPUTED_VALUE"""),"-")</f>
        <v>-</v>
      </c>
      <c r="F131" s="3" t="str">
        <f>IFERROR(__xludf.DUMMYFUNCTION("""COMPUTED_VALUE"""),"General - Element Filter 1 micron; NXE-400-Z; -; 1 pc")</f>
        <v>General - Element Filter 1 micron; NXE-400-Z; -; 1 pc</v>
      </c>
      <c r="G131" s="3">
        <f>IFERROR(__xludf.DUMMYFUNCTION("""COMPUTED_VALUE"""),2.0)</f>
        <v>2</v>
      </c>
      <c r="H131" s="3" t="str">
        <f>IFERROR(__xludf.DUMMYFUNCTION("""COMPUTED_VALUE"""),"Pcs")</f>
        <v>Pcs</v>
      </c>
      <c r="I131" s="3" t="str">
        <f>IFERROR(__xludf.DUMMYFUNCTION("""COMPUTED_VALUE"""),"Deliver")</f>
        <v>Deliver</v>
      </c>
      <c r="J131" s="3" t="str">
        <f>IFERROR(__xludf.DUMMYFUNCTION("""COMPUTED_VALUE"""),"-")</f>
        <v>-</v>
      </c>
      <c r="K131" s="3" t="str">
        <f>IFERROR(__xludf.DUMMYFUNCTION("""COMPUTED_VALUE"""),"-")</f>
        <v>-</v>
      </c>
    </row>
    <row r="132">
      <c r="A132" s="3" t="str">
        <f>IFERROR(__xludf.DUMMYFUNCTION("""COMPUTED_VALUE"""),"MOBRO0034")</f>
        <v>MOBRO0034</v>
      </c>
      <c r="B132" s="4">
        <f>IFERROR(__xludf.DUMMYFUNCTION("""COMPUTED_VALUE"""),45779.67142309028)</f>
        <v>45779.67142</v>
      </c>
      <c r="C132" s="3">
        <f>IFERROR(__xludf.DUMMYFUNCTION("""COMPUTED_VALUE"""),45785.48872814815)</f>
        <v>45785.48873</v>
      </c>
      <c r="D132" s="3" t="str">
        <f>IFERROR(__xludf.DUMMYFUNCTION("""COMPUTED_VALUE"""),"N2 Generator")</f>
        <v>N2 Generator</v>
      </c>
      <c r="E132" s="3" t="str">
        <f>IFERROR(__xludf.DUMMYFUNCTION("""COMPUTED_VALUE"""),"-")</f>
        <v>-</v>
      </c>
      <c r="F132" s="3" t="str">
        <f>IFERROR(__xludf.DUMMYFUNCTION("""COMPUTED_VALUE"""),"General - Element Filter 0.01 micron; NXE-400-X; -; 1 pc")</f>
        <v>General - Element Filter 0.01 micron; NXE-400-X; -; 1 pc</v>
      </c>
      <c r="G132" s="3">
        <f>IFERROR(__xludf.DUMMYFUNCTION("""COMPUTED_VALUE"""),2.0)</f>
        <v>2</v>
      </c>
      <c r="H132" s="3" t="str">
        <f>IFERROR(__xludf.DUMMYFUNCTION("""COMPUTED_VALUE"""),"Pcs")</f>
        <v>Pcs</v>
      </c>
      <c r="I132" s="3" t="str">
        <f>IFERROR(__xludf.DUMMYFUNCTION("""COMPUTED_VALUE"""),"Deliver")</f>
        <v>Deliver</v>
      </c>
      <c r="J132" s="3" t="str">
        <f>IFERROR(__xludf.DUMMYFUNCTION("""COMPUTED_VALUE"""),"-")</f>
        <v>-</v>
      </c>
      <c r="K132" s="3" t="str">
        <f>IFERROR(__xludf.DUMMYFUNCTION("""COMPUTED_VALUE"""),"-")</f>
        <v>-</v>
      </c>
    </row>
    <row r="133">
      <c r="A133" s="3" t="str">
        <f>IFERROR(__xludf.DUMMYFUNCTION("""COMPUTED_VALUE"""),"MOBRO0035")</f>
        <v>MOBRO0035</v>
      </c>
      <c r="B133" s="4">
        <f>IFERROR(__xludf.DUMMYFUNCTION("""COMPUTED_VALUE"""),45779.67310060185)</f>
        <v>45779.6731</v>
      </c>
      <c r="C133" s="3">
        <f>IFERROR(__xludf.DUMMYFUNCTION("""COMPUTED_VALUE"""),45785.48932648148)</f>
        <v>45785.48933</v>
      </c>
      <c r="D133" s="3" t="str">
        <f>IFERROR(__xludf.DUMMYFUNCTION("""COMPUTED_VALUE"""),"N2 Generator")</f>
        <v>N2 Generator</v>
      </c>
      <c r="E133" s="3" t="str">
        <f>IFERROR(__xludf.DUMMYFUNCTION("""COMPUTED_VALUE"""),"-")</f>
        <v>-</v>
      </c>
      <c r="F133" s="3" t="str">
        <f>IFERROR(__xludf.DUMMYFUNCTION("""COMPUTED_VALUE"""),"General - Element Filter for N2; NEXUS; NXE-90-Z; 1 pc")</f>
        <v>General - Element Filter for N2; NEXUS; NXE-90-Z; 1 pc</v>
      </c>
      <c r="G133" s="3">
        <f>IFERROR(__xludf.DUMMYFUNCTION("""COMPUTED_VALUE"""),2.0)</f>
        <v>2</v>
      </c>
      <c r="H133" s="3" t="str">
        <f>IFERROR(__xludf.DUMMYFUNCTION("""COMPUTED_VALUE"""),"Pcs")</f>
        <v>Pcs</v>
      </c>
      <c r="I133" s="3" t="str">
        <f>IFERROR(__xludf.DUMMYFUNCTION("""COMPUTED_VALUE"""),"Deliver")</f>
        <v>Deliver</v>
      </c>
      <c r="J133" s="3" t="str">
        <f>IFERROR(__xludf.DUMMYFUNCTION("""COMPUTED_VALUE"""),"-")</f>
        <v>-</v>
      </c>
      <c r="K133" s="3" t="str">
        <f>IFERROR(__xludf.DUMMYFUNCTION("""COMPUTED_VALUE"""),"-")</f>
        <v>-</v>
      </c>
    </row>
    <row r="134">
      <c r="A134" s="3" t="str">
        <f>IFERROR(__xludf.DUMMYFUNCTION("""COMPUTED_VALUE"""),"MOBRO0036")</f>
        <v>MOBRO0036</v>
      </c>
      <c r="B134" s="4">
        <f>IFERROR(__xludf.DUMMYFUNCTION("""COMPUTED_VALUE"""),45782.40795569444)</f>
        <v>45782.40796</v>
      </c>
      <c r="C134" s="3">
        <f>IFERROR(__xludf.DUMMYFUNCTION("""COMPUTED_VALUE"""),45785.489509074076)</f>
        <v>45785.48951</v>
      </c>
      <c r="D134" s="3" t="str">
        <f>IFERROR(__xludf.DUMMYFUNCTION("""COMPUTED_VALUE"""),"Transfer Pump B WWTP")</f>
        <v>Transfer Pump B WWTP</v>
      </c>
      <c r="E134" s="3" t="str">
        <f>IFERROR(__xludf.DUMMYFUNCTION("""COMPUTED_VALUE"""),"-")</f>
        <v>-</v>
      </c>
      <c r="F134" s="3" t="str">
        <f>IFERROR(__xludf.DUMMYFUNCTION("""COMPUTED_VALUE"""),"General - Clamp Selang, SS 1 1/4""; Tridon; -; 1 pcs")</f>
        <v>General - Clamp Selang, SS 1 1/4"; Tridon; -; 1 pcs</v>
      </c>
      <c r="G134" s="3">
        <f>IFERROR(__xludf.DUMMYFUNCTION("""COMPUTED_VALUE"""),20.0)</f>
        <v>20</v>
      </c>
      <c r="H134" s="3" t="str">
        <f>IFERROR(__xludf.DUMMYFUNCTION("""COMPUTED_VALUE"""),"Pcs")</f>
        <v>Pcs</v>
      </c>
      <c r="I134" s="3" t="str">
        <f>IFERROR(__xludf.DUMMYFUNCTION("""COMPUTED_VALUE"""),"Deliver")</f>
        <v>Deliver</v>
      </c>
      <c r="J134" s="3" t="str">
        <f>IFERROR(__xludf.DUMMYFUNCTION("""COMPUTED_VALUE"""),"-")</f>
        <v>-</v>
      </c>
      <c r="K134" s="3" t="str">
        <f>IFERROR(__xludf.DUMMYFUNCTION("""COMPUTED_VALUE"""),"-")</f>
        <v>-</v>
      </c>
    </row>
    <row r="135">
      <c r="A135" s="3" t="str">
        <f>IFERROR(__xludf.DUMMYFUNCTION("""COMPUTED_VALUE"""),"MOBRO0037")</f>
        <v>MOBRO0037</v>
      </c>
      <c r="B135" s="4">
        <f>IFERROR(__xludf.DUMMYFUNCTION("""COMPUTED_VALUE"""),45782.408972986115)</f>
        <v>45782.40897</v>
      </c>
      <c r="C135" s="3">
        <f>IFERROR(__xludf.DUMMYFUNCTION("""COMPUTED_VALUE"""),45785.48973460648)</f>
        <v>45785.48973</v>
      </c>
      <c r="D135" s="3" t="str">
        <f>IFERROR(__xludf.DUMMYFUNCTION("""COMPUTED_VALUE"""),"Universal")</f>
        <v>Universal</v>
      </c>
      <c r="E135" s="3" t="str">
        <f>IFERROR(__xludf.DUMMYFUNCTION("""COMPUTED_VALUE"""),"-")</f>
        <v>-</v>
      </c>
      <c r="F135" s="3" t="str">
        <f>IFERROR(__xludf.DUMMYFUNCTION("""COMPUTED_VALUE"""),"General - Clamp Selang, SS, 3/4""; Tridon; -; 1 pcs")</f>
        <v>General - Clamp Selang, SS, 3/4"; Tridon; -; 1 pcs</v>
      </c>
      <c r="G135" s="3">
        <f>IFERROR(__xludf.DUMMYFUNCTION("""COMPUTED_VALUE"""),10.0)</f>
        <v>10</v>
      </c>
      <c r="H135" s="3" t="str">
        <f>IFERROR(__xludf.DUMMYFUNCTION("""COMPUTED_VALUE"""),"PCS")</f>
        <v>PCS</v>
      </c>
      <c r="I135" s="3" t="str">
        <f>IFERROR(__xludf.DUMMYFUNCTION("""COMPUTED_VALUE"""),"Deliver")</f>
        <v>Deliver</v>
      </c>
      <c r="J135" s="3" t="str">
        <f>IFERROR(__xludf.DUMMYFUNCTION("""COMPUTED_VALUE"""),"-")</f>
        <v>-</v>
      </c>
      <c r="K135" s="3" t="str">
        <f>IFERROR(__xludf.DUMMYFUNCTION("""COMPUTED_VALUE"""),"-")</f>
        <v>-</v>
      </c>
    </row>
    <row r="136">
      <c r="A136" s="3" t="str">
        <f>IFERROR(__xludf.DUMMYFUNCTION("""COMPUTED_VALUE"""),"MOBRO0038")</f>
        <v>MOBRO0038</v>
      </c>
      <c r="B136" s="4">
        <f>IFERROR(__xludf.DUMMYFUNCTION("""COMPUTED_VALUE"""),45782.409378530094)</f>
        <v>45782.40938</v>
      </c>
      <c r="C136" s="3">
        <f>IFERROR(__xludf.DUMMYFUNCTION("""COMPUTED_VALUE"""),45785.4899047338)</f>
        <v>45785.4899</v>
      </c>
      <c r="D136" s="3" t="str">
        <f>IFERROR(__xludf.DUMMYFUNCTION("""COMPUTED_VALUE"""),"Universal")</f>
        <v>Universal</v>
      </c>
      <c r="E136" s="3" t="str">
        <f>IFERROR(__xludf.DUMMYFUNCTION("""COMPUTED_VALUE"""),"-")</f>
        <v>-</v>
      </c>
      <c r="F136" s="3" t="str">
        <f>IFERROR(__xludf.DUMMYFUNCTION("""COMPUTED_VALUE"""),"General - Clamp Selang, SS, 1/2""; Tridon; -; 1 pcs")</f>
        <v>General - Clamp Selang, SS, 1/2"; Tridon; -; 1 pcs</v>
      </c>
      <c r="G136" s="3">
        <f>IFERROR(__xludf.DUMMYFUNCTION("""COMPUTED_VALUE"""),10.0)</f>
        <v>10</v>
      </c>
      <c r="H136" s="3" t="str">
        <f>IFERROR(__xludf.DUMMYFUNCTION("""COMPUTED_VALUE"""),"Pcs")</f>
        <v>Pcs</v>
      </c>
      <c r="I136" s="3" t="str">
        <f>IFERROR(__xludf.DUMMYFUNCTION("""COMPUTED_VALUE"""),"Deliver")</f>
        <v>Deliver</v>
      </c>
      <c r="J136" s="3" t="str">
        <f>IFERROR(__xludf.DUMMYFUNCTION("""COMPUTED_VALUE"""),"-")</f>
        <v>-</v>
      </c>
      <c r="K136" s="3" t="str">
        <f>IFERROR(__xludf.DUMMYFUNCTION("""COMPUTED_VALUE"""),"-")</f>
        <v>-</v>
      </c>
    </row>
    <row r="137">
      <c r="A137" s="3" t="str">
        <f>IFERROR(__xludf.DUMMYFUNCTION("""COMPUTED_VALUE"""),"MOBRO0039")</f>
        <v>MOBRO0039</v>
      </c>
      <c r="B137" s="4">
        <f>IFERROR(__xludf.DUMMYFUNCTION("""COMPUTED_VALUE"""),45782.541633900466)</f>
        <v>45782.54163</v>
      </c>
      <c r="C137" s="3">
        <f>IFERROR(__xludf.DUMMYFUNCTION("""COMPUTED_VALUE"""),45785.49025206019)</f>
        <v>45785.49025</v>
      </c>
      <c r="D137" s="3" t="str">
        <f>IFERROR(__xludf.DUMMYFUNCTION("""COMPUTED_VALUE"""),"AHU")</f>
        <v>AHU</v>
      </c>
      <c r="E137" s="3" t="str">
        <f>IFERROR(__xludf.DUMMYFUNCTION("""COMPUTED_VALUE"""),"-")</f>
        <v>-</v>
      </c>
      <c r="F137" s="3" t="str">
        <f>IFERROR(__xludf.DUMMYFUNCTION("""COMPUTED_VALUE"""),"General - Filter IAF MBV Series (Medium Filter), efficiency : 90-95 %, Size: 24 x 24 x 12 inch; IAF; -; 1 pcs")</f>
        <v>General - Filter IAF MBV Series (Medium Filter), efficiency : 90-95 %, Size: 24 x 24 x 12 inch; IAF; -; 1 pcs</v>
      </c>
      <c r="G137" s="3">
        <f>IFERROR(__xludf.DUMMYFUNCTION("""COMPUTED_VALUE"""),10.0)</f>
        <v>10</v>
      </c>
      <c r="H137" s="3" t="str">
        <f>IFERROR(__xludf.DUMMYFUNCTION("""COMPUTED_VALUE"""),"Pcs")</f>
        <v>Pcs</v>
      </c>
      <c r="I137" s="3" t="str">
        <f>IFERROR(__xludf.DUMMYFUNCTION("""COMPUTED_VALUE"""),"Deliver")</f>
        <v>Deliver</v>
      </c>
      <c r="J137" s="3" t="str">
        <f>IFERROR(__xludf.DUMMYFUNCTION("""COMPUTED_VALUE"""),"-")</f>
        <v>-</v>
      </c>
      <c r="K137" s="3" t="str">
        <f>IFERROR(__xludf.DUMMYFUNCTION("""COMPUTED_VALUE"""),"-")</f>
        <v>-</v>
      </c>
    </row>
    <row r="138">
      <c r="A138" s="3" t="str">
        <f>IFERROR(__xludf.DUMMYFUNCTION("""COMPUTED_VALUE"""),"MOBRO0040")</f>
        <v>MOBRO0040</v>
      </c>
      <c r="B138" s="4">
        <f>IFERROR(__xludf.DUMMYFUNCTION("""COMPUTED_VALUE"""),45782.54224638888)</f>
        <v>45782.54225</v>
      </c>
      <c r="C138" s="3">
        <f>IFERROR(__xludf.DUMMYFUNCTION("""COMPUTED_VALUE"""),45785.49050247685)</f>
        <v>45785.4905</v>
      </c>
      <c r="D138" s="3" t="str">
        <f>IFERROR(__xludf.DUMMYFUNCTION("""COMPUTED_VALUE"""),"AHU")</f>
        <v>AHU</v>
      </c>
      <c r="E138" s="3" t="str">
        <f>IFERROR(__xludf.DUMMYFUNCTION("""COMPUTED_VALUE"""),"-")</f>
        <v>-</v>
      </c>
      <c r="F138" s="3" t="str">
        <f>IFERROR(__xludf.DUMMYFUNCTION("""COMPUTED_VALUE"""),"Filter IAF MBV Series (Medium Filter), efficiency : 90-95 %, Size: 12 x 24 x 12 inch; IAF; ;")</f>
        <v>Filter IAF MBV Series (Medium Filter), efficiency : 90-95 %, Size: 12 x 24 x 12 inch; IAF; ;</v>
      </c>
      <c r="G138" s="3">
        <f>IFERROR(__xludf.DUMMYFUNCTION("""COMPUTED_VALUE"""),10.0)</f>
        <v>10</v>
      </c>
      <c r="H138" s="3" t="str">
        <f>IFERROR(__xludf.DUMMYFUNCTION("""COMPUTED_VALUE"""),"Pcs")</f>
        <v>Pcs</v>
      </c>
      <c r="I138" s="3" t="str">
        <f>IFERROR(__xludf.DUMMYFUNCTION("""COMPUTED_VALUE"""),"Deliver")</f>
        <v>Deliver</v>
      </c>
      <c r="J138" s="3" t="str">
        <f>IFERROR(__xludf.DUMMYFUNCTION("""COMPUTED_VALUE"""),"-")</f>
        <v>-</v>
      </c>
      <c r="K138" s="3" t="str">
        <f>IFERROR(__xludf.DUMMYFUNCTION("""COMPUTED_VALUE"""),"-")</f>
        <v>-</v>
      </c>
    </row>
    <row r="139">
      <c r="A139" s="3" t="str">
        <f>IFERROR(__xludf.DUMMYFUNCTION("""COMPUTED_VALUE"""),"MOBRO0041")</f>
        <v>MOBRO0041</v>
      </c>
      <c r="B139" s="4">
        <f>IFERROR(__xludf.DUMMYFUNCTION("""COMPUTED_VALUE"""),45782.61139445602)</f>
        <v>45782.61139</v>
      </c>
      <c r="C139" s="3">
        <f>IFERROR(__xludf.DUMMYFUNCTION("""COMPUTED_VALUE"""),45785.49059681713)</f>
        <v>45785.4906</v>
      </c>
      <c r="D139" s="3" t="str">
        <f>IFERROR(__xludf.DUMMYFUNCTION("""COMPUTED_VALUE"""),"AHU")</f>
        <v>AHU</v>
      </c>
      <c r="E139" s="3" t="str">
        <f>IFERROR(__xludf.DUMMYFUNCTION("""COMPUTED_VALUE"""),"-")</f>
        <v>-</v>
      </c>
      <c r="F139" s="3" t="str">
        <f>IFERROR(__xludf.DUMMYFUNCTION("""COMPUTED_VALUE"""),"General - Washable G4 Avg arrestance : 94%. Rec. Final resistance: 250 Pa. Size: 24"" x 24"" x 2""; IAF; ; pcs")</f>
        <v>General - Washable G4 Avg arrestance : 94%. Rec. Final resistance: 250 Pa. Size: 24" x 24" x 2"; IAF; ; pcs</v>
      </c>
      <c r="G139" s="3">
        <f>IFERROR(__xludf.DUMMYFUNCTION("""COMPUTED_VALUE"""),10.0)</f>
        <v>10</v>
      </c>
      <c r="H139" s="3" t="str">
        <f>IFERROR(__xludf.DUMMYFUNCTION("""COMPUTED_VALUE"""),"Pcs")</f>
        <v>Pcs</v>
      </c>
      <c r="I139" s="3" t="str">
        <f>IFERROR(__xludf.DUMMYFUNCTION("""COMPUTED_VALUE"""),"Deliver")</f>
        <v>Deliver</v>
      </c>
      <c r="J139" s="3" t="str">
        <f>IFERROR(__xludf.DUMMYFUNCTION("""COMPUTED_VALUE"""),"-")</f>
        <v>-</v>
      </c>
      <c r="K139" s="3" t="str">
        <f>IFERROR(__xludf.DUMMYFUNCTION("""COMPUTED_VALUE"""),"-")</f>
        <v>-</v>
      </c>
    </row>
    <row r="140">
      <c r="A140" s="3" t="str">
        <f>IFERROR(__xludf.DUMMYFUNCTION("""COMPUTED_VALUE"""),"MOBRO0042")</f>
        <v>MOBRO0042</v>
      </c>
      <c r="B140" s="4">
        <f>IFERROR(__xludf.DUMMYFUNCTION("""COMPUTED_VALUE"""),45782.6116896875)</f>
        <v>45782.61169</v>
      </c>
      <c r="C140" s="3">
        <f>IFERROR(__xludf.DUMMYFUNCTION("""COMPUTED_VALUE"""),45785.490955810186)</f>
        <v>45785.49096</v>
      </c>
      <c r="D140" s="3" t="str">
        <f>IFERROR(__xludf.DUMMYFUNCTION("""COMPUTED_VALUE"""),"AHU")</f>
        <v>AHU</v>
      </c>
      <c r="E140" s="3" t="str">
        <f>IFERROR(__xludf.DUMMYFUNCTION("""COMPUTED_VALUE"""),"-")</f>
        <v>-</v>
      </c>
      <c r="F140" s="3" t="str">
        <f>IFERROR(__xludf.DUMMYFUNCTION("""COMPUTED_VALUE"""),"Pre Filter G4 size : 12X24X2")</f>
        <v>Pre Filter G4 size : 12X24X2</v>
      </c>
      <c r="G140" s="3">
        <f>IFERROR(__xludf.DUMMYFUNCTION("""COMPUTED_VALUE"""),10.0)</f>
        <v>10</v>
      </c>
      <c r="H140" s="3" t="str">
        <f>IFERROR(__xludf.DUMMYFUNCTION("""COMPUTED_VALUE"""),"Pcs")</f>
        <v>Pcs</v>
      </c>
      <c r="I140" s="3" t="str">
        <f>IFERROR(__xludf.DUMMYFUNCTION("""COMPUTED_VALUE"""),"Deliver")</f>
        <v>Deliver</v>
      </c>
      <c r="J140" s="3" t="str">
        <f>IFERROR(__xludf.DUMMYFUNCTION("""COMPUTED_VALUE"""),"-")</f>
        <v>-</v>
      </c>
      <c r="K140" s="3" t="str">
        <f>IFERROR(__xludf.DUMMYFUNCTION("""COMPUTED_VALUE"""),"-")</f>
        <v>-</v>
      </c>
    </row>
    <row r="141">
      <c r="A141" s="3" t="str">
        <f>IFERROR(__xludf.DUMMYFUNCTION("""COMPUTED_VALUE"""),"MOBRO0043")</f>
        <v>MOBRO0043</v>
      </c>
      <c r="B141" s="4">
        <f>IFERROR(__xludf.DUMMYFUNCTION("""COMPUTED_VALUE"""),45783.62674813657)</f>
        <v>45783.62675</v>
      </c>
      <c r="C141" s="3">
        <f>IFERROR(__xludf.DUMMYFUNCTION("""COMPUTED_VALUE"""),45785.49122026621)</f>
        <v>45785.49122</v>
      </c>
      <c r="D141" s="3" t="str">
        <f>IFERROR(__xludf.DUMMYFUNCTION("""COMPUTED_VALUE"""),"EF Lt.4,")</f>
        <v>EF Lt.4,</v>
      </c>
      <c r="E141" s="3" t="str">
        <f>IFERROR(__xludf.DUMMYFUNCTION("""COMPUTED_VALUE"""),"2025/05/45")</f>
        <v>2025/05/45</v>
      </c>
      <c r="F141" s="3" t="str">
        <f>IFERROR(__xludf.DUMMYFUNCTION("""COMPUTED_VALUE"""),"SPA 1120 Brand : Optibelt / Bando Merah; Optibelt; ;")</f>
        <v>SPA 1120 Brand : Optibelt / Bando Merah; Optibelt; ;</v>
      </c>
      <c r="G141" s="3">
        <f>IFERROR(__xludf.DUMMYFUNCTION("""COMPUTED_VALUE"""),6.0)</f>
        <v>6</v>
      </c>
      <c r="H141" s="3" t="str">
        <f>IFERROR(__xludf.DUMMYFUNCTION("""COMPUTED_VALUE"""),"Pcs")</f>
        <v>Pcs</v>
      </c>
      <c r="I141" s="3" t="str">
        <f>IFERROR(__xludf.DUMMYFUNCTION("""COMPUTED_VALUE"""),"Deliver")</f>
        <v>Deliver</v>
      </c>
      <c r="J141" s="3" t="str">
        <f>IFERROR(__xludf.DUMMYFUNCTION("""COMPUTED_VALUE"""),"-")</f>
        <v>-</v>
      </c>
      <c r="K141" s="3" t="str">
        <f>IFERROR(__xludf.DUMMYFUNCTION("""COMPUTED_VALUE"""),"-")</f>
        <v>-</v>
      </c>
    </row>
    <row r="142">
      <c r="A142" s="3" t="str">
        <f>IFERROR(__xludf.DUMMYFUNCTION("""COMPUTED_VALUE"""),"SFHRO0006")</f>
        <v>SFHRO0006</v>
      </c>
      <c r="B142" s="4">
        <f>IFERROR(__xludf.DUMMYFUNCTION("""COMPUTED_VALUE"""),45784.02340074074)</f>
        <v>45784.0234</v>
      </c>
      <c r="C142" s="3">
        <f>IFERROR(__xludf.DUMMYFUNCTION("""COMPUTED_VALUE"""),45790.431235185184)</f>
        <v>45790.43124</v>
      </c>
      <c r="D142" s="3" t="str">
        <f>IFERROR(__xludf.DUMMYFUNCTION("""COMPUTED_VALUE"""),"lantai 2")</f>
        <v>lantai 2</v>
      </c>
      <c r="E142" s="3" t="str">
        <f>IFERROR(__xludf.DUMMYFUNCTION("""COMPUTED_VALUE"""),"-")</f>
        <v>-</v>
      </c>
      <c r="F142" s="3" t="str">
        <f>IFERROR(__xludf.DUMMYFUNCTION("""COMPUTED_VALUE"""),"Thinner Super End/Impala @ 1 Liter")</f>
        <v>Thinner Super End/Impala @ 1 Liter</v>
      </c>
      <c r="G142" s="3">
        <f>IFERROR(__xludf.DUMMYFUNCTION("""COMPUTED_VALUE"""),10.0)</f>
        <v>10</v>
      </c>
      <c r="H142" s="3" t="str">
        <f>IFERROR(__xludf.DUMMYFUNCTION("""COMPUTED_VALUE"""),"liter")</f>
        <v>liter</v>
      </c>
      <c r="I142" s="3" t="str">
        <f>IFERROR(__xludf.DUMMYFUNCTION("""COMPUTED_VALUE"""),"Deliver")</f>
        <v>Deliver</v>
      </c>
      <c r="J142" s="3" t="str">
        <f>IFERROR(__xludf.DUMMYFUNCTION("""COMPUTED_VALUE"""),"-")</f>
        <v>-</v>
      </c>
      <c r="K142" s="3" t="str">
        <f>IFERROR(__xludf.DUMMYFUNCTION("""COMPUTED_VALUE"""),"-")</f>
        <v>-</v>
      </c>
    </row>
    <row r="143">
      <c r="A143" s="3" t="str">
        <f>IFERROR(__xludf.DUMMYFUNCTION("""COMPUTED_VALUE"""),"ROSRO0004")</f>
        <v>ROSRO0004</v>
      </c>
      <c r="B143" s="4">
        <f>IFERROR(__xludf.DUMMYFUNCTION("""COMPUTED_VALUE"""),45787.48358777777)</f>
        <v>45787.48359</v>
      </c>
      <c r="C143" s="3">
        <f>IFERROR(__xludf.DUMMYFUNCTION("""COMPUTED_VALUE"""),45790.49238351852)</f>
        <v>45790.49238</v>
      </c>
      <c r="D143" s="3" t="str">
        <f>IFERROR(__xludf.DUMMYFUNCTION("""COMPUTED_VALUE"""),"isolator Mixing")</f>
        <v>isolator Mixing</v>
      </c>
      <c r="E143" s="3" t="str">
        <f>IFERROR(__xludf.DUMMYFUNCTION("""COMPUTED_VALUE"""),"-")</f>
        <v>-</v>
      </c>
      <c r="F143" s="3" t="str">
        <f>IFERROR(__xludf.DUMMYFUNCTION("""COMPUTED_VALUE"""),"LAMPU SL 24 W  / 220-240 V / SPIRAL, PHILIPS")</f>
        <v>LAMPU SL 24 W  / 220-240 V / SPIRAL, PHILIPS</v>
      </c>
      <c r="G143" s="3">
        <f>IFERROR(__xludf.DUMMYFUNCTION("""COMPUTED_VALUE"""),10.0)</f>
        <v>10</v>
      </c>
      <c r="H143" s="3" t="str">
        <f>IFERROR(__xludf.DUMMYFUNCTION("""COMPUTED_VALUE"""),"set")</f>
        <v>set</v>
      </c>
      <c r="I143" s="3" t="str">
        <f>IFERROR(__xludf.DUMMYFUNCTION("""COMPUTED_VALUE"""),"Deliver")</f>
        <v>Deliver</v>
      </c>
      <c r="J143" s="3" t="str">
        <f>IFERROR(__xludf.DUMMYFUNCTION("""COMPUTED_VALUE"""),"-")</f>
        <v>-</v>
      </c>
      <c r="K143" s="3" t="str">
        <f>IFERROR(__xludf.DUMMYFUNCTION("""COMPUTED_VALUE"""),"-")</f>
        <v>-</v>
      </c>
    </row>
    <row r="144">
      <c r="A144" s="3" t="str">
        <f>IFERROR(__xludf.DUMMYFUNCTION("""COMPUTED_VALUE"""),"MFHRO0046")</f>
        <v>MFHRO0046</v>
      </c>
      <c r="B144" s="4">
        <f>IFERROR(__xludf.DUMMYFUNCTION("""COMPUTED_VALUE"""),45789.837983067126)</f>
        <v>45789.83798</v>
      </c>
      <c r="C144" s="3">
        <f>IFERROR(__xludf.DUMMYFUNCTION("""COMPUTED_VALUE"""),45789.87406674768)</f>
        <v>45789.87407</v>
      </c>
      <c r="D144" s="3" t="str">
        <f>IFERROR(__xludf.DUMMYFUNCTION("""COMPUTED_VALUE"""),"General")</f>
        <v>General</v>
      </c>
      <c r="E144" s="3" t="str">
        <f>IFERROR(__xludf.DUMMYFUNCTION("""COMPUTED_VALUE"""),"-")</f>
        <v>-</v>
      </c>
      <c r="F144" s="3" t="str">
        <f>IFERROR(__xludf.DUMMYFUNCTION("""COMPUTED_VALUE"""),"Plastik Wrap Roll,  Size 50 x 200 cm x 17 micron")</f>
        <v>Plastik Wrap Roll,  Size 50 x 200 cm x 17 micron</v>
      </c>
      <c r="G144" s="3">
        <f>IFERROR(__xludf.DUMMYFUNCTION("""COMPUTED_VALUE"""),5.0)</f>
        <v>5</v>
      </c>
      <c r="H144" s="3" t="str">
        <f>IFERROR(__xludf.DUMMYFUNCTION("""COMPUTED_VALUE"""),"Pcs")</f>
        <v>Pcs</v>
      </c>
      <c r="I144" s="3" t="str">
        <f>IFERROR(__xludf.DUMMYFUNCTION("""COMPUTED_VALUE"""),"Deliver")</f>
        <v>Deliver</v>
      </c>
      <c r="J144" s="3" t="str">
        <f>IFERROR(__xludf.DUMMYFUNCTION("""COMPUTED_VALUE"""),"-")</f>
        <v>-</v>
      </c>
      <c r="K144" s="3" t="str">
        <f>IFERROR(__xludf.DUMMYFUNCTION("""COMPUTED_VALUE"""),"-")</f>
        <v>-</v>
      </c>
    </row>
    <row r="145">
      <c r="A145" s="3" t="str">
        <f>IFERROR(__xludf.DUMMYFUNCTION("""COMPUTED_VALUE"""),"MFHRO0047")</f>
        <v>MFHRO0047</v>
      </c>
      <c r="B145" s="4">
        <f>IFERROR(__xludf.DUMMYFUNCTION("""COMPUTED_VALUE"""),45789.837983067126)</f>
        <v>45789.83798</v>
      </c>
      <c r="C145" s="3">
        <f>IFERROR(__xludf.DUMMYFUNCTION("""COMPUTED_VALUE"""),45789.874573865745)</f>
        <v>45789.87457</v>
      </c>
      <c r="D145" s="3" t="str">
        <f>IFERROR(__xludf.DUMMYFUNCTION("""COMPUTED_VALUE"""),"WWTP")</f>
        <v>WWTP</v>
      </c>
      <c r="E145" s="3" t="str">
        <f>IFERROR(__xludf.DUMMYFUNCTION("""COMPUTED_VALUE"""),"-")</f>
        <v>-</v>
      </c>
      <c r="F145" s="3" t="str">
        <f>IFERROR(__xludf.DUMMYFUNCTION("""COMPUTED_VALUE"""),"General - Set Gearbox Helical G3FS + Dinamo 0,5 HP Ratio 1:15 4 Pole, B5, 1 Phase; Yuema; -; 1 set")</f>
        <v>General - Set Gearbox Helical G3FS + Dinamo 0,5 HP Ratio 1:15 4 Pole, B5, 1 Phase; Yuema; -; 1 set</v>
      </c>
      <c r="G145" s="3">
        <f>IFERROR(__xludf.DUMMYFUNCTION("""COMPUTED_VALUE"""),1.0)</f>
        <v>1</v>
      </c>
      <c r="H145" s="3" t="str">
        <f>IFERROR(__xludf.DUMMYFUNCTION("""COMPUTED_VALUE"""),"Set")</f>
        <v>Set</v>
      </c>
      <c r="I145" s="3" t="str">
        <f>IFERROR(__xludf.DUMMYFUNCTION("""COMPUTED_VALUE"""),"Deliver")</f>
        <v>Deliver</v>
      </c>
      <c r="J145" s="3" t="str">
        <f>IFERROR(__xludf.DUMMYFUNCTION("""COMPUTED_VALUE"""),"-")</f>
        <v>-</v>
      </c>
      <c r="K145" s="3" t="str">
        <f>IFERROR(__xludf.DUMMYFUNCTION("""COMPUTED_VALUE"""),"-")</f>
        <v>-</v>
      </c>
    </row>
    <row r="146">
      <c r="A146" s="3" t="str">
        <f>IFERROR(__xludf.DUMMYFUNCTION("""COMPUTED_VALUE"""),"MFHRO0048")</f>
        <v>MFHRO0048</v>
      </c>
      <c r="B146" s="4">
        <f>IFERROR(__xludf.DUMMYFUNCTION("""COMPUTED_VALUE"""),45789.837983067126)</f>
        <v>45789.83798</v>
      </c>
      <c r="C146" s="3">
        <f>IFERROR(__xludf.DUMMYFUNCTION("""COMPUTED_VALUE"""),45789.87562708333)</f>
        <v>45789.87563</v>
      </c>
      <c r="D146" s="3" t="str">
        <f>IFERROR(__xludf.DUMMYFUNCTION("""COMPUTED_VALUE"""),"Autoclave")</f>
        <v>Autoclave</v>
      </c>
      <c r="E146" s="3" t="str">
        <f>IFERROR(__xludf.DUMMYFUNCTION("""COMPUTED_VALUE"""),"-")</f>
        <v>-</v>
      </c>
      <c r="F146" s="3" t="str">
        <f>IFERROR(__xludf.DUMMYFUNCTION("""COMPUTED_VALUE"""),"Autoclave Fedegari Fva/A1 - Oring Viton OD. 15 mm, ID. 15 mm, Tebal 2 mm Custom/Lokal  -")</f>
        <v>Autoclave Fedegari Fva/A1 - Oring Viton OD. 15 mm, ID. 15 mm, Tebal 2 mm Custom/Lokal  -</v>
      </c>
      <c r="G146" s="3">
        <f>IFERROR(__xludf.DUMMYFUNCTION("""COMPUTED_VALUE"""),50.0)</f>
        <v>50</v>
      </c>
      <c r="H146" s="3" t="str">
        <f>IFERROR(__xludf.DUMMYFUNCTION("""COMPUTED_VALUE"""),"Pc")</f>
        <v>Pc</v>
      </c>
      <c r="I146" s="3" t="str">
        <f>IFERROR(__xludf.DUMMYFUNCTION("""COMPUTED_VALUE"""),"Deliver")</f>
        <v>Deliver</v>
      </c>
      <c r="J146" s="3" t="str">
        <f>IFERROR(__xludf.DUMMYFUNCTION("""COMPUTED_VALUE"""),"-")</f>
        <v>-</v>
      </c>
      <c r="K146" s="3" t="str">
        <f>IFERROR(__xludf.DUMMYFUNCTION("""COMPUTED_VALUE"""),"-")</f>
        <v>-</v>
      </c>
    </row>
    <row r="147">
      <c r="A147" s="3" t="str">
        <f>IFERROR(__xludf.DUMMYFUNCTION("""COMPUTED_VALUE"""),"MFHRO0049")</f>
        <v>MFHRO0049</v>
      </c>
      <c r="B147" s="4">
        <f>IFERROR(__xludf.DUMMYFUNCTION("""COMPUTED_VALUE"""),45789.837983067126)</f>
        <v>45789.83798</v>
      </c>
      <c r="C147" s="3">
        <f>IFERROR(__xludf.DUMMYFUNCTION("""COMPUTED_VALUE"""),45789.875767233796)</f>
        <v>45789.87577</v>
      </c>
      <c r="D147" s="3" t="str">
        <f>IFERROR(__xludf.DUMMYFUNCTION("""COMPUTED_VALUE"""),"Mixing")</f>
        <v>Mixing</v>
      </c>
      <c r="E147" s="3" t="str">
        <f>IFERROR(__xludf.DUMMYFUNCTION("""COMPUTED_VALUE"""),"-")</f>
        <v>-</v>
      </c>
      <c r="F147" s="3" t="str">
        <f>IFERROR(__xludf.DUMMYFUNCTION("""COMPUTED_VALUE"""),"OMRON - Relay MY4Z 24VDC; ; ;")</f>
        <v>OMRON - Relay MY4Z 24VDC; ; ;</v>
      </c>
      <c r="G147" s="3">
        <f>IFERROR(__xludf.DUMMYFUNCTION("""COMPUTED_VALUE"""),15.0)</f>
        <v>15</v>
      </c>
      <c r="H147" s="3" t="str">
        <f>IFERROR(__xludf.DUMMYFUNCTION("""COMPUTED_VALUE"""),"Pcs")</f>
        <v>Pcs</v>
      </c>
      <c r="I147" s="3" t="str">
        <f>IFERROR(__xludf.DUMMYFUNCTION("""COMPUTED_VALUE"""),"Deliver")</f>
        <v>Deliver</v>
      </c>
      <c r="J147" s="3" t="str">
        <f>IFERROR(__xludf.DUMMYFUNCTION("""COMPUTED_VALUE"""),"-")</f>
        <v>-</v>
      </c>
      <c r="K147" s="3" t="str">
        <f>IFERROR(__xludf.DUMMYFUNCTION("""COMPUTED_VALUE"""),"-")</f>
        <v>-</v>
      </c>
    </row>
    <row r="148">
      <c r="A148" s="3" t="str">
        <f>IFERROR(__xludf.DUMMYFUNCTION("""COMPUTED_VALUE"""),"MFHRO0050")</f>
        <v>MFHRO0050</v>
      </c>
      <c r="B148" s="4">
        <f>IFERROR(__xludf.DUMMYFUNCTION("""COMPUTED_VALUE"""),45789.837983067126)</f>
        <v>45789.83798</v>
      </c>
      <c r="C148" s="3">
        <f>IFERROR(__xludf.DUMMYFUNCTION("""COMPUTED_VALUE"""),45789.875888912036)</f>
        <v>45789.87589</v>
      </c>
      <c r="D148" s="3" t="str">
        <f>IFERROR(__xludf.DUMMYFUNCTION("""COMPUTED_VALUE"""),"Autoclave")</f>
        <v>Autoclave</v>
      </c>
      <c r="E148" s="3" t="str">
        <f>IFERROR(__xludf.DUMMYFUNCTION("""COMPUTED_VALUE"""),"-")</f>
        <v>-</v>
      </c>
      <c r="F148" s="3" t="str">
        <f>IFERROR(__xludf.DUMMYFUNCTION("""COMPUTED_VALUE"""),"Autoclave Fedegari FVA2/A1 NB2963AT - KIT Ricambi Valv. DN10 ON-OFF FEDEGARI ASIA PTE LTD P/N : KK000301 pc")</f>
        <v>Autoclave Fedegari FVA2/A1 NB2963AT - KIT Ricambi Valv. DN10 ON-OFF FEDEGARI ASIA PTE LTD P/N : KK000301 pc</v>
      </c>
      <c r="G148" s="3">
        <f>IFERROR(__xludf.DUMMYFUNCTION("""COMPUTED_VALUE"""),14.0)</f>
        <v>14</v>
      </c>
      <c r="H148" s="3" t="str">
        <f>IFERROR(__xludf.DUMMYFUNCTION("""COMPUTED_VALUE"""),"Pcs")</f>
        <v>Pcs</v>
      </c>
      <c r="I148" s="3" t="str">
        <f>IFERROR(__xludf.DUMMYFUNCTION("""COMPUTED_VALUE"""),"Deliver")</f>
        <v>Deliver</v>
      </c>
      <c r="J148" s="3" t="str">
        <f>IFERROR(__xludf.DUMMYFUNCTION("""COMPUTED_VALUE"""),"-")</f>
        <v>-</v>
      </c>
      <c r="K148" s="3" t="str">
        <f>IFERROR(__xludf.DUMMYFUNCTION("""COMPUTED_VALUE"""),"-")</f>
        <v>-</v>
      </c>
    </row>
    <row r="149">
      <c r="A149" s="3" t="str">
        <f>IFERROR(__xludf.DUMMYFUNCTION("""COMPUTED_VALUE"""),"MFHRO0051")</f>
        <v>MFHRO0051</v>
      </c>
      <c r="B149" s="4">
        <f>IFERROR(__xludf.DUMMYFUNCTION("""COMPUTED_VALUE"""),45789.837983067126)</f>
        <v>45789.83798</v>
      </c>
      <c r="C149" s="3">
        <f>IFERROR(__xludf.DUMMYFUNCTION("""COMPUTED_VALUE"""),45789.8759947338)</f>
        <v>45789.87599</v>
      </c>
      <c r="D149" s="3" t="str">
        <f>IFERROR(__xludf.DUMMYFUNCTION("""COMPUTED_VALUE"""),"Autoclave")</f>
        <v>Autoclave</v>
      </c>
      <c r="E149" s="3" t="str">
        <f>IFERROR(__xludf.DUMMYFUNCTION("""COMPUTED_VALUE"""),"-")</f>
        <v>-</v>
      </c>
      <c r="F149" s="3" t="str">
        <f>IFERROR(__xludf.DUMMYFUNCTION("""COMPUTED_VALUE"""),"Fedegari FVA2/A1 - CLAMP DN34-DN35 (MICROCASTED); Code : GM100094; ; ;")</f>
        <v>Fedegari FVA2/A1 - CLAMP DN34-DN35 (MICROCASTED); Code : GM100094; ; ;</v>
      </c>
      <c r="G149" s="3">
        <f>IFERROR(__xludf.DUMMYFUNCTION("""COMPUTED_VALUE"""),1.0)</f>
        <v>1</v>
      </c>
      <c r="H149" s="3" t="str">
        <f>IFERROR(__xludf.DUMMYFUNCTION("""COMPUTED_VALUE"""),"Pcs")</f>
        <v>Pcs</v>
      </c>
      <c r="I149" s="3" t="str">
        <f>IFERROR(__xludf.DUMMYFUNCTION("""COMPUTED_VALUE"""),"Deliver")</f>
        <v>Deliver</v>
      </c>
      <c r="J149" s="3" t="str">
        <f>IFERROR(__xludf.DUMMYFUNCTION("""COMPUTED_VALUE"""),"-")</f>
        <v>-</v>
      </c>
      <c r="K149" s="3" t="str">
        <f>IFERROR(__xludf.DUMMYFUNCTION("""COMPUTED_VALUE"""),"-")</f>
        <v>-</v>
      </c>
    </row>
    <row r="150">
      <c r="A150" s="3" t="str">
        <f>IFERROR(__xludf.DUMMYFUNCTION("""COMPUTED_VALUE"""),"MFHRO0052")</f>
        <v>MFHRO0052</v>
      </c>
      <c r="B150" s="4">
        <f>IFERROR(__xludf.DUMMYFUNCTION("""COMPUTED_VALUE"""),45789.837983067126)</f>
        <v>45789.83798</v>
      </c>
      <c r="C150" s="3">
        <f>IFERROR(__xludf.DUMMYFUNCTION("""COMPUTED_VALUE"""),45789.876125925926)</f>
        <v>45789.87613</v>
      </c>
      <c r="D150" s="3" t="str">
        <f>IFERROR(__xludf.DUMMYFUNCTION("""COMPUTED_VALUE"""),"Autoclave")</f>
        <v>Autoclave</v>
      </c>
      <c r="E150" s="3" t="str">
        <f>IFERROR(__xludf.DUMMYFUNCTION("""COMPUTED_VALUE"""),"-")</f>
        <v>-</v>
      </c>
      <c r="F150" s="3" t="str">
        <f>IFERROR(__xludf.DUMMYFUNCTION("""COMPUTED_VALUE"""),"Fedegari FVA2/A1 - DN16 ASTM CAP; Code : PM102747; ; ;")</f>
        <v>Fedegari FVA2/A1 - DN16 ASTM CAP; Code : PM102747; ; ;</v>
      </c>
      <c r="G150" s="3">
        <f>IFERROR(__xludf.DUMMYFUNCTION("""COMPUTED_VALUE"""),1.0)</f>
        <v>1</v>
      </c>
      <c r="H150" s="3" t="str">
        <f>IFERROR(__xludf.DUMMYFUNCTION("""COMPUTED_VALUE"""),"Unit")</f>
        <v>Unit</v>
      </c>
      <c r="I150" s="3" t="str">
        <f>IFERROR(__xludf.DUMMYFUNCTION("""COMPUTED_VALUE"""),"Deliver")</f>
        <v>Deliver</v>
      </c>
      <c r="J150" s="3" t="str">
        <f>IFERROR(__xludf.DUMMYFUNCTION("""COMPUTED_VALUE"""),"-")</f>
        <v>-</v>
      </c>
      <c r="K150" s="3" t="str">
        <f>IFERROR(__xludf.DUMMYFUNCTION("""COMPUTED_VALUE"""),"-")</f>
        <v>-</v>
      </c>
    </row>
    <row r="151">
      <c r="A151" s="3" t="str">
        <f>IFERROR(__xludf.DUMMYFUNCTION("""COMPUTED_VALUE"""),"MFHRO0053")</f>
        <v>MFHRO0053</v>
      </c>
      <c r="B151" s="4">
        <f>IFERROR(__xludf.DUMMYFUNCTION("""COMPUTED_VALUE"""),45789.837983067126)</f>
        <v>45789.83798</v>
      </c>
      <c r="C151" s="3">
        <f>IFERROR(__xludf.DUMMYFUNCTION("""COMPUTED_VALUE"""),45789.87626002315)</f>
        <v>45789.87626</v>
      </c>
      <c r="D151" s="3" t="str">
        <f>IFERROR(__xludf.DUMMYFUNCTION("""COMPUTED_VALUE"""),"Autoclave")</f>
        <v>Autoclave</v>
      </c>
      <c r="E151" s="3" t="str">
        <f>IFERROR(__xludf.DUMMYFUNCTION("""COMPUTED_VALUE"""),"-")</f>
        <v>-</v>
      </c>
      <c r="F151" s="3" t="str">
        <f>IFERROR(__xludf.DUMMYFUNCTION("""COMPUTED_VALUE"""),"Fedegari FVA2/A1 S/N : NB2964AT - Cover Seal FVM-A/2 FOB2 (Code: PP600265); ; ;")</f>
        <v>Fedegari FVA2/A1 S/N : NB2964AT - Cover Seal FVM-A/2 FOB2 (Code: PP600265); ; ;</v>
      </c>
      <c r="G151" s="3">
        <f>IFERROR(__xludf.DUMMYFUNCTION("""COMPUTED_VALUE"""),1.0)</f>
        <v>1</v>
      </c>
      <c r="H151" s="3" t="str">
        <f>IFERROR(__xludf.DUMMYFUNCTION("""COMPUTED_VALUE"""),"Unit")</f>
        <v>Unit</v>
      </c>
      <c r="I151" s="3" t="str">
        <f>IFERROR(__xludf.DUMMYFUNCTION("""COMPUTED_VALUE"""),"Deliver")</f>
        <v>Deliver</v>
      </c>
      <c r="J151" s="3" t="str">
        <f>IFERROR(__xludf.DUMMYFUNCTION("""COMPUTED_VALUE"""),"-")</f>
        <v>-</v>
      </c>
      <c r="K151" s="3" t="str">
        <f>IFERROR(__xludf.DUMMYFUNCTION("""COMPUTED_VALUE"""),"-")</f>
        <v>-</v>
      </c>
    </row>
    <row r="152">
      <c r="A152" s="3" t="str">
        <f>IFERROR(__xludf.DUMMYFUNCTION("""COMPUTED_VALUE"""),"MFHRO0054")</f>
        <v>MFHRO0054</v>
      </c>
      <c r="B152" s="4">
        <f>IFERROR(__xludf.DUMMYFUNCTION("""COMPUTED_VALUE"""),45789.837983067126)</f>
        <v>45789.83798</v>
      </c>
      <c r="C152" s="3">
        <f>IFERROR(__xludf.DUMMYFUNCTION("""COMPUTED_VALUE"""),45789.876403738424)</f>
        <v>45789.8764</v>
      </c>
      <c r="D152" s="3" t="str">
        <f>IFERROR(__xludf.DUMMYFUNCTION("""COMPUTED_VALUE"""),"Washing")</f>
        <v>Washing</v>
      </c>
      <c r="E152" s="3" t="str">
        <f>IFERROR(__xludf.DUMMYFUNCTION("""COMPUTED_VALUE"""),"-")</f>
        <v>-</v>
      </c>
      <c r="F152" s="3" t="str">
        <f>IFERROR(__xludf.DUMMYFUNCTION("""COMPUTED_VALUE"""),"Cylinder Compact ADNGF-16-15-P-A FESTO P/N : 554214 pc")</f>
        <v>Cylinder Compact ADNGF-16-15-P-A FESTO P/N : 554214 pc</v>
      </c>
      <c r="G152" s="3">
        <f>IFERROR(__xludf.DUMMYFUNCTION("""COMPUTED_VALUE"""),1.0)</f>
        <v>1</v>
      </c>
      <c r="H152" s="3" t="str">
        <f>IFERROR(__xludf.DUMMYFUNCTION("""COMPUTED_VALUE"""),"Unit")</f>
        <v>Unit</v>
      </c>
      <c r="I152" s="3" t="str">
        <f>IFERROR(__xludf.DUMMYFUNCTION("""COMPUTED_VALUE"""),"Deliver")</f>
        <v>Deliver</v>
      </c>
      <c r="J152" s="3" t="str">
        <f>IFERROR(__xludf.DUMMYFUNCTION("""COMPUTED_VALUE"""),"-")</f>
        <v>-</v>
      </c>
      <c r="K152" s="3" t="str">
        <f>IFERROR(__xludf.DUMMYFUNCTION("""COMPUTED_VALUE"""),"-")</f>
        <v>-</v>
      </c>
    </row>
    <row r="153">
      <c r="A153" s="3" t="str">
        <f>IFERROR(__xludf.DUMMYFUNCTION("""COMPUTED_VALUE"""),"MFHRO0055")</f>
        <v>MFHRO0055</v>
      </c>
      <c r="B153" s="4">
        <f>IFERROR(__xludf.DUMMYFUNCTION("""COMPUTED_VALUE"""),45789.837983067126)</f>
        <v>45789.83798</v>
      </c>
      <c r="C153" s="3">
        <f>IFERROR(__xludf.DUMMYFUNCTION("""COMPUTED_VALUE"""),45789.87655960648)</f>
        <v>45789.87656</v>
      </c>
      <c r="D153" s="3" t="str">
        <f>IFERROR(__xludf.DUMMYFUNCTION("""COMPUTED_VALUE"""),"Autoclave")</f>
        <v>Autoclave</v>
      </c>
      <c r="E153" s="3" t="str">
        <f>IFERROR(__xludf.DUMMYFUNCTION("""COMPUTED_VALUE"""),"-")</f>
        <v>-</v>
      </c>
      <c r="F153" s="3" t="str">
        <f>IFERROR(__xludf.DUMMYFUNCTION("""COMPUTED_VALUE"""),"Gear Door Autoclave, HARRISA CIPTARINDO ENGINEERING, CV P/N : -  pc")</f>
        <v>Gear Door Autoclave, HARRISA CIPTARINDO ENGINEERING, CV P/N : -  pc</v>
      </c>
      <c r="G153" s="3">
        <f>IFERROR(__xludf.DUMMYFUNCTION("""COMPUTED_VALUE"""),2.0)</f>
        <v>2</v>
      </c>
      <c r="H153" s="3" t="str">
        <f>IFERROR(__xludf.DUMMYFUNCTION("""COMPUTED_VALUE"""),"Unit")</f>
        <v>Unit</v>
      </c>
      <c r="I153" s="3" t="str">
        <f>IFERROR(__xludf.DUMMYFUNCTION("""COMPUTED_VALUE"""),"Deliver")</f>
        <v>Deliver</v>
      </c>
      <c r="J153" s="3" t="str">
        <f>IFERROR(__xludf.DUMMYFUNCTION("""COMPUTED_VALUE"""),"-")</f>
        <v>-</v>
      </c>
      <c r="K153" s="3" t="str">
        <f>IFERROR(__xludf.DUMMYFUNCTION("""COMPUTED_VALUE"""),"-")</f>
        <v>-</v>
      </c>
    </row>
    <row r="154">
      <c r="A154" s="3" t="str">
        <f>IFERROR(__xludf.DUMMYFUNCTION("""COMPUTED_VALUE"""),"MFHRO0056")</f>
        <v>MFHRO0056</v>
      </c>
      <c r="B154" s="4">
        <f>IFERROR(__xludf.DUMMYFUNCTION("""COMPUTED_VALUE"""),45789.83834662037)</f>
        <v>45789.83835</v>
      </c>
      <c r="C154" s="3">
        <f>IFERROR(__xludf.DUMMYFUNCTION("""COMPUTED_VALUE"""),45789.87669866898)</f>
        <v>45789.8767</v>
      </c>
      <c r="D154" s="3" t="str">
        <f>IFERROR(__xludf.DUMMYFUNCTION("""COMPUTED_VALUE"""),"Washing")</f>
        <v>Washing</v>
      </c>
      <c r="E154" s="3" t="str">
        <f>IFERROR(__xludf.DUMMYFUNCTION("""COMPUTED_VALUE"""),"-")</f>
        <v>-</v>
      </c>
      <c r="F154" s="3" t="str">
        <f>IFERROR(__xludf.DUMMYFUNCTION("""COMPUTED_VALUE"""),"Washing RAR4 - Pincers Jaws for Vial 20mL &amp; 25mL HARRISA CIPTARINDO ENGINEERING, CV. P/N : -  pc")</f>
        <v>Washing RAR4 - Pincers Jaws for Vial 20mL &amp; 25mL HARRISA CIPTARINDO ENGINEERING, CV. P/N : -  pc</v>
      </c>
      <c r="G154" s="3">
        <f>IFERROR(__xludf.DUMMYFUNCTION("""COMPUTED_VALUE"""),20.0)</f>
        <v>20</v>
      </c>
      <c r="H154" s="3" t="str">
        <f>IFERROR(__xludf.DUMMYFUNCTION("""COMPUTED_VALUE"""),"Pcs")</f>
        <v>Pcs</v>
      </c>
      <c r="I154" s="3" t="str">
        <f>IFERROR(__xludf.DUMMYFUNCTION("""COMPUTED_VALUE"""),"Deliver")</f>
        <v>Deliver</v>
      </c>
      <c r="J154" s="3" t="str">
        <f>IFERROR(__xludf.DUMMYFUNCTION("""COMPUTED_VALUE"""),"-")</f>
        <v>-</v>
      </c>
      <c r="K154" s="3" t="str">
        <f>IFERROR(__xludf.DUMMYFUNCTION("""COMPUTED_VALUE"""),"-")</f>
        <v>-</v>
      </c>
    </row>
    <row r="155">
      <c r="A155" s="3" t="str">
        <f>IFERROR(__xludf.DUMMYFUNCTION("""COMPUTED_VALUE"""),"MFHRO0057")</f>
        <v>MFHRO0057</v>
      </c>
      <c r="B155" s="4">
        <f>IFERROR(__xludf.DUMMYFUNCTION("""COMPUTED_VALUE"""),45789.840184733795)</f>
        <v>45789.84018</v>
      </c>
      <c r="C155" s="3">
        <f>IFERROR(__xludf.DUMMYFUNCTION("""COMPUTED_VALUE"""),45789.877328622686)</f>
        <v>45789.87733</v>
      </c>
      <c r="D155" s="3" t="str">
        <f>IFERROR(__xludf.DUMMYFUNCTION("""COMPUTED_VALUE"""),"Mixing")</f>
        <v>Mixing</v>
      </c>
      <c r="E155" s="3" t="str">
        <f>IFERROR(__xludf.DUMMYFUNCTION("""COMPUTED_VALUE"""),"-")</f>
        <v>-</v>
      </c>
      <c r="F155" s="3" t="str">
        <f>IFERROR(__xludf.DUMMYFUNCTION("""COMPUTED_VALUE"""),"Mixer Male Bearing, GMP, pH Range: pH1  pH14, 1/pack; NovAseptic; ;")</f>
        <v>Mixer Male Bearing, GMP, pH Range: pH1  pH14, 1/pack; NovAseptic; ;</v>
      </c>
      <c r="G155" s="3">
        <f>IFERROR(__xludf.DUMMYFUNCTION("""COMPUTED_VALUE"""),1.0)</f>
        <v>1</v>
      </c>
      <c r="H155" s="3" t="str">
        <f>IFERROR(__xludf.DUMMYFUNCTION("""COMPUTED_VALUE"""),"Pcs")</f>
        <v>Pcs</v>
      </c>
      <c r="I155" s="3" t="str">
        <f>IFERROR(__xludf.DUMMYFUNCTION("""COMPUTED_VALUE"""),"Deliver")</f>
        <v>Deliver</v>
      </c>
      <c r="J155" s="3" t="str">
        <f>IFERROR(__xludf.DUMMYFUNCTION("""COMPUTED_VALUE"""),"-")</f>
        <v>-</v>
      </c>
      <c r="K155" s="3" t="str">
        <f>IFERROR(__xludf.DUMMYFUNCTION("""COMPUTED_VALUE"""),"-")</f>
        <v>-</v>
      </c>
    </row>
    <row r="156">
      <c r="A156" s="3" t="str">
        <f>IFERROR(__xludf.DUMMYFUNCTION("""COMPUTED_VALUE"""),"MFHRO0059")</f>
        <v>MFHRO0059</v>
      </c>
      <c r="B156" s="4">
        <f>IFERROR(__xludf.DUMMYFUNCTION("""COMPUTED_VALUE"""),45789.84154332176)</f>
        <v>45789.84154</v>
      </c>
      <c r="C156" s="3">
        <f>IFERROR(__xludf.DUMMYFUNCTION("""COMPUTED_VALUE"""),45789.87758673611)</f>
        <v>45789.87759</v>
      </c>
      <c r="D156" s="3" t="str">
        <f>IFERROR(__xludf.DUMMYFUNCTION("""COMPUTED_VALUE"""),"FD")</f>
        <v>FD</v>
      </c>
      <c r="E156" s="3" t="str">
        <f>IFERROR(__xludf.DUMMYFUNCTION("""COMPUTED_VALUE"""),"-")</f>
        <v>-</v>
      </c>
      <c r="F156" s="3" t="str">
        <f>IFERROR(__xludf.DUMMYFUNCTION("""COMPUTED_VALUE"""),"Freeze Dryer MBE1207 - Mechanical Positioner Switch 50-0406-12610-532 P/n: EB14-00072; BRAY; ;")</f>
        <v>Freeze Dryer MBE1207 - Mechanical Positioner Switch 50-0406-12610-532 P/n: EB14-00072; BRAY; ;</v>
      </c>
      <c r="G156" s="3">
        <f>IFERROR(__xludf.DUMMYFUNCTION("""COMPUTED_VALUE"""),1.0)</f>
        <v>1</v>
      </c>
      <c r="H156" s="3" t="str">
        <f>IFERROR(__xludf.DUMMYFUNCTION("""COMPUTED_VALUE"""),"Pcs")</f>
        <v>Pcs</v>
      </c>
      <c r="I156" s="3" t="str">
        <f>IFERROR(__xludf.DUMMYFUNCTION("""COMPUTED_VALUE"""),"Deliver")</f>
        <v>Deliver</v>
      </c>
      <c r="J156" s="3" t="str">
        <f>IFERROR(__xludf.DUMMYFUNCTION("""COMPUTED_VALUE"""),"-")</f>
        <v>-</v>
      </c>
      <c r="K156" s="3" t="str">
        <f>IFERROR(__xludf.DUMMYFUNCTION("""COMPUTED_VALUE"""),"-")</f>
        <v>-</v>
      </c>
    </row>
    <row r="157">
      <c r="A157" s="3" t="str">
        <f>IFERROR(__xludf.DUMMYFUNCTION("""COMPUTED_VALUE"""),"MFHRO0061")</f>
        <v>MFHRO0061</v>
      </c>
      <c r="B157" s="4">
        <f>IFERROR(__xludf.DUMMYFUNCTION("""COMPUTED_VALUE"""),45789.84256149306)</f>
        <v>45789.84256</v>
      </c>
      <c r="C157" s="3">
        <f>IFERROR(__xludf.DUMMYFUNCTION("""COMPUTED_VALUE"""),45789.87791210648)</f>
        <v>45789.87791</v>
      </c>
      <c r="D157" s="3" t="str">
        <f>IFERROR(__xludf.DUMMYFUNCTION("""COMPUTED_VALUE"""),"FD")</f>
        <v>FD</v>
      </c>
      <c r="E157" s="3" t="str">
        <f>IFERROR(__xludf.DUMMYFUNCTION("""COMPUTED_VALUE"""),"-")</f>
        <v>-</v>
      </c>
      <c r="F157" s="3" t="str">
        <f>IFERROR(__xludf.DUMMYFUNCTION("""COMPUTED_VALUE"""),"Freeze Dryer MBE1207 -  Orifice 04 for Expansi Valve TE5 067B2792; Danfoss; ;")</f>
        <v>Freeze Dryer MBE1207 -  Orifice 04 for Expansi Valve TE5 067B2792; Danfoss; ;</v>
      </c>
      <c r="G157" s="3">
        <f>IFERROR(__xludf.DUMMYFUNCTION("""COMPUTED_VALUE"""),1.0)</f>
        <v>1</v>
      </c>
      <c r="H157" s="3" t="str">
        <f>IFERROR(__xludf.DUMMYFUNCTION("""COMPUTED_VALUE"""),"Pcs")</f>
        <v>Pcs</v>
      </c>
      <c r="I157" s="3" t="str">
        <f>IFERROR(__xludf.DUMMYFUNCTION("""COMPUTED_VALUE"""),"Deliver")</f>
        <v>Deliver</v>
      </c>
      <c r="J157" s="3" t="str">
        <f>IFERROR(__xludf.DUMMYFUNCTION("""COMPUTED_VALUE"""),"-")</f>
        <v>-</v>
      </c>
      <c r="K157" s="3" t="str">
        <f>IFERROR(__xludf.DUMMYFUNCTION("""COMPUTED_VALUE"""),"-")</f>
        <v>-</v>
      </c>
    </row>
    <row r="158">
      <c r="A158" s="3" t="str">
        <f>IFERROR(__xludf.DUMMYFUNCTION("""COMPUTED_VALUE"""),"MFHRO0062")</f>
        <v>MFHRO0062</v>
      </c>
      <c r="B158" s="4">
        <f>IFERROR(__xludf.DUMMYFUNCTION("""COMPUTED_VALUE"""),45789.84305809028)</f>
        <v>45789.84306</v>
      </c>
      <c r="C158" s="3">
        <f>IFERROR(__xludf.DUMMYFUNCTION("""COMPUTED_VALUE"""),45789.878045578705)</f>
        <v>45789.87805</v>
      </c>
      <c r="D158" s="3" t="str">
        <f>IFERROR(__xludf.DUMMYFUNCTION("""COMPUTED_VALUE"""),"FD")</f>
        <v>FD</v>
      </c>
      <c r="E158" s="3" t="str">
        <f>IFERROR(__xludf.DUMMYFUNCTION("""COMPUTED_VALUE"""),"-")</f>
        <v>-</v>
      </c>
      <c r="F158" s="3" t="str">
        <f>IFERROR(__xludf.DUMMYFUNCTION("""COMPUTED_VALUE"""),"Freeze Dryer MBE1207 - Expansi Valve TE 5 067B3343 R404A/R507; Danfoss; ;")</f>
        <v>Freeze Dryer MBE1207 - Expansi Valve TE 5 067B3343 R404A/R507; Danfoss; ;</v>
      </c>
      <c r="G158" s="3">
        <f>IFERROR(__xludf.DUMMYFUNCTION("""COMPUTED_VALUE"""),1.0)</f>
        <v>1</v>
      </c>
      <c r="H158" s="3" t="str">
        <f>IFERROR(__xludf.DUMMYFUNCTION("""COMPUTED_VALUE"""),"Pcs")</f>
        <v>Pcs</v>
      </c>
      <c r="I158" s="3" t="str">
        <f>IFERROR(__xludf.DUMMYFUNCTION("""COMPUTED_VALUE"""),"Deliver")</f>
        <v>Deliver</v>
      </c>
      <c r="J158" s="3" t="str">
        <f>IFERROR(__xludf.DUMMYFUNCTION("""COMPUTED_VALUE"""),"-")</f>
        <v>-</v>
      </c>
      <c r="K158" s="3" t="str">
        <f>IFERROR(__xludf.DUMMYFUNCTION("""COMPUTED_VALUE"""),"-")</f>
        <v>-</v>
      </c>
    </row>
    <row r="159">
      <c r="A159" s="3" t="str">
        <f>IFERROR(__xludf.DUMMYFUNCTION("""COMPUTED_VALUE"""),"MFHRO0063")</f>
        <v>MFHRO0063</v>
      </c>
      <c r="B159" s="4">
        <f>IFERROR(__xludf.DUMMYFUNCTION("""COMPUTED_VALUE"""),45789.843738773154)</f>
        <v>45789.84374</v>
      </c>
      <c r="C159" s="3">
        <f>IFERROR(__xludf.DUMMYFUNCTION("""COMPUTED_VALUE"""),45789.87817332176)</f>
        <v>45789.87817</v>
      </c>
      <c r="D159" s="3" t="str">
        <f>IFERROR(__xludf.DUMMYFUNCTION("""COMPUTED_VALUE"""),"FD")</f>
        <v>FD</v>
      </c>
      <c r="E159" s="3" t="str">
        <f>IFERROR(__xludf.DUMMYFUNCTION("""COMPUTED_VALUE"""),"-")</f>
        <v>-</v>
      </c>
      <c r="F159" s="3" t="str">
        <f>IFERROR(__xludf.DUMMYFUNCTION("""COMPUTED_VALUE"""),"Freeze Dryer MBE1207 - Main Valve Bellow SUS316L ST105*75; ; ;")</f>
        <v>Freeze Dryer MBE1207 - Main Valve Bellow SUS316L ST105*75; ; ;</v>
      </c>
      <c r="G159" s="3">
        <f>IFERROR(__xludf.DUMMYFUNCTION("""COMPUTED_VALUE"""),1.0)</f>
        <v>1</v>
      </c>
      <c r="H159" s="3" t="str">
        <f>IFERROR(__xludf.DUMMYFUNCTION("""COMPUTED_VALUE"""),"Pcs")</f>
        <v>Pcs</v>
      </c>
      <c r="I159" s="3" t="str">
        <f>IFERROR(__xludf.DUMMYFUNCTION("""COMPUTED_VALUE"""),"Deliver")</f>
        <v>Deliver</v>
      </c>
      <c r="J159" s="3" t="str">
        <f>IFERROR(__xludf.DUMMYFUNCTION("""COMPUTED_VALUE"""),"-")</f>
        <v>-</v>
      </c>
      <c r="K159" s="3" t="str">
        <f>IFERROR(__xludf.DUMMYFUNCTION("""COMPUTED_VALUE"""),"-")</f>
        <v>-</v>
      </c>
    </row>
    <row r="160">
      <c r="A160" s="3" t="str">
        <f>IFERROR(__xludf.DUMMYFUNCTION("""COMPUTED_VALUE"""),"MFHRO0064")</f>
        <v>MFHRO0064</v>
      </c>
      <c r="B160" s="4">
        <f>IFERROR(__xludf.DUMMYFUNCTION("""COMPUTED_VALUE"""),45789.84422550926)</f>
        <v>45789.84423</v>
      </c>
      <c r="C160" s="3">
        <f>IFERROR(__xludf.DUMMYFUNCTION("""COMPUTED_VALUE"""),45789.87831783565)</f>
        <v>45789.87832</v>
      </c>
      <c r="D160" s="3" t="str">
        <f>IFERROR(__xludf.DUMMYFUNCTION("""COMPUTED_VALUE"""),"FD")</f>
        <v>FD</v>
      </c>
      <c r="E160" s="3" t="str">
        <f>IFERROR(__xludf.DUMMYFUNCTION("""COMPUTED_VALUE"""),"-")</f>
        <v>-</v>
      </c>
      <c r="F160" s="3" t="str">
        <f>IFERROR(__xludf.DUMMYFUNCTION("""COMPUTED_VALUE"""),"Seal Ferrule EPDM 1.5"" (35 x 53 x 9)")</f>
        <v>Seal Ferrule EPDM 1.5" (35 x 53 x 9)</v>
      </c>
      <c r="G160" s="3">
        <f>IFERROR(__xludf.DUMMYFUNCTION("""COMPUTED_VALUE"""),40.0)</f>
        <v>40</v>
      </c>
      <c r="H160" s="3" t="str">
        <f>IFERROR(__xludf.DUMMYFUNCTION("""COMPUTED_VALUE"""),"Pcs")</f>
        <v>Pcs</v>
      </c>
      <c r="I160" s="3" t="str">
        <f>IFERROR(__xludf.DUMMYFUNCTION("""COMPUTED_VALUE"""),"Deliver")</f>
        <v>Deliver</v>
      </c>
      <c r="J160" s="3" t="str">
        <f>IFERROR(__xludf.DUMMYFUNCTION("""COMPUTED_VALUE"""),"-")</f>
        <v>-</v>
      </c>
      <c r="K160" s="3" t="str">
        <f>IFERROR(__xludf.DUMMYFUNCTION("""COMPUTED_VALUE"""),"-")</f>
        <v>-</v>
      </c>
    </row>
    <row r="161">
      <c r="A161" s="3" t="str">
        <f>IFERROR(__xludf.DUMMYFUNCTION("""COMPUTED_VALUE"""),"MFHRO0065")</f>
        <v>MFHRO0065</v>
      </c>
      <c r="B161" s="4">
        <f>IFERROR(__xludf.DUMMYFUNCTION("""COMPUTED_VALUE"""),45789.85141081018)</f>
        <v>45789.85141</v>
      </c>
      <c r="C161" s="3">
        <f>IFERROR(__xludf.DUMMYFUNCTION("""COMPUTED_VALUE"""),45789.878443379625)</f>
        <v>45789.87844</v>
      </c>
      <c r="D161" s="3" t="str">
        <f>IFERROR(__xludf.DUMMYFUNCTION("""COMPUTED_VALUE"""),"FD")</f>
        <v>FD</v>
      </c>
      <c r="E161" s="3" t="str">
        <f>IFERROR(__xludf.DUMMYFUNCTION("""COMPUTED_VALUE"""),"-")</f>
        <v>-</v>
      </c>
      <c r="F161" s="3" t="str">
        <f>IFERROR(__xludf.DUMMYFUNCTION("""COMPUTED_VALUE"""),"Seal Ferrule EPDM 3""")</f>
        <v>Seal Ferrule EPDM 3"</v>
      </c>
      <c r="G161" s="3">
        <f>IFERROR(__xludf.DUMMYFUNCTION("""COMPUTED_VALUE"""),20.0)</f>
        <v>20</v>
      </c>
      <c r="H161" s="3" t="str">
        <f>IFERROR(__xludf.DUMMYFUNCTION("""COMPUTED_VALUE"""),"Pcs")</f>
        <v>Pcs</v>
      </c>
      <c r="I161" s="3" t="str">
        <f>IFERROR(__xludf.DUMMYFUNCTION("""COMPUTED_VALUE"""),"Deliver")</f>
        <v>Deliver</v>
      </c>
      <c r="J161" s="3" t="str">
        <f>IFERROR(__xludf.DUMMYFUNCTION("""COMPUTED_VALUE"""),"-")</f>
        <v>-</v>
      </c>
      <c r="K161" s="3" t="str">
        <f>IFERROR(__xludf.DUMMYFUNCTION("""COMPUTED_VALUE"""),"-")</f>
        <v>-</v>
      </c>
    </row>
    <row r="162">
      <c r="A162" s="3" t="str">
        <f>IFERROR(__xludf.DUMMYFUNCTION("""COMPUTED_VALUE"""),"MFHRO0066")</f>
        <v>MFHRO0066</v>
      </c>
      <c r="B162" s="4">
        <f>IFERROR(__xludf.DUMMYFUNCTION("""COMPUTED_VALUE"""),45789.85171077547)</f>
        <v>45789.85171</v>
      </c>
      <c r="C162" s="3">
        <f>IFERROR(__xludf.DUMMYFUNCTION("""COMPUTED_VALUE"""),45789.87858556713)</f>
        <v>45789.87859</v>
      </c>
      <c r="D162" s="3" t="str">
        <f>IFERROR(__xludf.DUMMYFUNCTION("""COMPUTED_VALUE"""),"FD")</f>
        <v>FD</v>
      </c>
      <c r="E162" s="3" t="str">
        <f>IFERROR(__xludf.DUMMYFUNCTION("""COMPUTED_VALUE"""),"-")</f>
        <v>-</v>
      </c>
      <c r="F162" s="3" t="str">
        <f>IFERROR(__xludf.DUMMYFUNCTION("""COMPUTED_VALUE"""),"Heavy clamp ferrule 1 - 1 1/2 inch; SS304L;; ; ;")</f>
        <v>Heavy clamp ferrule 1 - 1 1/2 inch; SS304L;; ; ;</v>
      </c>
      <c r="G162" s="3">
        <f>IFERROR(__xludf.DUMMYFUNCTION("""COMPUTED_VALUE"""),10.0)</f>
        <v>10</v>
      </c>
      <c r="H162" s="3" t="str">
        <f>IFERROR(__xludf.DUMMYFUNCTION("""COMPUTED_VALUE"""),"Pcs")</f>
        <v>Pcs</v>
      </c>
      <c r="I162" s="3" t="str">
        <f>IFERROR(__xludf.DUMMYFUNCTION("""COMPUTED_VALUE"""),"Deliver")</f>
        <v>Deliver</v>
      </c>
      <c r="J162" s="3" t="str">
        <f>IFERROR(__xludf.DUMMYFUNCTION("""COMPUTED_VALUE"""),"-")</f>
        <v>-</v>
      </c>
      <c r="K162" s="3" t="str">
        <f>IFERROR(__xludf.DUMMYFUNCTION("""COMPUTED_VALUE"""),"-")</f>
        <v>-</v>
      </c>
    </row>
    <row r="163">
      <c r="A163" s="3" t="str">
        <f>IFERROR(__xludf.DUMMYFUNCTION("""COMPUTED_VALUE"""),"MFHRO0067")</f>
        <v>MFHRO0067</v>
      </c>
      <c r="B163" s="4">
        <f>IFERROR(__xludf.DUMMYFUNCTION("""COMPUTED_VALUE"""),45789.85941064815)</f>
        <v>45789.85941</v>
      </c>
      <c r="C163" s="3">
        <f>IFERROR(__xludf.DUMMYFUNCTION("""COMPUTED_VALUE"""),45789.87875333334)</f>
        <v>45789.87875</v>
      </c>
      <c r="D163" s="3" t="str">
        <f>IFERROR(__xludf.DUMMYFUNCTION("""COMPUTED_VALUE"""),"Autoclave")</f>
        <v>Autoclave</v>
      </c>
      <c r="E163" s="3" t="str">
        <f>IFERROR(__xludf.DUMMYFUNCTION("""COMPUTED_VALUE"""),"-")</f>
        <v>-</v>
      </c>
      <c r="F163" s="3" t="str">
        <f>IFERROR(__xludf.DUMMYFUNCTION("""COMPUTED_VALUE"""),"Oring 2,5x6x11 mm, Material EPDM; ; ;")</f>
        <v>Oring 2,5x6x11 mm, Material EPDM; ; ;</v>
      </c>
      <c r="G163" s="3">
        <f>IFERROR(__xludf.DUMMYFUNCTION("""COMPUTED_VALUE"""),20.0)</f>
        <v>20</v>
      </c>
      <c r="H163" s="3" t="str">
        <f>IFERROR(__xludf.DUMMYFUNCTION("""COMPUTED_VALUE"""),"Pcs")</f>
        <v>Pcs</v>
      </c>
      <c r="I163" s="3" t="str">
        <f>IFERROR(__xludf.DUMMYFUNCTION("""COMPUTED_VALUE"""),"Deliver")</f>
        <v>Deliver</v>
      </c>
      <c r="J163" s="3" t="str">
        <f>IFERROR(__xludf.DUMMYFUNCTION("""COMPUTED_VALUE"""),"-")</f>
        <v>-</v>
      </c>
      <c r="K163" s="3" t="str">
        <f>IFERROR(__xludf.DUMMYFUNCTION("""COMPUTED_VALUE"""),"-")</f>
        <v>-</v>
      </c>
    </row>
    <row r="164">
      <c r="A164" s="3" t="str">
        <f>IFERROR(__xludf.DUMMYFUNCTION("""COMPUTED_VALUE"""),"MFHRO0068")</f>
        <v>MFHRO0068</v>
      </c>
      <c r="B164" s="4">
        <f>IFERROR(__xludf.DUMMYFUNCTION("""COMPUTED_VALUE"""),45789.86337534722)</f>
        <v>45789.86338</v>
      </c>
      <c r="C164" s="3">
        <f>IFERROR(__xludf.DUMMYFUNCTION("""COMPUTED_VALUE"""),45789.878884375)</f>
        <v>45789.87888</v>
      </c>
      <c r="D164" s="3" t="str">
        <f>IFERROR(__xludf.DUMMYFUNCTION("""COMPUTED_VALUE"""),"Autoclave")</f>
        <v>Autoclave</v>
      </c>
      <c r="E164" s="3" t="str">
        <f>IFERROR(__xludf.DUMMYFUNCTION("""COMPUTED_VALUE"""),"-")</f>
        <v>-</v>
      </c>
      <c r="F164" s="3" t="str">
        <f>IFERROR(__xludf.DUMMYFUNCTION("""COMPUTED_VALUE"""),"O-ring Epdm 9 x 4 x 2,5 mm ; Brand : - ; P/N : - ; Pack Size : pcs")</f>
        <v>O-ring Epdm 9 x 4 x 2,5 mm ; Brand : - ; P/N : - ; Pack Size : pcs</v>
      </c>
      <c r="G164" s="3">
        <f>IFERROR(__xludf.DUMMYFUNCTION("""COMPUTED_VALUE"""),20.0)</f>
        <v>20</v>
      </c>
      <c r="H164" s="3" t="str">
        <f>IFERROR(__xludf.DUMMYFUNCTION("""COMPUTED_VALUE"""),"Pcs")</f>
        <v>Pcs</v>
      </c>
      <c r="I164" s="3" t="str">
        <f>IFERROR(__xludf.DUMMYFUNCTION("""COMPUTED_VALUE"""),"Deliver")</f>
        <v>Deliver</v>
      </c>
      <c r="J164" s="3" t="str">
        <f>IFERROR(__xludf.DUMMYFUNCTION("""COMPUTED_VALUE"""),"-")</f>
        <v>-</v>
      </c>
      <c r="K164" s="3" t="str">
        <f>IFERROR(__xludf.DUMMYFUNCTION("""COMPUTED_VALUE"""),"-")</f>
        <v>-</v>
      </c>
    </row>
    <row r="165">
      <c r="A165" s="3" t="str">
        <f>IFERROR(__xludf.DUMMYFUNCTION("""COMPUTED_VALUE"""),"MFHRO0069")</f>
        <v>MFHRO0069</v>
      </c>
      <c r="B165" s="4">
        <f>IFERROR(__xludf.DUMMYFUNCTION("""COMPUTED_VALUE"""),45789.86337534722)</f>
        <v>45789.86338</v>
      </c>
      <c r="C165" s="3">
        <f>IFERROR(__xludf.DUMMYFUNCTION("""COMPUTED_VALUE"""),45789.87900774306)</f>
        <v>45789.87901</v>
      </c>
      <c r="D165" s="3" t="str">
        <f>IFERROR(__xludf.DUMMYFUNCTION("""COMPUTED_VALUE"""),"Autoclave")</f>
        <v>Autoclave</v>
      </c>
      <c r="E165" s="3" t="str">
        <f>IFERROR(__xludf.DUMMYFUNCTION("""COMPUTED_VALUE"""),"-")</f>
        <v>-</v>
      </c>
      <c r="F165" s="3" t="str">
        <f>IFERROR(__xludf.DUMMYFUNCTION("""COMPUTED_VALUE"""),"O-ring Epdm 9 x 5 x 2 mm ; Brand : - ; P/N : - ; Pack Size : pcs")</f>
        <v>O-ring Epdm 9 x 5 x 2 mm ; Brand : - ; P/N : - ; Pack Size : pcs</v>
      </c>
      <c r="G165" s="3">
        <f>IFERROR(__xludf.DUMMYFUNCTION("""COMPUTED_VALUE"""),20.0)</f>
        <v>20</v>
      </c>
      <c r="H165" s="3" t="str">
        <f>IFERROR(__xludf.DUMMYFUNCTION("""COMPUTED_VALUE"""),"Pcs")</f>
        <v>Pcs</v>
      </c>
      <c r="I165" s="3" t="str">
        <f>IFERROR(__xludf.DUMMYFUNCTION("""COMPUTED_VALUE"""),"Deliver")</f>
        <v>Deliver</v>
      </c>
      <c r="J165" s="3" t="str">
        <f>IFERROR(__xludf.DUMMYFUNCTION("""COMPUTED_VALUE"""),"-")</f>
        <v>-</v>
      </c>
      <c r="K165" s="3" t="str">
        <f>IFERROR(__xludf.DUMMYFUNCTION("""COMPUTED_VALUE"""),"-")</f>
        <v>-</v>
      </c>
    </row>
    <row r="166">
      <c r="A166" s="3" t="str">
        <f>IFERROR(__xludf.DUMMYFUNCTION("""COMPUTED_VALUE"""),"MFHRO0070")</f>
        <v>MFHRO0070</v>
      </c>
      <c r="B166" s="4">
        <f>IFERROR(__xludf.DUMMYFUNCTION("""COMPUTED_VALUE"""),45789.86337534722)</f>
        <v>45789.86338</v>
      </c>
      <c r="C166" s="3">
        <f>IFERROR(__xludf.DUMMYFUNCTION("""COMPUTED_VALUE"""),45789.879140219906)</f>
        <v>45789.87914</v>
      </c>
      <c r="D166" s="3" t="str">
        <f>IFERROR(__xludf.DUMMYFUNCTION("""COMPUTED_VALUE"""),"Autoclave")</f>
        <v>Autoclave</v>
      </c>
      <c r="E166" s="3" t="str">
        <f>IFERROR(__xludf.DUMMYFUNCTION("""COMPUTED_VALUE"""),"-")</f>
        <v>-</v>
      </c>
      <c r="F166" s="3" t="str">
        <f>IFERROR(__xludf.DUMMYFUNCTION("""COMPUTED_VALUE"""),"O-ring EPDM 41.5 x 35 x 3.5 mm ; Brand : - ; P/N : - ; Pack Size : pcs")</f>
        <v>O-ring EPDM 41.5 x 35 x 3.5 mm ; Brand : - ; P/N : - ; Pack Size : pcs</v>
      </c>
      <c r="G166" s="3">
        <f>IFERROR(__xludf.DUMMYFUNCTION("""COMPUTED_VALUE"""),20.0)</f>
        <v>20</v>
      </c>
      <c r="H166" s="3" t="str">
        <f>IFERROR(__xludf.DUMMYFUNCTION("""COMPUTED_VALUE"""),"Pcs")</f>
        <v>Pcs</v>
      </c>
      <c r="I166" s="3" t="str">
        <f>IFERROR(__xludf.DUMMYFUNCTION("""COMPUTED_VALUE"""),"Deliver")</f>
        <v>Deliver</v>
      </c>
      <c r="J166" s="3" t="str">
        <f>IFERROR(__xludf.DUMMYFUNCTION("""COMPUTED_VALUE"""),"-")</f>
        <v>-</v>
      </c>
      <c r="K166" s="3" t="str">
        <f>IFERROR(__xludf.DUMMYFUNCTION("""COMPUTED_VALUE"""),"-")</f>
        <v>-</v>
      </c>
    </row>
    <row r="167">
      <c r="A167" s="3" t="str">
        <f>IFERROR(__xludf.DUMMYFUNCTION("""COMPUTED_VALUE"""),"MFHRO0071")</f>
        <v>MFHRO0071</v>
      </c>
      <c r="B167" s="4">
        <f>IFERROR(__xludf.DUMMYFUNCTION("""COMPUTED_VALUE"""),45789.86394336806)</f>
        <v>45789.86394</v>
      </c>
      <c r="C167" s="3">
        <f>IFERROR(__xludf.DUMMYFUNCTION("""COMPUTED_VALUE"""),45789.879264166666)</f>
        <v>45789.87926</v>
      </c>
      <c r="D167" s="3" t="str">
        <f>IFERROR(__xludf.DUMMYFUNCTION("""COMPUTED_VALUE"""),"Autoclave")</f>
        <v>Autoclave</v>
      </c>
      <c r="E167" s="3" t="str">
        <f>IFERROR(__xludf.DUMMYFUNCTION("""COMPUTED_VALUE"""),"-")</f>
        <v>-</v>
      </c>
      <c r="F167" s="3" t="str">
        <f>IFERROR(__xludf.DUMMYFUNCTION("""COMPUTED_VALUE"""),"General - O-ring EPDM 15 x 9 x 3 mm; No Brand; -; 1 pc")</f>
        <v>General - O-ring EPDM 15 x 9 x 3 mm; No Brand; -; 1 pc</v>
      </c>
      <c r="G167" s="3">
        <f>IFERROR(__xludf.DUMMYFUNCTION("""COMPUTED_VALUE"""),20.0)</f>
        <v>20</v>
      </c>
      <c r="H167" s="3" t="str">
        <f>IFERROR(__xludf.DUMMYFUNCTION("""COMPUTED_VALUE"""),"Pcs")</f>
        <v>Pcs</v>
      </c>
      <c r="I167" s="3" t="str">
        <f>IFERROR(__xludf.DUMMYFUNCTION("""COMPUTED_VALUE"""),"Deliver")</f>
        <v>Deliver</v>
      </c>
      <c r="J167" s="3" t="str">
        <f>IFERROR(__xludf.DUMMYFUNCTION("""COMPUTED_VALUE"""),"-")</f>
        <v>-</v>
      </c>
      <c r="K167" s="3" t="str">
        <f>IFERROR(__xludf.DUMMYFUNCTION("""COMPUTED_VALUE"""),"-")</f>
        <v>-</v>
      </c>
    </row>
    <row r="168">
      <c r="A168" s="3" t="str">
        <f>IFERROR(__xludf.DUMMYFUNCTION("""COMPUTED_VALUE"""),"MFHRO0072")</f>
        <v>MFHRO0072</v>
      </c>
      <c r="B168" s="4">
        <f>IFERROR(__xludf.DUMMYFUNCTION("""COMPUTED_VALUE"""),45789.863949074075)</f>
        <v>45789.86395</v>
      </c>
      <c r="C168" s="3">
        <f>IFERROR(__xludf.DUMMYFUNCTION("""COMPUTED_VALUE"""),45789.87942158565)</f>
        <v>45789.87942</v>
      </c>
      <c r="D168" s="3" t="str">
        <f>IFERROR(__xludf.DUMMYFUNCTION("""COMPUTED_VALUE"""),"Helium Leak Detector")</f>
        <v>Helium Leak Detector</v>
      </c>
      <c r="E168" s="3" t="str">
        <f>IFERROR(__xludf.DUMMYFUNCTION("""COMPUTED_VALUE"""),"-")</f>
        <v>-</v>
      </c>
      <c r="F168" s="3" t="str">
        <f>IFERROR(__xludf.DUMMYFUNCTION("""COMPUTED_VALUE"""),"General - PVC Hose cpl., DN25 ISO-KF, 2000 mm; Inficon; 211-412; 1 pc")</f>
        <v>General - PVC Hose cpl., DN25 ISO-KF, 2000 mm; Inficon; 211-412; 1 pc</v>
      </c>
      <c r="G168" s="3">
        <f>IFERROR(__xludf.DUMMYFUNCTION("""COMPUTED_VALUE"""),1.0)</f>
        <v>1</v>
      </c>
      <c r="H168" s="3" t="str">
        <f>IFERROR(__xludf.DUMMYFUNCTION("""COMPUTED_VALUE"""),"Pcs")</f>
        <v>Pcs</v>
      </c>
      <c r="I168" s="3" t="str">
        <f>IFERROR(__xludf.DUMMYFUNCTION("""COMPUTED_VALUE"""),"Deliver")</f>
        <v>Deliver</v>
      </c>
      <c r="J168" s="3" t="str">
        <f>IFERROR(__xludf.DUMMYFUNCTION("""COMPUTED_VALUE"""),"-")</f>
        <v>-</v>
      </c>
      <c r="K168" s="3" t="str">
        <f>IFERROR(__xludf.DUMMYFUNCTION("""COMPUTED_VALUE"""),"-")</f>
        <v>-</v>
      </c>
    </row>
    <row r="169">
      <c r="A169" s="3" t="str">
        <f>IFERROR(__xludf.DUMMYFUNCTION("""COMPUTED_VALUE"""),"MFHRO0073")</f>
        <v>MFHRO0073</v>
      </c>
      <c r="B169" s="4">
        <f>IFERROR(__xludf.DUMMYFUNCTION("""COMPUTED_VALUE"""),45789.86544498843)</f>
        <v>45789.86544</v>
      </c>
      <c r="C169" s="3">
        <f>IFERROR(__xludf.DUMMYFUNCTION("""COMPUTED_VALUE"""),45789.87955648148)</f>
        <v>45789.87956</v>
      </c>
      <c r="D169" s="3" t="str">
        <f>IFERROR(__xludf.DUMMYFUNCTION("""COMPUTED_VALUE"""),"Mixing")</f>
        <v>Mixing</v>
      </c>
      <c r="E169" s="3" t="str">
        <f>IFERROR(__xludf.DUMMYFUNCTION("""COMPUTED_VALUE"""),"-")</f>
        <v>-</v>
      </c>
      <c r="F169" s="3" t="str">
        <f>IFERROR(__xludf.DUMMYFUNCTION("""COMPUTED_VALUE"""),"Mixing Tank Adam - Corong Mesin 10x1.5 inch Mat. SS 316; Custom/Lokal; -; 1 Pc")</f>
        <v>Mixing Tank Adam - Corong Mesin 10x1.5 inch Mat. SS 316; Custom/Lokal; -; 1 Pc</v>
      </c>
      <c r="G169" s="3">
        <f>IFERROR(__xludf.DUMMYFUNCTION("""COMPUTED_VALUE"""),1.0)</f>
        <v>1</v>
      </c>
      <c r="H169" s="3" t="str">
        <f>IFERROR(__xludf.DUMMYFUNCTION("""COMPUTED_VALUE"""),"Pcs")</f>
        <v>Pcs</v>
      </c>
      <c r="I169" s="3" t="str">
        <f>IFERROR(__xludf.DUMMYFUNCTION("""COMPUTED_VALUE"""),"Deliver")</f>
        <v>Deliver</v>
      </c>
      <c r="J169" s="3" t="str">
        <f>IFERROR(__xludf.DUMMYFUNCTION("""COMPUTED_VALUE"""),"-")</f>
        <v>-</v>
      </c>
      <c r="K169" s="3" t="str">
        <f>IFERROR(__xludf.DUMMYFUNCTION("""COMPUTED_VALUE"""),"-")</f>
        <v>-</v>
      </c>
    </row>
    <row r="170">
      <c r="A170" s="3" t="str">
        <f>IFERROR(__xludf.DUMMYFUNCTION("""COMPUTED_VALUE"""),"MFHRO0074")</f>
        <v>MFHRO0074</v>
      </c>
      <c r="B170" s="4">
        <f>IFERROR(__xludf.DUMMYFUNCTION("""COMPUTED_VALUE"""),45789.86848793981)</f>
        <v>45789.86849</v>
      </c>
      <c r="C170" s="3">
        <f>IFERROR(__xludf.DUMMYFUNCTION("""COMPUTED_VALUE"""),45789.879678020836)</f>
        <v>45789.87968</v>
      </c>
      <c r="D170" s="3" t="str">
        <f>IFERROR(__xludf.DUMMYFUNCTION("""COMPUTED_VALUE"""),"General")</f>
        <v>General</v>
      </c>
      <c r="E170" s="3" t="str">
        <f>IFERROR(__xludf.DUMMYFUNCTION("""COMPUTED_VALUE"""),"-")</f>
        <v>-</v>
      </c>
      <c r="F170" s="3" t="str">
        <f>IFERROR(__xludf.DUMMYFUNCTION("""COMPUTED_VALUE"""),"Cellotape / Lakban Kertas 1 inch warna Putih ; No Brand ; pack size per pcs")</f>
        <v>Cellotape / Lakban Kertas 1 inch warna Putih ; No Brand ; pack size per pcs</v>
      </c>
      <c r="G170" s="3">
        <f>IFERROR(__xludf.DUMMYFUNCTION("""COMPUTED_VALUE"""),80.0)</f>
        <v>80</v>
      </c>
      <c r="H170" s="3" t="str">
        <f>IFERROR(__xludf.DUMMYFUNCTION("""COMPUTED_VALUE"""),"Pcs")</f>
        <v>Pcs</v>
      </c>
      <c r="I170" s="3" t="str">
        <f>IFERROR(__xludf.DUMMYFUNCTION("""COMPUTED_VALUE"""),"Deliver")</f>
        <v>Deliver</v>
      </c>
      <c r="J170" s="3" t="str">
        <f>IFERROR(__xludf.DUMMYFUNCTION("""COMPUTED_VALUE"""),"-")</f>
        <v>-</v>
      </c>
      <c r="K170" s="3" t="str">
        <f>IFERROR(__xludf.DUMMYFUNCTION("""COMPUTED_VALUE"""),"-")</f>
        <v>-</v>
      </c>
    </row>
    <row r="171">
      <c r="A171" s="3" t="str">
        <f>IFERROR(__xludf.DUMMYFUNCTION("""COMPUTED_VALUE"""),"RIARO0033")</f>
        <v>RIARO0033</v>
      </c>
      <c r="B171" s="4">
        <f>IFERROR(__xludf.DUMMYFUNCTION("""COMPUTED_VALUE"""),45790.30020331018)</f>
        <v>45790.3002</v>
      </c>
      <c r="C171" s="3">
        <f>IFERROR(__xludf.DUMMYFUNCTION("""COMPUTED_VALUE"""),45790.590274629634)</f>
        <v>45790.59027</v>
      </c>
      <c r="D171" s="3" t="str">
        <f>IFERROR(__xludf.DUMMYFUNCTION("""COMPUTED_VALUE"""),"Alarm WWTP")</f>
        <v>Alarm WWTP</v>
      </c>
      <c r="E171" s="3" t="str">
        <f>IFERROR(__xludf.DUMMYFUNCTION("""COMPUTED_VALUE"""),"-")</f>
        <v>-</v>
      </c>
      <c r="F171" s="3" t="str">
        <f>IFERROR(__xludf.DUMMYFUNCTION("""COMPUTED_VALUE"""),"Buzzer Electronic Siren PW-235; TAB; ;")</f>
        <v>Buzzer Electronic Siren PW-235; TAB; ;</v>
      </c>
      <c r="G171" s="3">
        <f>IFERROR(__xludf.DUMMYFUNCTION("""COMPUTED_VALUE"""),2.0)</f>
        <v>2</v>
      </c>
      <c r="H171" s="3" t="str">
        <f>IFERROR(__xludf.DUMMYFUNCTION("""COMPUTED_VALUE"""),"Pcs")</f>
        <v>Pcs</v>
      </c>
      <c r="I171" s="3" t="str">
        <f>IFERROR(__xludf.DUMMYFUNCTION("""COMPUTED_VALUE"""),"Deliver")</f>
        <v>Deliver</v>
      </c>
      <c r="J171" s="3" t="str">
        <f>IFERROR(__xludf.DUMMYFUNCTION("""COMPUTED_VALUE"""),"-")</f>
        <v>-</v>
      </c>
      <c r="K171" s="3" t="str">
        <f>IFERROR(__xludf.DUMMYFUNCTION("""COMPUTED_VALUE"""),"-")</f>
        <v>-</v>
      </c>
    </row>
    <row r="172">
      <c r="A172" s="3" t="str">
        <f>IFERROR(__xludf.DUMMYFUNCTION("""COMPUTED_VALUE"""),"RIARO0034")</f>
        <v>RIARO0034</v>
      </c>
      <c r="B172" s="4">
        <f>IFERROR(__xludf.DUMMYFUNCTION("""COMPUTED_VALUE"""),45790.64214047454)</f>
        <v>45790.64214</v>
      </c>
      <c r="C172" s="3">
        <f>IFERROR(__xludf.DUMMYFUNCTION("""COMPUTED_VALUE"""),45793.47298590278)</f>
        <v>45793.47299</v>
      </c>
      <c r="D172" s="3" t="str">
        <f>IFERROR(__xludf.DUMMYFUNCTION("""COMPUTED_VALUE"""),"EF C1-41")</f>
        <v>EF C1-41</v>
      </c>
      <c r="E172" s="3" t="str">
        <f>IFERROR(__xludf.DUMMYFUNCTION("""COMPUTED_VALUE"""),"EJO/2025/05/44")</f>
        <v>EJO/2025/05/44</v>
      </c>
      <c r="F172" s="3" t="str">
        <f>IFERROR(__xludf.DUMMYFUNCTION("""COMPUTED_VALUE"""),"Inverter - HVAC Drives FC-102P4K0T4E20H3XGXXXXSXXXXAXBXCXXXXDX; 4 kw 3x380 Vac;; Danfoss; ;")</f>
        <v>Inverter - HVAC Drives FC-102P4K0T4E20H3XGXXXXSXXXXAXBXCXXXXDX; 4 kw 3x380 Vac;; Danfoss; ;</v>
      </c>
      <c r="G172" s="3">
        <f>IFERROR(__xludf.DUMMYFUNCTION("""COMPUTED_VALUE"""),2.0)</f>
        <v>2</v>
      </c>
      <c r="H172" s="3" t="str">
        <f>IFERROR(__xludf.DUMMYFUNCTION("""COMPUTED_VALUE"""),"Pcs")</f>
        <v>Pcs</v>
      </c>
      <c r="I172" s="3" t="str">
        <f>IFERROR(__xludf.DUMMYFUNCTION("""COMPUTED_VALUE"""),"Deliver")</f>
        <v>Deliver</v>
      </c>
      <c r="J172" s="3" t="str">
        <f>IFERROR(__xludf.DUMMYFUNCTION("""COMPUTED_VALUE"""),"-")</f>
        <v>-</v>
      </c>
      <c r="K172" s="3" t="str">
        <f>IFERROR(__xludf.DUMMYFUNCTION("""COMPUTED_VALUE"""),"-")</f>
        <v>-</v>
      </c>
    </row>
    <row r="173">
      <c r="A173" s="3" t="str">
        <f>IFERROR(__xludf.DUMMYFUNCTION("""COMPUTED_VALUE"""),"MFHRO0075")</f>
        <v>MFHRO0075</v>
      </c>
      <c r="B173" s="4">
        <f>IFERROR(__xludf.DUMMYFUNCTION("""COMPUTED_VALUE"""),45790.831966944446)</f>
        <v>45790.83197</v>
      </c>
      <c r="C173" s="3">
        <f>IFERROR(__xludf.DUMMYFUNCTION("""COMPUTED_VALUE"""),45790.87271931713)</f>
        <v>45790.87272</v>
      </c>
      <c r="D173" s="3" t="str">
        <f>IFERROR(__xludf.DUMMYFUNCTION("""COMPUTED_VALUE"""),"WWTP")</f>
        <v>WWTP</v>
      </c>
      <c r="E173" s="3" t="str">
        <f>IFERROR(__xludf.DUMMYFUNCTION("""COMPUTED_VALUE"""),"-")</f>
        <v>-</v>
      </c>
      <c r="F173" s="3" t="str">
        <f>IFERROR(__xludf.DUMMYFUNCTION("""COMPUTED_VALUE"""),"Chemical - Sodium Hiphoclorite; No Brand; -; 1 Liter")</f>
        <v>Chemical - Sodium Hiphoclorite; No Brand; -; 1 Liter</v>
      </c>
      <c r="G173" s="3">
        <f>IFERROR(__xludf.DUMMYFUNCTION("""COMPUTED_VALUE"""),1260.0)</f>
        <v>1260</v>
      </c>
      <c r="H173" s="3" t="str">
        <f>IFERROR(__xludf.DUMMYFUNCTION("""COMPUTED_VALUE"""),"Liter")</f>
        <v>Liter</v>
      </c>
      <c r="I173" s="3" t="str">
        <f>IFERROR(__xludf.DUMMYFUNCTION("""COMPUTED_VALUE"""),"Deliver")</f>
        <v>Deliver</v>
      </c>
      <c r="J173" s="3" t="str">
        <f>IFERROR(__xludf.DUMMYFUNCTION("""COMPUTED_VALUE"""),"-")</f>
        <v>-</v>
      </c>
      <c r="K173" s="3" t="str">
        <f>IFERROR(__xludf.DUMMYFUNCTION("""COMPUTED_VALUE"""),"-")</f>
        <v>-</v>
      </c>
    </row>
    <row r="174">
      <c r="A174" s="3" t="str">
        <f>IFERROR(__xludf.DUMMYFUNCTION("""COMPUTED_VALUE"""),"MFHRO0076")</f>
        <v>MFHRO0076</v>
      </c>
      <c r="B174" s="4">
        <f>IFERROR(__xludf.DUMMYFUNCTION("""COMPUTED_VALUE"""),45790.83309118056)</f>
        <v>45790.83309</v>
      </c>
      <c r="C174" s="3">
        <f>IFERROR(__xludf.DUMMYFUNCTION("""COMPUTED_VALUE"""),45790.872861655094)</f>
        <v>45790.87286</v>
      </c>
      <c r="D174" s="3" t="str">
        <f>IFERROR(__xludf.DUMMYFUNCTION("""COMPUTED_VALUE"""),"General")</f>
        <v>General</v>
      </c>
      <c r="E174" s="3" t="str">
        <f>IFERROR(__xludf.DUMMYFUNCTION("""COMPUTED_VALUE"""),"-")</f>
        <v>-</v>
      </c>
      <c r="F174" s="3" t="str">
        <f>IFERROR(__xludf.DUMMYFUNCTION("""COMPUTED_VALUE"""),"Pneumatic  Fitting - QS 10-8 / PN : 153039 / Festo")</f>
        <v>Pneumatic  Fitting - QS 10-8 / PN : 153039 / Festo</v>
      </c>
      <c r="G174" s="3">
        <f>IFERROR(__xludf.DUMMYFUNCTION("""COMPUTED_VALUE"""),8.0)</f>
        <v>8</v>
      </c>
      <c r="H174" s="3" t="str">
        <f>IFERROR(__xludf.DUMMYFUNCTION("""COMPUTED_VALUE"""),"Pcs")</f>
        <v>Pcs</v>
      </c>
      <c r="I174" s="3" t="str">
        <f>IFERROR(__xludf.DUMMYFUNCTION("""COMPUTED_VALUE"""),"Deliver")</f>
        <v>Deliver</v>
      </c>
      <c r="J174" s="3" t="str">
        <f>IFERROR(__xludf.DUMMYFUNCTION("""COMPUTED_VALUE"""),"-")</f>
        <v>-</v>
      </c>
      <c r="K174" s="3" t="str">
        <f>IFERROR(__xludf.DUMMYFUNCTION("""COMPUTED_VALUE"""),"-")</f>
        <v>-</v>
      </c>
    </row>
    <row r="175">
      <c r="A175" s="3" t="str">
        <f>IFERROR(__xludf.DUMMYFUNCTION("""COMPUTED_VALUE"""),"MFHRO0077")</f>
        <v>MFHRO0077</v>
      </c>
      <c r="B175" s="4">
        <f>IFERROR(__xludf.DUMMYFUNCTION("""COMPUTED_VALUE"""),45790.84259637731)</f>
        <v>45790.8426</v>
      </c>
      <c r="C175" s="3">
        <f>IFERROR(__xludf.DUMMYFUNCTION("""COMPUTED_VALUE"""),45790.87300270834)</f>
        <v>45790.873</v>
      </c>
      <c r="D175" s="3" t="str">
        <f>IFERROR(__xludf.DUMMYFUNCTION("""COMPUTED_VALUE"""),"General")</f>
        <v>General</v>
      </c>
      <c r="E175" s="3" t="str">
        <f>IFERROR(__xludf.DUMMYFUNCTION("""COMPUTED_VALUE"""),"-")</f>
        <v>-</v>
      </c>
      <c r="F175" s="3" t="str">
        <f>IFERROR(__xludf.DUMMYFUNCTION("""COMPUTED_VALUE"""),"General - Capacitor, 5 uF, 500 V, 50/60 Hz; No Brand; -; 1 pcs")</f>
        <v>General - Capacitor, 5 uF, 500 V, 50/60 Hz; No Brand; -; 1 pcs</v>
      </c>
      <c r="G175" s="3">
        <f>IFERROR(__xludf.DUMMYFUNCTION("""COMPUTED_VALUE"""),5.0)</f>
        <v>5</v>
      </c>
      <c r="H175" s="3" t="str">
        <f>IFERROR(__xludf.DUMMYFUNCTION("""COMPUTED_VALUE"""),"Pcs")</f>
        <v>Pcs</v>
      </c>
      <c r="I175" s="3" t="str">
        <f>IFERROR(__xludf.DUMMYFUNCTION("""COMPUTED_VALUE"""),"Deliver")</f>
        <v>Deliver</v>
      </c>
      <c r="J175" s="3" t="str">
        <f>IFERROR(__xludf.DUMMYFUNCTION("""COMPUTED_VALUE"""),"-")</f>
        <v>-</v>
      </c>
      <c r="K175" s="3" t="str">
        <f>IFERROR(__xludf.DUMMYFUNCTION("""COMPUTED_VALUE"""),"-")</f>
        <v>-</v>
      </c>
    </row>
    <row r="176">
      <c r="A176" s="3" t="str">
        <f>IFERROR(__xludf.DUMMYFUNCTION("""COMPUTED_VALUE"""),"MFHRO0078")</f>
        <v>MFHRO0078</v>
      </c>
      <c r="B176" s="4">
        <f>IFERROR(__xludf.DUMMYFUNCTION("""COMPUTED_VALUE"""),45790.84392987269)</f>
        <v>45790.84393</v>
      </c>
      <c r="C176" s="3">
        <f>IFERROR(__xludf.DUMMYFUNCTION("""COMPUTED_VALUE"""),45790.873360439815)</f>
        <v>45790.87336</v>
      </c>
      <c r="D176" s="3" t="str">
        <f>IFERROR(__xludf.DUMMYFUNCTION("""COMPUTED_VALUE"""),"ATK")</f>
        <v>ATK</v>
      </c>
      <c r="E176" s="3" t="str">
        <f>IFERROR(__xludf.DUMMYFUNCTION("""COMPUTED_VALUE"""),"-")</f>
        <v>-</v>
      </c>
      <c r="F176" s="3" t="str">
        <f>IFERROR(__xludf.DUMMYFUNCTION("""COMPUTED_VALUE"""),"Tinta HP 955 Black; HP; N9H85A;")</f>
        <v>Tinta HP 955 Black; HP; N9H85A;</v>
      </c>
      <c r="G176" s="3">
        <f>IFERROR(__xludf.DUMMYFUNCTION("""COMPUTED_VALUE"""),2.0)</f>
        <v>2</v>
      </c>
      <c r="H176" s="3" t="str">
        <f>IFERROR(__xludf.DUMMYFUNCTION("""COMPUTED_VALUE"""),"Pcs")</f>
        <v>Pcs</v>
      </c>
      <c r="I176" s="3" t="str">
        <f>IFERROR(__xludf.DUMMYFUNCTION("""COMPUTED_VALUE"""),"Deliver")</f>
        <v>Deliver</v>
      </c>
      <c r="J176" s="3" t="str">
        <f>IFERROR(__xludf.DUMMYFUNCTION("""COMPUTED_VALUE"""),"-")</f>
        <v>-</v>
      </c>
      <c r="K176" s="3" t="str">
        <f>IFERROR(__xludf.DUMMYFUNCTION("""COMPUTED_VALUE"""),"-")</f>
        <v>-</v>
      </c>
    </row>
    <row r="177">
      <c r="A177" s="3" t="str">
        <f>IFERROR(__xludf.DUMMYFUNCTION("""COMPUTED_VALUE"""),"MFHRO0079")</f>
        <v>MFHRO0079</v>
      </c>
      <c r="B177" s="4">
        <f>IFERROR(__xludf.DUMMYFUNCTION("""COMPUTED_VALUE"""),45790.84500601852)</f>
        <v>45790.84501</v>
      </c>
      <c r="C177" s="3">
        <f>IFERROR(__xludf.DUMMYFUNCTION("""COMPUTED_VALUE"""),45790.87349868055)</f>
        <v>45790.8735</v>
      </c>
      <c r="D177" s="3" t="str">
        <f>IFERROR(__xludf.DUMMYFUNCTION("""COMPUTED_VALUE"""),"ATK")</f>
        <v>ATK</v>
      </c>
      <c r="E177" s="3" t="str">
        <f>IFERROR(__xludf.DUMMYFUNCTION("""COMPUTED_VALUE"""),"-")</f>
        <v>-</v>
      </c>
      <c r="F177" s="3" t="str">
        <f>IFERROR(__xludf.DUMMYFUNCTION("""COMPUTED_VALUE"""),"Tinta HP 955 Cyan; HP; H9H73A;")</f>
        <v>Tinta HP 955 Cyan; HP; H9H73A;</v>
      </c>
      <c r="G177" s="3">
        <f>IFERROR(__xludf.DUMMYFUNCTION("""COMPUTED_VALUE"""),1.0)</f>
        <v>1</v>
      </c>
      <c r="H177" s="3" t="str">
        <f>IFERROR(__xludf.DUMMYFUNCTION("""COMPUTED_VALUE"""),"Pcs")</f>
        <v>Pcs</v>
      </c>
      <c r="I177" s="3" t="str">
        <f>IFERROR(__xludf.DUMMYFUNCTION("""COMPUTED_VALUE"""),"Deliver")</f>
        <v>Deliver</v>
      </c>
      <c r="J177" s="3" t="str">
        <f>IFERROR(__xludf.DUMMYFUNCTION("""COMPUTED_VALUE"""),"-")</f>
        <v>-</v>
      </c>
      <c r="K177" s="3" t="str">
        <f>IFERROR(__xludf.DUMMYFUNCTION("""COMPUTED_VALUE"""),"-")</f>
        <v>-</v>
      </c>
    </row>
    <row r="178">
      <c r="A178" s="3" t="str">
        <f>IFERROR(__xludf.DUMMYFUNCTION("""COMPUTED_VALUE"""),"MFHRO0080")</f>
        <v>MFHRO0080</v>
      </c>
      <c r="B178" s="4">
        <f>IFERROR(__xludf.DUMMYFUNCTION("""COMPUTED_VALUE"""),45790.84538503472)</f>
        <v>45790.84539</v>
      </c>
      <c r="C178" s="3">
        <f>IFERROR(__xludf.DUMMYFUNCTION("""COMPUTED_VALUE"""),45790.87362976852)</f>
        <v>45790.87363</v>
      </c>
      <c r="D178" s="3" t="str">
        <f>IFERROR(__xludf.DUMMYFUNCTION("""COMPUTED_VALUE"""),"ATK")</f>
        <v>ATK</v>
      </c>
      <c r="E178" s="3" t="str">
        <f>IFERROR(__xludf.DUMMYFUNCTION("""COMPUTED_VALUE"""),"-")</f>
        <v>-</v>
      </c>
      <c r="F178" s="3" t="str">
        <f>IFERROR(__xludf.DUMMYFUNCTION("""COMPUTED_VALUE"""),"Tinta HP 955 Magenta; HP; N9H77A;")</f>
        <v>Tinta HP 955 Magenta; HP; N9H77A;</v>
      </c>
      <c r="G178" s="3">
        <f>IFERROR(__xludf.DUMMYFUNCTION("""COMPUTED_VALUE"""),1.0)</f>
        <v>1</v>
      </c>
      <c r="H178" s="3" t="str">
        <f>IFERROR(__xludf.DUMMYFUNCTION("""COMPUTED_VALUE"""),"Pcs")</f>
        <v>Pcs</v>
      </c>
      <c r="I178" s="3" t="str">
        <f>IFERROR(__xludf.DUMMYFUNCTION("""COMPUTED_VALUE"""),"Deliver")</f>
        <v>Deliver</v>
      </c>
      <c r="J178" s="3" t="str">
        <f>IFERROR(__xludf.DUMMYFUNCTION("""COMPUTED_VALUE"""),"-")</f>
        <v>-</v>
      </c>
      <c r="K178" s="3" t="str">
        <f>IFERROR(__xludf.DUMMYFUNCTION("""COMPUTED_VALUE"""),"-")</f>
        <v>-</v>
      </c>
    </row>
    <row r="179">
      <c r="A179" s="3" t="str">
        <f>IFERROR(__xludf.DUMMYFUNCTION("""COMPUTED_VALUE"""),"MFHRO0081")</f>
        <v>MFHRO0081</v>
      </c>
      <c r="B179" s="4">
        <f>IFERROR(__xludf.DUMMYFUNCTION("""COMPUTED_VALUE"""),45790.8469003125)</f>
        <v>45790.8469</v>
      </c>
      <c r="C179" s="3">
        <f>IFERROR(__xludf.DUMMYFUNCTION("""COMPUTED_VALUE"""),45790.873793136576)</f>
        <v>45790.87379</v>
      </c>
      <c r="D179" s="3" t="str">
        <f>IFERROR(__xludf.DUMMYFUNCTION("""COMPUTED_VALUE"""),"ATK")</f>
        <v>ATK</v>
      </c>
      <c r="E179" s="3" t="str">
        <f>IFERROR(__xludf.DUMMYFUNCTION("""COMPUTED_VALUE"""),"-")</f>
        <v>-</v>
      </c>
      <c r="F179" s="3" t="str">
        <f>IFERROR(__xludf.DUMMYFUNCTION("""COMPUTED_VALUE"""),"Tinta HP 955 Yellow; HP; N9H81A;")</f>
        <v>Tinta HP 955 Yellow; HP; N9H81A;</v>
      </c>
      <c r="G179" s="3">
        <f>IFERROR(__xludf.DUMMYFUNCTION("""COMPUTED_VALUE"""),1.0)</f>
        <v>1</v>
      </c>
      <c r="H179" s="3" t="str">
        <f>IFERROR(__xludf.DUMMYFUNCTION("""COMPUTED_VALUE"""),"Pcs")</f>
        <v>Pcs</v>
      </c>
      <c r="I179" s="3" t="str">
        <f>IFERROR(__xludf.DUMMYFUNCTION("""COMPUTED_VALUE"""),"Deliver")</f>
        <v>Deliver</v>
      </c>
      <c r="J179" s="3" t="str">
        <f>IFERROR(__xludf.DUMMYFUNCTION("""COMPUTED_VALUE"""),"-")</f>
        <v>-</v>
      </c>
      <c r="K179" s="3" t="str">
        <f>IFERROR(__xludf.DUMMYFUNCTION("""COMPUTED_VALUE"""),"-")</f>
        <v>-</v>
      </c>
    </row>
    <row r="180">
      <c r="A180" s="3" t="str">
        <f>IFERROR(__xludf.DUMMYFUNCTION("""COMPUTED_VALUE"""),"MFHRO0082")</f>
        <v>MFHRO0082</v>
      </c>
      <c r="B180" s="4">
        <f>IFERROR(__xludf.DUMMYFUNCTION("""COMPUTED_VALUE"""),45790.84723920139)</f>
        <v>45790.84724</v>
      </c>
      <c r="C180" s="3">
        <f>IFERROR(__xludf.DUMMYFUNCTION("""COMPUTED_VALUE"""),45790.87392795139)</f>
        <v>45790.87393</v>
      </c>
      <c r="D180" s="3" t="str">
        <f>IFERROR(__xludf.DUMMYFUNCTION("""COMPUTED_VALUE"""),"ATK")</f>
        <v>ATK</v>
      </c>
      <c r="E180" s="3" t="str">
        <f>IFERROR(__xludf.DUMMYFUNCTION("""COMPUTED_VALUE"""),"-")</f>
        <v>-</v>
      </c>
      <c r="F180" s="3" t="str">
        <f>IFERROR(__xludf.DUMMYFUNCTION("""COMPUTED_VALUE"""),"Kertas HVS Putih A4 70 gram;")</f>
        <v>Kertas HVS Putih A4 70 gram;</v>
      </c>
      <c r="G180" s="3">
        <f>IFERROR(__xludf.DUMMYFUNCTION("""COMPUTED_VALUE"""),10.0)</f>
        <v>10</v>
      </c>
      <c r="H180" s="3" t="str">
        <f>IFERROR(__xludf.DUMMYFUNCTION("""COMPUTED_VALUE"""),"Rim")</f>
        <v>Rim</v>
      </c>
      <c r="I180" s="3" t="str">
        <f>IFERROR(__xludf.DUMMYFUNCTION("""COMPUTED_VALUE"""),"Deliver")</f>
        <v>Deliver</v>
      </c>
      <c r="J180" s="3" t="str">
        <f>IFERROR(__xludf.DUMMYFUNCTION("""COMPUTED_VALUE"""),"-")</f>
        <v>-</v>
      </c>
      <c r="K180" s="3" t="str">
        <f>IFERROR(__xludf.DUMMYFUNCTION("""COMPUTED_VALUE"""),"-")</f>
        <v>-</v>
      </c>
    </row>
    <row r="181">
      <c r="A181" s="3" t="str">
        <f>IFERROR(__xludf.DUMMYFUNCTION("""COMPUTED_VALUE"""),"MFHRO0083")</f>
        <v>MFHRO0083</v>
      </c>
      <c r="B181" s="4">
        <f>IFERROR(__xludf.DUMMYFUNCTION("""COMPUTED_VALUE"""),45790.866575706015)</f>
        <v>45790.86658</v>
      </c>
      <c r="C181" s="3">
        <f>IFERROR(__xludf.DUMMYFUNCTION("""COMPUTED_VALUE"""),45790.87417517361)</f>
        <v>45790.87418</v>
      </c>
      <c r="D181" s="3" t="str">
        <f>IFERROR(__xludf.DUMMYFUNCTION("""COMPUTED_VALUE"""),"Hot Water")</f>
        <v>Hot Water</v>
      </c>
      <c r="E181" s="3" t="str">
        <f>IFERROR(__xludf.DUMMYFUNCTION("""COMPUTED_VALUE"""),"-")</f>
        <v>-</v>
      </c>
      <c r="F181" s="3" t="str">
        <f>IFERROR(__xludf.DUMMYFUNCTION("""COMPUTED_VALUE"""),"General - Fuse Keramik Double 160A 690VAC Bussman FEE160")</f>
        <v>General - Fuse Keramik Double 160A 690VAC Bussman FEE160</v>
      </c>
      <c r="G181" s="3">
        <f>IFERROR(__xludf.DUMMYFUNCTION("""COMPUTED_VALUE"""),6.0)</f>
        <v>6</v>
      </c>
      <c r="H181" s="3" t="str">
        <f>IFERROR(__xludf.DUMMYFUNCTION("""COMPUTED_VALUE"""),"Pcs")</f>
        <v>Pcs</v>
      </c>
      <c r="I181" s="3" t="str">
        <f>IFERROR(__xludf.DUMMYFUNCTION("""COMPUTED_VALUE"""),"Deliver")</f>
        <v>Deliver</v>
      </c>
      <c r="J181" s="3" t="str">
        <f>IFERROR(__xludf.DUMMYFUNCTION("""COMPUTED_VALUE"""),"-")</f>
        <v>-</v>
      </c>
      <c r="K181" s="3" t="str">
        <f>IFERROR(__xludf.DUMMYFUNCTION("""COMPUTED_VALUE"""),"-")</f>
        <v>-</v>
      </c>
    </row>
    <row r="182">
      <c r="A182" s="3" t="str">
        <f>IFERROR(__xludf.DUMMYFUNCTION("""COMPUTED_VALUE"""),"MRNRO0015")</f>
        <v>MRNRO0015</v>
      </c>
      <c r="B182" s="4">
        <f>IFERROR(__xludf.DUMMYFUNCTION("""COMPUTED_VALUE"""),45790.95244760417)</f>
        <v>45790.95245</v>
      </c>
      <c r="C182" s="3">
        <f>IFERROR(__xludf.DUMMYFUNCTION("""COMPUTED_VALUE"""),45798.48149297453)</f>
        <v>45798.48149</v>
      </c>
      <c r="D182" s="3" t="str">
        <f>IFERROR(__xludf.DUMMYFUNCTION("""COMPUTED_VALUE"""),"Building")</f>
        <v>Building</v>
      </c>
      <c r="E182" s="3" t="str">
        <f>IFERROR(__xludf.DUMMYFUNCTION("""COMPUTED_VALUE"""),"-")</f>
        <v>-</v>
      </c>
      <c r="F182" s="3" t="str">
        <f>IFERROR(__xludf.DUMMYFUNCTION("""COMPUTED_VALUE"""),"Cat Weathershield Day Break;Dulux;Type 40544M Day Break;pack size per 20L pail")</f>
        <v>Cat Weathershield Day Break;Dulux;Type 40544M Day Break;pack size per 20L pail</v>
      </c>
      <c r="G182" s="3">
        <f>IFERROR(__xludf.DUMMYFUNCTION("""COMPUTED_VALUE"""),2.0)</f>
        <v>2</v>
      </c>
      <c r="H182" s="3" t="str">
        <f>IFERROR(__xludf.DUMMYFUNCTION("""COMPUTED_VALUE"""),"Pail")</f>
        <v>Pail</v>
      </c>
      <c r="I182" s="3" t="str">
        <f>IFERROR(__xludf.DUMMYFUNCTION("""COMPUTED_VALUE"""),"Deliver")</f>
        <v>Deliver</v>
      </c>
      <c r="J182" s="3" t="str">
        <f>IFERROR(__xludf.DUMMYFUNCTION("""COMPUTED_VALUE"""),"-")</f>
        <v>-</v>
      </c>
      <c r="K182" s="3" t="str">
        <f>IFERROR(__xludf.DUMMYFUNCTION("""COMPUTED_VALUE"""),"-")</f>
        <v>-</v>
      </c>
    </row>
    <row r="183">
      <c r="A183" s="3" t="str">
        <f>IFERROR(__xludf.DUMMYFUNCTION("""COMPUTED_VALUE"""),"MRNRO0016")</f>
        <v>MRNRO0016</v>
      </c>
      <c r="B183" s="4">
        <f>IFERROR(__xludf.DUMMYFUNCTION("""COMPUTED_VALUE"""),45790.9537302199)</f>
        <v>45790.95373</v>
      </c>
      <c r="C183" s="3">
        <f>IFERROR(__xludf.DUMMYFUNCTION("""COMPUTED_VALUE"""),45798.48128476852)</f>
        <v>45798.48128</v>
      </c>
      <c r="D183" s="3" t="str">
        <f>IFERROR(__xludf.DUMMYFUNCTION("""COMPUTED_VALUE"""),"workshop")</f>
        <v>workshop</v>
      </c>
      <c r="E183" s="3" t="str">
        <f>IFERROR(__xludf.DUMMYFUNCTION("""COMPUTED_VALUE"""),"-")</f>
        <v>-</v>
      </c>
      <c r="F183" s="3" t="str">
        <f>IFERROR(__xludf.DUMMYFUNCTION("""COMPUTED_VALUE"""),"General - Tungsten Electrodes dia 1.6 mm; No Brand; -; 1 pc")</f>
        <v>General - Tungsten Electrodes dia 1.6 mm; No Brand; -; 1 pc</v>
      </c>
      <c r="G183" s="3">
        <f>IFERROR(__xludf.DUMMYFUNCTION("""COMPUTED_VALUE"""),1.0)</f>
        <v>1</v>
      </c>
      <c r="H183" s="3" t="str">
        <f>IFERROR(__xludf.DUMMYFUNCTION("""COMPUTED_VALUE"""),"pack")</f>
        <v>pack</v>
      </c>
      <c r="I183" s="3" t="str">
        <f>IFERROR(__xludf.DUMMYFUNCTION("""COMPUTED_VALUE"""),"Deliver")</f>
        <v>Deliver</v>
      </c>
      <c r="J183" s="3" t="str">
        <f>IFERROR(__xludf.DUMMYFUNCTION("""COMPUTED_VALUE"""),"-")</f>
        <v>-</v>
      </c>
      <c r="K183" s="3" t="str">
        <f>IFERROR(__xludf.DUMMYFUNCTION("""COMPUTED_VALUE"""),"-")</f>
        <v>-</v>
      </c>
    </row>
    <row r="184">
      <c r="A184" s="3" t="str">
        <f>IFERROR(__xludf.DUMMYFUNCTION("""COMPUTED_VALUE"""),"MRNRO0017")</f>
        <v>MRNRO0017</v>
      </c>
      <c r="B184" s="4">
        <f>IFERROR(__xludf.DUMMYFUNCTION("""COMPUTED_VALUE"""),45790.95895934027)</f>
        <v>45790.95896</v>
      </c>
      <c r="C184" s="3">
        <f>IFERROR(__xludf.DUMMYFUNCTION("""COMPUTED_VALUE"""),45798.48096782407)</f>
        <v>45798.48097</v>
      </c>
      <c r="D184" s="3" t="str">
        <f>IFERROR(__xludf.DUMMYFUNCTION("""COMPUTED_VALUE"""),"AHU")</f>
        <v>AHU</v>
      </c>
      <c r="E184" s="3" t="str">
        <f>IFERROR(__xludf.DUMMYFUNCTION("""COMPUTED_VALUE"""),"-")</f>
        <v>-</v>
      </c>
      <c r="F184" s="3" t="str">
        <f>IFERROR(__xludf.DUMMYFUNCTION("""COMPUTED_VALUE"""),"LEM ISOLASI, ARMAFLEX, 1 CAN")</f>
        <v>LEM ISOLASI, ARMAFLEX, 1 CAN</v>
      </c>
      <c r="G184" s="3">
        <f>IFERROR(__xludf.DUMMYFUNCTION("""COMPUTED_VALUE"""),3.0)</f>
        <v>3</v>
      </c>
      <c r="H184" s="3" t="str">
        <f>IFERROR(__xludf.DUMMYFUNCTION("""COMPUTED_VALUE"""),"klg")</f>
        <v>klg</v>
      </c>
      <c r="I184" s="3" t="str">
        <f>IFERROR(__xludf.DUMMYFUNCTION("""COMPUTED_VALUE"""),"Deliver")</f>
        <v>Deliver</v>
      </c>
      <c r="J184" s="3" t="str">
        <f>IFERROR(__xludf.DUMMYFUNCTION("""COMPUTED_VALUE"""),"-")</f>
        <v>-</v>
      </c>
      <c r="K184" s="3" t="str">
        <f>IFERROR(__xludf.DUMMYFUNCTION("""COMPUTED_VALUE"""),"-")</f>
        <v>-</v>
      </c>
    </row>
    <row r="185">
      <c r="A185" s="3" t="str">
        <f>IFERROR(__xludf.DUMMYFUNCTION("""COMPUTED_VALUE"""),"MRNRO0018")</f>
        <v>MRNRO0018</v>
      </c>
      <c r="B185" s="4">
        <f>IFERROR(__xludf.DUMMYFUNCTION("""COMPUTED_VALUE"""),45790.972168576394)</f>
        <v>45790.97217</v>
      </c>
      <c r="C185" s="3">
        <f>IFERROR(__xludf.DUMMYFUNCTION("""COMPUTED_VALUE"""),45798.480753125)</f>
        <v>45798.48075</v>
      </c>
      <c r="D185" s="3" t="str">
        <f>IFERROR(__xludf.DUMMYFUNCTION("""COMPUTED_VALUE"""),"WWTP")</f>
        <v>WWTP</v>
      </c>
      <c r="E185" s="3" t="str">
        <f>IFERROR(__xludf.DUMMYFUNCTION("""COMPUTED_VALUE"""),"EJO/2025/04/56")</f>
        <v>EJO/2025/04/56</v>
      </c>
      <c r="F185" s="3" t="str">
        <f>IFERROR(__xludf.DUMMYFUNCTION("""COMPUTED_VALUE"""),"Ball Valve PVC 1""")</f>
        <v>Ball Valve PVC 1"</v>
      </c>
      <c r="G185" s="3">
        <f>IFERROR(__xludf.DUMMYFUNCTION("""COMPUTED_VALUE"""),2.0)</f>
        <v>2</v>
      </c>
      <c r="H185" s="3" t="str">
        <f>IFERROR(__xludf.DUMMYFUNCTION("""COMPUTED_VALUE"""),"pcs")</f>
        <v>pcs</v>
      </c>
      <c r="I185" s="3" t="str">
        <f>IFERROR(__xludf.DUMMYFUNCTION("""COMPUTED_VALUE"""),"Deliver")</f>
        <v>Deliver</v>
      </c>
      <c r="J185" s="3" t="str">
        <f>IFERROR(__xludf.DUMMYFUNCTION("""COMPUTED_VALUE"""),"-")</f>
        <v>-</v>
      </c>
      <c r="K185" s="3" t="str">
        <f>IFERROR(__xludf.DUMMYFUNCTION("""COMPUTED_VALUE"""),"-")</f>
        <v>-</v>
      </c>
    </row>
    <row r="186">
      <c r="A186" s="3" t="str">
        <f>IFERROR(__xludf.DUMMYFUNCTION("""COMPUTED_VALUE"""),"MRNRO0019")</f>
        <v>MRNRO0019</v>
      </c>
      <c r="B186" s="4">
        <f>IFERROR(__xludf.DUMMYFUNCTION("""COMPUTED_VALUE"""),45790.9826665162)</f>
        <v>45790.98267</v>
      </c>
      <c r="C186" s="3">
        <f>IFERROR(__xludf.DUMMYFUNCTION("""COMPUTED_VALUE"""),45798.48055604167)</f>
        <v>45798.48056</v>
      </c>
      <c r="D186" s="3" t="str">
        <f>IFERROR(__xludf.DUMMYFUNCTION("""COMPUTED_VALUE"""),"Flange")</f>
        <v>Flange</v>
      </c>
      <c r="E186" s="3" t="str">
        <f>IFERROR(__xludf.DUMMYFUNCTION("""COMPUTED_VALUE"""),"-")</f>
        <v>-</v>
      </c>
      <c r="F186" s="3" t="str">
        <f>IFERROR(__xludf.DUMMYFUNCTION("""COMPUTED_VALUE"""),"LIQUID GASKET, THREE BOND")</f>
        <v>LIQUID GASKET, THREE BOND</v>
      </c>
      <c r="G186" s="3">
        <f>IFERROR(__xludf.DUMMYFUNCTION("""COMPUTED_VALUE"""),2.0)</f>
        <v>2</v>
      </c>
      <c r="H186" s="3" t="str">
        <f>IFERROR(__xludf.DUMMYFUNCTION("""COMPUTED_VALUE"""),"pcs")</f>
        <v>pcs</v>
      </c>
      <c r="I186" s="3" t="str">
        <f>IFERROR(__xludf.DUMMYFUNCTION("""COMPUTED_VALUE"""),"Deliver")</f>
        <v>Deliver</v>
      </c>
      <c r="J186" s="3" t="str">
        <f>IFERROR(__xludf.DUMMYFUNCTION("""COMPUTED_VALUE"""),"-")</f>
        <v>-</v>
      </c>
      <c r="K186" s="3" t="str">
        <f>IFERROR(__xludf.DUMMYFUNCTION("""COMPUTED_VALUE"""),"-")</f>
        <v>-</v>
      </c>
    </row>
    <row r="187">
      <c r="A187" s="3" t="str">
        <f>IFERROR(__xludf.DUMMYFUNCTION("""COMPUTED_VALUE"""),"MRNRO0020")</f>
        <v>MRNRO0020</v>
      </c>
      <c r="B187" s="4">
        <f>IFERROR(__xludf.DUMMYFUNCTION("""COMPUTED_VALUE"""),45790.984676249995)</f>
        <v>45790.98468</v>
      </c>
      <c r="C187" s="3">
        <f>IFERROR(__xludf.DUMMYFUNCTION("""COMPUTED_VALUE"""),45798.49195420139)</f>
        <v>45798.49195</v>
      </c>
      <c r="D187" s="3" t="str">
        <f>IFERROR(__xludf.DUMMYFUNCTION("""COMPUTED_VALUE"""),"Dinding")</f>
        <v>Dinding</v>
      </c>
      <c r="E187" s="3" t="str">
        <f>IFERROR(__xludf.DUMMYFUNCTION("""COMPUTED_VALUE"""),"-")</f>
        <v>-</v>
      </c>
      <c r="F187" s="3" t="str">
        <f>IFERROR(__xludf.DUMMYFUNCTION("""COMPUTED_VALUE"""),"Fisher S 8 (1 box : 100 pcs)")</f>
        <v>Fisher S 8 (1 box : 100 pcs)</v>
      </c>
      <c r="G187" s="3">
        <f>IFERROR(__xludf.DUMMYFUNCTION("""COMPUTED_VALUE"""),2.0)</f>
        <v>2</v>
      </c>
      <c r="H187" s="3" t="str">
        <f>IFERROR(__xludf.DUMMYFUNCTION("""COMPUTED_VALUE"""),"box")</f>
        <v>box</v>
      </c>
      <c r="I187" s="3" t="str">
        <f>IFERROR(__xludf.DUMMYFUNCTION("""COMPUTED_VALUE"""),"Deliver")</f>
        <v>Deliver</v>
      </c>
      <c r="J187" s="3" t="str">
        <f>IFERROR(__xludf.DUMMYFUNCTION("""COMPUTED_VALUE"""),"-")</f>
        <v>-</v>
      </c>
      <c r="K187" s="3" t="str">
        <f>IFERROR(__xludf.DUMMYFUNCTION("""COMPUTED_VALUE"""),"-")</f>
        <v>-</v>
      </c>
    </row>
    <row r="188">
      <c r="A188" s="3" t="str">
        <f>IFERROR(__xludf.DUMMYFUNCTION("""COMPUTED_VALUE"""),"ROSRO0006")</f>
        <v>ROSRO0006</v>
      </c>
      <c r="B188" s="4">
        <f>IFERROR(__xludf.DUMMYFUNCTION("""COMPUTED_VALUE"""),45791.396829548605)</f>
        <v>45791.39683</v>
      </c>
      <c r="C188" s="3">
        <f>IFERROR(__xludf.DUMMYFUNCTION("""COMPUTED_VALUE"""),45812.57078181713)</f>
        <v>45812.57078</v>
      </c>
      <c r="D188" s="3" t="str">
        <f>IFERROR(__xludf.DUMMYFUNCTION("""COMPUTED_VALUE"""),"Washing")</f>
        <v>Washing</v>
      </c>
      <c r="E188" s="3" t="str">
        <f>IFERROR(__xludf.DUMMYFUNCTION("""COMPUTED_VALUE"""),"-")</f>
        <v>-</v>
      </c>
      <c r="F188" s="3" t="str">
        <f>IFERROR(__xludf.DUMMYFUNCTION("""COMPUTED_VALUE"""),"General - Pneumatic pincher silicone cover sleeve c/n 15927; SMC; MHZJ2-J20S; 1 Pc")</f>
        <v>General - Pneumatic pincher silicone cover sleeve c/n 15927; SMC; MHZJ2-J20S; 1 Pc</v>
      </c>
      <c r="G188" s="3">
        <f>IFERROR(__xludf.DUMMYFUNCTION("""COMPUTED_VALUE"""),20.0)</f>
        <v>20</v>
      </c>
      <c r="H188" s="3" t="str">
        <f>IFERROR(__xludf.DUMMYFUNCTION("""COMPUTED_VALUE"""),"pcs")</f>
        <v>pcs</v>
      </c>
      <c r="I188" s="3" t="str">
        <f>IFERROR(__xludf.DUMMYFUNCTION("""COMPUTED_VALUE"""),"Deliver")</f>
        <v>Deliver</v>
      </c>
      <c r="J188" s="3" t="str">
        <f>IFERROR(__xludf.DUMMYFUNCTION("""COMPUTED_VALUE"""),"-")</f>
        <v>-</v>
      </c>
      <c r="K188" s="3" t="str">
        <f>IFERROR(__xludf.DUMMYFUNCTION("""COMPUTED_VALUE"""),"-")</f>
        <v>-</v>
      </c>
    </row>
    <row r="189">
      <c r="A189" s="3" t="str">
        <f>IFERROR(__xludf.DUMMYFUNCTION("""COMPUTED_VALUE"""),"RIARO0036")</f>
        <v>RIARO0036</v>
      </c>
      <c r="B189" s="4">
        <f>IFERROR(__xludf.DUMMYFUNCTION("""COMPUTED_VALUE"""),45798.48967328704)</f>
        <v>45798.48967</v>
      </c>
      <c r="C189" s="3">
        <f>IFERROR(__xludf.DUMMYFUNCTION("""COMPUTED_VALUE"""),45798.49798318287)</f>
        <v>45798.49798</v>
      </c>
      <c r="D189" s="3" t="str">
        <f>IFERROR(__xludf.DUMMYFUNCTION("""COMPUTED_VALUE"""),"Alarm System")</f>
        <v>Alarm System</v>
      </c>
      <c r="E189" s="3" t="str">
        <f>IFERROR(__xludf.DUMMYFUNCTION("""COMPUTED_VALUE"""),"-")</f>
        <v>-</v>
      </c>
      <c r="F189" s="3" t="str">
        <f>IFERROR(__xludf.DUMMYFUNCTION("""COMPUTED_VALUE"""),"Temperature Controller - TK4S- 24RN 100-240 VAC AUTONICS; ; ;")</f>
        <v>Temperature Controller - TK4S- 24RN 100-240 VAC AUTONICS; ; ;</v>
      </c>
      <c r="G189" s="3">
        <f>IFERROR(__xludf.DUMMYFUNCTION("""COMPUTED_VALUE"""),3.0)</f>
        <v>3</v>
      </c>
      <c r="H189" s="3" t="str">
        <f>IFERROR(__xludf.DUMMYFUNCTION("""COMPUTED_VALUE"""),"Pcs")</f>
        <v>Pcs</v>
      </c>
      <c r="I189" s="3" t="str">
        <f>IFERROR(__xludf.DUMMYFUNCTION("""COMPUTED_VALUE"""),"Deliver")</f>
        <v>Deliver</v>
      </c>
      <c r="J189" s="3" t="str">
        <f>IFERROR(__xludf.DUMMYFUNCTION("""COMPUTED_VALUE"""),"-")</f>
        <v>-</v>
      </c>
      <c r="K189" s="3" t="str">
        <f>IFERROR(__xludf.DUMMYFUNCTION("""COMPUTED_VALUE"""),"-")</f>
        <v>-</v>
      </c>
    </row>
    <row r="190">
      <c r="A190" s="3" t="str">
        <f>IFERROR(__xludf.DUMMYFUNCTION("""COMPUTED_VALUE"""),"RIARO0037")</f>
        <v>RIARO0037</v>
      </c>
      <c r="B190" s="4">
        <f>IFERROR(__xludf.DUMMYFUNCTION("""COMPUTED_VALUE"""),45800.69458466435)</f>
        <v>45800.69458</v>
      </c>
      <c r="C190" s="3">
        <f>IFERROR(__xludf.DUMMYFUNCTION("""COMPUTED_VALUE"""),45803.35712858796)</f>
        <v>45803.35713</v>
      </c>
      <c r="D190" s="3" t="str">
        <f>IFERROR(__xludf.DUMMYFUNCTION("""COMPUTED_VALUE"""),"Alarm System")</f>
        <v>Alarm System</v>
      </c>
      <c r="E190" s="3" t="str">
        <f>IFERROR(__xludf.DUMMYFUNCTION("""COMPUTED_VALUE"""),"-")</f>
        <v>-</v>
      </c>
      <c r="F190" s="3" t="str">
        <f>IFERROR(__xludf.DUMMYFUNCTION("""COMPUTED_VALUE"""),"Timer + Socket Omron 43BA-A8 220 VAC; ; ;")</f>
        <v>Timer + Socket Omron 43BA-A8 220 VAC; ; ;</v>
      </c>
      <c r="G190" s="3">
        <f>IFERROR(__xludf.DUMMYFUNCTION("""COMPUTED_VALUE"""),5.0)</f>
        <v>5</v>
      </c>
      <c r="H190" s="3" t="str">
        <f>IFERROR(__xludf.DUMMYFUNCTION("""COMPUTED_VALUE"""),"Set")</f>
        <v>Set</v>
      </c>
      <c r="I190" s="3" t="str">
        <f>IFERROR(__xludf.DUMMYFUNCTION("""COMPUTED_VALUE"""),"Deliver")</f>
        <v>Deliver</v>
      </c>
      <c r="J190" s="3" t="str">
        <f>IFERROR(__xludf.DUMMYFUNCTION("""COMPUTED_VALUE"""),"-")</f>
        <v>-</v>
      </c>
      <c r="K190" s="3" t="str">
        <f>IFERROR(__xludf.DUMMYFUNCTION("""COMPUTED_VALUE"""),"-")</f>
        <v>-</v>
      </c>
    </row>
    <row r="191">
      <c r="A191" s="3" t="str">
        <f>IFERROR(__xludf.DUMMYFUNCTION("""COMPUTED_VALUE"""),"MFHRO0084")</f>
        <v>MFHRO0084</v>
      </c>
      <c r="B191" s="4">
        <f>IFERROR(__xludf.DUMMYFUNCTION("""COMPUTED_VALUE"""),45802.55794943286)</f>
        <v>45802.55795</v>
      </c>
      <c r="C191" s="3">
        <f>IFERROR(__xludf.DUMMYFUNCTION("""COMPUTED_VALUE"""),45802.66978880787)</f>
        <v>45802.66979</v>
      </c>
      <c r="D191" s="3" t="str">
        <f>IFERROR(__xludf.DUMMYFUNCTION("""COMPUTED_VALUE"""),"Tools")</f>
        <v>Tools</v>
      </c>
      <c r="E191" s="3" t="str">
        <f>IFERROR(__xludf.DUMMYFUNCTION("""COMPUTED_VALUE"""),"-")</f>
        <v>-</v>
      </c>
      <c r="F191" s="3" t="str">
        <f>IFERROR(__xludf.DUMMYFUNCTION("""COMPUTED_VALUE"""),"Driver / Bor Cordless Impact Drill Baterai 18V; Bosch; GSB183-LI; per set (Bor dan 1 x baterai GBA 18V 2.0Ah)")</f>
        <v>Driver / Bor Cordless Impact Drill Baterai 18V; Bosch; GSB183-LI; per set (Bor dan 1 x baterai GBA 18V 2.0Ah)</v>
      </c>
      <c r="G191" s="3">
        <f>IFERROR(__xludf.DUMMYFUNCTION("""COMPUTED_VALUE"""),1.0)</f>
        <v>1</v>
      </c>
      <c r="H191" s="3" t="str">
        <f>IFERROR(__xludf.DUMMYFUNCTION("""COMPUTED_VALUE"""),"Unt")</f>
        <v>Unt</v>
      </c>
      <c r="I191" s="3" t="str">
        <f>IFERROR(__xludf.DUMMYFUNCTION("""COMPUTED_VALUE"""),"Deliver")</f>
        <v>Deliver</v>
      </c>
      <c r="J191" s="3" t="str">
        <f>IFERROR(__xludf.DUMMYFUNCTION("""COMPUTED_VALUE"""),"-")</f>
        <v>-</v>
      </c>
      <c r="K191" s="3" t="str">
        <f>IFERROR(__xludf.DUMMYFUNCTION("""COMPUTED_VALUE"""),"-")</f>
        <v>-</v>
      </c>
    </row>
    <row r="192">
      <c r="A192" s="3" t="str">
        <f>IFERROR(__xludf.DUMMYFUNCTION("""COMPUTED_VALUE"""),"MFHRO0085")</f>
        <v>MFHRO0085</v>
      </c>
      <c r="B192" s="4">
        <f>IFERROR(__xludf.DUMMYFUNCTION("""COMPUTED_VALUE"""),45802.56100476852)</f>
        <v>45802.561</v>
      </c>
      <c r="C192" s="3">
        <f>IFERROR(__xludf.DUMMYFUNCTION("""COMPUTED_VALUE"""),45802.66992072917)</f>
        <v>45802.66992</v>
      </c>
      <c r="D192" s="3" t="str">
        <f>IFERROR(__xludf.DUMMYFUNCTION("""COMPUTED_VALUE"""),"General")</f>
        <v>General</v>
      </c>
      <c r="E192" s="3" t="str">
        <f>IFERROR(__xludf.DUMMYFUNCTION("""COMPUTED_VALUE"""),"-")</f>
        <v>-</v>
      </c>
      <c r="F192" s="3" t="str">
        <f>IFERROR(__xludf.DUMMYFUNCTION("""COMPUTED_VALUE"""),"Silicone Sealant High Temp Red; ; ;")</f>
        <v>Silicone Sealant High Temp Red; ; ;</v>
      </c>
      <c r="G192" s="3">
        <f>IFERROR(__xludf.DUMMYFUNCTION("""COMPUTED_VALUE"""),5.0)</f>
        <v>5</v>
      </c>
      <c r="H192" s="3" t="str">
        <f>IFERROR(__xludf.DUMMYFUNCTION("""COMPUTED_VALUE"""),"Pcs")</f>
        <v>Pcs</v>
      </c>
      <c r="I192" s="3" t="str">
        <f>IFERROR(__xludf.DUMMYFUNCTION("""COMPUTED_VALUE"""),"Deliver")</f>
        <v>Deliver</v>
      </c>
      <c r="J192" s="3" t="str">
        <f>IFERROR(__xludf.DUMMYFUNCTION("""COMPUTED_VALUE"""),"-")</f>
        <v>-</v>
      </c>
      <c r="K192" s="3" t="str">
        <f>IFERROR(__xludf.DUMMYFUNCTION("""COMPUTED_VALUE"""),"-")</f>
        <v>-</v>
      </c>
    </row>
    <row r="193">
      <c r="A193" s="3" t="str">
        <f>IFERROR(__xludf.DUMMYFUNCTION("""COMPUTED_VALUE"""),"MFHRO0086")</f>
        <v>MFHRO0086</v>
      </c>
      <c r="B193" s="4">
        <f>IFERROR(__xludf.DUMMYFUNCTION("""COMPUTED_VALUE"""),45802.56372157407)</f>
        <v>45802.56372</v>
      </c>
      <c r="C193" s="3">
        <f>IFERROR(__xludf.DUMMYFUNCTION("""COMPUTED_VALUE"""),45802.67013875)</f>
        <v>45802.67014</v>
      </c>
      <c r="D193" s="3" t="str">
        <f>IFERROR(__xludf.DUMMYFUNCTION("""COMPUTED_VALUE"""),"General")</f>
        <v>General</v>
      </c>
      <c r="E193" s="3" t="str">
        <f>IFERROR(__xludf.DUMMYFUNCTION("""COMPUTED_VALUE"""),"-")</f>
        <v>-</v>
      </c>
      <c r="F193" s="3" t="str">
        <f>IFERROR(__xludf.DUMMYFUNCTION("""COMPUTED_VALUE"""),"Cleaner - Contact Cleaner CRC CO 2016; No Brand; -; 500ml/Botol")</f>
        <v>Cleaner - Contact Cleaner CRC CO 2016; No Brand; -; 500ml/Botol</v>
      </c>
      <c r="G193" s="3">
        <f>IFERROR(__xludf.DUMMYFUNCTION("""COMPUTED_VALUE"""),3.0)</f>
        <v>3</v>
      </c>
      <c r="H193" s="3" t="str">
        <f>IFERROR(__xludf.DUMMYFUNCTION("""COMPUTED_VALUE"""),"pcs")</f>
        <v>pcs</v>
      </c>
      <c r="I193" s="3" t="str">
        <f>IFERROR(__xludf.DUMMYFUNCTION("""COMPUTED_VALUE"""),"Deliver")</f>
        <v>Deliver</v>
      </c>
      <c r="J193" s="3" t="str">
        <f>IFERROR(__xludf.DUMMYFUNCTION("""COMPUTED_VALUE"""),"-")</f>
        <v>-</v>
      </c>
      <c r="K193" s="3" t="str">
        <f>IFERROR(__xludf.DUMMYFUNCTION("""COMPUTED_VALUE"""),"-")</f>
        <v>-</v>
      </c>
    </row>
    <row r="194">
      <c r="A194" s="3" t="str">
        <f>IFERROR(__xludf.DUMMYFUNCTION("""COMPUTED_VALUE"""),"MFHRO0087")</f>
        <v>MFHRO0087</v>
      </c>
      <c r="B194" s="4">
        <f>IFERROR(__xludf.DUMMYFUNCTION("""COMPUTED_VALUE"""),45802.57701783565)</f>
        <v>45802.57702</v>
      </c>
      <c r="C194" s="3">
        <f>IFERROR(__xludf.DUMMYFUNCTION("""COMPUTED_VALUE"""),45802.670303287035)</f>
        <v>45802.6703</v>
      </c>
      <c r="D194" s="3" t="str">
        <f>IFERROR(__xludf.DUMMYFUNCTION("""COMPUTED_VALUE"""),"General")</f>
        <v>General</v>
      </c>
      <c r="E194" s="3" t="str">
        <f>IFERROR(__xludf.DUMMYFUNCTION("""COMPUTED_VALUE"""),"-")</f>
        <v>-</v>
      </c>
      <c r="F194" s="3" t="str">
        <f>IFERROR(__xludf.DUMMYFUNCTION("""COMPUTED_VALUE"""),"General - Seal Ferrule Teflon 1 1/2inch; No Brand; -; 1 pcs")</f>
        <v>General - Seal Ferrule Teflon 1 1/2inch; No Brand; -; 1 pcs</v>
      </c>
      <c r="G194" s="3">
        <f>IFERROR(__xludf.DUMMYFUNCTION("""COMPUTED_VALUE"""),5.0)</f>
        <v>5</v>
      </c>
      <c r="H194" s="3" t="str">
        <f>IFERROR(__xludf.DUMMYFUNCTION("""COMPUTED_VALUE"""),"Pcs")</f>
        <v>Pcs</v>
      </c>
      <c r="I194" s="3" t="str">
        <f>IFERROR(__xludf.DUMMYFUNCTION("""COMPUTED_VALUE"""),"Deliver")</f>
        <v>Deliver</v>
      </c>
      <c r="J194" s="3" t="str">
        <f>IFERROR(__xludf.DUMMYFUNCTION("""COMPUTED_VALUE"""),"-")</f>
        <v>-</v>
      </c>
      <c r="K194" s="3" t="str">
        <f>IFERROR(__xludf.DUMMYFUNCTION("""COMPUTED_VALUE"""),"-")</f>
        <v>-</v>
      </c>
    </row>
    <row r="195">
      <c r="A195" s="3" t="str">
        <f>IFERROR(__xludf.DUMMYFUNCTION("""COMPUTED_VALUE"""),"MFHRO0088")</f>
        <v>MFHRO0088</v>
      </c>
      <c r="B195" s="4">
        <f>IFERROR(__xludf.DUMMYFUNCTION("""COMPUTED_VALUE"""),45802.57812733796)</f>
        <v>45802.57813</v>
      </c>
      <c r="C195" s="3">
        <f>IFERROR(__xludf.DUMMYFUNCTION("""COMPUTED_VALUE"""),45802.67044800926)</f>
        <v>45802.67045</v>
      </c>
      <c r="D195" s="3" t="str">
        <f>IFERROR(__xludf.DUMMYFUNCTION("""COMPUTED_VALUE"""),"General")</f>
        <v>General</v>
      </c>
      <c r="E195" s="3" t="str">
        <f>IFERROR(__xludf.DUMMYFUNCTION("""COMPUTED_VALUE"""),"-")</f>
        <v>-</v>
      </c>
      <c r="F195" s="3" t="str">
        <f>IFERROR(__xludf.DUMMYFUNCTION("""COMPUTED_VALUE"""),"General - Seal Ferrule Teflon 1inch; No Brand; -; 1 pcs")</f>
        <v>General - Seal Ferrule Teflon 1inch; No Brand; -; 1 pcs</v>
      </c>
      <c r="G195" s="3">
        <f>IFERROR(__xludf.DUMMYFUNCTION("""COMPUTED_VALUE"""),5.0)</f>
        <v>5</v>
      </c>
      <c r="H195" s="3" t="str">
        <f>IFERROR(__xludf.DUMMYFUNCTION("""COMPUTED_VALUE"""),"Pcs")</f>
        <v>Pcs</v>
      </c>
      <c r="I195" s="3" t="str">
        <f>IFERROR(__xludf.DUMMYFUNCTION("""COMPUTED_VALUE"""),"Deliver")</f>
        <v>Deliver</v>
      </c>
      <c r="J195" s="3" t="str">
        <f>IFERROR(__xludf.DUMMYFUNCTION("""COMPUTED_VALUE"""),"-")</f>
        <v>-</v>
      </c>
      <c r="K195" s="3" t="str">
        <f>IFERROR(__xludf.DUMMYFUNCTION("""COMPUTED_VALUE"""),"-")</f>
        <v>-</v>
      </c>
    </row>
    <row r="196">
      <c r="A196" s="3" t="str">
        <f>IFERROR(__xludf.DUMMYFUNCTION("""COMPUTED_VALUE"""),"MFHRO0089")</f>
        <v>MFHRO0089</v>
      </c>
      <c r="B196" s="4">
        <f>IFERROR(__xludf.DUMMYFUNCTION("""COMPUTED_VALUE"""),45802.57867606482)</f>
        <v>45802.57868</v>
      </c>
      <c r="C196" s="3">
        <f>IFERROR(__xludf.DUMMYFUNCTION("""COMPUTED_VALUE"""),45802.67058664352)</f>
        <v>45802.67059</v>
      </c>
      <c r="D196" s="3" t="str">
        <f>IFERROR(__xludf.DUMMYFUNCTION("""COMPUTED_VALUE"""),"General")</f>
        <v>General</v>
      </c>
      <c r="E196" s="3" t="str">
        <f>IFERROR(__xludf.DUMMYFUNCTION("""COMPUTED_VALUE"""),"-")</f>
        <v>-</v>
      </c>
      <c r="F196" s="3" t="str">
        <f>IFERROR(__xludf.DUMMYFUNCTION("""COMPUTED_VALUE"""),"General - Seal Ferrule Teflon 3/4inch; No Brand; -; 1 pcs")</f>
        <v>General - Seal Ferrule Teflon 3/4inch; No Brand; -; 1 pcs</v>
      </c>
      <c r="G196" s="3">
        <f>IFERROR(__xludf.DUMMYFUNCTION("""COMPUTED_VALUE"""),10.0)</f>
        <v>10</v>
      </c>
      <c r="H196" s="3" t="str">
        <f>IFERROR(__xludf.DUMMYFUNCTION("""COMPUTED_VALUE"""),"Pcs")</f>
        <v>Pcs</v>
      </c>
      <c r="I196" s="3" t="str">
        <f>IFERROR(__xludf.DUMMYFUNCTION("""COMPUTED_VALUE"""),"Deliver")</f>
        <v>Deliver</v>
      </c>
      <c r="J196" s="3" t="str">
        <f>IFERROR(__xludf.DUMMYFUNCTION("""COMPUTED_VALUE"""),"-")</f>
        <v>-</v>
      </c>
      <c r="K196" s="3" t="str">
        <f>IFERROR(__xludf.DUMMYFUNCTION("""COMPUTED_VALUE"""),"-")</f>
        <v>-</v>
      </c>
    </row>
    <row r="197">
      <c r="A197" s="3" t="str">
        <f>IFERROR(__xludf.DUMMYFUNCTION("""COMPUTED_VALUE"""),"MFHRO0090")</f>
        <v>MFHRO0090</v>
      </c>
      <c r="B197" s="4">
        <f>IFERROR(__xludf.DUMMYFUNCTION("""COMPUTED_VALUE"""),45802.57990893518)</f>
        <v>45802.57991</v>
      </c>
      <c r="C197" s="3">
        <f>IFERROR(__xludf.DUMMYFUNCTION("""COMPUTED_VALUE"""),45802.67072167824)</f>
        <v>45802.67072</v>
      </c>
      <c r="D197" s="3" t="str">
        <f>IFERROR(__xludf.DUMMYFUNCTION("""COMPUTED_VALUE"""),"Helium Leak Detector")</f>
        <v>Helium Leak Detector</v>
      </c>
      <c r="E197" s="3" t="str">
        <f>IFERROR(__xludf.DUMMYFUNCTION("""COMPUTED_VALUE"""),"-")</f>
        <v>-</v>
      </c>
      <c r="F197" s="3" t="str">
        <f>IFERROR(__xludf.DUMMYFUNCTION("""COMPUTED_VALUE"""),"General - Air Gun 10 Inch; Tekiro; -; 1 pc")</f>
        <v>General - Air Gun 10 Inch; Tekiro; -; 1 pc</v>
      </c>
      <c r="G197" s="3">
        <f>IFERROR(__xludf.DUMMYFUNCTION("""COMPUTED_VALUE"""),1.0)</f>
        <v>1</v>
      </c>
      <c r="H197" s="3" t="str">
        <f>IFERROR(__xludf.DUMMYFUNCTION("""COMPUTED_VALUE"""),"Pcs")</f>
        <v>Pcs</v>
      </c>
      <c r="I197" s="3" t="str">
        <f>IFERROR(__xludf.DUMMYFUNCTION("""COMPUTED_VALUE"""),"Deliver")</f>
        <v>Deliver</v>
      </c>
      <c r="J197" s="3" t="str">
        <f>IFERROR(__xludf.DUMMYFUNCTION("""COMPUTED_VALUE"""),"-")</f>
        <v>-</v>
      </c>
      <c r="K197" s="3" t="str">
        <f>IFERROR(__xludf.DUMMYFUNCTION("""COMPUTED_VALUE"""),"-")</f>
        <v>-</v>
      </c>
    </row>
    <row r="198">
      <c r="A198" s="3" t="str">
        <f>IFERROR(__xludf.DUMMYFUNCTION("""COMPUTED_VALUE"""),"MFHRO0091")</f>
        <v>MFHRO0091</v>
      </c>
      <c r="B198" s="4">
        <f>IFERROR(__xludf.DUMMYFUNCTION("""COMPUTED_VALUE"""),45802.58307324074)</f>
        <v>45802.58307</v>
      </c>
      <c r="C198" s="3">
        <f>IFERROR(__xludf.DUMMYFUNCTION("""COMPUTED_VALUE"""),45802.67084739583)</f>
        <v>45802.67085</v>
      </c>
      <c r="D198" s="3" t="str">
        <f>IFERROR(__xludf.DUMMYFUNCTION("""COMPUTED_VALUE"""),"Helium Leak Detector")</f>
        <v>Helium Leak Detector</v>
      </c>
      <c r="E198" s="3" t="str">
        <f>IFERROR(__xludf.DUMMYFUNCTION("""COMPUTED_VALUE"""),"-")</f>
        <v>-</v>
      </c>
      <c r="F198" s="3" t="str">
        <f>IFERROR(__xludf.DUMMYFUNCTION("""COMPUTED_VALUE"""),"General - Recoil Spiral Hose dia. 5 x 8mm x 12 meter; No Brand; -; 1 pc")</f>
        <v>General - Recoil Spiral Hose dia. 5 x 8mm x 12 meter; No Brand; -; 1 pc</v>
      </c>
      <c r="G198" s="3">
        <f>IFERROR(__xludf.DUMMYFUNCTION("""COMPUTED_VALUE"""),1.0)</f>
        <v>1</v>
      </c>
      <c r="H198" s="3" t="str">
        <f>IFERROR(__xludf.DUMMYFUNCTION("""COMPUTED_VALUE"""),"Pcs")</f>
        <v>Pcs</v>
      </c>
      <c r="I198" s="3" t="str">
        <f>IFERROR(__xludf.DUMMYFUNCTION("""COMPUTED_VALUE"""),"Deliver")</f>
        <v>Deliver</v>
      </c>
      <c r="J198" s="3" t="str">
        <f>IFERROR(__xludf.DUMMYFUNCTION("""COMPUTED_VALUE"""),"-")</f>
        <v>-</v>
      </c>
      <c r="K198" s="3" t="str">
        <f>IFERROR(__xludf.DUMMYFUNCTION("""COMPUTED_VALUE"""),"-")</f>
        <v>-</v>
      </c>
    </row>
    <row r="199">
      <c r="A199" s="3" t="str">
        <f>IFERROR(__xludf.DUMMYFUNCTION("""COMPUTED_VALUE"""),"MFHRO0092")</f>
        <v>MFHRO0092</v>
      </c>
      <c r="B199" s="4">
        <f>IFERROR(__xludf.DUMMYFUNCTION("""COMPUTED_VALUE"""),45802.59393755787)</f>
        <v>45802.59394</v>
      </c>
      <c r="C199" s="3">
        <f>IFERROR(__xludf.DUMMYFUNCTION("""COMPUTED_VALUE"""),45802.670992326384)</f>
        <v>45802.67099</v>
      </c>
      <c r="D199" s="3" t="str">
        <f>IFERROR(__xludf.DUMMYFUNCTION("""COMPUTED_VALUE"""),"Sparepart")</f>
        <v>Sparepart</v>
      </c>
      <c r="E199" s="3" t="str">
        <f>IFERROR(__xludf.DUMMYFUNCTION("""COMPUTED_VALUE"""),"-")</f>
        <v>-</v>
      </c>
      <c r="F199" s="3" t="str">
        <f>IFERROR(__xludf.DUMMYFUNCTION("""COMPUTED_VALUE"""),"Racking")</f>
        <v>Racking</v>
      </c>
      <c r="G199" s="3">
        <f>IFERROR(__xludf.DUMMYFUNCTION("""COMPUTED_VALUE"""),1.0)</f>
        <v>1</v>
      </c>
      <c r="H199" s="3" t="str">
        <f>IFERROR(__xludf.DUMMYFUNCTION("""COMPUTED_VALUE"""),"Set")</f>
        <v>Set</v>
      </c>
      <c r="I199" s="3" t="str">
        <f>IFERROR(__xludf.DUMMYFUNCTION("""COMPUTED_VALUE"""),"Deliver")</f>
        <v>Deliver</v>
      </c>
      <c r="J199" s="3" t="str">
        <f>IFERROR(__xludf.DUMMYFUNCTION("""COMPUTED_VALUE"""),"-")</f>
        <v>-</v>
      </c>
      <c r="K199" s="3" t="str">
        <f>IFERROR(__xludf.DUMMYFUNCTION("""COMPUTED_VALUE"""),"-")</f>
        <v>-</v>
      </c>
    </row>
    <row r="200">
      <c r="A200" s="3" t="str">
        <f>IFERROR(__xludf.DUMMYFUNCTION("""COMPUTED_VALUE"""),"MFHRO0093")</f>
        <v>MFHRO0093</v>
      </c>
      <c r="B200" s="4">
        <f>IFERROR(__xludf.DUMMYFUNCTION("""COMPUTED_VALUE"""),45802.60101275463)</f>
        <v>45802.60101</v>
      </c>
      <c r="C200" s="3">
        <f>IFERROR(__xludf.DUMMYFUNCTION("""COMPUTED_VALUE"""),45802.67136478009)</f>
        <v>45802.67136</v>
      </c>
      <c r="D200" s="3" t="str">
        <f>IFERROR(__xludf.DUMMYFUNCTION("""COMPUTED_VALUE"""),"General")</f>
        <v>General</v>
      </c>
      <c r="E200" s="3" t="str">
        <f>IFERROR(__xludf.DUMMYFUNCTION("""COMPUTED_VALUE"""),"-")</f>
        <v>-</v>
      </c>
      <c r="F200" s="3" t="str">
        <f>IFERROR(__xludf.DUMMYFUNCTION("""COMPUTED_VALUE"""),"General - Power Supply SPA-050-24VDC; Autonics; -; 1 pc")</f>
        <v>General - Power Supply SPA-050-24VDC; Autonics; -; 1 pc</v>
      </c>
      <c r="G200" s="3">
        <f>IFERROR(__xludf.DUMMYFUNCTION("""COMPUTED_VALUE"""),3.0)</f>
        <v>3</v>
      </c>
      <c r="H200" s="3" t="str">
        <f>IFERROR(__xludf.DUMMYFUNCTION("""COMPUTED_VALUE"""),"Pcs")</f>
        <v>Pcs</v>
      </c>
      <c r="I200" s="3" t="str">
        <f>IFERROR(__xludf.DUMMYFUNCTION("""COMPUTED_VALUE"""),"Deliver")</f>
        <v>Deliver</v>
      </c>
      <c r="J200" s="3" t="str">
        <f>IFERROR(__xludf.DUMMYFUNCTION("""COMPUTED_VALUE"""),"-")</f>
        <v>-</v>
      </c>
      <c r="K200" s="3" t="str">
        <f>IFERROR(__xludf.DUMMYFUNCTION("""COMPUTED_VALUE"""),"-")</f>
        <v>-</v>
      </c>
    </row>
    <row r="201">
      <c r="A201" s="3" t="str">
        <f>IFERROR(__xludf.DUMMYFUNCTION("""COMPUTED_VALUE"""),"MFHRO0094")</f>
        <v>MFHRO0094</v>
      </c>
      <c r="B201" s="4">
        <f>IFERROR(__xludf.DUMMYFUNCTION("""COMPUTED_VALUE"""),45802.605427546296)</f>
        <v>45802.60543</v>
      </c>
      <c r="C201" s="3">
        <f>IFERROR(__xludf.DUMMYFUNCTION("""COMPUTED_VALUE"""),45802.67151083333)</f>
        <v>45802.67151</v>
      </c>
      <c r="D201" s="3" t="str">
        <f>IFERROR(__xludf.DUMMYFUNCTION("""COMPUTED_VALUE"""),"General")</f>
        <v>General</v>
      </c>
      <c r="E201" s="3" t="str">
        <f>IFERROR(__xludf.DUMMYFUNCTION("""COMPUTED_VALUE"""),"-")</f>
        <v>-</v>
      </c>
      <c r="F201" s="3" t="str">
        <f>IFERROR(__xludf.DUMMYFUNCTION("""COMPUTED_VALUE"""),"General - Lem PLastic Steel Epoxy + Hardener 5 menit; Dextone; -; 1 set")</f>
        <v>General - Lem PLastic Steel Epoxy + Hardener 5 menit; Dextone; -; 1 set</v>
      </c>
      <c r="G201" s="3">
        <f>IFERROR(__xludf.DUMMYFUNCTION("""COMPUTED_VALUE"""),6.0)</f>
        <v>6</v>
      </c>
      <c r="H201" s="3" t="str">
        <f>IFERROR(__xludf.DUMMYFUNCTION("""COMPUTED_VALUE"""),"Pcs")</f>
        <v>Pcs</v>
      </c>
      <c r="I201" s="3" t="str">
        <f>IFERROR(__xludf.DUMMYFUNCTION("""COMPUTED_VALUE"""),"Deliver")</f>
        <v>Deliver</v>
      </c>
      <c r="J201" s="3" t="str">
        <f>IFERROR(__xludf.DUMMYFUNCTION("""COMPUTED_VALUE"""),"-")</f>
        <v>-</v>
      </c>
      <c r="K201" s="3" t="str">
        <f>IFERROR(__xludf.DUMMYFUNCTION("""COMPUTED_VALUE"""),"-")</f>
        <v>-</v>
      </c>
    </row>
    <row r="202">
      <c r="A202" s="3" t="str">
        <f>IFERROR(__xludf.DUMMYFUNCTION("""COMPUTED_VALUE"""),"MFHRO0095")</f>
        <v>MFHRO0095</v>
      </c>
      <c r="B202" s="4">
        <f>IFERROR(__xludf.DUMMYFUNCTION("""COMPUTED_VALUE"""),45802.60699534722)</f>
        <v>45802.607</v>
      </c>
      <c r="C202" s="3">
        <f>IFERROR(__xludf.DUMMYFUNCTION("""COMPUTED_VALUE"""),45802.671633171296)</f>
        <v>45802.67163</v>
      </c>
      <c r="D202" s="3" t="str">
        <f>IFERROR(__xludf.DUMMYFUNCTION("""COMPUTED_VALUE"""),"Hot Water")</f>
        <v>Hot Water</v>
      </c>
      <c r="E202" s="3" t="str">
        <f>IFERROR(__xludf.DUMMYFUNCTION("""COMPUTED_VALUE"""),"-")</f>
        <v>-</v>
      </c>
      <c r="F202" s="3" t="str">
        <f>IFERROR(__xludf.DUMMYFUNCTION("""COMPUTED_VALUE"""),"General - Water Heater Immersion 9 Element Dia 11,2 x 1800 mm, 60 KW 380V, SUS316; Custom; -; 1 pc")</f>
        <v>General - Water Heater Immersion 9 Element Dia 11,2 x 1800 mm, 60 KW 380V, SUS316; Custom; -; 1 pc</v>
      </c>
      <c r="G202" s="3">
        <f>IFERROR(__xludf.DUMMYFUNCTION("""COMPUTED_VALUE"""),1.0)</f>
        <v>1</v>
      </c>
      <c r="H202" s="3" t="str">
        <f>IFERROR(__xludf.DUMMYFUNCTION("""COMPUTED_VALUE"""),"Unt")</f>
        <v>Unt</v>
      </c>
      <c r="I202" s="3" t="str">
        <f>IFERROR(__xludf.DUMMYFUNCTION("""COMPUTED_VALUE"""),"Deliver")</f>
        <v>Deliver</v>
      </c>
      <c r="J202" s="3" t="str">
        <f>IFERROR(__xludf.DUMMYFUNCTION("""COMPUTED_VALUE"""),"-")</f>
        <v>-</v>
      </c>
      <c r="K202" s="3" t="str">
        <f>IFERROR(__xludf.DUMMYFUNCTION("""COMPUTED_VALUE"""),"-")</f>
        <v>-</v>
      </c>
    </row>
    <row r="203">
      <c r="A203" s="3" t="str">
        <f>IFERROR(__xludf.DUMMYFUNCTION("""COMPUTED_VALUE"""),"MFHRO0096")</f>
        <v>MFHRO0096</v>
      </c>
      <c r="B203" s="4">
        <f>IFERROR(__xludf.DUMMYFUNCTION("""COMPUTED_VALUE"""),45802.60812542824)</f>
        <v>45802.60813</v>
      </c>
      <c r="C203" s="3">
        <f>IFERROR(__xludf.DUMMYFUNCTION("""COMPUTED_VALUE"""),45802.671766597225)</f>
        <v>45802.67177</v>
      </c>
      <c r="D203" s="3" t="str">
        <f>IFERROR(__xludf.DUMMYFUNCTION("""COMPUTED_VALUE"""),"Mixing")</f>
        <v>Mixing</v>
      </c>
      <c r="E203" s="3" t="str">
        <f>IFERROR(__xludf.DUMMYFUNCTION("""COMPUTED_VALUE"""),"-")</f>
        <v>-</v>
      </c>
      <c r="F203" s="3" t="str">
        <f>IFERROR(__xludf.DUMMYFUNCTION("""COMPUTED_VALUE"""),"General - Sensor PH Meter Type : InPro3250/120/PT1000; Mettler Toledo; 52002548; 1 Pc")</f>
        <v>General - Sensor PH Meter Type : InPro3250/120/PT1000; Mettler Toledo; 52002548; 1 Pc</v>
      </c>
      <c r="G203" s="3">
        <f>IFERROR(__xludf.DUMMYFUNCTION("""COMPUTED_VALUE"""),1.0)</f>
        <v>1</v>
      </c>
      <c r="H203" s="3" t="str">
        <f>IFERROR(__xludf.DUMMYFUNCTION("""COMPUTED_VALUE"""),"Pcs")</f>
        <v>Pcs</v>
      </c>
      <c r="I203" s="3" t="str">
        <f>IFERROR(__xludf.DUMMYFUNCTION("""COMPUTED_VALUE"""),"Deliver")</f>
        <v>Deliver</v>
      </c>
      <c r="J203" s="3" t="str">
        <f>IFERROR(__xludf.DUMMYFUNCTION("""COMPUTED_VALUE"""),"-")</f>
        <v>-</v>
      </c>
      <c r="K203" s="3" t="str">
        <f>IFERROR(__xludf.DUMMYFUNCTION("""COMPUTED_VALUE"""),"-")</f>
        <v>-</v>
      </c>
    </row>
    <row r="204">
      <c r="A204" s="3" t="str">
        <f>IFERROR(__xludf.DUMMYFUNCTION("""COMPUTED_VALUE"""),"MFHRO0097")</f>
        <v>MFHRO0097</v>
      </c>
      <c r="B204" s="4">
        <f>IFERROR(__xludf.DUMMYFUNCTION("""COMPUTED_VALUE"""),45802.60982866898)</f>
        <v>45802.60983</v>
      </c>
      <c r="C204" s="3">
        <f>IFERROR(__xludf.DUMMYFUNCTION("""COMPUTED_VALUE"""),45802.67191667824)</f>
        <v>45802.67192</v>
      </c>
      <c r="D204" s="3" t="str">
        <f>IFERROR(__xludf.DUMMYFUNCTION("""COMPUTED_VALUE"""),"General")</f>
        <v>General</v>
      </c>
      <c r="E204" s="3" t="str">
        <f>IFERROR(__xludf.DUMMYFUNCTION("""COMPUTED_VALUE"""),"-")</f>
        <v>-</v>
      </c>
      <c r="F204" s="3" t="str">
        <f>IFERROR(__xludf.DUMMYFUNCTION("""COMPUTED_VALUE"""),"General - Contact cleaner WD 40; No Brand; -; 382gr/can")</f>
        <v>General - Contact cleaner WD 40; No Brand; -; 382gr/can</v>
      </c>
      <c r="G204" s="3">
        <f>IFERROR(__xludf.DUMMYFUNCTION("""COMPUTED_VALUE"""),5.0)</f>
        <v>5</v>
      </c>
      <c r="H204" s="3" t="str">
        <f>IFERROR(__xludf.DUMMYFUNCTION("""COMPUTED_VALUE"""),"Pcs")</f>
        <v>Pcs</v>
      </c>
      <c r="I204" s="3" t="str">
        <f>IFERROR(__xludf.DUMMYFUNCTION("""COMPUTED_VALUE"""),"Deliver")</f>
        <v>Deliver</v>
      </c>
      <c r="J204" s="3" t="str">
        <f>IFERROR(__xludf.DUMMYFUNCTION("""COMPUTED_VALUE"""),"-")</f>
        <v>-</v>
      </c>
      <c r="K204" s="3" t="str">
        <f>IFERROR(__xludf.DUMMYFUNCTION("""COMPUTED_VALUE"""),"-")</f>
        <v>-</v>
      </c>
    </row>
    <row r="205">
      <c r="A205" s="3" t="str">
        <f>IFERROR(__xludf.DUMMYFUNCTION("""COMPUTED_VALUE"""),"MFHRO0098")</f>
        <v>MFHRO0098</v>
      </c>
      <c r="B205" s="4">
        <f>IFERROR(__xludf.DUMMYFUNCTION("""COMPUTED_VALUE"""),45802.61179489584)</f>
        <v>45802.61179</v>
      </c>
      <c r="C205" s="3">
        <f>IFERROR(__xludf.DUMMYFUNCTION("""COMPUTED_VALUE"""),45802.67204150463)</f>
        <v>45802.67204</v>
      </c>
      <c r="D205" s="3" t="str">
        <f>IFERROR(__xludf.DUMMYFUNCTION("""COMPUTED_VALUE"""),"Office")</f>
        <v>Office</v>
      </c>
      <c r="E205" s="3" t="str">
        <f>IFERROR(__xludf.DUMMYFUNCTION("""COMPUTED_VALUE"""),"-")</f>
        <v>-</v>
      </c>
      <c r="F205" s="3" t="str">
        <f>IFERROR(__xludf.DUMMYFUNCTION("""COMPUTED_VALUE"""),"Ladder with Cushion Foam 4 Step BLKYS2462P; Krisbow; 294499;")</f>
        <v>Ladder with Cushion Foam 4 Step BLKYS2462P; Krisbow; 294499;</v>
      </c>
      <c r="G205" s="3">
        <f>IFERROR(__xludf.DUMMYFUNCTION("""COMPUTED_VALUE"""),1.0)</f>
        <v>1</v>
      </c>
      <c r="H205" s="3" t="str">
        <f>IFERROR(__xludf.DUMMYFUNCTION("""COMPUTED_VALUE"""),"pcs")</f>
        <v>pcs</v>
      </c>
      <c r="I205" s="3" t="str">
        <f>IFERROR(__xludf.DUMMYFUNCTION("""COMPUTED_VALUE"""),"Deliver")</f>
        <v>Deliver</v>
      </c>
      <c r="J205" s="3" t="str">
        <f>IFERROR(__xludf.DUMMYFUNCTION("""COMPUTED_VALUE"""),"-")</f>
        <v>-</v>
      </c>
      <c r="K205" s="3" t="str">
        <f>IFERROR(__xludf.DUMMYFUNCTION("""COMPUTED_VALUE"""),"-")</f>
        <v>-</v>
      </c>
    </row>
    <row r="206">
      <c r="A206" s="3" t="str">
        <f>IFERROR(__xludf.DUMMYFUNCTION("""COMPUTED_VALUE"""),"MFHRO0099")</f>
        <v>MFHRO0099</v>
      </c>
      <c r="B206" s="4">
        <f>IFERROR(__xludf.DUMMYFUNCTION("""COMPUTED_VALUE"""),45802.61272883102)</f>
        <v>45802.61273</v>
      </c>
      <c r="C206" s="3">
        <f>IFERROR(__xludf.DUMMYFUNCTION("""COMPUTED_VALUE"""),45802.67216043982)</f>
        <v>45802.67216</v>
      </c>
      <c r="D206" s="3" t="str">
        <f>IFERROR(__xludf.DUMMYFUNCTION("""COMPUTED_VALUE"""),"HPLC")</f>
        <v>HPLC</v>
      </c>
      <c r="E206" s="3" t="str">
        <f>IFERROR(__xludf.DUMMYFUNCTION("""COMPUTED_VALUE"""),"-")</f>
        <v>-</v>
      </c>
      <c r="F206" s="3" t="str">
        <f>IFERROR(__xludf.DUMMYFUNCTION("""COMPUTED_VALUE"""),"Kit, Performance PLUS seal pack rebuild; Waters; 700011783; 1 pieces / pack")</f>
        <v>Kit, Performance PLUS seal pack rebuild; Waters; 700011783; 1 pieces / pack</v>
      </c>
      <c r="G206" s="3">
        <f>IFERROR(__xludf.DUMMYFUNCTION("""COMPUTED_VALUE"""),1.0)</f>
        <v>1</v>
      </c>
      <c r="H206" s="3" t="str">
        <f>IFERROR(__xludf.DUMMYFUNCTION("""COMPUTED_VALUE"""),"Pcs")</f>
        <v>Pcs</v>
      </c>
      <c r="I206" s="3" t="str">
        <f>IFERROR(__xludf.DUMMYFUNCTION("""COMPUTED_VALUE"""),"Deliver")</f>
        <v>Deliver</v>
      </c>
      <c r="J206" s="3" t="str">
        <f>IFERROR(__xludf.DUMMYFUNCTION("""COMPUTED_VALUE"""),"-")</f>
        <v>-</v>
      </c>
      <c r="K206" s="3" t="str">
        <f>IFERROR(__xludf.DUMMYFUNCTION("""COMPUTED_VALUE"""),"-")</f>
        <v>-</v>
      </c>
    </row>
    <row r="207">
      <c r="A207" s="3" t="str">
        <f>IFERROR(__xludf.DUMMYFUNCTION("""COMPUTED_VALUE"""),"MOBRO0044")</f>
        <v>MOBRO0044</v>
      </c>
      <c r="B207" s="4">
        <f>IFERROR(__xludf.DUMMYFUNCTION("""COMPUTED_VALUE"""),45803.68384538195)</f>
        <v>45803.68385</v>
      </c>
      <c r="C207" s="3">
        <f>IFERROR(__xludf.DUMMYFUNCTION("""COMPUTED_VALUE"""),45804.66052142361)</f>
        <v>45804.66052</v>
      </c>
      <c r="D207" s="3" t="str">
        <f>IFERROR(__xludf.DUMMYFUNCTION("""COMPUTED_VALUE"""),"PSG")</f>
        <v>PSG</v>
      </c>
      <c r="E207" s="3" t="str">
        <f>IFERROR(__xludf.DUMMYFUNCTION("""COMPUTED_VALUE"""),"EJO/2025/02/57")</f>
        <v>EJO/2025/02/57</v>
      </c>
      <c r="F207" s="3" t="str">
        <f>IFERROR(__xludf.DUMMYFUNCTION("""COMPUTED_VALUE"""),"Gland Packing Teflon PTFE 6x6; ; ;")</f>
        <v>Gland Packing Teflon PTFE 6x6; ; ;</v>
      </c>
      <c r="G207" s="3">
        <f>IFERROR(__xludf.DUMMYFUNCTION("""COMPUTED_VALUE"""),5.0)</f>
        <v>5</v>
      </c>
      <c r="H207" s="3" t="str">
        <f>IFERROR(__xludf.DUMMYFUNCTION("""COMPUTED_VALUE"""),"Meter")</f>
        <v>Meter</v>
      </c>
      <c r="I207" s="3" t="str">
        <f>IFERROR(__xludf.DUMMYFUNCTION("""COMPUTED_VALUE"""),"Deliver")</f>
        <v>Deliver</v>
      </c>
      <c r="J207" s="3" t="str">
        <f>IFERROR(__xludf.DUMMYFUNCTION("""COMPUTED_VALUE"""),"-")</f>
        <v>-</v>
      </c>
      <c r="K207" s="3" t="str">
        <f>IFERROR(__xludf.DUMMYFUNCTION("""COMPUTED_VALUE"""),"-")</f>
        <v>-</v>
      </c>
    </row>
    <row r="208">
      <c r="A208" s="3" t="str">
        <f>IFERROR(__xludf.DUMMYFUNCTION("""COMPUTED_VALUE"""),"SFHRO0007")</f>
        <v>SFHRO0007</v>
      </c>
      <c r="B208" s="4">
        <f>IFERROR(__xludf.DUMMYFUNCTION("""COMPUTED_VALUE"""),45803.68504069444)</f>
        <v>45803.68504</v>
      </c>
      <c r="C208" s="3">
        <f>IFERROR(__xludf.DUMMYFUNCTION("""COMPUTED_VALUE"""),45804.66281483797)</f>
        <v>45804.66281</v>
      </c>
      <c r="D208" s="3" t="str">
        <f>IFERROR(__xludf.DUMMYFUNCTION("""COMPUTED_VALUE"""),"lantai 2")</f>
        <v>lantai 2</v>
      </c>
      <c r="E208" s="3" t="str">
        <f>IFERROR(__xludf.DUMMYFUNCTION("""COMPUTED_VALUE"""),"EJO/2025/05/64")</f>
        <v>EJO/2025/05/64</v>
      </c>
      <c r="F208" s="3" t="str">
        <f>IFERROR(__xludf.DUMMYFUNCTION("""COMPUTED_VALUE"""),"Cat Dustproof Propan Decor DAE 550 Peacock Blue; ; ; - TEAL-5412")</f>
        <v>Cat Dustproof Propan Decor DAE 550 Peacock Blue; ; ; - TEAL-5412</v>
      </c>
      <c r="G208" s="3">
        <f>IFERROR(__xludf.DUMMYFUNCTION("""COMPUTED_VALUE"""),4.0)</f>
        <v>4</v>
      </c>
      <c r="H208" s="3" t="str">
        <f>IFERROR(__xludf.DUMMYFUNCTION("""COMPUTED_VALUE"""),"pel")</f>
        <v>pel</v>
      </c>
      <c r="I208" s="3" t="str">
        <f>IFERROR(__xludf.DUMMYFUNCTION("""COMPUTED_VALUE"""),"Deliver")</f>
        <v>Deliver</v>
      </c>
      <c r="J208" s="3" t="str">
        <f>IFERROR(__xludf.DUMMYFUNCTION("""COMPUTED_VALUE"""),"-")</f>
        <v>-</v>
      </c>
      <c r="K208" s="3" t="str">
        <f>IFERROR(__xludf.DUMMYFUNCTION("""COMPUTED_VALUE"""),"-")</f>
        <v>-</v>
      </c>
    </row>
    <row r="209">
      <c r="A209" s="3" t="str">
        <f>IFERROR(__xludf.DUMMYFUNCTION("""COMPUTED_VALUE"""),"INNRO0005")</f>
        <v>INNRO0005</v>
      </c>
      <c r="B209" s="4">
        <f>IFERROR(__xludf.DUMMYFUNCTION("""COMPUTED_VALUE"""),45804.027452222224)</f>
        <v>45804.02745</v>
      </c>
      <c r="C209" s="3">
        <f>IFERROR(__xludf.DUMMYFUNCTION("""COMPUTED_VALUE"""),45812.561071041666)</f>
        <v>45812.56107</v>
      </c>
      <c r="D209" s="3" t="str">
        <f>IFERROR(__xludf.DUMMYFUNCTION("""COMPUTED_VALUE"""),"Autoclave Terminal")</f>
        <v>Autoclave Terminal</v>
      </c>
      <c r="E209" s="3" t="str">
        <f>IFERROR(__xludf.DUMMYFUNCTION("""COMPUTED_VALUE"""),"-")</f>
        <v>-</v>
      </c>
      <c r="F209" s="3" t="str">
        <f>IFERROR(__xludf.DUMMYFUNCTION("""COMPUTED_VALUE"""),"Safety Sensor GG505S GIGA-4015-US; IFM; ;")</f>
        <v>Safety Sensor GG505S GIGA-4015-US; IFM; ;</v>
      </c>
      <c r="G209" s="3">
        <f>IFERROR(__xludf.DUMMYFUNCTION("""COMPUTED_VALUE"""),2.0)</f>
        <v>2</v>
      </c>
      <c r="H209" s="3" t="str">
        <f>IFERROR(__xludf.DUMMYFUNCTION("""COMPUTED_VALUE"""),"pcs")</f>
        <v>pcs</v>
      </c>
      <c r="I209" s="3" t="str">
        <f>IFERROR(__xludf.DUMMYFUNCTION("""COMPUTED_VALUE"""),"Deliver")</f>
        <v>Deliver</v>
      </c>
      <c r="J209" s="3" t="str">
        <f>IFERROR(__xludf.DUMMYFUNCTION("""COMPUTED_VALUE"""),"-")</f>
        <v>-</v>
      </c>
      <c r="K209" s="3" t="str">
        <f>IFERROR(__xludf.DUMMYFUNCTION("""COMPUTED_VALUE"""),"-")</f>
        <v>-</v>
      </c>
    </row>
    <row r="210">
      <c r="A210" s="3" t="str">
        <f>IFERROR(__xludf.DUMMYFUNCTION("""COMPUTED_VALUE"""),"RIARO0038")</f>
        <v>RIARO0038</v>
      </c>
      <c r="B210" s="4">
        <f>IFERROR(__xludf.DUMMYFUNCTION("""COMPUTED_VALUE"""),45805.977569641196)</f>
        <v>45805.97757</v>
      </c>
      <c r="C210" s="3">
        <f>IFERROR(__xludf.DUMMYFUNCTION("""COMPUTED_VALUE"""),45810.96087390046)</f>
        <v>45810.96087</v>
      </c>
      <c r="D210" s="3" t="str">
        <f>IFERROR(__xludf.DUMMYFUNCTION("""COMPUTED_VALUE"""),"WWTP")</f>
        <v>WWTP</v>
      </c>
      <c r="E210" s="3" t="str">
        <f>IFERROR(__xludf.DUMMYFUNCTION("""COMPUTED_VALUE"""),"-")</f>
        <v>-</v>
      </c>
      <c r="F210" s="3" t="str">
        <f>IFERROR(__xludf.DUMMYFUNCTION("""COMPUTED_VALUE"""),"General - Pelampung Air Radar Float Switch 2m; No Brand; -; 1 Pc")</f>
        <v>General - Pelampung Air Radar Float Switch 2m; No Brand; -; 1 Pc</v>
      </c>
      <c r="G210" s="3">
        <f>IFERROR(__xludf.DUMMYFUNCTION("""COMPUTED_VALUE"""),3.0)</f>
        <v>3</v>
      </c>
      <c r="H210" s="3" t="str">
        <f>IFERROR(__xludf.DUMMYFUNCTION("""COMPUTED_VALUE"""),"Pcs")</f>
        <v>Pcs</v>
      </c>
      <c r="I210" s="3" t="str">
        <f>IFERROR(__xludf.DUMMYFUNCTION("""COMPUTED_VALUE"""),"Deliver")</f>
        <v>Deliver</v>
      </c>
      <c r="J210" s="3" t="str">
        <f>IFERROR(__xludf.DUMMYFUNCTION("""COMPUTED_VALUE"""),"-")</f>
        <v>-</v>
      </c>
      <c r="K210" s="3" t="str">
        <f>IFERROR(__xludf.DUMMYFUNCTION("""COMPUTED_VALUE"""),"-")</f>
        <v>-</v>
      </c>
    </row>
    <row r="211">
      <c r="A211" s="3" t="str">
        <f>IFERROR(__xludf.DUMMYFUNCTION("""COMPUTED_VALUE"""),"ROSRO0007")</f>
        <v>ROSRO0007</v>
      </c>
      <c r="B211" s="4">
        <f>IFERROR(__xludf.DUMMYFUNCTION("""COMPUTED_VALUE"""),45810.59131561343)</f>
        <v>45810.59132</v>
      </c>
      <c r="C211" s="3">
        <f>IFERROR(__xludf.DUMMYFUNCTION("""COMPUTED_VALUE"""),45812.57128791667)</f>
        <v>45812.57129</v>
      </c>
      <c r="D211" s="3" t="str">
        <f>IFERROR(__xludf.DUMMYFUNCTION("""COMPUTED_VALUE"""),"Sensor DO mixning")</f>
        <v>Sensor DO mixning</v>
      </c>
      <c r="E211" s="3" t="str">
        <f>IFERROR(__xludf.DUMMYFUNCTION("""COMPUTED_VALUE"""),"-")</f>
        <v>-</v>
      </c>
      <c r="F211" s="3" t="str">
        <f>IFERROR(__xludf.DUMMYFUNCTION("""COMPUTED_VALUE"""),"General - Opto CapBT02T Operating Range 8 ppb - 60% O2 Sat P/N 30018857, Measured Pressure Resistance : 0-6 bar; Mettler Toledo; 30018857; 1 Pc")</f>
        <v>General - Opto CapBT02T Operating Range 8 ppb - 60% O2 Sat P/N 30018857, Measured Pressure Resistance : 0-6 bar; Mettler Toledo; 30018857; 1 Pc</v>
      </c>
      <c r="G211" s="3">
        <f>IFERROR(__xludf.DUMMYFUNCTION("""COMPUTED_VALUE"""),1.0)</f>
        <v>1</v>
      </c>
      <c r="H211" s="3" t="str">
        <f>IFERROR(__xludf.DUMMYFUNCTION("""COMPUTED_VALUE"""),"pcs")</f>
        <v>pcs</v>
      </c>
      <c r="I211" s="3" t="str">
        <f>IFERROR(__xludf.DUMMYFUNCTION("""COMPUTED_VALUE"""),"Deliver")</f>
        <v>Deliver</v>
      </c>
      <c r="J211" s="3" t="str">
        <f>IFERROR(__xludf.DUMMYFUNCTION("""COMPUTED_VALUE"""),"-")</f>
        <v>-</v>
      </c>
      <c r="K211" s="3" t="str">
        <f>IFERROR(__xludf.DUMMYFUNCTION("""COMPUTED_VALUE"""),"-")</f>
        <v>-</v>
      </c>
    </row>
    <row r="212">
      <c r="A212" s="3" t="str">
        <f>IFERROR(__xludf.DUMMYFUNCTION("""COMPUTED_VALUE"""),"INNRO0006")</f>
        <v>INNRO0006</v>
      </c>
      <c r="B212" s="4">
        <f>IFERROR(__xludf.DUMMYFUNCTION("""COMPUTED_VALUE"""),45810.6580507176)</f>
        <v>45810.65805</v>
      </c>
      <c r="C212" s="3">
        <f>IFERROR(__xludf.DUMMYFUNCTION("""COMPUTED_VALUE"""),45812.56143090277)</f>
        <v>45812.56143</v>
      </c>
      <c r="D212" s="3" t="str">
        <f>IFERROR(__xludf.DUMMYFUNCTION("""COMPUTED_VALUE"""),"FD IMA")</f>
        <v>FD IMA</v>
      </c>
      <c r="E212" s="3" t="str">
        <f>IFERROR(__xludf.DUMMYFUNCTION("""COMPUTED_VALUE"""),"EJO/2025/06/29")</f>
        <v>EJO/2025/06/29</v>
      </c>
      <c r="F212" s="3" t="str">
        <f>IFERROR(__xludf.DUMMYFUNCTION("""COMPUTED_VALUE"""),"Shelf Bellows; Freeze Dryer MBE1207; P/N FB1207-05-70-0 R0.0; pack size per unit")</f>
        <v>Shelf Bellows; Freeze Dryer MBE1207; P/N FB1207-05-70-0 R0.0; pack size per unit</v>
      </c>
      <c r="G212" s="3">
        <f>IFERROR(__xludf.DUMMYFUNCTION("""COMPUTED_VALUE"""),1.0)</f>
        <v>1</v>
      </c>
      <c r="H212" s="3" t="str">
        <f>IFERROR(__xludf.DUMMYFUNCTION("""COMPUTED_VALUE"""),"Unit")</f>
        <v>Unit</v>
      </c>
      <c r="I212" s="3" t="str">
        <f>IFERROR(__xludf.DUMMYFUNCTION("""COMPUTED_VALUE"""),"Deliver")</f>
        <v>Deliver</v>
      </c>
      <c r="J212" s="3" t="str">
        <f>IFERROR(__xludf.DUMMYFUNCTION("""COMPUTED_VALUE"""),"-")</f>
        <v>-</v>
      </c>
      <c r="K212" s="3" t="str">
        <f>IFERROR(__xludf.DUMMYFUNCTION("""COMPUTED_VALUE"""),"-")</f>
        <v>-</v>
      </c>
    </row>
    <row r="213">
      <c r="A213" s="3" t="str">
        <f>IFERROR(__xludf.DUMMYFUNCTION("""COMPUTED_VALUE"""),"SFHRO0008")</f>
        <v>SFHRO0008</v>
      </c>
      <c r="B213" s="4">
        <f>IFERROR(__xludf.DUMMYFUNCTION("""COMPUTED_VALUE"""),45812.63591305556)</f>
        <v>45812.63591</v>
      </c>
      <c r="C213" s="3">
        <f>IFERROR(__xludf.DUMMYFUNCTION("""COMPUTED_VALUE"""),45818.39951811342)</f>
        <v>45818.39952</v>
      </c>
      <c r="D213" s="3" t="str">
        <f>IFERROR(__xludf.DUMMYFUNCTION("""COMPUTED_VALUE"""),"lantai 2")</f>
        <v>lantai 2</v>
      </c>
      <c r="E213" s="3" t="str">
        <f>IFERROR(__xludf.DUMMYFUNCTION("""COMPUTED_VALUE"""),"-")</f>
        <v>-</v>
      </c>
      <c r="F213" s="3" t="str">
        <f>IFERROR(__xludf.DUMMYFUNCTION("""COMPUTED_VALUE"""),"Lem PVC Isarplas 300 gr/kaleng")</f>
        <v>Lem PVC Isarplas 300 gr/kaleng</v>
      </c>
      <c r="G213" s="3">
        <f>IFERROR(__xludf.DUMMYFUNCTION("""COMPUTED_VALUE"""),3.0)</f>
        <v>3</v>
      </c>
      <c r="H213" s="3" t="str">
        <f>IFERROR(__xludf.DUMMYFUNCTION("""COMPUTED_VALUE"""),"kaleng")</f>
        <v>kaleng</v>
      </c>
      <c r="I213" s="3" t="str">
        <f>IFERROR(__xludf.DUMMYFUNCTION("""COMPUTED_VALUE"""),"Deliver")</f>
        <v>Deliver</v>
      </c>
      <c r="J213" s="3" t="str">
        <f>IFERROR(__xludf.DUMMYFUNCTION("""COMPUTED_VALUE"""),"-")</f>
        <v>-</v>
      </c>
      <c r="K213" s="3" t="str">
        <f>IFERROR(__xludf.DUMMYFUNCTION("""COMPUTED_VALUE"""),"-")</f>
        <v>-</v>
      </c>
    </row>
    <row r="214">
      <c r="A214" s="3" t="str">
        <f>IFERROR(__xludf.DUMMYFUNCTION("""COMPUTED_VALUE"""),"SFHRO0009")</f>
        <v>SFHRO0009</v>
      </c>
      <c r="B214" s="4">
        <f>IFERROR(__xludf.DUMMYFUNCTION("""COMPUTED_VALUE"""),45812.637380775464)</f>
        <v>45812.63738</v>
      </c>
      <c r="C214" s="3">
        <f>IFERROR(__xludf.DUMMYFUNCTION("""COMPUTED_VALUE"""),45818.399669652776)</f>
        <v>45818.39967</v>
      </c>
      <c r="D214" s="3" t="str">
        <f>IFERROR(__xludf.DUMMYFUNCTION("""COMPUTED_VALUE"""),"lantai 2")</f>
        <v>lantai 2</v>
      </c>
      <c r="E214" s="3" t="str">
        <f>IFERROR(__xludf.DUMMYFUNCTION("""COMPUTED_VALUE"""),"-")</f>
        <v>-</v>
      </c>
      <c r="F214" s="3" t="str">
        <f>IFERROR(__xludf.DUMMYFUNCTION("""COMPUTED_VALUE"""),"General - Ampelas P500; EAGLE; -; 1 pcs")</f>
        <v>General - Ampelas P500; EAGLE; -; 1 pcs</v>
      </c>
      <c r="G214" s="3">
        <f>IFERROR(__xludf.DUMMYFUNCTION("""COMPUTED_VALUE"""),20.0)</f>
        <v>20</v>
      </c>
      <c r="H214" s="3" t="str">
        <f>IFERROR(__xludf.DUMMYFUNCTION("""COMPUTED_VALUE"""),"lembar")</f>
        <v>lembar</v>
      </c>
      <c r="I214" s="3" t="str">
        <f>IFERROR(__xludf.DUMMYFUNCTION("""COMPUTED_VALUE"""),"Deliver")</f>
        <v>Deliver</v>
      </c>
      <c r="J214" s="3" t="str">
        <f>IFERROR(__xludf.DUMMYFUNCTION("""COMPUTED_VALUE"""),"-")</f>
        <v>-</v>
      </c>
      <c r="K214" s="3" t="str">
        <f>IFERROR(__xludf.DUMMYFUNCTION("""COMPUTED_VALUE"""),"-")</f>
        <v>-</v>
      </c>
    </row>
    <row r="215">
      <c r="A215" s="3" t="str">
        <f>IFERROR(__xludf.DUMMYFUNCTION("""COMPUTED_VALUE"""),"MOBRO0045")</f>
        <v>MOBRO0045</v>
      </c>
      <c r="B215" s="4">
        <f>IFERROR(__xludf.DUMMYFUNCTION("""COMPUTED_VALUE"""),45812.659267581024)</f>
        <v>45812.65927</v>
      </c>
      <c r="C215" s="3">
        <f>IFERROR(__xludf.DUMMYFUNCTION("""COMPUTED_VALUE"""),45818.36025079861)</f>
        <v>45818.36025</v>
      </c>
      <c r="D215" s="3" t="str">
        <f>IFERROR(__xludf.DUMMYFUNCTION("""COMPUTED_VALUE"""),"Pneumatic Fitting")</f>
        <v>Pneumatic Fitting</v>
      </c>
      <c r="E215" s="3" t="str">
        <f>IFERROR(__xludf.DUMMYFUNCTION("""COMPUTED_VALUE"""),"-")</f>
        <v>-</v>
      </c>
      <c r="F215" s="3" t="str">
        <f>IFERROR(__xludf.DUMMYFUNCTION("""COMPUTED_VALUE"""),"General - Push-in Connector, QS-8-6; Festo; 153038; 1 pcs")</f>
        <v>General - Push-in Connector, QS-8-6; Festo; 153038; 1 pcs</v>
      </c>
      <c r="G215" s="3">
        <f>IFERROR(__xludf.DUMMYFUNCTION("""COMPUTED_VALUE"""),10.0)</f>
        <v>10</v>
      </c>
      <c r="H215" s="3" t="str">
        <f>IFERROR(__xludf.DUMMYFUNCTION("""COMPUTED_VALUE"""),"Pcs")</f>
        <v>Pcs</v>
      </c>
      <c r="I215" s="3" t="str">
        <f>IFERROR(__xludf.DUMMYFUNCTION("""COMPUTED_VALUE"""),"Deliver")</f>
        <v>Deliver</v>
      </c>
      <c r="J215" s="3" t="str">
        <f>IFERROR(__xludf.DUMMYFUNCTION("""COMPUTED_VALUE"""),"-")</f>
        <v>-</v>
      </c>
      <c r="K215" s="3" t="str">
        <f>IFERROR(__xludf.DUMMYFUNCTION("""COMPUTED_VALUE"""),"-")</f>
        <v>-</v>
      </c>
    </row>
    <row r="216">
      <c r="A216" s="3" t="str">
        <f>IFERROR(__xludf.DUMMYFUNCTION("""COMPUTED_VALUE"""),"MOBRO0046")</f>
        <v>MOBRO0046</v>
      </c>
      <c r="B216" s="4">
        <f>IFERROR(__xludf.DUMMYFUNCTION("""COMPUTED_VALUE"""),45812.66128638889)</f>
        <v>45812.66129</v>
      </c>
      <c r="C216" s="3">
        <f>IFERROR(__xludf.DUMMYFUNCTION("""COMPUTED_VALUE"""),45818.3606984838)</f>
        <v>45818.3607</v>
      </c>
      <c r="D216" s="3" t="str">
        <f>IFERROR(__xludf.DUMMYFUNCTION("""COMPUTED_VALUE"""),"Pneumatic Fitting")</f>
        <v>Pneumatic Fitting</v>
      </c>
      <c r="E216" s="3" t="str">
        <f>IFERROR(__xludf.DUMMYFUNCTION("""COMPUTED_VALUE"""),"-")</f>
        <v>-</v>
      </c>
      <c r="F216" s="3" t="str">
        <f>IFERROR(__xludf.DUMMYFUNCTION("""COMPUTED_VALUE"""),"Pneumatic  Fitting - QS 10-8 / PN : 153039 / Festo")</f>
        <v>Pneumatic  Fitting - QS 10-8 / PN : 153039 / Festo</v>
      </c>
      <c r="G216" s="3">
        <f>IFERROR(__xludf.DUMMYFUNCTION("""COMPUTED_VALUE"""),10.0)</f>
        <v>10</v>
      </c>
      <c r="H216" s="3" t="str">
        <f>IFERROR(__xludf.DUMMYFUNCTION("""COMPUTED_VALUE"""),"Pcs")</f>
        <v>Pcs</v>
      </c>
      <c r="I216" s="3" t="str">
        <f>IFERROR(__xludf.DUMMYFUNCTION("""COMPUTED_VALUE"""),"Deliver")</f>
        <v>Deliver</v>
      </c>
      <c r="J216" s="3" t="str">
        <f>IFERROR(__xludf.DUMMYFUNCTION("""COMPUTED_VALUE"""),"-")</f>
        <v>-</v>
      </c>
      <c r="K216" s="3" t="str">
        <f>IFERROR(__xludf.DUMMYFUNCTION("""COMPUTED_VALUE"""),"-")</f>
        <v>-</v>
      </c>
    </row>
    <row r="217">
      <c r="A217" s="3" t="str">
        <f>IFERROR(__xludf.DUMMYFUNCTION("""COMPUTED_VALUE"""),"MOBRO0047")</f>
        <v>MOBRO0047</v>
      </c>
      <c r="B217" s="4">
        <f>IFERROR(__xludf.DUMMYFUNCTION("""COMPUTED_VALUE"""),45812.66136907408)</f>
        <v>45812.66137</v>
      </c>
      <c r="C217" s="3">
        <f>IFERROR(__xludf.DUMMYFUNCTION("""COMPUTED_VALUE"""),45818.360991215275)</f>
        <v>45818.36099</v>
      </c>
      <c r="D217" s="3" t="str">
        <f>IFERROR(__xludf.DUMMYFUNCTION("""COMPUTED_VALUE"""),"Pneumatic Fitting")</f>
        <v>Pneumatic Fitting</v>
      </c>
      <c r="E217" s="3" t="str">
        <f>IFERROR(__xludf.DUMMYFUNCTION("""COMPUTED_VALUE"""),"-")</f>
        <v>-</v>
      </c>
      <c r="F217" s="3" t="str">
        <f>IFERROR(__xludf.DUMMYFUNCTION("""COMPUTED_VALUE"""),"FESTO - QS-12-10 Push in Connector p/n: 153040")</f>
        <v>FESTO - QS-12-10 Push in Connector p/n: 153040</v>
      </c>
      <c r="G217" s="3">
        <f>IFERROR(__xludf.DUMMYFUNCTION("""COMPUTED_VALUE"""),6.0)</f>
        <v>6</v>
      </c>
      <c r="H217" s="3" t="str">
        <f>IFERROR(__xludf.DUMMYFUNCTION("""COMPUTED_VALUE"""),"Pcs")</f>
        <v>Pcs</v>
      </c>
      <c r="I217" s="3" t="str">
        <f>IFERROR(__xludf.DUMMYFUNCTION("""COMPUTED_VALUE"""),"Deliver")</f>
        <v>Deliver</v>
      </c>
      <c r="J217" s="3" t="str">
        <f>IFERROR(__xludf.DUMMYFUNCTION("""COMPUTED_VALUE"""),"-")</f>
        <v>-</v>
      </c>
      <c r="K217" s="3" t="str">
        <f>IFERROR(__xludf.DUMMYFUNCTION("""COMPUTED_VALUE"""),"-")</f>
        <v>-</v>
      </c>
    </row>
    <row r="218">
      <c r="A218" s="3" t="str">
        <f>IFERROR(__xludf.DUMMYFUNCTION("""COMPUTED_VALUE"""),"MOBRO0048")</f>
        <v>MOBRO0048</v>
      </c>
      <c r="B218" s="4">
        <f>IFERROR(__xludf.DUMMYFUNCTION("""COMPUTED_VALUE"""),45812.66628575231)</f>
        <v>45812.66629</v>
      </c>
      <c r="C218" s="3">
        <f>IFERROR(__xludf.DUMMYFUNCTION("""COMPUTED_VALUE"""),45818.36162940972)</f>
        <v>45818.36163</v>
      </c>
      <c r="D218" s="3" t="str">
        <f>IFERROR(__xludf.DUMMYFUNCTION("""COMPUTED_VALUE"""),"Fitting PVC")</f>
        <v>Fitting PVC</v>
      </c>
      <c r="E218" s="3" t="str">
        <f>IFERROR(__xludf.DUMMYFUNCTION("""COMPUTED_VALUE"""),"-")</f>
        <v>-</v>
      </c>
      <c r="F218" s="3" t="str">
        <f>IFERROR(__xludf.DUMMYFUNCTION("""COMPUTED_VALUE"""),"General - Reducer, PVC, 1"" x 1/2""; Rucika; -; 1 pcs")</f>
        <v>General - Reducer, PVC, 1" x 1/2"; Rucika; -; 1 pcs</v>
      </c>
      <c r="G218" s="3">
        <f>IFERROR(__xludf.DUMMYFUNCTION("""COMPUTED_VALUE"""),6.0)</f>
        <v>6</v>
      </c>
      <c r="H218" s="3" t="str">
        <f>IFERROR(__xludf.DUMMYFUNCTION("""COMPUTED_VALUE"""),"Pcs")</f>
        <v>Pcs</v>
      </c>
      <c r="I218" s="3" t="str">
        <f>IFERROR(__xludf.DUMMYFUNCTION("""COMPUTED_VALUE"""),"Deliver")</f>
        <v>Deliver</v>
      </c>
      <c r="J218" s="3" t="str">
        <f>IFERROR(__xludf.DUMMYFUNCTION("""COMPUTED_VALUE"""),"-")</f>
        <v>-</v>
      </c>
      <c r="K218" s="3" t="str">
        <f>IFERROR(__xludf.DUMMYFUNCTION("""COMPUTED_VALUE"""),"-")</f>
        <v>-</v>
      </c>
    </row>
    <row r="219">
      <c r="A219" s="3" t="str">
        <f>IFERROR(__xludf.DUMMYFUNCTION("""COMPUTED_VALUE"""),"MOBRO0049")</f>
        <v>MOBRO0049</v>
      </c>
      <c r="B219" s="4">
        <f>IFERROR(__xludf.DUMMYFUNCTION("""COMPUTED_VALUE"""),45812.667465590275)</f>
        <v>45812.66747</v>
      </c>
      <c r="C219" s="3">
        <f>IFERROR(__xludf.DUMMYFUNCTION("""COMPUTED_VALUE"""),45818.36195636574)</f>
        <v>45818.36196</v>
      </c>
      <c r="D219" s="3" t="str">
        <f>IFERROR(__xludf.DUMMYFUNCTION("""COMPUTED_VALUE"""),"Fitting PVC")</f>
        <v>Fitting PVC</v>
      </c>
      <c r="E219" s="3" t="str">
        <f>IFERROR(__xludf.DUMMYFUNCTION("""COMPUTED_VALUE"""),"-")</f>
        <v>-</v>
      </c>
      <c r="F219" s="3" t="str">
        <f>IFERROR(__xludf.DUMMYFUNCTION("""COMPUTED_VALUE"""),"RUCIKA - Pipa PVC aw dia 1/2 inch Warna Abu-Abu")</f>
        <v>RUCIKA - Pipa PVC aw dia 1/2 inch Warna Abu-Abu</v>
      </c>
      <c r="G219" s="3">
        <f>IFERROR(__xludf.DUMMYFUNCTION("""COMPUTED_VALUE"""),6.0)</f>
        <v>6</v>
      </c>
      <c r="H219" s="3" t="str">
        <f>IFERROR(__xludf.DUMMYFUNCTION("""COMPUTED_VALUE"""),"Pcs")</f>
        <v>Pcs</v>
      </c>
      <c r="I219" s="3" t="str">
        <f>IFERROR(__xludf.DUMMYFUNCTION("""COMPUTED_VALUE"""),"Deliver")</f>
        <v>Deliver</v>
      </c>
      <c r="J219" s="3" t="str">
        <f>IFERROR(__xludf.DUMMYFUNCTION("""COMPUTED_VALUE"""),"-")</f>
        <v>-</v>
      </c>
      <c r="K219" s="3" t="str">
        <f>IFERROR(__xludf.DUMMYFUNCTION("""COMPUTED_VALUE"""),"-")</f>
        <v>-</v>
      </c>
    </row>
    <row r="220">
      <c r="A220" s="3" t="str">
        <f>IFERROR(__xludf.DUMMYFUNCTION("""COMPUTED_VALUE"""),"MOBRO0050")</f>
        <v>MOBRO0050</v>
      </c>
      <c r="B220" s="4">
        <f>IFERROR(__xludf.DUMMYFUNCTION("""COMPUTED_VALUE"""),45817.69481939815)</f>
        <v>45817.69482</v>
      </c>
      <c r="C220" s="3">
        <f>IFERROR(__xludf.DUMMYFUNCTION("""COMPUTED_VALUE"""),45818.362645416666)</f>
        <v>45818.36265</v>
      </c>
      <c r="D220" s="3" t="str">
        <f>IFERROR(__xludf.DUMMYFUNCTION("""COMPUTED_VALUE"""),"PSG")</f>
        <v>PSG</v>
      </c>
      <c r="E220" s="3" t="str">
        <f>IFERROR(__xludf.DUMMYFUNCTION("""COMPUTED_VALUE"""),"-")</f>
        <v>-</v>
      </c>
      <c r="F220" s="3" t="str">
        <f>IFERROR(__xludf.DUMMYFUNCTION("""COMPUTED_VALUE"""),"PRESSURE SWITCH DANFOSS, DANFOSS, KP35")</f>
        <v>PRESSURE SWITCH DANFOSS, DANFOSS, KP35</v>
      </c>
      <c r="G220" s="3">
        <f>IFERROR(__xludf.DUMMYFUNCTION("""COMPUTED_VALUE"""),2.0)</f>
        <v>2</v>
      </c>
      <c r="H220" s="3" t="str">
        <f>IFERROR(__xludf.DUMMYFUNCTION("""COMPUTED_VALUE"""),"Pcs")</f>
        <v>Pcs</v>
      </c>
      <c r="I220" s="3" t="str">
        <f>IFERROR(__xludf.DUMMYFUNCTION("""COMPUTED_VALUE"""),"Deliver")</f>
        <v>Deliver</v>
      </c>
      <c r="J220" s="3" t="str">
        <f>IFERROR(__xludf.DUMMYFUNCTION("""COMPUTED_VALUE"""),"-")</f>
        <v>-</v>
      </c>
      <c r="K220" s="3" t="str">
        <f>IFERROR(__xludf.DUMMYFUNCTION("""COMPUTED_VALUE"""),"-")</f>
        <v>-</v>
      </c>
    </row>
    <row r="221">
      <c r="A221" s="3" t="str">
        <f>IFERROR(__xludf.DUMMYFUNCTION("""COMPUTED_VALUE"""),"ROSRO0008")</f>
        <v>ROSRO0008</v>
      </c>
      <c r="B221" s="4">
        <f>IFERROR(__xludf.DUMMYFUNCTION("""COMPUTED_VALUE"""),45819.63492790509)</f>
        <v>45819.63493</v>
      </c>
      <c r="C221" s="3">
        <f>IFERROR(__xludf.DUMMYFUNCTION("""COMPUTED_VALUE"""),45825.37510420139)</f>
        <v>45825.3751</v>
      </c>
      <c r="D221" s="3" t="str">
        <f>IFERROR(__xludf.DUMMYFUNCTION("""COMPUTED_VALUE"""),"Las Asetilin ")</f>
        <v>Las Asetilin </v>
      </c>
      <c r="E221" s="3" t="str">
        <f>IFERROR(__xludf.DUMMYFUNCTION("""COMPUTED_VALUE"""),"-")</f>
        <v>-</v>
      </c>
      <c r="F221" s="3" t="str">
        <f>IFERROR(__xludf.DUMMYFUNCTION("""COMPUTED_VALUE"""),"General - Kawat Las Tembaga Dia  = 3,2  X 450 mm; Harris; -; 1 Pc")</f>
        <v>General - Kawat Las Tembaga Dia  = 3,2  X 450 mm; Harris; -; 1 Pc</v>
      </c>
      <c r="G221" s="3">
        <f>IFERROR(__xludf.DUMMYFUNCTION("""COMPUTED_VALUE"""),50.0)</f>
        <v>50</v>
      </c>
      <c r="H221" s="3" t="str">
        <f>IFERROR(__xludf.DUMMYFUNCTION("""COMPUTED_VALUE"""),"pcs")</f>
        <v>pcs</v>
      </c>
      <c r="I221" s="3" t="str">
        <f>IFERROR(__xludf.DUMMYFUNCTION("""COMPUTED_VALUE"""),"Deliver")</f>
        <v>Deliver</v>
      </c>
      <c r="J221" s="3" t="str">
        <f>IFERROR(__xludf.DUMMYFUNCTION("""COMPUTED_VALUE"""),"-")</f>
        <v>-</v>
      </c>
      <c r="K221" s="3" t="str">
        <f>IFERROR(__xludf.DUMMYFUNCTION("""COMPUTED_VALUE"""),"-")</f>
        <v>-</v>
      </c>
    </row>
    <row r="222">
      <c r="A222" s="3" t="str">
        <f>IFERROR(__xludf.DUMMYFUNCTION("""COMPUTED_VALUE"""),"MOBRO0051")</f>
        <v>MOBRO0051</v>
      </c>
      <c r="B222" s="4">
        <f>IFERROR(__xludf.DUMMYFUNCTION("""COMPUTED_VALUE"""),45824.678208240744)</f>
        <v>45824.67821</v>
      </c>
      <c r="C222" s="3">
        <f>IFERROR(__xludf.DUMMYFUNCTION("""COMPUTED_VALUE"""),45825.5606677662)</f>
        <v>45825.56067</v>
      </c>
      <c r="D222" s="3" t="str">
        <f>IFERROR(__xludf.DUMMYFUNCTION("""COMPUTED_VALUE"""),"Plumbing")</f>
        <v>Plumbing</v>
      </c>
      <c r="E222" s="3" t="str">
        <f>IFERROR(__xludf.DUMMYFUNCTION("""COMPUTED_VALUE"""),"-")</f>
        <v>-</v>
      </c>
      <c r="F222" s="3" t="str">
        <f>IFERROR(__xludf.DUMMYFUNCTION("""COMPUTED_VALUE"""),"Fitting PVC - Elbow PVC 1""")</f>
        <v>Fitting PVC - Elbow PVC 1"</v>
      </c>
      <c r="G222" s="3">
        <f>IFERROR(__xludf.DUMMYFUNCTION("""COMPUTED_VALUE"""),17.0)</f>
        <v>17</v>
      </c>
      <c r="H222" s="3" t="str">
        <f>IFERROR(__xludf.DUMMYFUNCTION("""COMPUTED_VALUE"""),"Pcs")</f>
        <v>Pcs</v>
      </c>
      <c r="I222" s="3" t="str">
        <f>IFERROR(__xludf.DUMMYFUNCTION("""COMPUTED_VALUE"""),"Deliver")</f>
        <v>Deliver</v>
      </c>
      <c r="J222" s="3" t="str">
        <f>IFERROR(__xludf.DUMMYFUNCTION("""COMPUTED_VALUE"""),"-")</f>
        <v>-</v>
      </c>
      <c r="K222" s="3" t="str">
        <f>IFERROR(__xludf.DUMMYFUNCTION("""COMPUTED_VALUE"""),"-")</f>
        <v>-</v>
      </c>
    </row>
    <row r="223">
      <c r="A223" s="3" t="str">
        <f>IFERROR(__xludf.DUMMYFUNCTION("""COMPUTED_VALUE"""),"MOBRO0052")</f>
        <v>MOBRO0052</v>
      </c>
      <c r="B223" s="4">
        <f>IFERROR(__xludf.DUMMYFUNCTION("""COMPUTED_VALUE"""),45824.679419583335)</f>
        <v>45824.67942</v>
      </c>
      <c r="C223" s="3">
        <f>IFERROR(__xludf.DUMMYFUNCTION("""COMPUTED_VALUE"""),45825.56085814815)</f>
        <v>45825.56086</v>
      </c>
      <c r="D223" s="3" t="str">
        <f>IFERROR(__xludf.DUMMYFUNCTION("""COMPUTED_VALUE"""),"Plumbing")</f>
        <v>Plumbing</v>
      </c>
      <c r="E223" s="3" t="str">
        <f>IFERROR(__xludf.DUMMYFUNCTION("""COMPUTED_VALUE"""),"-")</f>
        <v>-</v>
      </c>
      <c r="F223" s="3" t="str">
        <f>IFERROR(__xludf.DUMMYFUNCTION("""COMPUTED_VALUE"""),"Water Mur PVC dia 1inch")</f>
        <v>Water Mur PVC dia 1inch</v>
      </c>
      <c r="G223" s="3">
        <f>IFERROR(__xludf.DUMMYFUNCTION("""COMPUTED_VALUE"""),6.0)</f>
        <v>6</v>
      </c>
      <c r="H223" s="3" t="str">
        <f>IFERROR(__xludf.DUMMYFUNCTION("""COMPUTED_VALUE"""),"Pcs")</f>
        <v>Pcs</v>
      </c>
      <c r="I223" s="3" t="str">
        <f>IFERROR(__xludf.DUMMYFUNCTION("""COMPUTED_VALUE"""),"Deliver")</f>
        <v>Deliver</v>
      </c>
      <c r="J223" s="3" t="str">
        <f>IFERROR(__xludf.DUMMYFUNCTION("""COMPUTED_VALUE"""),"-")</f>
        <v>-</v>
      </c>
      <c r="K223" s="3" t="str">
        <f>IFERROR(__xludf.DUMMYFUNCTION("""COMPUTED_VALUE"""),"-")</f>
        <v>-</v>
      </c>
    </row>
    <row r="224">
      <c r="A224" s="3" t="str">
        <f>IFERROR(__xludf.DUMMYFUNCTION("""COMPUTED_VALUE"""),"MOBRO0053")</f>
        <v>MOBRO0053</v>
      </c>
      <c r="B224" s="4">
        <f>IFERROR(__xludf.DUMMYFUNCTION("""COMPUTED_VALUE"""),45824.67994685185)</f>
        <v>45824.67995</v>
      </c>
      <c r="C224" s="3">
        <f>IFERROR(__xludf.DUMMYFUNCTION("""COMPUTED_VALUE"""),45825.56103586806)</f>
        <v>45825.56104</v>
      </c>
      <c r="D224" s="3" t="str">
        <f>IFERROR(__xludf.DUMMYFUNCTION("""COMPUTED_VALUE"""),"Plumbing")</f>
        <v>Plumbing</v>
      </c>
      <c r="E224" s="3" t="str">
        <f>IFERROR(__xludf.DUMMYFUNCTION("""COMPUTED_VALUE"""),"-")</f>
        <v>-</v>
      </c>
      <c r="F224" s="3" t="str">
        <f>IFERROR(__xludf.DUMMYFUNCTION("""COMPUTED_VALUE"""),"RUCIKA - Pipa PVC AW dia 1 inch Warna Abu-Abu")</f>
        <v>RUCIKA - Pipa PVC AW dia 1 inch Warna Abu-Abu</v>
      </c>
      <c r="G224" s="3">
        <f>IFERROR(__xludf.DUMMYFUNCTION("""COMPUTED_VALUE"""),6.0)</f>
        <v>6</v>
      </c>
      <c r="H224" s="3" t="str">
        <f>IFERROR(__xludf.DUMMYFUNCTION("""COMPUTED_VALUE"""),"Pcs")</f>
        <v>Pcs</v>
      </c>
      <c r="I224" s="3" t="str">
        <f>IFERROR(__xludf.DUMMYFUNCTION("""COMPUTED_VALUE"""),"Deliver")</f>
        <v>Deliver</v>
      </c>
      <c r="J224" s="3" t="str">
        <f>IFERROR(__xludf.DUMMYFUNCTION("""COMPUTED_VALUE"""),"-")</f>
        <v>-</v>
      </c>
      <c r="K224" s="3" t="str">
        <f>IFERROR(__xludf.DUMMYFUNCTION("""COMPUTED_VALUE"""),"-")</f>
        <v>-</v>
      </c>
    </row>
    <row r="225">
      <c r="A225" s="3" t="str">
        <f>IFERROR(__xludf.DUMMYFUNCTION("""COMPUTED_VALUE"""),"MOBRO0054")</f>
        <v>MOBRO0054</v>
      </c>
      <c r="B225" s="4">
        <f>IFERROR(__xludf.DUMMYFUNCTION("""COMPUTED_VALUE"""),45824.68404150463)</f>
        <v>45824.68404</v>
      </c>
      <c r="C225" s="3">
        <f>IFERROR(__xludf.DUMMYFUNCTION("""COMPUTED_VALUE"""),45825.561489189815)</f>
        <v>45825.56149</v>
      </c>
      <c r="D225" s="3" t="str">
        <f>IFERROR(__xludf.DUMMYFUNCTION("""COMPUTED_VALUE"""),"Support Part")</f>
        <v>Support Part</v>
      </c>
      <c r="E225" s="3" t="str">
        <f>IFERROR(__xludf.DUMMYFUNCTION("""COMPUTED_VALUE"""),"-")</f>
        <v>-</v>
      </c>
      <c r="F225" s="3" t="str">
        <f>IFERROR(__xludf.DUMMYFUNCTION("""COMPUTED_VALUE"""),"Container Box; Claris; ;")</f>
        <v>Container Box; Claris; ;</v>
      </c>
      <c r="G225" s="3">
        <f>IFERROR(__xludf.DUMMYFUNCTION("""COMPUTED_VALUE"""),2.0)</f>
        <v>2</v>
      </c>
      <c r="H225" s="3" t="str">
        <f>IFERROR(__xludf.DUMMYFUNCTION("""COMPUTED_VALUE"""),"Pcs")</f>
        <v>Pcs</v>
      </c>
      <c r="I225" s="3" t="str">
        <f>IFERROR(__xludf.DUMMYFUNCTION("""COMPUTED_VALUE"""),"Deliver")</f>
        <v>Deliver</v>
      </c>
      <c r="J225" s="3" t="str">
        <f>IFERROR(__xludf.DUMMYFUNCTION("""COMPUTED_VALUE"""),"-")</f>
        <v>-</v>
      </c>
      <c r="K225" s="3" t="str">
        <f>IFERROR(__xludf.DUMMYFUNCTION("""COMPUTED_VALUE"""),"-")</f>
        <v>-</v>
      </c>
    </row>
    <row r="226">
      <c r="A226" s="3" t="str">
        <f>IFERROR(__xludf.DUMMYFUNCTION("""COMPUTED_VALUE"""),"SFHRO0010")</f>
        <v>SFHRO0010</v>
      </c>
      <c r="B226" s="4">
        <f>IFERROR(__xludf.DUMMYFUNCTION("""COMPUTED_VALUE"""),45824.713355023145)</f>
        <v>45824.71336</v>
      </c>
      <c r="C226" s="3">
        <f>IFERROR(__xludf.DUMMYFUNCTION("""COMPUTED_VALUE"""),45825.46792096065)</f>
        <v>45825.46792</v>
      </c>
      <c r="D226" s="3" t="str">
        <f>IFERROR(__xludf.DUMMYFUNCTION("""COMPUTED_VALUE"""),"lantai 2")</f>
        <v>lantai 2</v>
      </c>
      <c r="E226" s="3" t="str">
        <f>IFERROR(__xludf.DUMMYFUNCTION("""COMPUTED_VALUE"""),"-")</f>
        <v>-</v>
      </c>
      <c r="F226" s="3" t="str">
        <f>IFERROR(__xludf.DUMMYFUNCTION("""COMPUTED_VALUE"""),"General - Chemical Cleaning; Kuclean; AC 101; 1 PL = 25 Kg")</f>
        <v>General - Chemical Cleaning; Kuclean; AC 101; 1 PL = 25 Kg</v>
      </c>
      <c r="G226" s="3">
        <f>IFERROR(__xludf.DUMMYFUNCTION("""COMPUTED_VALUE"""),25.0)</f>
        <v>25</v>
      </c>
      <c r="H226" s="3" t="str">
        <f>IFERROR(__xludf.DUMMYFUNCTION("""COMPUTED_VALUE"""),"jerigen")</f>
        <v>jerigen</v>
      </c>
      <c r="I226" s="3" t="str">
        <f>IFERROR(__xludf.DUMMYFUNCTION("""COMPUTED_VALUE"""),"Deliver")</f>
        <v>Deliver</v>
      </c>
      <c r="J226" s="3" t="str">
        <f>IFERROR(__xludf.DUMMYFUNCTION("""COMPUTED_VALUE"""),"-")</f>
        <v>-</v>
      </c>
      <c r="K226" s="3" t="str">
        <f>IFERROR(__xludf.DUMMYFUNCTION("""COMPUTED_VALUE"""),"-")</f>
        <v>-</v>
      </c>
    </row>
    <row r="227">
      <c r="A227" s="3" t="str">
        <f>IFERROR(__xludf.DUMMYFUNCTION("""COMPUTED_VALUE"""),"RIARO0039")</f>
        <v>RIARO0039</v>
      </c>
      <c r="B227" s="4">
        <f>IFERROR(__xludf.DUMMYFUNCTION("""COMPUTED_VALUE"""),45825.50367079861)</f>
        <v>45825.50367</v>
      </c>
      <c r="C227" s="3">
        <f>IFERROR(__xludf.DUMMYFUNCTION("""COMPUTED_VALUE"""),45826.57673298611)</f>
        <v>45826.57673</v>
      </c>
      <c r="D227" s="3" t="str">
        <f>IFERROR(__xludf.DUMMYFUNCTION("""COMPUTED_VALUE"""),"Water System")</f>
        <v>Water System</v>
      </c>
      <c r="E227" s="3" t="str">
        <f>IFERROR(__xludf.DUMMYFUNCTION("""COMPUTED_VALUE"""),"-")</f>
        <v>-</v>
      </c>
      <c r="F227" s="3" t="str">
        <f>IFERROR(__xludf.DUMMYFUNCTION("""COMPUTED_VALUE"""),"General - Emflon PFR membrane filter cartridge, 0.2 um sterilizing grade, 5-inch length, double-o-ring (silicone) with bayonet lock and flat end; Pall; AB05PFR2PVH4; 1 pcs")</f>
        <v>General - Emflon PFR membrane filter cartridge, 0.2 um sterilizing grade, 5-inch length, double-o-ring (silicone) with bayonet lock and flat end; Pall; AB05PFR2PVH4; 1 pcs</v>
      </c>
      <c r="G227" s="3">
        <f>IFERROR(__xludf.DUMMYFUNCTION("""COMPUTED_VALUE"""),2.0)</f>
        <v>2</v>
      </c>
      <c r="H227" s="3" t="str">
        <f>IFERROR(__xludf.DUMMYFUNCTION("""COMPUTED_VALUE"""),"Pcs")</f>
        <v>Pcs</v>
      </c>
      <c r="I227" s="3" t="str">
        <f>IFERROR(__xludf.DUMMYFUNCTION("""COMPUTED_VALUE"""),"Deliver")</f>
        <v>Deliver</v>
      </c>
      <c r="J227" s="3" t="str">
        <f>IFERROR(__xludf.DUMMYFUNCTION("""COMPUTED_VALUE"""),"-")</f>
        <v>-</v>
      </c>
      <c r="K227" s="3" t="str">
        <f>IFERROR(__xludf.DUMMYFUNCTION("""COMPUTED_VALUE"""),"-")</f>
        <v>-</v>
      </c>
    </row>
    <row r="228">
      <c r="A228" s="3" t="str">
        <f>IFERROR(__xludf.DUMMYFUNCTION("""COMPUTED_VALUE"""),"RIARO0040")</f>
        <v>RIARO0040</v>
      </c>
      <c r="B228" s="4">
        <f>IFERROR(__xludf.DUMMYFUNCTION("""COMPUTED_VALUE"""),45825.504116909724)</f>
        <v>45825.50412</v>
      </c>
      <c r="C228" s="3">
        <f>IFERROR(__xludf.DUMMYFUNCTION("""COMPUTED_VALUE"""),45826.57694428241)</f>
        <v>45826.57694</v>
      </c>
      <c r="D228" s="3" t="str">
        <f>IFERROR(__xludf.DUMMYFUNCTION("""COMPUTED_VALUE"""),"Water System")</f>
        <v>Water System</v>
      </c>
      <c r="E228" s="3" t="str">
        <f>IFERROR(__xludf.DUMMYFUNCTION("""COMPUTED_VALUE"""),"-")</f>
        <v>-</v>
      </c>
      <c r="F228" s="3" t="str">
        <f>IFERROR(__xludf.DUMMYFUNCTION("""COMPUTED_VALUE"""),"PALL - AB1PFR7PVH4, 0.2 um; ; ;")</f>
        <v>PALL - AB1PFR7PVH4, 0.2 um; ; ;</v>
      </c>
      <c r="G228" s="3">
        <f>IFERROR(__xludf.DUMMYFUNCTION("""COMPUTED_VALUE"""),2.0)</f>
        <v>2</v>
      </c>
      <c r="H228" s="3" t="str">
        <f>IFERROR(__xludf.DUMMYFUNCTION("""COMPUTED_VALUE"""),"Pcs")</f>
        <v>Pcs</v>
      </c>
      <c r="I228" s="3" t="str">
        <f>IFERROR(__xludf.DUMMYFUNCTION("""COMPUTED_VALUE"""),"Deliver")</f>
        <v>Deliver</v>
      </c>
      <c r="J228" s="3" t="str">
        <f>IFERROR(__xludf.DUMMYFUNCTION("""COMPUTED_VALUE"""),"-")</f>
        <v>-</v>
      </c>
      <c r="K228" s="3" t="str">
        <f>IFERROR(__xludf.DUMMYFUNCTION("""COMPUTED_VALUE"""),"-")</f>
        <v>-</v>
      </c>
    </row>
    <row r="229">
      <c r="A229" s="3" t="str">
        <f>IFERROR(__xludf.DUMMYFUNCTION("""COMPUTED_VALUE"""),"RIARO0041")</f>
        <v>RIARO0041</v>
      </c>
      <c r="B229" s="4">
        <f>IFERROR(__xludf.DUMMYFUNCTION("""COMPUTED_VALUE"""),45825.51416234954)</f>
        <v>45825.51416</v>
      </c>
      <c r="C229" s="3">
        <f>IFERROR(__xludf.DUMMYFUNCTION("""COMPUTED_VALUE"""),45826.57715964121)</f>
        <v>45826.57716</v>
      </c>
      <c r="D229" s="3" t="str">
        <f>IFERROR(__xludf.DUMMYFUNCTION("""COMPUTED_VALUE"""),"Water System")</f>
        <v>Water System</v>
      </c>
      <c r="E229" s="3" t="str">
        <f>IFERROR(__xludf.DUMMYFUNCTION("""COMPUTED_VALUE"""),"-")</f>
        <v>-</v>
      </c>
      <c r="F229" s="3" t="str">
        <f>IFERROR(__xludf.DUMMYFUNCTION("""COMPUTED_VALUE"""),"IMA F200 Filling Machine - Pall Mini Kleenpak Capsules with Supor EKV Membrane, Filter Capsule 4,1""/0,2 um/0,02 m2/Hydrophilic PVDF/code2/0,25-0,5"" hose barb; Pall; KA02DFLP8G; 1 pcs")</f>
        <v>IMA F200 Filling Machine - Pall Mini Kleenpak Capsules with Supor EKV Membrane, Filter Capsule 4,1"/0,2 um/0,02 m2/Hydrophilic PVDF/code2/0,25-0,5" hose barb; Pall; KA02DFLP8G; 1 pcs</v>
      </c>
      <c r="G229" s="3">
        <f>IFERROR(__xludf.DUMMYFUNCTION("""COMPUTED_VALUE"""),2.0)</f>
        <v>2</v>
      </c>
      <c r="H229" s="3" t="str">
        <f>IFERROR(__xludf.DUMMYFUNCTION("""COMPUTED_VALUE"""),"Pcs")</f>
        <v>Pcs</v>
      </c>
      <c r="I229" s="3" t="str">
        <f>IFERROR(__xludf.DUMMYFUNCTION("""COMPUTED_VALUE"""),"Deliver")</f>
        <v>Deliver</v>
      </c>
      <c r="J229" s="3" t="str">
        <f>IFERROR(__xludf.DUMMYFUNCTION("""COMPUTED_VALUE"""),"-")</f>
        <v>-</v>
      </c>
      <c r="K229" s="3" t="str">
        <f>IFERROR(__xludf.DUMMYFUNCTION("""COMPUTED_VALUE"""),"-")</f>
        <v>-</v>
      </c>
    </row>
    <row r="230">
      <c r="A230" s="3" t="str">
        <f>IFERROR(__xludf.DUMMYFUNCTION("""COMPUTED_VALUE"""),"RIARO0042")</f>
        <v>RIARO0042</v>
      </c>
      <c r="B230" s="4">
        <f>IFERROR(__xludf.DUMMYFUNCTION("""COMPUTED_VALUE"""),45825.51444255788)</f>
        <v>45825.51444</v>
      </c>
      <c r="C230" s="3">
        <f>IFERROR(__xludf.DUMMYFUNCTION("""COMPUTED_VALUE"""),45826.57735412037)</f>
        <v>45826.57735</v>
      </c>
      <c r="D230" s="3" t="str">
        <f>IFERROR(__xludf.DUMMYFUNCTION("""COMPUTED_VALUE"""),"Water System")</f>
        <v>Water System</v>
      </c>
      <c r="E230" s="3" t="str">
        <f>IFERROR(__xludf.DUMMYFUNCTION("""COMPUTED_VALUE"""),"-")</f>
        <v>-</v>
      </c>
      <c r="F230" s="3" t="str">
        <f>IFERROR(__xludf.DUMMYFUNCTION("""COMPUTED_VALUE"""),"AUTOCLAVE Lab Mikro - PALL Emflon Filter 0,2um p/n C3PFRP1")</f>
        <v>AUTOCLAVE Lab Mikro - PALL Emflon Filter 0,2um p/n C3PFRP1</v>
      </c>
      <c r="G230" s="3">
        <f>IFERROR(__xludf.DUMMYFUNCTION("""COMPUTED_VALUE"""),2.0)</f>
        <v>2</v>
      </c>
      <c r="H230" s="3" t="str">
        <f>IFERROR(__xludf.DUMMYFUNCTION("""COMPUTED_VALUE"""),"Pcs")</f>
        <v>Pcs</v>
      </c>
      <c r="I230" s="3" t="str">
        <f>IFERROR(__xludf.DUMMYFUNCTION("""COMPUTED_VALUE"""),"Deliver")</f>
        <v>Deliver</v>
      </c>
      <c r="J230" s="3" t="str">
        <f>IFERROR(__xludf.DUMMYFUNCTION("""COMPUTED_VALUE"""),"-")</f>
        <v>-</v>
      </c>
      <c r="K230" s="3" t="str">
        <f>IFERROR(__xludf.DUMMYFUNCTION("""COMPUTED_VALUE"""),"-")</f>
        <v>-</v>
      </c>
    </row>
    <row r="231">
      <c r="A231" s="3" t="str">
        <f>IFERROR(__xludf.DUMMYFUNCTION("""COMPUTED_VALUE"""),"MRNRO0021")</f>
        <v>MRNRO0021</v>
      </c>
      <c r="B231" s="4">
        <f>IFERROR(__xludf.DUMMYFUNCTION("""COMPUTED_VALUE"""),45833.13751090277)</f>
        <v>45833.13751</v>
      </c>
      <c r="C231" s="3">
        <f>IFERROR(__xludf.DUMMYFUNCTION("""COMPUTED_VALUE"""),45838.871007511574)</f>
        <v>45838.87101</v>
      </c>
      <c r="D231" s="3" t="str">
        <f>IFERROR(__xludf.DUMMYFUNCTION("""COMPUTED_VALUE"""),"wwtp")</f>
        <v>wwtp</v>
      </c>
      <c r="E231" s="3" t="str">
        <f>IFERROR(__xludf.DUMMYFUNCTION("""COMPUTED_VALUE"""),"EJO/2025/06/162")</f>
        <v>EJO/2025/06/162</v>
      </c>
      <c r="F231" s="3" t="str">
        <f>IFERROR(__xludf.DUMMYFUNCTION("""COMPUTED_VALUE"""),"Water Mur PVC dia 1inch")</f>
        <v>Water Mur PVC dia 1inch</v>
      </c>
      <c r="G231" s="3">
        <f>IFERROR(__xludf.DUMMYFUNCTION("""COMPUTED_VALUE"""),5.0)</f>
        <v>5</v>
      </c>
      <c r="H231" s="3" t="str">
        <f>IFERROR(__xludf.DUMMYFUNCTION("""COMPUTED_VALUE"""),"pcs")</f>
        <v>pcs</v>
      </c>
      <c r="I231" s="3" t="str">
        <f>IFERROR(__xludf.DUMMYFUNCTION("""COMPUTED_VALUE"""),"Deliver")</f>
        <v>Deliver</v>
      </c>
      <c r="J231" s="3" t="str">
        <f>IFERROR(__xludf.DUMMYFUNCTION("""COMPUTED_VALUE"""),"-")</f>
        <v>-</v>
      </c>
      <c r="K231" s="3" t="str">
        <f>IFERROR(__xludf.DUMMYFUNCTION("""COMPUTED_VALUE"""),"-")</f>
        <v>-</v>
      </c>
    </row>
    <row r="232">
      <c r="A232" s="3" t="str">
        <f>IFERROR(__xludf.DUMMYFUNCTION("""COMPUTED_VALUE"""),"MRNRO0022")</f>
        <v>MRNRO0022</v>
      </c>
      <c r="B232" s="4">
        <f>IFERROR(__xludf.DUMMYFUNCTION("""COMPUTED_VALUE"""),45833.138484780095)</f>
        <v>45833.13848</v>
      </c>
      <c r="C232" s="3">
        <f>IFERROR(__xludf.DUMMYFUNCTION("""COMPUTED_VALUE"""),45838.870817013885)</f>
        <v>45838.87082</v>
      </c>
      <c r="D232" s="3" t="str">
        <f>IFERROR(__xludf.DUMMYFUNCTION("""COMPUTED_VALUE"""),"wwtp")</f>
        <v>wwtp</v>
      </c>
      <c r="E232" s="3" t="str">
        <f>IFERROR(__xludf.DUMMYFUNCTION("""COMPUTED_VALUE"""),"EJO/2025/06/163")</f>
        <v>EJO/2025/06/163</v>
      </c>
      <c r="F232" s="3" t="str">
        <f>IFERROR(__xludf.DUMMYFUNCTION("""COMPUTED_VALUE"""),"Ball Valve PVC 1""")</f>
        <v>Ball Valve PVC 1"</v>
      </c>
      <c r="G232" s="3">
        <f>IFERROR(__xludf.DUMMYFUNCTION("""COMPUTED_VALUE"""),5.0)</f>
        <v>5</v>
      </c>
      <c r="H232" s="3" t="str">
        <f>IFERROR(__xludf.DUMMYFUNCTION("""COMPUTED_VALUE"""),"pcs")</f>
        <v>pcs</v>
      </c>
      <c r="I232" s="3" t="str">
        <f>IFERROR(__xludf.DUMMYFUNCTION("""COMPUTED_VALUE"""),"Deliver")</f>
        <v>Deliver</v>
      </c>
      <c r="J232" s="3" t="str">
        <f>IFERROR(__xludf.DUMMYFUNCTION("""COMPUTED_VALUE"""),"-")</f>
        <v>-</v>
      </c>
      <c r="K232" s="3" t="str">
        <f>IFERROR(__xludf.DUMMYFUNCTION("""COMPUTED_VALUE"""),"-")</f>
        <v>-</v>
      </c>
    </row>
    <row r="233">
      <c r="A233" s="3" t="str">
        <f>IFERROR(__xludf.DUMMYFUNCTION("""COMPUTED_VALUE"""),"MRNRO0023")</f>
        <v>MRNRO0023</v>
      </c>
      <c r="B233" s="4">
        <f>IFERROR(__xludf.DUMMYFUNCTION("""COMPUTED_VALUE"""),45833.139160694445)</f>
        <v>45833.13916</v>
      </c>
      <c r="C233" s="3">
        <f>IFERROR(__xludf.DUMMYFUNCTION("""COMPUTED_VALUE"""),45838.87061869213)</f>
        <v>45838.87062</v>
      </c>
      <c r="D233" s="3" t="str">
        <f>IFERROR(__xludf.DUMMYFUNCTION("""COMPUTED_VALUE"""),"wwtp")</f>
        <v>wwtp</v>
      </c>
      <c r="E233" s="3" t="str">
        <f>IFERROR(__xludf.DUMMYFUNCTION("""COMPUTED_VALUE"""),"EJO/2025/06/164")</f>
        <v>EJO/2025/06/164</v>
      </c>
      <c r="F233" s="3" t="str">
        <f>IFERROR(__xludf.DUMMYFUNCTION("""COMPUTED_VALUE"""),"General - Clamp Selang, SS 1 1/4""; Tridon; -; 1 pcs")</f>
        <v>General - Clamp Selang, SS 1 1/4"; Tridon; -; 1 pcs</v>
      </c>
      <c r="G233" s="3">
        <f>IFERROR(__xludf.DUMMYFUNCTION("""COMPUTED_VALUE"""),5.0)</f>
        <v>5</v>
      </c>
      <c r="H233" s="3" t="str">
        <f>IFERROR(__xludf.DUMMYFUNCTION("""COMPUTED_VALUE"""),"pcs")</f>
        <v>pcs</v>
      </c>
      <c r="I233" s="3" t="str">
        <f>IFERROR(__xludf.DUMMYFUNCTION("""COMPUTED_VALUE"""),"Deliver")</f>
        <v>Deliver</v>
      </c>
      <c r="J233" s="3" t="str">
        <f>IFERROR(__xludf.DUMMYFUNCTION("""COMPUTED_VALUE"""),"-")</f>
        <v>-</v>
      </c>
      <c r="K233" s="3" t="str">
        <f>IFERROR(__xludf.DUMMYFUNCTION("""COMPUTED_VALUE"""),"-")</f>
        <v>-</v>
      </c>
    </row>
    <row r="234">
      <c r="A234" s="3" t="str">
        <f>IFERROR(__xludf.DUMMYFUNCTION("""COMPUTED_VALUE"""),"MFHRO0100")</f>
        <v>MFHRO0100</v>
      </c>
      <c r="B234" s="4">
        <f>IFERROR(__xludf.DUMMYFUNCTION("""COMPUTED_VALUE"""),45834.858387569446)</f>
        <v>45834.85839</v>
      </c>
      <c r="C234" s="3">
        <f>IFERROR(__xludf.DUMMYFUNCTION("""COMPUTED_VALUE"""),45838.6246794676)</f>
        <v>45838.62468</v>
      </c>
      <c r="D234" s="3" t="str">
        <f>IFERROR(__xludf.DUMMYFUNCTION("""COMPUTED_VALUE"""),"General")</f>
        <v>General</v>
      </c>
      <c r="E234" s="3" t="str">
        <f>IFERROR(__xludf.DUMMYFUNCTION("""COMPUTED_VALUE"""),"-")</f>
        <v>-</v>
      </c>
      <c r="F234" s="3" t="str">
        <f>IFERROR(__xludf.DUMMYFUNCTION("""COMPUTED_VALUE"""),"Cleaner Stainless Stell &amp; Polish; 3M; ;")</f>
        <v>Cleaner Stainless Stell &amp; Polish; 3M; ;</v>
      </c>
      <c r="G234" s="3">
        <f>IFERROR(__xludf.DUMMYFUNCTION("""COMPUTED_VALUE"""),2.0)</f>
        <v>2</v>
      </c>
      <c r="H234" s="3" t="str">
        <f>IFERROR(__xludf.DUMMYFUNCTION("""COMPUTED_VALUE"""),"Can")</f>
        <v>Can</v>
      </c>
      <c r="I234" s="3" t="str">
        <f>IFERROR(__xludf.DUMMYFUNCTION("""COMPUTED_VALUE"""),"Deliver")</f>
        <v>Deliver</v>
      </c>
      <c r="J234" s="3" t="str">
        <f>IFERROR(__xludf.DUMMYFUNCTION("""COMPUTED_VALUE"""),"-")</f>
        <v>-</v>
      </c>
      <c r="K234" s="3" t="str">
        <f>IFERROR(__xludf.DUMMYFUNCTION("""COMPUTED_VALUE"""),"-")</f>
        <v>-</v>
      </c>
    </row>
    <row r="235">
      <c r="A235" s="3" t="str">
        <f>IFERROR(__xludf.DUMMYFUNCTION("""COMPUTED_VALUE"""),"MFHRO0101")</f>
        <v>MFHRO0101</v>
      </c>
      <c r="B235" s="4">
        <f>IFERROR(__xludf.DUMMYFUNCTION("""COMPUTED_VALUE"""),45834.858387569446)</f>
        <v>45834.85839</v>
      </c>
      <c r="C235" s="3">
        <f>IFERROR(__xludf.DUMMYFUNCTION("""COMPUTED_VALUE"""),45838.6249025463)</f>
        <v>45838.6249</v>
      </c>
      <c r="D235" s="3" t="str">
        <f>IFERROR(__xludf.DUMMYFUNCTION("""COMPUTED_VALUE"""),"Building")</f>
        <v>Building</v>
      </c>
      <c r="E235" s="3" t="str">
        <f>IFERROR(__xludf.DUMMYFUNCTION("""COMPUTED_VALUE"""),"-")</f>
        <v>-</v>
      </c>
      <c r="F235" s="3" t="str">
        <f>IFERROR(__xludf.DUMMYFUNCTION("""COMPUTED_VALUE"""),"Lampu PLC 13watt/E27 Putih; Phillips; ;")</f>
        <v>Lampu PLC 13watt/E27 Putih; Phillips; ;</v>
      </c>
      <c r="G235" s="3">
        <f>IFERROR(__xludf.DUMMYFUNCTION("""COMPUTED_VALUE"""),15.0)</f>
        <v>15</v>
      </c>
      <c r="H235" s="3" t="str">
        <f>IFERROR(__xludf.DUMMYFUNCTION("""COMPUTED_VALUE"""),"Pieces")</f>
        <v>Pieces</v>
      </c>
      <c r="I235" s="3" t="str">
        <f>IFERROR(__xludf.DUMMYFUNCTION("""COMPUTED_VALUE"""),"Deliver")</f>
        <v>Deliver</v>
      </c>
      <c r="J235" s="3" t="str">
        <f>IFERROR(__xludf.DUMMYFUNCTION("""COMPUTED_VALUE"""),"-")</f>
        <v>-</v>
      </c>
      <c r="K235" s="3" t="str">
        <f>IFERROR(__xludf.DUMMYFUNCTION("""COMPUTED_VALUE"""),"-")</f>
        <v>-</v>
      </c>
    </row>
    <row r="236">
      <c r="A236" s="3" t="str">
        <f>IFERROR(__xludf.DUMMYFUNCTION("""COMPUTED_VALUE"""),"MFHRO0102")</f>
        <v>MFHRO0102</v>
      </c>
      <c r="B236" s="4">
        <f>IFERROR(__xludf.DUMMYFUNCTION("""COMPUTED_VALUE"""),45834.858387569446)</f>
        <v>45834.85839</v>
      </c>
      <c r="C236" s="3">
        <f>IFERROR(__xludf.DUMMYFUNCTION("""COMPUTED_VALUE"""),45838.62586888889)</f>
        <v>45838.62587</v>
      </c>
      <c r="D236" s="3" t="str">
        <f>IFERROR(__xludf.DUMMYFUNCTION("""COMPUTED_VALUE"""),"cRABS")</f>
        <v>cRABS</v>
      </c>
      <c r="E236" s="3" t="str">
        <f>IFERROR(__xludf.DUMMYFUNCTION("""COMPUTED_VALUE"""),"-")</f>
        <v>-</v>
      </c>
      <c r="F236" s="3" t="str">
        <f>IFERROR(__xludf.DUMMYFUNCTION("""COMPUTED_VALUE"""),"General - Isolator Glove Smaller glove CSM  (AS : E10330 Y 7 E4); Austar; ; 1 Pc")</f>
        <v>General - Isolator Glove Smaller glove CSM  (AS : E10330 Y 7 E4); Austar; ; 1 Pc</v>
      </c>
      <c r="G236" s="3">
        <f>IFERROR(__xludf.DUMMYFUNCTION("""COMPUTED_VALUE"""),20.0)</f>
        <v>20</v>
      </c>
      <c r="H236" s="3" t="str">
        <f>IFERROR(__xludf.DUMMYFUNCTION("""COMPUTED_VALUE"""),"Pieces")</f>
        <v>Pieces</v>
      </c>
      <c r="I236" s="3" t="str">
        <f>IFERROR(__xludf.DUMMYFUNCTION("""COMPUTED_VALUE"""),"Deliver")</f>
        <v>Deliver</v>
      </c>
      <c r="J236" s="3" t="str">
        <f>IFERROR(__xludf.DUMMYFUNCTION("""COMPUTED_VALUE"""),"-")</f>
        <v>-</v>
      </c>
      <c r="K236" s="3" t="str">
        <f>IFERROR(__xludf.DUMMYFUNCTION("""COMPUTED_VALUE"""),"-")</f>
        <v>-</v>
      </c>
    </row>
    <row r="237">
      <c r="A237" s="3" t="str">
        <f>IFERROR(__xludf.DUMMYFUNCTION("""COMPUTED_VALUE"""),"MFHRO0103")</f>
        <v>MFHRO0103</v>
      </c>
      <c r="B237" s="4">
        <f>IFERROR(__xludf.DUMMYFUNCTION("""COMPUTED_VALUE"""),45834.858387569446)</f>
        <v>45834.85839</v>
      </c>
      <c r="C237" s="3">
        <f>IFERROR(__xludf.DUMMYFUNCTION("""COMPUTED_VALUE"""),45838.627190439816)</f>
        <v>45838.62719</v>
      </c>
      <c r="D237" s="3" t="str">
        <f>IFERROR(__xludf.DUMMYFUNCTION("""COMPUTED_VALUE"""),"Capping")</f>
        <v>Capping</v>
      </c>
      <c r="E237" s="3" t="str">
        <f>IFERROR(__xludf.DUMMYFUNCTION("""COMPUTED_VALUE"""),"-")</f>
        <v>-</v>
      </c>
      <c r="F237" s="3" t="str">
        <f>IFERROR(__xludf.DUMMYFUNCTION("""COMPUTED_VALUE"""),"General - Oring Silicone Merah 23x18x2.5 mm; -; -; 1 Pc")</f>
        <v>General - Oring Silicone Merah 23x18x2.5 mm; -; -; 1 Pc</v>
      </c>
      <c r="G237" s="3">
        <f>IFERROR(__xludf.DUMMYFUNCTION("""COMPUTED_VALUE"""),150.0)</f>
        <v>150</v>
      </c>
      <c r="H237" s="3" t="str">
        <f>IFERROR(__xludf.DUMMYFUNCTION("""COMPUTED_VALUE"""),"Pieces")</f>
        <v>Pieces</v>
      </c>
      <c r="I237" s="3" t="str">
        <f>IFERROR(__xludf.DUMMYFUNCTION("""COMPUTED_VALUE"""),"Deliver")</f>
        <v>Deliver</v>
      </c>
      <c r="J237" s="3" t="str">
        <f>IFERROR(__xludf.DUMMYFUNCTION("""COMPUTED_VALUE"""),"-")</f>
        <v>-</v>
      </c>
      <c r="K237" s="3" t="str">
        <f>IFERROR(__xludf.DUMMYFUNCTION("""COMPUTED_VALUE"""),"-")</f>
        <v>-</v>
      </c>
    </row>
    <row r="238">
      <c r="A238" s="3" t="str">
        <f>IFERROR(__xludf.DUMMYFUNCTION("""COMPUTED_VALUE"""),"MFHRO0104")</f>
        <v>MFHRO0104</v>
      </c>
      <c r="B238" s="4">
        <f>IFERROR(__xludf.DUMMYFUNCTION("""COMPUTED_VALUE"""),45834.858387569446)</f>
        <v>45834.85839</v>
      </c>
      <c r="C238" s="3">
        <f>IFERROR(__xludf.DUMMYFUNCTION("""COMPUTED_VALUE"""),45838.627637604164)</f>
        <v>45838.62764</v>
      </c>
      <c r="D238" s="3" t="str">
        <f>IFERROR(__xludf.DUMMYFUNCTION("""COMPUTED_VALUE"""),"General")</f>
        <v>General</v>
      </c>
      <c r="E238" s="3" t="str">
        <f>IFERROR(__xludf.DUMMYFUNCTION("""COMPUTED_VALUE"""),"-")</f>
        <v>-</v>
      </c>
      <c r="F238" s="3" t="str">
        <f>IFERROR(__xludf.DUMMYFUNCTION("""COMPUTED_VALUE"""),"General - Push-in Connector, QS-8; Festo; 153033; 1 pcs")</f>
        <v>General - Push-in Connector, QS-8; Festo; 153033; 1 pcs</v>
      </c>
      <c r="G238" s="3">
        <f>IFERROR(__xludf.DUMMYFUNCTION("""COMPUTED_VALUE"""),10.0)</f>
        <v>10</v>
      </c>
      <c r="H238" s="3" t="str">
        <f>IFERROR(__xludf.DUMMYFUNCTION("""COMPUTED_VALUE"""),"Pieces")</f>
        <v>Pieces</v>
      </c>
      <c r="I238" s="3" t="str">
        <f>IFERROR(__xludf.DUMMYFUNCTION("""COMPUTED_VALUE"""),"Deliver")</f>
        <v>Deliver</v>
      </c>
      <c r="J238" s="3" t="str">
        <f>IFERROR(__xludf.DUMMYFUNCTION("""COMPUTED_VALUE"""),"-")</f>
        <v>-</v>
      </c>
      <c r="K238" s="3" t="str">
        <f>IFERROR(__xludf.DUMMYFUNCTION("""COMPUTED_VALUE"""),"-")</f>
        <v>-</v>
      </c>
    </row>
    <row r="239">
      <c r="A239" s="3" t="str">
        <f>IFERROR(__xludf.DUMMYFUNCTION("""COMPUTED_VALUE"""),"MFHRO0105")</f>
        <v>MFHRO0105</v>
      </c>
      <c r="B239" s="4">
        <f>IFERROR(__xludf.DUMMYFUNCTION("""COMPUTED_VALUE"""),45834.858387569446)</f>
        <v>45834.85839</v>
      </c>
      <c r="C239" s="3">
        <f>IFERROR(__xludf.DUMMYFUNCTION("""COMPUTED_VALUE"""),45838.62789685185)</f>
        <v>45838.6279</v>
      </c>
      <c r="D239" s="3" t="str">
        <f>IFERROR(__xludf.DUMMYFUNCTION("""COMPUTED_VALUE"""),"General")</f>
        <v>General</v>
      </c>
      <c r="E239" s="3" t="str">
        <f>IFERROR(__xludf.DUMMYFUNCTION("""COMPUTED_VALUE"""),"-")</f>
        <v>-</v>
      </c>
      <c r="F239" s="3" t="str">
        <f>IFERROR(__xludf.DUMMYFUNCTION("""COMPUTED_VALUE"""),"General - Push-in Connector, QS-8-6; Festo; 153038; 1 pcs")</f>
        <v>General - Push-in Connector, QS-8-6; Festo; 153038; 1 pcs</v>
      </c>
      <c r="G239" s="3">
        <f>IFERROR(__xludf.DUMMYFUNCTION("""COMPUTED_VALUE"""),4.0)</f>
        <v>4</v>
      </c>
      <c r="H239" s="3" t="str">
        <f>IFERROR(__xludf.DUMMYFUNCTION("""COMPUTED_VALUE"""),"Pieces")</f>
        <v>Pieces</v>
      </c>
      <c r="I239" s="3" t="str">
        <f>IFERROR(__xludf.DUMMYFUNCTION("""COMPUTED_VALUE"""),"Deliver")</f>
        <v>Deliver</v>
      </c>
      <c r="J239" s="3" t="str">
        <f>IFERROR(__xludf.DUMMYFUNCTION("""COMPUTED_VALUE"""),"-")</f>
        <v>-</v>
      </c>
      <c r="K239" s="3" t="str">
        <f>IFERROR(__xludf.DUMMYFUNCTION("""COMPUTED_VALUE"""),"-")</f>
        <v>-</v>
      </c>
    </row>
    <row r="240">
      <c r="A240" s="3" t="str">
        <f>IFERROR(__xludf.DUMMYFUNCTION("""COMPUTED_VALUE"""),"MFHRO0106")</f>
        <v>MFHRO0106</v>
      </c>
      <c r="B240" s="4">
        <f>IFERROR(__xludf.DUMMYFUNCTION("""COMPUTED_VALUE"""),45834.858387569446)</f>
        <v>45834.85839</v>
      </c>
      <c r="C240" s="3">
        <f>IFERROR(__xludf.DUMMYFUNCTION("""COMPUTED_VALUE"""),45838.62813509259)</f>
        <v>45838.62814</v>
      </c>
      <c r="D240" s="3" t="str">
        <f>IFERROR(__xludf.DUMMYFUNCTION("""COMPUTED_VALUE"""),"Building")</f>
        <v>Building</v>
      </c>
      <c r="E240" s="3" t="str">
        <f>IFERROR(__xludf.DUMMYFUNCTION("""COMPUTED_VALUE"""),"-")</f>
        <v>-</v>
      </c>
      <c r="F240" s="3" t="str">
        <f>IFERROR(__xludf.DUMMYFUNCTION("""COMPUTED_VALUE"""),"Handle Pintu Bulat, Elbow Press Lock; Meroni; N13NE TB127;")</f>
        <v>Handle Pintu Bulat, Elbow Press Lock; Meroni; N13NE TB127;</v>
      </c>
      <c r="G240" s="3">
        <f>IFERROR(__xludf.DUMMYFUNCTION("""COMPUTED_VALUE"""),5.0)</f>
        <v>5</v>
      </c>
      <c r="H240" s="3" t="str">
        <f>IFERROR(__xludf.DUMMYFUNCTION("""COMPUTED_VALUE"""),"Pieces")</f>
        <v>Pieces</v>
      </c>
      <c r="I240" s="3" t="str">
        <f>IFERROR(__xludf.DUMMYFUNCTION("""COMPUTED_VALUE"""),"Deliver")</f>
        <v>Deliver</v>
      </c>
      <c r="J240" s="3" t="str">
        <f>IFERROR(__xludf.DUMMYFUNCTION("""COMPUTED_VALUE"""),"-")</f>
        <v>-</v>
      </c>
      <c r="K240" s="3" t="str">
        <f>IFERROR(__xludf.DUMMYFUNCTION("""COMPUTED_VALUE"""),"-")</f>
        <v>-</v>
      </c>
    </row>
    <row r="241">
      <c r="A241" s="3" t="str">
        <f>IFERROR(__xludf.DUMMYFUNCTION("""COMPUTED_VALUE"""),"MFHRO0107")</f>
        <v>MFHRO0107</v>
      </c>
      <c r="B241" s="4">
        <f>IFERROR(__xludf.DUMMYFUNCTION("""COMPUTED_VALUE"""),45834.858387569446)</f>
        <v>45834.85839</v>
      </c>
      <c r="C241" s="3">
        <f>IFERROR(__xludf.DUMMYFUNCTION("""COMPUTED_VALUE"""),45838.62834844907)</f>
        <v>45838.62835</v>
      </c>
      <c r="D241" s="3" t="str">
        <f>IFERROR(__xludf.DUMMYFUNCTION("""COMPUTED_VALUE"""),"HPLC")</f>
        <v>HPLC</v>
      </c>
      <c r="E241" s="3" t="str">
        <f>IFERROR(__xludf.DUMMYFUNCTION("""COMPUTED_VALUE"""),"-")</f>
        <v>-</v>
      </c>
      <c r="F241" s="3" t="str">
        <f>IFERROR(__xludf.DUMMYFUNCTION("""COMPUTED_VALUE"""),"Acquity PDA/TUV 2489/2998 Perf Main Kit (lampu HPLC); Waters; P/N 201000281; 1 pc")</f>
        <v>Acquity PDA/TUV 2489/2998 Perf Main Kit (lampu HPLC); Waters; P/N 201000281; 1 pc</v>
      </c>
      <c r="G241" s="3">
        <f>IFERROR(__xludf.DUMMYFUNCTION("""COMPUTED_VALUE"""),2.0)</f>
        <v>2</v>
      </c>
      <c r="H241" s="3" t="str">
        <f>IFERROR(__xludf.DUMMYFUNCTION("""COMPUTED_VALUE"""),"Pieces")</f>
        <v>Pieces</v>
      </c>
      <c r="I241" s="3" t="str">
        <f>IFERROR(__xludf.DUMMYFUNCTION("""COMPUTED_VALUE"""),"Deliver")</f>
        <v>Deliver</v>
      </c>
      <c r="J241" s="3" t="str">
        <f>IFERROR(__xludf.DUMMYFUNCTION("""COMPUTED_VALUE"""),"-")</f>
        <v>-</v>
      </c>
      <c r="K241" s="3" t="str">
        <f>IFERROR(__xludf.DUMMYFUNCTION("""COMPUTED_VALUE"""),"-")</f>
        <v>-</v>
      </c>
    </row>
    <row r="242">
      <c r="A242" s="3" t="str">
        <f>IFERROR(__xludf.DUMMYFUNCTION("""COMPUTED_VALUE"""),"MFHRO0108")</f>
        <v>MFHRO0108</v>
      </c>
      <c r="B242" s="4">
        <f>IFERROR(__xludf.DUMMYFUNCTION("""COMPUTED_VALUE"""),45834.858387569446)</f>
        <v>45834.85839</v>
      </c>
      <c r="C242" s="3">
        <f>IFERROR(__xludf.DUMMYFUNCTION("""COMPUTED_VALUE"""),45838.6285655324)</f>
        <v>45838.62857</v>
      </c>
      <c r="D242" s="3" t="str">
        <f>IFERROR(__xludf.DUMMYFUNCTION("""COMPUTED_VALUE"""),"General")</f>
        <v>General</v>
      </c>
      <c r="E242" s="3" t="str">
        <f>IFERROR(__xludf.DUMMYFUNCTION("""COMPUTED_VALUE"""),"-")</f>
        <v>-</v>
      </c>
      <c r="F242" s="3" t="str">
        <f>IFERROR(__xludf.DUMMYFUNCTION("""COMPUTED_VALUE"""),"General - Silicone Gasket for Ferrule dia. 3/4""; -; -; 1 Pc")</f>
        <v>General - Silicone Gasket for Ferrule dia. 3/4"; -; -; 1 Pc</v>
      </c>
      <c r="G242" s="3">
        <f>IFERROR(__xludf.DUMMYFUNCTION("""COMPUTED_VALUE"""),20.0)</f>
        <v>20</v>
      </c>
      <c r="H242" s="3" t="str">
        <f>IFERROR(__xludf.DUMMYFUNCTION("""COMPUTED_VALUE"""),"Pieces")</f>
        <v>Pieces</v>
      </c>
      <c r="I242" s="3" t="str">
        <f>IFERROR(__xludf.DUMMYFUNCTION("""COMPUTED_VALUE"""),"Deliver")</f>
        <v>Deliver</v>
      </c>
      <c r="J242" s="3" t="str">
        <f>IFERROR(__xludf.DUMMYFUNCTION("""COMPUTED_VALUE"""),"-")</f>
        <v>-</v>
      </c>
      <c r="K242" s="3" t="str">
        <f>IFERROR(__xludf.DUMMYFUNCTION("""COMPUTED_VALUE"""),"-")</f>
        <v>-</v>
      </c>
    </row>
    <row r="243">
      <c r="A243" s="3" t="str">
        <f>IFERROR(__xludf.DUMMYFUNCTION("""COMPUTED_VALUE"""),"MFHRO0109")</f>
        <v>MFHRO0109</v>
      </c>
      <c r="B243" s="4">
        <f>IFERROR(__xludf.DUMMYFUNCTION("""COMPUTED_VALUE"""),45834.858387569446)</f>
        <v>45834.85839</v>
      </c>
      <c r="C243" s="3">
        <f>IFERROR(__xludf.DUMMYFUNCTION("""COMPUTED_VALUE"""),45838.63125219908)</f>
        <v>45838.63125</v>
      </c>
      <c r="D243" s="3" t="str">
        <f>IFERROR(__xludf.DUMMYFUNCTION("""COMPUTED_VALUE"""),"PWG")</f>
        <v>PWG</v>
      </c>
      <c r="E243" s="3" t="str">
        <f>IFERROR(__xludf.DUMMYFUNCTION("""COMPUTED_VALUE"""),"-")</f>
        <v>-</v>
      </c>
      <c r="F243" s="3" t="str">
        <f>IFERROR(__xludf.DUMMYFUNCTION("""COMPUTED_VALUE"""),"General - Water Hardness Test Kit; No Brand; -; 1 Pc")</f>
        <v>General - Water Hardness Test Kit; No Brand; -; 1 Pc</v>
      </c>
      <c r="G243" s="3">
        <f>IFERROR(__xludf.DUMMYFUNCTION("""COMPUTED_VALUE"""),3.0)</f>
        <v>3</v>
      </c>
      <c r="H243" s="3" t="str">
        <f>IFERROR(__xludf.DUMMYFUNCTION("""COMPUTED_VALUE"""),"Box")</f>
        <v>Box</v>
      </c>
      <c r="I243" s="3" t="str">
        <f>IFERROR(__xludf.DUMMYFUNCTION("""COMPUTED_VALUE"""),"Deliver")</f>
        <v>Deliver</v>
      </c>
      <c r="J243" s="3" t="str">
        <f>IFERROR(__xludf.DUMMYFUNCTION("""COMPUTED_VALUE"""),"-")</f>
        <v>-</v>
      </c>
      <c r="K243" s="3" t="str">
        <f>IFERROR(__xludf.DUMMYFUNCTION("""COMPUTED_VALUE"""),"-")</f>
        <v>-</v>
      </c>
    </row>
    <row r="244">
      <c r="A244" s="3" t="str">
        <f>IFERROR(__xludf.DUMMYFUNCTION("""COMPUTED_VALUE"""),"MFHRO0110")</f>
        <v>MFHRO0110</v>
      </c>
      <c r="B244" s="4">
        <f>IFERROR(__xludf.DUMMYFUNCTION("""COMPUTED_VALUE"""),45834.858387569446)</f>
        <v>45834.85839</v>
      </c>
      <c r="C244" s="3">
        <f>IFERROR(__xludf.DUMMYFUNCTION("""COMPUTED_VALUE"""),45838.63690751157)</f>
        <v>45838.63691</v>
      </c>
      <c r="D244" s="3" t="str">
        <f>IFERROR(__xludf.DUMMYFUNCTION("""COMPUTED_VALUE"""),"General")</f>
        <v>General</v>
      </c>
      <c r="E244" s="3" t="str">
        <f>IFERROR(__xludf.DUMMYFUNCTION("""COMPUTED_VALUE"""),"-")</f>
        <v>-</v>
      </c>
      <c r="F244" s="3" t="str">
        <f>IFERROR(__xludf.DUMMYFUNCTION("""COMPUTED_VALUE"""),"General - Ampelas P500; EAGLE; -; 1 pcs")</f>
        <v>General - Ampelas P500; EAGLE; -; 1 pcs</v>
      </c>
      <c r="G244" s="3">
        <f>IFERROR(__xludf.DUMMYFUNCTION("""COMPUTED_VALUE"""),30.0)</f>
        <v>30</v>
      </c>
      <c r="H244" s="3" t="str">
        <f>IFERROR(__xludf.DUMMYFUNCTION("""COMPUTED_VALUE"""),"Pieces")</f>
        <v>Pieces</v>
      </c>
      <c r="I244" s="3" t="str">
        <f>IFERROR(__xludf.DUMMYFUNCTION("""COMPUTED_VALUE"""),"Deliver")</f>
        <v>Deliver</v>
      </c>
      <c r="J244" s="3" t="str">
        <f>IFERROR(__xludf.DUMMYFUNCTION("""COMPUTED_VALUE"""),"-")</f>
        <v>-</v>
      </c>
      <c r="K244" s="3" t="str">
        <f>IFERROR(__xludf.DUMMYFUNCTION("""COMPUTED_VALUE"""),"-")</f>
        <v>-</v>
      </c>
    </row>
    <row r="245">
      <c r="A245" s="3" t="str">
        <f>IFERROR(__xludf.DUMMYFUNCTION("""COMPUTED_VALUE"""),"MFHRO0111")</f>
        <v>MFHRO0111</v>
      </c>
      <c r="B245" s="4">
        <f>IFERROR(__xludf.DUMMYFUNCTION("""COMPUTED_VALUE"""),45834.858387569446)</f>
        <v>45834.85839</v>
      </c>
      <c r="C245" s="3">
        <f>IFERROR(__xludf.DUMMYFUNCTION("""COMPUTED_VALUE"""),45838.637092233796)</f>
        <v>45838.63709</v>
      </c>
      <c r="D245" s="3" t="str">
        <f>IFERROR(__xludf.DUMMYFUNCTION("""COMPUTED_VALUE"""),"Lift")</f>
        <v>Lift</v>
      </c>
      <c r="E245" s="3" t="str">
        <f>IFERROR(__xludf.DUMMYFUNCTION("""COMPUTED_VALUE"""),"-")</f>
        <v>-</v>
      </c>
      <c r="F245" s="3" t="str">
        <f>IFERROR(__xludf.DUMMYFUNCTION("""COMPUTED_VALUE"""),"SCHINDLER ELEVATOR - Interphone; Schindler; -; 1 pc")</f>
        <v>SCHINDLER ELEVATOR - Interphone; Schindler; -; 1 pc</v>
      </c>
      <c r="G245" s="3">
        <f>IFERROR(__xludf.DUMMYFUNCTION("""COMPUTED_VALUE"""),1.0)</f>
        <v>1</v>
      </c>
      <c r="H245" s="3" t="str">
        <f>IFERROR(__xludf.DUMMYFUNCTION("""COMPUTED_VALUE"""),"Pieces")</f>
        <v>Pieces</v>
      </c>
      <c r="I245" s="3" t="str">
        <f>IFERROR(__xludf.DUMMYFUNCTION("""COMPUTED_VALUE"""),"Deliver")</f>
        <v>Deliver</v>
      </c>
      <c r="J245" s="3" t="str">
        <f>IFERROR(__xludf.DUMMYFUNCTION("""COMPUTED_VALUE"""),"-")</f>
        <v>-</v>
      </c>
      <c r="K245" s="3" t="str">
        <f>IFERROR(__xludf.DUMMYFUNCTION("""COMPUTED_VALUE"""),"-")</f>
        <v>-</v>
      </c>
    </row>
    <row r="246">
      <c r="A246" s="3" t="str">
        <f>IFERROR(__xludf.DUMMYFUNCTION("""COMPUTED_VALUE"""),"MFHRO0112")</f>
        <v>MFHRO0112</v>
      </c>
      <c r="B246" s="4">
        <f>IFERROR(__xludf.DUMMYFUNCTION("""COMPUTED_VALUE"""),45834.858387569446)</f>
        <v>45834.85839</v>
      </c>
      <c r="C246" s="3">
        <f>IFERROR(__xludf.DUMMYFUNCTION("""COMPUTED_VALUE"""),45838.637279166665)</f>
        <v>45838.63728</v>
      </c>
      <c r="D246" s="3" t="str">
        <f>IFERROR(__xludf.DUMMYFUNCTION("""COMPUTED_VALUE"""),"Lift")</f>
        <v>Lift</v>
      </c>
      <c r="E246" s="3" t="str">
        <f>IFERROR(__xludf.DUMMYFUNCTION("""COMPUTED_VALUE"""),"-")</f>
        <v>-</v>
      </c>
      <c r="F246" s="3" t="str">
        <f>IFERROR(__xludf.DUMMYFUNCTION("""COMPUTED_VALUE"""),"SCHINDLER ELEVATOR - Door Shoe; ; ;")</f>
        <v>SCHINDLER ELEVATOR - Door Shoe; ; ;</v>
      </c>
      <c r="G246" s="3">
        <f>IFERROR(__xludf.DUMMYFUNCTION("""COMPUTED_VALUE"""),4.0)</f>
        <v>4</v>
      </c>
      <c r="H246" s="3" t="str">
        <f>IFERROR(__xludf.DUMMYFUNCTION("""COMPUTED_VALUE"""),"Pieces")</f>
        <v>Pieces</v>
      </c>
      <c r="I246" s="3" t="str">
        <f>IFERROR(__xludf.DUMMYFUNCTION("""COMPUTED_VALUE"""),"Deliver")</f>
        <v>Deliver</v>
      </c>
      <c r="J246" s="3" t="str">
        <f>IFERROR(__xludf.DUMMYFUNCTION("""COMPUTED_VALUE"""),"-")</f>
        <v>-</v>
      </c>
      <c r="K246" s="3" t="str">
        <f>IFERROR(__xludf.DUMMYFUNCTION("""COMPUTED_VALUE"""),"-")</f>
        <v>-</v>
      </c>
    </row>
    <row r="247">
      <c r="A247" s="3" t="str">
        <f>IFERROR(__xludf.DUMMYFUNCTION("""COMPUTED_VALUE"""),"MFHRO0113")</f>
        <v>MFHRO0113</v>
      </c>
      <c r="B247" s="4">
        <f>IFERROR(__xludf.DUMMYFUNCTION("""COMPUTED_VALUE"""),45834.858387569446)</f>
        <v>45834.85839</v>
      </c>
      <c r="C247" s="3">
        <f>IFERROR(__xludf.DUMMYFUNCTION("""COMPUTED_VALUE"""),45838.63766340278)</f>
        <v>45838.63766</v>
      </c>
      <c r="D247" s="3" t="str">
        <f>IFERROR(__xludf.DUMMYFUNCTION("""COMPUTED_VALUE"""),"Lift")</f>
        <v>Lift</v>
      </c>
      <c r="E247" s="3" t="str">
        <f>IFERROR(__xludf.DUMMYFUNCTION("""COMPUTED_VALUE"""),"-")</f>
        <v>-</v>
      </c>
      <c r="F247" s="3" t="str">
        <f>IFERROR(__xludf.DUMMYFUNCTION("""COMPUTED_VALUE"""),"SCHINDLER ELEVATOR - Ceiling Lamp Cover; ; ;")</f>
        <v>SCHINDLER ELEVATOR - Ceiling Lamp Cover; ; ;</v>
      </c>
      <c r="G247" s="3">
        <f>IFERROR(__xludf.DUMMYFUNCTION("""COMPUTED_VALUE"""),1.0)</f>
        <v>1</v>
      </c>
      <c r="H247" s="3" t="str">
        <f>IFERROR(__xludf.DUMMYFUNCTION("""COMPUTED_VALUE"""),"Pieces")</f>
        <v>Pieces</v>
      </c>
      <c r="I247" s="3" t="str">
        <f>IFERROR(__xludf.DUMMYFUNCTION("""COMPUTED_VALUE"""),"Deliver")</f>
        <v>Deliver</v>
      </c>
      <c r="J247" s="3" t="str">
        <f>IFERROR(__xludf.DUMMYFUNCTION("""COMPUTED_VALUE"""),"-")</f>
        <v>-</v>
      </c>
      <c r="K247" s="3" t="str">
        <f>IFERROR(__xludf.DUMMYFUNCTION("""COMPUTED_VALUE"""),"-")</f>
        <v>-</v>
      </c>
    </row>
    <row r="248">
      <c r="A248" s="3" t="str">
        <f>IFERROR(__xludf.DUMMYFUNCTION("""COMPUTED_VALUE"""),"MFHRO0114")</f>
        <v>MFHRO0114</v>
      </c>
      <c r="B248" s="4">
        <f>IFERROR(__xludf.DUMMYFUNCTION("""COMPUTED_VALUE"""),45834.858387569446)</f>
        <v>45834.85839</v>
      </c>
      <c r="C248" s="3">
        <f>IFERROR(__xludf.DUMMYFUNCTION("""COMPUTED_VALUE"""),45838.637841840275)</f>
        <v>45838.63784</v>
      </c>
      <c r="D248" s="3" t="str">
        <f>IFERROR(__xludf.DUMMYFUNCTION("""COMPUTED_VALUE"""),"Lift")</f>
        <v>Lift</v>
      </c>
      <c r="E248" s="3" t="str">
        <f>IFERROR(__xludf.DUMMYFUNCTION("""COMPUTED_VALUE"""),"-")</f>
        <v>-</v>
      </c>
      <c r="F248" s="3" t="str">
        <f>IFERROR(__xludf.DUMMYFUNCTION("""COMPUTED_VALUE"""),"PCBA LIFT SCOPCA 5.Q;Schindler Elevator;;pack size per unit")</f>
        <v>PCBA LIFT SCOPCA 5.Q;Schindler Elevator;;pack size per unit</v>
      </c>
      <c r="G248" s="3">
        <f>IFERROR(__xludf.DUMMYFUNCTION("""COMPUTED_VALUE"""),1.0)</f>
        <v>1</v>
      </c>
      <c r="H248" s="3" t="str">
        <f>IFERROR(__xludf.DUMMYFUNCTION("""COMPUTED_VALUE"""),"Unit")</f>
        <v>Unit</v>
      </c>
      <c r="I248" s="3" t="str">
        <f>IFERROR(__xludf.DUMMYFUNCTION("""COMPUTED_VALUE"""),"Deliver")</f>
        <v>Deliver</v>
      </c>
      <c r="J248" s="3" t="str">
        <f>IFERROR(__xludf.DUMMYFUNCTION("""COMPUTED_VALUE"""),"-")</f>
        <v>-</v>
      </c>
      <c r="K248" s="3" t="str">
        <f>IFERROR(__xludf.DUMMYFUNCTION("""COMPUTED_VALUE"""),"-")</f>
        <v>-</v>
      </c>
    </row>
    <row r="249">
      <c r="A249" s="3" t="str">
        <f>IFERROR(__xludf.DUMMYFUNCTION("""COMPUTED_VALUE"""),"MFHRO0115")</f>
        <v>MFHRO0115</v>
      </c>
      <c r="B249" s="4">
        <f>IFERROR(__xludf.DUMMYFUNCTION("""COMPUTED_VALUE"""),45834.858387569446)</f>
        <v>45834.85839</v>
      </c>
      <c r="C249" s="3">
        <f>IFERROR(__xludf.DUMMYFUNCTION("""COMPUTED_VALUE"""),45838.638504999995)</f>
        <v>45838.63851</v>
      </c>
      <c r="D249" s="3" t="str">
        <f>IFERROR(__xludf.DUMMYFUNCTION("""COMPUTED_VALUE"""),"HPLC")</f>
        <v>HPLC</v>
      </c>
      <c r="E249" s="3" t="str">
        <f>IFERROR(__xludf.DUMMYFUNCTION("""COMPUTED_VALUE"""),"-")</f>
        <v>-</v>
      </c>
      <c r="F249" s="3" t="str">
        <f>IFERROR(__xludf.DUMMYFUNCTION("""COMPUTED_VALUE"""),"PerformancePlus Check Valve Cartridge; Waters; p/n 700002399;")</f>
        <v>PerformancePlus Check Valve Cartridge; Waters; p/n 700002399;</v>
      </c>
      <c r="G249" s="3">
        <f>IFERROR(__xludf.DUMMYFUNCTION("""COMPUTED_VALUE"""),7.0)</f>
        <v>7</v>
      </c>
      <c r="H249" s="3" t="str">
        <f>IFERROR(__xludf.DUMMYFUNCTION("""COMPUTED_VALUE"""),"Pieces")</f>
        <v>Pieces</v>
      </c>
      <c r="I249" s="3" t="str">
        <f>IFERROR(__xludf.DUMMYFUNCTION("""COMPUTED_VALUE"""),"Deliver")</f>
        <v>Deliver</v>
      </c>
      <c r="J249" s="3" t="str">
        <f>IFERROR(__xludf.DUMMYFUNCTION("""COMPUTED_VALUE"""),"-")</f>
        <v>-</v>
      </c>
      <c r="K249" s="3" t="str">
        <f>IFERROR(__xludf.DUMMYFUNCTION("""COMPUTED_VALUE"""),"-")</f>
        <v>-</v>
      </c>
    </row>
    <row r="250">
      <c r="A250" s="3" t="str">
        <f>IFERROR(__xludf.DUMMYFUNCTION("""COMPUTED_VALUE"""),"MFHRO0116")</f>
        <v>MFHRO0116</v>
      </c>
      <c r="B250" s="4">
        <f>IFERROR(__xludf.DUMMYFUNCTION("""COMPUTED_VALUE"""),45834.858387569446)</f>
        <v>45834.85839</v>
      </c>
      <c r="C250" s="3">
        <f>IFERROR(__xludf.DUMMYFUNCTION("""COMPUTED_VALUE"""),45838.63866254629)</f>
        <v>45838.63866</v>
      </c>
      <c r="D250" s="3" t="str">
        <f>IFERROR(__xludf.DUMMYFUNCTION("""COMPUTED_VALUE"""),"Capping")</f>
        <v>Capping</v>
      </c>
      <c r="E250" s="3" t="str">
        <f>IFERROR(__xludf.DUMMYFUNCTION("""COMPUTED_VALUE"""),"-")</f>
        <v>-</v>
      </c>
      <c r="F250" s="3" t="str">
        <f>IFERROR(__xludf.DUMMYFUNCTION("""COMPUTED_VALUE"""),"General - Main Motor Caping; Bonfiglioli; BE80B4; 1 Unit")</f>
        <v>General - Main Motor Caping; Bonfiglioli; BE80B4; 1 Unit</v>
      </c>
      <c r="G250" s="3">
        <f>IFERROR(__xludf.DUMMYFUNCTION("""COMPUTED_VALUE"""),1.0)</f>
        <v>1</v>
      </c>
      <c r="H250" s="3" t="str">
        <f>IFERROR(__xludf.DUMMYFUNCTION("""COMPUTED_VALUE"""),"Unit")</f>
        <v>Unit</v>
      </c>
      <c r="I250" s="3" t="str">
        <f>IFERROR(__xludf.DUMMYFUNCTION("""COMPUTED_VALUE"""),"Deliver")</f>
        <v>Deliver</v>
      </c>
      <c r="J250" s="3" t="str">
        <f>IFERROR(__xludf.DUMMYFUNCTION("""COMPUTED_VALUE"""),"121702834 - APPROVED")</f>
        <v>121702834 - APPROVED</v>
      </c>
      <c r="K250" s="3" t="str">
        <f>IFERROR(__xludf.DUMMYFUNCTION("""COMPUTED_VALUE"""),"GL2506399")</f>
        <v>GL2506399</v>
      </c>
    </row>
    <row r="251">
      <c r="A251" s="3" t="str">
        <f>IFERROR(__xludf.DUMMYFUNCTION("""COMPUTED_VALUE"""),"MFHRO0117")</f>
        <v>MFHRO0117</v>
      </c>
      <c r="B251" s="4">
        <f>IFERROR(__xludf.DUMMYFUNCTION("""COMPUTED_VALUE"""),45834.858387569446)</f>
        <v>45834.85839</v>
      </c>
      <c r="C251" s="3">
        <f>IFERROR(__xludf.DUMMYFUNCTION("""COMPUTED_VALUE"""),45838.638822939814)</f>
        <v>45838.63882</v>
      </c>
      <c r="D251" s="3" t="str">
        <f>IFERROR(__xludf.DUMMYFUNCTION("""COMPUTED_VALUE"""),"Washing")</f>
        <v>Washing</v>
      </c>
      <c r="E251" s="3" t="str">
        <f>IFERROR(__xludf.DUMMYFUNCTION("""COMPUTED_VALUE"""),"-")</f>
        <v>-</v>
      </c>
      <c r="F251" s="3" t="str">
        <f>IFERROR(__xludf.DUMMYFUNCTION("""COMPUTED_VALUE"""),"General - Gearbox Washing; Bonfiglioli; VF44 A 60 B5 B3; 1 Unit")</f>
        <v>General - Gearbox Washing; Bonfiglioli; VF44 A 60 B5 B3; 1 Unit</v>
      </c>
      <c r="G251" s="3">
        <f>IFERROR(__xludf.DUMMYFUNCTION("""COMPUTED_VALUE"""),1.0)</f>
        <v>1</v>
      </c>
      <c r="H251" s="3" t="str">
        <f>IFERROR(__xludf.DUMMYFUNCTION("""COMPUTED_VALUE"""),"Unit")</f>
        <v>Unit</v>
      </c>
      <c r="I251" s="3" t="str">
        <f>IFERROR(__xludf.DUMMYFUNCTION("""COMPUTED_VALUE"""),"Deliver")</f>
        <v>Deliver</v>
      </c>
      <c r="J251" s="3" t="str">
        <f>IFERROR(__xludf.DUMMYFUNCTION("""COMPUTED_VALUE"""),"121702834 - APPROVED")</f>
        <v>121702834 - APPROVED</v>
      </c>
      <c r="K251" s="3" t="str">
        <f>IFERROR(__xludf.DUMMYFUNCTION("""COMPUTED_VALUE"""),"GL2506399")</f>
        <v>GL2506399</v>
      </c>
    </row>
    <row r="252">
      <c r="A252" s="3" t="str">
        <f>IFERROR(__xludf.DUMMYFUNCTION("""COMPUTED_VALUE"""),"MFHRO0118")</f>
        <v>MFHRO0118</v>
      </c>
      <c r="B252" s="4">
        <f>IFERROR(__xludf.DUMMYFUNCTION("""COMPUTED_VALUE"""),45834.858387569446)</f>
        <v>45834.85839</v>
      </c>
      <c r="C252" s="3">
        <f>IFERROR(__xludf.DUMMYFUNCTION("""COMPUTED_VALUE"""),45838.638997372684)</f>
        <v>45838.639</v>
      </c>
      <c r="D252" s="3" t="str">
        <f>IFERROR(__xludf.DUMMYFUNCTION("""COMPUTED_VALUE"""),"Capping")</f>
        <v>Capping</v>
      </c>
      <c r="E252" s="3" t="str">
        <f>IFERROR(__xludf.DUMMYFUNCTION("""COMPUTED_VALUE"""),"-")</f>
        <v>-</v>
      </c>
      <c r="F252" s="3" t="str">
        <f>IFERROR(__xludf.DUMMYFUNCTION("""COMPUTED_VALUE"""),"General - Gearbox Naik Turun Turet; Bonfiglioli; VF30 P 7 B3; 1 Pc")</f>
        <v>General - Gearbox Naik Turun Turet; Bonfiglioli; VF30 P 7 B3; 1 Pc</v>
      </c>
      <c r="G252" s="3">
        <f>IFERROR(__xludf.DUMMYFUNCTION("""COMPUTED_VALUE"""),1.0)</f>
        <v>1</v>
      </c>
      <c r="H252" s="3" t="str">
        <f>IFERROR(__xludf.DUMMYFUNCTION("""COMPUTED_VALUE"""),"Pieces")</f>
        <v>Pieces</v>
      </c>
      <c r="I252" s="3" t="str">
        <f>IFERROR(__xludf.DUMMYFUNCTION("""COMPUTED_VALUE"""),"Deliver")</f>
        <v>Deliver</v>
      </c>
      <c r="J252" s="3" t="str">
        <f>IFERROR(__xludf.DUMMYFUNCTION("""COMPUTED_VALUE"""),"121702834 - APPROVED")</f>
        <v>121702834 - APPROVED</v>
      </c>
      <c r="K252" s="3" t="str">
        <f>IFERROR(__xludf.DUMMYFUNCTION("""COMPUTED_VALUE"""),"GL2506399")</f>
        <v>GL2506399</v>
      </c>
    </row>
    <row r="253">
      <c r="A253" s="3" t="str">
        <f>IFERROR(__xludf.DUMMYFUNCTION("""COMPUTED_VALUE"""),"MFHRO0119")</f>
        <v>MFHRO0119</v>
      </c>
      <c r="B253" s="4">
        <f>IFERROR(__xludf.DUMMYFUNCTION("""COMPUTED_VALUE"""),45834.858387569446)</f>
        <v>45834.85839</v>
      </c>
      <c r="C253" s="3">
        <f>IFERROR(__xludf.DUMMYFUNCTION("""COMPUTED_VALUE"""),45838.63915850694)</f>
        <v>45838.63916</v>
      </c>
      <c r="D253" s="3" t="str">
        <f>IFERROR(__xludf.DUMMYFUNCTION("""COMPUTED_VALUE"""),"Capping")</f>
        <v>Capping</v>
      </c>
      <c r="E253" s="3" t="str">
        <f>IFERROR(__xludf.DUMMYFUNCTION("""COMPUTED_VALUE"""),"-")</f>
        <v>-</v>
      </c>
      <c r="F253" s="3" t="str">
        <f>IFERROR(__xludf.DUMMYFUNCTION("""COMPUTED_VALUE"""),"General - Gearbox Caps Chute; Bonfiglioli; VF44 P 7 B3; 1 Pc")</f>
        <v>General - Gearbox Caps Chute; Bonfiglioli; VF44 P 7 B3; 1 Pc</v>
      </c>
      <c r="G253" s="3">
        <f>IFERROR(__xludf.DUMMYFUNCTION("""COMPUTED_VALUE"""),1.0)</f>
        <v>1</v>
      </c>
      <c r="H253" s="3" t="str">
        <f>IFERROR(__xludf.DUMMYFUNCTION("""COMPUTED_VALUE"""),"Pieces")</f>
        <v>Pieces</v>
      </c>
      <c r="I253" s="3" t="str">
        <f>IFERROR(__xludf.DUMMYFUNCTION("""COMPUTED_VALUE"""),"Deliver")</f>
        <v>Deliver</v>
      </c>
      <c r="J253" s="3" t="str">
        <f>IFERROR(__xludf.DUMMYFUNCTION("""COMPUTED_VALUE"""),"121702834 - APPROVED")</f>
        <v>121702834 - APPROVED</v>
      </c>
      <c r="K253" s="3" t="str">
        <f>IFERROR(__xludf.DUMMYFUNCTION("""COMPUTED_VALUE"""),"GL2506399")</f>
        <v>GL2506399</v>
      </c>
    </row>
    <row r="254">
      <c r="A254" s="3" t="str">
        <f>IFERROR(__xludf.DUMMYFUNCTION("""COMPUTED_VALUE"""),"MFHRO0120")</f>
        <v>MFHRO0120</v>
      </c>
      <c r="B254" s="4">
        <f>IFERROR(__xludf.DUMMYFUNCTION("""COMPUTED_VALUE"""),45834.858387569446)</f>
        <v>45834.85839</v>
      </c>
      <c r="C254" s="3">
        <f>IFERROR(__xludf.DUMMYFUNCTION("""COMPUTED_VALUE"""),45838.63945608796)</f>
        <v>45838.63946</v>
      </c>
      <c r="D254" s="3" t="str">
        <f>IFERROR(__xludf.DUMMYFUNCTION("""COMPUTED_VALUE"""),"Capping")</f>
        <v>Capping</v>
      </c>
      <c r="E254" s="3" t="str">
        <f>IFERROR(__xludf.DUMMYFUNCTION("""COMPUTED_VALUE"""),"-")</f>
        <v>-</v>
      </c>
      <c r="F254" s="3" t="str">
        <f>IFERROR(__xludf.DUMMYFUNCTION("""COMPUTED_VALUE"""),"General - Gear Motor Infeed Caping; Bonfiglioli; VF30 P 20 P63 + BN63B 4; 1 Unit")</f>
        <v>General - Gear Motor Infeed Caping; Bonfiglioli; VF30 P 20 P63 + BN63B 4; 1 Unit</v>
      </c>
      <c r="G254" s="3">
        <f>IFERROR(__xludf.DUMMYFUNCTION("""COMPUTED_VALUE"""),1.0)</f>
        <v>1</v>
      </c>
      <c r="H254" s="3" t="str">
        <f>IFERROR(__xludf.DUMMYFUNCTION("""COMPUTED_VALUE"""),"Unit")</f>
        <v>Unit</v>
      </c>
      <c r="I254" s="3" t="str">
        <f>IFERROR(__xludf.DUMMYFUNCTION("""COMPUTED_VALUE"""),"Deliver")</f>
        <v>Deliver</v>
      </c>
      <c r="J254" s="3" t="str">
        <f>IFERROR(__xludf.DUMMYFUNCTION("""COMPUTED_VALUE"""),"121702834 - APPROVED")</f>
        <v>121702834 - APPROVED</v>
      </c>
      <c r="K254" s="3" t="str">
        <f>IFERROR(__xludf.DUMMYFUNCTION("""COMPUTED_VALUE"""),"GL2506399")</f>
        <v>GL2506399</v>
      </c>
    </row>
    <row r="255">
      <c r="A255" s="3" t="str">
        <f>IFERROR(__xludf.DUMMYFUNCTION("""COMPUTED_VALUE"""),"MFHRO0121")</f>
        <v>MFHRO0121</v>
      </c>
      <c r="B255" s="4">
        <f>IFERROR(__xludf.DUMMYFUNCTION("""COMPUTED_VALUE"""),45834.858387569446)</f>
        <v>45834.85839</v>
      </c>
      <c r="C255" s="3">
        <f>IFERROR(__xludf.DUMMYFUNCTION("""COMPUTED_VALUE"""),45838.639645)</f>
        <v>45838.63965</v>
      </c>
      <c r="D255" s="3" t="str">
        <f>IFERROR(__xludf.DUMMYFUNCTION("""COMPUTED_VALUE"""),"Washing")</f>
        <v>Washing</v>
      </c>
      <c r="E255" s="3" t="str">
        <f>IFERROR(__xludf.DUMMYFUNCTION("""COMPUTED_VALUE"""),"-")</f>
        <v>-</v>
      </c>
      <c r="F255" s="3" t="str">
        <f>IFERROR(__xludf.DUMMYFUNCTION("""COMPUTED_VALUE"""),"General - Gear Motor Rotary Tabel Washing; Bonfiglioli; VFR44 P 230 S44 B3 + BN44B 4; 1 Unit")</f>
        <v>General - Gear Motor Rotary Tabel Washing; Bonfiglioli; VFR44 P 230 S44 B3 + BN44B 4; 1 Unit</v>
      </c>
      <c r="G255" s="3">
        <f>IFERROR(__xludf.DUMMYFUNCTION("""COMPUTED_VALUE"""),1.0)</f>
        <v>1</v>
      </c>
      <c r="H255" s="3" t="str">
        <f>IFERROR(__xludf.DUMMYFUNCTION("""COMPUTED_VALUE"""),"Unit")</f>
        <v>Unit</v>
      </c>
      <c r="I255" s="3" t="str">
        <f>IFERROR(__xludf.DUMMYFUNCTION("""COMPUTED_VALUE"""),"Deliver")</f>
        <v>Deliver</v>
      </c>
      <c r="J255" s="3" t="str">
        <f>IFERROR(__xludf.DUMMYFUNCTION("""COMPUTED_VALUE"""),"121702834 - APPROVED")</f>
        <v>121702834 - APPROVED</v>
      </c>
      <c r="K255" s="3" t="str">
        <f>IFERROR(__xludf.DUMMYFUNCTION("""COMPUTED_VALUE"""),"GL2506399")</f>
        <v>GL2506399</v>
      </c>
    </row>
    <row r="256">
      <c r="A256" s="3" t="str">
        <f>IFERROR(__xludf.DUMMYFUNCTION("""COMPUTED_VALUE"""),"ANORO0006")</f>
        <v>ANORO0006</v>
      </c>
      <c r="B256" s="4">
        <f>IFERROR(__xludf.DUMMYFUNCTION("""COMPUTED_VALUE"""),45841.40424186342)</f>
        <v>45841.40424</v>
      </c>
      <c r="C256" s="3">
        <f>IFERROR(__xludf.DUMMYFUNCTION("""COMPUTED_VALUE"""),45887.46703462963)</f>
        <v>45887.46703</v>
      </c>
      <c r="D256" s="3" t="str">
        <f>IFERROR(__xludf.DUMMYFUNCTION("""COMPUTED_VALUE"""),"gerinda duduk")</f>
        <v>gerinda duduk</v>
      </c>
      <c r="E256" s="3" t="str">
        <f>IFERROR(__xludf.DUMMYFUNCTION("""COMPUTED_VALUE"""),"-")</f>
        <v>-</v>
      </c>
      <c r="F256" s="3" t="str">
        <f>IFERROR(__xludf.DUMMYFUNCTION("""COMPUTED_VALUE"""),"Cutting Wheel 14"" nippon resibon; ; ;")</f>
        <v>Cutting Wheel 14" nippon resibon; ; ;</v>
      </c>
      <c r="G256" s="3">
        <f>IFERROR(__xludf.DUMMYFUNCTION("""COMPUTED_VALUE"""),5.0)</f>
        <v>5</v>
      </c>
      <c r="H256" s="3" t="str">
        <f>IFERROR(__xludf.DUMMYFUNCTION("""COMPUTED_VALUE"""),"PCS")</f>
        <v>PCS</v>
      </c>
      <c r="I256" s="3" t="str">
        <f>IFERROR(__xludf.DUMMYFUNCTION("""COMPUTED_VALUE"""),"Deliver")</f>
        <v>Deliver</v>
      </c>
      <c r="J256" s="3" t="str">
        <f>IFERROR(__xludf.DUMMYFUNCTION("""COMPUTED_VALUE"""),"-")</f>
        <v>-</v>
      </c>
      <c r="K256" s="3" t="str">
        <f>IFERROR(__xludf.DUMMYFUNCTION("""COMPUTED_VALUE"""),"-")</f>
        <v>-</v>
      </c>
    </row>
    <row r="257">
      <c r="A257" s="3" t="str">
        <f>IFERROR(__xludf.DUMMYFUNCTION("""COMPUTED_VALUE"""),"ROSRO0009")</f>
        <v>ROSRO0009</v>
      </c>
      <c r="B257" s="4">
        <f>IFERROR(__xludf.DUMMYFUNCTION("""COMPUTED_VALUE"""),45841.63937402778)</f>
        <v>45841.63937</v>
      </c>
      <c r="C257" s="3">
        <f>IFERROR(__xludf.DUMMYFUNCTION("""COMPUTED_VALUE"""),45895.12086946759)</f>
        <v>45895.12087</v>
      </c>
      <c r="D257" s="3" t="str">
        <f>IFERROR(__xludf.DUMMYFUNCTION("""COMPUTED_VALUE"""),"tunnel")</f>
        <v>tunnel</v>
      </c>
      <c r="E257" s="3" t="str">
        <f>IFERROR(__xludf.DUMMYFUNCTION("""COMPUTED_VALUE"""),"-")</f>
        <v>-</v>
      </c>
      <c r="F257" s="3" t="str">
        <f>IFERROR(__xludf.DUMMYFUNCTION("""COMPUTED_VALUE"""),"Tunnel ST1L - Potentiometer Model 10K 3turns P/n: 3757; ; ;")</f>
        <v>Tunnel ST1L - Potentiometer Model 10K 3turns P/n: 3757; ; ;</v>
      </c>
      <c r="G257" s="3">
        <f>IFERROR(__xludf.DUMMYFUNCTION("""COMPUTED_VALUE"""),5.0)</f>
        <v>5</v>
      </c>
      <c r="H257" s="3" t="str">
        <f>IFERROR(__xludf.DUMMYFUNCTION("""COMPUTED_VALUE"""),"pcs")</f>
        <v>pcs</v>
      </c>
      <c r="I257" s="3" t="str">
        <f>IFERROR(__xludf.DUMMYFUNCTION("""COMPUTED_VALUE"""),"Deliver")</f>
        <v>Deliver</v>
      </c>
      <c r="J257" s="3" t="str">
        <f>IFERROR(__xludf.DUMMYFUNCTION("""COMPUTED_VALUE"""),"-")</f>
        <v>-</v>
      </c>
      <c r="K257" s="3" t="str">
        <f>IFERROR(__xludf.DUMMYFUNCTION("""COMPUTED_VALUE"""),"-")</f>
        <v>-</v>
      </c>
    </row>
    <row r="258">
      <c r="A258" s="3" t="str">
        <f>IFERROR(__xludf.DUMMYFUNCTION("""COMPUTED_VALUE"""),"RIARO0043")</f>
        <v>RIARO0043</v>
      </c>
      <c r="B258" s="4">
        <f>IFERROR(__xludf.DUMMYFUNCTION("""COMPUTED_VALUE"""),45845.63556138889)</f>
        <v>45845.63556</v>
      </c>
      <c r="C258" s="3">
        <f>IFERROR(__xludf.DUMMYFUNCTION("""COMPUTED_VALUE"""),46202.92727972222)</f>
        <v>46202.92728</v>
      </c>
      <c r="D258" s="3" t="str">
        <f>IFERROR(__xludf.DUMMYFUNCTION("""COMPUTED_VALUE"""),"Water System ")</f>
        <v>Water System </v>
      </c>
      <c r="E258" s="3" t="str">
        <f>IFERROR(__xludf.DUMMYFUNCTION("""COMPUTED_VALUE"""),"-")</f>
        <v>-</v>
      </c>
      <c r="F258" s="3" t="str">
        <f>IFERROR(__xludf.DUMMYFUNCTION("""COMPUTED_VALUE"""),"Sodium metabisulfit")</f>
        <v>Sodium metabisulfit</v>
      </c>
      <c r="G258" s="3">
        <f>IFERROR(__xludf.DUMMYFUNCTION("""COMPUTED_VALUE"""),5.0)</f>
        <v>5</v>
      </c>
      <c r="H258" s="3" t="str">
        <f>IFERROR(__xludf.DUMMYFUNCTION("""COMPUTED_VALUE"""),"Sak")</f>
        <v>Sak</v>
      </c>
      <c r="I258" s="3" t="str">
        <f>IFERROR(__xludf.DUMMYFUNCTION("""COMPUTED_VALUE"""),"Deliver")</f>
        <v>Deliver</v>
      </c>
      <c r="J258" s="3" t="str">
        <f>IFERROR(__xludf.DUMMYFUNCTION("""COMPUTED_VALUE"""),"121704359 - APPROVED")</f>
        <v>121704359 - APPROVED</v>
      </c>
      <c r="K258" s="3" t="str">
        <f>IFERROR(__xludf.DUMMYFUNCTION("""COMPUTED_VALUE"""),"GL2607027")</f>
        <v>GL2607027</v>
      </c>
    </row>
    <row r="259">
      <c r="A259" s="3" t="str">
        <f>IFERROR(__xludf.DUMMYFUNCTION("""COMPUTED_VALUE"""),"ROSRO0010")</f>
        <v>ROSRO0010</v>
      </c>
      <c r="B259" s="4">
        <f>IFERROR(__xludf.DUMMYFUNCTION("""COMPUTED_VALUE"""),45846.572498090274)</f>
        <v>45846.5725</v>
      </c>
      <c r="C259" s="3">
        <f>IFERROR(__xludf.DUMMYFUNCTION("""COMPUTED_VALUE"""),45895.12115247685)</f>
        <v>45895.12115</v>
      </c>
      <c r="D259" s="3" t="str">
        <f>IFERROR(__xludf.DUMMYFUNCTION("""COMPUTED_VALUE"""),"Capping ")</f>
        <v>Capping </v>
      </c>
      <c r="E259" s="3" t="str">
        <f>IFERROR(__xludf.DUMMYFUNCTION("""COMPUTED_VALUE"""),"-")</f>
        <v>-</v>
      </c>
      <c r="F259" s="3" t="str">
        <f>IFERROR(__xludf.DUMMYFUNCTION("""COMPUTED_VALUE"""),"Bearing 6000 2RS H SKF")</f>
        <v>Bearing 6000 2RS H SKF</v>
      </c>
      <c r="G259" s="3">
        <f>IFERROR(__xludf.DUMMYFUNCTION("""COMPUTED_VALUE"""),30.0)</f>
        <v>30</v>
      </c>
      <c r="H259" s="3" t="str">
        <f>IFERROR(__xludf.DUMMYFUNCTION("""COMPUTED_VALUE"""),"pcs")</f>
        <v>pcs</v>
      </c>
      <c r="I259" s="3" t="str">
        <f>IFERROR(__xludf.DUMMYFUNCTION("""COMPUTED_VALUE"""),"Deliver")</f>
        <v>Deliver</v>
      </c>
      <c r="J259" s="3" t="str">
        <f>IFERROR(__xludf.DUMMYFUNCTION("""COMPUTED_VALUE"""),"-")</f>
        <v>-</v>
      </c>
      <c r="K259" s="3" t="str">
        <f>IFERROR(__xludf.DUMMYFUNCTION("""COMPUTED_VALUE"""),"-")</f>
        <v>-</v>
      </c>
    </row>
    <row r="260">
      <c r="A260" s="3" t="str">
        <f>IFERROR(__xludf.DUMMYFUNCTION("""COMPUTED_VALUE"""),"RIARO0044")</f>
        <v>RIARO0044</v>
      </c>
      <c r="B260" s="4">
        <f>IFERROR(__xludf.DUMMYFUNCTION("""COMPUTED_VALUE"""),45852.66715339121)</f>
        <v>45852.66715</v>
      </c>
      <c r="C260" s="3">
        <f>IFERROR(__xludf.DUMMYFUNCTION("""COMPUTED_VALUE"""),45854.61468594907)</f>
        <v>45854.61469</v>
      </c>
      <c r="D260" s="3" t="str">
        <f>IFERROR(__xludf.DUMMYFUNCTION("""COMPUTED_VALUE"""),"Alarm System")</f>
        <v>Alarm System</v>
      </c>
      <c r="E260" s="3" t="str">
        <f>IFERROR(__xludf.DUMMYFUNCTION("""COMPUTED_VALUE"""),"-")</f>
        <v>-</v>
      </c>
      <c r="F260" s="3" t="str">
        <f>IFERROR(__xludf.DUMMYFUNCTION("""COMPUTED_VALUE"""),"General - Kabel Belden AWG 22 2 Pair; Belden; 8723; 305m/roll")</f>
        <v>General - Kabel Belden AWG 22 2 Pair; Belden; 8723; 305m/roll</v>
      </c>
      <c r="G260" s="3">
        <f>IFERROR(__xludf.DUMMYFUNCTION("""COMPUTED_VALUE"""),4.0)</f>
        <v>4</v>
      </c>
      <c r="H260" s="3" t="str">
        <f>IFERROR(__xludf.DUMMYFUNCTION("""COMPUTED_VALUE"""),"Roll")</f>
        <v>Roll</v>
      </c>
      <c r="I260" s="3" t="str">
        <f>IFERROR(__xludf.DUMMYFUNCTION("""COMPUTED_VALUE"""),"Deliver")</f>
        <v>Deliver</v>
      </c>
      <c r="J260" s="3" t="str">
        <f>IFERROR(__xludf.DUMMYFUNCTION("""COMPUTED_VALUE"""),"-")</f>
        <v>-</v>
      </c>
      <c r="K260" s="3" t="str">
        <f>IFERROR(__xludf.DUMMYFUNCTION("""COMPUTED_VALUE"""),"-")</f>
        <v>-</v>
      </c>
    </row>
    <row r="261">
      <c r="A261" s="3" t="str">
        <f>IFERROR(__xludf.DUMMYFUNCTION("""COMPUTED_VALUE"""),"RIARO0045")</f>
        <v>RIARO0045</v>
      </c>
      <c r="B261" s="4">
        <f>IFERROR(__xludf.DUMMYFUNCTION("""COMPUTED_VALUE"""),45852.671271284715)</f>
        <v>45852.67127</v>
      </c>
      <c r="C261" s="3">
        <f>IFERROR(__xludf.DUMMYFUNCTION("""COMPUTED_VALUE"""),45854.614856458335)</f>
        <v>45854.61486</v>
      </c>
      <c r="D261" s="3" t="str">
        <f>IFERROR(__xludf.DUMMYFUNCTION("""COMPUTED_VALUE"""),"Alarm System")</f>
        <v>Alarm System</v>
      </c>
      <c r="E261" s="3" t="str">
        <f>IFERROR(__xludf.DUMMYFUNCTION("""COMPUTED_VALUE"""),"-")</f>
        <v>-</v>
      </c>
      <c r="F261" s="3" t="str">
        <f>IFERROR(__xludf.DUMMYFUNCTION("""COMPUTED_VALUE"""),"Temperature Controller - TK4S- 24RN 100-240 VAC AUTONICS; ; ;")</f>
        <v>Temperature Controller - TK4S- 24RN 100-240 VAC AUTONICS; ; ;</v>
      </c>
      <c r="G261" s="3">
        <f>IFERROR(__xludf.DUMMYFUNCTION("""COMPUTED_VALUE"""),4.0)</f>
        <v>4</v>
      </c>
      <c r="H261" s="3" t="str">
        <f>IFERROR(__xludf.DUMMYFUNCTION("""COMPUTED_VALUE"""),"Pcs")</f>
        <v>Pcs</v>
      </c>
      <c r="I261" s="3" t="str">
        <f>IFERROR(__xludf.DUMMYFUNCTION("""COMPUTED_VALUE"""),"Deliver")</f>
        <v>Deliver</v>
      </c>
      <c r="J261" s="3" t="str">
        <f>IFERROR(__xludf.DUMMYFUNCTION("""COMPUTED_VALUE"""),"-")</f>
        <v>-</v>
      </c>
      <c r="K261" s="3" t="str">
        <f>IFERROR(__xludf.DUMMYFUNCTION("""COMPUTED_VALUE"""),"-")</f>
        <v>-</v>
      </c>
    </row>
    <row r="262">
      <c r="A262" s="3" t="str">
        <f>IFERROR(__xludf.DUMMYFUNCTION("""COMPUTED_VALUE"""),"RIARO0046")</f>
        <v>RIARO0046</v>
      </c>
      <c r="B262" s="4">
        <f>IFERROR(__xludf.DUMMYFUNCTION("""COMPUTED_VALUE"""),45852.67165508102)</f>
        <v>45852.67166</v>
      </c>
      <c r="C262" s="3">
        <f>IFERROR(__xludf.DUMMYFUNCTION("""COMPUTED_VALUE"""),45854.61503741898)</f>
        <v>45854.61504</v>
      </c>
      <c r="D262" s="3" t="str">
        <f>IFERROR(__xludf.DUMMYFUNCTION("""COMPUTED_VALUE"""),"Alarm System")</f>
        <v>Alarm System</v>
      </c>
      <c r="E262" s="3" t="str">
        <f>IFERROR(__xludf.DUMMYFUNCTION("""COMPUTED_VALUE"""),"-")</f>
        <v>-</v>
      </c>
      <c r="F262" s="3" t="str">
        <f>IFERROR(__xludf.DUMMYFUNCTION("""COMPUTED_VALUE"""),"Junction Box Plastik 12x12x10 cm; ; ;")</f>
        <v>Junction Box Plastik 12x12x10 cm; ; ;</v>
      </c>
      <c r="G262" s="3">
        <f>IFERROR(__xludf.DUMMYFUNCTION("""COMPUTED_VALUE"""),4.0)</f>
        <v>4</v>
      </c>
      <c r="H262" s="3" t="str">
        <f>IFERROR(__xludf.DUMMYFUNCTION("""COMPUTED_VALUE"""),"Pcs")</f>
        <v>Pcs</v>
      </c>
      <c r="I262" s="3" t="str">
        <f>IFERROR(__xludf.DUMMYFUNCTION("""COMPUTED_VALUE"""),"Deliver")</f>
        <v>Deliver</v>
      </c>
      <c r="J262" s="3" t="str">
        <f>IFERROR(__xludf.DUMMYFUNCTION("""COMPUTED_VALUE"""),"-")</f>
        <v>-</v>
      </c>
      <c r="K262" s="3" t="str">
        <f>IFERROR(__xludf.DUMMYFUNCTION("""COMPUTED_VALUE"""),"-")</f>
        <v>-</v>
      </c>
    </row>
    <row r="263">
      <c r="A263" s="3" t="str">
        <f>IFERROR(__xludf.DUMMYFUNCTION("""COMPUTED_VALUE"""),"RIARO0047")</f>
        <v>RIARO0047</v>
      </c>
      <c r="B263" s="4">
        <f>IFERROR(__xludf.DUMMYFUNCTION("""COMPUTED_VALUE"""),45853.663975891206)</f>
        <v>45853.66398</v>
      </c>
      <c r="C263" s="3">
        <f>IFERROR(__xludf.DUMMYFUNCTION("""COMPUTED_VALUE"""),45854.6152252662)</f>
        <v>45854.61523</v>
      </c>
      <c r="D263" s="3" t="str">
        <f>IFERROR(__xludf.DUMMYFUNCTION("""COMPUTED_VALUE"""),"AHU D3-1")</f>
        <v>AHU D3-1</v>
      </c>
      <c r="E263" s="3" t="str">
        <f>IFERROR(__xludf.DUMMYFUNCTION("""COMPUTED_VALUE"""),"EJO/2025/07/109")</f>
        <v>EJO/2025/07/109</v>
      </c>
      <c r="F263" s="3" t="str">
        <f>IFERROR(__xludf.DUMMYFUNCTION("""COMPUTED_VALUE"""),"General - Pulser SCR Heater Controller Wall Mounted 0-10 VD DC; Regin; 240-X010; 1 unit")</f>
        <v>General - Pulser SCR Heater Controller Wall Mounted 0-10 VD DC; Regin; 240-X010; 1 unit</v>
      </c>
      <c r="G263" s="3">
        <f>IFERROR(__xludf.DUMMYFUNCTION("""COMPUTED_VALUE"""),5.0)</f>
        <v>5</v>
      </c>
      <c r="H263" s="3" t="str">
        <f>IFERROR(__xludf.DUMMYFUNCTION("""COMPUTED_VALUE"""),"Pcs")</f>
        <v>Pcs</v>
      </c>
      <c r="I263" s="3" t="str">
        <f>IFERROR(__xludf.DUMMYFUNCTION("""COMPUTED_VALUE"""),"Deliver")</f>
        <v>Deliver</v>
      </c>
      <c r="J263" s="3" t="str">
        <f>IFERROR(__xludf.DUMMYFUNCTION("""COMPUTED_VALUE"""),"-")</f>
        <v>-</v>
      </c>
      <c r="K263" s="3" t="str">
        <f>IFERROR(__xludf.DUMMYFUNCTION("""COMPUTED_VALUE"""),"-")</f>
        <v>-</v>
      </c>
    </row>
    <row r="264">
      <c r="A264" s="3" t="str">
        <f>IFERROR(__xludf.DUMMYFUNCTION("""COMPUTED_VALUE"""),"SFHRO0011")</f>
        <v>SFHRO0011</v>
      </c>
      <c r="B264" s="4">
        <f>IFERROR(__xludf.DUMMYFUNCTION("""COMPUTED_VALUE"""),45854.74795689815)</f>
        <v>45854.74796</v>
      </c>
      <c r="C264" s="3">
        <f>IFERROR(__xludf.DUMMYFUNCTION("""COMPUTED_VALUE"""),45855.469743124995)</f>
        <v>45855.46974</v>
      </c>
      <c r="D264" s="3" t="str">
        <f>IFERROR(__xludf.DUMMYFUNCTION("""COMPUTED_VALUE"""),"lantai 2")</f>
        <v>lantai 2</v>
      </c>
      <c r="E264" s="3" t="str">
        <f>IFERROR(__xludf.DUMMYFUNCTION("""COMPUTED_VALUE"""),"-")</f>
        <v>-</v>
      </c>
      <c r="F264" s="3" t="str">
        <f>IFERROR(__xludf.DUMMYFUNCTION("""COMPUTED_VALUE"""),"Multipox MX-98-2K SB White;Propan;Type White;pack size per 20 kg pail")</f>
        <v>Multipox MX-98-2K SB White;Propan;Type White;pack size per 20 kg pail</v>
      </c>
      <c r="G264" s="3">
        <f>IFERROR(__xludf.DUMMYFUNCTION("""COMPUTED_VALUE"""),20.0)</f>
        <v>20</v>
      </c>
      <c r="H264" s="3" t="str">
        <f>IFERROR(__xludf.DUMMYFUNCTION("""COMPUTED_VALUE"""),"pel")</f>
        <v>pel</v>
      </c>
      <c r="I264" s="3" t="str">
        <f>IFERROR(__xludf.DUMMYFUNCTION("""COMPUTED_VALUE"""),"Deliver")</f>
        <v>Deliver</v>
      </c>
      <c r="J264" s="3" t="str">
        <f>IFERROR(__xludf.DUMMYFUNCTION("""COMPUTED_VALUE"""),"-")</f>
        <v>-</v>
      </c>
      <c r="K264" s="3" t="str">
        <f>IFERROR(__xludf.DUMMYFUNCTION("""COMPUTED_VALUE"""),"-")</f>
        <v>-</v>
      </c>
    </row>
    <row r="265">
      <c r="A265" s="3" t="str">
        <f>IFERROR(__xludf.DUMMYFUNCTION("""COMPUTED_VALUE"""),"NDSRO0004")</f>
        <v>NDSRO0004</v>
      </c>
      <c r="B265" s="4">
        <f>IFERROR(__xludf.DUMMYFUNCTION("""COMPUTED_VALUE"""),45855.74678824074)</f>
        <v>45855.74679</v>
      </c>
      <c r="C265" s="3">
        <f>IFERROR(__xludf.DUMMYFUNCTION("""COMPUTED_VALUE"""),45895.12607775463)</f>
        <v>45895.12608</v>
      </c>
      <c r="D265" s="3" t="str">
        <f>IFERROR(__xludf.DUMMYFUNCTION("""COMPUTED_VALUE"""),"MS 30")</f>
        <v>MS 30</v>
      </c>
      <c r="E265" s="3" t="str">
        <f>IFERROR(__xludf.DUMMYFUNCTION("""COMPUTED_VALUE"""),"-")</f>
        <v>-</v>
      </c>
      <c r="F265" s="3" t="str">
        <f>IFERROR(__xludf.DUMMYFUNCTION("""COMPUTED_VALUE"""),"Battery 12V 18AH merk LONG")</f>
        <v>Battery 12V 18AH merk LONG</v>
      </c>
      <c r="G265" s="3">
        <f>IFERROR(__xludf.DUMMYFUNCTION("""COMPUTED_VALUE"""),3.0)</f>
        <v>3</v>
      </c>
      <c r="H265" s="3" t="str">
        <f>IFERROR(__xludf.DUMMYFUNCTION("""COMPUTED_VALUE"""),"Pcs")</f>
        <v>Pcs</v>
      </c>
      <c r="I265" s="3" t="str">
        <f>IFERROR(__xludf.DUMMYFUNCTION("""COMPUTED_VALUE"""),"Deliver")</f>
        <v>Deliver</v>
      </c>
      <c r="J265" s="3" t="str">
        <f>IFERROR(__xludf.DUMMYFUNCTION("""COMPUTED_VALUE"""),"-")</f>
        <v>-</v>
      </c>
      <c r="K265" s="3" t="str">
        <f>IFERROR(__xludf.DUMMYFUNCTION("""COMPUTED_VALUE"""),"-")</f>
        <v>-</v>
      </c>
    </row>
    <row r="266">
      <c r="A266" s="3" t="str">
        <f>IFERROR(__xludf.DUMMYFUNCTION("""COMPUTED_VALUE"""),"ANORO0007")</f>
        <v>ANORO0007</v>
      </c>
      <c r="B266" s="4">
        <f>IFERROR(__xludf.DUMMYFUNCTION("""COMPUTED_VALUE"""),45860.369664363425)</f>
        <v>45860.36966</v>
      </c>
      <c r="C266" s="3">
        <f>IFERROR(__xludf.DUMMYFUNCTION("""COMPUTED_VALUE"""),45887.46743052083)</f>
        <v>45887.46743</v>
      </c>
      <c r="D266" s="3" t="str">
        <f>IFERROR(__xludf.DUMMYFUNCTION("""COMPUTED_VALUE"""),"Passbox")</f>
        <v>Passbox</v>
      </c>
      <c r="E266" s="3" t="str">
        <f>IFERROR(__xludf.DUMMYFUNCTION("""COMPUTED_VALUE"""),"-")</f>
        <v>-</v>
      </c>
      <c r="F266" s="3" t="str">
        <f>IFERROR(__xludf.DUMMYFUNCTION("""COMPUTED_VALUE"""),"Limit Switch LX19-001  250 VAC; ; ;")</f>
        <v>Limit Switch LX19-001  250 VAC; ; ;</v>
      </c>
      <c r="G266" s="3">
        <f>IFERROR(__xludf.DUMMYFUNCTION("""COMPUTED_VALUE"""),5.0)</f>
        <v>5</v>
      </c>
      <c r="H266" s="3" t="str">
        <f>IFERROR(__xludf.DUMMYFUNCTION("""COMPUTED_VALUE"""),"PCS")</f>
        <v>PCS</v>
      </c>
      <c r="I266" s="3" t="str">
        <f>IFERROR(__xludf.DUMMYFUNCTION("""COMPUTED_VALUE"""),"Deliver")</f>
        <v>Deliver</v>
      </c>
      <c r="J266" s="3" t="str">
        <f>IFERROR(__xludf.DUMMYFUNCTION("""COMPUTED_VALUE"""),"-")</f>
        <v>-</v>
      </c>
      <c r="K266" s="3" t="str">
        <f>IFERROR(__xludf.DUMMYFUNCTION("""COMPUTED_VALUE"""),"-")</f>
        <v>-</v>
      </c>
    </row>
    <row r="267">
      <c r="A267" s="3" t="str">
        <f>IFERROR(__xludf.DUMMYFUNCTION("""COMPUTED_VALUE"""),"SFHRO0012")</f>
        <v>SFHRO0012</v>
      </c>
      <c r="B267" s="4">
        <f>IFERROR(__xludf.DUMMYFUNCTION("""COMPUTED_VALUE"""),45860.49651092592)</f>
        <v>45860.49651</v>
      </c>
      <c r="C267" s="3">
        <f>IFERROR(__xludf.DUMMYFUNCTION("""COMPUTED_VALUE"""),45860.848399282404)</f>
        <v>45860.8484</v>
      </c>
      <c r="D267" s="3" t="str">
        <f>IFERROR(__xludf.DUMMYFUNCTION("""COMPUTED_VALUE"""),"lantai 2")</f>
        <v>lantai 2</v>
      </c>
      <c r="E267" s="3" t="str">
        <f>IFERROR(__xludf.DUMMYFUNCTION("""COMPUTED_VALUE"""),"-")</f>
        <v>-</v>
      </c>
      <c r="F267" s="3" t="str">
        <f>IFERROR(__xludf.DUMMYFUNCTION("""COMPUTED_VALUE"""),"Cat Durogloss DR-2000; Propan; Type Spiders Web 90YY 73/040; 0,9 L/can")</f>
        <v>Cat Durogloss DR-2000; Propan; Type Spiders Web 90YY 73/040; 0,9 L/can</v>
      </c>
      <c r="G267" s="3">
        <f>IFERROR(__xludf.DUMMYFUNCTION("""COMPUTED_VALUE"""),1.0)</f>
        <v>1</v>
      </c>
      <c r="H267" s="3" t="str">
        <f>IFERROR(__xludf.DUMMYFUNCTION("""COMPUTED_VALUE"""),"pel")</f>
        <v>pel</v>
      </c>
      <c r="I267" s="3" t="str">
        <f>IFERROR(__xludf.DUMMYFUNCTION("""COMPUTED_VALUE"""),"Deliver")</f>
        <v>Deliver</v>
      </c>
      <c r="J267" s="3" t="str">
        <f>IFERROR(__xludf.DUMMYFUNCTION("""COMPUTED_VALUE"""),"-")</f>
        <v>-</v>
      </c>
      <c r="K267" s="3" t="str">
        <f>IFERROR(__xludf.DUMMYFUNCTION("""COMPUTED_VALUE"""),"-")</f>
        <v>-</v>
      </c>
    </row>
    <row r="268">
      <c r="A268" s="3" t="str">
        <f>IFERROR(__xludf.DUMMYFUNCTION("""COMPUTED_VALUE"""),"MOBRO0055")</f>
        <v>MOBRO0055</v>
      </c>
      <c r="B268" s="4">
        <f>IFERROR(__xludf.DUMMYFUNCTION("""COMPUTED_VALUE"""),45860.668564224536)</f>
        <v>45860.66856</v>
      </c>
      <c r="C268" s="3">
        <f>IFERROR(__xludf.DUMMYFUNCTION("""COMPUTED_VALUE"""),45867.44718375)</f>
        <v>45867.44718</v>
      </c>
      <c r="D268" s="3" t="str">
        <f>IFERROR(__xludf.DUMMYFUNCTION("""COMPUTED_VALUE"""),"AHU")</f>
        <v>AHU</v>
      </c>
      <c r="E268" s="3" t="str">
        <f>IFERROR(__xludf.DUMMYFUNCTION("""COMPUTED_VALUE"""),"-")</f>
        <v>-</v>
      </c>
      <c r="F268" s="3" t="str">
        <f>IFERROR(__xludf.DUMMYFUNCTION("""COMPUTED_VALUE"""),"Room Air Temp. &amp; RH Sensor, P/N. QFA2060D; ; ;")</f>
        <v>Room Air Temp. &amp; RH Sensor, P/N. QFA2060D; ; ;</v>
      </c>
      <c r="G268" s="3">
        <f>IFERROR(__xludf.DUMMYFUNCTION("""COMPUTED_VALUE"""),2.0)</f>
        <v>2</v>
      </c>
      <c r="H268" s="3" t="str">
        <f>IFERROR(__xludf.DUMMYFUNCTION("""COMPUTED_VALUE"""),"Pcs")</f>
        <v>Pcs</v>
      </c>
      <c r="I268" s="3" t="str">
        <f>IFERROR(__xludf.DUMMYFUNCTION("""COMPUTED_VALUE"""),"Deliver")</f>
        <v>Deliver</v>
      </c>
      <c r="J268" s="3" t="str">
        <f>IFERROR(__xludf.DUMMYFUNCTION("""COMPUTED_VALUE"""),"-")</f>
        <v>-</v>
      </c>
      <c r="K268" s="3" t="str">
        <f>IFERROR(__xludf.DUMMYFUNCTION("""COMPUTED_VALUE"""),"-")</f>
        <v>-</v>
      </c>
    </row>
    <row r="269">
      <c r="A269" s="3" t="str">
        <f>IFERROR(__xludf.DUMMYFUNCTION("""COMPUTED_VALUE"""),"ANORO0008")</f>
        <v>ANORO0008</v>
      </c>
      <c r="B269" s="4">
        <f>IFERROR(__xludf.DUMMYFUNCTION("""COMPUTED_VALUE"""),45861.33548637732)</f>
        <v>45861.33549</v>
      </c>
      <c r="C269" s="3">
        <f>IFERROR(__xludf.DUMMYFUNCTION("""COMPUTED_VALUE"""),45887.46774173611)</f>
        <v>45887.46774</v>
      </c>
      <c r="D269" s="3" t="str">
        <f>IFERROR(__xludf.DUMMYFUNCTION("""COMPUTED_VALUE"""),"HPLC")</f>
        <v>HPLC</v>
      </c>
      <c r="E269" s="3" t="str">
        <f>IFERROR(__xludf.DUMMYFUNCTION("""COMPUTED_VALUE"""),"-")</f>
        <v>-</v>
      </c>
      <c r="F269" s="3" t="str">
        <f>IFERROR(__xludf.DUMMYFUNCTION("""COMPUTED_VALUE"""),"Performance Plus Check Valve Housing; Waters; 700002332;")</f>
        <v>Performance Plus Check Valve Housing; Waters; 700002332;</v>
      </c>
      <c r="G269" s="3">
        <f>IFERROR(__xludf.DUMMYFUNCTION("""COMPUTED_VALUE"""),3.0)</f>
        <v>3</v>
      </c>
      <c r="H269" s="3" t="str">
        <f>IFERROR(__xludf.DUMMYFUNCTION("""COMPUTED_VALUE"""),"PCS")</f>
        <v>PCS</v>
      </c>
      <c r="I269" s="3" t="str">
        <f>IFERROR(__xludf.DUMMYFUNCTION("""COMPUTED_VALUE"""),"Deliver")</f>
        <v>Deliver</v>
      </c>
      <c r="J269" s="3" t="str">
        <f>IFERROR(__xludf.DUMMYFUNCTION("""COMPUTED_VALUE"""),"-")</f>
        <v>-</v>
      </c>
      <c r="K269" s="3" t="str">
        <f>IFERROR(__xludf.DUMMYFUNCTION("""COMPUTED_VALUE"""),"-")</f>
        <v>-</v>
      </c>
    </row>
    <row r="270">
      <c r="A270" s="3" t="str">
        <f>IFERROR(__xludf.DUMMYFUNCTION("""COMPUTED_VALUE"""),"MRNRO0025")</f>
        <v>MRNRO0025</v>
      </c>
      <c r="B270" s="4">
        <f>IFERROR(__xludf.DUMMYFUNCTION("""COMPUTED_VALUE"""),45865.63214635417)</f>
        <v>45865.63215</v>
      </c>
      <c r="C270" s="3">
        <f>IFERROR(__xludf.DUMMYFUNCTION("""COMPUTED_VALUE"""),45867.45679300926)</f>
        <v>45867.45679</v>
      </c>
      <c r="D270" s="3" t="str">
        <f>IFERROR(__xludf.DUMMYFUNCTION("""COMPUTED_VALUE"""),"Ruang GC lab")</f>
        <v>Ruang GC lab</v>
      </c>
      <c r="E270" s="3" t="str">
        <f>IFERROR(__xludf.DUMMYFUNCTION("""COMPUTED_VALUE"""),"EJO/2025/07/42")</f>
        <v>EJO/2025/07/42</v>
      </c>
      <c r="F270" s="3" t="str">
        <f>IFERROR(__xludf.DUMMYFUNCTION("""COMPUTED_VALUE"""),"General - Push-in Fitting, QS-1/4-6; Festo; 153003; 1 pcs")</f>
        <v>General - Push-in Fitting, QS-1/4-6; Festo; 153003; 1 pcs</v>
      </c>
      <c r="G270" s="3">
        <f>IFERROR(__xludf.DUMMYFUNCTION("""COMPUTED_VALUE"""),8.0)</f>
        <v>8</v>
      </c>
      <c r="H270" s="3" t="str">
        <f>IFERROR(__xludf.DUMMYFUNCTION("""COMPUTED_VALUE"""),"pcs")</f>
        <v>pcs</v>
      </c>
      <c r="I270" s="3" t="str">
        <f>IFERROR(__xludf.DUMMYFUNCTION("""COMPUTED_VALUE"""),"Deliver")</f>
        <v>Deliver</v>
      </c>
      <c r="J270" s="3" t="str">
        <f>IFERROR(__xludf.DUMMYFUNCTION("""COMPUTED_VALUE"""),"-")</f>
        <v>-</v>
      </c>
      <c r="K270" s="3" t="str">
        <f>IFERROR(__xludf.DUMMYFUNCTION("""COMPUTED_VALUE"""),"-")</f>
        <v>-</v>
      </c>
    </row>
    <row r="271">
      <c r="A271" s="3" t="str">
        <f>IFERROR(__xludf.DUMMYFUNCTION("""COMPUTED_VALUE"""),"MRNRO0026")</f>
        <v>MRNRO0026</v>
      </c>
      <c r="B271" s="4">
        <f>IFERROR(__xludf.DUMMYFUNCTION("""COMPUTED_VALUE"""),45865.633823854165)</f>
        <v>45865.63382</v>
      </c>
      <c r="C271" s="3">
        <f>IFERROR(__xludf.DUMMYFUNCTION("""COMPUTED_VALUE"""),45867.45701052083)</f>
        <v>45867.45701</v>
      </c>
      <c r="D271" s="3" t="str">
        <f>IFERROR(__xludf.DUMMYFUNCTION("""COMPUTED_VALUE"""),"Ruang GC lab")</f>
        <v>Ruang GC lab</v>
      </c>
      <c r="E271" s="3" t="str">
        <f>IFERROR(__xludf.DUMMYFUNCTION("""COMPUTED_VALUE"""),"EJO/2025/07/42")</f>
        <v>EJO/2025/07/42</v>
      </c>
      <c r="F271" s="3" t="str">
        <f>IFERROR(__xludf.DUMMYFUNCTION("""COMPUTED_VALUE"""),"General - Panel Box Uk. 20 x 30 x 15cm; No Brand; -; 1 pc")</f>
        <v>General - Panel Box Uk. 20 x 30 x 15cm; No Brand; -; 1 pc</v>
      </c>
      <c r="G271" s="3">
        <f>IFERROR(__xludf.DUMMYFUNCTION("""COMPUTED_VALUE"""),1.0)</f>
        <v>1</v>
      </c>
      <c r="H271" s="3" t="str">
        <f>IFERROR(__xludf.DUMMYFUNCTION("""COMPUTED_VALUE"""),"pcs")</f>
        <v>pcs</v>
      </c>
      <c r="I271" s="3" t="str">
        <f>IFERROR(__xludf.DUMMYFUNCTION("""COMPUTED_VALUE"""),"Deliver")</f>
        <v>Deliver</v>
      </c>
      <c r="J271" s="3" t="str">
        <f>IFERROR(__xludf.DUMMYFUNCTION("""COMPUTED_VALUE"""),"-")</f>
        <v>-</v>
      </c>
      <c r="K271" s="3" t="str">
        <f>IFERROR(__xludf.DUMMYFUNCTION("""COMPUTED_VALUE"""),"-")</f>
        <v>-</v>
      </c>
    </row>
    <row r="272">
      <c r="A272" s="3" t="str">
        <f>IFERROR(__xludf.DUMMYFUNCTION("""COMPUTED_VALUE"""),"MRNRO0027")</f>
        <v>MRNRO0027</v>
      </c>
      <c r="B272" s="4">
        <f>IFERROR(__xludf.DUMMYFUNCTION("""COMPUTED_VALUE"""),45865.641474814816)</f>
        <v>45865.64147</v>
      </c>
      <c r="C272" s="3">
        <f>IFERROR(__xludf.DUMMYFUNCTION("""COMPUTED_VALUE"""),45867.45722548611)</f>
        <v>45867.45723</v>
      </c>
      <c r="D272" s="3" t="str">
        <f>IFERROR(__xludf.DUMMYFUNCTION("""COMPUTED_VALUE"""),"Ruang GC lab")</f>
        <v>Ruang GC lab</v>
      </c>
      <c r="E272" s="3" t="str">
        <f>IFERROR(__xludf.DUMMYFUNCTION("""COMPUTED_VALUE"""),"EJO/2025/07/42")</f>
        <v>EJO/2025/07/42</v>
      </c>
      <c r="F272" s="3" t="str">
        <f>IFERROR(__xludf.DUMMYFUNCTION("""COMPUTED_VALUE"""),"Pilot Lamps / Green / 220 VAC / AD22-22DS / AXLE")</f>
        <v>Pilot Lamps / Green / 220 VAC / AD22-22DS / AXLE</v>
      </c>
      <c r="G272" s="3">
        <f>IFERROR(__xludf.DUMMYFUNCTION("""COMPUTED_VALUE"""),5.0)</f>
        <v>5</v>
      </c>
      <c r="H272" s="3" t="str">
        <f>IFERROR(__xludf.DUMMYFUNCTION("""COMPUTED_VALUE"""),"pcs")</f>
        <v>pcs</v>
      </c>
      <c r="I272" s="3" t="str">
        <f>IFERROR(__xludf.DUMMYFUNCTION("""COMPUTED_VALUE"""),"Deliver")</f>
        <v>Deliver</v>
      </c>
      <c r="J272" s="3" t="str">
        <f>IFERROR(__xludf.DUMMYFUNCTION("""COMPUTED_VALUE"""),"-")</f>
        <v>-</v>
      </c>
      <c r="K272" s="3" t="str">
        <f>IFERROR(__xludf.DUMMYFUNCTION("""COMPUTED_VALUE"""),"-")</f>
        <v>-</v>
      </c>
    </row>
    <row r="273">
      <c r="A273" s="3" t="str">
        <f>IFERROR(__xludf.DUMMYFUNCTION("""COMPUTED_VALUE"""),"MRNRO0028")</f>
        <v>MRNRO0028</v>
      </c>
      <c r="B273" s="4">
        <f>IFERROR(__xludf.DUMMYFUNCTION("""COMPUTED_VALUE"""),45865.641474814816)</f>
        <v>45865.64147</v>
      </c>
      <c r="C273" s="3">
        <f>IFERROR(__xludf.DUMMYFUNCTION("""COMPUTED_VALUE"""),45867.45749724537)</f>
        <v>45867.4575</v>
      </c>
      <c r="D273" s="3" t="str">
        <f>IFERROR(__xludf.DUMMYFUNCTION("""COMPUTED_VALUE"""),"Ruang GC lab")</f>
        <v>Ruang GC lab</v>
      </c>
      <c r="E273" s="3" t="str">
        <f>IFERROR(__xludf.DUMMYFUNCTION("""COMPUTED_VALUE"""),"EJO/2025/07/44")</f>
        <v>EJO/2025/07/44</v>
      </c>
      <c r="F273" s="3" t="str">
        <f>IFERROR(__xludf.DUMMYFUNCTION("""COMPUTED_VALUE"""),"Pilot Lamps / Red / 24 VDC / AD22-221DSI / AXLE")</f>
        <v>Pilot Lamps / Red / 24 VDC / AD22-221DSI / AXLE</v>
      </c>
      <c r="G273" s="3">
        <f>IFERROR(__xludf.DUMMYFUNCTION("""COMPUTED_VALUE"""),5.0)</f>
        <v>5</v>
      </c>
      <c r="H273" s="3" t="str">
        <f>IFERROR(__xludf.DUMMYFUNCTION("""COMPUTED_VALUE"""),"pcs")</f>
        <v>pcs</v>
      </c>
      <c r="I273" s="3" t="str">
        <f>IFERROR(__xludf.DUMMYFUNCTION("""COMPUTED_VALUE"""),"Deliver")</f>
        <v>Deliver</v>
      </c>
      <c r="J273" s="3" t="str">
        <f>IFERROR(__xludf.DUMMYFUNCTION("""COMPUTED_VALUE"""),"-")</f>
        <v>-</v>
      </c>
      <c r="K273" s="3" t="str">
        <f>IFERROR(__xludf.DUMMYFUNCTION("""COMPUTED_VALUE"""),"-")</f>
        <v>-</v>
      </c>
    </row>
    <row r="274">
      <c r="A274" s="3" t="str">
        <f>IFERROR(__xludf.DUMMYFUNCTION("""COMPUTED_VALUE"""),"MFHRO0122")</f>
        <v>MFHRO0122</v>
      </c>
      <c r="B274" s="4">
        <f>IFERROR(__xludf.DUMMYFUNCTION("""COMPUTED_VALUE"""),45865.64966880787)</f>
        <v>45865.64967</v>
      </c>
      <c r="C274" s="3">
        <f>IFERROR(__xludf.DUMMYFUNCTION("""COMPUTED_VALUE"""),45865.916064247685)</f>
        <v>45865.91606</v>
      </c>
      <c r="D274" s="3" t="str">
        <f>IFERROR(__xludf.DUMMYFUNCTION("""COMPUTED_VALUE"""),"Lab")</f>
        <v>Lab</v>
      </c>
      <c r="E274" s="3" t="str">
        <f>IFERROR(__xludf.DUMMYFUNCTION("""COMPUTED_VALUE"""),"-")</f>
        <v>-</v>
      </c>
      <c r="F274" s="3" t="str">
        <f>IFERROR(__xludf.DUMMYFUNCTION("""COMPUTED_VALUE"""),"Inlet liner, Ultra Inert, split, low pressure drop, glass wool; Agilent; Part No. 5190-2295; 1/pk")</f>
        <v>Inlet liner, Ultra Inert, split, low pressure drop, glass wool; Agilent; Part No. 5190-2295; 1/pk</v>
      </c>
      <c r="G274" s="3">
        <f>IFERROR(__xludf.DUMMYFUNCTION("""COMPUTED_VALUE"""),2.0)</f>
        <v>2</v>
      </c>
      <c r="H274" s="3" t="str">
        <f>IFERROR(__xludf.DUMMYFUNCTION("""COMPUTED_VALUE"""),"Pieces")</f>
        <v>Pieces</v>
      </c>
      <c r="I274" s="3" t="str">
        <f>IFERROR(__xludf.DUMMYFUNCTION("""COMPUTED_VALUE"""),"Deliver")</f>
        <v>Deliver</v>
      </c>
      <c r="J274" s="3" t="str">
        <f>IFERROR(__xludf.DUMMYFUNCTION("""COMPUTED_VALUE"""),"-")</f>
        <v>-</v>
      </c>
      <c r="K274" s="3" t="str">
        <f>IFERROR(__xludf.DUMMYFUNCTION("""COMPUTED_VALUE"""),"-")</f>
        <v>-</v>
      </c>
    </row>
    <row r="275">
      <c r="A275" s="3" t="str">
        <f>IFERROR(__xludf.DUMMYFUNCTION("""COMPUTED_VALUE"""),"MFHRO0123")</f>
        <v>MFHRO0123</v>
      </c>
      <c r="B275" s="4">
        <f>IFERROR(__xludf.DUMMYFUNCTION("""COMPUTED_VALUE"""),45865.64966880787)</f>
        <v>45865.64967</v>
      </c>
      <c r="C275" s="3">
        <f>IFERROR(__xludf.DUMMYFUNCTION("""COMPUTED_VALUE"""),45865.91616284722)</f>
        <v>45865.91616</v>
      </c>
      <c r="D275" s="3" t="str">
        <f>IFERROR(__xludf.DUMMYFUNCTION("""COMPUTED_VALUE"""),"Lab")</f>
        <v>Lab</v>
      </c>
      <c r="E275" s="3" t="str">
        <f>IFERROR(__xludf.DUMMYFUNCTION("""COMPUTED_VALUE"""),"-")</f>
        <v>-</v>
      </c>
      <c r="F275" s="3" t="str">
        <f>IFERROR(__xludf.DUMMYFUNCTION("""COMPUTED_VALUE"""),"Septum Bleed/Temp Opt. Non-Stick 11 mm Septa ; Agilent; Part No. 5183-4757; 50/pk")</f>
        <v>Septum Bleed/Temp Opt. Non-Stick 11 mm Septa ; Agilent; Part No. 5183-4757; 50/pk</v>
      </c>
      <c r="G275" s="3">
        <f>IFERROR(__xludf.DUMMYFUNCTION("""COMPUTED_VALUE"""),1.0)</f>
        <v>1</v>
      </c>
      <c r="H275" s="3" t="str">
        <f>IFERROR(__xludf.DUMMYFUNCTION("""COMPUTED_VALUE"""),"Pack")</f>
        <v>Pack</v>
      </c>
      <c r="I275" s="3" t="str">
        <f>IFERROR(__xludf.DUMMYFUNCTION("""COMPUTED_VALUE"""),"Deliver")</f>
        <v>Deliver</v>
      </c>
      <c r="J275" s="3" t="str">
        <f>IFERROR(__xludf.DUMMYFUNCTION("""COMPUTED_VALUE"""),"-")</f>
        <v>-</v>
      </c>
      <c r="K275" s="3" t="str">
        <f>IFERROR(__xludf.DUMMYFUNCTION("""COMPUTED_VALUE"""),"-")</f>
        <v>-</v>
      </c>
    </row>
    <row r="276">
      <c r="A276" s="3" t="str">
        <f>IFERROR(__xludf.DUMMYFUNCTION("""COMPUTED_VALUE"""),"MFHRO0124")</f>
        <v>MFHRO0124</v>
      </c>
      <c r="B276" s="4">
        <f>IFERROR(__xludf.DUMMYFUNCTION("""COMPUTED_VALUE"""),45865.64966880787)</f>
        <v>45865.64967</v>
      </c>
      <c r="C276" s="3">
        <f>IFERROR(__xludf.DUMMYFUNCTION("""COMPUTED_VALUE"""),45865.91628430555)</f>
        <v>45865.91628</v>
      </c>
      <c r="D276" s="3" t="str">
        <f>IFERROR(__xludf.DUMMYFUNCTION("""COMPUTED_VALUE"""),"General")</f>
        <v>General</v>
      </c>
      <c r="E276" s="3" t="str">
        <f>IFERROR(__xludf.DUMMYFUNCTION("""COMPUTED_VALUE"""),"-")</f>
        <v>-</v>
      </c>
      <c r="F276" s="3" t="str">
        <f>IFERROR(__xludf.DUMMYFUNCTION("""COMPUTED_VALUE"""),"Isolasi AC- Sansui")</f>
        <v>Isolasi AC- Sansui</v>
      </c>
      <c r="G276" s="3">
        <f>IFERROR(__xludf.DUMMYFUNCTION("""COMPUTED_VALUE"""),15.0)</f>
        <v>15</v>
      </c>
      <c r="H276" s="3" t="str">
        <f>IFERROR(__xludf.DUMMYFUNCTION("""COMPUTED_VALUE"""),"Pieces")</f>
        <v>Pieces</v>
      </c>
      <c r="I276" s="3" t="str">
        <f>IFERROR(__xludf.DUMMYFUNCTION("""COMPUTED_VALUE"""),"Deliver")</f>
        <v>Deliver</v>
      </c>
      <c r="J276" s="3" t="str">
        <f>IFERROR(__xludf.DUMMYFUNCTION("""COMPUTED_VALUE"""),"-")</f>
        <v>-</v>
      </c>
      <c r="K276" s="3" t="str">
        <f>IFERROR(__xludf.DUMMYFUNCTION("""COMPUTED_VALUE"""),"-")</f>
        <v>-</v>
      </c>
    </row>
    <row r="277">
      <c r="A277" s="3" t="str">
        <f>IFERROR(__xludf.DUMMYFUNCTION("""COMPUTED_VALUE"""),"MFHRO0125")</f>
        <v>MFHRO0125</v>
      </c>
      <c r="B277" s="4">
        <f>IFERROR(__xludf.DUMMYFUNCTION("""COMPUTED_VALUE"""),45865.64966880787)</f>
        <v>45865.64967</v>
      </c>
      <c r="C277" s="3">
        <f>IFERROR(__xludf.DUMMYFUNCTION("""COMPUTED_VALUE"""),45865.91643024306)</f>
        <v>45865.91643</v>
      </c>
      <c r="D277" s="3" t="str">
        <f>IFERROR(__xludf.DUMMYFUNCTION("""COMPUTED_VALUE"""),"General")</f>
        <v>General</v>
      </c>
      <c r="E277" s="3" t="str">
        <f>IFERROR(__xludf.DUMMYFUNCTION("""COMPUTED_VALUE"""),"-")</f>
        <v>-</v>
      </c>
      <c r="F277" s="3" t="str">
        <f>IFERROR(__xludf.DUMMYFUNCTION("""COMPUTED_VALUE"""),"Pneumatic  Fitting - QS 10-8 / PN : 153039 / Festo")</f>
        <v>Pneumatic  Fitting - QS 10-8 / PN : 153039 / Festo</v>
      </c>
      <c r="G277" s="3">
        <f>IFERROR(__xludf.DUMMYFUNCTION("""COMPUTED_VALUE"""),10.0)</f>
        <v>10</v>
      </c>
      <c r="H277" s="3" t="str">
        <f>IFERROR(__xludf.DUMMYFUNCTION("""COMPUTED_VALUE"""),"Pieces")</f>
        <v>Pieces</v>
      </c>
      <c r="I277" s="3" t="str">
        <f>IFERROR(__xludf.DUMMYFUNCTION("""COMPUTED_VALUE"""),"Deliver")</f>
        <v>Deliver</v>
      </c>
      <c r="J277" s="3" t="str">
        <f>IFERROR(__xludf.DUMMYFUNCTION("""COMPUTED_VALUE"""),"-")</f>
        <v>-</v>
      </c>
      <c r="K277" s="3" t="str">
        <f>IFERROR(__xludf.DUMMYFUNCTION("""COMPUTED_VALUE"""),"-")</f>
        <v>-</v>
      </c>
    </row>
    <row r="278">
      <c r="A278" s="3" t="str">
        <f>IFERROR(__xludf.DUMMYFUNCTION("""COMPUTED_VALUE"""),"MFHRO0126")</f>
        <v>MFHRO0126</v>
      </c>
      <c r="B278" s="4">
        <f>IFERROR(__xludf.DUMMYFUNCTION("""COMPUTED_VALUE"""),45865.64966880787)</f>
        <v>45865.64967</v>
      </c>
      <c r="C278" s="3">
        <f>IFERROR(__xludf.DUMMYFUNCTION("""COMPUTED_VALUE"""),45865.91652328704)</f>
        <v>45865.91652</v>
      </c>
      <c r="D278" s="3" t="str">
        <f>IFERROR(__xludf.DUMMYFUNCTION("""COMPUTED_VALUE"""),"AHU")</f>
        <v>AHU</v>
      </c>
      <c r="E278" s="3" t="str">
        <f>IFERROR(__xludf.DUMMYFUNCTION("""COMPUTED_VALUE"""),"-")</f>
        <v>-</v>
      </c>
      <c r="F278" s="3" t="str">
        <f>IFERROR(__xludf.DUMMYFUNCTION("""COMPUTED_VALUE"""),"General - Flexible Ducting Pipa Alumunium 4inch; No Brand; -; 1 pc")</f>
        <v>General - Flexible Ducting Pipa Alumunium 4inch; No Brand; -; 1 pc</v>
      </c>
      <c r="G278" s="3">
        <f>IFERROR(__xludf.DUMMYFUNCTION("""COMPUTED_VALUE"""),3.0)</f>
        <v>3</v>
      </c>
      <c r="H278" s="3" t="str">
        <f>IFERROR(__xludf.DUMMYFUNCTION("""COMPUTED_VALUE"""),"Pieces")</f>
        <v>Pieces</v>
      </c>
      <c r="I278" s="3" t="str">
        <f>IFERROR(__xludf.DUMMYFUNCTION("""COMPUTED_VALUE"""),"Deliver")</f>
        <v>Deliver</v>
      </c>
      <c r="J278" s="3" t="str">
        <f>IFERROR(__xludf.DUMMYFUNCTION("""COMPUTED_VALUE"""),"-")</f>
        <v>-</v>
      </c>
      <c r="K278" s="3" t="str">
        <f>IFERROR(__xludf.DUMMYFUNCTION("""COMPUTED_VALUE"""),"-")</f>
        <v>-</v>
      </c>
    </row>
    <row r="279">
      <c r="A279" s="3" t="str">
        <f>IFERROR(__xludf.DUMMYFUNCTION("""COMPUTED_VALUE"""),"MFHRO0127")</f>
        <v>MFHRO0127</v>
      </c>
      <c r="B279" s="4">
        <f>IFERROR(__xludf.DUMMYFUNCTION("""COMPUTED_VALUE"""),45865.64966880787)</f>
        <v>45865.64967</v>
      </c>
      <c r="C279" s="3">
        <f>IFERROR(__xludf.DUMMYFUNCTION("""COMPUTED_VALUE"""),45865.916634988425)</f>
        <v>45865.91663</v>
      </c>
      <c r="D279" s="3" t="str">
        <f>IFERROR(__xludf.DUMMYFUNCTION("""COMPUTED_VALUE"""),"Washbay")</f>
        <v>Washbay</v>
      </c>
      <c r="E279" s="3" t="str">
        <f>IFERROR(__xludf.DUMMYFUNCTION("""COMPUTED_VALUE"""),"-")</f>
        <v>-</v>
      </c>
      <c r="F279" s="3" t="str">
        <f>IFERROR(__xludf.DUMMYFUNCTION("""COMPUTED_VALUE"""),"Button Box 3 hole dia 22 mm; ; ;")</f>
        <v>Button Box 3 hole dia 22 mm; ; ;</v>
      </c>
      <c r="G279" s="3">
        <f>IFERROR(__xludf.DUMMYFUNCTION("""COMPUTED_VALUE"""),1.0)</f>
        <v>1</v>
      </c>
      <c r="H279" s="3" t="str">
        <f>IFERROR(__xludf.DUMMYFUNCTION("""COMPUTED_VALUE"""),"Pieces")</f>
        <v>Pieces</v>
      </c>
      <c r="I279" s="3" t="str">
        <f>IFERROR(__xludf.DUMMYFUNCTION("""COMPUTED_VALUE"""),"Deliver")</f>
        <v>Deliver</v>
      </c>
      <c r="J279" s="3" t="str">
        <f>IFERROR(__xludf.DUMMYFUNCTION("""COMPUTED_VALUE"""),"-")</f>
        <v>-</v>
      </c>
      <c r="K279" s="3" t="str">
        <f>IFERROR(__xludf.DUMMYFUNCTION("""COMPUTED_VALUE"""),"-")</f>
        <v>-</v>
      </c>
    </row>
    <row r="280">
      <c r="A280" s="3" t="str">
        <f>IFERROR(__xludf.DUMMYFUNCTION("""COMPUTED_VALUE"""),"MFHRO0128")</f>
        <v>MFHRO0128</v>
      </c>
      <c r="B280" s="4">
        <f>IFERROR(__xludf.DUMMYFUNCTION("""COMPUTED_VALUE"""),45865.64966880787)</f>
        <v>45865.64967</v>
      </c>
      <c r="C280" s="3">
        <f>IFERROR(__xludf.DUMMYFUNCTION("""COMPUTED_VALUE"""),45865.91674350694)</f>
        <v>45865.91674</v>
      </c>
      <c r="D280" s="3" t="str">
        <f>IFERROR(__xludf.DUMMYFUNCTION("""COMPUTED_VALUE"""),"Washbay")</f>
        <v>Washbay</v>
      </c>
      <c r="E280" s="3" t="str">
        <f>IFERROR(__xludf.DUMMYFUNCTION("""COMPUTED_VALUE"""),"-")</f>
        <v>-</v>
      </c>
      <c r="F280" s="3" t="str">
        <f>IFERROR(__xludf.DUMMYFUNCTION("""COMPUTED_VALUE"""),"General - Plug Silincer 1/4inch; No Brand; -; 1 pc")</f>
        <v>General - Plug Silincer 1/4inch; No Brand; -; 1 pc</v>
      </c>
      <c r="G280" s="3">
        <f>IFERROR(__xludf.DUMMYFUNCTION("""COMPUTED_VALUE"""),1.0)</f>
        <v>1</v>
      </c>
      <c r="H280" s="3" t="str">
        <f>IFERROR(__xludf.DUMMYFUNCTION("""COMPUTED_VALUE"""),"Pieces")</f>
        <v>Pieces</v>
      </c>
      <c r="I280" s="3" t="str">
        <f>IFERROR(__xludf.DUMMYFUNCTION("""COMPUTED_VALUE"""),"Deliver")</f>
        <v>Deliver</v>
      </c>
      <c r="J280" s="3" t="str">
        <f>IFERROR(__xludf.DUMMYFUNCTION("""COMPUTED_VALUE"""),"-")</f>
        <v>-</v>
      </c>
      <c r="K280" s="3" t="str">
        <f>IFERROR(__xludf.DUMMYFUNCTION("""COMPUTED_VALUE"""),"-")</f>
        <v>-</v>
      </c>
    </row>
    <row r="281">
      <c r="A281" s="3" t="str">
        <f>IFERROR(__xludf.DUMMYFUNCTION("""COMPUTED_VALUE"""),"MFHRO0129")</f>
        <v>MFHRO0129</v>
      </c>
      <c r="B281" s="4">
        <f>IFERROR(__xludf.DUMMYFUNCTION("""COMPUTED_VALUE"""),45865.64966880787)</f>
        <v>45865.64967</v>
      </c>
      <c r="C281" s="3">
        <f>IFERROR(__xludf.DUMMYFUNCTION("""COMPUTED_VALUE"""),45865.91685944445)</f>
        <v>45865.91686</v>
      </c>
      <c r="D281" s="3" t="str">
        <f>IFERROR(__xludf.DUMMYFUNCTION("""COMPUTED_VALUE"""),"Washbay")</f>
        <v>Washbay</v>
      </c>
      <c r="E281" s="3" t="str">
        <f>IFERROR(__xludf.DUMMYFUNCTION("""COMPUTED_VALUE"""),"-")</f>
        <v>-</v>
      </c>
      <c r="F281" s="3" t="str">
        <f>IFERROR(__xludf.DUMMYFUNCTION("""COMPUTED_VALUE"""),"Selenoid Valve  4V210-08 24 VDC; ; ;")</f>
        <v>Selenoid Valve  4V210-08 24 VDC; ; ;</v>
      </c>
      <c r="G281" s="3">
        <f>IFERROR(__xludf.DUMMYFUNCTION("""COMPUTED_VALUE"""),1.0)</f>
        <v>1</v>
      </c>
      <c r="H281" s="3" t="str">
        <f>IFERROR(__xludf.DUMMYFUNCTION("""COMPUTED_VALUE"""),"Pieces")</f>
        <v>Pieces</v>
      </c>
      <c r="I281" s="3" t="str">
        <f>IFERROR(__xludf.DUMMYFUNCTION("""COMPUTED_VALUE"""),"Deliver")</f>
        <v>Deliver</v>
      </c>
      <c r="J281" s="3" t="str">
        <f>IFERROR(__xludf.DUMMYFUNCTION("""COMPUTED_VALUE"""),"-")</f>
        <v>-</v>
      </c>
      <c r="K281" s="3" t="str">
        <f>IFERROR(__xludf.DUMMYFUNCTION("""COMPUTED_VALUE"""),"-")</f>
        <v>-</v>
      </c>
    </row>
    <row r="282">
      <c r="A282" s="3" t="str">
        <f>IFERROR(__xludf.DUMMYFUNCTION("""COMPUTED_VALUE"""),"MFHRO0130")</f>
        <v>MFHRO0130</v>
      </c>
      <c r="B282" s="4">
        <f>IFERROR(__xludf.DUMMYFUNCTION("""COMPUTED_VALUE"""),45865.64966880787)</f>
        <v>45865.64967</v>
      </c>
      <c r="C282" s="3">
        <f>IFERROR(__xludf.DUMMYFUNCTION("""COMPUTED_VALUE"""),45865.91694549768)</f>
        <v>45865.91695</v>
      </c>
      <c r="D282" s="3" t="str">
        <f>IFERROR(__xludf.DUMMYFUNCTION("""COMPUTED_VALUE"""),"Washbay")</f>
        <v>Washbay</v>
      </c>
      <c r="E282" s="3" t="str">
        <f>IFERROR(__xludf.DUMMYFUNCTION("""COMPUTED_VALUE"""),"-")</f>
        <v>-</v>
      </c>
      <c r="F282" s="3" t="str">
        <f>IFERROR(__xludf.DUMMYFUNCTION("""COMPUTED_VALUE"""),"General - Selenoid 1/8inch, 24VDC; Airtac; 4V210-06; 1 pc")</f>
        <v>General - Selenoid 1/8inch, 24VDC; Airtac; 4V210-06; 1 pc</v>
      </c>
      <c r="G282" s="3">
        <f>IFERROR(__xludf.DUMMYFUNCTION("""COMPUTED_VALUE"""),3.0)</f>
        <v>3</v>
      </c>
      <c r="H282" s="3" t="str">
        <f>IFERROR(__xludf.DUMMYFUNCTION("""COMPUTED_VALUE"""),"Pieces")</f>
        <v>Pieces</v>
      </c>
      <c r="I282" s="3" t="str">
        <f>IFERROR(__xludf.DUMMYFUNCTION("""COMPUTED_VALUE"""),"Deliver")</f>
        <v>Deliver</v>
      </c>
      <c r="J282" s="3" t="str">
        <f>IFERROR(__xludf.DUMMYFUNCTION("""COMPUTED_VALUE"""),"-")</f>
        <v>-</v>
      </c>
      <c r="K282" s="3" t="str">
        <f>IFERROR(__xludf.DUMMYFUNCTION("""COMPUTED_VALUE"""),"-")</f>
        <v>-</v>
      </c>
    </row>
    <row r="283">
      <c r="A283" s="3" t="str">
        <f>IFERROR(__xludf.DUMMYFUNCTION("""COMPUTED_VALUE"""),"MFHRO0131")</f>
        <v>MFHRO0131</v>
      </c>
      <c r="B283" s="4">
        <f>IFERROR(__xludf.DUMMYFUNCTION("""COMPUTED_VALUE"""),45865.64966880787)</f>
        <v>45865.64967</v>
      </c>
      <c r="C283" s="3">
        <f>IFERROR(__xludf.DUMMYFUNCTION("""COMPUTED_VALUE"""),45865.91707944444)</f>
        <v>45865.91708</v>
      </c>
      <c r="D283" s="3" t="str">
        <f>IFERROR(__xludf.DUMMYFUNCTION("""COMPUTED_VALUE"""),"Washbay")</f>
        <v>Washbay</v>
      </c>
      <c r="E283" s="3" t="str">
        <f>IFERROR(__xludf.DUMMYFUNCTION("""COMPUTED_VALUE"""),"-")</f>
        <v>-</v>
      </c>
      <c r="F283" s="3" t="str">
        <f>IFERROR(__xludf.DUMMYFUNCTION("""COMPUTED_VALUE"""),"General - Fitting QS 1/8 x 6mm; EMC; -; 1 pc")</f>
        <v>General - Fitting QS 1/8 x 6mm; EMC; -; 1 pc</v>
      </c>
      <c r="G283" s="3">
        <f>IFERROR(__xludf.DUMMYFUNCTION("""COMPUTED_VALUE"""),10.0)</f>
        <v>10</v>
      </c>
      <c r="H283" s="3" t="str">
        <f>IFERROR(__xludf.DUMMYFUNCTION("""COMPUTED_VALUE"""),"Pieces")</f>
        <v>Pieces</v>
      </c>
      <c r="I283" s="3" t="str">
        <f>IFERROR(__xludf.DUMMYFUNCTION("""COMPUTED_VALUE"""),"Deliver")</f>
        <v>Deliver</v>
      </c>
      <c r="J283" s="3" t="str">
        <f>IFERROR(__xludf.DUMMYFUNCTION("""COMPUTED_VALUE"""),"-")</f>
        <v>-</v>
      </c>
      <c r="K283" s="3" t="str">
        <f>IFERROR(__xludf.DUMMYFUNCTION("""COMPUTED_VALUE"""),"-")</f>
        <v>-</v>
      </c>
    </row>
    <row r="284">
      <c r="A284" s="3" t="str">
        <f>IFERROR(__xludf.DUMMYFUNCTION("""COMPUTED_VALUE"""),"MFHRO0132")</f>
        <v>MFHRO0132</v>
      </c>
      <c r="B284" s="4">
        <f>IFERROR(__xludf.DUMMYFUNCTION("""COMPUTED_VALUE"""),45865.64966880787)</f>
        <v>45865.64967</v>
      </c>
      <c r="C284" s="3">
        <f>IFERROR(__xludf.DUMMYFUNCTION("""COMPUTED_VALUE"""),45865.91717944444)</f>
        <v>45865.91718</v>
      </c>
      <c r="D284" s="3" t="str">
        <f>IFERROR(__xludf.DUMMYFUNCTION("""COMPUTED_VALUE"""),"Washbay")</f>
        <v>Washbay</v>
      </c>
      <c r="E284" s="3" t="str">
        <f>IFERROR(__xludf.DUMMYFUNCTION("""COMPUTED_VALUE"""),"-")</f>
        <v>-</v>
      </c>
      <c r="F284" s="3" t="str">
        <f>IFERROR(__xludf.DUMMYFUNCTION("""COMPUTED_VALUE"""),"General - Plug Silincer 1/8inch SS304; No Brand; -; 1 pc")</f>
        <v>General - Plug Silincer 1/8inch SS304; No Brand; -; 1 pc</v>
      </c>
      <c r="G284" s="3">
        <f>IFERROR(__xludf.DUMMYFUNCTION("""COMPUTED_VALUE"""),3.0)</f>
        <v>3</v>
      </c>
      <c r="H284" s="3" t="str">
        <f>IFERROR(__xludf.DUMMYFUNCTION("""COMPUTED_VALUE"""),"Pieces")</f>
        <v>Pieces</v>
      </c>
      <c r="I284" s="3" t="str">
        <f>IFERROR(__xludf.DUMMYFUNCTION("""COMPUTED_VALUE"""),"Deliver")</f>
        <v>Deliver</v>
      </c>
      <c r="J284" s="3" t="str">
        <f>IFERROR(__xludf.DUMMYFUNCTION("""COMPUTED_VALUE"""),"-")</f>
        <v>-</v>
      </c>
      <c r="K284" s="3" t="str">
        <f>IFERROR(__xludf.DUMMYFUNCTION("""COMPUTED_VALUE"""),"-")</f>
        <v>-</v>
      </c>
    </row>
    <row r="285">
      <c r="A285" s="3" t="str">
        <f>IFERROR(__xludf.DUMMYFUNCTION("""COMPUTED_VALUE"""),"MFHRO0133")</f>
        <v>MFHRO0133</v>
      </c>
      <c r="B285" s="4">
        <f>IFERROR(__xludf.DUMMYFUNCTION("""COMPUTED_VALUE"""),45865.64966880787)</f>
        <v>45865.64967</v>
      </c>
      <c r="C285" s="3">
        <f>IFERROR(__xludf.DUMMYFUNCTION("""COMPUTED_VALUE"""),45865.91728591435)</f>
        <v>45865.91729</v>
      </c>
      <c r="D285" s="3" t="str">
        <f>IFERROR(__xludf.DUMMYFUNCTION("""COMPUTED_VALUE"""),"Washbay")</f>
        <v>Washbay</v>
      </c>
      <c r="E285" s="3" t="str">
        <f>IFERROR(__xludf.DUMMYFUNCTION("""COMPUTED_VALUE"""),"-")</f>
        <v>-</v>
      </c>
      <c r="F285" s="3" t="str">
        <f>IFERROR(__xludf.DUMMYFUNCTION("""COMPUTED_VALUE"""),"General - Double Tape 1"" Merah; 3M; -; 1 Pc")</f>
        <v>General - Double Tape 1" Merah; 3M; -; 1 Pc</v>
      </c>
      <c r="G285" s="3">
        <f>IFERROR(__xludf.DUMMYFUNCTION("""COMPUTED_VALUE"""),1.0)</f>
        <v>1</v>
      </c>
      <c r="H285" s="3" t="str">
        <f>IFERROR(__xludf.DUMMYFUNCTION("""COMPUTED_VALUE"""),"Pieces")</f>
        <v>Pieces</v>
      </c>
      <c r="I285" s="3" t="str">
        <f>IFERROR(__xludf.DUMMYFUNCTION("""COMPUTED_VALUE"""),"Deliver")</f>
        <v>Deliver</v>
      </c>
      <c r="J285" s="3" t="str">
        <f>IFERROR(__xludf.DUMMYFUNCTION("""COMPUTED_VALUE"""),"-")</f>
        <v>-</v>
      </c>
      <c r="K285" s="3" t="str">
        <f>IFERROR(__xludf.DUMMYFUNCTION("""COMPUTED_VALUE"""),"-")</f>
        <v>-</v>
      </c>
    </row>
    <row r="286">
      <c r="A286" s="3" t="str">
        <f>IFERROR(__xludf.DUMMYFUNCTION("""COMPUTED_VALUE"""),"MFHRO0134")</f>
        <v>MFHRO0134</v>
      </c>
      <c r="B286" s="4">
        <f>IFERROR(__xludf.DUMMYFUNCTION("""COMPUTED_VALUE"""),45865.64966880787)</f>
        <v>45865.64967</v>
      </c>
      <c r="C286" s="3">
        <f>IFERROR(__xludf.DUMMYFUNCTION("""COMPUTED_VALUE"""),45865.91738510417)</f>
        <v>45865.91739</v>
      </c>
      <c r="D286" s="3" t="str">
        <f>IFERROR(__xludf.DUMMYFUNCTION("""COMPUTED_VALUE"""),"Washbay")</f>
        <v>Washbay</v>
      </c>
      <c r="E286" s="3" t="str">
        <f>IFERROR(__xludf.DUMMYFUNCTION("""COMPUTED_VALUE"""),"-")</f>
        <v>-</v>
      </c>
      <c r="F286" s="3" t="str">
        <f>IFERROR(__xludf.DUMMYFUNCTION("""COMPUTED_VALUE"""),"General - Baut M4 x 60mm + Mur + Ring; No Brand; -; 1 pc")</f>
        <v>General - Baut M4 x 60mm + Mur + Ring; No Brand; -; 1 pc</v>
      </c>
      <c r="G286" s="3">
        <f>IFERROR(__xludf.DUMMYFUNCTION("""COMPUTED_VALUE"""),8.0)</f>
        <v>8</v>
      </c>
      <c r="H286" s="3" t="str">
        <f>IFERROR(__xludf.DUMMYFUNCTION("""COMPUTED_VALUE"""),"Pieces")</f>
        <v>Pieces</v>
      </c>
      <c r="I286" s="3" t="str">
        <f>IFERROR(__xludf.DUMMYFUNCTION("""COMPUTED_VALUE"""),"Deliver")</f>
        <v>Deliver</v>
      </c>
      <c r="J286" s="3" t="str">
        <f>IFERROR(__xludf.DUMMYFUNCTION("""COMPUTED_VALUE"""),"-")</f>
        <v>-</v>
      </c>
      <c r="K286" s="3" t="str">
        <f>IFERROR(__xludf.DUMMYFUNCTION("""COMPUTED_VALUE"""),"-")</f>
        <v>-</v>
      </c>
    </row>
    <row r="287">
      <c r="A287" s="3" t="str">
        <f>IFERROR(__xludf.DUMMYFUNCTION("""COMPUTED_VALUE"""),"MFHRO0135")</f>
        <v>MFHRO0135</v>
      </c>
      <c r="B287" s="4">
        <f>IFERROR(__xludf.DUMMYFUNCTION("""COMPUTED_VALUE"""),45865.64966880787)</f>
        <v>45865.64967</v>
      </c>
      <c r="C287" s="3">
        <f>IFERROR(__xludf.DUMMYFUNCTION("""COMPUTED_VALUE"""),45865.91748186343)</f>
        <v>45865.91748</v>
      </c>
      <c r="D287" s="3" t="str">
        <f>IFERROR(__xludf.DUMMYFUNCTION("""COMPUTED_VALUE"""),"Washbay")</f>
        <v>Washbay</v>
      </c>
      <c r="E287" s="3" t="str">
        <f>IFERROR(__xludf.DUMMYFUNCTION("""COMPUTED_VALUE"""),"-")</f>
        <v>-</v>
      </c>
      <c r="F287" s="3" t="str">
        <f>IFERROR(__xludf.DUMMYFUNCTION("""COMPUTED_VALUE"""),"Pilot Lamps / Green / 220 VAC / AD22-22DS / AXLE")</f>
        <v>Pilot Lamps / Green / 220 VAC / AD22-22DS / AXLE</v>
      </c>
      <c r="G287" s="3">
        <f>IFERROR(__xludf.DUMMYFUNCTION("""COMPUTED_VALUE"""),2.0)</f>
        <v>2</v>
      </c>
      <c r="H287" s="3" t="str">
        <f>IFERROR(__xludf.DUMMYFUNCTION("""COMPUTED_VALUE"""),"Pieces")</f>
        <v>Pieces</v>
      </c>
      <c r="I287" s="3" t="str">
        <f>IFERROR(__xludf.DUMMYFUNCTION("""COMPUTED_VALUE"""),"Deliver")</f>
        <v>Deliver</v>
      </c>
      <c r="J287" s="3" t="str">
        <f>IFERROR(__xludf.DUMMYFUNCTION("""COMPUTED_VALUE"""),"-")</f>
        <v>-</v>
      </c>
      <c r="K287" s="3" t="str">
        <f>IFERROR(__xludf.DUMMYFUNCTION("""COMPUTED_VALUE"""),"-")</f>
        <v>-</v>
      </c>
    </row>
    <row r="288">
      <c r="A288" s="3" t="str">
        <f>IFERROR(__xludf.DUMMYFUNCTION("""COMPUTED_VALUE"""),"MFHRO0136")</f>
        <v>MFHRO0136</v>
      </c>
      <c r="B288" s="4">
        <f>IFERROR(__xludf.DUMMYFUNCTION("""COMPUTED_VALUE"""),45865.64966880787)</f>
        <v>45865.64967</v>
      </c>
      <c r="C288" s="3">
        <f>IFERROR(__xludf.DUMMYFUNCTION("""COMPUTED_VALUE"""),45865.91759480324)</f>
        <v>45865.91759</v>
      </c>
      <c r="D288" s="3" t="str">
        <f>IFERROR(__xludf.DUMMYFUNCTION("""COMPUTED_VALUE"""),"Washbay")</f>
        <v>Washbay</v>
      </c>
      <c r="E288" s="3" t="str">
        <f>IFERROR(__xludf.DUMMYFUNCTION("""COMPUTED_VALUE"""),"-")</f>
        <v>-</v>
      </c>
      <c r="F288" s="3" t="str">
        <f>IFERROR(__xludf.DUMMYFUNCTION("""COMPUTED_VALUE"""),"General - Terminal Block, 4 Pin; No Brand; -; 1 pcs")</f>
        <v>General - Terminal Block, 4 Pin; No Brand; -; 1 pcs</v>
      </c>
      <c r="G288" s="3">
        <f>IFERROR(__xludf.DUMMYFUNCTION("""COMPUTED_VALUE"""),4.0)</f>
        <v>4</v>
      </c>
      <c r="H288" s="3" t="str">
        <f>IFERROR(__xludf.DUMMYFUNCTION("""COMPUTED_VALUE"""),"Pieces")</f>
        <v>Pieces</v>
      </c>
      <c r="I288" s="3" t="str">
        <f>IFERROR(__xludf.DUMMYFUNCTION("""COMPUTED_VALUE"""),"Deliver")</f>
        <v>Deliver</v>
      </c>
      <c r="J288" s="3" t="str">
        <f>IFERROR(__xludf.DUMMYFUNCTION("""COMPUTED_VALUE"""),"-")</f>
        <v>-</v>
      </c>
      <c r="K288" s="3" t="str">
        <f>IFERROR(__xludf.DUMMYFUNCTION("""COMPUTED_VALUE"""),"-")</f>
        <v>-</v>
      </c>
    </row>
    <row r="289">
      <c r="A289" s="3" t="str">
        <f>IFERROR(__xludf.DUMMYFUNCTION("""COMPUTED_VALUE"""),"MFHRO0137")</f>
        <v>MFHRO0137</v>
      </c>
      <c r="B289" s="4">
        <f>IFERROR(__xludf.DUMMYFUNCTION("""COMPUTED_VALUE"""),45865.64966880787)</f>
        <v>45865.64967</v>
      </c>
      <c r="C289" s="3">
        <f>IFERROR(__xludf.DUMMYFUNCTION("""COMPUTED_VALUE"""),45865.91773262732)</f>
        <v>45865.91773</v>
      </c>
      <c r="D289" s="3" t="str">
        <f>IFERROR(__xludf.DUMMYFUNCTION("""COMPUTED_VALUE"""),"Washbay")</f>
        <v>Washbay</v>
      </c>
      <c r="E289" s="3" t="str">
        <f>IFERROR(__xludf.DUMMYFUNCTION("""COMPUTED_VALUE"""),"-")</f>
        <v>-</v>
      </c>
      <c r="F289" s="3" t="str">
        <f>IFERROR(__xludf.DUMMYFUNCTION("""COMPUTED_VALUE"""),"General - Kabel NYAF 1 x 1.5 Hitam; Supreme; -; 50m/roll")</f>
        <v>General - Kabel NYAF 1 x 1.5 Hitam; Supreme; -; 50m/roll</v>
      </c>
      <c r="G289" s="3">
        <f>IFERROR(__xludf.DUMMYFUNCTION("""COMPUTED_VALUE"""),50.0)</f>
        <v>50</v>
      </c>
      <c r="H289" s="3" t="str">
        <f>IFERROR(__xludf.DUMMYFUNCTION("""COMPUTED_VALUE"""),"Pieces")</f>
        <v>Pieces</v>
      </c>
      <c r="I289" s="3" t="str">
        <f>IFERROR(__xludf.DUMMYFUNCTION("""COMPUTED_VALUE"""),"Deliver")</f>
        <v>Deliver</v>
      </c>
      <c r="J289" s="3" t="str">
        <f>IFERROR(__xludf.DUMMYFUNCTION("""COMPUTED_VALUE"""),"-")</f>
        <v>-</v>
      </c>
      <c r="K289" s="3" t="str">
        <f>IFERROR(__xludf.DUMMYFUNCTION("""COMPUTED_VALUE"""),"-")</f>
        <v>-</v>
      </c>
    </row>
    <row r="290">
      <c r="A290" s="3" t="str">
        <f>IFERROR(__xludf.DUMMYFUNCTION("""COMPUTED_VALUE"""),"MFHRO0138")</f>
        <v>MFHRO0138</v>
      </c>
      <c r="B290" s="4">
        <f>IFERROR(__xludf.DUMMYFUNCTION("""COMPUTED_VALUE"""),45865.64966880787)</f>
        <v>45865.64967</v>
      </c>
      <c r="C290" s="3">
        <f>IFERROR(__xludf.DUMMYFUNCTION("""COMPUTED_VALUE"""),45865.91784440972)</f>
        <v>45865.91784</v>
      </c>
      <c r="D290" s="3" t="str">
        <f>IFERROR(__xludf.DUMMYFUNCTION("""COMPUTED_VALUE"""),"General")</f>
        <v>General</v>
      </c>
      <c r="E290" s="3" t="str">
        <f>IFERROR(__xludf.DUMMYFUNCTION("""COMPUTED_VALUE"""),"-")</f>
        <v>-</v>
      </c>
      <c r="F290" s="3" t="str">
        <f>IFERROR(__xludf.DUMMYFUNCTION("""COMPUTED_VALUE"""),"General - Seal Tape 1inch; ONDA; -; 1 Pcs")</f>
        <v>General - Seal Tape 1inch; ONDA; -; 1 Pcs</v>
      </c>
      <c r="G290" s="3">
        <f>IFERROR(__xludf.DUMMYFUNCTION("""COMPUTED_VALUE"""),30.0)</f>
        <v>30</v>
      </c>
      <c r="H290" s="3" t="str">
        <f>IFERROR(__xludf.DUMMYFUNCTION("""COMPUTED_VALUE"""),"Pieces")</f>
        <v>Pieces</v>
      </c>
      <c r="I290" s="3" t="str">
        <f>IFERROR(__xludf.DUMMYFUNCTION("""COMPUTED_VALUE"""),"Deliver")</f>
        <v>Deliver</v>
      </c>
      <c r="J290" s="3" t="str">
        <f>IFERROR(__xludf.DUMMYFUNCTION("""COMPUTED_VALUE"""),"-")</f>
        <v>-</v>
      </c>
      <c r="K290" s="3" t="str">
        <f>IFERROR(__xludf.DUMMYFUNCTION("""COMPUTED_VALUE"""),"-")</f>
        <v>-</v>
      </c>
    </row>
    <row r="291">
      <c r="A291" s="3" t="str">
        <f>IFERROR(__xludf.DUMMYFUNCTION("""COMPUTED_VALUE"""),"MFHRO0139")</f>
        <v>MFHRO0139</v>
      </c>
      <c r="B291" s="4">
        <f>IFERROR(__xludf.DUMMYFUNCTION("""COMPUTED_VALUE"""),45865.64966880787)</f>
        <v>45865.64967</v>
      </c>
      <c r="C291" s="3">
        <f>IFERROR(__xludf.DUMMYFUNCTION("""COMPUTED_VALUE"""),45865.91794225694)</f>
        <v>45865.91794</v>
      </c>
      <c r="D291" s="3" t="str">
        <f>IFERROR(__xludf.DUMMYFUNCTION("""COMPUTED_VALUE"""),"Tunnel")</f>
        <v>Tunnel</v>
      </c>
      <c r="E291" s="3" t="str">
        <f>IFERROR(__xludf.DUMMYFUNCTION("""COMPUTED_VALUE"""),"-")</f>
        <v>-</v>
      </c>
      <c r="F291" s="3" t="str">
        <f>IFERROR(__xludf.DUMMYFUNCTION("""COMPUTED_VALUE"""),"Tunnel ST1L - Junction (15x15mm L=23,5mm) CA system Tight Door; ; ;")</f>
        <v>Tunnel ST1L - Junction (15x15mm L=23,5mm) CA system Tight Door; ; ;</v>
      </c>
      <c r="G291" s="3">
        <f>IFERROR(__xludf.DUMMYFUNCTION("""COMPUTED_VALUE"""),2.0)</f>
        <v>2</v>
      </c>
      <c r="H291" s="3" t="str">
        <f>IFERROR(__xludf.DUMMYFUNCTION("""COMPUTED_VALUE"""),"Pieces")</f>
        <v>Pieces</v>
      </c>
      <c r="I291" s="3" t="str">
        <f>IFERROR(__xludf.DUMMYFUNCTION("""COMPUTED_VALUE"""),"Deliver")</f>
        <v>Deliver</v>
      </c>
      <c r="J291" s="3" t="str">
        <f>IFERROR(__xludf.DUMMYFUNCTION("""COMPUTED_VALUE"""),"-")</f>
        <v>-</v>
      </c>
      <c r="K291" s="3" t="str">
        <f>IFERROR(__xludf.DUMMYFUNCTION("""COMPUTED_VALUE"""),"-")</f>
        <v>-</v>
      </c>
    </row>
    <row r="292">
      <c r="A292" s="3" t="str">
        <f>IFERROR(__xludf.DUMMYFUNCTION("""COMPUTED_VALUE"""),"MFHRO0140")</f>
        <v>MFHRO0140</v>
      </c>
      <c r="B292" s="4">
        <f>IFERROR(__xludf.DUMMYFUNCTION("""COMPUTED_VALUE"""),45865.64966880787)</f>
        <v>45865.64967</v>
      </c>
      <c r="C292" s="3">
        <f>IFERROR(__xludf.DUMMYFUNCTION("""COMPUTED_VALUE"""),45865.91813685185)</f>
        <v>45865.91814</v>
      </c>
      <c r="D292" s="3" t="str">
        <f>IFERROR(__xludf.DUMMYFUNCTION("""COMPUTED_VALUE"""),"Tunnel")</f>
        <v>Tunnel</v>
      </c>
      <c r="E292" s="3" t="str">
        <f>IFERROR(__xludf.DUMMYFUNCTION("""COMPUTED_VALUE"""),"-")</f>
        <v>-</v>
      </c>
      <c r="F292" s="3" t="str">
        <f>IFERROR(__xludf.DUMMYFUNCTION("""COMPUTED_VALUE"""),"Tunnel ST1L - Connections AISI 304 - 1/8 Inch for Tunnel Inflatable Gasket Substitution Dia. Tube 6; ; ;")</f>
        <v>Tunnel ST1L - Connections AISI 304 - 1/8 Inch for Tunnel Inflatable Gasket Substitution Dia. Tube 6; ; ;</v>
      </c>
      <c r="G292" s="3">
        <f>IFERROR(__xludf.DUMMYFUNCTION("""COMPUTED_VALUE"""),2.0)</f>
        <v>2</v>
      </c>
      <c r="H292" s="3" t="str">
        <f>IFERROR(__xludf.DUMMYFUNCTION("""COMPUTED_VALUE"""),"Pieces")</f>
        <v>Pieces</v>
      </c>
      <c r="I292" s="3" t="str">
        <f>IFERROR(__xludf.DUMMYFUNCTION("""COMPUTED_VALUE"""),"Deliver")</f>
        <v>Deliver</v>
      </c>
      <c r="J292" s="3" t="str">
        <f>IFERROR(__xludf.DUMMYFUNCTION("""COMPUTED_VALUE"""),"-")</f>
        <v>-</v>
      </c>
      <c r="K292" s="3" t="str">
        <f>IFERROR(__xludf.DUMMYFUNCTION("""COMPUTED_VALUE"""),"-")</f>
        <v>-</v>
      </c>
    </row>
    <row r="293">
      <c r="A293" s="3" t="str">
        <f>IFERROR(__xludf.DUMMYFUNCTION("""COMPUTED_VALUE"""),"MFHRO0141")</f>
        <v>MFHRO0141</v>
      </c>
      <c r="B293" s="4">
        <f>IFERROR(__xludf.DUMMYFUNCTION("""COMPUTED_VALUE"""),45865.64966880787)</f>
        <v>45865.64967</v>
      </c>
      <c r="C293" s="3">
        <f>IFERROR(__xludf.DUMMYFUNCTION("""COMPUTED_VALUE"""),45865.91924392361)</f>
        <v>45865.91924</v>
      </c>
      <c r="D293" s="3" t="str">
        <f>IFERROR(__xludf.DUMMYFUNCTION("""COMPUTED_VALUE"""),"Filling")</f>
        <v>Filling</v>
      </c>
      <c r="E293" s="3" t="str">
        <f>IFERROR(__xludf.DUMMYFUNCTION("""COMPUTED_VALUE"""),"-")</f>
        <v>-</v>
      </c>
      <c r="F293" s="3" t="str">
        <f>IFERROR(__xludf.DUMMYFUNCTION("""COMPUTED_VALUE"""),"Filling VFM100 - Cable 3g 1.5mq JZ-500; Steriline; 1111907; 1 Pc")</f>
        <v>Filling VFM100 - Cable 3g 1.5mq JZ-500; Steriline; 1111907; 1 Pc</v>
      </c>
      <c r="G293" s="3">
        <f>IFERROR(__xludf.DUMMYFUNCTION("""COMPUTED_VALUE"""),1.0)</f>
        <v>1</v>
      </c>
      <c r="H293" s="3" t="str">
        <f>IFERROR(__xludf.DUMMYFUNCTION("""COMPUTED_VALUE"""),"Pieces")</f>
        <v>Pieces</v>
      </c>
      <c r="I293" s="3" t="str">
        <f>IFERROR(__xludf.DUMMYFUNCTION("""COMPUTED_VALUE"""),"Deliver")</f>
        <v>Deliver</v>
      </c>
      <c r="J293" s="3" t="str">
        <f>IFERROR(__xludf.DUMMYFUNCTION("""COMPUTED_VALUE"""),"-")</f>
        <v>-</v>
      </c>
      <c r="K293" s="3" t="str">
        <f>IFERROR(__xludf.DUMMYFUNCTION("""COMPUTED_VALUE"""),"-")</f>
        <v>-</v>
      </c>
    </row>
    <row r="294">
      <c r="A294" s="3" t="str">
        <f>IFERROR(__xludf.DUMMYFUNCTION("""COMPUTED_VALUE"""),"MFHRO0142")</f>
        <v>MFHRO0142</v>
      </c>
      <c r="B294" s="4">
        <f>IFERROR(__xludf.DUMMYFUNCTION("""COMPUTED_VALUE"""),45865.64966880787)</f>
        <v>45865.64967</v>
      </c>
      <c r="C294" s="3">
        <f>IFERROR(__xludf.DUMMYFUNCTION("""COMPUTED_VALUE"""),45865.91933041667)</f>
        <v>45865.91933</v>
      </c>
      <c r="D294" s="3" t="str">
        <f>IFERROR(__xludf.DUMMYFUNCTION("""COMPUTED_VALUE"""),"Filling")</f>
        <v>Filling</v>
      </c>
      <c r="E294" s="3" t="str">
        <f>IFERROR(__xludf.DUMMYFUNCTION("""COMPUTED_VALUE"""),"-")</f>
        <v>-</v>
      </c>
      <c r="F294" s="3" t="str">
        <f>IFERROR(__xludf.DUMMYFUNCTION("""COMPUTED_VALUE"""),"Packing &amp; Other Charges; ; ;")</f>
        <v>Packing &amp; Other Charges; ; ;</v>
      </c>
      <c r="G294" s="3">
        <f>IFERROR(__xludf.DUMMYFUNCTION("""COMPUTED_VALUE"""),1.0)</f>
        <v>1</v>
      </c>
      <c r="H294" s="3" t="str">
        <f>IFERROR(__xludf.DUMMYFUNCTION("""COMPUTED_VALUE"""),"Lot")</f>
        <v>Lot</v>
      </c>
      <c r="I294" s="3" t="str">
        <f>IFERROR(__xludf.DUMMYFUNCTION("""COMPUTED_VALUE"""),"Deliver")</f>
        <v>Deliver</v>
      </c>
      <c r="J294" s="3" t="str">
        <f>IFERROR(__xludf.DUMMYFUNCTION("""COMPUTED_VALUE"""),"-")</f>
        <v>-</v>
      </c>
      <c r="K294" s="3" t="str">
        <f>IFERROR(__xludf.DUMMYFUNCTION("""COMPUTED_VALUE"""),"-")</f>
        <v>-</v>
      </c>
    </row>
    <row r="295">
      <c r="A295" s="3" t="str">
        <f>IFERROR(__xludf.DUMMYFUNCTION("""COMPUTED_VALUE"""),"MFHRO0143")</f>
        <v>MFHRO0143</v>
      </c>
      <c r="B295" s="4">
        <f>IFERROR(__xludf.DUMMYFUNCTION("""COMPUTED_VALUE"""),45865.64966880787)</f>
        <v>45865.64967</v>
      </c>
      <c r="C295" s="3">
        <f>IFERROR(__xludf.DUMMYFUNCTION("""COMPUTED_VALUE"""),45865.91942689815)</f>
        <v>45865.91943</v>
      </c>
      <c r="D295" s="3" t="str">
        <f>IFERROR(__xludf.DUMMYFUNCTION("""COMPUTED_VALUE"""),"General")</f>
        <v>General</v>
      </c>
      <c r="E295" s="3" t="str">
        <f>IFERROR(__xludf.DUMMYFUNCTION("""COMPUTED_VALUE"""),"-")</f>
        <v>-</v>
      </c>
      <c r="F295" s="3" t="str">
        <f>IFERROR(__xludf.DUMMYFUNCTION("""COMPUTED_VALUE"""),"General - Adhesive Tape -; Nippon; ASF-110FR; 1 pc")</f>
        <v>General - Adhesive Tape -; Nippon; ASF-110FR; 1 pc</v>
      </c>
      <c r="G295" s="3">
        <f>IFERROR(__xludf.DUMMYFUNCTION("""COMPUTED_VALUE"""),4.0)</f>
        <v>4</v>
      </c>
      <c r="H295" s="3" t="str">
        <f>IFERROR(__xludf.DUMMYFUNCTION("""COMPUTED_VALUE"""),"Pieces")</f>
        <v>Pieces</v>
      </c>
      <c r="I295" s="3" t="str">
        <f>IFERROR(__xludf.DUMMYFUNCTION("""COMPUTED_VALUE"""),"Deliver")</f>
        <v>Deliver</v>
      </c>
      <c r="J295" s="3" t="str">
        <f>IFERROR(__xludf.DUMMYFUNCTION("""COMPUTED_VALUE"""),"-")</f>
        <v>-</v>
      </c>
      <c r="K295" s="3" t="str">
        <f>IFERROR(__xludf.DUMMYFUNCTION("""COMPUTED_VALUE"""),"-")</f>
        <v>-</v>
      </c>
    </row>
    <row r="296">
      <c r="A296" s="3" t="str">
        <f>IFERROR(__xludf.DUMMYFUNCTION("""COMPUTED_VALUE"""),"MFHRO0144")</f>
        <v>MFHRO0144</v>
      </c>
      <c r="B296" s="4">
        <f>IFERROR(__xludf.DUMMYFUNCTION("""COMPUTED_VALUE"""),45865.64966880787)</f>
        <v>45865.64967</v>
      </c>
      <c r="C296" s="3">
        <f>IFERROR(__xludf.DUMMYFUNCTION("""COMPUTED_VALUE"""),45865.919530011575)</f>
        <v>45865.91953</v>
      </c>
      <c r="D296" s="3" t="str">
        <f>IFERROR(__xludf.DUMMYFUNCTION("""COMPUTED_VALUE"""),"General")</f>
        <v>General</v>
      </c>
      <c r="E296" s="3" t="str">
        <f>IFERROR(__xludf.DUMMYFUNCTION("""COMPUTED_VALUE"""),"-")</f>
        <v>-</v>
      </c>
      <c r="F296" s="3" t="str">
        <f>IFERROR(__xludf.DUMMYFUNCTION("""COMPUTED_VALUE"""),"Gas Argon (Ar); 1.5 M3; Refill;  Industrial Grade; Purity ? 99.95%")</f>
        <v>Gas Argon (Ar); 1.5 M3; Refill;  Industrial Grade; Purity ? 99.95%</v>
      </c>
      <c r="G296" s="3">
        <f>IFERROR(__xludf.DUMMYFUNCTION("""COMPUTED_VALUE"""),1.0)</f>
        <v>1</v>
      </c>
      <c r="H296" s="3" t="str">
        <f>IFERROR(__xludf.DUMMYFUNCTION("""COMPUTED_VALUE"""),"Tube")</f>
        <v>Tube</v>
      </c>
      <c r="I296" s="3" t="str">
        <f>IFERROR(__xludf.DUMMYFUNCTION("""COMPUTED_VALUE"""),"Deliver")</f>
        <v>Deliver</v>
      </c>
      <c r="J296" s="3" t="str">
        <f>IFERROR(__xludf.DUMMYFUNCTION("""COMPUTED_VALUE"""),"-")</f>
        <v>-</v>
      </c>
      <c r="K296" s="3" t="str">
        <f>IFERROR(__xludf.DUMMYFUNCTION("""COMPUTED_VALUE"""),"-")</f>
        <v>-</v>
      </c>
    </row>
    <row r="297">
      <c r="A297" s="3" t="str">
        <f>IFERROR(__xludf.DUMMYFUNCTION("""COMPUTED_VALUE"""),"MFHRO0145")</f>
        <v>MFHRO0145</v>
      </c>
      <c r="B297" s="4">
        <f>IFERROR(__xludf.DUMMYFUNCTION("""COMPUTED_VALUE"""),45865.64966880787)</f>
        <v>45865.64967</v>
      </c>
      <c r="C297" s="3">
        <f>IFERROR(__xludf.DUMMYFUNCTION("""COMPUTED_VALUE"""),45865.919620625005)</f>
        <v>45865.91962</v>
      </c>
      <c r="D297" s="3" t="str">
        <f>IFERROR(__xludf.DUMMYFUNCTION("""COMPUTED_VALUE"""),"HLD")</f>
        <v>HLD</v>
      </c>
      <c r="E297" s="3" t="str">
        <f>IFERROR(__xludf.DUMMYFUNCTION("""COMPUTED_VALUE"""),"-")</f>
        <v>-</v>
      </c>
      <c r="F297" s="3" t="str">
        <f>IFERROR(__xludf.DUMMYFUNCTION("""COMPUTED_VALUE"""),"General - Vacuum Ferrule KF25; No Brand; -; 1 pc")</f>
        <v>General - Vacuum Ferrule KF25; No Brand; -; 1 pc</v>
      </c>
      <c r="G297" s="3">
        <f>IFERROR(__xludf.DUMMYFUNCTION("""COMPUTED_VALUE"""),4.0)</f>
        <v>4</v>
      </c>
      <c r="H297" s="3" t="str">
        <f>IFERROR(__xludf.DUMMYFUNCTION("""COMPUTED_VALUE"""),"Pieces")</f>
        <v>Pieces</v>
      </c>
      <c r="I297" s="3" t="str">
        <f>IFERROR(__xludf.DUMMYFUNCTION("""COMPUTED_VALUE"""),"Deliver")</f>
        <v>Deliver</v>
      </c>
      <c r="J297" s="3" t="str">
        <f>IFERROR(__xludf.DUMMYFUNCTION("""COMPUTED_VALUE"""),"-")</f>
        <v>-</v>
      </c>
      <c r="K297" s="3" t="str">
        <f>IFERROR(__xludf.DUMMYFUNCTION("""COMPUTED_VALUE"""),"-")</f>
        <v>-</v>
      </c>
    </row>
    <row r="298">
      <c r="A298" s="3" t="str">
        <f>IFERROR(__xludf.DUMMYFUNCTION("""COMPUTED_VALUE"""),"MFHRO0146")</f>
        <v>MFHRO0146</v>
      </c>
      <c r="B298" s="4">
        <f>IFERROR(__xludf.DUMMYFUNCTION("""COMPUTED_VALUE"""),45865.64966880787)</f>
        <v>45865.64967</v>
      </c>
      <c r="C298" s="3">
        <f>IFERROR(__xludf.DUMMYFUNCTION("""COMPUTED_VALUE"""),45865.919714641204)</f>
        <v>45865.91971</v>
      </c>
      <c r="D298" s="3" t="str">
        <f>IFERROR(__xludf.DUMMYFUNCTION("""COMPUTED_VALUE"""),"HLD")</f>
        <v>HLD</v>
      </c>
      <c r="E298" s="3" t="str">
        <f>IFERROR(__xludf.DUMMYFUNCTION("""COMPUTED_VALUE"""),"-")</f>
        <v>-</v>
      </c>
      <c r="F298" s="3" t="str">
        <f>IFERROR(__xludf.DUMMYFUNCTION("""COMPUTED_VALUE"""),"General - Vacuum Ferrule KF16; No Brand; -; 1 pc")</f>
        <v>General - Vacuum Ferrule KF16; No Brand; -; 1 pc</v>
      </c>
      <c r="G298" s="3">
        <f>IFERROR(__xludf.DUMMYFUNCTION("""COMPUTED_VALUE"""),4.0)</f>
        <v>4</v>
      </c>
      <c r="H298" s="3" t="str">
        <f>IFERROR(__xludf.DUMMYFUNCTION("""COMPUTED_VALUE"""),"Pieces")</f>
        <v>Pieces</v>
      </c>
      <c r="I298" s="3" t="str">
        <f>IFERROR(__xludf.DUMMYFUNCTION("""COMPUTED_VALUE"""),"Deliver")</f>
        <v>Deliver</v>
      </c>
      <c r="J298" s="3" t="str">
        <f>IFERROR(__xludf.DUMMYFUNCTION("""COMPUTED_VALUE"""),"-")</f>
        <v>-</v>
      </c>
      <c r="K298" s="3" t="str">
        <f>IFERROR(__xludf.DUMMYFUNCTION("""COMPUTED_VALUE"""),"-")</f>
        <v>-</v>
      </c>
    </row>
    <row r="299">
      <c r="A299" s="3" t="str">
        <f>IFERROR(__xludf.DUMMYFUNCTION("""COMPUTED_VALUE"""),"MFHRO0147")</f>
        <v>MFHRO0147</v>
      </c>
      <c r="B299" s="4">
        <f>IFERROR(__xludf.DUMMYFUNCTION("""COMPUTED_VALUE"""),45865.64966880787)</f>
        <v>45865.64967</v>
      </c>
      <c r="C299" s="3">
        <f>IFERROR(__xludf.DUMMYFUNCTION("""COMPUTED_VALUE"""),45865.91982697917)</f>
        <v>45865.91983</v>
      </c>
      <c r="D299" s="3" t="str">
        <f>IFERROR(__xludf.DUMMYFUNCTION("""COMPUTED_VALUE"""),"HLD")</f>
        <v>HLD</v>
      </c>
      <c r="E299" s="3" t="str">
        <f>IFERROR(__xludf.DUMMYFUNCTION("""COMPUTED_VALUE"""),"-")</f>
        <v>-</v>
      </c>
      <c r="F299" s="3" t="str">
        <f>IFERROR(__xludf.DUMMYFUNCTION("""COMPUTED_VALUE"""),"General - Quick Coupler 3/8inch to Female Drat Dalam 3/8inch; No Brand; -; 1 pc")</f>
        <v>General - Quick Coupler 3/8inch to Female Drat Dalam 3/8inch; No Brand; -; 1 pc</v>
      </c>
      <c r="G299" s="3">
        <f>IFERROR(__xludf.DUMMYFUNCTION("""COMPUTED_VALUE"""),1.0)</f>
        <v>1</v>
      </c>
      <c r="H299" s="3" t="str">
        <f>IFERROR(__xludf.DUMMYFUNCTION("""COMPUTED_VALUE"""),"Pieces")</f>
        <v>Pieces</v>
      </c>
      <c r="I299" s="3" t="str">
        <f>IFERROR(__xludf.DUMMYFUNCTION("""COMPUTED_VALUE"""),"Deliver")</f>
        <v>Deliver</v>
      </c>
      <c r="J299" s="3" t="str">
        <f>IFERROR(__xludf.DUMMYFUNCTION("""COMPUTED_VALUE"""),"-")</f>
        <v>-</v>
      </c>
      <c r="K299" s="3" t="str">
        <f>IFERROR(__xludf.DUMMYFUNCTION("""COMPUTED_VALUE"""),"-")</f>
        <v>-</v>
      </c>
    </row>
    <row r="300">
      <c r="A300" s="3" t="str">
        <f>IFERROR(__xludf.DUMMYFUNCTION("""COMPUTED_VALUE"""),"MFHRO0148")</f>
        <v>MFHRO0148</v>
      </c>
      <c r="B300" s="4">
        <f>IFERROR(__xludf.DUMMYFUNCTION("""COMPUTED_VALUE"""),45865.64966880787)</f>
        <v>45865.64967</v>
      </c>
      <c r="C300" s="3">
        <f>IFERROR(__xludf.DUMMYFUNCTION("""COMPUTED_VALUE"""),45865.91995928241)</f>
        <v>45865.91996</v>
      </c>
      <c r="D300" s="3" t="str">
        <f>IFERROR(__xludf.DUMMYFUNCTION("""COMPUTED_VALUE"""),"HLD")</f>
        <v>HLD</v>
      </c>
      <c r="E300" s="3" t="str">
        <f>IFERROR(__xludf.DUMMYFUNCTION("""COMPUTED_VALUE"""),"-")</f>
        <v>-</v>
      </c>
      <c r="F300" s="3" t="str">
        <f>IFERROR(__xludf.DUMMYFUNCTION("""COMPUTED_VALUE"""),"General - Quick Coupler 3/8inch to Male Drat Luar 1/4inch; No Brand; -;  1 pc")</f>
        <v>General - Quick Coupler 3/8inch to Male Drat Luar 1/4inch; No Brand; -;  1 pc</v>
      </c>
      <c r="G300" s="3">
        <f>IFERROR(__xludf.DUMMYFUNCTION("""COMPUTED_VALUE"""),1.0)</f>
        <v>1</v>
      </c>
      <c r="H300" s="3" t="str">
        <f>IFERROR(__xludf.DUMMYFUNCTION("""COMPUTED_VALUE"""),"Pieces")</f>
        <v>Pieces</v>
      </c>
      <c r="I300" s="3" t="str">
        <f>IFERROR(__xludf.DUMMYFUNCTION("""COMPUTED_VALUE"""),"Deliver")</f>
        <v>Deliver</v>
      </c>
      <c r="J300" s="3" t="str">
        <f>IFERROR(__xludf.DUMMYFUNCTION("""COMPUTED_VALUE"""),"-")</f>
        <v>-</v>
      </c>
      <c r="K300" s="3" t="str">
        <f>IFERROR(__xludf.DUMMYFUNCTION("""COMPUTED_VALUE"""),"-")</f>
        <v>-</v>
      </c>
    </row>
    <row r="301">
      <c r="A301" s="3" t="str">
        <f>IFERROR(__xludf.DUMMYFUNCTION("""COMPUTED_VALUE"""),"MFHRO0149")</f>
        <v>MFHRO0149</v>
      </c>
      <c r="B301" s="4">
        <f>IFERROR(__xludf.DUMMYFUNCTION("""COMPUTED_VALUE"""),45865.64966880787)</f>
        <v>45865.64967</v>
      </c>
      <c r="C301" s="3">
        <f>IFERROR(__xludf.DUMMYFUNCTION("""COMPUTED_VALUE"""),45865.92006802083)</f>
        <v>45865.92007</v>
      </c>
      <c r="D301" s="3" t="str">
        <f>IFERROR(__xludf.DUMMYFUNCTION("""COMPUTED_VALUE"""),"HLD")</f>
        <v>HLD</v>
      </c>
      <c r="E301" s="3" t="str">
        <f>IFERROR(__xludf.DUMMYFUNCTION("""COMPUTED_VALUE"""),"-")</f>
        <v>-</v>
      </c>
      <c r="F301" s="3" t="str">
        <f>IFERROR(__xludf.DUMMYFUNCTION("""COMPUTED_VALUE"""),"General - Reducer SS316 Sanitary dia. 1inch x 3/4inch; No Brand; -; 1 pc")</f>
        <v>General - Reducer SS316 Sanitary dia. 1inch x 3/4inch; No Brand; -; 1 pc</v>
      </c>
      <c r="G301" s="3">
        <f>IFERROR(__xludf.DUMMYFUNCTION("""COMPUTED_VALUE"""),2.0)</f>
        <v>2</v>
      </c>
      <c r="H301" s="3" t="str">
        <f>IFERROR(__xludf.DUMMYFUNCTION("""COMPUTED_VALUE"""),"Pieces")</f>
        <v>Pieces</v>
      </c>
      <c r="I301" s="3" t="str">
        <f>IFERROR(__xludf.DUMMYFUNCTION("""COMPUTED_VALUE"""),"Deliver")</f>
        <v>Deliver</v>
      </c>
      <c r="J301" s="3" t="str">
        <f>IFERROR(__xludf.DUMMYFUNCTION("""COMPUTED_VALUE"""),"-")</f>
        <v>-</v>
      </c>
      <c r="K301" s="3" t="str">
        <f>IFERROR(__xludf.DUMMYFUNCTION("""COMPUTED_VALUE"""),"-")</f>
        <v>-</v>
      </c>
    </row>
    <row r="302">
      <c r="A302" s="3" t="str">
        <f>IFERROR(__xludf.DUMMYFUNCTION("""COMPUTED_VALUE"""),"MFHRO0150")</f>
        <v>MFHRO0150</v>
      </c>
      <c r="B302" s="4">
        <f>IFERROR(__xludf.DUMMYFUNCTION("""COMPUTED_VALUE"""),45865.64966880787)</f>
        <v>45865.64967</v>
      </c>
      <c r="C302" s="3">
        <f>IFERROR(__xludf.DUMMYFUNCTION("""COMPUTED_VALUE"""),45865.92024979167)</f>
        <v>45865.92025</v>
      </c>
      <c r="D302" s="3" t="str">
        <f>IFERROR(__xludf.DUMMYFUNCTION("""COMPUTED_VALUE"""),"HLD")</f>
        <v>HLD</v>
      </c>
      <c r="E302" s="3" t="str">
        <f>IFERROR(__xludf.DUMMYFUNCTION("""COMPUTED_VALUE"""),"-")</f>
        <v>-</v>
      </c>
      <c r="F302" s="3" t="str">
        <f>IFERROR(__xludf.DUMMYFUNCTION("""COMPUTED_VALUE"""),"General - Clamp Selang, SS, 1""; Tridon; -; 1 pcs")</f>
        <v>General - Clamp Selang, SS, 1"; Tridon; -; 1 pcs</v>
      </c>
      <c r="G302" s="3">
        <f>IFERROR(__xludf.DUMMYFUNCTION("""COMPUTED_VALUE"""),10.0)</f>
        <v>10</v>
      </c>
      <c r="H302" s="3" t="str">
        <f>IFERROR(__xludf.DUMMYFUNCTION("""COMPUTED_VALUE"""),"Pieces")</f>
        <v>Pieces</v>
      </c>
      <c r="I302" s="3" t="str">
        <f>IFERROR(__xludf.DUMMYFUNCTION("""COMPUTED_VALUE"""),"Deliver")</f>
        <v>Deliver</v>
      </c>
      <c r="J302" s="3" t="str">
        <f>IFERROR(__xludf.DUMMYFUNCTION("""COMPUTED_VALUE"""),"-")</f>
        <v>-</v>
      </c>
      <c r="K302" s="3" t="str">
        <f>IFERROR(__xludf.DUMMYFUNCTION("""COMPUTED_VALUE"""),"-")</f>
        <v>-</v>
      </c>
    </row>
    <row r="303">
      <c r="A303" s="3" t="str">
        <f>IFERROR(__xludf.DUMMYFUNCTION("""COMPUTED_VALUE"""),"MFHRO0151")</f>
        <v>MFHRO0151</v>
      </c>
      <c r="B303" s="4">
        <f>IFERROR(__xludf.DUMMYFUNCTION("""COMPUTED_VALUE"""),45865.64966880787)</f>
        <v>45865.64967</v>
      </c>
      <c r="C303" s="3">
        <f>IFERROR(__xludf.DUMMYFUNCTION("""COMPUTED_VALUE"""),45865.920374988425)</f>
        <v>45865.92037</v>
      </c>
      <c r="D303" s="3" t="str">
        <f>IFERROR(__xludf.DUMMYFUNCTION("""COMPUTED_VALUE"""),"HLD")</f>
        <v>HLD</v>
      </c>
      <c r="E303" s="3" t="str">
        <f>IFERROR(__xludf.DUMMYFUNCTION("""COMPUTED_VALUE"""),"-")</f>
        <v>-</v>
      </c>
      <c r="F303" s="3" t="str">
        <f>IFERROR(__xludf.DUMMYFUNCTION("""COMPUTED_VALUE"""),"Selang TS-25 (25x33) TOYOX P/N : -  pc")</f>
        <v>Selang TS-25 (25x33) TOYOX P/N : -  pc</v>
      </c>
      <c r="G303" s="3">
        <f>IFERROR(__xludf.DUMMYFUNCTION("""COMPUTED_VALUE"""),5.0)</f>
        <v>5</v>
      </c>
      <c r="H303" s="3" t="str">
        <f>IFERROR(__xludf.DUMMYFUNCTION("""COMPUTED_VALUE"""),"Pieces")</f>
        <v>Pieces</v>
      </c>
      <c r="I303" s="3" t="str">
        <f>IFERROR(__xludf.DUMMYFUNCTION("""COMPUTED_VALUE"""),"Deliver")</f>
        <v>Deliver</v>
      </c>
      <c r="J303" s="3" t="str">
        <f>IFERROR(__xludf.DUMMYFUNCTION("""COMPUTED_VALUE"""),"-")</f>
        <v>-</v>
      </c>
      <c r="K303" s="3" t="str">
        <f>IFERROR(__xludf.DUMMYFUNCTION("""COMPUTED_VALUE"""),"-")</f>
        <v>-</v>
      </c>
    </row>
    <row r="304">
      <c r="A304" s="3" t="str">
        <f>IFERROR(__xludf.DUMMYFUNCTION("""COMPUTED_VALUE"""),"MFHRO0152")</f>
        <v>MFHRO0152</v>
      </c>
      <c r="B304" s="4">
        <f>IFERROR(__xludf.DUMMYFUNCTION("""COMPUTED_VALUE"""),45865.64966880787)</f>
        <v>45865.64967</v>
      </c>
      <c r="C304" s="3">
        <f>IFERROR(__xludf.DUMMYFUNCTION("""COMPUTED_VALUE"""),45865.92048799769)</f>
        <v>45865.92049</v>
      </c>
      <c r="D304" s="3" t="str">
        <f>IFERROR(__xludf.DUMMYFUNCTION("""COMPUTED_VALUE"""),"BSC")</f>
        <v>BSC</v>
      </c>
      <c r="E304" s="3" t="str">
        <f>IFERROR(__xludf.DUMMYFUNCTION("""COMPUTED_VALUE"""),"-")</f>
        <v>-</v>
      </c>
      <c r="F304" s="3" t="str">
        <f>IFERROR(__xludf.DUMMYFUNCTION("""COMPUTED_VALUE"""),"Bio Safety Cabinet - Cover Cable Instrument 1 Ukuran 0.8x1200x2400mm, Mat Plat SS304 0.33 lbr; Custom/Lokal; -; 1 Unit")</f>
        <v>Bio Safety Cabinet - Cover Cable Instrument 1 Ukuran 0.8x1200x2400mm, Mat Plat SS304 0.33 lbr; Custom/Lokal; -; 1 Unit</v>
      </c>
      <c r="G304" s="3">
        <f>IFERROR(__xludf.DUMMYFUNCTION("""COMPUTED_VALUE"""),1.0)</f>
        <v>1</v>
      </c>
      <c r="H304" s="3" t="str">
        <f>IFERROR(__xludf.DUMMYFUNCTION("""COMPUTED_VALUE"""),"Unit")</f>
        <v>Unit</v>
      </c>
      <c r="I304" s="3" t="str">
        <f>IFERROR(__xludf.DUMMYFUNCTION("""COMPUTED_VALUE"""),"Deliver")</f>
        <v>Deliver</v>
      </c>
      <c r="J304" s="3" t="str">
        <f>IFERROR(__xludf.DUMMYFUNCTION("""COMPUTED_VALUE"""),"-")</f>
        <v>-</v>
      </c>
      <c r="K304" s="3" t="str">
        <f>IFERROR(__xludf.DUMMYFUNCTION("""COMPUTED_VALUE"""),"-")</f>
        <v>-</v>
      </c>
    </row>
    <row r="305">
      <c r="A305" s="3" t="str">
        <f>IFERROR(__xludf.DUMMYFUNCTION("""COMPUTED_VALUE"""),"MFHRO0153")</f>
        <v>MFHRO0153</v>
      </c>
      <c r="B305" s="4">
        <f>IFERROR(__xludf.DUMMYFUNCTION("""COMPUTED_VALUE"""),45865.64966880787)</f>
        <v>45865.64967</v>
      </c>
      <c r="C305" s="3">
        <f>IFERROR(__xludf.DUMMYFUNCTION("""COMPUTED_VALUE"""),45865.9206022338)</f>
        <v>45865.9206</v>
      </c>
      <c r="D305" s="3" t="str">
        <f>IFERROR(__xludf.DUMMYFUNCTION("""COMPUTED_VALUE"""),"BSC")</f>
        <v>BSC</v>
      </c>
      <c r="E305" s="3" t="str">
        <f>IFERROR(__xludf.DUMMYFUNCTION("""COMPUTED_VALUE"""),"-")</f>
        <v>-</v>
      </c>
      <c r="F305" s="3" t="str">
        <f>IFERROR(__xludf.DUMMYFUNCTION("""COMPUTED_VALUE"""),"Bio Safety Cabinet - Cover Cable Instrument 2 Ukuran 0.8x1200x2400mm, Mat Plat SS304 0.42 lbr; Custom/Lokal; -; 1 Unit")</f>
        <v>Bio Safety Cabinet - Cover Cable Instrument 2 Ukuran 0.8x1200x2400mm, Mat Plat SS304 0.42 lbr; Custom/Lokal; -; 1 Unit</v>
      </c>
      <c r="G305" s="3">
        <f>IFERROR(__xludf.DUMMYFUNCTION("""COMPUTED_VALUE"""),1.0)</f>
        <v>1</v>
      </c>
      <c r="H305" s="3" t="str">
        <f>IFERROR(__xludf.DUMMYFUNCTION("""COMPUTED_VALUE"""),"Unit")</f>
        <v>Unit</v>
      </c>
      <c r="I305" s="3" t="str">
        <f>IFERROR(__xludf.DUMMYFUNCTION("""COMPUTED_VALUE"""),"Deliver")</f>
        <v>Deliver</v>
      </c>
      <c r="J305" s="3" t="str">
        <f>IFERROR(__xludf.DUMMYFUNCTION("""COMPUTED_VALUE"""),"-")</f>
        <v>-</v>
      </c>
      <c r="K305" s="3" t="str">
        <f>IFERROR(__xludf.DUMMYFUNCTION("""COMPUTED_VALUE"""),"-")</f>
        <v>-</v>
      </c>
    </row>
    <row r="306">
      <c r="A306" s="3" t="str">
        <f>IFERROR(__xludf.DUMMYFUNCTION("""COMPUTED_VALUE"""),"MFHRO0154")</f>
        <v>MFHRO0154</v>
      </c>
      <c r="B306" s="4">
        <f>IFERROR(__xludf.DUMMYFUNCTION("""COMPUTED_VALUE"""),45865.64966880787)</f>
        <v>45865.64967</v>
      </c>
      <c r="C306" s="3">
        <f>IFERROR(__xludf.DUMMYFUNCTION("""COMPUTED_VALUE"""),45865.9207253125)</f>
        <v>45865.92073</v>
      </c>
      <c r="D306" s="3" t="str">
        <f>IFERROR(__xludf.DUMMYFUNCTION("""COMPUTED_VALUE"""),"BSC")</f>
        <v>BSC</v>
      </c>
      <c r="E306" s="3" t="str">
        <f>IFERROR(__xludf.DUMMYFUNCTION("""COMPUTED_VALUE"""),"-")</f>
        <v>-</v>
      </c>
      <c r="F306" s="3" t="str">
        <f>IFERROR(__xludf.DUMMYFUNCTION("""COMPUTED_VALUE"""),"Bio Safety Cabinet - Cover Cable Instrument 3 Ukuran 0.8x1200x2400mm, Mat Plat SS304 0.67 lbr; Custom/Lokal; -; 1 Unit")</f>
        <v>Bio Safety Cabinet - Cover Cable Instrument 3 Ukuran 0.8x1200x2400mm, Mat Plat SS304 0.67 lbr; Custom/Lokal; -; 1 Unit</v>
      </c>
      <c r="G306" s="3">
        <f>IFERROR(__xludf.DUMMYFUNCTION("""COMPUTED_VALUE"""),1.0)</f>
        <v>1</v>
      </c>
      <c r="H306" s="3" t="str">
        <f>IFERROR(__xludf.DUMMYFUNCTION("""COMPUTED_VALUE"""),"Unit")</f>
        <v>Unit</v>
      </c>
      <c r="I306" s="3" t="str">
        <f>IFERROR(__xludf.DUMMYFUNCTION("""COMPUTED_VALUE"""),"Deliver")</f>
        <v>Deliver</v>
      </c>
      <c r="J306" s="3" t="str">
        <f>IFERROR(__xludf.DUMMYFUNCTION("""COMPUTED_VALUE"""),"-")</f>
        <v>-</v>
      </c>
      <c r="K306" s="3" t="str">
        <f>IFERROR(__xludf.DUMMYFUNCTION("""COMPUTED_VALUE"""),"-")</f>
        <v>-</v>
      </c>
    </row>
    <row r="307">
      <c r="A307" s="3" t="str">
        <f>IFERROR(__xludf.DUMMYFUNCTION("""COMPUTED_VALUE"""),"MFHRO0155")</f>
        <v>MFHRO0155</v>
      </c>
      <c r="B307" s="4">
        <f>IFERROR(__xludf.DUMMYFUNCTION("""COMPUTED_VALUE"""),45865.64966880787)</f>
        <v>45865.64967</v>
      </c>
      <c r="C307" s="3">
        <f>IFERROR(__xludf.DUMMYFUNCTION("""COMPUTED_VALUE"""),45865.92083292824)</f>
        <v>45865.92083</v>
      </c>
      <c r="D307" s="3" t="str">
        <f>IFERROR(__xludf.DUMMYFUNCTION("""COMPUTED_VALUE"""),"FD")</f>
        <v>FD</v>
      </c>
      <c r="E307" s="3" t="str">
        <f>IFERROR(__xludf.DUMMYFUNCTION("""COMPUTED_VALUE"""),"-")</f>
        <v>-</v>
      </c>
      <c r="F307" s="3" t="str">
        <f>IFERROR(__xludf.DUMMYFUNCTION("""COMPUTED_VALUE"""),"Freeze Dryer MBE1207 - Condenser Drain Steam Trap TD600 1 inch NPT; WATSON; EB14-00117; 1 Pc")</f>
        <v>Freeze Dryer MBE1207 - Condenser Drain Steam Trap TD600 1 inch NPT; WATSON; EB14-00117; 1 Pc</v>
      </c>
      <c r="G307" s="3">
        <f>IFERROR(__xludf.DUMMYFUNCTION("""COMPUTED_VALUE"""),2.0)</f>
        <v>2</v>
      </c>
      <c r="H307" s="3" t="str">
        <f>IFERROR(__xludf.DUMMYFUNCTION("""COMPUTED_VALUE"""),"Pieces")</f>
        <v>Pieces</v>
      </c>
      <c r="I307" s="3" t="str">
        <f>IFERROR(__xludf.DUMMYFUNCTION("""COMPUTED_VALUE"""),"Deliver")</f>
        <v>Deliver</v>
      </c>
      <c r="J307" s="3" t="str">
        <f>IFERROR(__xludf.DUMMYFUNCTION("""COMPUTED_VALUE"""),"-")</f>
        <v>-</v>
      </c>
      <c r="K307" s="3" t="str">
        <f>IFERROR(__xludf.DUMMYFUNCTION("""COMPUTED_VALUE"""),"-")</f>
        <v>-</v>
      </c>
    </row>
    <row r="308">
      <c r="A308" s="3" t="str">
        <f>IFERROR(__xludf.DUMMYFUNCTION("""COMPUTED_VALUE"""),"MFHRO0156")</f>
        <v>MFHRO0156</v>
      </c>
      <c r="B308" s="4">
        <f>IFERROR(__xludf.DUMMYFUNCTION("""COMPUTED_VALUE"""),45865.64966880787)</f>
        <v>45865.64967</v>
      </c>
      <c r="C308" s="3">
        <f>IFERROR(__xludf.DUMMYFUNCTION("""COMPUTED_VALUE"""),45865.92112856482)</f>
        <v>45865.92113</v>
      </c>
      <c r="D308" s="3" t="str">
        <f>IFERROR(__xludf.DUMMYFUNCTION("""COMPUTED_VALUE"""),"General")</f>
        <v>General</v>
      </c>
      <c r="E308" s="3" t="str">
        <f>IFERROR(__xludf.DUMMYFUNCTION("""COMPUTED_VALUE"""),"-")</f>
        <v>-</v>
      </c>
      <c r="F308" s="3" t="str">
        <f>IFERROR(__xludf.DUMMYFUNCTION("""COMPUTED_VALUE"""),"Ballast Electronic EB-C 228 TL5, 2x28W; Phillips; ;")</f>
        <v>Ballast Electronic EB-C 228 TL5, 2x28W; Phillips; ;</v>
      </c>
      <c r="G308" s="3">
        <f>IFERROR(__xludf.DUMMYFUNCTION("""COMPUTED_VALUE"""),10.0)</f>
        <v>10</v>
      </c>
      <c r="H308" s="3" t="str">
        <f>IFERROR(__xludf.DUMMYFUNCTION("""COMPUTED_VALUE"""),"Pieces")</f>
        <v>Pieces</v>
      </c>
      <c r="I308" s="3" t="str">
        <f>IFERROR(__xludf.DUMMYFUNCTION("""COMPUTED_VALUE"""),"Deliver")</f>
        <v>Deliver</v>
      </c>
      <c r="J308" s="3" t="str">
        <f>IFERROR(__xludf.DUMMYFUNCTION("""COMPUTED_VALUE"""),"-")</f>
        <v>-</v>
      </c>
      <c r="K308" s="3" t="str">
        <f>IFERROR(__xludf.DUMMYFUNCTION("""COMPUTED_VALUE"""),"-")</f>
        <v>-</v>
      </c>
    </row>
    <row r="309">
      <c r="A309" s="3" t="str">
        <f>IFERROR(__xludf.DUMMYFUNCTION("""COMPUTED_VALUE"""),"MFHRO0157")</f>
        <v>MFHRO0157</v>
      </c>
      <c r="B309" s="4">
        <f>IFERROR(__xludf.DUMMYFUNCTION("""COMPUTED_VALUE"""),45865.64966880787)</f>
        <v>45865.64967</v>
      </c>
      <c r="C309" s="3">
        <f>IFERROR(__xludf.DUMMYFUNCTION("""COMPUTED_VALUE"""),45865.92123692129)</f>
        <v>45865.92124</v>
      </c>
      <c r="D309" s="3" t="str">
        <f>IFERROR(__xludf.DUMMYFUNCTION("""COMPUTED_VALUE"""),"General")</f>
        <v>General</v>
      </c>
      <c r="E309" s="3" t="str">
        <f>IFERROR(__xludf.DUMMYFUNCTION("""COMPUTED_VALUE"""),"-")</f>
        <v>-</v>
      </c>
      <c r="F309" s="3" t="str">
        <f>IFERROR(__xludf.DUMMYFUNCTION("""COMPUTED_VALUE"""),"Sodium metabisulfit")</f>
        <v>Sodium metabisulfit</v>
      </c>
      <c r="G309" s="3">
        <f>IFERROR(__xludf.DUMMYFUNCTION("""COMPUTED_VALUE"""),3.0)</f>
        <v>3</v>
      </c>
      <c r="H309" s="3" t="str">
        <f>IFERROR(__xludf.DUMMYFUNCTION("""COMPUTED_VALUE"""),"Pieces")</f>
        <v>Pieces</v>
      </c>
      <c r="I309" s="3" t="str">
        <f>IFERROR(__xludf.DUMMYFUNCTION("""COMPUTED_VALUE"""),"Deliver")</f>
        <v>Deliver</v>
      </c>
      <c r="J309" s="3" t="str">
        <f>IFERROR(__xludf.DUMMYFUNCTION("""COMPUTED_VALUE"""),"-")</f>
        <v>-</v>
      </c>
      <c r="K309" s="3" t="str">
        <f>IFERROR(__xludf.DUMMYFUNCTION("""COMPUTED_VALUE"""),"-")</f>
        <v>-</v>
      </c>
    </row>
    <row r="310">
      <c r="A310" s="3" t="str">
        <f>IFERROR(__xludf.DUMMYFUNCTION("""COMPUTED_VALUE"""),"MFHRO0158")</f>
        <v>MFHRO0158</v>
      </c>
      <c r="B310" s="4">
        <f>IFERROR(__xludf.DUMMYFUNCTION("""COMPUTED_VALUE"""),45865.64966880787)</f>
        <v>45865.64967</v>
      </c>
      <c r="C310" s="3">
        <f>IFERROR(__xludf.DUMMYFUNCTION("""COMPUTED_VALUE"""),45865.92134944444)</f>
        <v>45865.92135</v>
      </c>
      <c r="D310" s="3" t="str">
        <f>IFERROR(__xludf.DUMMYFUNCTION("""COMPUTED_VALUE"""),"FD")</f>
        <v>FD</v>
      </c>
      <c r="E310" s="3" t="str">
        <f>IFERROR(__xludf.DUMMYFUNCTION("""COMPUTED_VALUE"""),"-")</f>
        <v>-</v>
      </c>
      <c r="F310" s="3" t="str">
        <f>IFERROR(__xludf.DUMMYFUNCTION("""COMPUTED_VALUE"""),"General - Freon R507; Chemours; -; 1 pcs")</f>
        <v>General - Freon R507; Chemours; -; 1 pcs</v>
      </c>
      <c r="G310" s="3">
        <f>IFERROR(__xludf.DUMMYFUNCTION("""COMPUTED_VALUE"""),2.0)</f>
        <v>2</v>
      </c>
      <c r="H310" s="3" t="str">
        <f>IFERROR(__xludf.DUMMYFUNCTION("""COMPUTED_VALUE"""),"Can")</f>
        <v>Can</v>
      </c>
      <c r="I310" s="3" t="str">
        <f>IFERROR(__xludf.DUMMYFUNCTION("""COMPUTED_VALUE"""),"Deliver")</f>
        <v>Deliver</v>
      </c>
      <c r="J310" s="3" t="str">
        <f>IFERROR(__xludf.DUMMYFUNCTION("""COMPUTED_VALUE"""),"-")</f>
        <v>-</v>
      </c>
      <c r="K310" s="3" t="str">
        <f>IFERROR(__xludf.DUMMYFUNCTION("""COMPUTED_VALUE"""),"-")</f>
        <v>-</v>
      </c>
    </row>
    <row r="311">
      <c r="A311" s="3" t="str">
        <f>IFERROR(__xludf.DUMMYFUNCTION("""COMPUTED_VALUE"""),"MFHRO0159")</f>
        <v>MFHRO0159</v>
      </c>
      <c r="B311" s="4">
        <f>IFERROR(__xludf.DUMMYFUNCTION("""COMPUTED_VALUE"""),45865.64966880787)</f>
        <v>45865.64967</v>
      </c>
      <c r="C311" s="3">
        <f>IFERROR(__xludf.DUMMYFUNCTION("""COMPUTED_VALUE"""),45865.92144954861)</f>
        <v>45865.92145</v>
      </c>
      <c r="D311" s="3" t="str">
        <f>IFERROR(__xludf.DUMMYFUNCTION("""COMPUTED_VALUE"""),"FD")</f>
        <v>FD</v>
      </c>
      <c r="E311" s="3" t="str">
        <f>IFERROR(__xludf.DUMMYFUNCTION("""COMPUTED_VALUE"""),"-")</f>
        <v>-</v>
      </c>
      <c r="F311" s="3" t="str">
        <f>IFERROR(__xludf.DUMMYFUNCTION("""COMPUTED_VALUE"""),"O-RING 345X5.30; Freeze Dryer MBE1207; P/N EB41-00320; pack size per pc")</f>
        <v>O-RING 345X5.30; Freeze Dryer MBE1207; P/N EB41-00320; pack size per pc</v>
      </c>
      <c r="G311" s="3">
        <f>IFERROR(__xludf.DUMMYFUNCTION("""COMPUTED_VALUE"""),5.0)</f>
        <v>5</v>
      </c>
      <c r="H311" s="3" t="str">
        <f>IFERROR(__xludf.DUMMYFUNCTION("""COMPUTED_VALUE"""),"Pieces")</f>
        <v>Pieces</v>
      </c>
      <c r="I311" s="3" t="str">
        <f>IFERROR(__xludf.DUMMYFUNCTION("""COMPUTED_VALUE"""),"Deliver")</f>
        <v>Deliver</v>
      </c>
      <c r="J311" s="3" t="str">
        <f>IFERROR(__xludf.DUMMYFUNCTION("""COMPUTED_VALUE"""),"-")</f>
        <v>-</v>
      </c>
      <c r="K311" s="3" t="str">
        <f>IFERROR(__xludf.DUMMYFUNCTION("""COMPUTED_VALUE"""),"-")</f>
        <v>-</v>
      </c>
    </row>
    <row r="312">
      <c r="A312" s="3" t="str">
        <f>IFERROR(__xludf.DUMMYFUNCTION("""COMPUTED_VALUE"""),"MFHRO0160")</f>
        <v>MFHRO0160</v>
      </c>
      <c r="B312" s="4">
        <f>IFERROR(__xludf.DUMMYFUNCTION("""COMPUTED_VALUE"""),45865.64966880787)</f>
        <v>45865.64967</v>
      </c>
      <c r="C312" s="3">
        <f>IFERROR(__xludf.DUMMYFUNCTION("""COMPUTED_VALUE"""),45865.921544791665)</f>
        <v>45865.92154</v>
      </c>
      <c r="D312" s="3" t="str">
        <f>IFERROR(__xludf.DUMMYFUNCTION("""COMPUTED_VALUE"""),"FD")</f>
        <v>FD</v>
      </c>
      <c r="E312" s="3" t="str">
        <f>IFERROR(__xludf.DUMMYFUNCTION("""COMPUTED_VALUE"""),"-")</f>
        <v>-</v>
      </c>
      <c r="F312" s="3" t="str">
        <f>IFERROR(__xludf.DUMMYFUNCTION("""COMPUTED_VALUE"""),"Freeze Dryer MBE1207 - Silicone O-ring 243x5.3 for main valve bellows; ; EB41-00314;")</f>
        <v>Freeze Dryer MBE1207 - Silicone O-ring 243x5.3 for main valve bellows; ; EB41-00314;</v>
      </c>
      <c r="G312" s="3">
        <f>IFERROR(__xludf.DUMMYFUNCTION("""COMPUTED_VALUE"""),5.0)</f>
        <v>5</v>
      </c>
      <c r="H312" s="3" t="str">
        <f>IFERROR(__xludf.DUMMYFUNCTION("""COMPUTED_VALUE"""),"Pieces")</f>
        <v>Pieces</v>
      </c>
      <c r="I312" s="3" t="str">
        <f>IFERROR(__xludf.DUMMYFUNCTION("""COMPUTED_VALUE"""),"Deliver")</f>
        <v>Deliver</v>
      </c>
      <c r="J312" s="3" t="str">
        <f>IFERROR(__xludf.DUMMYFUNCTION("""COMPUTED_VALUE"""),"-")</f>
        <v>-</v>
      </c>
      <c r="K312" s="3" t="str">
        <f>IFERROR(__xludf.DUMMYFUNCTION("""COMPUTED_VALUE"""),"-")</f>
        <v>-</v>
      </c>
    </row>
    <row r="313">
      <c r="A313" s="3" t="str">
        <f>IFERROR(__xludf.DUMMYFUNCTION("""COMPUTED_VALUE"""),"MFHRO0161")</f>
        <v>MFHRO0161</v>
      </c>
      <c r="B313" s="4">
        <f>IFERROR(__xludf.DUMMYFUNCTION("""COMPUTED_VALUE"""),45865.64966880787)</f>
        <v>45865.64967</v>
      </c>
      <c r="C313" s="3">
        <f>IFERROR(__xludf.DUMMYFUNCTION("""COMPUTED_VALUE"""),45865.921634108796)</f>
        <v>45865.92163</v>
      </c>
      <c r="D313" s="3" t="str">
        <f>IFERROR(__xludf.DUMMYFUNCTION("""COMPUTED_VALUE"""),"FD")</f>
        <v>FD</v>
      </c>
      <c r="E313" s="3" t="str">
        <f>IFERROR(__xludf.DUMMYFUNCTION("""COMPUTED_VALUE"""),"-")</f>
        <v>-</v>
      </c>
      <c r="F313" s="3" t="str">
        <f>IFERROR(__xludf.DUMMYFUNCTION("""COMPUTED_VALUE"""),"O-RING 132X5.30; Freeze Dryer MBE1207; P/N EB41-00298; pack size per pc")</f>
        <v>O-RING 132X5.30; Freeze Dryer MBE1207; P/N EB41-00298; pack size per pc</v>
      </c>
      <c r="G313" s="3">
        <f>IFERROR(__xludf.DUMMYFUNCTION("""COMPUTED_VALUE"""),5.0)</f>
        <v>5</v>
      </c>
      <c r="H313" s="3" t="str">
        <f>IFERROR(__xludf.DUMMYFUNCTION("""COMPUTED_VALUE"""),"Pieces")</f>
        <v>Pieces</v>
      </c>
      <c r="I313" s="3" t="str">
        <f>IFERROR(__xludf.DUMMYFUNCTION("""COMPUTED_VALUE"""),"Deliver")</f>
        <v>Deliver</v>
      </c>
      <c r="J313" s="3" t="str">
        <f>IFERROR(__xludf.DUMMYFUNCTION("""COMPUTED_VALUE"""),"-")</f>
        <v>-</v>
      </c>
      <c r="K313" s="3" t="str">
        <f>IFERROR(__xludf.DUMMYFUNCTION("""COMPUTED_VALUE"""),"-")</f>
        <v>-</v>
      </c>
    </row>
    <row r="314">
      <c r="A314" s="3" t="str">
        <f>IFERROR(__xludf.DUMMYFUNCTION("""COMPUTED_VALUE"""),"MFHRO0162")</f>
        <v>MFHRO0162</v>
      </c>
      <c r="B314" s="4">
        <f>IFERROR(__xludf.DUMMYFUNCTION("""COMPUTED_VALUE"""),45865.64966880787)</f>
        <v>45865.64967</v>
      </c>
      <c r="C314" s="3">
        <f>IFERROR(__xludf.DUMMYFUNCTION("""COMPUTED_VALUE"""),45865.921727395835)</f>
        <v>45865.92173</v>
      </c>
      <c r="D314" s="3" t="str">
        <f>IFERROR(__xludf.DUMMYFUNCTION("""COMPUTED_VALUE"""),"FD")</f>
        <v>FD</v>
      </c>
      <c r="E314" s="3" t="str">
        <f>IFERROR(__xludf.DUMMYFUNCTION("""COMPUTED_VALUE"""),"-")</f>
        <v>-</v>
      </c>
      <c r="F314" s="3" t="str">
        <f>IFERROR(__xludf.DUMMYFUNCTION("""COMPUTED_VALUE"""),"O-RING 132X5.30; Freeze Dryer MBE1207; P/N EB41-00298; pack size per pc")</f>
        <v>O-RING 132X5.30; Freeze Dryer MBE1207; P/N EB41-00298; pack size per pc</v>
      </c>
      <c r="G314" s="3">
        <f>IFERROR(__xludf.DUMMYFUNCTION("""COMPUTED_VALUE"""),5.0)</f>
        <v>5</v>
      </c>
      <c r="H314" s="3" t="str">
        <f>IFERROR(__xludf.DUMMYFUNCTION("""COMPUTED_VALUE"""),"Pieces")</f>
        <v>Pieces</v>
      </c>
      <c r="I314" s="3" t="str">
        <f>IFERROR(__xludf.DUMMYFUNCTION("""COMPUTED_VALUE"""),"Deliver")</f>
        <v>Deliver</v>
      </c>
      <c r="J314" s="3" t="str">
        <f>IFERROR(__xludf.DUMMYFUNCTION("""COMPUTED_VALUE"""),"-")</f>
        <v>-</v>
      </c>
      <c r="K314" s="3" t="str">
        <f>IFERROR(__xludf.DUMMYFUNCTION("""COMPUTED_VALUE"""),"-")</f>
        <v>-</v>
      </c>
    </row>
    <row r="315">
      <c r="A315" s="3" t="str">
        <f>IFERROR(__xludf.DUMMYFUNCTION("""COMPUTED_VALUE"""),"MFHRO0163")</f>
        <v>MFHRO0163</v>
      </c>
      <c r="B315" s="4">
        <f>IFERROR(__xludf.DUMMYFUNCTION("""COMPUTED_VALUE"""),45865.64966880787)</f>
        <v>45865.64967</v>
      </c>
      <c r="C315" s="3">
        <f>IFERROR(__xludf.DUMMYFUNCTION("""COMPUTED_VALUE"""),45865.921825613426)</f>
        <v>45865.92183</v>
      </c>
      <c r="D315" s="3" t="str">
        <f>IFERROR(__xludf.DUMMYFUNCTION("""COMPUTED_VALUE"""),"FD")</f>
        <v>FD</v>
      </c>
      <c r="E315" s="3" t="str">
        <f>IFERROR(__xludf.DUMMYFUNCTION("""COMPUTED_VALUE"""),"-")</f>
        <v>-</v>
      </c>
      <c r="F315" s="3" t="str">
        <f>IFERROR(__xludf.DUMMYFUNCTION("""COMPUTED_VALUE"""),"O-RING 180X3.55; Freeze Dryer MBE1207; P/N EB41-00357; pack size per pc")</f>
        <v>O-RING 180X3.55; Freeze Dryer MBE1207; P/N EB41-00357; pack size per pc</v>
      </c>
      <c r="G315" s="3">
        <f>IFERROR(__xludf.DUMMYFUNCTION("""COMPUTED_VALUE"""),5.0)</f>
        <v>5</v>
      </c>
      <c r="H315" s="3" t="str">
        <f>IFERROR(__xludf.DUMMYFUNCTION("""COMPUTED_VALUE"""),"Pieces")</f>
        <v>Pieces</v>
      </c>
      <c r="I315" s="3" t="str">
        <f>IFERROR(__xludf.DUMMYFUNCTION("""COMPUTED_VALUE"""),"Deliver")</f>
        <v>Deliver</v>
      </c>
      <c r="J315" s="3" t="str">
        <f>IFERROR(__xludf.DUMMYFUNCTION("""COMPUTED_VALUE"""),"-")</f>
        <v>-</v>
      </c>
      <c r="K315" s="3" t="str">
        <f>IFERROR(__xludf.DUMMYFUNCTION("""COMPUTED_VALUE"""),"-")</f>
        <v>-</v>
      </c>
    </row>
    <row r="316">
      <c r="A316" s="3" t="str">
        <f>IFERROR(__xludf.DUMMYFUNCTION("""COMPUTED_VALUE"""),"MFHRO0164")</f>
        <v>MFHRO0164</v>
      </c>
      <c r="B316" s="4">
        <f>IFERROR(__xludf.DUMMYFUNCTION("""COMPUTED_VALUE"""),45865.64966880787)</f>
        <v>45865.64967</v>
      </c>
      <c r="C316" s="3">
        <f>IFERROR(__xludf.DUMMYFUNCTION("""COMPUTED_VALUE"""),45865.92191694444)</f>
        <v>45865.92192</v>
      </c>
      <c r="D316" s="3" t="str">
        <f>IFERROR(__xludf.DUMMYFUNCTION("""COMPUTED_VALUE"""),"FD")</f>
        <v>FD</v>
      </c>
      <c r="E316" s="3" t="str">
        <f>IFERROR(__xludf.DUMMYFUNCTION("""COMPUTED_VALUE"""),"-")</f>
        <v>-</v>
      </c>
      <c r="F316" s="3" t="str">
        <f>IFERROR(__xludf.DUMMYFUNCTION("""COMPUTED_VALUE"""),"O-RING 8X1.8; Freeze Dryer MBE1207; P/N EB41-00336; pack size per pc")</f>
        <v>O-RING 8X1.8; Freeze Dryer MBE1207; P/N EB41-00336; pack size per pc</v>
      </c>
      <c r="G316" s="3">
        <f>IFERROR(__xludf.DUMMYFUNCTION("""COMPUTED_VALUE"""),20.0)</f>
        <v>20</v>
      </c>
      <c r="H316" s="3" t="str">
        <f>IFERROR(__xludf.DUMMYFUNCTION("""COMPUTED_VALUE"""),"Pieces")</f>
        <v>Pieces</v>
      </c>
      <c r="I316" s="3" t="str">
        <f>IFERROR(__xludf.DUMMYFUNCTION("""COMPUTED_VALUE"""),"Deliver")</f>
        <v>Deliver</v>
      </c>
      <c r="J316" s="3" t="str">
        <f>IFERROR(__xludf.DUMMYFUNCTION("""COMPUTED_VALUE"""),"-")</f>
        <v>-</v>
      </c>
      <c r="K316" s="3" t="str">
        <f>IFERROR(__xludf.DUMMYFUNCTION("""COMPUTED_VALUE"""),"-")</f>
        <v>-</v>
      </c>
    </row>
    <row r="317">
      <c r="A317" s="3" t="str">
        <f>IFERROR(__xludf.DUMMYFUNCTION("""COMPUTED_VALUE"""),"MFHRO0165")</f>
        <v>MFHRO0165</v>
      </c>
      <c r="B317" s="4">
        <f>IFERROR(__xludf.DUMMYFUNCTION("""COMPUTED_VALUE"""),45865.64966880787)</f>
        <v>45865.64967</v>
      </c>
      <c r="C317" s="3">
        <f>IFERROR(__xludf.DUMMYFUNCTION("""COMPUTED_VALUE"""),45865.922035474534)</f>
        <v>45865.92204</v>
      </c>
      <c r="D317" s="3" t="str">
        <f>IFERROR(__xludf.DUMMYFUNCTION("""COMPUTED_VALUE"""),"FD")</f>
        <v>FD</v>
      </c>
      <c r="E317" s="3" t="str">
        <f>IFERROR(__xludf.DUMMYFUNCTION("""COMPUTED_VALUE"""),"-")</f>
        <v>-</v>
      </c>
      <c r="F317" s="3" t="str">
        <f>IFERROR(__xludf.DUMMYFUNCTION("""COMPUTED_VALUE"""),"Freeze Dryer MBE1207 - Gasket Slot Door Silicone dia 13 mm; ; ;")</f>
        <v>Freeze Dryer MBE1207 - Gasket Slot Door Silicone dia 13 mm; ; ;</v>
      </c>
      <c r="G317" s="3">
        <f>IFERROR(__xludf.DUMMYFUNCTION("""COMPUTED_VALUE"""),8.0)</f>
        <v>8</v>
      </c>
      <c r="H317" s="3" t="str">
        <f>IFERROR(__xludf.DUMMYFUNCTION("""COMPUTED_VALUE"""),"Meter")</f>
        <v>Meter</v>
      </c>
      <c r="I317" s="3" t="str">
        <f>IFERROR(__xludf.DUMMYFUNCTION("""COMPUTED_VALUE"""),"Deliver")</f>
        <v>Deliver</v>
      </c>
      <c r="J317" s="3" t="str">
        <f>IFERROR(__xludf.DUMMYFUNCTION("""COMPUTED_VALUE"""),"-")</f>
        <v>-</v>
      </c>
      <c r="K317" s="3" t="str">
        <f>IFERROR(__xludf.DUMMYFUNCTION("""COMPUTED_VALUE"""),"-")</f>
        <v>-</v>
      </c>
    </row>
    <row r="318">
      <c r="A318" s="3" t="str">
        <f>IFERROR(__xludf.DUMMYFUNCTION("""COMPUTED_VALUE"""),"MFHRO0166")</f>
        <v>MFHRO0166</v>
      </c>
      <c r="B318" s="4">
        <f>IFERROR(__xludf.DUMMYFUNCTION("""COMPUTED_VALUE"""),45865.64966880787)</f>
        <v>45865.64967</v>
      </c>
      <c r="C318" s="3">
        <f>IFERROR(__xludf.DUMMYFUNCTION("""COMPUTED_VALUE"""),45865.92212046296)</f>
        <v>45865.92212</v>
      </c>
      <c r="D318" s="3" t="str">
        <f>IFERROR(__xludf.DUMMYFUNCTION("""COMPUTED_VALUE"""),"General")</f>
        <v>General</v>
      </c>
      <c r="E318" s="3" t="str">
        <f>IFERROR(__xludf.DUMMYFUNCTION("""COMPUTED_VALUE"""),"-")</f>
        <v>-</v>
      </c>
      <c r="F318" s="3" t="str">
        <f>IFERROR(__xludf.DUMMYFUNCTION("""COMPUTED_VALUE"""),"Water Mur PVC dia 1inch")</f>
        <v>Water Mur PVC dia 1inch</v>
      </c>
      <c r="G318" s="3">
        <f>IFERROR(__xludf.DUMMYFUNCTION("""COMPUTED_VALUE"""),5.0)</f>
        <v>5</v>
      </c>
      <c r="H318" s="3" t="str">
        <f>IFERROR(__xludf.DUMMYFUNCTION("""COMPUTED_VALUE"""),"Pieces")</f>
        <v>Pieces</v>
      </c>
      <c r="I318" s="3" t="str">
        <f>IFERROR(__xludf.DUMMYFUNCTION("""COMPUTED_VALUE"""),"Deliver")</f>
        <v>Deliver</v>
      </c>
      <c r="J318" s="3" t="str">
        <f>IFERROR(__xludf.DUMMYFUNCTION("""COMPUTED_VALUE"""),"-")</f>
        <v>-</v>
      </c>
      <c r="K318" s="3" t="str">
        <f>IFERROR(__xludf.DUMMYFUNCTION("""COMPUTED_VALUE"""),"-")</f>
        <v>-</v>
      </c>
    </row>
    <row r="319">
      <c r="A319" s="3" t="str">
        <f>IFERROR(__xludf.DUMMYFUNCTION("""COMPUTED_VALUE"""),"MFHRO0167")</f>
        <v>MFHRO0167</v>
      </c>
      <c r="B319" s="4">
        <f>IFERROR(__xludf.DUMMYFUNCTION("""COMPUTED_VALUE"""),45865.64966880787)</f>
        <v>45865.64967</v>
      </c>
      <c r="C319" s="3">
        <f>IFERROR(__xludf.DUMMYFUNCTION("""COMPUTED_VALUE"""),45865.92220341435)</f>
        <v>45865.9222</v>
      </c>
      <c r="D319" s="3" t="str">
        <f>IFERROR(__xludf.DUMMYFUNCTION("""COMPUTED_VALUE"""),"Building")</f>
        <v>Building</v>
      </c>
      <c r="E319" s="3" t="str">
        <f>IFERROR(__xludf.DUMMYFUNCTION("""COMPUTED_VALUE"""),"-")</f>
        <v>-</v>
      </c>
      <c r="F319" s="3" t="str">
        <f>IFERROR(__xludf.DUMMYFUNCTION("""COMPUTED_VALUE"""),"Cat Decor Acrylic Enamel DAE - 550 / Solvent Based; Propan; TEAL 5412 - Warna Biru; pack size 20 liter per pail")</f>
        <v>Cat Decor Acrylic Enamel DAE - 550 / Solvent Based; Propan; TEAL 5412 - Warna Biru; pack size 20 liter per pail</v>
      </c>
      <c r="G319" s="3">
        <f>IFERROR(__xludf.DUMMYFUNCTION("""COMPUTED_VALUE"""),4.0)</f>
        <v>4</v>
      </c>
      <c r="H319" s="3" t="str">
        <f>IFERROR(__xludf.DUMMYFUNCTION("""COMPUTED_VALUE"""),"Pail")</f>
        <v>Pail</v>
      </c>
      <c r="I319" s="3" t="str">
        <f>IFERROR(__xludf.DUMMYFUNCTION("""COMPUTED_VALUE"""),"Deliver")</f>
        <v>Deliver</v>
      </c>
      <c r="J319" s="3" t="str">
        <f>IFERROR(__xludf.DUMMYFUNCTION("""COMPUTED_VALUE"""),"-")</f>
        <v>-</v>
      </c>
      <c r="K319" s="3" t="str">
        <f>IFERROR(__xludf.DUMMYFUNCTION("""COMPUTED_VALUE"""),"-")</f>
        <v>-</v>
      </c>
    </row>
    <row r="320">
      <c r="A320" s="3" t="str">
        <f>IFERROR(__xludf.DUMMYFUNCTION("""COMPUTED_VALUE"""),"MFHRO0168")</f>
        <v>MFHRO0168</v>
      </c>
      <c r="B320" s="4">
        <f>IFERROR(__xludf.DUMMYFUNCTION("""COMPUTED_VALUE"""),45865.64966880787)</f>
        <v>45865.64967</v>
      </c>
      <c r="C320" s="3">
        <f>IFERROR(__xludf.DUMMYFUNCTION("""COMPUTED_VALUE"""),45865.922322592596)</f>
        <v>45865.92232</v>
      </c>
      <c r="D320" s="3" t="str">
        <f>IFERROR(__xludf.DUMMYFUNCTION("""COMPUTED_VALUE"""),"Washing")</f>
        <v>Washing</v>
      </c>
      <c r="E320" s="3" t="str">
        <f>IFERROR(__xludf.DUMMYFUNCTION("""COMPUTED_VALUE"""),"-")</f>
        <v>-</v>
      </c>
      <c r="F320" s="3" t="str">
        <f>IFERROR(__xludf.DUMMYFUNCTION("""COMPUTED_VALUE"""),"General - Directional Valve Pin Lock; SMC; VHL210W-02; 1 pc")</f>
        <v>General - Directional Valve Pin Lock; SMC; VHL210W-02; 1 pc</v>
      </c>
      <c r="G320" s="3">
        <f>IFERROR(__xludf.DUMMYFUNCTION("""COMPUTED_VALUE"""),1.0)</f>
        <v>1</v>
      </c>
      <c r="H320" s="3" t="str">
        <f>IFERROR(__xludf.DUMMYFUNCTION("""COMPUTED_VALUE"""),"Pieces")</f>
        <v>Pieces</v>
      </c>
      <c r="I320" s="3" t="str">
        <f>IFERROR(__xludf.DUMMYFUNCTION("""COMPUTED_VALUE"""),"Deliver")</f>
        <v>Deliver</v>
      </c>
      <c r="J320" s="3" t="str">
        <f>IFERROR(__xludf.DUMMYFUNCTION("""COMPUTED_VALUE"""),"-")</f>
        <v>-</v>
      </c>
      <c r="K320" s="3" t="str">
        <f>IFERROR(__xludf.DUMMYFUNCTION("""COMPUTED_VALUE"""),"-")</f>
        <v>-</v>
      </c>
    </row>
    <row r="321">
      <c r="A321" s="3" t="str">
        <f>IFERROR(__xludf.DUMMYFUNCTION("""COMPUTED_VALUE"""),"MFHRO0169")</f>
        <v>MFHRO0169</v>
      </c>
      <c r="B321" s="4">
        <f>IFERROR(__xludf.DUMMYFUNCTION("""COMPUTED_VALUE"""),45865.64966880787)</f>
        <v>45865.64967</v>
      </c>
      <c r="C321" s="3">
        <f>IFERROR(__xludf.DUMMYFUNCTION("""COMPUTED_VALUE"""),45865.92241167824)</f>
        <v>45865.92241</v>
      </c>
      <c r="D321" s="3" t="str">
        <f>IFERROR(__xludf.DUMMYFUNCTION("""COMPUTED_VALUE"""),"Washing")</f>
        <v>Washing</v>
      </c>
      <c r="E321" s="3" t="str">
        <f>IFERROR(__xludf.DUMMYFUNCTION("""COMPUTED_VALUE"""),"-")</f>
        <v>-</v>
      </c>
      <c r="F321" s="3" t="str">
        <f>IFERROR(__xludf.DUMMYFUNCTION("""COMPUTED_VALUE"""),"General - Check Valve SMC; -; AKH08A-025; 1 pc")</f>
        <v>General - Check Valve SMC; -; AKH08A-025; 1 pc</v>
      </c>
      <c r="G321" s="3">
        <f>IFERROR(__xludf.DUMMYFUNCTION("""COMPUTED_VALUE"""),2.0)</f>
        <v>2</v>
      </c>
      <c r="H321" s="3" t="str">
        <f>IFERROR(__xludf.DUMMYFUNCTION("""COMPUTED_VALUE"""),"Pieces")</f>
        <v>Pieces</v>
      </c>
      <c r="I321" s="3" t="str">
        <f>IFERROR(__xludf.DUMMYFUNCTION("""COMPUTED_VALUE"""),"Deliver")</f>
        <v>Deliver</v>
      </c>
      <c r="J321" s="3" t="str">
        <f>IFERROR(__xludf.DUMMYFUNCTION("""COMPUTED_VALUE"""),"-")</f>
        <v>-</v>
      </c>
      <c r="K321" s="3" t="str">
        <f>IFERROR(__xludf.DUMMYFUNCTION("""COMPUTED_VALUE"""),"-")</f>
        <v>-</v>
      </c>
    </row>
    <row r="322">
      <c r="A322" s="3" t="str">
        <f>IFERROR(__xludf.DUMMYFUNCTION("""COMPUTED_VALUE"""),"MFHRO0170")</f>
        <v>MFHRO0170</v>
      </c>
      <c r="B322" s="4">
        <f>IFERROR(__xludf.DUMMYFUNCTION("""COMPUTED_VALUE"""),45865.64966880787)</f>
        <v>45865.64967</v>
      </c>
      <c r="C322" s="3">
        <f>IFERROR(__xludf.DUMMYFUNCTION("""COMPUTED_VALUE"""),45865.92250670139)</f>
        <v>45865.92251</v>
      </c>
      <c r="D322" s="3" t="str">
        <f>IFERROR(__xludf.DUMMYFUNCTION("""COMPUTED_VALUE"""),"Washing")</f>
        <v>Washing</v>
      </c>
      <c r="E322" s="3" t="str">
        <f>IFERROR(__xludf.DUMMYFUNCTION("""COMPUTED_VALUE"""),"-")</f>
        <v>-</v>
      </c>
      <c r="F322" s="3" t="str">
        <f>IFERROR(__xludf.DUMMYFUNCTION("""COMPUTED_VALUE"""),"General - Fitting SMC; SMC; KQ2U08-00A; 1 pc")</f>
        <v>General - Fitting SMC; SMC; KQ2U08-00A; 1 pc</v>
      </c>
      <c r="G322" s="3">
        <f>IFERROR(__xludf.DUMMYFUNCTION("""COMPUTED_VALUE"""),2.0)</f>
        <v>2</v>
      </c>
      <c r="H322" s="3" t="str">
        <f>IFERROR(__xludf.DUMMYFUNCTION("""COMPUTED_VALUE"""),"Pieces")</f>
        <v>Pieces</v>
      </c>
      <c r="I322" s="3" t="str">
        <f>IFERROR(__xludf.DUMMYFUNCTION("""COMPUTED_VALUE"""),"Deliver")</f>
        <v>Deliver</v>
      </c>
      <c r="J322" s="3" t="str">
        <f>IFERROR(__xludf.DUMMYFUNCTION("""COMPUTED_VALUE"""),"-")</f>
        <v>-</v>
      </c>
      <c r="K322" s="3" t="str">
        <f>IFERROR(__xludf.DUMMYFUNCTION("""COMPUTED_VALUE"""),"-")</f>
        <v>-</v>
      </c>
    </row>
    <row r="323">
      <c r="A323" s="3" t="str">
        <f>IFERROR(__xludf.DUMMYFUNCTION("""COMPUTED_VALUE"""),"MFHRO0171")</f>
        <v>MFHRO0171</v>
      </c>
      <c r="B323" s="4">
        <f>IFERROR(__xludf.DUMMYFUNCTION("""COMPUTED_VALUE"""),45865.64966880787)</f>
        <v>45865.64967</v>
      </c>
      <c r="C323" s="3">
        <f>IFERROR(__xludf.DUMMYFUNCTION("""COMPUTED_VALUE"""),45865.92306256945)</f>
        <v>45865.92306</v>
      </c>
      <c r="D323" s="3" t="str">
        <f>IFERROR(__xludf.DUMMYFUNCTION("""COMPUTED_VALUE"""),"Washing")</f>
        <v>Washing</v>
      </c>
      <c r="E323" s="3" t="str">
        <f>IFERROR(__xludf.DUMMYFUNCTION("""COMPUTED_VALUE"""),"-")</f>
        <v>-</v>
      </c>
      <c r="F323" s="3" t="str">
        <f>IFERROR(__xludf.DUMMYFUNCTION("""COMPUTED_VALUE"""),"General - Plug 1/4inch; SMC; -; 1 pc")</f>
        <v>General - Plug 1/4inch; SMC; -; 1 pc</v>
      </c>
      <c r="G323" s="3">
        <f>IFERROR(__xludf.DUMMYFUNCTION("""COMPUTED_VALUE"""),1.0)</f>
        <v>1</v>
      </c>
      <c r="H323" s="3" t="str">
        <f>IFERROR(__xludf.DUMMYFUNCTION("""COMPUTED_VALUE"""),"Pieces")</f>
        <v>Pieces</v>
      </c>
      <c r="I323" s="3" t="str">
        <f>IFERROR(__xludf.DUMMYFUNCTION("""COMPUTED_VALUE"""),"Deliver")</f>
        <v>Deliver</v>
      </c>
      <c r="J323" s="3" t="str">
        <f>IFERROR(__xludf.DUMMYFUNCTION("""COMPUTED_VALUE"""),"-")</f>
        <v>-</v>
      </c>
      <c r="K323" s="3" t="str">
        <f>IFERROR(__xludf.DUMMYFUNCTION("""COMPUTED_VALUE"""),"-")</f>
        <v>-</v>
      </c>
    </row>
    <row r="324">
      <c r="A324" s="3" t="str">
        <f>IFERROR(__xludf.DUMMYFUNCTION("""COMPUTED_VALUE"""),"MFHRO0172")</f>
        <v>MFHRO0172</v>
      </c>
      <c r="B324" s="4">
        <f>IFERROR(__xludf.DUMMYFUNCTION("""COMPUTED_VALUE"""),45865.64966880787)</f>
        <v>45865.64967</v>
      </c>
      <c r="C324" s="3">
        <f>IFERROR(__xludf.DUMMYFUNCTION("""COMPUTED_VALUE"""),45865.9231509838)</f>
        <v>45865.92315</v>
      </c>
      <c r="D324" s="3" t="str">
        <f>IFERROR(__xludf.DUMMYFUNCTION("""COMPUTED_VALUE"""),"Washbay")</f>
        <v>Washbay</v>
      </c>
      <c r="E324" s="3" t="str">
        <f>IFERROR(__xludf.DUMMYFUNCTION("""COMPUTED_VALUE"""),"-")</f>
        <v>-</v>
      </c>
      <c r="F324" s="3" t="str">
        <f>IFERROR(__xludf.DUMMYFUNCTION("""COMPUTED_VALUE"""),"SCHNEIDER - MCB 4A 1Phase; ; ;")</f>
        <v>SCHNEIDER - MCB 4A 1Phase; ; ;</v>
      </c>
      <c r="G324" s="3">
        <f>IFERROR(__xludf.DUMMYFUNCTION("""COMPUTED_VALUE"""),3.0)</f>
        <v>3</v>
      </c>
      <c r="H324" s="3" t="str">
        <f>IFERROR(__xludf.DUMMYFUNCTION("""COMPUTED_VALUE"""),"Pieces")</f>
        <v>Pieces</v>
      </c>
      <c r="I324" s="3" t="str">
        <f>IFERROR(__xludf.DUMMYFUNCTION("""COMPUTED_VALUE"""),"Deliver")</f>
        <v>Deliver</v>
      </c>
      <c r="J324" s="3" t="str">
        <f>IFERROR(__xludf.DUMMYFUNCTION("""COMPUTED_VALUE"""),"-")</f>
        <v>-</v>
      </c>
      <c r="K324" s="3" t="str">
        <f>IFERROR(__xludf.DUMMYFUNCTION("""COMPUTED_VALUE"""),"-")</f>
        <v>-</v>
      </c>
    </row>
    <row r="325">
      <c r="A325" s="3" t="str">
        <f>IFERROR(__xludf.DUMMYFUNCTION("""COMPUTED_VALUE"""),"MFHRO0173")</f>
        <v>MFHRO0173</v>
      </c>
      <c r="B325" s="4">
        <f>IFERROR(__xludf.DUMMYFUNCTION("""COMPUTED_VALUE"""),45865.64966880787)</f>
        <v>45865.64967</v>
      </c>
      <c r="C325" s="3">
        <f>IFERROR(__xludf.DUMMYFUNCTION("""COMPUTED_VALUE"""),45865.92327121527)</f>
        <v>45865.92327</v>
      </c>
      <c r="D325" s="3" t="str">
        <f>IFERROR(__xludf.DUMMYFUNCTION("""COMPUTED_VALUE"""),"General")</f>
        <v>General</v>
      </c>
      <c r="E325" s="3" t="str">
        <f>IFERROR(__xludf.DUMMYFUNCTION("""COMPUTED_VALUE"""),"-")</f>
        <v>-</v>
      </c>
      <c r="F325" s="3" t="str">
        <f>IFERROR(__xludf.DUMMYFUNCTION("""COMPUTED_VALUE"""),"Magnet Kotak Pintu Lemari Small Stainless Steel 1.5x3.6cm; ; ;")</f>
        <v>Magnet Kotak Pintu Lemari Small Stainless Steel 1.5x3.6cm; ; ;</v>
      </c>
      <c r="G325" s="3">
        <f>IFERROR(__xludf.DUMMYFUNCTION("""COMPUTED_VALUE"""),5.0)</f>
        <v>5</v>
      </c>
      <c r="H325" s="3" t="str">
        <f>IFERROR(__xludf.DUMMYFUNCTION("""COMPUTED_VALUE"""),"Pieces")</f>
        <v>Pieces</v>
      </c>
      <c r="I325" s="3" t="str">
        <f>IFERROR(__xludf.DUMMYFUNCTION("""COMPUTED_VALUE"""),"Deliver")</f>
        <v>Deliver</v>
      </c>
      <c r="J325" s="3" t="str">
        <f>IFERROR(__xludf.DUMMYFUNCTION("""COMPUTED_VALUE"""),"-")</f>
        <v>-</v>
      </c>
      <c r="K325" s="3" t="str">
        <f>IFERROR(__xludf.DUMMYFUNCTION("""COMPUTED_VALUE"""),"-")</f>
        <v>-</v>
      </c>
    </row>
    <row r="326">
      <c r="A326" s="3" t="str">
        <f>IFERROR(__xludf.DUMMYFUNCTION("""COMPUTED_VALUE"""),"MFHRO0174")</f>
        <v>MFHRO0174</v>
      </c>
      <c r="B326" s="4">
        <f>IFERROR(__xludf.DUMMYFUNCTION("""COMPUTED_VALUE"""),45865.64966880787)</f>
        <v>45865.64967</v>
      </c>
      <c r="C326" s="3">
        <f>IFERROR(__xludf.DUMMYFUNCTION("""COMPUTED_VALUE"""),45865.92338548611)</f>
        <v>45865.92339</v>
      </c>
      <c r="D326" s="3" t="str">
        <f>IFERROR(__xludf.DUMMYFUNCTION("""COMPUTED_VALUE"""),"HLD")</f>
        <v>HLD</v>
      </c>
      <c r="E326" s="3" t="str">
        <f>IFERROR(__xludf.DUMMYFUNCTION("""COMPUTED_VALUE"""),"-")</f>
        <v>-</v>
      </c>
      <c r="F326" s="3" t="str">
        <f>IFERROR(__xludf.DUMMYFUNCTION("""COMPUTED_VALUE"""),"General - Trolley Helium Leak Detector Uk. 600 x 750 x 800cm; Custom Agru Farma; -; 1 pc")</f>
        <v>General - Trolley Helium Leak Detector Uk. 600 x 750 x 800cm; Custom Agru Farma; -; 1 pc</v>
      </c>
      <c r="G326" s="3">
        <f>IFERROR(__xludf.DUMMYFUNCTION("""COMPUTED_VALUE"""),1.0)</f>
        <v>1</v>
      </c>
      <c r="H326" s="3" t="str">
        <f>IFERROR(__xludf.DUMMYFUNCTION("""COMPUTED_VALUE"""),"Pieces")</f>
        <v>Pieces</v>
      </c>
      <c r="I326" s="3" t="str">
        <f>IFERROR(__xludf.DUMMYFUNCTION("""COMPUTED_VALUE"""),"Deliver")</f>
        <v>Deliver</v>
      </c>
      <c r="J326" s="3" t="str">
        <f>IFERROR(__xludf.DUMMYFUNCTION("""COMPUTED_VALUE"""),"-")</f>
        <v>-</v>
      </c>
      <c r="K326" s="3" t="str">
        <f>IFERROR(__xludf.DUMMYFUNCTION("""COMPUTED_VALUE"""),"-")</f>
        <v>-</v>
      </c>
    </row>
    <row r="327">
      <c r="A327" s="3" t="str">
        <f>IFERROR(__xludf.DUMMYFUNCTION("""COMPUTED_VALUE"""),"MFHRO0175")</f>
        <v>MFHRO0175</v>
      </c>
      <c r="B327" s="4">
        <f>IFERROR(__xludf.DUMMYFUNCTION("""COMPUTED_VALUE"""),45865.64966880787)</f>
        <v>45865.64967</v>
      </c>
      <c r="C327" s="3">
        <f>IFERROR(__xludf.DUMMYFUNCTION("""COMPUTED_VALUE"""),45865.923471145834)</f>
        <v>45865.92347</v>
      </c>
      <c r="D327" s="3" t="str">
        <f>IFERROR(__xludf.DUMMYFUNCTION("""COMPUTED_VALUE"""),"PSG")</f>
        <v>PSG</v>
      </c>
      <c r="E327" s="3" t="str">
        <f>IFERROR(__xludf.DUMMYFUNCTION("""COMPUTED_VALUE"""),"-")</f>
        <v>-</v>
      </c>
      <c r="F327" s="3" t="str">
        <f>IFERROR(__xludf.DUMMYFUNCTION("""COMPUTED_VALUE"""),"General - Teflon Sheet 6 x 1000 x 1000mm; No Brand; -; 1 pc")</f>
        <v>General - Teflon Sheet 6 x 1000 x 1000mm; No Brand; -; 1 pc</v>
      </c>
      <c r="G327" s="3">
        <f>IFERROR(__xludf.DUMMYFUNCTION("""COMPUTED_VALUE"""),1.0)</f>
        <v>1</v>
      </c>
      <c r="H327" s="3" t="str">
        <f>IFERROR(__xludf.DUMMYFUNCTION("""COMPUTED_VALUE"""),"Pieces")</f>
        <v>Pieces</v>
      </c>
      <c r="I327" s="3" t="str">
        <f>IFERROR(__xludf.DUMMYFUNCTION("""COMPUTED_VALUE"""),"Deliver")</f>
        <v>Deliver</v>
      </c>
      <c r="J327" s="3" t="str">
        <f>IFERROR(__xludf.DUMMYFUNCTION("""COMPUTED_VALUE"""),"-")</f>
        <v>-</v>
      </c>
      <c r="K327" s="3" t="str">
        <f>IFERROR(__xludf.DUMMYFUNCTION("""COMPUTED_VALUE"""),"-")</f>
        <v>-</v>
      </c>
    </row>
    <row r="328">
      <c r="A328" s="3" t="str">
        <f>IFERROR(__xludf.DUMMYFUNCTION("""COMPUTED_VALUE"""),"MFHRO0176")</f>
        <v>MFHRO0176</v>
      </c>
      <c r="B328" s="4">
        <f>IFERROR(__xludf.DUMMYFUNCTION("""COMPUTED_VALUE"""),45865.64966880787)</f>
        <v>45865.64967</v>
      </c>
      <c r="C328" s="3">
        <f>IFERROR(__xludf.DUMMYFUNCTION("""COMPUTED_VALUE"""),45865.923562337965)</f>
        <v>45865.92356</v>
      </c>
      <c r="D328" s="3" t="str">
        <f>IFERROR(__xludf.DUMMYFUNCTION("""COMPUTED_VALUE"""),"Washing")</f>
        <v>Washing</v>
      </c>
      <c r="E328" s="3" t="str">
        <f>IFERROR(__xludf.DUMMYFUNCTION("""COMPUTED_VALUE"""),"-")</f>
        <v>-</v>
      </c>
      <c r="F328" s="3" t="str">
        <f>IFERROR(__xludf.DUMMYFUNCTION("""COMPUTED_VALUE"""),"Washing RAR4 - Needle CA, OD 15 x 168 mm, Mat. SS316; Custom/Lokal; -; 1 Pc")</f>
        <v>Washing RAR4 - Needle CA, OD 15 x 168 mm, Mat. SS316; Custom/Lokal; -; 1 Pc</v>
      </c>
      <c r="G328" s="3">
        <f>IFERROR(__xludf.DUMMYFUNCTION("""COMPUTED_VALUE"""),1.0)</f>
        <v>1</v>
      </c>
      <c r="H328" s="3" t="str">
        <f>IFERROR(__xludf.DUMMYFUNCTION("""COMPUTED_VALUE"""),"Pieces")</f>
        <v>Pieces</v>
      </c>
      <c r="I328" s="3" t="str">
        <f>IFERROR(__xludf.DUMMYFUNCTION("""COMPUTED_VALUE"""),"Deliver")</f>
        <v>Deliver</v>
      </c>
      <c r="J328" s="3" t="str">
        <f>IFERROR(__xludf.DUMMYFUNCTION("""COMPUTED_VALUE"""),"-")</f>
        <v>-</v>
      </c>
      <c r="K328" s="3" t="str">
        <f>IFERROR(__xludf.DUMMYFUNCTION("""COMPUTED_VALUE"""),"-")</f>
        <v>-</v>
      </c>
    </row>
    <row r="329">
      <c r="A329" s="3" t="str">
        <f>IFERROR(__xludf.DUMMYFUNCTION("""COMPUTED_VALUE"""),"MFHRO0177")</f>
        <v>MFHRO0177</v>
      </c>
      <c r="B329" s="4">
        <f>IFERROR(__xludf.DUMMYFUNCTION("""COMPUTED_VALUE"""),45865.64966880787)</f>
        <v>45865.64967</v>
      </c>
      <c r="C329" s="3">
        <f>IFERROR(__xludf.DUMMYFUNCTION("""COMPUTED_VALUE"""),45865.92366785879)</f>
        <v>45865.92367</v>
      </c>
      <c r="D329" s="3" t="str">
        <f>IFERROR(__xludf.DUMMYFUNCTION("""COMPUTED_VALUE"""),"General")</f>
        <v>General</v>
      </c>
      <c r="E329" s="3" t="str">
        <f>IFERROR(__xludf.DUMMYFUNCTION("""COMPUTED_VALUE"""),"-")</f>
        <v>-</v>
      </c>
      <c r="F329" s="3" t="str">
        <f>IFERROR(__xludf.DUMMYFUNCTION("""COMPUTED_VALUE"""),"Trolly - Roda ABUS 4inch (100 x 27mm), Without Brake; No Brand; -; 1 pc")</f>
        <v>Trolly - Roda ABUS 4inch (100 x 27mm), Without Brake; No Brand; -; 1 pc</v>
      </c>
      <c r="G329" s="3">
        <f>IFERROR(__xludf.DUMMYFUNCTION("""COMPUTED_VALUE"""),2.0)</f>
        <v>2</v>
      </c>
      <c r="H329" s="3" t="str">
        <f>IFERROR(__xludf.DUMMYFUNCTION("""COMPUTED_VALUE"""),"Pieces")</f>
        <v>Pieces</v>
      </c>
      <c r="I329" s="3" t="str">
        <f>IFERROR(__xludf.DUMMYFUNCTION("""COMPUTED_VALUE"""),"Deliver")</f>
        <v>Deliver</v>
      </c>
      <c r="J329" s="3" t="str">
        <f>IFERROR(__xludf.DUMMYFUNCTION("""COMPUTED_VALUE"""),"-")</f>
        <v>-</v>
      </c>
      <c r="K329" s="3" t="str">
        <f>IFERROR(__xludf.DUMMYFUNCTION("""COMPUTED_VALUE"""),"-")</f>
        <v>-</v>
      </c>
    </row>
    <row r="330">
      <c r="A330" s="3" t="str">
        <f>IFERROR(__xludf.DUMMYFUNCTION("""COMPUTED_VALUE"""),"SFHRO0013")</f>
        <v>SFHRO0013</v>
      </c>
      <c r="B330" s="4">
        <f>IFERROR(__xludf.DUMMYFUNCTION("""COMPUTED_VALUE"""),45871.05542575232)</f>
        <v>45871.05543</v>
      </c>
      <c r="C330" s="3">
        <f>IFERROR(__xludf.DUMMYFUNCTION("""COMPUTED_VALUE"""),45880.36084346064)</f>
        <v>45880.36084</v>
      </c>
      <c r="D330" s="3" t="str">
        <f>IFERROR(__xludf.DUMMYFUNCTION("""COMPUTED_VALUE"""),"lantai 2")</f>
        <v>lantai 2</v>
      </c>
      <c r="E330" s="3" t="str">
        <f>IFERROR(__xludf.DUMMYFUNCTION("""COMPUTED_VALUE"""),"-")</f>
        <v>-</v>
      </c>
      <c r="F330" s="3" t="str">
        <f>IFERROR(__xludf.DUMMYFUNCTION("""COMPUTED_VALUE"""),"Aquaproof Abu-Abu @4 Kg; ; ;")</f>
        <v>Aquaproof Abu-Abu @4 Kg; ; ;</v>
      </c>
      <c r="G330" s="3">
        <f>IFERROR(__xludf.DUMMYFUNCTION("""COMPUTED_VALUE"""),5.0)</f>
        <v>5</v>
      </c>
      <c r="H330" s="3" t="str">
        <f>IFERROR(__xludf.DUMMYFUNCTION("""COMPUTED_VALUE"""),"pel")</f>
        <v>pel</v>
      </c>
      <c r="I330" s="3" t="str">
        <f>IFERROR(__xludf.DUMMYFUNCTION("""COMPUTED_VALUE"""),"Deliver")</f>
        <v>Deliver</v>
      </c>
      <c r="J330" s="3" t="str">
        <f>IFERROR(__xludf.DUMMYFUNCTION("""COMPUTED_VALUE"""),"-")</f>
        <v>-</v>
      </c>
      <c r="K330" s="3" t="str">
        <f>IFERROR(__xludf.DUMMYFUNCTION("""COMPUTED_VALUE"""),"-")</f>
        <v>-</v>
      </c>
    </row>
    <row r="331">
      <c r="A331" s="3" t="str">
        <f>IFERROR(__xludf.DUMMYFUNCTION("""COMPUTED_VALUE"""),"NDSRO0005")</f>
        <v>NDSRO0005</v>
      </c>
      <c r="B331" s="4">
        <f>IFERROR(__xludf.DUMMYFUNCTION("""COMPUTED_VALUE"""),45874.80960048611)</f>
        <v>45874.8096</v>
      </c>
      <c r="C331" s="3">
        <f>IFERROR(__xludf.DUMMYFUNCTION("""COMPUTED_VALUE"""),45895.12643768519)</f>
        <v>45895.12644</v>
      </c>
      <c r="D331" s="3" t="str">
        <f>IFERROR(__xludf.DUMMYFUNCTION("""COMPUTED_VALUE"""),"Domino")</f>
        <v>Domino</v>
      </c>
      <c r="E331" s="3" t="str">
        <f>IFERROR(__xludf.DUMMYFUNCTION("""COMPUTED_VALUE"""),"-")</f>
        <v>-</v>
      </c>
      <c r="F331" s="3" t="str">
        <f>IFERROR(__xludf.DUMMYFUNCTION("""COMPUTED_VALUE"""),"Colamark - Print Head; Domino; EPP001359 SP; 1 Pc")</f>
        <v>Colamark - Print Head; Domino; EPP001359 SP; 1 Pc</v>
      </c>
      <c r="G331" s="3">
        <f>IFERROR(__xludf.DUMMYFUNCTION("""COMPUTED_VALUE"""),1.0)</f>
        <v>1</v>
      </c>
      <c r="H331" s="3" t="str">
        <f>IFERROR(__xludf.DUMMYFUNCTION("""COMPUTED_VALUE"""),"Pcs")</f>
        <v>Pcs</v>
      </c>
      <c r="I331" s="3" t="str">
        <f>IFERROR(__xludf.DUMMYFUNCTION("""COMPUTED_VALUE"""),"Deliver")</f>
        <v>Deliver</v>
      </c>
      <c r="J331" s="3" t="str">
        <f>IFERROR(__xludf.DUMMYFUNCTION("""COMPUTED_VALUE"""),"-")</f>
        <v>-</v>
      </c>
      <c r="K331" s="3" t="str">
        <f>IFERROR(__xludf.DUMMYFUNCTION("""COMPUTED_VALUE"""),"-")</f>
        <v>-</v>
      </c>
    </row>
    <row r="332">
      <c r="A332" s="3" t="str">
        <f>IFERROR(__xludf.DUMMYFUNCTION("""COMPUTED_VALUE"""),"MRNRO0029")</f>
        <v>MRNRO0029</v>
      </c>
      <c r="B332" s="4">
        <f>IFERROR(__xludf.DUMMYFUNCTION("""COMPUTED_VALUE"""),45876.36047811343)</f>
        <v>45876.36048</v>
      </c>
      <c r="C332" s="3">
        <f>IFERROR(__xludf.DUMMYFUNCTION("""COMPUTED_VALUE"""),45880.36402435185)</f>
        <v>45880.36402</v>
      </c>
      <c r="D332" s="3" t="str">
        <f>IFERROR(__xludf.DUMMYFUNCTION("""COMPUTED_VALUE"""),"Ruang GC lab")</f>
        <v>Ruang GC lab</v>
      </c>
      <c r="E332" s="3" t="str">
        <f>IFERROR(__xludf.DUMMYFUNCTION("""COMPUTED_VALUE"""),"EJO/2025/07/42")</f>
        <v>EJO/2025/07/42</v>
      </c>
      <c r="F332" s="3" t="str">
        <f>IFERROR(__xludf.DUMMYFUNCTION("""COMPUTED_VALUE"""),"OMRON - TIMER H3CR- A8 220 VAC; ; ;")</f>
        <v>OMRON - TIMER H3CR- A8 220 VAC; ; ;</v>
      </c>
      <c r="G332" s="3">
        <f>IFERROR(__xludf.DUMMYFUNCTION("""COMPUTED_VALUE"""),1.0)</f>
        <v>1</v>
      </c>
      <c r="H332" s="3" t="str">
        <f>IFERROR(__xludf.DUMMYFUNCTION("""COMPUTED_VALUE"""),"pcs")</f>
        <v>pcs</v>
      </c>
      <c r="I332" s="3" t="str">
        <f>IFERROR(__xludf.DUMMYFUNCTION("""COMPUTED_VALUE"""),"Deliver")</f>
        <v>Deliver</v>
      </c>
      <c r="J332" s="3" t="str">
        <f>IFERROR(__xludf.DUMMYFUNCTION("""COMPUTED_VALUE"""),"-")</f>
        <v>-</v>
      </c>
      <c r="K332" s="3" t="str">
        <f>IFERROR(__xludf.DUMMYFUNCTION("""COMPUTED_VALUE"""),"-")</f>
        <v>-</v>
      </c>
    </row>
    <row r="333">
      <c r="A333" s="3" t="str">
        <f>IFERROR(__xludf.DUMMYFUNCTION("""COMPUTED_VALUE"""),"MRNRO0030")</f>
        <v>MRNRO0030</v>
      </c>
      <c r="B333" s="4">
        <f>IFERROR(__xludf.DUMMYFUNCTION("""COMPUTED_VALUE"""),45876.36128729167)</f>
        <v>45876.36129</v>
      </c>
      <c r="C333" s="3">
        <f>IFERROR(__xludf.DUMMYFUNCTION("""COMPUTED_VALUE"""),45880.362379872684)</f>
        <v>45880.36238</v>
      </c>
      <c r="D333" s="3" t="str">
        <f>IFERROR(__xludf.DUMMYFUNCTION("""COMPUTED_VALUE"""),"Ruang GC lab")</f>
        <v>Ruang GC lab</v>
      </c>
      <c r="E333" s="3" t="str">
        <f>IFERROR(__xludf.DUMMYFUNCTION("""COMPUTED_VALUE"""),"EJO/2025/07/42")</f>
        <v>EJO/2025/07/42</v>
      </c>
      <c r="F333" s="3" t="str">
        <f>IFERROR(__xludf.DUMMYFUNCTION("""COMPUTED_VALUE"""),"Selector Switch 22mm On-Off XPB22-22A Fort; ; ;")</f>
        <v>Selector Switch 22mm On-Off XPB22-22A Fort; ; ;</v>
      </c>
      <c r="G333" s="3">
        <f>IFERROR(__xludf.DUMMYFUNCTION("""COMPUTED_VALUE"""),1.0)</f>
        <v>1</v>
      </c>
      <c r="H333" s="3" t="str">
        <f>IFERROR(__xludf.DUMMYFUNCTION("""COMPUTED_VALUE"""),"pcs")</f>
        <v>pcs</v>
      </c>
      <c r="I333" s="3" t="str">
        <f>IFERROR(__xludf.DUMMYFUNCTION("""COMPUTED_VALUE"""),"Deliver")</f>
        <v>Deliver</v>
      </c>
      <c r="J333" s="3" t="str">
        <f>IFERROR(__xludf.DUMMYFUNCTION("""COMPUTED_VALUE"""),"-")</f>
        <v>-</v>
      </c>
      <c r="K333" s="3" t="str">
        <f>IFERROR(__xludf.DUMMYFUNCTION("""COMPUTED_VALUE"""),"-")</f>
        <v>-</v>
      </c>
    </row>
    <row r="334">
      <c r="A334" s="3" t="str">
        <f>IFERROR(__xludf.DUMMYFUNCTION("""COMPUTED_VALUE"""),"MOBRO0056")</f>
        <v>MOBRO0056</v>
      </c>
      <c r="B334" s="4">
        <f>IFERROR(__xludf.DUMMYFUNCTION("""COMPUTED_VALUE"""),45880.72706641204)</f>
        <v>45880.72707</v>
      </c>
      <c r="C334" s="3">
        <f>IFERROR(__xludf.DUMMYFUNCTION("""COMPUTED_VALUE"""),45887.40840944444)</f>
        <v>45887.40841</v>
      </c>
      <c r="D334" s="3" t="str">
        <f>IFERROR(__xludf.DUMMYFUNCTION("""COMPUTED_VALUE"""),"Support Part")</f>
        <v>Support Part</v>
      </c>
      <c r="E334" s="3" t="str">
        <f>IFERROR(__xludf.DUMMYFUNCTION("""COMPUTED_VALUE"""),"-")</f>
        <v>-</v>
      </c>
      <c r="F334" s="3" t="str">
        <f>IFERROR(__xludf.DUMMYFUNCTION("""COMPUTED_VALUE"""),"Container Box; Claris; ;")</f>
        <v>Container Box; Claris; ;</v>
      </c>
      <c r="G334" s="3">
        <f>IFERROR(__xludf.DUMMYFUNCTION("""COMPUTED_VALUE"""),5.0)</f>
        <v>5</v>
      </c>
      <c r="H334" s="3" t="str">
        <f>IFERROR(__xludf.DUMMYFUNCTION("""COMPUTED_VALUE"""),"Pcs")</f>
        <v>Pcs</v>
      </c>
      <c r="I334" s="3" t="str">
        <f>IFERROR(__xludf.DUMMYFUNCTION("""COMPUTED_VALUE"""),"Deliver")</f>
        <v>Deliver</v>
      </c>
      <c r="J334" s="3" t="str">
        <f>IFERROR(__xludf.DUMMYFUNCTION("""COMPUTED_VALUE"""),"-")</f>
        <v>-</v>
      </c>
      <c r="K334" s="3" t="str">
        <f>IFERROR(__xludf.DUMMYFUNCTION("""COMPUTED_VALUE"""),"-")</f>
        <v>-</v>
      </c>
    </row>
    <row r="335">
      <c r="A335" s="3" t="str">
        <f>IFERROR(__xludf.DUMMYFUNCTION("""COMPUTED_VALUE"""),"RIARO0048")</f>
        <v>RIARO0048</v>
      </c>
      <c r="B335" s="4">
        <f>IFERROR(__xludf.DUMMYFUNCTION("""COMPUTED_VALUE"""),45883.96953244213)</f>
        <v>45883.96953</v>
      </c>
      <c r="C335" s="3">
        <f>IFERROR(__xludf.DUMMYFUNCTION("""COMPUTED_VALUE"""),45887.408651412035)</f>
        <v>45887.40865</v>
      </c>
      <c r="D335" s="3" t="str">
        <f>IFERROR(__xludf.DUMMYFUNCTION("""COMPUTED_VALUE"""),"EF C1-21")</f>
        <v>EF C1-21</v>
      </c>
      <c r="E335" s="3" t="str">
        <f>IFERROR(__xludf.DUMMYFUNCTION("""COMPUTED_VALUE"""),"-")</f>
        <v>-</v>
      </c>
      <c r="F335" s="3" t="str">
        <f>IFERROR(__xludf.DUMMYFUNCTION("""COMPUTED_VALUE"""),"SPA 1120 Brand : Optibelt / Bando Merah; Optibelt; ;")</f>
        <v>SPA 1120 Brand : Optibelt / Bando Merah; Optibelt; ;</v>
      </c>
      <c r="G335" s="3">
        <f>IFERROR(__xludf.DUMMYFUNCTION("""COMPUTED_VALUE"""),5.0)</f>
        <v>5</v>
      </c>
      <c r="H335" s="3" t="str">
        <f>IFERROR(__xludf.DUMMYFUNCTION("""COMPUTED_VALUE"""),"Pcs")</f>
        <v>Pcs</v>
      </c>
      <c r="I335" s="3" t="str">
        <f>IFERROR(__xludf.DUMMYFUNCTION("""COMPUTED_VALUE"""),"Deliver")</f>
        <v>Deliver</v>
      </c>
      <c r="J335" s="3" t="str">
        <f>IFERROR(__xludf.DUMMYFUNCTION("""COMPUTED_VALUE"""),"-")</f>
        <v>-</v>
      </c>
      <c r="K335" s="3" t="str">
        <f>IFERROR(__xludf.DUMMYFUNCTION("""COMPUTED_VALUE"""),"-")</f>
        <v>-</v>
      </c>
    </row>
    <row r="336">
      <c r="A336" s="3" t="str">
        <f>IFERROR(__xludf.DUMMYFUNCTION("""COMPUTED_VALUE"""),"RIARO0049")</f>
        <v>RIARO0049</v>
      </c>
      <c r="B336" s="4">
        <f>IFERROR(__xludf.DUMMYFUNCTION("""COMPUTED_VALUE"""),45883.970259560185)</f>
        <v>45883.97026</v>
      </c>
      <c r="C336" s="3">
        <f>IFERROR(__xludf.DUMMYFUNCTION("""COMPUTED_VALUE"""),45887.41637209491)</f>
        <v>45887.41637</v>
      </c>
      <c r="D336" s="3" t="str">
        <f>IFERROR(__xludf.DUMMYFUNCTION("""COMPUTED_VALUE"""),"UPS 40KVA")</f>
        <v>UPS 40KVA</v>
      </c>
      <c r="E336" s="3" t="str">
        <f>IFERROR(__xludf.DUMMYFUNCTION("""COMPUTED_VALUE"""),"-")</f>
        <v>-</v>
      </c>
      <c r="F336" s="3" t="str">
        <f>IFERROR(__xludf.DUMMYFUNCTION("""COMPUTED_VALUE"""),"General - Accu 6FM40, Baterai Kering, 12 V, 40 Ah; Vision; -; 1 pcs")</f>
        <v>General - Accu 6FM40, Baterai Kering, 12 V, 40 Ah; Vision; -; 1 pcs</v>
      </c>
      <c r="G336" s="3">
        <f>IFERROR(__xludf.DUMMYFUNCTION("""COMPUTED_VALUE"""),20.0)</f>
        <v>20</v>
      </c>
      <c r="H336" s="3" t="str">
        <f>IFERROR(__xludf.DUMMYFUNCTION("""COMPUTED_VALUE"""),"Pcs")</f>
        <v>Pcs</v>
      </c>
      <c r="I336" s="3" t="str">
        <f>IFERROR(__xludf.DUMMYFUNCTION("""COMPUTED_VALUE"""),"Deliver")</f>
        <v>Deliver</v>
      </c>
      <c r="J336" s="3" t="str">
        <f>IFERROR(__xludf.DUMMYFUNCTION("""COMPUTED_VALUE"""),"-")</f>
        <v>-</v>
      </c>
      <c r="K336" s="3" t="str">
        <f>IFERROR(__xludf.DUMMYFUNCTION("""COMPUTED_VALUE"""),"-")</f>
        <v>-</v>
      </c>
    </row>
    <row r="337">
      <c r="A337" s="3" t="str">
        <f>IFERROR(__xludf.DUMMYFUNCTION("""COMPUTED_VALUE"""),"MOBRO0057")</f>
        <v>MOBRO0057</v>
      </c>
      <c r="B337" s="4">
        <f>IFERROR(__xludf.DUMMYFUNCTION("""COMPUTED_VALUE"""),45888.92774290509)</f>
        <v>45888.92774</v>
      </c>
      <c r="C337" s="3">
        <f>IFERROR(__xludf.DUMMYFUNCTION("""COMPUTED_VALUE"""),45890.956928750005)</f>
        <v>45890.95693</v>
      </c>
      <c r="D337" s="3" t="str">
        <f>IFERROR(__xludf.DUMMYFUNCTION("""COMPUTED_VALUE"""),"FD")</f>
        <v>FD</v>
      </c>
      <c r="E337" s="3" t="str">
        <f>IFERROR(__xludf.DUMMYFUNCTION("""COMPUTED_VALUE"""),"EJO/2025/07/59")</f>
        <v>EJO/2025/07/59</v>
      </c>
      <c r="F337" s="3" t="str">
        <f>IFERROR(__xludf.DUMMYFUNCTION("""COMPUTED_VALUE"""),"Sparepart Maintenance Kit SRV66 Size 1-2 Inch (0,8 - 2,5 barg); Spirax Sarco; 6404141UA-1;")</f>
        <v>Sparepart Maintenance Kit SRV66 Size 1-2 Inch (0,8 - 2,5 barg); Spirax Sarco; 6404141UA-1;</v>
      </c>
      <c r="G337" s="3">
        <f>IFERROR(__xludf.DUMMYFUNCTION("""COMPUTED_VALUE"""),2.0)</f>
        <v>2</v>
      </c>
      <c r="H337" s="3" t="str">
        <f>IFERROR(__xludf.DUMMYFUNCTION("""COMPUTED_VALUE"""),"Pcs")</f>
        <v>Pcs</v>
      </c>
      <c r="I337" s="3" t="str">
        <f>IFERROR(__xludf.DUMMYFUNCTION("""COMPUTED_VALUE"""),"Deliver")</f>
        <v>Deliver</v>
      </c>
      <c r="J337" s="3" t="str">
        <f>IFERROR(__xludf.DUMMYFUNCTION("""COMPUTED_VALUE"""),"-")</f>
        <v>-</v>
      </c>
      <c r="K337" s="3" t="str">
        <f>IFERROR(__xludf.DUMMYFUNCTION("""COMPUTED_VALUE"""),"-")</f>
        <v>-</v>
      </c>
    </row>
    <row r="338">
      <c r="A338" s="3" t="str">
        <f>IFERROR(__xludf.DUMMYFUNCTION("""COMPUTED_VALUE"""),"RIARO0050")</f>
        <v>RIARO0050</v>
      </c>
      <c r="B338" s="4">
        <f>IFERROR(__xludf.DUMMYFUNCTION("""COMPUTED_VALUE"""),45889.52683224537)</f>
        <v>45889.52683</v>
      </c>
      <c r="C338" s="3">
        <f>IFERROR(__xludf.DUMMYFUNCTION("""COMPUTED_VALUE"""),45890.960550625)</f>
        <v>45890.96055</v>
      </c>
      <c r="D338" s="3" t="str">
        <f>IFERROR(__xludf.DUMMYFUNCTION("""COMPUTED_VALUE"""),"UPS 20KVA")</f>
        <v>UPS 20KVA</v>
      </c>
      <c r="E338" s="3" t="str">
        <f>IFERROR(__xludf.DUMMYFUNCTION("""COMPUTED_VALUE"""),"-")</f>
        <v>-</v>
      </c>
      <c r="F338" s="3" t="str">
        <f>IFERROR(__xludf.DUMMYFUNCTION("""COMPUTED_VALUE"""),"General - Accu NP9-12, Baterai Kering, 12 V, 9 Ah; Yuasa; -; 1 pcs")</f>
        <v>General - Accu NP9-12, Baterai Kering, 12 V, 9 Ah; Yuasa; -; 1 pcs</v>
      </c>
      <c r="G338" s="3">
        <f>IFERROR(__xludf.DUMMYFUNCTION("""COMPUTED_VALUE"""),32.0)</f>
        <v>32</v>
      </c>
      <c r="H338" s="3" t="str">
        <f>IFERROR(__xludf.DUMMYFUNCTION("""COMPUTED_VALUE"""),"Pcs")</f>
        <v>Pcs</v>
      </c>
      <c r="I338" s="3" t="str">
        <f>IFERROR(__xludf.DUMMYFUNCTION("""COMPUTED_VALUE"""),"Deliver")</f>
        <v>Deliver</v>
      </c>
      <c r="J338" s="3" t="str">
        <f>IFERROR(__xludf.DUMMYFUNCTION("""COMPUTED_VALUE"""),"-")</f>
        <v>-</v>
      </c>
      <c r="K338" s="3" t="str">
        <f>IFERROR(__xludf.DUMMYFUNCTION("""COMPUTED_VALUE"""),"-")</f>
        <v>-</v>
      </c>
    </row>
    <row r="339">
      <c r="A339" s="3" t="str">
        <f>IFERROR(__xludf.DUMMYFUNCTION("""COMPUTED_VALUE"""),"MRNRO0031")</f>
        <v>MRNRO0031</v>
      </c>
      <c r="B339" s="4">
        <f>IFERROR(__xludf.DUMMYFUNCTION("""COMPUTED_VALUE"""),45890.59899346065)</f>
        <v>45890.59899</v>
      </c>
      <c r="C339" s="3">
        <f>IFERROR(__xludf.DUMMYFUNCTION("""COMPUTED_VALUE"""),45890.963271898145)</f>
        <v>45890.96327</v>
      </c>
      <c r="D339" s="3" t="str">
        <f>IFERROR(__xludf.DUMMYFUNCTION("""COMPUTED_VALUE"""),"Pipa chiller")</f>
        <v>Pipa chiller</v>
      </c>
      <c r="E339" s="3" t="str">
        <f>IFERROR(__xludf.DUMMYFUNCTION("""COMPUTED_VALUE"""),"EJO/2025/01/13")</f>
        <v>EJO/2025/01/13</v>
      </c>
      <c r="F339" s="3" t="str">
        <f>IFERROR(__xludf.DUMMYFUNCTION("""COMPUTED_VALUE"""),"LEM, K-FLEX, 1 CAN : 2.6LTR")</f>
        <v>LEM, K-FLEX, 1 CAN : 2.6LTR</v>
      </c>
      <c r="G339" s="3">
        <f>IFERROR(__xludf.DUMMYFUNCTION("""COMPUTED_VALUE"""),2.0)</f>
        <v>2</v>
      </c>
      <c r="H339" s="3" t="str">
        <f>IFERROR(__xludf.DUMMYFUNCTION("""COMPUTED_VALUE"""),"pcs")</f>
        <v>pcs</v>
      </c>
      <c r="I339" s="3" t="str">
        <f>IFERROR(__xludf.DUMMYFUNCTION("""COMPUTED_VALUE"""),"Deliver")</f>
        <v>Deliver</v>
      </c>
      <c r="J339" s="3" t="str">
        <f>IFERROR(__xludf.DUMMYFUNCTION("""COMPUTED_VALUE"""),"-")</f>
        <v>-</v>
      </c>
      <c r="K339" s="3" t="str">
        <f>IFERROR(__xludf.DUMMYFUNCTION("""COMPUTED_VALUE"""),"-")</f>
        <v>-</v>
      </c>
    </row>
    <row r="340">
      <c r="A340" s="3" t="str">
        <f>IFERROR(__xludf.DUMMYFUNCTION("""COMPUTED_VALUE"""),"MRNRO0032")</f>
        <v>MRNRO0032</v>
      </c>
      <c r="B340" s="4">
        <f>IFERROR(__xludf.DUMMYFUNCTION("""COMPUTED_VALUE"""),45890.60302190972)</f>
        <v>45890.60302</v>
      </c>
      <c r="C340" s="3">
        <f>IFERROR(__xludf.DUMMYFUNCTION("""COMPUTED_VALUE"""),45890.963934178246)</f>
        <v>45890.96393</v>
      </c>
      <c r="D340" s="3" t="str">
        <f>IFERROR(__xludf.DUMMYFUNCTION("""COMPUTED_VALUE"""),"Pipa chiller")</f>
        <v>Pipa chiller</v>
      </c>
      <c r="E340" s="3" t="str">
        <f>IFERROR(__xludf.DUMMYFUNCTION("""COMPUTED_VALUE"""),"EJO/2025/01/13")</f>
        <v>EJO/2025/01/13</v>
      </c>
      <c r="F340" s="3" t="str">
        <f>IFERROR(__xludf.DUMMYFUNCTION("""COMPUTED_VALUE"""),"LEM ISOLASI, ARMAFLEX, 1 CAN")</f>
        <v>LEM ISOLASI, ARMAFLEX, 1 CAN</v>
      </c>
      <c r="G340" s="3">
        <f>IFERROR(__xludf.DUMMYFUNCTION("""COMPUTED_VALUE"""),2.0)</f>
        <v>2</v>
      </c>
      <c r="H340" s="3" t="str">
        <f>IFERROR(__xludf.DUMMYFUNCTION("""COMPUTED_VALUE"""),"pcs")</f>
        <v>pcs</v>
      </c>
      <c r="I340" s="3" t="str">
        <f>IFERROR(__xludf.DUMMYFUNCTION("""COMPUTED_VALUE"""),"Deliver")</f>
        <v>Deliver</v>
      </c>
      <c r="J340" s="3" t="str">
        <f>IFERROR(__xludf.DUMMYFUNCTION("""COMPUTED_VALUE"""),"-")</f>
        <v>-</v>
      </c>
      <c r="K340" s="3" t="str">
        <f>IFERROR(__xludf.DUMMYFUNCTION("""COMPUTED_VALUE"""),"-")</f>
        <v>-</v>
      </c>
    </row>
    <row r="341">
      <c r="A341" s="3" t="str">
        <f>IFERROR(__xludf.DUMMYFUNCTION("""COMPUTED_VALUE"""),"SFHRO0014")</f>
        <v>SFHRO0014</v>
      </c>
      <c r="B341" s="4">
        <f>IFERROR(__xludf.DUMMYFUNCTION("""COMPUTED_VALUE"""),45894.66047828704)</f>
        <v>45894.66048</v>
      </c>
      <c r="C341" s="3">
        <f>IFERROR(__xludf.DUMMYFUNCTION("""COMPUTED_VALUE"""),45895.61407887732)</f>
        <v>45895.61408</v>
      </c>
      <c r="D341" s="3" t="str">
        <f>IFERROR(__xludf.DUMMYFUNCTION("""COMPUTED_VALUE"""),"lantai 1")</f>
        <v>lantai 1</v>
      </c>
      <c r="E341" s="3" t="str">
        <f>IFERROR(__xludf.DUMMYFUNCTION("""COMPUTED_VALUE"""),"EJO/2025/08/42")</f>
        <v>EJO/2025/08/42</v>
      </c>
      <c r="F341" s="3" t="str">
        <f>IFERROR(__xludf.DUMMYFUNCTION("""COMPUTED_VALUE"""),"Kaca Cermin; Lokal; Ukuran custom; pack size per pcs")</f>
        <v>Kaca Cermin; Lokal; Ukuran custom; pack size per pcs</v>
      </c>
      <c r="G341" s="3">
        <f>IFERROR(__xludf.DUMMYFUNCTION("""COMPUTED_VALUE"""),2.0)</f>
        <v>2</v>
      </c>
      <c r="H341" s="3" t="str">
        <f>IFERROR(__xludf.DUMMYFUNCTION("""COMPUTED_VALUE"""),"pcs")</f>
        <v>pcs</v>
      </c>
      <c r="I341" s="3" t="str">
        <f>IFERROR(__xludf.DUMMYFUNCTION("""COMPUTED_VALUE"""),"Deliver")</f>
        <v>Deliver</v>
      </c>
      <c r="J341" s="3" t="str">
        <f>IFERROR(__xludf.DUMMYFUNCTION("""COMPUTED_VALUE"""),"-")</f>
        <v>-</v>
      </c>
      <c r="K341" s="3" t="str">
        <f>IFERROR(__xludf.DUMMYFUNCTION("""COMPUTED_VALUE"""),"-")</f>
        <v>-</v>
      </c>
    </row>
    <row r="342">
      <c r="A342" s="3" t="str">
        <f>IFERROR(__xludf.DUMMYFUNCTION("""COMPUTED_VALUE"""),"SFHRO0016")</f>
        <v>SFHRO0016</v>
      </c>
      <c r="B342" s="4">
        <f>IFERROR(__xludf.DUMMYFUNCTION("""COMPUTED_VALUE"""),45896.67039060185)</f>
        <v>45896.67039</v>
      </c>
      <c r="C342" s="3">
        <f>IFERROR(__xludf.DUMMYFUNCTION("""COMPUTED_VALUE"""),45901.85455986111)</f>
        <v>45901.85456</v>
      </c>
      <c r="D342" s="3" t="str">
        <f>IFERROR(__xludf.DUMMYFUNCTION("""COMPUTED_VALUE"""),"lantai 2")</f>
        <v>lantai 2</v>
      </c>
      <c r="E342" s="3" t="str">
        <f>IFERROR(__xludf.DUMMYFUNCTION("""COMPUTED_VALUE"""),"-")</f>
        <v>-</v>
      </c>
      <c r="F342" s="3" t="str">
        <f>IFERROR(__xludf.DUMMYFUNCTION("""COMPUTED_VALUE"""),"Polyurethane (PU) Foam Sealent Spray; No Brand; LX-100; pack size 750 ml per botol")</f>
        <v>Polyurethane (PU) Foam Sealent Spray; No Brand; LX-100; pack size 750 ml per botol</v>
      </c>
      <c r="G342" s="3">
        <f>IFERROR(__xludf.DUMMYFUNCTION("""COMPUTED_VALUE"""),50.0)</f>
        <v>50</v>
      </c>
      <c r="H342" s="3" t="str">
        <f>IFERROR(__xludf.DUMMYFUNCTION("""COMPUTED_VALUE"""),"pcs")</f>
        <v>pcs</v>
      </c>
      <c r="I342" s="3" t="str">
        <f>IFERROR(__xludf.DUMMYFUNCTION("""COMPUTED_VALUE"""),"Deliver")</f>
        <v>Deliver</v>
      </c>
      <c r="J342" s="3" t="str">
        <f>IFERROR(__xludf.DUMMYFUNCTION("""COMPUTED_VALUE"""),"-")</f>
        <v>-</v>
      </c>
      <c r="K342" s="3" t="str">
        <f>IFERROR(__xludf.DUMMYFUNCTION("""COMPUTED_VALUE"""),"-")</f>
        <v>-</v>
      </c>
    </row>
    <row r="343">
      <c r="A343" s="3" t="str">
        <f>IFERROR(__xludf.DUMMYFUNCTION("""COMPUTED_VALUE"""),"MOBRO0060")</f>
        <v>MOBRO0060</v>
      </c>
      <c r="B343" s="4">
        <f>IFERROR(__xludf.DUMMYFUNCTION("""COMPUTED_VALUE"""),45898.39283141204)</f>
        <v>45898.39283</v>
      </c>
      <c r="C343" s="3">
        <f>IFERROR(__xludf.DUMMYFUNCTION("""COMPUTED_VALUE"""),45901.85920730324)</f>
        <v>45901.85921</v>
      </c>
      <c r="D343" s="3" t="str">
        <f>IFERROR(__xludf.DUMMYFUNCTION("""COMPUTED_VALUE"""),"Water System")</f>
        <v>Water System</v>
      </c>
      <c r="E343" s="3" t="str">
        <f>IFERROR(__xludf.DUMMYFUNCTION("""COMPUTED_VALUE"""),"-")</f>
        <v>-</v>
      </c>
      <c r="F343" s="3" t="str">
        <f>IFERROR(__xludf.DUMMYFUNCTION("""COMPUTED_VALUE"""),"PAPER RECORD YOKOGAWA; FOLDING CHART B9565AW")</f>
        <v>PAPER RECORD YOKOGAWA; FOLDING CHART B9565AW</v>
      </c>
      <c r="G343" s="3">
        <f>IFERROR(__xludf.DUMMYFUNCTION("""COMPUTED_VALUE"""),10.0)</f>
        <v>10</v>
      </c>
      <c r="H343" s="3" t="str">
        <f>IFERROR(__xludf.DUMMYFUNCTION("""COMPUTED_VALUE"""),"Pcs")</f>
        <v>Pcs</v>
      </c>
      <c r="I343" s="3" t="str">
        <f>IFERROR(__xludf.DUMMYFUNCTION("""COMPUTED_VALUE"""),"Deliver")</f>
        <v>Deliver</v>
      </c>
      <c r="J343" s="3" t="str">
        <f>IFERROR(__xludf.DUMMYFUNCTION("""COMPUTED_VALUE"""),"-")</f>
        <v>-</v>
      </c>
      <c r="K343" s="3" t="str">
        <f>IFERROR(__xludf.DUMMYFUNCTION("""COMPUTED_VALUE"""),"-")</f>
        <v>-</v>
      </c>
    </row>
    <row r="344">
      <c r="A344" s="3" t="str">
        <f>IFERROR(__xludf.DUMMYFUNCTION("""COMPUTED_VALUE"""),"SFHRO0017")</f>
        <v>SFHRO0017</v>
      </c>
      <c r="B344" s="4">
        <f>IFERROR(__xludf.DUMMYFUNCTION("""COMPUTED_VALUE"""),45901.50169790509)</f>
        <v>45901.5017</v>
      </c>
      <c r="C344" s="3">
        <f>IFERROR(__xludf.DUMMYFUNCTION("""COMPUTED_VALUE"""),45901.85939091435)</f>
        <v>45901.85939</v>
      </c>
      <c r="D344" s="3" t="str">
        <f>IFERROR(__xludf.DUMMYFUNCTION("""COMPUTED_VALUE"""),"lantai 2")</f>
        <v>lantai 2</v>
      </c>
      <c r="E344" s="3" t="str">
        <f>IFERROR(__xludf.DUMMYFUNCTION("""COMPUTED_VALUE"""),"-")</f>
        <v>-</v>
      </c>
      <c r="F344" s="3" t="str">
        <f>IFERROR(__xludf.DUMMYFUNCTION("""COMPUTED_VALUE"""),"Silicone Sealant;Silglaze;Type N10 Light Grey;pack size per pcs")</f>
        <v>Silicone Sealant;Silglaze;Type N10 Light Grey;pack size per pcs</v>
      </c>
      <c r="G344" s="3">
        <f>IFERROR(__xludf.DUMMYFUNCTION("""COMPUTED_VALUE"""),10.0)</f>
        <v>10</v>
      </c>
      <c r="H344" s="3" t="str">
        <f>IFERROR(__xludf.DUMMYFUNCTION("""COMPUTED_VALUE"""),"pcs")</f>
        <v>pcs</v>
      </c>
      <c r="I344" s="3" t="str">
        <f>IFERROR(__xludf.DUMMYFUNCTION("""COMPUTED_VALUE"""),"Deliver")</f>
        <v>Deliver</v>
      </c>
      <c r="J344" s="3" t="str">
        <f>IFERROR(__xludf.DUMMYFUNCTION("""COMPUTED_VALUE"""),"-")</f>
        <v>-</v>
      </c>
      <c r="K344" s="3" t="str">
        <f>IFERROR(__xludf.DUMMYFUNCTION("""COMPUTED_VALUE"""),"-")</f>
        <v>-</v>
      </c>
    </row>
    <row r="345">
      <c r="A345" s="3" t="str">
        <f>IFERROR(__xludf.DUMMYFUNCTION("""COMPUTED_VALUE"""),"SFHRO0018")</f>
        <v>SFHRO0018</v>
      </c>
      <c r="B345" s="4">
        <f>IFERROR(__xludf.DUMMYFUNCTION("""COMPUTED_VALUE"""),45901.50193063657)</f>
        <v>45901.50193</v>
      </c>
      <c r="C345" s="3">
        <f>IFERROR(__xludf.DUMMYFUNCTION("""COMPUTED_VALUE"""),45901.859574988426)</f>
        <v>45901.85957</v>
      </c>
      <c r="D345" s="3" t="str">
        <f>IFERROR(__xludf.DUMMYFUNCTION("""COMPUTED_VALUE"""),"lantai 2")</f>
        <v>lantai 2</v>
      </c>
      <c r="E345" s="3" t="str">
        <f>IFERROR(__xludf.DUMMYFUNCTION("""COMPUTED_VALUE"""),"-")</f>
        <v>-</v>
      </c>
      <c r="F345" s="3" t="str">
        <f>IFERROR(__xludf.DUMMYFUNCTION("""COMPUTED_VALUE"""),"Silicone Sealant, Silglaze, Type N10 Grey, pack size per pcs")</f>
        <v>Silicone Sealant, Silglaze, Type N10 Grey, pack size per pcs</v>
      </c>
      <c r="G345" s="3">
        <f>IFERROR(__xludf.DUMMYFUNCTION("""COMPUTED_VALUE"""),10.0)</f>
        <v>10</v>
      </c>
      <c r="H345" s="3" t="str">
        <f>IFERROR(__xludf.DUMMYFUNCTION("""COMPUTED_VALUE"""),"pcs")</f>
        <v>pcs</v>
      </c>
      <c r="I345" s="3" t="str">
        <f>IFERROR(__xludf.DUMMYFUNCTION("""COMPUTED_VALUE"""),"Deliver")</f>
        <v>Deliver</v>
      </c>
      <c r="J345" s="3" t="str">
        <f>IFERROR(__xludf.DUMMYFUNCTION("""COMPUTED_VALUE"""),"-")</f>
        <v>-</v>
      </c>
      <c r="K345" s="3" t="str">
        <f>IFERROR(__xludf.DUMMYFUNCTION("""COMPUTED_VALUE"""),"-")</f>
        <v>-</v>
      </c>
    </row>
    <row r="346">
      <c r="A346" s="3" t="str">
        <f>IFERROR(__xludf.DUMMYFUNCTION("""COMPUTED_VALUE"""),"SFHRO0019")</f>
        <v>SFHRO0019</v>
      </c>
      <c r="B346" s="4">
        <f>IFERROR(__xludf.DUMMYFUNCTION("""COMPUTED_VALUE"""),45901.50270204861)</f>
        <v>45901.5027</v>
      </c>
      <c r="C346" s="3">
        <f>IFERROR(__xludf.DUMMYFUNCTION("""COMPUTED_VALUE"""),45901.859724953705)</f>
        <v>45901.85972</v>
      </c>
      <c r="D346" s="3" t="str">
        <f>IFERROR(__xludf.DUMMYFUNCTION("""COMPUTED_VALUE"""),"lantai 2")</f>
        <v>lantai 2</v>
      </c>
      <c r="E346" s="3" t="str">
        <f>IFERROR(__xludf.DUMMYFUNCTION("""COMPUTED_VALUE"""),"-")</f>
        <v>-</v>
      </c>
      <c r="F346" s="3" t="str">
        <f>IFERROR(__xludf.DUMMYFUNCTION("""COMPUTED_VALUE"""),"Kuas Cat Uk. 1 inch;Eterna;Tipe 611;pack size per pcs")</f>
        <v>Kuas Cat Uk. 1 inch;Eterna;Tipe 611;pack size per pcs</v>
      </c>
      <c r="G346" s="3">
        <f>IFERROR(__xludf.DUMMYFUNCTION("""COMPUTED_VALUE"""),10.0)</f>
        <v>10</v>
      </c>
      <c r="H346" s="3" t="str">
        <f>IFERROR(__xludf.DUMMYFUNCTION("""COMPUTED_VALUE"""),"pcs")</f>
        <v>pcs</v>
      </c>
      <c r="I346" s="3" t="str">
        <f>IFERROR(__xludf.DUMMYFUNCTION("""COMPUTED_VALUE"""),"Deliver")</f>
        <v>Deliver</v>
      </c>
      <c r="J346" s="3" t="str">
        <f>IFERROR(__xludf.DUMMYFUNCTION("""COMPUTED_VALUE"""),"-")</f>
        <v>-</v>
      </c>
      <c r="K346" s="3" t="str">
        <f>IFERROR(__xludf.DUMMYFUNCTION("""COMPUTED_VALUE"""),"-")</f>
        <v>-</v>
      </c>
    </row>
    <row r="347">
      <c r="A347" s="3" t="str">
        <f>IFERROR(__xludf.DUMMYFUNCTION("""COMPUTED_VALUE"""),"NDSRO0007")</f>
        <v>NDSRO0007</v>
      </c>
      <c r="B347" s="4">
        <f>IFERROR(__xludf.DUMMYFUNCTION("""COMPUTED_VALUE"""),45903.62681039352)</f>
        <v>45903.62681</v>
      </c>
      <c r="C347" s="3">
        <f>IFERROR(__xludf.DUMMYFUNCTION("""COMPUTED_VALUE"""),45930.2400319213)</f>
        <v>45930.24003</v>
      </c>
      <c r="D347" s="3" t="str">
        <f>IFERROR(__xludf.DUMMYFUNCTION("""COMPUTED_VALUE"""),"HPLC")</f>
        <v>HPLC</v>
      </c>
      <c r="E347" s="3" t="str">
        <f>IFERROR(__xludf.DUMMYFUNCTION("""COMPUTED_VALUE"""),"-")</f>
        <v>-</v>
      </c>
      <c r="F347" s="3" t="str">
        <f>IFERROR(__xludf.DUMMYFUNCTION("""COMPUTED_VALUE"""),"Performance Plus Check Valve Housing; Waters; 700002332;")</f>
        <v>Performance Plus Check Valve Housing; Waters; 700002332;</v>
      </c>
      <c r="G347" s="3">
        <f>IFERROR(__xludf.DUMMYFUNCTION("""COMPUTED_VALUE"""),3.0)</f>
        <v>3</v>
      </c>
      <c r="H347" s="3" t="str">
        <f>IFERROR(__xludf.DUMMYFUNCTION("""COMPUTED_VALUE"""),"PCS")</f>
        <v>PCS</v>
      </c>
      <c r="I347" s="3" t="str">
        <f>IFERROR(__xludf.DUMMYFUNCTION("""COMPUTED_VALUE"""),"Deliver")</f>
        <v>Deliver</v>
      </c>
      <c r="J347" s="3" t="str">
        <f>IFERROR(__xludf.DUMMYFUNCTION("""COMPUTED_VALUE"""),"-")</f>
        <v>-</v>
      </c>
      <c r="K347" s="3" t="str">
        <f>IFERROR(__xludf.DUMMYFUNCTION("""COMPUTED_VALUE"""),"-")</f>
        <v>-</v>
      </c>
    </row>
    <row r="348">
      <c r="A348" s="3" t="str">
        <f>IFERROR(__xludf.DUMMYFUNCTION("""COMPUTED_VALUE"""),"SFHRO0020")</f>
        <v>SFHRO0020</v>
      </c>
      <c r="B348" s="4">
        <f>IFERROR(__xludf.DUMMYFUNCTION("""COMPUTED_VALUE"""),45910.79408479167)</f>
        <v>45910.79408</v>
      </c>
      <c r="C348" s="3">
        <f>IFERROR(__xludf.DUMMYFUNCTION("""COMPUTED_VALUE"""),45912.41568825232)</f>
        <v>45912.41569</v>
      </c>
      <c r="D348" s="3" t="str">
        <f>IFERROR(__xludf.DUMMYFUNCTION("""COMPUTED_VALUE"""),"lantai 2")</f>
        <v>lantai 2</v>
      </c>
      <c r="E348" s="3" t="str">
        <f>IFERROR(__xludf.DUMMYFUNCTION("""COMPUTED_VALUE"""),"-")</f>
        <v>-</v>
      </c>
      <c r="F348" s="3" t="str">
        <f>IFERROR(__xludf.DUMMYFUNCTION("""COMPUTED_VALUE"""),"Sodium metabisulfit")</f>
        <v>Sodium metabisulfit</v>
      </c>
      <c r="G348" s="3">
        <f>IFERROR(__xludf.DUMMYFUNCTION("""COMPUTED_VALUE"""),5.0)</f>
        <v>5</v>
      </c>
      <c r="H348" s="3" t="str">
        <f>IFERROR(__xludf.DUMMYFUNCTION("""COMPUTED_VALUE"""),"sak")</f>
        <v>sak</v>
      </c>
      <c r="I348" s="3" t="str">
        <f>IFERROR(__xludf.DUMMYFUNCTION("""COMPUTED_VALUE"""),"Deliver")</f>
        <v>Deliver</v>
      </c>
      <c r="J348" s="3" t="str">
        <f>IFERROR(__xludf.DUMMYFUNCTION("""COMPUTED_VALUE"""),"-")</f>
        <v>-</v>
      </c>
      <c r="K348" s="3" t="str">
        <f>IFERROR(__xludf.DUMMYFUNCTION("""COMPUTED_VALUE"""),"-")</f>
        <v>-</v>
      </c>
    </row>
    <row r="349">
      <c r="A349" s="3" t="str">
        <f>IFERROR(__xludf.DUMMYFUNCTION("""COMPUTED_VALUE"""),"MFHRO0178")</f>
        <v>MFHRO0178</v>
      </c>
      <c r="B349" s="4">
        <f>IFERROR(__xludf.DUMMYFUNCTION("""COMPUTED_VALUE"""),45910.92617467592)</f>
        <v>45910.92617</v>
      </c>
      <c r="C349" s="3">
        <f>IFERROR(__xludf.DUMMYFUNCTION("""COMPUTED_VALUE"""),45911.888544155096)</f>
        <v>45911.88854</v>
      </c>
      <c r="D349" s="3" t="str">
        <f>IFERROR(__xludf.DUMMYFUNCTION("""COMPUTED_VALUE"""),"General")</f>
        <v>General</v>
      </c>
      <c r="E349" s="3" t="str">
        <f>IFERROR(__xludf.DUMMYFUNCTION("""COMPUTED_VALUE"""),"-")</f>
        <v>-</v>
      </c>
      <c r="F349" s="3" t="str">
        <f>IFERROR(__xludf.DUMMYFUNCTION("""COMPUTED_VALUE"""),"Cellotape / Lakban Kertas 1 inch warna Putih ; No Brand ; pack size per pcs")</f>
        <v>Cellotape / Lakban Kertas 1 inch warna Putih ; No Brand ; pack size per pcs</v>
      </c>
      <c r="G349" s="3">
        <f>IFERROR(__xludf.DUMMYFUNCTION("""COMPUTED_VALUE"""),40.0)</f>
        <v>40</v>
      </c>
      <c r="H349" s="3" t="str">
        <f>IFERROR(__xludf.DUMMYFUNCTION("""COMPUTED_VALUE"""),"Pieces")</f>
        <v>Pieces</v>
      </c>
      <c r="I349" s="3" t="str">
        <f>IFERROR(__xludf.DUMMYFUNCTION("""COMPUTED_VALUE"""),"Deliver")</f>
        <v>Deliver</v>
      </c>
      <c r="J349" s="3" t="str">
        <f>IFERROR(__xludf.DUMMYFUNCTION("""COMPUTED_VALUE"""),"-")</f>
        <v>-</v>
      </c>
      <c r="K349" s="3" t="str">
        <f>IFERROR(__xludf.DUMMYFUNCTION("""COMPUTED_VALUE"""),"-")</f>
        <v>-</v>
      </c>
    </row>
    <row r="350">
      <c r="A350" s="3" t="str">
        <f>IFERROR(__xludf.DUMMYFUNCTION("""COMPUTED_VALUE"""),"MFHRO0179")</f>
        <v>MFHRO0179</v>
      </c>
      <c r="B350" s="4">
        <f>IFERROR(__xludf.DUMMYFUNCTION("""COMPUTED_VALUE"""),45910.93840724537)</f>
        <v>45910.93841</v>
      </c>
      <c r="C350" s="3">
        <f>IFERROR(__xludf.DUMMYFUNCTION("""COMPUTED_VALUE"""),45911.888740625)</f>
        <v>45911.88874</v>
      </c>
      <c r="D350" s="3" t="str">
        <f>IFERROR(__xludf.DUMMYFUNCTION("""COMPUTED_VALUE"""),"Capping")</f>
        <v>Capping</v>
      </c>
      <c r="E350" s="3" t="str">
        <f>IFERROR(__xludf.DUMMYFUNCTION("""COMPUTED_VALUE"""),"-")</f>
        <v>-</v>
      </c>
      <c r="F350" s="3" t="str">
        <f>IFERROR(__xludf.DUMMYFUNCTION("""COMPUTED_VALUE"""),"Capping VCM200 - Adjuster Screw Blade; ; ;")</f>
        <v>Capping VCM200 - Adjuster Screw Blade; ; ;</v>
      </c>
      <c r="G350" s="3">
        <f>IFERROR(__xludf.DUMMYFUNCTION("""COMPUTED_VALUE"""),1.0)</f>
        <v>1</v>
      </c>
      <c r="H350" s="3" t="str">
        <f>IFERROR(__xludf.DUMMYFUNCTION("""COMPUTED_VALUE"""),"Pieces")</f>
        <v>Pieces</v>
      </c>
      <c r="I350" s="3" t="str">
        <f>IFERROR(__xludf.DUMMYFUNCTION("""COMPUTED_VALUE"""),"Deliver")</f>
        <v>Deliver</v>
      </c>
      <c r="J350" s="3" t="str">
        <f>IFERROR(__xludf.DUMMYFUNCTION("""COMPUTED_VALUE"""),"-")</f>
        <v>-</v>
      </c>
      <c r="K350" s="3" t="str">
        <f>IFERROR(__xludf.DUMMYFUNCTION("""COMPUTED_VALUE"""),"-")</f>
        <v>-</v>
      </c>
    </row>
    <row r="351">
      <c r="A351" s="3" t="str">
        <f>IFERROR(__xludf.DUMMYFUNCTION("""COMPUTED_VALUE"""),"MFHRO0180")</f>
        <v>MFHRO0180</v>
      </c>
      <c r="B351" s="4">
        <f>IFERROR(__xludf.DUMMYFUNCTION("""COMPUTED_VALUE"""),45910.93840724537)</f>
        <v>45910.93841</v>
      </c>
      <c r="C351" s="3">
        <f>IFERROR(__xludf.DUMMYFUNCTION("""COMPUTED_VALUE"""),45911.88887222222)</f>
        <v>45911.88887</v>
      </c>
      <c r="D351" s="3" t="str">
        <f>IFERROR(__xludf.DUMMYFUNCTION("""COMPUTED_VALUE"""),"Capping")</f>
        <v>Capping</v>
      </c>
      <c r="E351" s="3" t="str">
        <f>IFERROR(__xludf.DUMMYFUNCTION("""COMPUTED_VALUE"""),"-")</f>
        <v>-</v>
      </c>
      <c r="F351" s="3" t="str">
        <f>IFERROR(__xludf.DUMMYFUNCTION("""COMPUTED_VALUE"""),"Capping VCM200 - Clamp Holder; ; ;")</f>
        <v>Capping VCM200 - Clamp Holder; ; ;</v>
      </c>
      <c r="G351" s="3">
        <f>IFERROR(__xludf.DUMMYFUNCTION("""COMPUTED_VALUE"""),1.0)</f>
        <v>1</v>
      </c>
      <c r="H351" s="3" t="str">
        <f>IFERROR(__xludf.DUMMYFUNCTION("""COMPUTED_VALUE"""),"Pieces")</f>
        <v>Pieces</v>
      </c>
      <c r="I351" s="3" t="str">
        <f>IFERROR(__xludf.DUMMYFUNCTION("""COMPUTED_VALUE"""),"Deliver")</f>
        <v>Deliver</v>
      </c>
      <c r="J351" s="3" t="str">
        <f>IFERROR(__xludf.DUMMYFUNCTION("""COMPUTED_VALUE"""),"-")</f>
        <v>-</v>
      </c>
      <c r="K351" s="3" t="str">
        <f>IFERROR(__xludf.DUMMYFUNCTION("""COMPUTED_VALUE"""),"-")</f>
        <v>-</v>
      </c>
    </row>
    <row r="352">
      <c r="A352" s="3" t="str">
        <f>IFERROR(__xludf.DUMMYFUNCTION("""COMPUTED_VALUE"""),"MFHRO0181")</f>
        <v>MFHRO0181</v>
      </c>
      <c r="B352" s="4">
        <f>IFERROR(__xludf.DUMMYFUNCTION("""COMPUTED_VALUE"""),45910.93841335648)</f>
        <v>45910.93841</v>
      </c>
      <c r="C352" s="3">
        <f>IFERROR(__xludf.DUMMYFUNCTION("""COMPUTED_VALUE"""),45911.889003923614)</f>
        <v>45911.889</v>
      </c>
      <c r="D352" s="3" t="str">
        <f>IFERROR(__xludf.DUMMYFUNCTION("""COMPUTED_VALUE"""),"Capping")</f>
        <v>Capping</v>
      </c>
      <c r="E352" s="3" t="str">
        <f>IFERROR(__xludf.DUMMYFUNCTION("""COMPUTED_VALUE"""),"-")</f>
        <v>-</v>
      </c>
      <c r="F352" s="3" t="str">
        <f>IFERROR(__xludf.DUMMYFUNCTION("""COMPUTED_VALUE"""),"Capping VCM200 - Holder; ; ;")</f>
        <v>Capping VCM200 - Holder; ; ;</v>
      </c>
      <c r="G352" s="3">
        <f>IFERROR(__xludf.DUMMYFUNCTION("""COMPUTED_VALUE"""),1.0)</f>
        <v>1</v>
      </c>
      <c r="H352" s="3" t="str">
        <f>IFERROR(__xludf.DUMMYFUNCTION("""COMPUTED_VALUE"""),"Pieces")</f>
        <v>Pieces</v>
      </c>
      <c r="I352" s="3" t="str">
        <f>IFERROR(__xludf.DUMMYFUNCTION("""COMPUTED_VALUE"""),"Deliver")</f>
        <v>Deliver</v>
      </c>
      <c r="J352" s="3" t="str">
        <f>IFERROR(__xludf.DUMMYFUNCTION("""COMPUTED_VALUE"""),"-")</f>
        <v>-</v>
      </c>
      <c r="K352" s="3" t="str">
        <f>IFERROR(__xludf.DUMMYFUNCTION("""COMPUTED_VALUE"""),"-")</f>
        <v>-</v>
      </c>
    </row>
    <row r="353">
      <c r="A353" s="3" t="str">
        <f>IFERROR(__xludf.DUMMYFUNCTION("""COMPUTED_VALUE"""),"MFHRO0182")</f>
        <v>MFHRO0182</v>
      </c>
      <c r="B353" s="4">
        <f>IFERROR(__xludf.DUMMYFUNCTION("""COMPUTED_VALUE"""),45910.93841335648)</f>
        <v>45910.93841</v>
      </c>
      <c r="C353" s="3">
        <f>IFERROR(__xludf.DUMMYFUNCTION("""COMPUTED_VALUE"""),45911.88912290509)</f>
        <v>45911.88912</v>
      </c>
      <c r="D353" s="3" t="str">
        <f>IFERROR(__xludf.DUMMYFUNCTION("""COMPUTED_VALUE"""),"Capping")</f>
        <v>Capping</v>
      </c>
      <c r="E353" s="3" t="str">
        <f>IFERROR(__xludf.DUMMYFUNCTION("""COMPUTED_VALUE"""),"-")</f>
        <v>-</v>
      </c>
      <c r="F353" s="3" t="str">
        <f>IFERROR(__xludf.DUMMYFUNCTION("""COMPUTED_VALUE"""),"Capping VCM200 - Spring Head; ; ;")</f>
        <v>Capping VCM200 - Spring Head; ; ;</v>
      </c>
      <c r="G353" s="3">
        <f>IFERROR(__xludf.DUMMYFUNCTION("""COMPUTED_VALUE"""),1.0)</f>
        <v>1</v>
      </c>
      <c r="H353" s="3" t="str">
        <f>IFERROR(__xludf.DUMMYFUNCTION("""COMPUTED_VALUE"""),"Pieces")</f>
        <v>Pieces</v>
      </c>
      <c r="I353" s="3" t="str">
        <f>IFERROR(__xludf.DUMMYFUNCTION("""COMPUTED_VALUE"""),"Deliver")</f>
        <v>Deliver</v>
      </c>
      <c r="J353" s="3" t="str">
        <f>IFERROR(__xludf.DUMMYFUNCTION("""COMPUTED_VALUE"""),"-")</f>
        <v>-</v>
      </c>
      <c r="K353" s="3" t="str">
        <f>IFERROR(__xludf.DUMMYFUNCTION("""COMPUTED_VALUE"""),"-")</f>
        <v>-</v>
      </c>
    </row>
    <row r="354">
      <c r="A354" s="3" t="str">
        <f>IFERROR(__xludf.DUMMYFUNCTION("""COMPUTED_VALUE"""),"MFHRO0183")</f>
        <v>MFHRO0183</v>
      </c>
      <c r="B354" s="4">
        <f>IFERROR(__xludf.DUMMYFUNCTION("""COMPUTED_VALUE"""),45910.93842200232)</f>
        <v>45910.93842</v>
      </c>
      <c r="C354" s="3">
        <f>IFERROR(__xludf.DUMMYFUNCTION("""COMPUTED_VALUE"""),45911.88924421296)</f>
        <v>45911.88924</v>
      </c>
      <c r="D354" s="3" t="str">
        <f>IFERROR(__xludf.DUMMYFUNCTION("""COMPUTED_VALUE"""),"Capping")</f>
        <v>Capping</v>
      </c>
      <c r="E354" s="3" t="str">
        <f>IFERROR(__xludf.DUMMYFUNCTION("""COMPUTED_VALUE"""),"-")</f>
        <v>-</v>
      </c>
      <c r="F354" s="3" t="str">
        <f>IFERROR(__xludf.DUMMYFUNCTION("""COMPUTED_VALUE"""),"Capping VCM200 -  Ring Washer; ; ;")</f>
        <v>Capping VCM200 -  Ring Washer; ; ;</v>
      </c>
      <c r="G354" s="3">
        <f>IFERROR(__xludf.DUMMYFUNCTION("""COMPUTED_VALUE"""),1.0)</f>
        <v>1</v>
      </c>
      <c r="H354" s="3" t="str">
        <f>IFERROR(__xludf.DUMMYFUNCTION("""COMPUTED_VALUE"""),"Pieces")</f>
        <v>Pieces</v>
      </c>
      <c r="I354" s="3" t="str">
        <f>IFERROR(__xludf.DUMMYFUNCTION("""COMPUTED_VALUE"""),"Deliver")</f>
        <v>Deliver</v>
      </c>
      <c r="J354" s="3" t="str">
        <f>IFERROR(__xludf.DUMMYFUNCTION("""COMPUTED_VALUE"""),"-")</f>
        <v>-</v>
      </c>
      <c r="K354" s="3" t="str">
        <f>IFERROR(__xludf.DUMMYFUNCTION("""COMPUTED_VALUE"""),"-")</f>
        <v>-</v>
      </c>
    </row>
    <row r="355">
      <c r="A355" s="3" t="str">
        <f>IFERROR(__xludf.DUMMYFUNCTION("""COMPUTED_VALUE"""),"MFHRO0184")</f>
        <v>MFHRO0184</v>
      </c>
      <c r="B355" s="4">
        <f>IFERROR(__xludf.DUMMYFUNCTION("""COMPUTED_VALUE"""),45910.93842200232)</f>
        <v>45910.93842</v>
      </c>
      <c r="C355" s="3">
        <f>IFERROR(__xludf.DUMMYFUNCTION("""COMPUTED_VALUE"""),45911.889376747684)</f>
        <v>45911.88938</v>
      </c>
      <c r="D355" s="3" t="str">
        <f>IFERROR(__xludf.DUMMYFUNCTION("""COMPUTED_VALUE"""),"Capping")</f>
        <v>Capping</v>
      </c>
      <c r="E355" s="3" t="str">
        <f>IFERROR(__xludf.DUMMYFUNCTION("""COMPUTED_VALUE"""),"-")</f>
        <v>-</v>
      </c>
      <c r="F355" s="3" t="str">
        <f>IFERROR(__xludf.DUMMYFUNCTION("""COMPUTED_VALUE"""),"Capping VCM200 - Washer B; ; ;")</f>
        <v>Capping VCM200 - Washer B; ; ;</v>
      </c>
      <c r="G355" s="3">
        <f>IFERROR(__xludf.DUMMYFUNCTION("""COMPUTED_VALUE"""),1.0)</f>
        <v>1</v>
      </c>
      <c r="H355" s="3" t="str">
        <f>IFERROR(__xludf.DUMMYFUNCTION("""COMPUTED_VALUE"""),"Pieces")</f>
        <v>Pieces</v>
      </c>
      <c r="I355" s="3" t="str">
        <f>IFERROR(__xludf.DUMMYFUNCTION("""COMPUTED_VALUE"""),"Deliver")</f>
        <v>Deliver</v>
      </c>
      <c r="J355" s="3" t="str">
        <f>IFERROR(__xludf.DUMMYFUNCTION("""COMPUTED_VALUE"""),"-")</f>
        <v>-</v>
      </c>
      <c r="K355" s="3" t="str">
        <f>IFERROR(__xludf.DUMMYFUNCTION("""COMPUTED_VALUE"""),"-")</f>
        <v>-</v>
      </c>
    </row>
    <row r="356">
      <c r="A356" s="3" t="str">
        <f>IFERROR(__xludf.DUMMYFUNCTION("""COMPUTED_VALUE"""),"MFHRO0185")</f>
        <v>MFHRO0185</v>
      </c>
      <c r="B356" s="4">
        <f>IFERROR(__xludf.DUMMYFUNCTION("""COMPUTED_VALUE"""),45910.93842200232)</f>
        <v>45910.93842</v>
      </c>
      <c r="C356" s="3">
        <f>IFERROR(__xludf.DUMMYFUNCTION("""COMPUTED_VALUE"""),45911.88950502315)</f>
        <v>45911.88951</v>
      </c>
      <c r="D356" s="3" t="str">
        <f>IFERROR(__xludf.DUMMYFUNCTION("""COMPUTED_VALUE"""),"Capping")</f>
        <v>Capping</v>
      </c>
      <c r="E356" s="3" t="str">
        <f>IFERROR(__xludf.DUMMYFUNCTION("""COMPUTED_VALUE"""),"-")</f>
        <v>-</v>
      </c>
      <c r="F356" s="3" t="str">
        <f>IFERROR(__xludf.DUMMYFUNCTION("""COMPUTED_VALUE"""),"Capping VCM200 - Washer A; ; ;")</f>
        <v>Capping VCM200 - Washer A; ; ;</v>
      </c>
      <c r="G356" s="3">
        <f>IFERROR(__xludf.DUMMYFUNCTION("""COMPUTED_VALUE"""),1.0)</f>
        <v>1</v>
      </c>
      <c r="H356" s="3" t="str">
        <f>IFERROR(__xludf.DUMMYFUNCTION("""COMPUTED_VALUE"""),"Pieces")</f>
        <v>Pieces</v>
      </c>
      <c r="I356" s="3" t="str">
        <f>IFERROR(__xludf.DUMMYFUNCTION("""COMPUTED_VALUE"""),"Deliver")</f>
        <v>Deliver</v>
      </c>
      <c r="J356" s="3" t="str">
        <f>IFERROR(__xludf.DUMMYFUNCTION("""COMPUTED_VALUE"""),"-")</f>
        <v>-</v>
      </c>
      <c r="K356" s="3" t="str">
        <f>IFERROR(__xludf.DUMMYFUNCTION("""COMPUTED_VALUE"""),"-")</f>
        <v>-</v>
      </c>
    </row>
    <row r="357">
      <c r="A357" s="3" t="str">
        <f>IFERROR(__xludf.DUMMYFUNCTION("""COMPUTED_VALUE"""),"SFHRO0021")</f>
        <v>SFHRO0021</v>
      </c>
      <c r="B357" s="4">
        <f>IFERROR(__xludf.DUMMYFUNCTION("""COMPUTED_VALUE"""),45912.69110270834)</f>
        <v>45912.6911</v>
      </c>
      <c r="C357" s="3">
        <f>IFERROR(__xludf.DUMMYFUNCTION("""COMPUTED_VALUE"""),45915.682258217596)</f>
        <v>45915.68226</v>
      </c>
      <c r="D357" s="3" t="str">
        <f>IFERROR(__xludf.DUMMYFUNCTION("""COMPUTED_VALUE"""),"lantai 2")</f>
        <v>lantai 2</v>
      </c>
      <c r="E357" s="3" t="str">
        <f>IFERROR(__xludf.DUMMYFUNCTION("""COMPUTED_VALUE"""),"-")</f>
        <v>-</v>
      </c>
      <c r="F357" s="3" t="str">
        <f>IFERROR(__xludf.DUMMYFUNCTION("""COMPUTED_VALUE"""),"General - Lem Adhesive; Superlon; -; 1kg/can")</f>
        <v>General - Lem Adhesive; Superlon; -; 1kg/can</v>
      </c>
      <c r="G357" s="3">
        <f>IFERROR(__xludf.DUMMYFUNCTION("""COMPUTED_VALUE"""),6.0)</f>
        <v>6</v>
      </c>
      <c r="H357" s="3" t="str">
        <f>IFERROR(__xludf.DUMMYFUNCTION("""COMPUTED_VALUE"""),"can")</f>
        <v>can</v>
      </c>
      <c r="I357" s="3" t="str">
        <f>IFERROR(__xludf.DUMMYFUNCTION("""COMPUTED_VALUE"""),"Deliver")</f>
        <v>Deliver</v>
      </c>
      <c r="J357" s="3" t="str">
        <f>IFERROR(__xludf.DUMMYFUNCTION("""COMPUTED_VALUE"""),"-")</f>
        <v>-</v>
      </c>
      <c r="K357" s="3" t="str">
        <f>IFERROR(__xludf.DUMMYFUNCTION("""COMPUTED_VALUE"""),"-")</f>
        <v>-</v>
      </c>
    </row>
    <row r="358">
      <c r="A358" s="3" t="str">
        <f>IFERROR(__xludf.DUMMYFUNCTION("""COMPUTED_VALUE"""),"ANORO0009")</f>
        <v>ANORO0009</v>
      </c>
      <c r="B358" s="4">
        <f>IFERROR(__xludf.DUMMYFUNCTION("""COMPUTED_VALUE"""),45917.94341568287)</f>
        <v>45917.94342</v>
      </c>
      <c r="C358" s="3">
        <f>IFERROR(__xludf.DUMMYFUNCTION("""COMPUTED_VALUE"""),45936.578436550924)</f>
        <v>45936.57844</v>
      </c>
      <c r="D358" s="3" t="str">
        <f>IFERROR(__xludf.DUMMYFUNCTION("""COMPUTED_VALUE"""),"tunnel ")</f>
        <v>tunnel </v>
      </c>
      <c r="E358" s="3" t="str">
        <f>IFERROR(__xludf.DUMMYFUNCTION("""COMPUTED_VALUE"""),"-")</f>
        <v>-</v>
      </c>
      <c r="F358" s="3" t="str">
        <f>IFERROR(__xludf.DUMMYFUNCTION("""COMPUTED_VALUE"""),"Pneumatic Actuator Double Acting-063 Festork; ; ;")</f>
        <v>Pneumatic Actuator Double Acting-063 Festork; ; ;</v>
      </c>
      <c r="G358" s="3">
        <f>IFERROR(__xludf.DUMMYFUNCTION("""COMPUTED_VALUE"""),3.0)</f>
        <v>3</v>
      </c>
      <c r="H358" s="3" t="str">
        <f>IFERROR(__xludf.DUMMYFUNCTION("""COMPUTED_VALUE"""),"PCS")</f>
        <v>PCS</v>
      </c>
      <c r="I358" s="3" t="str">
        <f>IFERROR(__xludf.DUMMYFUNCTION("""COMPUTED_VALUE"""),"Deliver")</f>
        <v>Deliver</v>
      </c>
      <c r="J358" s="3" t="str">
        <f>IFERROR(__xludf.DUMMYFUNCTION("""COMPUTED_VALUE"""),"-")</f>
        <v>-</v>
      </c>
      <c r="K358" s="3" t="str">
        <f>IFERROR(__xludf.DUMMYFUNCTION("""COMPUTED_VALUE"""),"-")</f>
        <v>-</v>
      </c>
    </row>
    <row r="359">
      <c r="A359" s="3" t="str">
        <f>IFERROR(__xludf.DUMMYFUNCTION("""COMPUTED_VALUE"""),"MFHRO0186")</f>
        <v>MFHRO0186</v>
      </c>
      <c r="B359" s="4">
        <f>IFERROR(__xludf.DUMMYFUNCTION("""COMPUTED_VALUE"""),45921.41750222222)</f>
        <v>45921.4175</v>
      </c>
      <c r="C359" s="3">
        <f>IFERROR(__xludf.DUMMYFUNCTION("""COMPUTED_VALUE"""),45921.6902875463)</f>
        <v>45921.69029</v>
      </c>
      <c r="D359" s="3" t="str">
        <f>IFERROR(__xludf.DUMMYFUNCTION("""COMPUTED_VALUE"""),"Autoclave")</f>
        <v>Autoclave</v>
      </c>
      <c r="E359" s="3" t="str">
        <f>IFERROR(__xludf.DUMMYFUNCTION("""COMPUTED_VALUE"""),"-")</f>
        <v>-</v>
      </c>
      <c r="F359" s="3" t="str">
        <f>IFERROR(__xludf.DUMMYFUNCTION("""COMPUTED_VALUE"""),"Fedegari FVA2/A1 - O-RING 34.52x3.53; Code : CC150171; ; ;")</f>
        <v>Fedegari FVA2/A1 - O-RING 34.52x3.53; Code : CC150171; ; ;</v>
      </c>
      <c r="G359" s="3">
        <f>IFERROR(__xludf.DUMMYFUNCTION("""COMPUTED_VALUE"""),18.0)</f>
        <v>18</v>
      </c>
      <c r="H359" s="3" t="str">
        <f>IFERROR(__xludf.DUMMYFUNCTION("""COMPUTED_VALUE"""),"Pcs")</f>
        <v>Pcs</v>
      </c>
      <c r="I359" s="3" t="str">
        <f>IFERROR(__xludf.DUMMYFUNCTION("""COMPUTED_VALUE"""),"Deliver")</f>
        <v>Deliver</v>
      </c>
      <c r="J359" s="3" t="str">
        <f>IFERROR(__xludf.DUMMYFUNCTION("""COMPUTED_VALUE"""),"-")</f>
        <v>-</v>
      </c>
      <c r="K359" s="3" t="str">
        <f>IFERROR(__xludf.DUMMYFUNCTION("""COMPUTED_VALUE"""),"-")</f>
        <v>-</v>
      </c>
    </row>
    <row r="360">
      <c r="A360" s="3" t="str">
        <f>IFERROR(__xludf.DUMMYFUNCTION("""COMPUTED_VALUE"""),"MFHRO0187")</f>
        <v>MFHRO0187</v>
      </c>
      <c r="B360" s="4">
        <f>IFERROR(__xludf.DUMMYFUNCTION("""COMPUTED_VALUE"""),45921.42266859953)</f>
        <v>45921.42267</v>
      </c>
      <c r="C360" s="3">
        <f>IFERROR(__xludf.DUMMYFUNCTION("""COMPUTED_VALUE"""),45921.69039694444)</f>
        <v>45921.6904</v>
      </c>
      <c r="D360" s="3" t="str">
        <f>IFERROR(__xludf.DUMMYFUNCTION("""COMPUTED_VALUE"""),"Washing")</f>
        <v>Washing</v>
      </c>
      <c r="E360" s="3" t="str">
        <f>IFERROR(__xludf.DUMMYFUNCTION("""COMPUTED_VALUE"""),"-")</f>
        <v>-</v>
      </c>
      <c r="F360" s="3" t="str">
        <f>IFERROR(__xludf.DUMMYFUNCTION("""COMPUTED_VALUE"""),"Vent Filter HE Press 6.5 bar, temp. 40C ; Brand : NOVASIP ( PALL ) ; P/N : C3PFRPI , IT09556493 ; Pack Size : pcs")</f>
        <v>Vent Filter HE Press 6.5 bar, temp. 40C ; Brand : NOVASIP ( PALL ) ; P/N : C3PFRPI , IT09556493 ; Pack Size : pcs</v>
      </c>
      <c r="G360" s="3">
        <f>IFERROR(__xludf.DUMMYFUNCTION("""COMPUTED_VALUE"""),2.0)</f>
        <v>2</v>
      </c>
      <c r="H360" s="3" t="str">
        <f>IFERROR(__xludf.DUMMYFUNCTION("""COMPUTED_VALUE"""),"Unit")</f>
        <v>Unit</v>
      </c>
      <c r="I360" s="3" t="str">
        <f>IFERROR(__xludf.DUMMYFUNCTION("""COMPUTED_VALUE"""),"Deliver")</f>
        <v>Deliver</v>
      </c>
      <c r="J360" s="3" t="str">
        <f>IFERROR(__xludf.DUMMYFUNCTION("""COMPUTED_VALUE"""),"-")</f>
        <v>-</v>
      </c>
      <c r="K360" s="3" t="str">
        <f>IFERROR(__xludf.DUMMYFUNCTION("""COMPUTED_VALUE"""),"-")</f>
        <v>-</v>
      </c>
    </row>
    <row r="361">
      <c r="A361" s="3" t="str">
        <f>IFERROR(__xludf.DUMMYFUNCTION("""COMPUTED_VALUE"""),"MFHRO0188")</f>
        <v>MFHRO0188</v>
      </c>
      <c r="B361" s="4">
        <f>IFERROR(__xludf.DUMMYFUNCTION("""COMPUTED_VALUE"""),45921.42266859953)</f>
        <v>45921.42267</v>
      </c>
      <c r="C361" s="3">
        <f>IFERROR(__xludf.DUMMYFUNCTION("""COMPUTED_VALUE"""),45921.690480289355)</f>
        <v>45921.69048</v>
      </c>
      <c r="D361" s="3" t="str">
        <f>IFERROR(__xludf.DUMMYFUNCTION("""COMPUTED_VALUE"""),"Filling")</f>
        <v>Filling</v>
      </c>
      <c r="E361" s="3" t="str">
        <f>IFERROR(__xludf.DUMMYFUNCTION("""COMPUTED_VALUE"""),"-")</f>
        <v>-</v>
      </c>
      <c r="F361" s="3" t="str">
        <f>IFERROR(__xludf.DUMMYFUNCTION("""COMPUTED_VALUE"""),"Ferrule to Hose 1,5 inch x 7mm; ; ;")</f>
        <v>Ferrule to Hose 1,5 inch x 7mm; ; ;</v>
      </c>
      <c r="G361" s="3">
        <f>IFERROR(__xludf.DUMMYFUNCTION("""COMPUTED_VALUE"""),2.0)</f>
        <v>2</v>
      </c>
      <c r="H361" s="3" t="str">
        <f>IFERROR(__xludf.DUMMYFUNCTION("""COMPUTED_VALUE"""),"Pieces")</f>
        <v>Pieces</v>
      </c>
      <c r="I361" s="3" t="str">
        <f>IFERROR(__xludf.DUMMYFUNCTION("""COMPUTED_VALUE"""),"Deliver")</f>
        <v>Deliver</v>
      </c>
      <c r="J361" s="3" t="str">
        <f>IFERROR(__xludf.DUMMYFUNCTION("""COMPUTED_VALUE"""),"-")</f>
        <v>-</v>
      </c>
      <c r="K361" s="3" t="str">
        <f>IFERROR(__xludf.DUMMYFUNCTION("""COMPUTED_VALUE"""),"-")</f>
        <v>-</v>
      </c>
    </row>
    <row r="362">
      <c r="A362" s="3" t="str">
        <f>IFERROR(__xludf.DUMMYFUNCTION("""COMPUTED_VALUE"""),"MFHRO0189")</f>
        <v>MFHRO0189</v>
      </c>
      <c r="B362" s="4">
        <f>IFERROR(__xludf.DUMMYFUNCTION("""COMPUTED_VALUE"""),45921.42267392362)</f>
        <v>45921.42267</v>
      </c>
      <c r="C362" s="3">
        <f>IFERROR(__xludf.DUMMYFUNCTION("""COMPUTED_VALUE"""),45921.69065502315)</f>
        <v>45921.69066</v>
      </c>
      <c r="D362" s="3" t="str">
        <f>IFERROR(__xludf.DUMMYFUNCTION("""COMPUTED_VALUE"""),"Washing")</f>
        <v>Washing</v>
      </c>
      <c r="E362" s="3" t="str">
        <f>IFERROR(__xludf.DUMMYFUNCTION("""COMPUTED_VALUE"""),"-")</f>
        <v>-</v>
      </c>
      <c r="F362" s="3" t="str">
        <f>IFERROR(__xludf.DUMMYFUNCTION("""COMPUTED_VALUE"""),"Washing RAR4 - Pincers Jaws 4 Positions 10R Vial Neck d=15.5 HARRISA CIPTARINDO ENGINEERING, CV. P/N : -  pc")</f>
        <v>Washing RAR4 - Pincers Jaws 4 Positions 10R Vial Neck d=15.5 HARRISA CIPTARINDO ENGINEERING, CV. P/N : -  pc</v>
      </c>
      <c r="G362" s="3">
        <f>IFERROR(__xludf.DUMMYFUNCTION("""COMPUTED_VALUE"""),14.0)</f>
        <v>14</v>
      </c>
      <c r="H362" s="3" t="str">
        <f>IFERROR(__xludf.DUMMYFUNCTION("""COMPUTED_VALUE"""),"Pieces")</f>
        <v>Pieces</v>
      </c>
      <c r="I362" s="3" t="str">
        <f>IFERROR(__xludf.DUMMYFUNCTION("""COMPUTED_VALUE"""),"Deliver")</f>
        <v>Deliver</v>
      </c>
      <c r="J362" s="3" t="str">
        <f>IFERROR(__xludf.DUMMYFUNCTION("""COMPUTED_VALUE"""),"-")</f>
        <v>-</v>
      </c>
      <c r="K362" s="3" t="str">
        <f>IFERROR(__xludf.DUMMYFUNCTION("""COMPUTED_VALUE"""),"-")</f>
        <v>-</v>
      </c>
    </row>
    <row r="363">
      <c r="A363" s="3" t="str">
        <f>IFERROR(__xludf.DUMMYFUNCTION("""COMPUTED_VALUE"""),"MFHRO0190")</f>
        <v>MFHRO0190</v>
      </c>
      <c r="B363" s="4">
        <f>IFERROR(__xludf.DUMMYFUNCTION("""COMPUTED_VALUE"""),45921.42267392362)</f>
        <v>45921.42267</v>
      </c>
      <c r="C363" s="3">
        <f>IFERROR(__xludf.DUMMYFUNCTION("""COMPUTED_VALUE"""),45921.69094118055)</f>
        <v>45921.69094</v>
      </c>
      <c r="D363" s="3" t="str">
        <f>IFERROR(__xludf.DUMMYFUNCTION("""COMPUTED_VALUE"""),"Washing")</f>
        <v>Washing</v>
      </c>
      <c r="E363" s="3" t="str">
        <f>IFERROR(__xludf.DUMMYFUNCTION("""COMPUTED_VALUE"""),"-")</f>
        <v>-</v>
      </c>
      <c r="F363" s="3" t="str">
        <f>IFERROR(__xludf.DUMMYFUNCTION("""COMPUTED_VALUE"""),"Washing RAR4 - Pincers Jaws for Vial 6mL HARRISA CIPTARINDO ENGINEERING, CV. P/N : -  pc")</f>
        <v>Washing RAR4 - Pincers Jaws for Vial 6mL HARRISA CIPTARINDO ENGINEERING, CV. P/N : -  pc</v>
      </c>
      <c r="G363" s="3">
        <f>IFERROR(__xludf.DUMMYFUNCTION("""COMPUTED_VALUE"""),18.0)</f>
        <v>18</v>
      </c>
      <c r="H363" s="3" t="str">
        <f>IFERROR(__xludf.DUMMYFUNCTION("""COMPUTED_VALUE"""),"Pieces")</f>
        <v>Pieces</v>
      </c>
      <c r="I363" s="3" t="str">
        <f>IFERROR(__xludf.DUMMYFUNCTION("""COMPUTED_VALUE"""),"Deliver")</f>
        <v>Deliver</v>
      </c>
      <c r="J363" s="3" t="str">
        <f>IFERROR(__xludf.DUMMYFUNCTION("""COMPUTED_VALUE"""),"-")</f>
        <v>-</v>
      </c>
      <c r="K363" s="3" t="str">
        <f>IFERROR(__xludf.DUMMYFUNCTION("""COMPUTED_VALUE"""),"-")</f>
        <v>-</v>
      </c>
    </row>
    <row r="364">
      <c r="A364" s="3" t="str">
        <f>IFERROR(__xludf.DUMMYFUNCTION("""COMPUTED_VALUE"""),"MFHRO0191")</f>
        <v>MFHRO0191</v>
      </c>
      <c r="B364" s="4">
        <f>IFERROR(__xludf.DUMMYFUNCTION("""COMPUTED_VALUE"""),45921.42267392362)</f>
        <v>45921.42267</v>
      </c>
      <c r="C364" s="3">
        <f>IFERROR(__xludf.DUMMYFUNCTION("""COMPUTED_VALUE"""),45921.69105310185)</f>
        <v>45921.69105</v>
      </c>
      <c r="D364" s="3" t="str">
        <f>IFERROR(__xludf.DUMMYFUNCTION("""COMPUTED_VALUE"""),"Filling")</f>
        <v>Filling</v>
      </c>
      <c r="E364" s="3" t="str">
        <f>IFERROR(__xludf.DUMMYFUNCTION("""COMPUTED_VALUE"""),"-")</f>
        <v>-</v>
      </c>
      <c r="F364" s="3" t="str">
        <f>IFERROR(__xludf.DUMMYFUNCTION("""COMPUTED_VALUE"""),"Filling VFM100 - Base Plate Loadcell 163.5x28x4mm; Custom/Lokal; -; 1 Pc")</f>
        <v>Filling VFM100 - Base Plate Loadcell 163.5x28x4mm; Custom/Lokal; -; 1 Pc</v>
      </c>
      <c r="G364" s="3">
        <f>IFERROR(__xludf.DUMMYFUNCTION("""COMPUTED_VALUE"""),1.0)</f>
        <v>1</v>
      </c>
      <c r="H364" s="3" t="str">
        <f>IFERROR(__xludf.DUMMYFUNCTION("""COMPUTED_VALUE"""),"Pieces")</f>
        <v>Pieces</v>
      </c>
      <c r="I364" s="3" t="str">
        <f>IFERROR(__xludf.DUMMYFUNCTION("""COMPUTED_VALUE"""),"Deliver")</f>
        <v>Deliver</v>
      </c>
      <c r="J364" s="3" t="str">
        <f>IFERROR(__xludf.DUMMYFUNCTION("""COMPUTED_VALUE"""),"-")</f>
        <v>-</v>
      </c>
      <c r="K364" s="3" t="str">
        <f>IFERROR(__xludf.DUMMYFUNCTION("""COMPUTED_VALUE"""),"-")</f>
        <v>-</v>
      </c>
    </row>
    <row r="365">
      <c r="A365" s="3" t="str">
        <f>IFERROR(__xludf.DUMMYFUNCTION("""COMPUTED_VALUE"""),"MFHRO0192")</f>
        <v>MFHRO0192</v>
      </c>
      <c r="B365" s="4">
        <f>IFERROR(__xludf.DUMMYFUNCTION("""COMPUTED_VALUE"""),45921.42268065973)</f>
        <v>45921.42268</v>
      </c>
      <c r="C365" s="3">
        <f>IFERROR(__xludf.DUMMYFUNCTION("""COMPUTED_VALUE"""),45921.69116418982)</f>
        <v>45921.69116</v>
      </c>
      <c r="D365" s="3" t="str">
        <f>IFERROR(__xludf.DUMMYFUNCTION("""COMPUTED_VALUE"""),"Filling")</f>
        <v>Filling</v>
      </c>
      <c r="E365" s="3" t="str">
        <f>IFERROR(__xludf.DUMMYFUNCTION("""COMPUTED_VALUE"""),"-")</f>
        <v>-</v>
      </c>
      <c r="F365" s="3" t="str">
        <f>IFERROR(__xludf.DUMMYFUNCTION("""COMPUTED_VALUE"""),"Filling VFM100 - Adapter Loadcell 30x30x4mm; Custom/Lokal; -; 1 Pc")</f>
        <v>Filling VFM100 - Adapter Loadcell 30x30x4mm; Custom/Lokal; -; 1 Pc</v>
      </c>
      <c r="G365" s="3">
        <f>IFERROR(__xludf.DUMMYFUNCTION("""COMPUTED_VALUE"""),1.0)</f>
        <v>1</v>
      </c>
      <c r="H365" s="3" t="str">
        <f>IFERROR(__xludf.DUMMYFUNCTION("""COMPUTED_VALUE"""),"Pieces")</f>
        <v>Pieces</v>
      </c>
      <c r="I365" s="3" t="str">
        <f>IFERROR(__xludf.DUMMYFUNCTION("""COMPUTED_VALUE"""),"Deliver")</f>
        <v>Deliver</v>
      </c>
      <c r="J365" s="3" t="str">
        <f>IFERROR(__xludf.DUMMYFUNCTION("""COMPUTED_VALUE"""),"-")</f>
        <v>-</v>
      </c>
      <c r="K365" s="3" t="str">
        <f>IFERROR(__xludf.DUMMYFUNCTION("""COMPUTED_VALUE"""),"-")</f>
        <v>-</v>
      </c>
    </row>
    <row r="366">
      <c r="A366" s="3" t="str">
        <f>IFERROR(__xludf.DUMMYFUNCTION("""COMPUTED_VALUE"""),"MFHRO0193")</f>
        <v>MFHRO0193</v>
      </c>
      <c r="B366" s="4">
        <f>IFERROR(__xludf.DUMMYFUNCTION("""COMPUTED_VALUE"""),45921.42268065973)</f>
        <v>45921.42268</v>
      </c>
      <c r="C366" s="3">
        <f>IFERROR(__xludf.DUMMYFUNCTION("""COMPUTED_VALUE"""),45921.69133444445)</f>
        <v>45921.69133</v>
      </c>
      <c r="D366" s="3" t="str">
        <f>IFERROR(__xludf.DUMMYFUNCTION("""COMPUTED_VALUE"""),"Filling")</f>
        <v>Filling</v>
      </c>
      <c r="E366" s="3" t="str">
        <f>IFERROR(__xludf.DUMMYFUNCTION("""COMPUTED_VALUE"""),"-")</f>
        <v>-</v>
      </c>
      <c r="F366" s="3" t="str">
        <f>IFERROR(__xludf.DUMMYFUNCTION("""COMPUTED_VALUE"""),"Filling VFM100 - Dudukan Piringan 30x14x9mm; Custom/Lokal; -; 1 Pc")</f>
        <v>Filling VFM100 - Dudukan Piringan 30x14x9mm; Custom/Lokal; -; 1 Pc</v>
      </c>
      <c r="G366" s="3">
        <f>IFERROR(__xludf.DUMMYFUNCTION("""COMPUTED_VALUE"""),1.0)</f>
        <v>1</v>
      </c>
      <c r="H366" s="3" t="str">
        <f>IFERROR(__xludf.DUMMYFUNCTION("""COMPUTED_VALUE"""),"Pieces")</f>
        <v>Pieces</v>
      </c>
      <c r="I366" s="3" t="str">
        <f>IFERROR(__xludf.DUMMYFUNCTION("""COMPUTED_VALUE"""),"Deliver")</f>
        <v>Deliver</v>
      </c>
      <c r="J366" s="3" t="str">
        <f>IFERROR(__xludf.DUMMYFUNCTION("""COMPUTED_VALUE"""),"-")</f>
        <v>-</v>
      </c>
      <c r="K366" s="3" t="str">
        <f>IFERROR(__xludf.DUMMYFUNCTION("""COMPUTED_VALUE"""),"-")</f>
        <v>-</v>
      </c>
    </row>
    <row r="367">
      <c r="A367" s="3" t="str">
        <f>IFERROR(__xludf.DUMMYFUNCTION("""COMPUTED_VALUE"""),"MFHRO0194")</f>
        <v>MFHRO0194</v>
      </c>
      <c r="B367" s="4">
        <f>IFERROR(__xludf.DUMMYFUNCTION("""COMPUTED_VALUE"""),45921.42268065973)</f>
        <v>45921.42268</v>
      </c>
      <c r="C367" s="3">
        <f>IFERROR(__xludf.DUMMYFUNCTION("""COMPUTED_VALUE"""),45921.69154097222)</f>
        <v>45921.69154</v>
      </c>
      <c r="D367" s="3" t="str">
        <f>IFERROR(__xludf.DUMMYFUNCTION("""COMPUTED_VALUE"""),"cRABS")</f>
        <v>cRABS</v>
      </c>
      <c r="E367" s="3" t="str">
        <f>IFERROR(__xludf.DUMMYFUNCTION("""COMPUTED_VALUE"""),"-")</f>
        <v>-</v>
      </c>
      <c r="F367" s="3" t="str">
        <f>IFERROR(__xludf.DUMMYFUNCTION("""COMPUTED_VALUE"""),"cRABS Z064CR - Glove Port Pom White Uk: 227x310x15.25mm; Custom/Lokal; -; 1 Pc")</f>
        <v>cRABS Z064CR - Glove Port Pom White Uk: 227x310x15.25mm; Custom/Lokal; -; 1 Pc</v>
      </c>
      <c r="G367" s="3">
        <f>IFERROR(__xludf.DUMMYFUNCTION("""COMPUTED_VALUE"""),2.0)</f>
        <v>2</v>
      </c>
      <c r="H367" s="3" t="str">
        <f>IFERROR(__xludf.DUMMYFUNCTION("""COMPUTED_VALUE"""),"Pieces")</f>
        <v>Pieces</v>
      </c>
      <c r="I367" s="3" t="str">
        <f>IFERROR(__xludf.DUMMYFUNCTION("""COMPUTED_VALUE"""),"Deliver")</f>
        <v>Deliver</v>
      </c>
      <c r="J367" s="3" t="str">
        <f>IFERROR(__xludf.DUMMYFUNCTION("""COMPUTED_VALUE"""),"-")</f>
        <v>-</v>
      </c>
      <c r="K367" s="3" t="str">
        <f>IFERROR(__xludf.DUMMYFUNCTION("""COMPUTED_VALUE"""),"-")</f>
        <v>-</v>
      </c>
    </row>
    <row r="368">
      <c r="A368" s="3" t="str">
        <f>IFERROR(__xludf.DUMMYFUNCTION("""COMPUTED_VALUE"""),"MFHRO0195")</f>
        <v>MFHRO0195</v>
      </c>
      <c r="B368" s="4">
        <f>IFERROR(__xludf.DUMMYFUNCTION("""COMPUTED_VALUE"""),45921.5119862963)</f>
        <v>45921.51199</v>
      </c>
      <c r="C368" s="3">
        <f>IFERROR(__xludf.DUMMYFUNCTION("""COMPUTED_VALUE"""),45921.69383737269)</f>
        <v>45921.69384</v>
      </c>
      <c r="D368" s="3" t="str">
        <f>IFERROR(__xludf.DUMMYFUNCTION("""COMPUTED_VALUE"""),"Tunnel")</f>
        <v>Tunnel</v>
      </c>
      <c r="E368" s="3" t="str">
        <f>IFERROR(__xludf.DUMMYFUNCTION("""COMPUTED_VALUE"""),"-")</f>
        <v>-</v>
      </c>
      <c r="F368" s="3" t="str">
        <f>IFERROR(__xludf.DUMMYFUNCTION("""COMPUTED_VALUE"""),"FILTER ABSOLUTE, CAMFILL - 1ER(GS) - 1PU; DIN EN 1822 : H14; EFFICIENCY: 99,995% MPPS; DIMENSION: 305X457X150; SERIAL NO. 060052-15122")</f>
        <v>FILTER ABSOLUTE, CAMFILL - 1ER(GS) - 1PU; DIN EN 1822 : H14; EFFICIENCY: 99,995% MPPS; DIMENSION: 305X457X150; SERIAL NO. 060052-15122</v>
      </c>
      <c r="G368" s="3">
        <f>IFERROR(__xludf.DUMMYFUNCTION("""COMPUTED_VALUE"""),1.0)</f>
        <v>1</v>
      </c>
      <c r="H368" s="3" t="str">
        <f>IFERROR(__xludf.DUMMYFUNCTION("""COMPUTED_VALUE"""),"Unit")</f>
        <v>Unit</v>
      </c>
      <c r="I368" s="3" t="str">
        <f>IFERROR(__xludf.DUMMYFUNCTION("""COMPUTED_VALUE"""),"Deliver")</f>
        <v>Deliver</v>
      </c>
      <c r="J368" s="3" t="str">
        <f>IFERROR(__xludf.DUMMYFUNCTION("""COMPUTED_VALUE"""),"-")</f>
        <v>-</v>
      </c>
      <c r="K368" s="3" t="str">
        <f>IFERROR(__xludf.DUMMYFUNCTION("""COMPUTED_VALUE"""),"-")</f>
        <v>-</v>
      </c>
    </row>
    <row r="369">
      <c r="A369" s="3" t="str">
        <f>IFERROR(__xludf.DUMMYFUNCTION("""COMPUTED_VALUE"""),"MFHRO0196")</f>
        <v>MFHRO0196</v>
      </c>
      <c r="B369" s="4">
        <f>IFERROR(__xludf.DUMMYFUNCTION("""COMPUTED_VALUE"""),45921.5119862963)</f>
        <v>45921.51199</v>
      </c>
      <c r="C369" s="3">
        <f>IFERROR(__xludf.DUMMYFUNCTION("""COMPUTED_VALUE"""),45921.69398319445)</f>
        <v>45921.69398</v>
      </c>
      <c r="D369" s="3" t="str">
        <f>IFERROR(__xludf.DUMMYFUNCTION("""COMPUTED_VALUE"""),"cRABS")</f>
        <v>cRABS</v>
      </c>
      <c r="E369" s="3" t="str">
        <f>IFERROR(__xludf.DUMMYFUNCTION("""COMPUTED_VALUE"""),"-")</f>
        <v>-</v>
      </c>
      <c r="F369" s="3" t="str">
        <f>IFERROR(__xludf.DUMMYFUNCTION("""COMPUTED_VALUE"""),"HEPA filter minipleat, size: 457x610x69 Class (EN 1822) : H14 - 99,995% MPPS; Hencolin; ;")</f>
        <v>HEPA filter minipleat, size: 457x610x69 Class (EN 1822) : H14 - 99,995% MPPS; Hencolin; ;</v>
      </c>
      <c r="G369" s="3">
        <f>IFERROR(__xludf.DUMMYFUNCTION("""COMPUTED_VALUE"""),2.0)</f>
        <v>2</v>
      </c>
      <c r="H369" s="3" t="str">
        <f>IFERROR(__xludf.DUMMYFUNCTION("""COMPUTED_VALUE"""),"Pieces")</f>
        <v>Pieces</v>
      </c>
      <c r="I369" s="3" t="str">
        <f>IFERROR(__xludf.DUMMYFUNCTION("""COMPUTED_VALUE"""),"Deliver")</f>
        <v>Deliver</v>
      </c>
      <c r="J369" s="3" t="str">
        <f>IFERROR(__xludf.DUMMYFUNCTION("""COMPUTED_VALUE"""),"-")</f>
        <v>-</v>
      </c>
      <c r="K369" s="3" t="str">
        <f>IFERROR(__xludf.DUMMYFUNCTION("""COMPUTED_VALUE"""),"-")</f>
        <v>-</v>
      </c>
    </row>
    <row r="370">
      <c r="A370" s="3" t="str">
        <f>IFERROR(__xludf.DUMMYFUNCTION("""COMPUTED_VALUE"""),"MFHRO0197")</f>
        <v>MFHRO0197</v>
      </c>
      <c r="B370" s="4">
        <f>IFERROR(__xludf.DUMMYFUNCTION("""COMPUTED_VALUE"""),45921.5119862963)</f>
        <v>45921.51199</v>
      </c>
      <c r="C370" s="3">
        <f>IFERROR(__xludf.DUMMYFUNCTION("""COMPUTED_VALUE"""),45921.694135185186)</f>
        <v>45921.69414</v>
      </c>
      <c r="D370" s="3" t="str">
        <f>IFERROR(__xludf.DUMMYFUNCTION("""COMPUTED_VALUE"""),"cRABS")</f>
        <v>cRABS</v>
      </c>
      <c r="E370" s="3" t="str">
        <f>IFERROR(__xludf.DUMMYFUNCTION("""COMPUTED_VALUE"""),"-")</f>
        <v>-</v>
      </c>
      <c r="F370" s="3" t="str">
        <f>IFERROR(__xludf.DUMMYFUNCTION("""COMPUTED_VALUE"""),"HEPA filter minipleat, size: 762x457x69 Class (EN 1822) : H14 - 99,995% MPPS; Hencolin; ;")</f>
        <v>HEPA filter minipleat, size: 762x457x69 Class (EN 1822) : H14 - 99,995% MPPS; Hencolin; ;</v>
      </c>
      <c r="G370" s="3">
        <f>IFERROR(__xludf.DUMMYFUNCTION("""COMPUTED_VALUE"""),2.0)</f>
        <v>2</v>
      </c>
      <c r="H370" s="3" t="str">
        <f>IFERROR(__xludf.DUMMYFUNCTION("""COMPUTED_VALUE"""),"Pieces")</f>
        <v>Pieces</v>
      </c>
      <c r="I370" s="3" t="str">
        <f>IFERROR(__xludf.DUMMYFUNCTION("""COMPUTED_VALUE"""),"Deliver")</f>
        <v>Deliver</v>
      </c>
      <c r="J370" s="3" t="str">
        <f>IFERROR(__xludf.DUMMYFUNCTION("""COMPUTED_VALUE"""),"-")</f>
        <v>-</v>
      </c>
      <c r="K370" s="3" t="str">
        <f>IFERROR(__xludf.DUMMYFUNCTION("""COMPUTED_VALUE"""),"-")</f>
        <v>-</v>
      </c>
    </row>
    <row r="371">
      <c r="A371" s="3" t="str">
        <f>IFERROR(__xludf.DUMMYFUNCTION("""COMPUTED_VALUE"""),"MFHRO0198")</f>
        <v>MFHRO0198</v>
      </c>
      <c r="B371" s="4">
        <f>IFERROR(__xludf.DUMMYFUNCTION("""COMPUTED_VALUE"""),45921.5119862963)</f>
        <v>45921.51199</v>
      </c>
      <c r="C371" s="3">
        <f>IFERROR(__xludf.DUMMYFUNCTION("""COMPUTED_VALUE"""),45921.69427451389)</f>
        <v>45921.69427</v>
      </c>
      <c r="D371" s="3" t="str">
        <f>IFERROR(__xludf.DUMMYFUNCTION("""COMPUTED_VALUE"""),"cRABS")</f>
        <v>cRABS</v>
      </c>
      <c r="E371" s="3" t="str">
        <f>IFERROR(__xludf.DUMMYFUNCTION("""COMPUTED_VALUE"""),"-")</f>
        <v>-</v>
      </c>
      <c r="F371" s="3" t="str">
        <f>IFERROR(__xludf.DUMMYFUNCTION("""COMPUTED_VALUE"""),"HEPA filter minipleat, size: 610X305X93 H13; Hencolin; ;")</f>
        <v>HEPA filter minipleat, size: 610X305X93 H13; Hencolin; ;</v>
      </c>
      <c r="G371" s="3">
        <f>IFERROR(__xludf.DUMMYFUNCTION("""COMPUTED_VALUE"""),2.0)</f>
        <v>2</v>
      </c>
      <c r="H371" s="3" t="str">
        <f>IFERROR(__xludf.DUMMYFUNCTION("""COMPUTED_VALUE"""),"Pieces")</f>
        <v>Pieces</v>
      </c>
      <c r="I371" s="3" t="str">
        <f>IFERROR(__xludf.DUMMYFUNCTION("""COMPUTED_VALUE"""),"Deliver")</f>
        <v>Deliver</v>
      </c>
      <c r="J371" s="3" t="str">
        <f>IFERROR(__xludf.DUMMYFUNCTION("""COMPUTED_VALUE"""),"-")</f>
        <v>-</v>
      </c>
      <c r="K371" s="3" t="str">
        <f>IFERROR(__xludf.DUMMYFUNCTION("""COMPUTED_VALUE"""),"-")</f>
        <v>-</v>
      </c>
    </row>
    <row r="372">
      <c r="A372" s="3" t="str">
        <f>IFERROR(__xludf.DUMMYFUNCTION("""COMPUTED_VALUE"""),"MFHRO0199")</f>
        <v>MFHRO0199</v>
      </c>
      <c r="B372" s="4">
        <f>IFERROR(__xludf.DUMMYFUNCTION("""COMPUTED_VALUE"""),45921.5119862963)</f>
        <v>45921.51199</v>
      </c>
      <c r="C372" s="3">
        <f>IFERROR(__xludf.DUMMYFUNCTION("""COMPUTED_VALUE"""),45921.6957337037)</f>
        <v>45921.69573</v>
      </c>
      <c r="D372" s="3" t="str">
        <f>IFERROR(__xludf.DUMMYFUNCTION("""COMPUTED_VALUE"""),"Capping")</f>
        <v>Capping</v>
      </c>
      <c r="E372" s="3" t="str">
        <f>IFERROR(__xludf.DUMMYFUNCTION("""COMPUTED_VALUE"""),"-")</f>
        <v>-</v>
      </c>
      <c r="F372" s="3" t="str">
        <f>IFERROR(__xludf.DUMMYFUNCTION("""COMPUTED_VALUE"""),"Capping VCM200 - Coupling for Encoder NBK MST 32 - P/N : -  pc")</f>
        <v>Capping VCM200 - Coupling for Encoder NBK MST 32 - P/N : -  pc</v>
      </c>
      <c r="G372" s="3">
        <f>IFERROR(__xludf.DUMMYFUNCTION("""COMPUTED_VALUE"""),2.0)</f>
        <v>2</v>
      </c>
      <c r="H372" s="3" t="str">
        <f>IFERROR(__xludf.DUMMYFUNCTION("""COMPUTED_VALUE"""),"Pieces")</f>
        <v>Pieces</v>
      </c>
      <c r="I372" s="3" t="str">
        <f>IFERROR(__xludf.DUMMYFUNCTION("""COMPUTED_VALUE"""),"Deliver")</f>
        <v>Deliver</v>
      </c>
      <c r="J372" s="3" t="str">
        <f>IFERROR(__xludf.DUMMYFUNCTION("""COMPUTED_VALUE"""),"-")</f>
        <v>-</v>
      </c>
      <c r="K372" s="3" t="str">
        <f>IFERROR(__xludf.DUMMYFUNCTION("""COMPUTED_VALUE"""),"-")</f>
        <v>-</v>
      </c>
    </row>
    <row r="373">
      <c r="A373" s="3" t="str">
        <f>IFERROR(__xludf.DUMMYFUNCTION("""COMPUTED_VALUE"""),"MFHRO0200")</f>
        <v>MFHRO0200</v>
      </c>
      <c r="B373" s="4">
        <f>IFERROR(__xludf.DUMMYFUNCTION("""COMPUTED_VALUE"""),45921.5119862963)</f>
        <v>45921.51199</v>
      </c>
      <c r="C373" s="3">
        <f>IFERROR(__xludf.DUMMYFUNCTION("""COMPUTED_VALUE"""),45921.69586424768)</f>
        <v>45921.69586</v>
      </c>
      <c r="D373" s="3" t="str">
        <f>IFERROR(__xludf.DUMMYFUNCTION("""COMPUTED_VALUE"""),"Washing")</f>
        <v>Washing</v>
      </c>
      <c r="E373" s="3" t="str">
        <f>IFERROR(__xludf.DUMMYFUNCTION("""COMPUTED_VALUE"""),"-")</f>
        <v>-</v>
      </c>
      <c r="F373" s="3" t="str">
        <f>IFERROR(__xludf.DUMMYFUNCTION("""COMPUTED_VALUE"""),"General - Air Gripper; SMC; MHZJ2 20DS X43 X81B; 1 Pc")</f>
        <v>General - Air Gripper; SMC; MHZJ2 20DS X43 X81B; 1 Pc</v>
      </c>
      <c r="G373" s="3">
        <f>IFERROR(__xludf.DUMMYFUNCTION("""COMPUTED_VALUE"""),5.0)</f>
        <v>5</v>
      </c>
      <c r="H373" s="3" t="str">
        <f>IFERROR(__xludf.DUMMYFUNCTION("""COMPUTED_VALUE"""),"Pieces")</f>
        <v>Pieces</v>
      </c>
      <c r="I373" s="3" t="str">
        <f>IFERROR(__xludf.DUMMYFUNCTION("""COMPUTED_VALUE"""),"Deliver")</f>
        <v>Deliver</v>
      </c>
      <c r="J373" s="3" t="str">
        <f>IFERROR(__xludf.DUMMYFUNCTION("""COMPUTED_VALUE"""),"-")</f>
        <v>-</v>
      </c>
      <c r="K373" s="3" t="str">
        <f>IFERROR(__xludf.DUMMYFUNCTION("""COMPUTED_VALUE"""),"-")</f>
        <v>-</v>
      </c>
    </row>
    <row r="374">
      <c r="A374" s="3" t="str">
        <f>IFERROR(__xludf.DUMMYFUNCTION("""COMPUTED_VALUE"""),"MFHRO0201")</f>
        <v>MFHRO0201</v>
      </c>
      <c r="B374" s="4">
        <f>IFERROR(__xludf.DUMMYFUNCTION("""COMPUTED_VALUE"""),45921.5119862963)</f>
        <v>45921.51199</v>
      </c>
      <c r="C374" s="3">
        <f>IFERROR(__xludf.DUMMYFUNCTION("""COMPUTED_VALUE"""),45921.69599518519)</f>
        <v>45921.696</v>
      </c>
      <c r="D374" s="3" t="str">
        <f>IFERROR(__xludf.DUMMYFUNCTION("""COMPUTED_VALUE"""),"Capping")</f>
        <v>Capping</v>
      </c>
      <c r="E374" s="3" t="str">
        <f>IFERROR(__xludf.DUMMYFUNCTION("""COMPUTED_VALUE"""),"-")</f>
        <v>-</v>
      </c>
      <c r="F374" s="3" t="str">
        <f>IFERROR(__xludf.DUMMYFUNCTION("""COMPUTED_VALUE"""),"Misumi - Linear Shaft PSFAA8-46-F11-P6-M3-N3; ; ;")</f>
        <v>Misumi - Linear Shaft PSFAA8-46-F11-P6-M3-N3; ; ;</v>
      </c>
      <c r="G374" s="3">
        <f>IFERROR(__xludf.DUMMYFUNCTION("""COMPUTED_VALUE"""),1.0)</f>
        <v>1</v>
      </c>
      <c r="H374" s="3" t="str">
        <f>IFERROR(__xludf.DUMMYFUNCTION("""COMPUTED_VALUE"""),"Pieces")</f>
        <v>Pieces</v>
      </c>
      <c r="I374" s="3" t="str">
        <f>IFERROR(__xludf.DUMMYFUNCTION("""COMPUTED_VALUE"""),"Deliver")</f>
        <v>Deliver</v>
      </c>
      <c r="J374" s="3" t="str">
        <f>IFERROR(__xludf.DUMMYFUNCTION("""COMPUTED_VALUE"""),"-")</f>
        <v>-</v>
      </c>
      <c r="K374" s="3" t="str">
        <f>IFERROR(__xludf.DUMMYFUNCTION("""COMPUTED_VALUE"""),"-")</f>
        <v>-</v>
      </c>
    </row>
    <row r="375">
      <c r="A375" s="3" t="str">
        <f>IFERROR(__xludf.DUMMYFUNCTION("""COMPUTED_VALUE"""),"MFHRO0202")</f>
        <v>MFHRO0202</v>
      </c>
      <c r="B375" s="4">
        <f>IFERROR(__xludf.DUMMYFUNCTION("""COMPUTED_VALUE"""),45921.5119862963)</f>
        <v>45921.51199</v>
      </c>
      <c r="C375" s="3">
        <f>IFERROR(__xludf.DUMMYFUNCTION("""COMPUTED_VALUE"""),45921.69652503473)</f>
        <v>45921.69653</v>
      </c>
      <c r="D375" s="3" t="str">
        <f>IFERROR(__xludf.DUMMYFUNCTION("""COMPUTED_VALUE"""),"Tools")</f>
        <v>Tools</v>
      </c>
      <c r="E375" s="3" t="str">
        <f>IFERROR(__xludf.DUMMYFUNCTION("""COMPUTED_VALUE"""),"-")</f>
        <v>-</v>
      </c>
      <c r="F375" s="3" t="str">
        <f>IFERROR(__xludf.DUMMYFUNCTION("""COMPUTED_VALUE"""),"Jangka Sorong Digital / Digital Caliper; Mitutoyo; CN: 500-197-30; pc")</f>
        <v>Jangka Sorong Digital / Digital Caliper; Mitutoyo; CN: 500-197-30; pc</v>
      </c>
      <c r="G375" s="3">
        <f>IFERROR(__xludf.DUMMYFUNCTION("""COMPUTED_VALUE"""),1.0)</f>
        <v>1</v>
      </c>
      <c r="H375" s="3" t="str">
        <f>IFERROR(__xludf.DUMMYFUNCTION("""COMPUTED_VALUE"""),"Pieces")</f>
        <v>Pieces</v>
      </c>
      <c r="I375" s="3" t="str">
        <f>IFERROR(__xludf.DUMMYFUNCTION("""COMPUTED_VALUE"""),"Deliver")</f>
        <v>Deliver</v>
      </c>
      <c r="J375" s="3" t="str">
        <f>IFERROR(__xludf.DUMMYFUNCTION("""COMPUTED_VALUE"""),"-")</f>
        <v>-</v>
      </c>
      <c r="K375" s="3" t="str">
        <f>IFERROR(__xludf.DUMMYFUNCTION("""COMPUTED_VALUE"""),"-")</f>
        <v>-</v>
      </c>
    </row>
    <row r="376">
      <c r="A376" s="3" t="str">
        <f>IFERROR(__xludf.DUMMYFUNCTION("""COMPUTED_VALUE"""),"MFHRO0203")</f>
        <v>MFHRO0203</v>
      </c>
      <c r="B376" s="4">
        <f>IFERROR(__xludf.DUMMYFUNCTION("""COMPUTED_VALUE"""),45921.5119862963)</f>
        <v>45921.51199</v>
      </c>
      <c r="C376" s="3">
        <f>IFERROR(__xludf.DUMMYFUNCTION("""COMPUTED_VALUE"""),45921.70288387731)</f>
        <v>45921.70288</v>
      </c>
      <c r="D376" s="3" t="str">
        <f>IFERROR(__xludf.DUMMYFUNCTION("""COMPUTED_VALUE"""),"Tools")</f>
        <v>Tools</v>
      </c>
      <c r="E376" s="3" t="str">
        <f>IFERROR(__xludf.DUMMYFUNCTION("""COMPUTED_VALUE"""),"-")</f>
        <v>-</v>
      </c>
      <c r="F376" s="3" t="str">
        <f>IFERROR(__xludf.DUMMYFUNCTION("""COMPUTED_VALUE"""),"Kunci L Bintang / Torx Key Uk. 10 mm; Tekiro; HK-TL1221; pc")</f>
        <v>Kunci L Bintang / Torx Key Uk. 10 mm; Tekiro; HK-TL1221; pc</v>
      </c>
      <c r="G376" s="3">
        <f>IFERROR(__xludf.DUMMYFUNCTION("""COMPUTED_VALUE"""),1.0)</f>
        <v>1</v>
      </c>
      <c r="H376" s="3" t="str">
        <f>IFERROR(__xludf.DUMMYFUNCTION("""COMPUTED_VALUE"""),"Pieces")</f>
        <v>Pieces</v>
      </c>
      <c r="I376" s="3" t="str">
        <f>IFERROR(__xludf.DUMMYFUNCTION("""COMPUTED_VALUE"""),"Deliver")</f>
        <v>Deliver</v>
      </c>
      <c r="J376" s="3" t="str">
        <f>IFERROR(__xludf.DUMMYFUNCTION("""COMPUTED_VALUE"""),"-")</f>
        <v>-</v>
      </c>
      <c r="K376" s="3" t="str">
        <f>IFERROR(__xludf.DUMMYFUNCTION("""COMPUTED_VALUE"""),"-")</f>
        <v>-</v>
      </c>
    </row>
    <row r="377">
      <c r="A377" s="3" t="str">
        <f>IFERROR(__xludf.DUMMYFUNCTION("""COMPUTED_VALUE"""),"MFHRO0204")</f>
        <v>MFHRO0204</v>
      </c>
      <c r="B377" s="4">
        <f>IFERROR(__xludf.DUMMYFUNCTION("""COMPUTED_VALUE"""),45921.5119862963)</f>
        <v>45921.51199</v>
      </c>
      <c r="C377" s="3">
        <f>IFERROR(__xludf.DUMMYFUNCTION("""COMPUTED_VALUE"""),45921.70307644676)</f>
        <v>45921.70308</v>
      </c>
      <c r="D377" s="3" t="str">
        <f>IFERROR(__xludf.DUMMYFUNCTION("""COMPUTED_VALUE"""),"Tools")</f>
        <v>Tools</v>
      </c>
      <c r="E377" s="3" t="str">
        <f>IFERROR(__xludf.DUMMYFUNCTION("""COMPUTED_VALUE"""),"-")</f>
        <v>-</v>
      </c>
      <c r="F377" s="3" t="str">
        <f>IFERROR(__xludf.DUMMYFUNCTION("""COMPUTED_VALUE"""),"Kunci L Uk. 1,5 mm; Tekiro; HK-LO1164; pc")</f>
        <v>Kunci L Uk. 1,5 mm; Tekiro; HK-LO1164; pc</v>
      </c>
      <c r="G377" s="3">
        <f>IFERROR(__xludf.DUMMYFUNCTION("""COMPUTED_VALUE"""),3.0)</f>
        <v>3</v>
      </c>
      <c r="H377" s="3" t="str">
        <f>IFERROR(__xludf.DUMMYFUNCTION("""COMPUTED_VALUE"""),"Pieces")</f>
        <v>Pieces</v>
      </c>
      <c r="I377" s="3" t="str">
        <f>IFERROR(__xludf.DUMMYFUNCTION("""COMPUTED_VALUE"""),"Deliver")</f>
        <v>Deliver</v>
      </c>
      <c r="J377" s="3" t="str">
        <f>IFERROR(__xludf.DUMMYFUNCTION("""COMPUTED_VALUE"""),"-")</f>
        <v>-</v>
      </c>
      <c r="K377" s="3" t="str">
        <f>IFERROR(__xludf.DUMMYFUNCTION("""COMPUTED_VALUE"""),"-")</f>
        <v>-</v>
      </c>
    </row>
    <row r="378">
      <c r="A378" s="3" t="str">
        <f>IFERROR(__xludf.DUMMYFUNCTION("""COMPUTED_VALUE"""),"MFHRO0205")</f>
        <v>MFHRO0205</v>
      </c>
      <c r="B378" s="4">
        <f>IFERROR(__xludf.DUMMYFUNCTION("""COMPUTED_VALUE"""),45921.5119862963)</f>
        <v>45921.51199</v>
      </c>
      <c r="C378" s="3">
        <f>IFERROR(__xludf.DUMMYFUNCTION("""COMPUTED_VALUE"""),45921.703233900465)</f>
        <v>45921.70323</v>
      </c>
      <c r="D378" s="3" t="str">
        <f>IFERROR(__xludf.DUMMYFUNCTION("""COMPUTED_VALUE"""),"Tools")</f>
        <v>Tools</v>
      </c>
      <c r="E378" s="3" t="str">
        <f>IFERROR(__xludf.DUMMYFUNCTION("""COMPUTED_VALUE"""),"-")</f>
        <v>-</v>
      </c>
      <c r="F378" s="3" t="str">
        <f>IFERROR(__xludf.DUMMYFUNCTION("""COMPUTED_VALUE"""),"Kunci L Uk 2 mm; Tekiro; HK-LO1165; pc")</f>
        <v>Kunci L Uk 2 mm; Tekiro; HK-LO1165; pc</v>
      </c>
      <c r="G378" s="3">
        <f>IFERROR(__xludf.DUMMYFUNCTION("""COMPUTED_VALUE"""),1.0)</f>
        <v>1</v>
      </c>
      <c r="H378" s="3" t="str">
        <f>IFERROR(__xludf.DUMMYFUNCTION("""COMPUTED_VALUE"""),"Pieces")</f>
        <v>Pieces</v>
      </c>
      <c r="I378" s="3" t="str">
        <f>IFERROR(__xludf.DUMMYFUNCTION("""COMPUTED_VALUE"""),"Deliver")</f>
        <v>Deliver</v>
      </c>
      <c r="J378" s="3" t="str">
        <f>IFERROR(__xludf.DUMMYFUNCTION("""COMPUTED_VALUE"""),"-")</f>
        <v>-</v>
      </c>
      <c r="K378" s="3" t="str">
        <f>IFERROR(__xludf.DUMMYFUNCTION("""COMPUTED_VALUE"""),"-")</f>
        <v>-</v>
      </c>
    </row>
    <row r="379">
      <c r="A379" s="3" t="str">
        <f>IFERROR(__xludf.DUMMYFUNCTION("""COMPUTED_VALUE"""),"MFHRO0206")</f>
        <v>MFHRO0206</v>
      </c>
      <c r="B379" s="4">
        <f>IFERROR(__xludf.DUMMYFUNCTION("""COMPUTED_VALUE"""),45921.5119862963)</f>
        <v>45921.51199</v>
      </c>
      <c r="C379" s="3">
        <f>IFERROR(__xludf.DUMMYFUNCTION("""COMPUTED_VALUE"""),45921.70336849537)</f>
        <v>45921.70337</v>
      </c>
      <c r="D379" s="3" t="str">
        <f>IFERROR(__xludf.DUMMYFUNCTION("""COMPUTED_VALUE"""),"Tools")</f>
        <v>Tools</v>
      </c>
      <c r="E379" s="3" t="str">
        <f>IFERROR(__xludf.DUMMYFUNCTION("""COMPUTED_VALUE"""),"-")</f>
        <v>-</v>
      </c>
      <c r="F379" s="3" t="str">
        <f>IFERROR(__xludf.DUMMYFUNCTION("""COMPUTED_VALUE"""),"Kunci L uk. 3 mm; Tekiro; HK-LO1166; pc")</f>
        <v>Kunci L uk. 3 mm; Tekiro; HK-LO1166; pc</v>
      </c>
      <c r="G379" s="3">
        <f>IFERROR(__xludf.DUMMYFUNCTION("""COMPUTED_VALUE"""),1.0)</f>
        <v>1</v>
      </c>
      <c r="H379" s="3" t="str">
        <f>IFERROR(__xludf.DUMMYFUNCTION("""COMPUTED_VALUE"""),"Pieces")</f>
        <v>Pieces</v>
      </c>
      <c r="I379" s="3" t="str">
        <f>IFERROR(__xludf.DUMMYFUNCTION("""COMPUTED_VALUE"""),"Deliver")</f>
        <v>Deliver</v>
      </c>
      <c r="J379" s="3" t="str">
        <f>IFERROR(__xludf.DUMMYFUNCTION("""COMPUTED_VALUE"""),"-")</f>
        <v>-</v>
      </c>
      <c r="K379" s="3" t="str">
        <f>IFERROR(__xludf.DUMMYFUNCTION("""COMPUTED_VALUE"""),"-")</f>
        <v>-</v>
      </c>
    </row>
    <row r="380">
      <c r="A380" s="3" t="str">
        <f>IFERROR(__xludf.DUMMYFUNCTION("""COMPUTED_VALUE"""),"MFHRO0207")</f>
        <v>MFHRO0207</v>
      </c>
      <c r="B380" s="4">
        <f>IFERROR(__xludf.DUMMYFUNCTION("""COMPUTED_VALUE"""),45921.5119862963)</f>
        <v>45921.51199</v>
      </c>
      <c r="C380" s="3">
        <f>IFERROR(__xludf.DUMMYFUNCTION("""COMPUTED_VALUE"""),45921.70352631944)</f>
        <v>45921.70353</v>
      </c>
      <c r="D380" s="3" t="str">
        <f>IFERROR(__xludf.DUMMYFUNCTION("""COMPUTED_VALUE"""),"Tools")</f>
        <v>Tools</v>
      </c>
      <c r="E380" s="3" t="str">
        <f>IFERROR(__xludf.DUMMYFUNCTION("""COMPUTED_VALUE"""),"-")</f>
        <v>-</v>
      </c>
      <c r="F380" s="3" t="str">
        <f>IFERROR(__xludf.DUMMYFUNCTION("""COMPUTED_VALUE"""),"Kunci L Bintang / Torx Key Uk. 20 mm; Tekiro; HK-TL1223; pc")</f>
        <v>Kunci L Bintang / Torx Key Uk. 20 mm; Tekiro; HK-TL1223; pc</v>
      </c>
      <c r="G380" s="3">
        <f>IFERROR(__xludf.DUMMYFUNCTION("""COMPUTED_VALUE"""),1.0)</f>
        <v>1</v>
      </c>
      <c r="H380" s="3" t="str">
        <f>IFERROR(__xludf.DUMMYFUNCTION("""COMPUTED_VALUE"""),"Pieces")</f>
        <v>Pieces</v>
      </c>
      <c r="I380" s="3" t="str">
        <f>IFERROR(__xludf.DUMMYFUNCTION("""COMPUTED_VALUE"""),"Deliver")</f>
        <v>Deliver</v>
      </c>
      <c r="J380" s="3" t="str">
        <f>IFERROR(__xludf.DUMMYFUNCTION("""COMPUTED_VALUE"""),"-")</f>
        <v>-</v>
      </c>
      <c r="K380" s="3" t="str">
        <f>IFERROR(__xludf.DUMMYFUNCTION("""COMPUTED_VALUE"""),"-")</f>
        <v>-</v>
      </c>
    </row>
    <row r="381">
      <c r="A381" s="3" t="str">
        <f>IFERROR(__xludf.DUMMYFUNCTION("""COMPUTED_VALUE"""),"MFHRO0208")</f>
        <v>MFHRO0208</v>
      </c>
      <c r="B381" s="4">
        <f>IFERROR(__xludf.DUMMYFUNCTION("""COMPUTED_VALUE"""),45921.5119862963)</f>
        <v>45921.51199</v>
      </c>
      <c r="C381" s="3">
        <f>IFERROR(__xludf.DUMMYFUNCTION("""COMPUTED_VALUE"""),45921.7043553588)</f>
        <v>45921.70436</v>
      </c>
      <c r="D381" s="3" t="str">
        <f>IFERROR(__xludf.DUMMYFUNCTION("""COMPUTED_VALUE"""),"Tools")</f>
        <v>Tools</v>
      </c>
      <c r="E381" s="3" t="str">
        <f>IFERROR(__xludf.DUMMYFUNCTION("""COMPUTED_VALUE"""),"-")</f>
        <v>-</v>
      </c>
      <c r="F381" s="3" t="str">
        <f>IFERROR(__xludf.DUMMYFUNCTION("""COMPUTED_VALUE"""),"Kunci L Bintang / Torx Key Uk. 25 mm; Tekiro; HK-TL1224; pc")</f>
        <v>Kunci L Bintang / Torx Key Uk. 25 mm; Tekiro; HK-TL1224; pc</v>
      </c>
      <c r="G381" s="3">
        <f>IFERROR(__xludf.DUMMYFUNCTION("""COMPUTED_VALUE"""),1.0)</f>
        <v>1</v>
      </c>
      <c r="H381" s="3" t="str">
        <f>IFERROR(__xludf.DUMMYFUNCTION("""COMPUTED_VALUE"""),"Pieces")</f>
        <v>Pieces</v>
      </c>
      <c r="I381" s="3" t="str">
        <f>IFERROR(__xludf.DUMMYFUNCTION("""COMPUTED_VALUE"""),"Deliver")</f>
        <v>Deliver</v>
      </c>
      <c r="J381" s="3" t="str">
        <f>IFERROR(__xludf.DUMMYFUNCTION("""COMPUTED_VALUE"""),"-")</f>
        <v>-</v>
      </c>
      <c r="K381" s="3" t="str">
        <f>IFERROR(__xludf.DUMMYFUNCTION("""COMPUTED_VALUE"""),"-")</f>
        <v>-</v>
      </c>
    </row>
    <row r="382">
      <c r="A382" s="3" t="str">
        <f>IFERROR(__xludf.DUMMYFUNCTION("""COMPUTED_VALUE"""),"MFHRO0209")</f>
        <v>MFHRO0209</v>
      </c>
      <c r="B382" s="4">
        <f>IFERROR(__xludf.DUMMYFUNCTION("""COMPUTED_VALUE"""),45921.5119862963)</f>
        <v>45921.51199</v>
      </c>
      <c r="C382" s="3">
        <f>IFERROR(__xludf.DUMMYFUNCTION("""COMPUTED_VALUE"""),45921.704543263884)</f>
        <v>45921.70454</v>
      </c>
      <c r="D382" s="3" t="str">
        <f>IFERROR(__xludf.DUMMYFUNCTION("""COMPUTED_VALUE"""),"Tools")</f>
        <v>Tools</v>
      </c>
      <c r="E382" s="3" t="str">
        <f>IFERROR(__xludf.DUMMYFUNCTION("""COMPUTED_VALUE"""),"-")</f>
        <v>-</v>
      </c>
      <c r="F382" s="3" t="str">
        <f>IFERROR(__xludf.DUMMYFUNCTION("""COMPUTED_VALUE"""),"Kunci L Bintang / Torx Key Uk. 50 mm; Tekiro; HK-TL1228; pc")</f>
        <v>Kunci L Bintang / Torx Key Uk. 50 mm; Tekiro; HK-TL1228; pc</v>
      </c>
      <c r="G382" s="3">
        <f>IFERROR(__xludf.DUMMYFUNCTION("""COMPUTED_VALUE"""),1.0)</f>
        <v>1</v>
      </c>
      <c r="H382" s="3" t="str">
        <f>IFERROR(__xludf.DUMMYFUNCTION("""COMPUTED_VALUE"""),"Pieces")</f>
        <v>Pieces</v>
      </c>
      <c r="I382" s="3" t="str">
        <f>IFERROR(__xludf.DUMMYFUNCTION("""COMPUTED_VALUE"""),"Deliver")</f>
        <v>Deliver</v>
      </c>
      <c r="J382" s="3" t="str">
        <f>IFERROR(__xludf.DUMMYFUNCTION("""COMPUTED_VALUE"""),"-")</f>
        <v>-</v>
      </c>
      <c r="K382" s="3" t="str">
        <f>IFERROR(__xludf.DUMMYFUNCTION("""COMPUTED_VALUE"""),"-")</f>
        <v>-</v>
      </c>
    </row>
    <row r="383">
      <c r="A383" s="3" t="str">
        <f>IFERROR(__xludf.DUMMYFUNCTION("""COMPUTED_VALUE"""),"MFHRO0210")</f>
        <v>MFHRO0210</v>
      </c>
      <c r="B383" s="4">
        <f>IFERROR(__xludf.DUMMYFUNCTION("""COMPUTED_VALUE"""),45921.5119862963)</f>
        <v>45921.51199</v>
      </c>
      <c r="C383" s="3">
        <f>IFERROR(__xludf.DUMMYFUNCTION("""COMPUTED_VALUE"""),45921.70772074074)</f>
        <v>45921.70772</v>
      </c>
      <c r="D383" s="3" t="str">
        <f>IFERROR(__xludf.DUMMYFUNCTION("""COMPUTED_VALUE"""),"Tools")</f>
        <v>Tools</v>
      </c>
      <c r="E383" s="3" t="str">
        <f>IFERROR(__xludf.DUMMYFUNCTION("""COMPUTED_VALUE"""),"-")</f>
        <v>-</v>
      </c>
      <c r="F383" s="3" t="str">
        <f>IFERROR(__xludf.DUMMYFUNCTION("""COMPUTED_VALUE"""),"Kunci Pas No 21 &amp; 23; Tekiro; WR-OE0086; pc")</f>
        <v>Kunci Pas No 21 &amp; 23; Tekiro; WR-OE0086; pc</v>
      </c>
      <c r="G383" s="3">
        <f>IFERROR(__xludf.DUMMYFUNCTION("""COMPUTED_VALUE"""),1.0)</f>
        <v>1</v>
      </c>
      <c r="H383" s="3" t="str">
        <f>IFERROR(__xludf.DUMMYFUNCTION("""COMPUTED_VALUE"""),"Pieces")</f>
        <v>Pieces</v>
      </c>
      <c r="I383" s="3" t="str">
        <f>IFERROR(__xludf.DUMMYFUNCTION("""COMPUTED_VALUE"""),"Deliver")</f>
        <v>Deliver</v>
      </c>
      <c r="J383" s="3" t="str">
        <f>IFERROR(__xludf.DUMMYFUNCTION("""COMPUTED_VALUE"""),"-")</f>
        <v>-</v>
      </c>
      <c r="K383" s="3" t="str">
        <f>IFERROR(__xludf.DUMMYFUNCTION("""COMPUTED_VALUE"""),"-")</f>
        <v>-</v>
      </c>
    </row>
    <row r="384">
      <c r="A384" s="3" t="str">
        <f>IFERROR(__xludf.DUMMYFUNCTION("""COMPUTED_VALUE"""),"MFHRO0211")</f>
        <v>MFHRO0211</v>
      </c>
      <c r="B384" s="4">
        <f>IFERROR(__xludf.DUMMYFUNCTION("""COMPUTED_VALUE"""),45921.5119862963)</f>
        <v>45921.51199</v>
      </c>
      <c r="C384" s="3">
        <f>IFERROR(__xludf.DUMMYFUNCTION("""COMPUTED_VALUE"""),45921.70788212963)</f>
        <v>45921.70788</v>
      </c>
      <c r="D384" s="3" t="str">
        <f>IFERROR(__xludf.DUMMYFUNCTION("""COMPUTED_VALUE"""),"Tools")</f>
        <v>Tools</v>
      </c>
      <c r="E384" s="3" t="str">
        <f>IFERROR(__xludf.DUMMYFUNCTION("""COMPUTED_VALUE"""),"-")</f>
        <v>-</v>
      </c>
      <c r="F384" s="3" t="str">
        <f>IFERROR(__xludf.DUMMYFUNCTION("""COMPUTED_VALUE"""),"Tang Potong Uk. 5 Inch; SATA; CN: 05522; pc")</f>
        <v>Tang Potong Uk. 5 Inch; SATA; CN: 05522; pc</v>
      </c>
      <c r="G384" s="3">
        <f>IFERROR(__xludf.DUMMYFUNCTION("""COMPUTED_VALUE"""),3.0)</f>
        <v>3</v>
      </c>
      <c r="H384" s="3" t="str">
        <f>IFERROR(__xludf.DUMMYFUNCTION("""COMPUTED_VALUE"""),"Pieces")</f>
        <v>Pieces</v>
      </c>
      <c r="I384" s="3" t="str">
        <f>IFERROR(__xludf.DUMMYFUNCTION("""COMPUTED_VALUE"""),"Deliver")</f>
        <v>Deliver</v>
      </c>
      <c r="J384" s="3" t="str">
        <f>IFERROR(__xludf.DUMMYFUNCTION("""COMPUTED_VALUE"""),"-")</f>
        <v>-</v>
      </c>
      <c r="K384" s="3" t="str">
        <f>IFERROR(__xludf.DUMMYFUNCTION("""COMPUTED_VALUE"""),"-")</f>
        <v>-</v>
      </c>
    </row>
    <row r="385">
      <c r="A385" s="3" t="str">
        <f>IFERROR(__xludf.DUMMYFUNCTION("""COMPUTED_VALUE"""),"MFHRO0212")</f>
        <v>MFHRO0212</v>
      </c>
      <c r="B385" s="4">
        <f>IFERROR(__xludf.DUMMYFUNCTION("""COMPUTED_VALUE"""),45921.5119862963)</f>
        <v>45921.51199</v>
      </c>
      <c r="C385" s="3">
        <f>IFERROR(__xludf.DUMMYFUNCTION("""COMPUTED_VALUE"""),45921.70804644676)</f>
        <v>45921.70805</v>
      </c>
      <c r="D385" s="3" t="str">
        <f>IFERROR(__xludf.DUMMYFUNCTION("""COMPUTED_VALUE"""),"Tools")</f>
        <v>Tools</v>
      </c>
      <c r="E385" s="3" t="str">
        <f>IFERROR(__xludf.DUMMYFUNCTION("""COMPUTED_VALUE"""),"-")</f>
        <v>-</v>
      </c>
      <c r="F385" s="3" t="str">
        <f>IFERROR(__xludf.DUMMYFUNCTION("""COMPUTED_VALUE"""),"Obeng Listrik Presisi / Insulation Precision Screwdriver; Tekiro; SD-IP0930; 6 pc/set")</f>
        <v>Obeng Listrik Presisi / Insulation Precision Screwdriver; Tekiro; SD-IP0930; 6 pc/set</v>
      </c>
      <c r="G385" s="3">
        <f>IFERROR(__xludf.DUMMYFUNCTION("""COMPUTED_VALUE"""),1.0)</f>
        <v>1</v>
      </c>
      <c r="H385" s="3" t="str">
        <f>IFERROR(__xludf.DUMMYFUNCTION("""COMPUTED_VALUE"""),"Set")</f>
        <v>Set</v>
      </c>
      <c r="I385" s="3" t="str">
        <f>IFERROR(__xludf.DUMMYFUNCTION("""COMPUTED_VALUE"""),"Deliver")</f>
        <v>Deliver</v>
      </c>
      <c r="J385" s="3" t="str">
        <f>IFERROR(__xludf.DUMMYFUNCTION("""COMPUTED_VALUE"""),"-")</f>
        <v>-</v>
      </c>
      <c r="K385" s="3" t="str">
        <f>IFERROR(__xludf.DUMMYFUNCTION("""COMPUTED_VALUE"""),"-")</f>
        <v>-</v>
      </c>
    </row>
    <row r="386">
      <c r="A386" s="3" t="str">
        <f>IFERROR(__xludf.DUMMYFUNCTION("""COMPUTED_VALUE"""),"MFHRO0213")</f>
        <v>MFHRO0213</v>
      </c>
      <c r="B386" s="4">
        <f>IFERROR(__xludf.DUMMYFUNCTION("""COMPUTED_VALUE"""),45921.5119862963)</f>
        <v>45921.51199</v>
      </c>
      <c r="C386" s="3">
        <f>IFERROR(__xludf.DUMMYFUNCTION("""COMPUTED_VALUE"""),45921.708189247685)</f>
        <v>45921.70819</v>
      </c>
      <c r="D386" s="3" t="str">
        <f>IFERROR(__xludf.DUMMYFUNCTION("""COMPUTED_VALUE"""),"Tools")</f>
        <v>Tools</v>
      </c>
      <c r="E386" s="3" t="str">
        <f>IFERROR(__xludf.DUMMYFUNCTION("""COMPUTED_VALUE"""),"-")</f>
        <v>-</v>
      </c>
      <c r="F386" s="3" t="str">
        <f>IFERROR(__xludf.DUMMYFUNCTION("""COMPUTED_VALUE"""),"Obeng Listrik / Insulated Screwdriver Plus 2x100mm PH2; SATA; 61223; pc")</f>
        <v>Obeng Listrik / Insulated Screwdriver Plus 2x100mm PH2; SATA; 61223; pc</v>
      </c>
      <c r="G386" s="3">
        <f>IFERROR(__xludf.DUMMYFUNCTION("""COMPUTED_VALUE"""),6.0)</f>
        <v>6</v>
      </c>
      <c r="H386" s="3" t="str">
        <f>IFERROR(__xludf.DUMMYFUNCTION("""COMPUTED_VALUE"""),"Pieces")</f>
        <v>Pieces</v>
      </c>
      <c r="I386" s="3" t="str">
        <f>IFERROR(__xludf.DUMMYFUNCTION("""COMPUTED_VALUE"""),"Deliver")</f>
        <v>Deliver</v>
      </c>
      <c r="J386" s="3" t="str">
        <f>IFERROR(__xludf.DUMMYFUNCTION("""COMPUTED_VALUE"""),"-")</f>
        <v>-</v>
      </c>
      <c r="K386" s="3" t="str">
        <f>IFERROR(__xludf.DUMMYFUNCTION("""COMPUTED_VALUE"""),"-")</f>
        <v>-</v>
      </c>
    </row>
    <row r="387">
      <c r="A387" s="3" t="str">
        <f>IFERROR(__xludf.DUMMYFUNCTION("""COMPUTED_VALUE"""),"MFHRO0214")</f>
        <v>MFHRO0214</v>
      </c>
      <c r="B387" s="4">
        <f>IFERROR(__xludf.DUMMYFUNCTION("""COMPUTED_VALUE"""),45921.5119862963)</f>
        <v>45921.51199</v>
      </c>
      <c r="C387" s="3">
        <f>IFERROR(__xludf.DUMMYFUNCTION("""COMPUTED_VALUE"""),45921.70830957176)</f>
        <v>45921.70831</v>
      </c>
      <c r="D387" s="3" t="str">
        <f>IFERROR(__xludf.DUMMYFUNCTION("""COMPUTED_VALUE"""),"ATK")</f>
        <v>ATK</v>
      </c>
      <c r="E387" s="3" t="str">
        <f>IFERROR(__xludf.DUMMYFUNCTION("""COMPUTED_VALUE"""),"-")</f>
        <v>-</v>
      </c>
      <c r="F387" s="3" t="str">
        <f>IFERROR(__xludf.DUMMYFUNCTION("""COMPUTED_VALUE"""),"Kertas HVS Putih A4 70 gram;")</f>
        <v>Kertas HVS Putih A4 70 gram;</v>
      </c>
      <c r="G387" s="3">
        <f>IFERROR(__xludf.DUMMYFUNCTION("""COMPUTED_VALUE"""),10.0)</f>
        <v>10</v>
      </c>
      <c r="H387" s="3" t="str">
        <f>IFERROR(__xludf.DUMMYFUNCTION("""COMPUTED_VALUE"""),"Rim")</f>
        <v>Rim</v>
      </c>
      <c r="I387" s="3" t="str">
        <f>IFERROR(__xludf.DUMMYFUNCTION("""COMPUTED_VALUE"""),"Deliver")</f>
        <v>Deliver</v>
      </c>
      <c r="J387" s="3" t="str">
        <f>IFERROR(__xludf.DUMMYFUNCTION("""COMPUTED_VALUE"""),"-")</f>
        <v>-</v>
      </c>
      <c r="K387" s="3" t="str">
        <f>IFERROR(__xludf.DUMMYFUNCTION("""COMPUTED_VALUE"""),"-")</f>
        <v>-</v>
      </c>
    </row>
    <row r="388">
      <c r="A388" s="3" t="str">
        <f>IFERROR(__xludf.DUMMYFUNCTION("""COMPUTED_VALUE"""),"MFHRO0215")</f>
        <v>MFHRO0215</v>
      </c>
      <c r="B388" s="4">
        <f>IFERROR(__xludf.DUMMYFUNCTION("""COMPUTED_VALUE"""),45921.5119862963)</f>
        <v>45921.51199</v>
      </c>
      <c r="C388" s="3">
        <f>IFERROR(__xludf.DUMMYFUNCTION("""COMPUTED_VALUE"""),45921.70845464121)</f>
        <v>45921.70845</v>
      </c>
      <c r="D388" s="3" t="str">
        <f>IFERROR(__xludf.DUMMYFUNCTION("""COMPUTED_VALUE"""),"Autoclave")</f>
        <v>Autoclave</v>
      </c>
      <c r="E388" s="3" t="str">
        <f>IFERROR(__xludf.DUMMYFUNCTION("""COMPUTED_VALUE"""),"-")</f>
        <v>-</v>
      </c>
      <c r="F388" s="3" t="str">
        <f>IFERROR(__xludf.DUMMYFUNCTION("""COMPUTED_VALUE"""),"Fedegari FVA2/A1 S/N : NB2964AT - Cover Seal FVM-A/2 FOB2 (Code: PP600265); ; ;")</f>
        <v>Fedegari FVA2/A1 S/N : NB2964AT - Cover Seal FVM-A/2 FOB2 (Code: PP600265); ; ;</v>
      </c>
      <c r="G388" s="3">
        <f>IFERROR(__xludf.DUMMYFUNCTION("""COMPUTED_VALUE"""),2.0)</f>
        <v>2</v>
      </c>
      <c r="H388" s="3" t="str">
        <f>IFERROR(__xludf.DUMMYFUNCTION("""COMPUTED_VALUE"""),"Unit")</f>
        <v>Unit</v>
      </c>
      <c r="I388" s="3" t="str">
        <f>IFERROR(__xludf.DUMMYFUNCTION("""COMPUTED_VALUE"""),"Deliver")</f>
        <v>Deliver</v>
      </c>
      <c r="J388" s="3" t="str">
        <f>IFERROR(__xludf.DUMMYFUNCTION("""COMPUTED_VALUE"""),"-")</f>
        <v>-</v>
      </c>
      <c r="K388" s="3" t="str">
        <f>IFERROR(__xludf.DUMMYFUNCTION("""COMPUTED_VALUE"""),"-")</f>
        <v>-</v>
      </c>
    </row>
    <row r="389">
      <c r="A389" s="3" t="str">
        <f>IFERROR(__xludf.DUMMYFUNCTION("""COMPUTED_VALUE"""),"MFHRO0216")</f>
        <v>MFHRO0216</v>
      </c>
      <c r="B389" s="4">
        <f>IFERROR(__xludf.DUMMYFUNCTION("""COMPUTED_VALUE"""),45921.5119862963)</f>
        <v>45921.51199</v>
      </c>
      <c r="C389" s="3">
        <f>IFERROR(__xludf.DUMMYFUNCTION("""COMPUTED_VALUE"""),45921.87443439815)</f>
        <v>45921.87443</v>
      </c>
      <c r="D389" s="3" t="str">
        <f>IFERROR(__xludf.DUMMYFUNCTION("""COMPUTED_VALUE"""),"Tools")</f>
        <v>Tools</v>
      </c>
      <c r="E389" s="3" t="str">
        <f>IFERROR(__xludf.DUMMYFUNCTION("""COMPUTED_VALUE"""),"-")</f>
        <v>-</v>
      </c>
      <c r="F389" s="3" t="str">
        <f>IFERROR(__xludf.DUMMYFUNCTION("""COMPUTED_VALUE"""),"Jolly Box ; JX-3 No. 300; Lion Star; ;")</f>
        <v>Jolly Box ; JX-3 No. 300; Lion Star; ;</v>
      </c>
      <c r="G389" s="3">
        <f>IFERROR(__xludf.DUMMYFUNCTION("""COMPUTED_VALUE"""),250.0)</f>
        <v>250</v>
      </c>
      <c r="H389" s="3" t="str">
        <f>IFERROR(__xludf.DUMMYFUNCTION("""COMPUTED_VALUE"""),"Pieces")</f>
        <v>Pieces</v>
      </c>
      <c r="I389" s="3" t="str">
        <f>IFERROR(__xludf.DUMMYFUNCTION("""COMPUTED_VALUE"""),"Deliver")</f>
        <v>Deliver</v>
      </c>
      <c r="J389" s="3" t="str">
        <f>IFERROR(__xludf.DUMMYFUNCTION("""COMPUTED_VALUE"""),"-")</f>
        <v>-</v>
      </c>
      <c r="K389" s="3" t="str">
        <f>IFERROR(__xludf.DUMMYFUNCTION("""COMPUTED_VALUE"""),"-")</f>
        <v>-</v>
      </c>
    </row>
    <row r="390">
      <c r="A390" s="3" t="str">
        <f>IFERROR(__xludf.DUMMYFUNCTION("""COMPUTED_VALUE"""),"MFHRO0217")</f>
        <v>MFHRO0217</v>
      </c>
      <c r="B390" s="4">
        <f>IFERROR(__xludf.DUMMYFUNCTION("""COMPUTED_VALUE"""),45921.5119862963)</f>
        <v>45921.51199</v>
      </c>
      <c r="C390" s="3">
        <f>IFERROR(__xludf.DUMMYFUNCTION("""COMPUTED_VALUE"""),45921.87454078704)</f>
        <v>45921.87454</v>
      </c>
      <c r="D390" s="3" t="str">
        <f>IFERROR(__xludf.DUMMYFUNCTION("""COMPUTED_VALUE"""),"TOC")</f>
        <v>TOC</v>
      </c>
      <c r="E390" s="3" t="str">
        <f>IFERROR(__xludf.DUMMYFUNCTION("""COMPUTED_VALUE"""),"-")</f>
        <v>-</v>
      </c>
      <c r="F390" s="3" t="str">
        <f>IFERROR(__xludf.DUMMYFUNCTION("""COMPUTED_VALUE"""),"900 Resin Bed for TOC Sievers; ; ;")</f>
        <v>900 Resin Bed for TOC Sievers; ; ;</v>
      </c>
      <c r="G390" s="3">
        <f>IFERROR(__xludf.DUMMYFUNCTION("""COMPUTED_VALUE"""),1.0)</f>
        <v>1</v>
      </c>
      <c r="H390" s="3" t="str">
        <f>IFERROR(__xludf.DUMMYFUNCTION("""COMPUTED_VALUE"""),"Pieces")</f>
        <v>Pieces</v>
      </c>
      <c r="I390" s="3" t="str">
        <f>IFERROR(__xludf.DUMMYFUNCTION("""COMPUTED_VALUE"""),"Deliver")</f>
        <v>Deliver</v>
      </c>
      <c r="J390" s="3" t="str">
        <f>IFERROR(__xludf.DUMMYFUNCTION("""COMPUTED_VALUE"""),"-")</f>
        <v>-</v>
      </c>
      <c r="K390" s="3" t="str">
        <f>IFERROR(__xludf.DUMMYFUNCTION("""COMPUTED_VALUE"""),"-")</f>
        <v>-</v>
      </c>
    </row>
    <row r="391">
      <c r="A391" s="3" t="str">
        <f>IFERROR(__xludf.DUMMYFUNCTION("""COMPUTED_VALUE"""),"MFHRO0218")</f>
        <v>MFHRO0218</v>
      </c>
      <c r="B391" s="4">
        <f>IFERROR(__xludf.DUMMYFUNCTION("""COMPUTED_VALUE"""),45921.5119862963)</f>
        <v>45921.51199</v>
      </c>
      <c r="C391" s="3">
        <f>IFERROR(__xludf.DUMMYFUNCTION("""COMPUTED_VALUE"""),45921.874636238426)</f>
        <v>45921.87464</v>
      </c>
      <c r="D391" s="3" t="str">
        <f>IFERROR(__xludf.DUMMYFUNCTION("""COMPUTED_VALUE"""),"TOC")</f>
        <v>TOC</v>
      </c>
      <c r="E391" s="3" t="str">
        <f>IFERROR(__xludf.DUMMYFUNCTION("""COMPUTED_VALUE"""),"-")</f>
        <v>-</v>
      </c>
      <c r="F391" s="3" t="str">
        <f>IFERROR(__xludf.DUMMYFUNCTION("""COMPUTED_VALUE"""),"900 UV lamp; Sievers; P/N CARK35010-01; 1 pc")</f>
        <v>900 UV lamp; Sievers; P/N CARK35010-01; 1 pc</v>
      </c>
      <c r="G391" s="3">
        <f>IFERROR(__xludf.DUMMYFUNCTION("""COMPUTED_VALUE"""),1.0)</f>
        <v>1</v>
      </c>
      <c r="H391" s="3" t="str">
        <f>IFERROR(__xludf.DUMMYFUNCTION("""COMPUTED_VALUE"""),"Pieces")</f>
        <v>Pieces</v>
      </c>
      <c r="I391" s="3" t="str">
        <f>IFERROR(__xludf.DUMMYFUNCTION("""COMPUTED_VALUE"""),"Deliver")</f>
        <v>Deliver</v>
      </c>
      <c r="J391" s="3" t="str">
        <f>IFERROR(__xludf.DUMMYFUNCTION("""COMPUTED_VALUE"""),"-")</f>
        <v>-</v>
      </c>
      <c r="K391" s="3" t="str">
        <f>IFERROR(__xludf.DUMMYFUNCTION("""COMPUTED_VALUE"""),"-")</f>
        <v>-</v>
      </c>
    </row>
    <row r="392">
      <c r="A392" s="3" t="str">
        <f>IFERROR(__xludf.DUMMYFUNCTION("""COMPUTED_VALUE"""),"MFHRO0219")</f>
        <v>MFHRO0219</v>
      </c>
      <c r="B392" s="4">
        <f>IFERROR(__xludf.DUMMYFUNCTION("""COMPUTED_VALUE"""),45921.5119862963)</f>
        <v>45921.51199</v>
      </c>
      <c r="C392" s="3">
        <f>IFERROR(__xludf.DUMMYFUNCTION("""COMPUTED_VALUE"""),45921.87474868055)</f>
        <v>45921.87475</v>
      </c>
      <c r="D392" s="3" t="str">
        <f>IFERROR(__xludf.DUMMYFUNCTION("""COMPUTED_VALUE"""),"TOC")</f>
        <v>TOC</v>
      </c>
      <c r="E392" s="3" t="str">
        <f>IFERROR(__xludf.DUMMYFUNCTION("""COMPUTED_VALUE"""),"-")</f>
        <v>-</v>
      </c>
      <c r="F392" s="3" t="str">
        <f>IFERROR(__xludf.DUMMYFUNCTION("""COMPUTED_VALUE"""),"900 Sample pump tubing; Sievers; P/N CATU 96200; 1 pc")</f>
        <v>900 Sample pump tubing; Sievers; P/N CATU 96200; 1 pc</v>
      </c>
      <c r="G392" s="3">
        <f>IFERROR(__xludf.DUMMYFUNCTION("""COMPUTED_VALUE"""),1.0)</f>
        <v>1</v>
      </c>
      <c r="H392" s="3" t="str">
        <f>IFERROR(__xludf.DUMMYFUNCTION("""COMPUTED_VALUE"""),"Pieces")</f>
        <v>Pieces</v>
      </c>
      <c r="I392" s="3" t="str">
        <f>IFERROR(__xludf.DUMMYFUNCTION("""COMPUTED_VALUE"""),"Deliver")</f>
        <v>Deliver</v>
      </c>
      <c r="J392" s="3" t="str">
        <f>IFERROR(__xludf.DUMMYFUNCTION("""COMPUTED_VALUE"""),"-")</f>
        <v>-</v>
      </c>
      <c r="K392" s="3" t="str">
        <f>IFERROR(__xludf.DUMMYFUNCTION("""COMPUTED_VALUE"""),"-")</f>
        <v>-</v>
      </c>
    </row>
    <row r="393">
      <c r="A393" s="3" t="str">
        <f>IFERROR(__xludf.DUMMYFUNCTION("""COMPUTED_VALUE"""),"MFHRO0220")</f>
        <v>MFHRO0220</v>
      </c>
      <c r="B393" s="4">
        <f>IFERROR(__xludf.DUMMYFUNCTION("""COMPUTED_VALUE"""),45921.5119862963)</f>
        <v>45921.51199</v>
      </c>
      <c r="C393" s="3">
        <f>IFERROR(__xludf.DUMMYFUNCTION("""COMPUTED_VALUE"""),45921.87491180556)</f>
        <v>45921.87491</v>
      </c>
      <c r="D393" s="3" t="str">
        <f>IFERROR(__xludf.DUMMYFUNCTION("""COMPUTED_VALUE"""),"Tools")</f>
        <v>Tools</v>
      </c>
      <c r="E393" s="3" t="str">
        <f>IFERROR(__xludf.DUMMYFUNCTION("""COMPUTED_VALUE"""),"-")</f>
        <v>-</v>
      </c>
      <c r="F393" s="3" t="str">
        <f>IFERROR(__xludf.DUMMYFUNCTION("""COMPUTED_VALUE"""),"Kunci L Hex Key Stubby Uk. 1,5 - 10 mm; Tekiro; HK-ST1210 ; 9 pc/set")</f>
        <v>Kunci L Hex Key Stubby Uk. 1,5 - 10 mm; Tekiro; HK-ST1210 ; 9 pc/set</v>
      </c>
      <c r="G393" s="3">
        <f>IFERROR(__xludf.DUMMYFUNCTION("""COMPUTED_VALUE"""),1.0)</f>
        <v>1</v>
      </c>
      <c r="H393" s="3" t="str">
        <f>IFERROR(__xludf.DUMMYFUNCTION("""COMPUTED_VALUE"""),"Set")</f>
        <v>Set</v>
      </c>
      <c r="I393" s="3" t="str">
        <f>IFERROR(__xludf.DUMMYFUNCTION("""COMPUTED_VALUE"""),"Deliver")</f>
        <v>Deliver</v>
      </c>
      <c r="J393" s="3" t="str">
        <f>IFERROR(__xludf.DUMMYFUNCTION("""COMPUTED_VALUE"""),"-")</f>
        <v>-</v>
      </c>
      <c r="K393" s="3" t="str">
        <f>IFERROR(__xludf.DUMMYFUNCTION("""COMPUTED_VALUE"""),"-")</f>
        <v>-</v>
      </c>
    </row>
    <row r="394">
      <c r="A394" s="3" t="str">
        <f>IFERROR(__xludf.DUMMYFUNCTION("""COMPUTED_VALUE"""),"MFHRO0221")</f>
        <v>MFHRO0221</v>
      </c>
      <c r="B394" s="4">
        <f>IFERROR(__xludf.DUMMYFUNCTION("""COMPUTED_VALUE"""),45921.5119862963)</f>
        <v>45921.51199</v>
      </c>
      <c r="C394" s="3">
        <f>IFERROR(__xludf.DUMMYFUNCTION("""COMPUTED_VALUE"""),45921.87501471065)</f>
        <v>45921.87501</v>
      </c>
      <c r="D394" s="3" t="str">
        <f>IFERROR(__xludf.DUMMYFUNCTION("""COMPUTED_VALUE"""),"Cartonning")</f>
        <v>Cartonning</v>
      </c>
      <c r="E394" s="3" t="str">
        <f>IFERROR(__xludf.DUMMYFUNCTION("""COMPUTED_VALUE"""),"-")</f>
        <v>-</v>
      </c>
      <c r="F394" s="3" t="str">
        <f>IFERROR(__xludf.DUMMYFUNCTION("""COMPUTED_VALUE"""),"Marchesini FB220-PN. 7301604 MODULE,E.DOT+, 0,35MM NOZZLE  Nordson; Nordson; ;")</f>
        <v>Marchesini FB220-PN. 7301604 MODULE,E.DOT+, 0,35MM NOZZLE  Nordson; Nordson; ;</v>
      </c>
      <c r="G394" s="3">
        <f>IFERROR(__xludf.DUMMYFUNCTION("""COMPUTED_VALUE"""),1.0)</f>
        <v>1</v>
      </c>
      <c r="H394" s="3" t="str">
        <f>IFERROR(__xludf.DUMMYFUNCTION("""COMPUTED_VALUE"""),"Pieces")</f>
        <v>Pieces</v>
      </c>
      <c r="I394" s="3" t="str">
        <f>IFERROR(__xludf.DUMMYFUNCTION("""COMPUTED_VALUE"""),"Deliver")</f>
        <v>Deliver</v>
      </c>
      <c r="J394" s="3" t="str">
        <f>IFERROR(__xludf.DUMMYFUNCTION("""COMPUTED_VALUE"""),"-")</f>
        <v>-</v>
      </c>
      <c r="K394" s="3" t="str">
        <f>IFERROR(__xludf.DUMMYFUNCTION("""COMPUTED_VALUE"""),"-")</f>
        <v>-</v>
      </c>
    </row>
    <row r="395">
      <c r="A395" s="3" t="str">
        <f>IFERROR(__xludf.DUMMYFUNCTION("""COMPUTED_VALUE"""),"MFHRO0222")</f>
        <v>MFHRO0222</v>
      </c>
      <c r="B395" s="4">
        <f>IFERROR(__xludf.DUMMYFUNCTION("""COMPUTED_VALUE"""),45921.5119862963)</f>
        <v>45921.51199</v>
      </c>
      <c r="C395" s="3">
        <f>IFERROR(__xludf.DUMMYFUNCTION("""COMPUTED_VALUE"""),45921.87512146991)</f>
        <v>45921.87512</v>
      </c>
      <c r="D395" s="3" t="str">
        <f>IFERROR(__xludf.DUMMYFUNCTION("""COMPUTED_VALUE"""),"Sparepart")</f>
        <v>Sparepart</v>
      </c>
      <c r="E395" s="3" t="str">
        <f>IFERROR(__xludf.DUMMYFUNCTION("""COMPUTED_VALUE"""),"-")</f>
        <v>-</v>
      </c>
      <c r="F395" s="3" t="str">
        <f>IFERROR(__xludf.DUMMYFUNCTION("""COMPUTED_VALUE"""),"Socket Relay PF083A-E; Omron; PF083A; 1 pieces")</f>
        <v>Socket Relay PF083A-E; Omron; PF083A; 1 pieces</v>
      </c>
      <c r="G395" s="3">
        <f>IFERROR(__xludf.DUMMYFUNCTION("""COMPUTED_VALUE"""),5.0)</f>
        <v>5</v>
      </c>
      <c r="H395" s="3" t="str">
        <f>IFERROR(__xludf.DUMMYFUNCTION("""COMPUTED_VALUE"""),"Pieces")</f>
        <v>Pieces</v>
      </c>
      <c r="I395" s="3" t="str">
        <f>IFERROR(__xludf.DUMMYFUNCTION("""COMPUTED_VALUE"""),"Deliver")</f>
        <v>Deliver</v>
      </c>
      <c r="J395" s="3" t="str">
        <f>IFERROR(__xludf.DUMMYFUNCTION("""COMPUTED_VALUE"""),"-")</f>
        <v>-</v>
      </c>
      <c r="K395" s="3" t="str">
        <f>IFERROR(__xludf.DUMMYFUNCTION("""COMPUTED_VALUE"""),"-")</f>
        <v>-</v>
      </c>
    </row>
    <row r="396">
      <c r="A396" s="3" t="str">
        <f>IFERROR(__xludf.DUMMYFUNCTION("""COMPUTED_VALUE"""),"MFHRO0223")</f>
        <v>MFHRO0223</v>
      </c>
      <c r="B396" s="4">
        <f>IFERROR(__xludf.DUMMYFUNCTION("""COMPUTED_VALUE"""),45921.5119862963)</f>
        <v>45921.51199</v>
      </c>
      <c r="C396" s="3">
        <f>IFERROR(__xludf.DUMMYFUNCTION("""COMPUTED_VALUE"""),45921.87521871528)</f>
        <v>45921.87522</v>
      </c>
      <c r="D396" s="3" t="str">
        <f>IFERROR(__xludf.DUMMYFUNCTION("""COMPUTED_VALUE"""),"HPLC")</f>
        <v>HPLC</v>
      </c>
      <c r="E396" s="3" t="str">
        <f>IFERROR(__xludf.DUMMYFUNCTION("""COMPUTED_VALUE"""),"-")</f>
        <v>-</v>
      </c>
      <c r="F396" s="3" t="str">
        <f>IFERROR(__xludf.DUMMYFUNCTION("""COMPUTED_VALUE"""),"Performance Plus Check Valve Housing; Waters; 700002332;")</f>
        <v>Performance Plus Check Valve Housing; Waters; 700002332;</v>
      </c>
      <c r="G396" s="3">
        <f>IFERROR(__xludf.DUMMYFUNCTION("""COMPUTED_VALUE"""),2.0)</f>
        <v>2</v>
      </c>
      <c r="H396" s="3" t="str">
        <f>IFERROR(__xludf.DUMMYFUNCTION("""COMPUTED_VALUE"""),"Pack")</f>
        <v>Pack</v>
      </c>
      <c r="I396" s="3" t="str">
        <f>IFERROR(__xludf.DUMMYFUNCTION("""COMPUTED_VALUE"""),"Deliver")</f>
        <v>Deliver</v>
      </c>
      <c r="J396" s="3" t="str">
        <f>IFERROR(__xludf.DUMMYFUNCTION("""COMPUTED_VALUE"""),"-")</f>
        <v>-</v>
      </c>
      <c r="K396" s="3" t="str">
        <f>IFERROR(__xludf.DUMMYFUNCTION("""COMPUTED_VALUE"""),"-")</f>
        <v>-</v>
      </c>
    </row>
    <row r="397">
      <c r="A397" s="3" t="str">
        <f>IFERROR(__xludf.DUMMYFUNCTION("""COMPUTED_VALUE"""),"MFHRO0224")</f>
        <v>MFHRO0224</v>
      </c>
      <c r="B397" s="4">
        <f>IFERROR(__xludf.DUMMYFUNCTION("""COMPUTED_VALUE"""),45921.5119862963)</f>
        <v>45921.51199</v>
      </c>
      <c r="C397" s="3">
        <f>IFERROR(__xludf.DUMMYFUNCTION("""COMPUTED_VALUE"""),45921.87534061343)</f>
        <v>45921.87534</v>
      </c>
      <c r="D397" s="3" t="str">
        <f>IFERROR(__xludf.DUMMYFUNCTION("""COMPUTED_VALUE"""),"OSD")</f>
        <v>OSD</v>
      </c>
      <c r="E397" s="3" t="str">
        <f>IFERROR(__xludf.DUMMYFUNCTION("""COMPUTED_VALUE"""),"-")</f>
        <v>-</v>
      </c>
      <c r="F397" s="3" t="str">
        <f>IFERROR(__xludf.DUMMYFUNCTION("""COMPUTED_VALUE"""),"General - Hygrothermo Transducer, 907021/161-2-34-005/000, Output 4...20mA, 2 Wire, 0-100%, 0-50DegC; Jumo; JU.90.7021.050; 1 pc")</f>
        <v>General - Hygrothermo Transducer, 907021/161-2-34-005/000, Output 4...20mA, 2 Wire, 0-100%, 0-50DegC; Jumo; JU.90.7021.050; 1 pc</v>
      </c>
      <c r="G397" s="3">
        <f>IFERROR(__xludf.DUMMYFUNCTION("""COMPUTED_VALUE"""),2.0)</f>
        <v>2</v>
      </c>
      <c r="H397" s="3" t="str">
        <f>IFERROR(__xludf.DUMMYFUNCTION("""COMPUTED_VALUE"""),"Pieces")</f>
        <v>Pieces</v>
      </c>
      <c r="I397" s="3" t="str">
        <f>IFERROR(__xludf.DUMMYFUNCTION("""COMPUTED_VALUE"""),"Deliver")</f>
        <v>Deliver</v>
      </c>
      <c r="J397" s="3" t="str">
        <f>IFERROR(__xludf.DUMMYFUNCTION("""COMPUTED_VALUE"""),"-")</f>
        <v>-</v>
      </c>
      <c r="K397" s="3" t="str">
        <f>IFERROR(__xludf.DUMMYFUNCTION("""COMPUTED_VALUE"""),"-")</f>
        <v>-</v>
      </c>
    </row>
    <row r="398">
      <c r="A398" s="3" t="str">
        <f>IFERROR(__xludf.DUMMYFUNCTION("""COMPUTED_VALUE"""),"MFHRO0225")</f>
        <v>MFHRO0225</v>
      </c>
      <c r="B398" s="4">
        <f>IFERROR(__xludf.DUMMYFUNCTION("""COMPUTED_VALUE"""),45921.5119862963)</f>
        <v>45921.51199</v>
      </c>
      <c r="C398" s="3">
        <f>IFERROR(__xludf.DUMMYFUNCTION("""COMPUTED_VALUE"""),45921.87542615741)</f>
        <v>45921.87543</v>
      </c>
      <c r="D398" s="3" t="str">
        <f>IFERROR(__xludf.DUMMYFUNCTION("""COMPUTED_VALUE"""),"Mixing")</f>
        <v>Mixing</v>
      </c>
      <c r="E398" s="3" t="str">
        <f>IFERROR(__xludf.DUMMYFUNCTION("""COMPUTED_VALUE"""),"-")</f>
        <v>-</v>
      </c>
      <c r="F398" s="3" t="str">
        <f>IFERROR(__xludf.DUMMYFUNCTION("""COMPUTED_VALUE"""),"Mixing Tank Adam - Cable VP8-ST/35m; Mettler Toledo; 52300359; 1 Pc")</f>
        <v>Mixing Tank Adam - Cable VP8-ST/35m; Mettler Toledo; 52300359; 1 Pc</v>
      </c>
      <c r="G398" s="3">
        <f>IFERROR(__xludf.DUMMYFUNCTION("""COMPUTED_VALUE"""),1.0)</f>
        <v>1</v>
      </c>
      <c r="H398" s="3" t="str">
        <f>IFERROR(__xludf.DUMMYFUNCTION("""COMPUTED_VALUE"""),"Pieces")</f>
        <v>Pieces</v>
      </c>
      <c r="I398" s="3" t="str">
        <f>IFERROR(__xludf.DUMMYFUNCTION("""COMPUTED_VALUE"""),"Deliver")</f>
        <v>Deliver</v>
      </c>
      <c r="J398" s="3" t="str">
        <f>IFERROR(__xludf.DUMMYFUNCTION("""COMPUTED_VALUE"""),"-")</f>
        <v>-</v>
      </c>
      <c r="K398" s="3" t="str">
        <f>IFERROR(__xludf.DUMMYFUNCTION("""COMPUTED_VALUE"""),"-")</f>
        <v>-</v>
      </c>
    </row>
    <row r="399">
      <c r="A399" s="3" t="str">
        <f>IFERROR(__xludf.DUMMYFUNCTION("""COMPUTED_VALUE"""),"MFHRO0226")</f>
        <v>MFHRO0226</v>
      </c>
      <c r="B399" s="4">
        <f>IFERROR(__xludf.DUMMYFUNCTION("""COMPUTED_VALUE"""),45921.5119862963)</f>
        <v>45921.51199</v>
      </c>
      <c r="C399" s="3">
        <f>IFERROR(__xludf.DUMMYFUNCTION("""COMPUTED_VALUE"""),45921.87551716436)</f>
        <v>45921.87552</v>
      </c>
      <c r="D399" s="3" t="str">
        <f>IFERROR(__xludf.DUMMYFUNCTION("""COMPUTED_VALUE"""),"FD")</f>
        <v>FD</v>
      </c>
      <c r="E399" s="3" t="str">
        <f>IFERROR(__xludf.DUMMYFUNCTION("""COMPUTED_VALUE"""),"-")</f>
        <v>-</v>
      </c>
      <c r="F399" s="3" t="str">
        <f>IFERROR(__xludf.DUMMYFUNCTION("""COMPUTED_VALUE"""),"Flexible Front End 916 - (125.0 - 125.0)")</f>
        <v>Flexible Front End 916 - (125.0 - 125.0)</v>
      </c>
      <c r="G399" s="3">
        <f>IFERROR(__xludf.DUMMYFUNCTION("""COMPUTED_VALUE"""),1.0)</f>
        <v>1</v>
      </c>
      <c r="H399" s="3" t="str">
        <f>IFERROR(__xludf.DUMMYFUNCTION("""COMPUTED_VALUE"""),"Pieces")</f>
        <v>Pieces</v>
      </c>
      <c r="I399" s="3" t="str">
        <f>IFERROR(__xludf.DUMMYFUNCTION("""COMPUTED_VALUE"""),"Deliver")</f>
        <v>Deliver</v>
      </c>
      <c r="J399" s="3" t="str">
        <f>IFERROR(__xludf.DUMMYFUNCTION("""COMPUTED_VALUE"""),"-")</f>
        <v>-</v>
      </c>
      <c r="K399" s="3" t="str">
        <f>IFERROR(__xludf.DUMMYFUNCTION("""COMPUTED_VALUE"""),"-")</f>
        <v>-</v>
      </c>
    </row>
    <row r="400">
      <c r="A400" s="3" t="str">
        <f>IFERROR(__xludf.DUMMYFUNCTION("""COMPUTED_VALUE"""),"MFHRO0227")</f>
        <v>MFHRO0227</v>
      </c>
      <c r="B400" s="4">
        <f>IFERROR(__xludf.DUMMYFUNCTION("""COMPUTED_VALUE"""),45921.5119862963)</f>
        <v>45921.51199</v>
      </c>
      <c r="C400" s="3">
        <f>IFERROR(__xludf.DUMMYFUNCTION("""COMPUTED_VALUE"""),45921.8756059838)</f>
        <v>45921.87561</v>
      </c>
      <c r="D400" s="3" t="str">
        <f>IFERROR(__xludf.DUMMYFUNCTION("""COMPUTED_VALUE"""),"SKAN")</f>
        <v>SKAN</v>
      </c>
      <c r="E400" s="3" t="str">
        <f>IFERROR(__xludf.DUMMYFUNCTION("""COMPUTED_VALUE"""),"-")</f>
        <v>-</v>
      </c>
      <c r="F400" s="3" t="str">
        <f>IFERROR(__xludf.DUMMYFUNCTION("""COMPUTED_VALUE"""),"Isolator - Pneumatic Gasket Front Door DICHT.PNEU. 1784X0724 MVQ; SKAN; 1015746; 1 Pc")</f>
        <v>Isolator - Pneumatic Gasket Front Door DICHT.PNEU. 1784X0724 MVQ; SKAN; 1015746; 1 Pc</v>
      </c>
      <c r="G400" s="3">
        <f>IFERROR(__xludf.DUMMYFUNCTION("""COMPUTED_VALUE"""),1.0)</f>
        <v>1</v>
      </c>
      <c r="H400" s="3" t="str">
        <f>IFERROR(__xludf.DUMMYFUNCTION("""COMPUTED_VALUE"""),"Pieces")</f>
        <v>Pieces</v>
      </c>
      <c r="I400" s="3" t="str">
        <f>IFERROR(__xludf.DUMMYFUNCTION("""COMPUTED_VALUE"""),"Deliver")</f>
        <v>Deliver</v>
      </c>
      <c r="J400" s="3" t="str">
        <f>IFERROR(__xludf.DUMMYFUNCTION("""COMPUTED_VALUE"""),"-")</f>
        <v>-</v>
      </c>
      <c r="K400" s="3" t="str">
        <f>IFERROR(__xludf.DUMMYFUNCTION("""COMPUTED_VALUE"""),"-")</f>
        <v>-</v>
      </c>
    </row>
    <row r="401">
      <c r="A401" s="3" t="str">
        <f>IFERROR(__xludf.DUMMYFUNCTION("""COMPUTED_VALUE"""),"MFHRO0228")</f>
        <v>MFHRO0228</v>
      </c>
      <c r="B401" s="4">
        <f>IFERROR(__xludf.DUMMYFUNCTION("""COMPUTED_VALUE"""),45921.5119862963)</f>
        <v>45921.51199</v>
      </c>
      <c r="C401" s="3">
        <f>IFERROR(__xludf.DUMMYFUNCTION("""COMPUTED_VALUE"""),45921.87570512731)</f>
        <v>45921.87571</v>
      </c>
      <c r="D401" s="3" t="str">
        <f>IFERROR(__xludf.DUMMYFUNCTION("""COMPUTED_VALUE"""),"SKAN")</f>
        <v>SKAN</v>
      </c>
      <c r="E401" s="3" t="str">
        <f>IFERROR(__xludf.DUMMYFUNCTION("""COMPUTED_VALUE"""),"-")</f>
        <v>-</v>
      </c>
      <c r="F401" s="3" t="str">
        <f>IFERROR(__xludf.DUMMYFUNCTION("""COMPUTED_VALUE"""),"Isolator - Silicon Tube Pump 913.A016.016; SKAN; 1002902; 1 Pc")</f>
        <v>Isolator - Silicon Tube Pump 913.A016.016; SKAN; 1002902; 1 Pc</v>
      </c>
      <c r="G401" s="3">
        <f>IFERROR(__xludf.DUMMYFUNCTION("""COMPUTED_VALUE"""),3.0)</f>
        <v>3</v>
      </c>
      <c r="H401" s="3" t="str">
        <f>IFERROR(__xludf.DUMMYFUNCTION("""COMPUTED_VALUE"""),"Pieces")</f>
        <v>Pieces</v>
      </c>
      <c r="I401" s="3" t="str">
        <f>IFERROR(__xludf.DUMMYFUNCTION("""COMPUTED_VALUE"""),"Deliver")</f>
        <v>Deliver</v>
      </c>
      <c r="J401" s="3" t="str">
        <f>IFERROR(__xludf.DUMMYFUNCTION("""COMPUTED_VALUE"""),"-")</f>
        <v>-</v>
      </c>
      <c r="K401" s="3" t="str">
        <f>IFERROR(__xludf.DUMMYFUNCTION("""COMPUTED_VALUE"""),"-")</f>
        <v>-</v>
      </c>
    </row>
    <row r="402">
      <c r="A402" s="3" t="str">
        <f>IFERROR(__xludf.DUMMYFUNCTION("""COMPUTED_VALUE"""),"MFHRO0229")</f>
        <v>MFHRO0229</v>
      </c>
      <c r="B402" s="4">
        <f>IFERROR(__xludf.DUMMYFUNCTION("""COMPUTED_VALUE"""),45921.5119862963)</f>
        <v>45921.51199</v>
      </c>
      <c r="C402" s="3">
        <f>IFERROR(__xludf.DUMMYFUNCTION("""COMPUTED_VALUE"""),45921.875805868054)</f>
        <v>45921.87581</v>
      </c>
      <c r="D402" s="3" t="str">
        <f>IFERROR(__xludf.DUMMYFUNCTION("""COMPUTED_VALUE"""),"SKAN")</f>
        <v>SKAN</v>
      </c>
      <c r="E402" s="3" t="str">
        <f>IFERROR(__xludf.DUMMYFUNCTION("""COMPUTED_VALUE"""),"-")</f>
        <v>-</v>
      </c>
      <c r="F402" s="3" t="str">
        <f>IFERROR(__xludf.DUMMYFUNCTION("""COMPUTED_VALUE"""),"Isolator Machine - Pneumatic Gasket Transfer Door (Left + Right) DICHT.PNEU. 1784X0724 MVQ; SKAN; 1015668; 1 Pc")</f>
        <v>Isolator Machine - Pneumatic Gasket Transfer Door (Left + Right) DICHT.PNEU. 1784X0724 MVQ; SKAN; 1015668; 1 Pc</v>
      </c>
      <c r="G402" s="3">
        <f>IFERROR(__xludf.DUMMYFUNCTION("""COMPUTED_VALUE"""),1.0)</f>
        <v>1</v>
      </c>
      <c r="H402" s="3" t="str">
        <f>IFERROR(__xludf.DUMMYFUNCTION("""COMPUTED_VALUE"""),"Pieces")</f>
        <v>Pieces</v>
      </c>
      <c r="I402" s="3" t="str">
        <f>IFERROR(__xludf.DUMMYFUNCTION("""COMPUTED_VALUE"""),"Deliver")</f>
        <v>Deliver</v>
      </c>
      <c r="J402" s="3" t="str">
        <f>IFERROR(__xludf.DUMMYFUNCTION("""COMPUTED_VALUE"""),"-")</f>
        <v>-</v>
      </c>
      <c r="K402" s="3" t="str">
        <f>IFERROR(__xludf.DUMMYFUNCTION("""COMPUTED_VALUE"""),"-")</f>
        <v>-</v>
      </c>
    </row>
    <row r="403">
      <c r="A403" s="3" t="str">
        <f>IFERROR(__xludf.DUMMYFUNCTION("""COMPUTED_VALUE"""),"MFHRO0230")</f>
        <v>MFHRO0230</v>
      </c>
      <c r="B403" s="4">
        <f>IFERROR(__xludf.DUMMYFUNCTION("""COMPUTED_VALUE"""),45921.5119862963)</f>
        <v>45921.51199</v>
      </c>
      <c r="C403" s="3">
        <f>IFERROR(__xludf.DUMMYFUNCTION("""COMPUTED_VALUE"""),45921.875910902774)</f>
        <v>45921.87591</v>
      </c>
      <c r="D403" s="3" t="str">
        <f>IFERROR(__xludf.DUMMYFUNCTION("""COMPUTED_VALUE"""),"Sparepart")</f>
        <v>Sparepart</v>
      </c>
      <c r="E403" s="3" t="str">
        <f>IFERROR(__xludf.DUMMYFUNCTION("""COMPUTED_VALUE"""),"-")</f>
        <v>-</v>
      </c>
      <c r="F403" s="3" t="str">
        <f>IFERROR(__xludf.DUMMYFUNCTION("""COMPUTED_VALUE"""),"Chemical - NIKKO steel Type: NS-stain clean = 1kg (stainless steel pickling gel)")</f>
        <v>Chemical - NIKKO steel Type: NS-stain clean = 1kg (stainless steel pickling gel)</v>
      </c>
      <c r="G403" s="3">
        <f>IFERROR(__xludf.DUMMYFUNCTION("""COMPUTED_VALUE"""),5.0)</f>
        <v>5</v>
      </c>
      <c r="H403" s="3" t="str">
        <f>IFERROR(__xludf.DUMMYFUNCTION("""COMPUTED_VALUE"""),"Pieces")</f>
        <v>Pieces</v>
      </c>
      <c r="I403" s="3" t="str">
        <f>IFERROR(__xludf.DUMMYFUNCTION("""COMPUTED_VALUE"""),"Deliver")</f>
        <v>Deliver</v>
      </c>
      <c r="J403" s="3" t="str">
        <f>IFERROR(__xludf.DUMMYFUNCTION("""COMPUTED_VALUE"""),"-")</f>
        <v>-</v>
      </c>
      <c r="K403" s="3" t="str">
        <f>IFERROR(__xludf.DUMMYFUNCTION("""COMPUTED_VALUE"""),"-")</f>
        <v>-</v>
      </c>
    </row>
    <row r="404">
      <c r="A404" s="3" t="str">
        <f>IFERROR(__xludf.DUMMYFUNCTION("""COMPUTED_VALUE"""),"MFHRO0231")</f>
        <v>MFHRO0231</v>
      </c>
      <c r="B404" s="4">
        <f>IFERROR(__xludf.DUMMYFUNCTION("""COMPUTED_VALUE"""),45921.5119862963)</f>
        <v>45921.51199</v>
      </c>
      <c r="C404" s="3">
        <f>IFERROR(__xludf.DUMMYFUNCTION("""COMPUTED_VALUE"""),45921.87601416667)</f>
        <v>45921.87601</v>
      </c>
      <c r="D404" s="3" t="str">
        <f>IFERROR(__xludf.DUMMYFUNCTION("""COMPUTED_VALUE"""),"BSC")</f>
        <v>BSC</v>
      </c>
      <c r="E404" s="3" t="str">
        <f>IFERROR(__xludf.DUMMYFUNCTION("""COMPUTED_VALUE"""),"-")</f>
        <v>-</v>
      </c>
      <c r="F404" s="3" t="str">
        <f>IFERROR(__xludf.DUMMYFUNCTION("""COMPUTED_VALUE"""),"Bio Safety Cabinet - Cover Timbangan Presision Balance 3x167x237, Mat. Acrylic; Custom/Lokal; -; 1 Pc")</f>
        <v>Bio Safety Cabinet - Cover Timbangan Presision Balance 3x167x237, Mat. Acrylic; Custom/Lokal; -; 1 Pc</v>
      </c>
      <c r="G404" s="3">
        <f>IFERROR(__xludf.DUMMYFUNCTION("""COMPUTED_VALUE"""),1.0)</f>
        <v>1</v>
      </c>
      <c r="H404" s="3" t="str">
        <f>IFERROR(__xludf.DUMMYFUNCTION("""COMPUTED_VALUE"""),"Pieces")</f>
        <v>Pieces</v>
      </c>
      <c r="I404" s="3" t="str">
        <f>IFERROR(__xludf.DUMMYFUNCTION("""COMPUTED_VALUE"""),"Deliver")</f>
        <v>Deliver</v>
      </c>
      <c r="J404" s="3" t="str">
        <f>IFERROR(__xludf.DUMMYFUNCTION("""COMPUTED_VALUE"""),"-")</f>
        <v>-</v>
      </c>
      <c r="K404" s="3" t="str">
        <f>IFERROR(__xludf.DUMMYFUNCTION("""COMPUTED_VALUE"""),"-")</f>
        <v>-</v>
      </c>
    </row>
    <row r="405">
      <c r="A405" s="3" t="str">
        <f>IFERROR(__xludf.DUMMYFUNCTION("""COMPUTED_VALUE"""),"MFHRO0232")</f>
        <v>MFHRO0232</v>
      </c>
      <c r="B405" s="4">
        <f>IFERROR(__xludf.DUMMYFUNCTION("""COMPUTED_VALUE"""),45921.5119862963)</f>
        <v>45921.51199</v>
      </c>
      <c r="C405" s="3">
        <f>IFERROR(__xludf.DUMMYFUNCTION("""COMPUTED_VALUE"""),45921.876120243054)</f>
        <v>45921.87612</v>
      </c>
      <c r="D405" s="3" t="str">
        <f>IFERROR(__xludf.DUMMYFUNCTION("""COMPUTED_VALUE"""),"Sparepart")</f>
        <v>Sparepart</v>
      </c>
      <c r="E405" s="3" t="str">
        <f>IFERROR(__xludf.DUMMYFUNCTION("""COMPUTED_VALUE"""),"-")</f>
        <v>-</v>
      </c>
      <c r="F405" s="3" t="str">
        <f>IFERROR(__xludf.DUMMYFUNCTION("""COMPUTED_VALUE"""),"General - Push-in Connector, QS-6; Festo; 153032; 1 pcs")</f>
        <v>General - Push-in Connector, QS-6; Festo; 153032; 1 pcs</v>
      </c>
      <c r="G405" s="3">
        <f>IFERROR(__xludf.DUMMYFUNCTION("""COMPUTED_VALUE"""),10.0)</f>
        <v>10</v>
      </c>
      <c r="H405" s="3" t="str">
        <f>IFERROR(__xludf.DUMMYFUNCTION("""COMPUTED_VALUE"""),"Pieces")</f>
        <v>Pieces</v>
      </c>
      <c r="I405" s="3" t="str">
        <f>IFERROR(__xludf.DUMMYFUNCTION("""COMPUTED_VALUE"""),"Deliver")</f>
        <v>Deliver</v>
      </c>
      <c r="J405" s="3" t="str">
        <f>IFERROR(__xludf.DUMMYFUNCTION("""COMPUTED_VALUE"""),"-")</f>
        <v>-</v>
      </c>
      <c r="K405" s="3" t="str">
        <f>IFERROR(__xludf.DUMMYFUNCTION("""COMPUTED_VALUE"""),"-")</f>
        <v>-</v>
      </c>
    </row>
    <row r="406">
      <c r="A406" s="3" t="str">
        <f>IFERROR(__xludf.DUMMYFUNCTION("""COMPUTED_VALUE"""),"ROSRO0011")</f>
        <v>ROSRO0011</v>
      </c>
      <c r="B406" s="4">
        <f>IFERROR(__xludf.DUMMYFUNCTION("""COMPUTED_VALUE"""),45923.41597983796)</f>
        <v>45923.41598</v>
      </c>
      <c r="C406" s="3">
        <f>IFERROR(__xludf.DUMMYFUNCTION("""COMPUTED_VALUE"""),45930.210313240736)</f>
        <v>45930.21031</v>
      </c>
      <c r="D406" s="3" t="str">
        <f>IFERROR(__xludf.DUMMYFUNCTION("""COMPUTED_VALUE"""),"Filling ")</f>
        <v>Filling </v>
      </c>
      <c r="E406" s="3" t="str">
        <f>IFERROR(__xludf.DUMMYFUNCTION("""COMPUTED_VALUE"""),"-")</f>
        <v>-</v>
      </c>
      <c r="F406" s="3" t="str">
        <f>IFERROR(__xludf.DUMMYFUNCTION("""COMPUTED_VALUE"""),"Oring Silicone Merah 18.4x13x2.7 mm; ; ;")</f>
        <v>Oring Silicone Merah 18.4x13x2.7 mm; ; ;</v>
      </c>
      <c r="G406" s="3">
        <f>IFERROR(__xludf.DUMMYFUNCTION("""COMPUTED_VALUE"""),20.0)</f>
        <v>20</v>
      </c>
      <c r="H406" s="3" t="str">
        <f>IFERROR(__xludf.DUMMYFUNCTION("""COMPUTED_VALUE"""),"Pcs")</f>
        <v>Pcs</v>
      </c>
      <c r="I406" s="3" t="str">
        <f>IFERROR(__xludf.DUMMYFUNCTION("""COMPUTED_VALUE"""),"Deliver")</f>
        <v>Deliver</v>
      </c>
      <c r="J406" s="3" t="str">
        <f>IFERROR(__xludf.DUMMYFUNCTION("""COMPUTED_VALUE"""),"-")</f>
        <v>-</v>
      </c>
      <c r="K406" s="3" t="str">
        <f>IFERROR(__xludf.DUMMYFUNCTION("""COMPUTED_VALUE"""),"-")</f>
        <v>-</v>
      </c>
    </row>
    <row r="407">
      <c r="A407" s="3" t="str">
        <f>IFERROR(__xludf.DUMMYFUNCTION("""COMPUTED_VALUE"""),"NDSRO0008")</f>
        <v>NDSRO0008</v>
      </c>
      <c r="B407" s="4">
        <f>IFERROR(__xludf.DUMMYFUNCTION("""COMPUTED_VALUE"""),45923.67971131945)</f>
        <v>45923.67971</v>
      </c>
      <c r="C407" s="3">
        <f>IFERROR(__xludf.DUMMYFUNCTION("""COMPUTED_VALUE"""),45930.24040922454)</f>
        <v>45930.24041</v>
      </c>
      <c r="D407" s="3" t="str">
        <f>IFERROR(__xludf.DUMMYFUNCTION("""COMPUTED_VALUE"""),"Freeze Dryer")</f>
        <v>Freeze Dryer</v>
      </c>
      <c r="E407" s="3" t="str">
        <f>IFERROR(__xludf.DUMMYFUNCTION("""COMPUTED_VALUE"""),"-")</f>
        <v>-</v>
      </c>
      <c r="F407" s="3" t="str">
        <f>IFERROR(__xludf.DUMMYFUNCTION("""COMPUTED_VALUE"""),"Freeze Dryer MBE1207 - SV54 14193T 330 S.S+FKM I/O: G1/4 Inch Orifice 4mm Kv=0.28 m3/h NO DC24V p/n:; BURKERT; ;")</f>
        <v>Freeze Dryer MBE1207 - SV54 14193T 330 S.S+FKM I/O: G1/4 Inch Orifice 4mm Kv=0.28 m3/h NO DC24V p/n:; BURKERT; ;</v>
      </c>
      <c r="G407" s="3">
        <f>IFERROR(__xludf.DUMMYFUNCTION("""COMPUTED_VALUE"""),4.0)</f>
        <v>4</v>
      </c>
      <c r="H407" s="3" t="str">
        <f>IFERROR(__xludf.DUMMYFUNCTION("""COMPUTED_VALUE"""),"Pcs")</f>
        <v>Pcs</v>
      </c>
      <c r="I407" s="3" t="str">
        <f>IFERROR(__xludf.DUMMYFUNCTION("""COMPUTED_VALUE"""),"Deliver")</f>
        <v>Deliver</v>
      </c>
      <c r="J407" s="3" t="str">
        <f>IFERROR(__xludf.DUMMYFUNCTION("""COMPUTED_VALUE"""),"121703372 - APPROVED")</f>
        <v>121703372 - APPROVED</v>
      </c>
      <c r="K407" s="3" t="str">
        <f>IFERROR(__xludf.DUMMYFUNCTION("""COMPUTED_VALUE"""),"GL2603009")</f>
        <v>GL2603009</v>
      </c>
    </row>
    <row r="408">
      <c r="A408" s="3" t="str">
        <f>IFERROR(__xludf.DUMMYFUNCTION("""COMPUTED_VALUE"""),"RIARO0051")</f>
        <v>RIARO0051</v>
      </c>
      <c r="B408" s="4">
        <f>IFERROR(__xludf.DUMMYFUNCTION("""COMPUTED_VALUE"""),45926.880745277784)</f>
        <v>45926.88075</v>
      </c>
      <c r="C408" s="3">
        <f>IFERROR(__xludf.DUMMYFUNCTION("""COMPUTED_VALUE"""),46202.92251226852)</f>
        <v>46202.92251</v>
      </c>
      <c r="D408" s="3" t="str">
        <f>IFERROR(__xludf.DUMMYFUNCTION("""COMPUTED_VALUE"""),"Coating")</f>
        <v>Coating</v>
      </c>
      <c r="E408" s="3" t="str">
        <f>IFERROR(__xludf.DUMMYFUNCTION("""COMPUTED_VALUE"""),"EJO/2025/09/129")</f>
        <v>EJO/2025/09/129</v>
      </c>
      <c r="F408" s="3" t="str">
        <f>IFERROR(__xludf.DUMMYFUNCTION("""COMPUTED_VALUE"""),"Membrane Diaphragm Valve EPDM PTFE DN 50 p/n: 600 50M5E-221 Gemu; ; ;")</f>
        <v>Membrane Diaphragm Valve EPDM PTFE DN 50 p/n: 600 50M5E-221 Gemu; ; ;</v>
      </c>
      <c r="G408" s="3">
        <f>IFERROR(__xludf.DUMMYFUNCTION("""COMPUTED_VALUE"""),1.0)</f>
        <v>1</v>
      </c>
      <c r="H408" s="3" t="str">
        <f>IFERROR(__xludf.DUMMYFUNCTION("""COMPUTED_VALUE"""),"Pcs")</f>
        <v>Pcs</v>
      </c>
      <c r="I408" s="3" t="str">
        <f>IFERROR(__xludf.DUMMYFUNCTION("""COMPUTED_VALUE"""),"Deliver")</f>
        <v>Deliver</v>
      </c>
      <c r="J408" s="3" t="str">
        <f>IFERROR(__xludf.DUMMYFUNCTION("""COMPUTED_VALUE"""),"121704432 - APPROVED")</f>
        <v>121704432 - APPROVED</v>
      </c>
      <c r="K408" s="3" t="str">
        <f>IFERROR(__xludf.DUMMYFUNCTION("""COMPUTED_VALUE"""),"GL2608386")</f>
        <v>GL2608386</v>
      </c>
    </row>
    <row r="409">
      <c r="A409" s="3" t="str">
        <f>IFERROR(__xludf.DUMMYFUNCTION("""COMPUTED_VALUE"""),"MOBRO0061")</f>
        <v>MOBRO0061</v>
      </c>
      <c r="B409" s="4">
        <f>IFERROR(__xludf.DUMMYFUNCTION("""COMPUTED_VALUE"""),45931.60714554398)</f>
        <v>45931.60715</v>
      </c>
      <c r="C409" s="3">
        <f>IFERROR(__xludf.DUMMYFUNCTION("""COMPUTED_VALUE"""),45937.65022649306)</f>
        <v>45937.65023</v>
      </c>
      <c r="D409" s="3" t="str">
        <f>IFERROR(__xludf.DUMMYFUNCTION("""COMPUTED_VALUE"""),"Movable Drawer")</f>
        <v>Movable Drawer</v>
      </c>
      <c r="E409" s="3" t="str">
        <f>IFERROR(__xludf.DUMMYFUNCTION("""COMPUTED_VALUE"""),"EJO/2025/08/153")</f>
        <v>EJO/2025/08/153</v>
      </c>
      <c r="F409" s="3" t="str">
        <f>IFERROR(__xludf.DUMMYFUNCTION("""COMPUTED_VALUE"""),"Roda Caster Supo Dia : 3"" ( 75 x 38 mm) / Swivel Flange / With Breake")</f>
        <v>Roda Caster Supo Dia : 3" ( 75 x 38 mm) / Swivel Flange / With Breake</v>
      </c>
      <c r="G409" s="3">
        <f>IFERROR(__xludf.DUMMYFUNCTION("""COMPUTED_VALUE"""),8.0)</f>
        <v>8</v>
      </c>
      <c r="H409" s="3" t="str">
        <f>IFERROR(__xludf.DUMMYFUNCTION("""COMPUTED_VALUE"""),"Pcs")</f>
        <v>Pcs</v>
      </c>
      <c r="I409" s="3" t="str">
        <f>IFERROR(__xludf.DUMMYFUNCTION("""COMPUTED_VALUE"""),"Deliver")</f>
        <v>Deliver</v>
      </c>
      <c r="J409" s="3" t="str">
        <f>IFERROR(__xludf.DUMMYFUNCTION("""COMPUTED_VALUE"""),"-")</f>
        <v>-</v>
      </c>
      <c r="K409" s="3" t="str">
        <f>IFERROR(__xludf.DUMMYFUNCTION("""COMPUTED_VALUE"""),"-")</f>
        <v>-</v>
      </c>
    </row>
    <row r="410">
      <c r="A410" s="3" t="str">
        <f>IFERROR(__xludf.DUMMYFUNCTION("""COMPUTED_VALUE"""),"SFHRO0023")</f>
        <v>SFHRO0023</v>
      </c>
      <c r="B410" s="4">
        <f>IFERROR(__xludf.DUMMYFUNCTION("""COMPUTED_VALUE"""),45932.45394005787)</f>
        <v>45932.45394</v>
      </c>
      <c r="C410" s="3">
        <f>IFERROR(__xludf.DUMMYFUNCTION("""COMPUTED_VALUE"""),45937.6527922338)</f>
        <v>45937.65279</v>
      </c>
      <c r="D410" s="3" t="str">
        <f>IFERROR(__xludf.DUMMYFUNCTION("""COMPUTED_VALUE"""),"lantai 2")</f>
        <v>lantai 2</v>
      </c>
      <c r="E410" s="3" t="str">
        <f>IFERROR(__xludf.DUMMYFUNCTION("""COMPUTED_VALUE"""),"-")</f>
        <v>-</v>
      </c>
      <c r="F410" s="3" t="str">
        <f>IFERROR(__xludf.DUMMYFUNCTION("""COMPUTED_VALUE"""),"Kuas Cat Roller uk. 110 mm;No Brand;;pack size per set")</f>
        <v>Kuas Cat Roller uk. 110 mm;No Brand;;pack size per set</v>
      </c>
      <c r="G410" s="3">
        <f>IFERROR(__xludf.DUMMYFUNCTION("""COMPUTED_VALUE"""),10.0)</f>
        <v>10</v>
      </c>
      <c r="H410" s="3" t="str">
        <f>IFERROR(__xludf.DUMMYFUNCTION("""COMPUTED_VALUE"""),"pcs")</f>
        <v>pcs</v>
      </c>
      <c r="I410" s="3" t="str">
        <f>IFERROR(__xludf.DUMMYFUNCTION("""COMPUTED_VALUE"""),"Deliver")</f>
        <v>Deliver</v>
      </c>
      <c r="J410" s="3" t="str">
        <f>IFERROR(__xludf.DUMMYFUNCTION("""COMPUTED_VALUE"""),"-")</f>
        <v>-</v>
      </c>
      <c r="K410" s="3" t="str">
        <f>IFERROR(__xludf.DUMMYFUNCTION("""COMPUTED_VALUE"""),"-")</f>
        <v>-</v>
      </c>
    </row>
    <row r="411">
      <c r="A411" s="3" t="str">
        <f>IFERROR(__xludf.DUMMYFUNCTION("""COMPUTED_VALUE"""),"RIARO0052")</f>
        <v>RIARO0052</v>
      </c>
      <c r="B411" s="4">
        <f>IFERROR(__xludf.DUMMYFUNCTION("""COMPUTED_VALUE"""),45933.065253981484)</f>
        <v>45933.06525</v>
      </c>
      <c r="C411" s="3">
        <f>IFERROR(__xludf.DUMMYFUNCTION("""COMPUTED_VALUE"""),45937.65219769676)</f>
        <v>45937.6522</v>
      </c>
      <c r="D411" s="3" t="str">
        <f>IFERROR(__xludf.DUMMYFUNCTION("""COMPUTED_VALUE"""),"WWTP")</f>
        <v>WWTP</v>
      </c>
      <c r="E411" s="3" t="str">
        <f>IFERROR(__xludf.DUMMYFUNCTION("""COMPUTED_VALUE"""),"-")</f>
        <v>-</v>
      </c>
      <c r="F411" s="3" t="str">
        <f>IFERROR(__xludf.DUMMYFUNCTION("""COMPUTED_VALUE"""),"ORP Transmitter (Field mounted) Type: 202551/05-8-01-4-0-00-25/000; JUMO; ;")</f>
        <v>ORP Transmitter (Field mounted) Type: 202551/05-8-01-4-0-00-25/000; JUMO; ;</v>
      </c>
      <c r="G411" s="3">
        <f>IFERROR(__xludf.DUMMYFUNCTION("""COMPUTED_VALUE"""),1.0)</f>
        <v>1</v>
      </c>
      <c r="H411" s="3" t="str">
        <f>IFERROR(__xludf.DUMMYFUNCTION("""COMPUTED_VALUE"""),"Pcs")</f>
        <v>Pcs</v>
      </c>
      <c r="I411" s="3" t="str">
        <f>IFERROR(__xludf.DUMMYFUNCTION("""COMPUTED_VALUE"""),"Deliver")</f>
        <v>Deliver</v>
      </c>
      <c r="J411" s="3" t="str">
        <f>IFERROR(__xludf.DUMMYFUNCTION("""COMPUTED_VALUE"""),"-")</f>
        <v>-</v>
      </c>
      <c r="K411" s="3" t="str">
        <f>IFERROR(__xludf.DUMMYFUNCTION("""COMPUTED_VALUE"""),"-")</f>
        <v>-</v>
      </c>
    </row>
    <row r="412">
      <c r="A412" s="3" t="str">
        <f>IFERROR(__xludf.DUMMYFUNCTION("""COMPUTED_VALUE"""),"RIARO0053")</f>
        <v>RIARO0053</v>
      </c>
      <c r="B412" s="4">
        <f>IFERROR(__xludf.DUMMYFUNCTION("""COMPUTED_VALUE"""),45933.06527746528)</f>
        <v>45933.06528</v>
      </c>
      <c r="C412" s="3">
        <f>IFERROR(__xludf.DUMMYFUNCTION("""COMPUTED_VALUE"""),45937.65241380787)</f>
        <v>45937.65241</v>
      </c>
      <c r="D412" s="3" t="str">
        <f>IFERROR(__xludf.DUMMYFUNCTION("""COMPUTED_VALUE"""),"WWTP")</f>
        <v>WWTP</v>
      </c>
      <c r="E412" s="3" t="str">
        <f>IFERROR(__xludf.DUMMYFUNCTION("""COMPUTED_VALUE"""),"-")</f>
        <v>-</v>
      </c>
      <c r="F412" s="3" t="str">
        <f>IFERROR(__xludf.DUMMYFUNCTION("""COMPUTED_VALUE"""),"ORP Electrode Type: 201027/10-22-07-82-120/000; JUMO; ;")</f>
        <v>ORP Electrode Type: 201027/10-22-07-82-120/000; JUMO; ;</v>
      </c>
      <c r="G412" s="3">
        <f>IFERROR(__xludf.DUMMYFUNCTION("""COMPUTED_VALUE"""),1.0)</f>
        <v>1</v>
      </c>
      <c r="H412" s="3" t="str">
        <f>IFERROR(__xludf.DUMMYFUNCTION("""COMPUTED_VALUE"""),"Pcs")</f>
        <v>Pcs</v>
      </c>
      <c r="I412" s="3" t="str">
        <f>IFERROR(__xludf.DUMMYFUNCTION("""COMPUTED_VALUE"""),"Deliver")</f>
        <v>Deliver</v>
      </c>
      <c r="J412" s="3" t="str">
        <f>IFERROR(__xludf.DUMMYFUNCTION("""COMPUTED_VALUE"""),"-")</f>
        <v>-</v>
      </c>
      <c r="K412" s="3" t="str">
        <f>IFERROR(__xludf.DUMMYFUNCTION("""COMPUTED_VALUE"""),"-")</f>
        <v>-</v>
      </c>
    </row>
    <row r="413">
      <c r="A413" s="3" t="str">
        <f>IFERROR(__xludf.DUMMYFUNCTION("""COMPUTED_VALUE"""),"RIARO0054")</f>
        <v>RIARO0054</v>
      </c>
      <c r="B413" s="4">
        <f>IFERROR(__xludf.DUMMYFUNCTION("""COMPUTED_VALUE"""),45933.06527746528)</f>
        <v>45933.06528</v>
      </c>
      <c r="C413" s="3">
        <f>IFERROR(__xludf.DUMMYFUNCTION("""COMPUTED_VALUE"""),45937.652633136575)</f>
        <v>45937.65263</v>
      </c>
      <c r="D413" s="3" t="str">
        <f>IFERROR(__xludf.DUMMYFUNCTION("""COMPUTED_VALUE"""),"WWTP")</f>
        <v>WWTP</v>
      </c>
      <c r="E413" s="3" t="str">
        <f>IFERROR(__xludf.DUMMYFUNCTION("""COMPUTED_VALUE"""),"-")</f>
        <v>-</v>
      </c>
      <c r="F413" s="3" t="str">
        <f>IFERROR(__xludf.DUMMYFUNCTION("""COMPUTED_VALUE"""),"ORP Cable Type: 202990/02; JUMO; ;")</f>
        <v>ORP Cable Type: 202990/02; JUMO; ;</v>
      </c>
      <c r="G413" s="3">
        <f>IFERROR(__xludf.DUMMYFUNCTION("""COMPUTED_VALUE"""),1.0)</f>
        <v>1</v>
      </c>
      <c r="H413" s="3" t="str">
        <f>IFERROR(__xludf.DUMMYFUNCTION("""COMPUTED_VALUE"""),"Pcs")</f>
        <v>Pcs</v>
      </c>
      <c r="I413" s="3" t="str">
        <f>IFERROR(__xludf.DUMMYFUNCTION("""COMPUTED_VALUE"""),"Deliver")</f>
        <v>Deliver</v>
      </c>
      <c r="J413" s="3" t="str">
        <f>IFERROR(__xludf.DUMMYFUNCTION("""COMPUTED_VALUE"""),"-")</f>
        <v>-</v>
      </c>
      <c r="K413" s="3" t="str">
        <f>IFERROR(__xludf.DUMMYFUNCTION("""COMPUTED_VALUE"""),"-")</f>
        <v>-</v>
      </c>
    </row>
    <row r="414">
      <c r="A414" s="3" t="str">
        <f>IFERROR(__xludf.DUMMYFUNCTION("""COMPUTED_VALUE"""),"MRNRO0033")</f>
        <v>MRNRO0033</v>
      </c>
      <c r="B414" s="4">
        <f>IFERROR(__xludf.DUMMYFUNCTION("""COMPUTED_VALUE"""),45933.67468950231)</f>
        <v>45933.67469</v>
      </c>
      <c r="C414" s="3">
        <f>IFERROR(__xludf.DUMMYFUNCTION("""COMPUTED_VALUE"""),45937.65046711806)</f>
        <v>45937.65047</v>
      </c>
      <c r="D414" s="3" t="str">
        <f>IFERROR(__xludf.DUMMYFUNCTION("""COMPUTED_VALUE"""),"EF AHU")</f>
        <v>EF AHU</v>
      </c>
      <c r="E414" s="3" t="str">
        <f>IFERROR(__xludf.DUMMYFUNCTION("""COMPUTED_VALUE"""),"EJO/2025/02/66")</f>
        <v>EJO/2025/02/66</v>
      </c>
      <c r="F414" s="3" t="str">
        <f>IFERROR(__xludf.DUMMYFUNCTION("""COMPUTED_VALUE"""),"Belt SPA 1132 LW")</f>
        <v>Belt SPA 1132 LW</v>
      </c>
      <c r="G414" s="3">
        <f>IFERROR(__xludf.DUMMYFUNCTION("""COMPUTED_VALUE"""),10.0)</f>
        <v>10</v>
      </c>
      <c r="H414" s="3" t="str">
        <f>IFERROR(__xludf.DUMMYFUNCTION("""COMPUTED_VALUE"""),"pcs")</f>
        <v>pcs</v>
      </c>
      <c r="I414" s="3" t="str">
        <f>IFERROR(__xludf.DUMMYFUNCTION("""COMPUTED_VALUE"""),"Deliver")</f>
        <v>Deliver</v>
      </c>
      <c r="J414" s="3" t="str">
        <f>IFERROR(__xludf.DUMMYFUNCTION("""COMPUTED_VALUE"""),"-")</f>
        <v>-</v>
      </c>
      <c r="K414" s="3" t="str">
        <f>IFERROR(__xludf.DUMMYFUNCTION("""COMPUTED_VALUE"""),"-")</f>
        <v>-</v>
      </c>
    </row>
    <row r="415">
      <c r="A415" s="3" t="str">
        <f>IFERROR(__xludf.DUMMYFUNCTION("""COMPUTED_VALUE"""),"SFHRO0024")</f>
        <v>SFHRO0024</v>
      </c>
      <c r="B415" s="4">
        <f>IFERROR(__xludf.DUMMYFUNCTION("""COMPUTED_VALUE"""),45935.32112350695)</f>
        <v>45935.32112</v>
      </c>
      <c r="C415" s="3">
        <f>IFERROR(__xludf.DUMMYFUNCTION("""COMPUTED_VALUE"""),45937.652944490736)</f>
        <v>45937.65294</v>
      </c>
      <c r="D415" s="3" t="str">
        <f>IFERROR(__xludf.DUMMYFUNCTION("""COMPUTED_VALUE"""),"lantai 2")</f>
        <v>lantai 2</v>
      </c>
      <c r="E415" s="3" t="str">
        <f>IFERROR(__xludf.DUMMYFUNCTION("""COMPUTED_VALUE"""),"-")</f>
        <v>-</v>
      </c>
      <c r="F415" s="3" t="str">
        <f>IFERROR(__xludf.DUMMYFUNCTION("""COMPUTED_VALUE"""),"Kape Besi / Scraper / Skrap Besi;No Brand;;pack size per pcs")</f>
        <v>Kape Besi / Scraper / Skrap Besi;No Brand;;pack size per pcs</v>
      </c>
      <c r="G415" s="3">
        <f>IFERROR(__xludf.DUMMYFUNCTION("""COMPUTED_VALUE"""),5.0)</f>
        <v>5</v>
      </c>
      <c r="H415" s="3" t="str">
        <f>IFERROR(__xludf.DUMMYFUNCTION("""COMPUTED_VALUE"""),"pcs")</f>
        <v>pcs</v>
      </c>
      <c r="I415" s="3" t="str">
        <f>IFERROR(__xludf.DUMMYFUNCTION("""COMPUTED_VALUE"""),"Deliver")</f>
        <v>Deliver</v>
      </c>
      <c r="J415" s="3" t="str">
        <f>IFERROR(__xludf.DUMMYFUNCTION("""COMPUTED_VALUE"""),"-")</f>
        <v>-</v>
      </c>
      <c r="K415" s="3" t="str">
        <f>IFERROR(__xludf.DUMMYFUNCTION("""COMPUTED_VALUE"""),"-")</f>
        <v>-</v>
      </c>
    </row>
    <row r="416">
      <c r="A416" s="3" t="str">
        <f>IFERROR(__xludf.DUMMYFUNCTION("""COMPUTED_VALUE"""),"SFHRO0025")</f>
        <v>SFHRO0025</v>
      </c>
      <c r="B416" s="4">
        <f>IFERROR(__xludf.DUMMYFUNCTION("""COMPUTED_VALUE"""),45936.885937812505)</f>
        <v>45936.88594</v>
      </c>
      <c r="C416" s="3">
        <f>IFERROR(__xludf.DUMMYFUNCTION("""COMPUTED_VALUE"""),45943.98720548611)</f>
        <v>45943.98721</v>
      </c>
      <c r="D416" s="3" t="str">
        <f>IFERROR(__xludf.DUMMYFUNCTION("""COMPUTED_VALUE"""),"lantai 2")</f>
        <v>lantai 2</v>
      </c>
      <c r="E416" s="3" t="str">
        <f>IFERROR(__xludf.DUMMYFUNCTION("""COMPUTED_VALUE"""),"-")</f>
        <v>-</v>
      </c>
      <c r="F416" s="3" t="str">
        <f>IFERROR(__xludf.DUMMYFUNCTION("""COMPUTED_VALUE"""),"Thinner Super End/Impala @ 1 Liter")</f>
        <v>Thinner Super End/Impala @ 1 Liter</v>
      </c>
      <c r="G416" s="3">
        <f>IFERROR(__xludf.DUMMYFUNCTION("""COMPUTED_VALUE"""),15.0)</f>
        <v>15</v>
      </c>
      <c r="H416" s="3" t="str">
        <f>IFERROR(__xludf.DUMMYFUNCTION("""COMPUTED_VALUE"""),"liter")</f>
        <v>liter</v>
      </c>
      <c r="I416" s="3" t="str">
        <f>IFERROR(__xludf.DUMMYFUNCTION("""COMPUTED_VALUE"""),"Deliver")</f>
        <v>Deliver</v>
      </c>
      <c r="J416" s="3" t="str">
        <f>IFERROR(__xludf.DUMMYFUNCTION("""COMPUTED_VALUE"""),"-")</f>
        <v>-</v>
      </c>
      <c r="K416" s="3" t="str">
        <f>IFERROR(__xludf.DUMMYFUNCTION("""COMPUTED_VALUE"""),"-")</f>
        <v>-</v>
      </c>
    </row>
    <row r="417">
      <c r="A417" s="3" t="str">
        <f>IFERROR(__xludf.DUMMYFUNCTION("""COMPUTED_VALUE"""),"MOBRO0062")</f>
        <v>MOBRO0062</v>
      </c>
      <c r="B417" s="4">
        <f>IFERROR(__xludf.DUMMYFUNCTION("""COMPUTED_VALUE"""),45943.567489490735)</f>
        <v>45943.56749</v>
      </c>
      <c r="C417" s="3">
        <f>IFERROR(__xludf.DUMMYFUNCTION("""COMPUTED_VALUE"""),45947.89190177083)</f>
        <v>45947.8919</v>
      </c>
      <c r="D417" s="3" t="str">
        <f>IFERROR(__xludf.DUMMYFUNCTION("""COMPUTED_VALUE"""),"Universal")</f>
        <v>Universal</v>
      </c>
      <c r="E417" s="3" t="str">
        <f>IFERROR(__xludf.DUMMYFUNCTION("""COMPUTED_VALUE"""),"-")</f>
        <v>-</v>
      </c>
      <c r="F417" s="3" t="str">
        <f>IFERROR(__xludf.DUMMYFUNCTION("""COMPUTED_VALUE"""),"General - Kabel UTP 4 Pairs Cat 6; Belden; -; 305m/roll")</f>
        <v>General - Kabel UTP 4 Pairs Cat 6; Belden; -; 305m/roll</v>
      </c>
      <c r="G417" s="3">
        <f>IFERROR(__xludf.DUMMYFUNCTION("""COMPUTED_VALUE"""),1220.0)</f>
        <v>1220</v>
      </c>
      <c r="H417" s="3" t="str">
        <f>IFERROR(__xludf.DUMMYFUNCTION("""COMPUTED_VALUE"""),"Meter")</f>
        <v>Meter</v>
      </c>
      <c r="I417" s="3" t="str">
        <f>IFERROR(__xludf.DUMMYFUNCTION("""COMPUTED_VALUE"""),"Deliver")</f>
        <v>Deliver</v>
      </c>
      <c r="J417" s="3" t="str">
        <f>IFERROR(__xludf.DUMMYFUNCTION("""COMPUTED_VALUE"""),"-")</f>
        <v>-</v>
      </c>
      <c r="K417" s="3" t="str">
        <f>IFERROR(__xludf.DUMMYFUNCTION("""COMPUTED_VALUE"""),"-")</f>
        <v>-</v>
      </c>
    </row>
    <row r="418">
      <c r="A418" s="3" t="str">
        <f>IFERROR(__xludf.DUMMYFUNCTION("""COMPUTED_VALUE"""),"MRNRO0034")</f>
        <v>MRNRO0034</v>
      </c>
      <c r="B418" s="4">
        <f>IFERROR(__xludf.DUMMYFUNCTION("""COMPUTED_VALUE"""),45945.27239075232)</f>
        <v>45945.27239</v>
      </c>
      <c r="C418" s="3">
        <f>IFERROR(__xludf.DUMMYFUNCTION("""COMPUTED_VALUE"""),45947.8922771875)</f>
        <v>45947.89228</v>
      </c>
      <c r="D418" s="3" t="str">
        <f>IFERROR(__xludf.DUMMYFUNCTION("""COMPUTED_VALUE"""),"EF D1-1")</f>
        <v>EF D1-1</v>
      </c>
      <c r="E418" s="3" t="str">
        <f>IFERROR(__xludf.DUMMYFUNCTION("""COMPUTED_VALUE"""),"EJO/2025/08/165")</f>
        <v>EJO/2025/08/165</v>
      </c>
      <c r="F418" s="3" t="str">
        <f>IFERROR(__xludf.DUMMYFUNCTION("""COMPUTED_VALUE"""),"General - Pulser SCR Heater Controller Wall Mounted 0-10 VD DC; Regin; 240-X010; 1 unit")</f>
        <v>General - Pulser SCR Heater Controller Wall Mounted 0-10 VD DC; Regin; 240-X010; 1 unit</v>
      </c>
      <c r="G418" s="3">
        <f>IFERROR(__xludf.DUMMYFUNCTION("""COMPUTED_VALUE"""),1.0)</f>
        <v>1</v>
      </c>
      <c r="H418" s="3" t="str">
        <f>IFERROR(__xludf.DUMMYFUNCTION("""COMPUTED_VALUE"""),"pcs")</f>
        <v>pcs</v>
      </c>
      <c r="I418" s="3" t="str">
        <f>IFERROR(__xludf.DUMMYFUNCTION("""COMPUTED_VALUE"""),"Deliver")</f>
        <v>Deliver</v>
      </c>
      <c r="J418" s="3" t="str">
        <f>IFERROR(__xludf.DUMMYFUNCTION("""COMPUTED_VALUE"""),"-")</f>
        <v>-</v>
      </c>
      <c r="K418" s="3" t="str">
        <f>IFERROR(__xludf.DUMMYFUNCTION("""COMPUTED_VALUE"""),"-")</f>
        <v>-</v>
      </c>
    </row>
    <row r="419">
      <c r="A419" s="3" t="str">
        <f>IFERROR(__xludf.DUMMYFUNCTION("""COMPUTED_VALUE"""),"MOBRO0063")</f>
        <v>MOBRO0063</v>
      </c>
      <c r="B419" s="4">
        <f>IFERROR(__xludf.DUMMYFUNCTION("""COMPUTED_VALUE"""),45945.36438557871)</f>
        <v>45945.36439</v>
      </c>
      <c r="C419" s="3">
        <f>IFERROR(__xludf.DUMMYFUNCTION("""COMPUTED_VALUE"""),45947.892049988426)</f>
        <v>45947.89205</v>
      </c>
      <c r="D419" s="3" t="str">
        <f>IFERROR(__xludf.DUMMYFUNCTION("""COMPUTED_VALUE"""),"PWG")</f>
        <v>PWG</v>
      </c>
      <c r="E419" s="3" t="str">
        <f>IFERROR(__xludf.DUMMYFUNCTION("""COMPUTED_VALUE"""),"-")</f>
        <v>-</v>
      </c>
      <c r="F419" s="3" t="str">
        <f>IFERROR(__xludf.DUMMYFUNCTION("""COMPUTED_VALUE"""),"Filter SO 5 micron 30 inch O-ring 222 Bayonet; ; ;")</f>
        <v>Filter SO 5 micron 30 inch O-ring 222 Bayonet; ; ;</v>
      </c>
      <c r="G419" s="3">
        <f>IFERROR(__xludf.DUMMYFUNCTION("""COMPUTED_VALUE"""),10.0)</f>
        <v>10</v>
      </c>
      <c r="H419" s="3" t="str">
        <f>IFERROR(__xludf.DUMMYFUNCTION("""COMPUTED_VALUE"""),"Pcs")</f>
        <v>Pcs</v>
      </c>
      <c r="I419" s="3" t="str">
        <f>IFERROR(__xludf.DUMMYFUNCTION("""COMPUTED_VALUE"""),"Deliver")</f>
        <v>Deliver</v>
      </c>
      <c r="J419" s="3" t="str">
        <f>IFERROR(__xludf.DUMMYFUNCTION("""COMPUTED_VALUE"""),"-")</f>
        <v>-</v>
      </c>
      <c r="K419" s="3" t="str">
        <f>IFERROR(__xludf.DUMMYFUNCTION("""COMPUTED_VALUE"""),"-")</f>
        <v>-</v>
      </c>
    </row>
    <row r="420">
      <c r="A420" s="3" t="str">
        <f>IFERROR(__xludf.DUMMYFUNCTION("""COMPUTED_VALUE"""),"INNRO0008")</f>
        <v>INNRO0008</v>
      </c>
      <c r="B420" s="4">
        <f>IFERROR(__xludf.DUMMYFUNCTION("""COMPUTED_VALUE"""),45945.835900659724)</f>
        <v>45945.8359</v>
      </c>
      <c r="C420" s="3">
        <f>IFERROR(__xludf.DUMMYFUNCTION("""COMPUTED_VALUE"""),45951.454341122684)</f>
        <v>45951.45434</v>
      </c>
      <c r="D420" s="3" t="str">
        <f>IFERROR(__xludf.DUMMYFUNCTION("""COMPUTED_VALUE"""),"Autoclave")</f>
        <v>Autoclave</v>
      </c>
      <c r="E420" s="3" t="str">
        <f>IFERROR(__xludf.DUMMYFUNCTION("""COMPUTED_VALUE"""),"-")</f>
        <v>-</v>
      </c>
      <c r="F420" s="3" t="str">
        <f>IFERROR(__xludf.DUMMYFUNCTION("""COMPUTED_VALUE"""),"Autoclave Fedegari FOF / 6 AC - Kit DN22 Valve Mod; p/n: KK000310; ; ;")</f>
        <v>Autoclave Fedegari FOF / 6 AC - Kit DN22 Valve Mod; p/n: KK000310; ; ;</v>
      </c>
      <c r="G420" s="3">
        <f>IFERROR(__xludf.DUMMYFUNCTION("""COMPUTED_VALUE"""),8.0)</f>
        <v>8</v>
      </c>
      <c r="H420" s="3" t="str">
        <f>IFERROR(__xludf.DUMMYFUNCTION("""COMPUTED_VALUE"""),"Pcs")</f>
        <v>Pcs</v>
      </c>
      <c r="I420" s="3" t="str">
        <f>IFERROR(__xludf.DUMMYFUNCTION("""COMPUTED_VALUE"""),"Deliver")</f>
        <v>Deliver</v>
      </c>
      <c r="J420" s="3" t="str">
        <f>IFERROR(__xludf.DUMMYFUNCTION("""COMPUTED_VALUE"""),"121703551 - APPROVED")</f>
        <v>121703551 - APPROVED</v>
      </c>
      <c r="K420" s="3" t="str">
        <f>IFERROR(__xludf.DUMMYFUNCTION("""COMPUTED_VALUE"""),"GL2511305")</f>
        <v>GL2511305</v>
      </c>
    </row>
    <row r="421">
      <c r="A421" s="3" t="str">
        <f>IFERROR(__xludf.DUMMYFUNCTION("""COMPUTED_VALUE"""),"ROSRO0012")</f>
        <v>ROSRO0012</v>
      </c>
      <c r="B421" s="4">
        <f>IFERROR(__xludf.DUMMYFUNCTION("""COMPUTED_VALUE"""),45946.906290810184)</f>
        <v>45946.90629</v>
      </c>
      <c r="C421" s="3">
        <f>IFERROR(__xludf.DUMMYFUNCTION("""COMPUTED_VALUE"""),45951.45782252315)</f>
        <v>45951.45782</v>
      </c>
      <c r="D421" s="3" t="str">
        <f>IFERROR(__xludf.DUMMYFUNCTION("""COMPUTED_VALUE"""),"autoclave fedegari")</f>
        <v>autoclave fedegari</v>
      </c>
      <c r="E421" s="3" t="str">
        <f>IFERROR(__xludf.DUMMYFUNCTION("""COMPUTED_VALUE"""),"-")</f>
        <v>-</v>
      </c>
      <c r="F421" s="3" t="str">
        <f>IFERROR(__xludf.DUMMYFUNCTION("""COMPUTED_VALUE"""),"Autoclave Fedegari FVA2/A1 NB2963AT - KIT Ricambi Valv. DN10 ON-OFF FEDEGARI ASIA PTE LTD P/N : KS000025 pc")</f>
        <v>Autoclave Fedegari FVA2/A1 NB2963AT - KIT Ricambi Valv. DN10 ON-OFF FEDEGARI ASIA PTE LTD P/N : KS000025 pc</v>
      </c>
      <c r="G421" s="3">
        <f>IFERROR(__xludf.DUMMYFUNCTION("""COMPUTED_VALUE"""),10.0)</f>
        <v>10</v>
      </c>
      <c r="H421" s="3" t="str">
        <f>IFERROR(__xludf.DUMMYFUNCTION("""COMPUTED_VALUE"""),"pcs")</f>
        <v>pcs</v>
      </c>
      <c r="I421" s="3" t="str">
        <f>IFERROR(__xludf.DUMMYFUNCTION("""COMPUTED_VALUE"""),"Deliver")</f>
        <v>Deliver</v>
      </c>
      <c r="J421" s="3" t="str">
        <f>IFERROR(__xludf.DUMMYFUNCTION("""COMPUTED_VALUE"""),"121703377 - APPROVED")</f>
        <v>121703377 - APPROVED</v>
      </c>
      <c r="K421" s="3" t="str">
        <f>IFERROR(__xludf.DUMMYFUNCTION("""COMPUTED_VALUE"""),"GL2511305")</f>
        <v>GL2511305</v>
      </c>
    </row>
    <row r="422">
      <c r="A422" s="3" t="str">
        <f>IFERROR(__xludf.DUMMYFUNCTION("""COMPUTED_VALUE"""),"MOBRO0064")</f>
        <v>MOBRO0064</v>
      </c>
      <c r="B422" s="4">
        <f>IFERROR(__xludf.DUMMYFUNCTION("""COMPUTED_VALUE"""),45947.654087407405)</f>
        <v>45947.65409</v>
      </c>
      <c r="C422" s="3">
        <f>IFERROR(__xludf.DUMMYFUNCTION("""COMPUTED_VALUE"""),45951.443867256945)</f>
        <v>45951.44387</v>
      </c>
      <c r="D422" s="3" t="str">
        <f>IFERROR(__xludf.DUMMYFUNCTION("""COMPUTED_VALUE"""),"Universal")</f>
        <v>Universal</v>
      </c>
      <c r="E422" s="3" t="str">
        <f>IFERROR(__xludf.DUMMYFUNCTION("""COMPUTED_VALUE"""),"EJO/2025/10/65")</f>
        <v>EJO/2025/10/65</v>
      </c>
      <c r="F422" s="3" t="str">
        <f>IFERROR(__xludf.DUMMYFUNCTION("""COMPUTED_VALUE"""),"General - Socket RJ45 Cat 6; Belden; -; 50pcs/pack")</f>
        <v>General - Socket RJ45 Cat 6; Belden; -; 50pcs/pack</v>
      </c>
      <c r="G422" s="3">
        <f>IFERROR(__xludf.DUMMYFUNCTION("""COMPUTED_VALUE"""),2.0)</f>
        <v>2</v>
      </c>
      <c r="H422" s="3" t="str">
        <f>IFERROR(__xludf.DUMMYFUNCTION("""COMPUTED_VALUE"""),"Box")</f>
        <v>Box</v>
      </c>
      <c r="I422" s="3" t="str">
        <f>IFERROR(__xludf.DUMMYFUNCTION("""COMPUTED_VALUE"""),"Deliver")</f>
        <v>Deliver</v>
      </c>
      <c r="J422" s="3" t="str">
        <f>IFERROR(__xludf.DUMMYFUNCTION("""COMPUTED_VALUE"""),"-")</f>
        <v>-</v>
      </c>
      <c r="K422" s="3" t="str">
        <f>IFERROR(__xludf.DUMMYFUNCTION("""COMPUTED_VALUE"""),"-")</f>
        <v>-</v>
      </c>
    </row>
    <row r="423">
      <c r="A423" s="3" t="str">
        <f>IFERROR(__xludf.DUMMYFUNCTION("""COMPUTED_VALUE"""),"SFHRO0027")</f>
        <v>SFHRO0027</v>
      </c>
      <c r="B423" s="4">
        <f>IFERROR(__xludf.DUMMYFUNCTION("""COMPUTED_VALUE"""),45951.93201094908)</f>
        <v>45951.93201</v>
      </c>
      <c r="C423" s="3">
        <f>IFERROR(__xludf.DUMMYFUNCTION("""COMPUTED_VALUE"""),45953.73792880787)</f>
        <v>45953.73793</v>
      </c>
      <c r="D423" s="3" t="str">
        <f>IFERROR(__xludf.DUMMYFUNCTION("""COMPUTED_VALUE"""),"lantai 2")</f>
        <v>lantai 2</v>
      </c>
      <c r="E423" s="3" t="str">
        <f>IFERROR(__xludf.DUMMYFUNCTION("""COMPUTED_VALUE"""),"-")</f>
        <v>-</v>
      </c>
      <c r="F423" s="3" t="str">
        <f>IFERROR(__xludf.DUMMYFUNCTION("""COMPUTED_VALUE"""),"Silicone Sealant;Silglaze;Type N10 White;pack size per pcs")</f>
        <v>Silicone Sealant;Silglaze;Type N10 White;pack size per pcs</v>
      </c>
      <c r="G423" s="3">
        <f>IFERROR(__xludf.DUMMYFUNCTION("""COMPUTED_VALUE"""),30.0)</f>
        <v>30</v>
      </c>
      <c r="H423" s="3" t="str">
        <f>IFERROR(__xludf.DUMMYFUNCTION("""COMPUTED_VALUE"""),"pcs")</f>
        <v>pcs</v>
      </c>
      <c r="I423" s="3" t="str">
        <f>IFERROR(__xludf.DUMMYFUNCTION("""COMPUTED_VALUE"""),"Deliver")</f>
        <v>Deliver</v>
      </c>
      <c r="J423" s="3" t="str">
        <f>IFERROR(__xludf.DUMMYFUNCTION("""COMPUTED_VALUE"""),"-")</f>
        <v>-</v>
      </c>
      <c r="K423" s="3" t="str">
        <f>IFERROR(__xludf.DUMMYFUNCTION("""COMPUTED_VALUE"""),"-")</f>
        <v>-</v>
      </c>
    </row>
    <row r="424">
      <c r="A424" s="3" t="str">
        <f>IFERROR(__xludf.DUMMYFUNCTION("""COMPUTED_VALUE"""),"NDSRO0009")</f>
        <v>NDSRO0009</v>
      </c>
      <c r="B424" s="4">
        <f>IFERROR(__xludf.DUMMYFUNCTION("""COMPUTED_VALUE"""),45953.85406237269)</f>
        <v>45953.85406</v>
      </c>
      <c r="C424" s="3">
        <f>IFERROR(__xludf.DUMMYFUNCTION("""COMPUTED_VALUE"""),45976.22809709491)</f>
        <v>45976.2281</v>
      </c>
      <c r="D424" s="3" t="str">
        <f>IFERROR(__xludf.DUMMYFUNCTION("""COMPUTED_VALUE"""),"Washing")</f>
        <v>Washing</v>
      </c>
      <c r="E424" s="3" t="str">
        <f>IFERROR(__xludf.DUMMYFUNCTION("""COMPUTED_VALUE"""),"EJO/2025/10/113")</f>
        <v>EJO/2025/10/113</v>
      </c>
      <c r="F424" s="3" t="str">
        <f>IFERROR(__xludf.DUMMYFUNCTION("""COMPUTED_VALUE"""),"Washing RAR4 - Outfeed Teflon Left; ; ;")</f>
        <v>Washing RAR4 - Outfeed Teflon Left; ; ;</v>
      </c>
      <c r="G424" s="3">
        <f>IFERROR(__xludf.DUMMYFUNCTION("""COMPUTED_VALUE"""),1.0)</f>
        <v>1</v>
      </c>
      <c r="H424" s="3" t="str">
        <f>IFERROR(__xludf.DUMMYFUNCTION("""COMPUTED_VALUE"""),"Pcs")</f>
        <v>Pcs</v>
      </c>
      <c r="I424" s="3" t="str">
        <f>IFERROR(__xludf.DUMMYFUNCTION("""COMPUTED_VALUE"""),"Deliver")</f>
        <v>Deliver</v>
      </c>
      <c r="J424" s="3" t="str">
        <f>IFERROR(__xludf.DUMMYFUNCTION("""COMPUTED_VALUE"""),"121703497 - APPROVED")</f>
        <v>121703497 - APPROVED</v>
      </c>
      <c r="K424" s="3" t="str">
        <f>IFERROR(__xludf.DUMMYFUNCTION("""COMPUTED_VALUE"""),"GL2512331")</f>
        <v>GL2512331</v>
      </c>
    </row>
    <row r="425">
      <c r="A425" s="3" t="str">
        <f>IFERROR(__xludf.DUMMYFUNCTION("""COMPUTED_VALUE"""),"NDSRO0010")</f>
        <v>NDSRO0010</v>
      </c>
      <c r="B425" s="4">
        <f>IFERROR(__xludf.DUMMYFUNCTION("""COMPUTED_VALUE"""),45953.8545642824)</f>
        <v>45953.85456</v>
      </c>
      <c r="C425" s="3">
        <f>IFERROR(__xludf.DUMMYFUNCTION("""COMPUTED_VALUE"""),45976.228428981485)</f>
        <v>45976.22843</v>
      </c>
      <c r="D425" s="3" t="str">
        <f>IFERROR(__xludf.DUMMYFUNCTION("""COMPUTED_VALUE"""),"Washing")</f>
        <v>Washing</v>
      </c>
      <c r="E425" s="3" t="str">
        <f>IFERROR(__xludf.DUMMYFUNCTION("""COMPUTED_VALUE"""),"EJO/2025/10/113")</f>
        <v>EJO/2025/10/113</v>
      </c>
      <c r="F425" s="3" t="str">
        <f>IFERROR(__xludf.DUMMYFUNCTION("""COMPUTED_VALUE"""),"Washing RAR4 - Outfeed Teflon Right; ; ;")</f>
        <v>Washing RAR4 - Outfeed Teflon Right; ; ;</v>
      </c>
      <c r="G425" s="3">
        <f>IFERROR(__xludf.DUMMYFUNCTION("""COMPUTED_VALUE"""),1.0)</f>
        <v>1</v>
      </c>
      <c r="H425" s="3" t="str">
        <f>IFERROR(__xludf.DUMMYFUNCTION("""COMPUTED_VALUE"""),"Pcs")</f>
        <v>Pcs</v>
      </c>
      <c r="I425" s="3" t="str">
        <f>IFERROR(__xludf.DUMMYFUNCTION("""COMPUTED_VALUE"""),"Deliver")</f>
        <v>Deliver</v>
      </c>
      <c r="J425" s="3" t="str">
        <f>IFERROR(__xludf.DUMMYFUNCTION("""COMPUTED_VALUE"""),"121703497 - APPROVED")</f>
        <v>121703497 - APPROVED</v>
      </c>
      <c r="K425" s="3" t="str">
        <f>IFERROR(__xludf.DUMMYFUNCTION("""COMPUTED_VALUE"""),"GL2512331")</f>
        <v>GL2512331</v>
      </c>
    </row>
    <row r="426">
      <c r="A426" s="3" t="str">
        <f>IFERROR(__xludf.DUMMYFUNCTION("""COMPUTED_VALUE"""),"SFHRO0028")</f>
        <v>SFHRO0028</v>
      </c>
      <c r="B426" s="4">
        <f>IFERROR(__xludf.DUMMYFUNCTION("""COMPUTED_VALUE"""),45954.74381146991)</f>
        <v>45954.74381</v>
      </c>
      <c r="C426" s="3">
        <f>IFERROR(__xludf.DUMMYFUNCTION("""COMPUTED_VALUE"""),45958.393644421296)</f>
        <v>45958.39364</v>
      </c>
      <c r="D426" s="3" t="str">
        <f>IFERROR(__xludf.DUMMYFUNCTION("""COMPUTED_VALUE"""),"lanati 1")</f>
        <v>lanati 1</v>
      </c>
      <c r="E426" s="3" t="str">
        <f>IFERROR(__xludf.DUMMYFUNCTION("""COMPUTED_VALUE"""),"-")</f>
        <v>-</v>
      </c>
      <c r="F426" s="3" t="str">
        <f>IFERROR(__xludf.DUMMYFUNCTION("""COMPUTED_VALUE"""),"Cat Durogloss DR-2000; Propan; Type Spiders Web 90YY 73/040; 0,9 L/can")</f>
        <v>Cat Durogloss DR-2000; Propan; Type Spiders Web 90YY 73/040; 0,9 L/can</v>
      </c>
      <c r="G426" s="3">
        <f>IFERROR(__xludf.DUMMYFUNCTION("""COMPUTED_VALUE"""),6.0)</f>
        <v>6</v>
      </c>
      <c r="H426" s="3" t="str">
        <f>IFERROR(__xludf.DUMMYFUNCTION("""COMPUTED_VALUE"""),"liter")</f>
        <v>liter</v>
      </c>
      <c r="I426" s="3" t="str">
        <f>IFERROR(__xludf.DUMMYFUNCTION("""COMPUTED_VALUE"""),"Deliver")</f>
        <v>Deliver</v>
      </c>
      <c r="J426" s="3" t="str">
        <f>IFERROR(__xludf.DUMMYFUNCTION("""COMPUTED_VALUE"""),"-")</f>
        <v>-</v>
      </c>
      <c r="K426" s="3" t="str">
        <f>IFERROR(__xludf.DUMMYFUNCTION("""COMPUTED_VALUE"""),"-")</f>
        <v>-</v>
      </c>
    </row>
    <row r="427">
      <c r="A427" s="3" t="str">
        <f>IFERROR(__xludf.DUMMYFUNCTION("""COMPUTED_VALUE"""),"SFHRO0029")</f>
        <v>SFHRO0029</v>
      </c>
      <c r="B427" s="4">
        <f>IFERROR(__xludf.DUMMYFUNCTION("""COMPUTED_VALUE"""),45954.8366171412)</f>
        <v>45954.83662</v>
      </c>
      <c r="C427" s="3">
        <f>IFERROR(__xludf.DUMMYFUNCTION("""COMPUTED_VALUE"""),45958.394221689814)</f>
        <v>45958.39422</v>
      </c>
      <c r="D427" s="3" t="str">
        <f>IFERROR(__xludf.DUMMYFUNCTION("""COMPUTED_VALUE"""),"Lantai 1")</f>
        <v>Lantai 1</v>
      </c>
      <c r="E427" s="3" t="str">
        <f>IFERROR(__xludf.DUMMYFUNCTION("""COMPUTED_VALUE"""),"-")</f>
        <v>-</v>
      </c>
      <c r="F427" s="3" t="str">
        <f>IFERROR(__xludf.DUMMYFUNCTION("""COMPUTED_VALUE"""),"Thinner Super End/Impala @ 1 Liter")</f>
        <v>Thinner Super End/Impala @ 1 Liter</v>
      </c>
      <c r="G427" s="3">
        <f>IFERROR(__xludf.DUMMYFUNCTION("""COMPUTED_VALUE"""),10.0)</f>
        <v>10</v>
      </c>
      <c r="H427" s="3" t="str">
        <f>IFERROR(__xludf.DUMMYFUNCTION("""COMPUTED_VALUE"""),"liter")</f>
        <v>liter</v>
      </c>
      <c r="I427" s="3" t="str">
        <f>IFERROR(__xludf.DUMMYFUNCTION("""COMPUTED_VALUE"""),"Deliver")</f>
        <v>Deliver</v>
      </c>
      <c r="J427" s="3" t="str">
        <f>IFERROR(__xludf.DUMMYFUNCTION("""COMPUTED_VALUE"""),"-")</f>
        <v>-</v>
      </c>
      <c r="K427" s="3" t="str">
        <f>IFERROR(__xludf.DUMMYFUNCTION("""COMPUTED_VALUE"""),"-")</f>
        <v>-</v>
      </c>
    </row>
    <row r="428">
      <c r="A428" s="3" t="str">
        <f>IFERROR(__xludf.DUMMYFUNCTION("""COMPUTED_VALUE"""),"MRNRO0035")</f>
        <v>MRNRO0035</v>
      </c>
      <c r="B428" s="4">
        <f>IFERROR(__xludf.DUMMYFUNCTION("""COMPUTED_VALUE"""),45960.66146262731)</f>
        <v>45960.66146</v>
      </c>
      <c r="C428" s="3">
        <f>IFERROR(__xludf.DUMMYFUNCTION("""COMPUTED_VALUE"""),45964.848315208335)</f>
        <v>45964.84832</v>
      </c>
      <c r="D428" s="3" t="str">
        <f>IFERROR(__xludf.DUMMYFUNCTION("""COMPUTED_VALUE"""),"Exhaust janitor D1-4")</f>
        <v>Exhaust janitor D1-4</v>
      </c>
      <c r="E428" s="3" t="str">
        <f>IFERROR(__xludf.DUMMYFUNCTION("""COMPUTED_VALUE"""),"EJO/2025/10/141")</f>
        <v>EJO/2025/10/141</v>
      </c>
      <c r="F428" s="3" t="str">
        <f>IFERROR(__xludf.DUMMYFUNCTION("""COMPUTED_VALUE"""),"General - Exhaust Fan; KDK; 24CDQNA; 1 unit")</f>
        <v>General - Exhaust Fan; KDK; 24CDQNA; 1 unit</v>
      </c>
      <c r="G428" s="3">
        <f>IFERROR(__xludf.DUMMYFUNCTION("""COMPUTED_VALUE"""),1.0)</f>
        <v>1</v>
      </c>
      <c r="H428" s="3" t="str">
        <f>IFERROR(__xludf.DUMMYFUNCTION("""COMPUTED_VALUE"""),"pcs")</f>
        <v>pcs</v>
      </c>
      <c r="I428" s="3" t="str">
        <f>IFERROR(__xludf.DUMMYFUNCTION("""COMPUTED_VALUE"""),"Deliver")</f>
        <v>Deliver</v>
      </c>
      <c r="J428" s="3" t="str">
        <f>IFERROR(__xludf.DUMMYFUNCTION("""COMPUTED_VALUE"""),"-")</f>
        <v>-</v>
      </c>
      <c r="K428" s="3" t="str">
        <f>IFERROR(__xludf.DUMMYFUNCTION("""COMPUTED_VALUE"""),"-")</f>
        <v>-</v>
      </c>
    </row>
    <row r="429">
      <c r="A429" s="3" t="str">
        <f>IFERROR(__xludf.DUMMYFUNCTION("""COMPUTED_VALUE"""),"INNRO0009")</f>
        <v>INNRO0009</v>
      </c>
      <c r="B429" s="4">
        <f>IFERROR(__xludf.DUMMYFUNCTION("""COMPUTED_VALUE"""),45960.979109988424)</f>
        <v>45960.97911</v>
      </c>
      <c r="C429" s="3">
        <f>IFERROR(__xludf.DUMMYFUNCTION("""COMPUTED_VALUE"""),45976.21555721065)</f>
        <v>45976.21556</v>
      </c>
      <c r="D429" s="3" t="str">
        <f>IFERROR(__xludf.DUMMYFUNCTION("""COMPUTED_VALUE"""),"Washing")</f>
        <v>Washing</v>
      </c>
      <c r="E429" s="3" t="str">
        <f>IFERROR(__xludf.DUMMYFUNCTION("""COMPUTED_VALUE"""),"NA")</f>
        <v>NA</v>
      </c>
      <c r="F429" s="3" t="str">
        <f>IFERROR(__xludf.DUMMYFUNCTION("""COMPUTED_VALUE"""),"Misumi - HXNHFFLT-SUS-M5-10; ; ;")</f>
        <v>Misumi - HXNHFFLT-SUS-M5-10; ; ;</v>
      </c>
      <c r="G429" s="3">
        <f>IFERROR(__xludf.DUMMYFUNCTION("""COMPUTED_VALUE"""),20.0)</f>
        <v>20</v>
      </c>
      <c r="H429" s="3" t="str">
        <f>IFERROR(__xludf.DUMMYFUNCTION("""COMPUTED_VALUE"""),"Pcs")</f>
        <v>Pcs</v>
      </c>
      <c r="I429" s="3" t="str">
        <f>IFERROR(__xludf.DUMMYFUNCTION("""COMPUTED_VALUE"""),"Deliver")</f>
        <v>Deliver</v>
      </c>
      <c r="J429" s="3" t="str">
        <f>IFERROR(__xludf.DUMMYFUNCTION("""COMPUTED_VALUE"""),"-")</f>
        <v>-</v>
      </c>
      <c r="K429" s="3" t="str">
        <f>IFERROR(__xludf.DUMMYFUNCTION("""COMPUTED_VALUE"""),"-")</f>
        <v>-</v>
      </c>
    </row>
    <row r="430">
      <c r="A430" s="3" t="str">
        <f>IFERROR(__xludf.DUMMYFUNCTION("""COMPUTED_VALUE"""),"MRNRO0038")</f>
        <v>MRNRO0038</v>
      </c>
      <c r="B430" s="4">
        <f>IFERROR(__xludf.DUMMYFUNCTION("""COMPUTED_VALUE"""),45964.39124854167)</f>
        <v>45964.39125</v>
      </c>
      <c r="C430" s="3">
        <f>IFERROR(__xludf.DUMMYFUNCTION("""COMPUTED_VALUE"""),45964.844183368055)</f>
        <v>45964.84418</v>
      </c>
      <c r="D430" s="3" t="str">
        <f>IFERROR(__xludf.DUMMYFUNCTION("""COMPUTED_VALUE"""),"Building")</f>
        <v>Building</v>
      </c>
      <c r="E430" s="3" t="str">
        <f>IFERROR(__xludf.DUMMYFUNCTION("""COMPUTED_VALUE"""),"-")</f>
        <v>-</v>
      </c>
      <c r="F430" s="3" t="str">
        <f>IFERROR(__xludf.DUMMYFUNCTION("""COMPUTED_VALUE"""),"Ballast Electronic EB-C 228 TL5, 2x28W; Phillips; ;")</f>
        <v>Ballast Electronic EB-C 228 TL5, 2x28W; Phillips; ;</v>
      </c>
      <c r="G430" s="3">
        <f>IFERROR(__xludf.DUMMYFUNCTION("""COMPUTED_VALUE"""),20.0)</f>
        <v>20</v>
      </c>
      <c r="H430" s="3" t="str">
        <f>IFERROR(__xludf.DUMMYFUNCTION("""COMPUTED_VALUE"""),"Pcs")</f>
        <v>Pcs</v>
      </c>
      <c r="I430" s="3" t="str">
        <f>IFERROR(__xludf.DUMMYFUNCTION("""COMPUTED_VALUE"""),"Deliver")</f>
        <v>Deliver</v>
      </c>
      <c r="J430" s="3" t="str">
        <f>IFERROR(__xludf.DUMMYFUNCTION("""COMPUTED_VALUE"""),"-")</f>
        <v>-</v>
      </c>
      <c r="K430" s="3" t="str">
        <f>IFERROR(__xludf.DUMMYFUNCTION("""COMPUTED_VALUE"""),"-")</f>
        <v>-</v>
      </c>
    </row>
    <row r="431">
      <c r="A431" s="3" t="str">
        <f>IFERROR(__xludf.DUMMYFUNCTION("""COMPUTED_VALUE"""),"SFHRO0030")</f>
        <v>SFHRO0030</v>
      </c>
      <c r="B431" s="4">
        <f>IFERROR(__xludf.DUMMYFUNCTION("""COMPUTED_VALUE"""),45965.746508738426)</f>
        <v>45965.74651</v>
      </c>
      <c r="C431" s="3">
        <f>IFERROR(__xludf.DUMMYFUNCTION("""COMPUTED_VALUE"""),45966.9799687037)</f>
        <v>45966.97997</v>
      </c>
      <c r="D431" s="3" t="str">
        <f>IFERROR(__xludf.DUMMYFUNCTION("""COMPUTED_VALUE"""),"lantai 2")</f>
        <v>lantai 2</v>
      </c>
      <c r="E431" s="3" t="str">
        <f>IFERROR(__xludf.DUMMYFUNCTION("""COMPUTED_VALUE"""),"-")</f>
        <v>-</v>
      </c>
      <c r="F431" s="3" t="str">
        <f>IFERROR(__xludf.DUMMYFUNCTION("""COMPUTED_VALUE"""),"Plastik Cor Bagunan;No Brand;;pack size per pcs - Per 10kg")</f>
        <v>Plastik Cor Bagunan;No Brand;;pack size per pcs - Per 10kg</v>
      </c>
      <c r="G431" s="3">
        <f>IFERROR(__xludf.DUMMYFUNCTION("""COMPUTED_VALUE"""),50.0)</f>
        <v>50</v>
      </c>
      <c r="H431" s="3" t="str">
        <f>IFERROR(__xludf.DUMMYFUNCTION("""COMPUTED_VALUE"""),"kg")</f>
        <v>kg</v>
      </c>
      <c r="I431" s="3" t="str">
        <f>IFERROR(__xludf.DUMMYFUNCTION("""COMPUTED_VALUE"""),"Deliver")</f>
        <v>Deliver</v>
      </c>
      <c r="J431" s="3" t="str">
        <f>IFERROR(__xludf.DUMMYFUNCTION("""COMPUTED_VALUE"""),"-")</f>
        <v>-</v>
      </c>
      <c r="K431" s="3" t="str">
        <f>IFERROR(__xludf.DUMMYFUNCTION("""COMPUTED_VALUE"""),"-")</f>
        <v>-</v>
      </c>
    </row>
    <row r="432">
      <c r="A432" s="3" t="str">
        <f>IFERROR(__xludf.DUMMYFUNCTION("""COMPUTED_VALUE"""),"MRNRO0039")</f>
        <v>MRNRO0039</v>
      </c>
      <c r="B432" s="4">
        <f>IFERROR(__xludf.DUMMYFUNCTION("""COMPUTED_VALUE"""),45971.323612430555)</f>
        <v>45971.32361</v>
      </c>
      <c r="C432" s="3">
        <f>IFERROR(__xludf.DUMMYFUNCTION("""COMPUTED_VALUE"""),45972.58524197916)</f>
        <v>45972.58524</v>
      </c>
      <c r="D432" s="3" t="str">
        <f>IFERROR(__xludf.DUMMYFUNCTION("""COMPUTED_VALUE"""),"Wicc wip")</f>
        <v>Wicc wip</v>
      </c>
      <c r="E432" s="3" t="str">
        <f>IFERROR(__xludf.DUMMYFUNCTION("""COMPUTED_VALUE"""),"EJO/2025/07/105")</f>
        <v>EJO/2025/07/105</v>
      </c>
      <c r="F432" s="3" t="str">
        <f>IFERROR(__xludf.DUMMYFUNCTION("""COMPUTED_VALUE"""),"Chemours - Freon 404A;; ; ;")</f>
        <v>Chemours - Freon 404A;; ; ;</v>
      </c>
      <c r="G432" s="3">
        <f>IFERROR(__xludf.DUMMYFUNCTION("""COMPUTED_VALUE"""),2.0)</f>
        <v>2</v>
      </c>
      <c r="H432" s="3" t="str">
        <f>IFERROR(__xludf.DUMMYFUNCTION("""COMPUTED_VALUE"""),"klg")</f>
        <v>klg</v>
      </c>
      <c r="I432" s="3" t="str">
        <f>IFERROR(__xludf.DUMMYFUNCTION("""COMPUTED_VALUE"""),"Deliver")</f>
        <v>Deliver</v>
      </c>
      <c r="J432" s="3" t="str">
        <f>IFERROR(__xludf.DUMMYFUNCTION("""COMPUTED_VALUE"""),"-")</f>
        <v>-</v>
      </c>
      <c r="K432" s="3" t="str">
        <f>IFERROR(__xludf.DUMMYFUNCTION("""COMPUTED_VALUE"""),"-")</f>
        <v>-</v>
      </c>
    </row>
    <row r="433">
      <c r="A433" s="3" t="str">
        <f>IFERROR(__xludf.DUMMYFUNCTION("""COMPUTED_VALUE"""),"MRNRO0040")</f>
        <v>MRNRO0040</v>
      </c>
      <c r="B433" s="4">
        <f>IFERROR(__xludf.DUMMYFUNCTION("""COMPUTED_VALUE"""),45971.32446430556)</f>
        <v>45971.32446</v>
      </c>
      <c r="C433" s="3">
        <f>IFERROR(__xludf.DUMMYFUNCTION("""COMPUTED_VALUE"""),45972.585108796295)</f>
        <v>45972.58511</v>
      </c>
      <c r="D433" s="3" t="str">
        <f>IFERROR(__xludf.DUMMYFUNCTION("""COMPUTED_VALUE"""),"heat pump")</f>
        <v>heat pump</v>
      </c>
      <c r="E433" s="3" t="str">
        <f>IFERROR(__xludf.DUMMYFUNCTION("""COMPUTED_VALUE"""),"EJO/2025/07/105")</f>
        <v>EJO/2025/07/105</v>
      </c>
      <c r="F433" s="3" t="str">
        <f>IFERROR(__xludf.DUMMYFUNCTION("""COMPUTED_VALUE"""),"Freon R410A; Dupont; ;")</f>
        <v>Freon R410A; Dupont; ;</v>
      </c>
      <c r="G433" s="3">
        <f>IFERROR(__xludf.DUMMYFUNCTION("""COMPUTED_VALUE"""),2.0)</f>
        <v>2</v>
      </c>
      <c r="H433" s="3" t="str">
        <f>IFERROR(__xludf.DUMMYFUNCTION("""COMPUTED_VALUE"""),"klg")</f>
        <v>klg</v>
      </c>
      <c r="I433" s="3" t="str">
        <f>IFERROR(__xludf.DUMMYFUNCTION("""COMPUTED_VALUE"""),"Deliver")</f>
        <v>Deliver</v>
      </c>
      <c r="J433" s="3" t="str">
        <f>IFERROR(__xludf.DUMMYFUNCTION("""COMPUTED_VALUE"""),"-")</f>
        <v>-</v>
      </c>
      <c r="K433" s="3" t="str">
        <f>IFERROR(__xludf.DUMMYFUNCTION("""COMPUTED_VALUE"""),"-")</f>
        <v>-</v>
      </c>
    </row>
    <row r="434">
      <c r="A434" s="3" t="str">
        <f>IFERROR(__xludf.DUMMYFUNCTION("""COMPUTED_VALUE"""),"ROSRO0013")</f>
        <v>ROSRO0013</v>
      </c>
      <c r="B434" s="4">
        <f>IFERROR(__xludf.DUMMYFUNCTION("""COMPUTED_VALUE"""),45973.66713084491)</f>
        <v>45973.66713</v>
      </c>
      <c r="C434" s="3">
        <f>IFERROR(__xludf.DUMMYFUNCTION("""COMPUTED_VALUE"""),45976.25224636574)</f>
        <v>45976.25225</v>
      </c>
      <c r="D434" s="3" t="str">
        <f>IFERROR(__xludf.DUMMYFUNCTION("""COMPUTED_VALUE"""),"Autoclave Service fedegari")</f>
        <v>Autoclave Service fedegari</v>
      </c>
      <c r="E434" s="3" t="str">
        <f>IFERROR(__xludf.DUMMYFUNCTION("""COMPUTED_VALUE"""),"-")</f>
        <v>-</v>
      </c>
      <c r="F434" s="3" t="str">
        <f>IFERROR(__xludf.DUMMYFUNCTION("""COMPUTED_VALUE"""),"Autoclave Fedegari FOF / 6 AC - P/N. KK000304-KIT RICAMBI VALV.DN16 ON-OFF")</f>
        <v>Autoclave Fedegari FOF / 6 AC - P/N. KK000304-KIT RICAMBI VALV.DN16 ON-OFF</v>
      </c>
      <c r="G434" s="3">
        <f>IFERROR(__xludf.DUMMYFUNCTION("""COMPUTED_VALUE"""),5.0)</f>
        <v>5</v>
      </c>
      <c r="H434" s="3" t="str">
        <f>IFERROR(__xludf.DUMMYFUNCTION("""COMPUTED_VALUE"""),"pcs")</f>
        <v>pcs</v>
      </c>
      <c r="I434" s="3" t="str">
        <f>IFERROR(__xludf.DUMMYFUNCTION("""COMPUTED_VALUE"""),"Deliver")</f>
        <v>Deliver</v>
      </c>
      <c r="J434" s="3" t="str">
        <f>IFERROR(__xludf.DUMMYFUNCTION("""COMPUTED_VALUE"""),"121703551 - APPROVED")</f>
        <v>121703551 - APPROVED</v>
      </c>
      <c r="K434" s="3" t="str">
        <f>IFERROR(__xludf.DUMMYFUNCTION("""COMPUTED_VALUE"""),"GL2511305")</f>
        <v>GL2511305</v>
      </c>
    </row>
    <row r="435">
      <c r="A435" s="3" t="str">
        <f>IFERROR(__xludf.DUMMYFUNCTION("""COMPUTED_VALUE"""),"ROSRO0014")</f>
        <v>ROSRO0014</v>
      </c>
      <c r="B435" s="4">
        <f>IFERROR(__xludf.DUMMYFUNCTION("""COMPUTED_VALUE"""),45975.81316135417)</f>
        <v>45975.81316</v>
      </c>
      <c r="C435" s="3">
        <f>IFERROR(__xludf.DUMMYFUNCTION("""COMPUTED_VALUE"""),45976.252827523145)</f>
        <v>45976.25283</v>
      </c>
      <c r="D435" s="3" t="str">
        <f>IFERROR(__xludf.DUMMYFUNCTION("""COMPUTED_VALUE"""),"Isolator Dispensing Solid ")</f>
        <v>Isolator Dispensing Solid </v>
      </c>
      <c r="E435" s="3" t="str">
        <f>IFERROR(__xludf.DUMMYFUNCTION("""COMPUTED_VALUE"""),"-")</f>
        <v>-</v>
      </c>
      <c r="F435" s="3" t="str">
        <f>IFERROR(__xludf.DUMMYFUNCTION("""COMPUTED_VALUE"""),"General - Isolator Glove CSM Port size 10 Inch (AS : 97800 Y 8.5 E4 5); Austar; AU10Y1532/9AWN; 1 Pc")</f>
        <v>General - Isolator Glove CSM Port size 10 Inch (AS : 97800 Y 8.5 E4 5); Austar; AU10Y1532/9AWN; 1 Pc</v>
      </c>
      <c r="G435" s="3">
        <f>IFERROR(__xludf.DUMMYFUNCTION("""COMPUTED_VALUE"""),20.0)</f>
        <v>20</v>
      </c>
      <c r="H435" s="3" t="str">
        <f>IFERROR(__xludf.DUMMYFUNCTION("""COMPUTED_VALUE"""),"pcs")</f>
        <v>pcs</v>
      </c>
      <c r="I435" s="3" t="str">
        <f>IFERROR(__xludf.DUMMYFUNCTION("""COMPUTED_VALUE"""),"Deliver")</f>
        <v>Deliver</v>
      </c>
      <c r="J435" s="3" t="str">
        <f>IFERROR(__xludf.DUMMYFUNCTION("""COMPUTED_VALUE"""),"121704058 - APPROVED")</f>
        <v>121704058 - APPROVED</v>
      </c>
      <c r="K435" s="3" t="str">
        <f>IFERROR(__xludf.DUMMYFUNCTION("""COMPUTED_VALUE"""),"GL2603066")</f>
        <v>GL2603066</v>
      </c>
    </row>
    <row r="436">
      <c r="A436" s="3" t="str">
        <f>IFERROR(__xludf.DUMMYFUNCTION("""COMPUTED_VALUE"""),"ROSRO0015")</f>
        <v>ROSRO0015</v>
      </c>
      <c r="B436" s="4">
        <f>IFERROR(__xludf.DUMMYFUNCTION("""COMPUTED_VALUE"""),45989.63322773148)</f>
        <v>45989.63323</v>
      </c>
      <c r="C436" s="3">
        <f>IFERROR(__xludf.DUMMYFUNCTION("""COMPUTED_VALUE"""),46010.25072570602)</f>
        <v>46010.25073</v>
      </c>
      <c r="D436" s="3" t="str">
        <f>IFERROR(__xludf.DUMMYFUNCTION("""COMPUTED_VALUE"""),"FD")</f>
        <v>FD</v>
      </c>
      <c r="E436" s="3" t="str">
        <f>IFERROR(__xludf.DUMMYFUNCTION("""COMPUTED_VALUE"""),"-")</f>
        <v>-</v>
      </c>
      <c r="F436" s="3" t="str">
        <f>IFERROR(__xludf.DUMMYFUNCTION("""COMPUTED_VALUE"""),"General - Seal Ferrule Teflon 1 1/2inch; No Brand; -; 1 pcs")</f>
        <v>General - Seal Ferrule Teflon 1 1/2inch; No Brand; -; 1 pcs</v>
      </c>
      <c r="G436" s="3">
        <f>IFERROR(__xludf.DUMMYFUNCTION("""COMPUTED_VALUE"""),20.0)</f>
        <v>20</v>
      </c>
      <c r="H436" s="3" t="str">
        <f>IFERROR(__xludf.DUMMYFUNCTION("""COMPUTED_VALUE"""),"pcs ")</f>
        <v>pcs </v>
      </c>
      <c r="I436" s="3" t="str">
        <f>IFERROR(__xludf.DUMMYFUNCTION("""COMPUTED_VALUE"""),"Deliver")</f>
        <v>Deliver</v>
      </c>
      <c r="J436" s="3" t="str">
        <f>IFERROR(__xludf.DUMMYFUNCTION("""COMPUTED_VALUE"""),"-")</f>
        <v>-</v>
      </c>
      <c r="K436" s="3" t="str">
        <f>IFERROR(__xludf.DUMMYFUNCTION("""COMPUTED_VALUE"""),"-")</f>
        <v>-</v>
      </c>
    </row>
    <row r="437">
      <c r="A437" s="3" t="str">
        <f>IFERROR(__xludf.DUMMYFUNCTION("""COMPUTED_VALUE"""),"ROSRO0016")</f>
        <v>ROSRO0016</v>
      </c>
      <c r="B437" s="4">
        <f>IFERROR(__xludf.DUMMYFUNCTION("""COMPUTED_VALUE"""),45989.63322773148)</f>
        <v>45989.63323</v>
      </c>
      <c r="C437" s="3">
        <f>IFERROR(__xludf.DUMMYFUNCTION("""COMPUTED_VALUE"""),46010.250906817135)</f>
        <v>46010.25091</v>
      </c>
      <c r="D437" s="3" t="str">
        <f>IFERROR(__xludf.DUMMYFUNCTION("""COMPUTED_VALUE"""),"FD")</f>
        <v>FD</v>
      </c>
      <c r="E437" s="3" t="str">
        <f>IFERROR(__xludf.DUMMYFUNCTION("""COMPUTED_VALUE"""),"-")</f>
        <v>-</v>
      </c>
      <c r="F437" s="3" t="str">
        <f>IFERROR(__xludf.DUMMYFUNCTION("""COMPUTED_VALUE"""),"General - Seal Ferrule Teflon 3/4inch; No Brand; -; 1 pcs")</f>
        <v>General - Seal Ferrule Teflon 3/4inch; No Brand; -; 1 pcs</v>
      </c>
      <c r="G437" s="3">
        <f>IFERROR(__xludf.DUMMYFUNCTION("""COMPUTED_VALUE"""),20.0)</f>
        <v>20</v>
      </c>
      <c r="H437" s="3" t="str">
        <f>IFERROR(__xludf.DUMMYFUNCTION("""COMPUTED_VALUE"""),"pcs")</f>
        <v>pcs</v>
      </c>
      <c r="I437" s="3" t="str">
        <f>IFERROR(__xludf.DUMMYFUNCTION("""COMPUTED_VALUE"""),"Deliver")</f>
        <v>Deliver</v>
      </c>
      <c r="J437" s="3" t="str">
        <f>IFERROR(__xludf.DUMMYFUNCTION("""COMPUTED_VALUE"""),"-")</f>
        <v>-</v>
      </c>
      <c r="K437" s="3" t="str">
        <f>IFERROR(__xludf.DUMMYFUNCTION("""COMPUTED_VALUE"""),"-")</f>
        <v>-</v>
      </c>
    </row>
    <row r="438">
      <c r="A438" s="3" t="str">
        <f>IFERROR(__xludf.DUMMYFUNCTION("""COMPUTED_VALUE"""),"ROSRO0017")</f>
        <v>ROSRO0017</v>
      </c>
      <c r="B438" s="4">
        <f>IFERROR(__xludf.DUMMYFUNCTION("""COMPUTED_VALUE"""),45989.63322773148)</f>
        <v>45989.63323</v>
      </c>
      <c r="C438" s="3">
        <f>IFERROR(__xludf.DUMMYFUNCTION("""COMPUTED_VALUE"""),46010.2510975926)</f>
        <v>46010.2511</v>
      </c>
      <c r="D438" s="3" t="str">
        <f>IFERROR(__xludf.DUMMYFUNCTION("""COMPUTED_VALUE"""),"FD")</f>
        <v>FD</v>
      </c>
      <c r="E438" s="3" t="str">
        <f>IFERROR(__xludf.DUMMYFUNCTION("""COMPUTED_VALUE"""),"-")</f>
        <v>-</v>
      </c>
      <c r="F438" s="3" t="str">
        <f>IFERROR(__xludf.DUMMYFUNCTION("""COMPUTED_VALUE"""),"General - Seal Ferrule Teflon 1 1/2inch; No Brand; -; 1 pcs")</f>
        <v>General - Seal Ferrule Teflon 1 1/2inch; No Brand; -; 1 pcs</v>
      </c>
      <c r="G438" s="3">
        <f>IFERROR(__xludf.DUMMYFUNCTION("""COMPUTED_VALUE"""),20.0)</f>
        <v>20</v>
      </c>
      <c r="H438" s="3" t="str">
        <f>IFERROR(__xludf.DUMMYFUNCTION("""COMPUTED_VALUE"""),"pcs")</f>
        <v>pcs</v>
      </c>
      <c r="I438" s="3" t="str">
        <f>IFERROR(__xludf.DUMMYFUNCTION("""COMPUTED_VALUE"""),"Deliver")</f>
        <v>Deliver</v>
      </c>
      <c r="J438" s="3" t="str">
        <f>IFERROR(__xludf.DUMMYFUNCTION("""COMPUTED_VALUE"""),"-")</f>
        <v>-</v>
      </c>
      <c r="K438" s="3" t="str">
        <f>IFERROR(__xludf.DUMMYFUNCTION("""COMPUTED_VALUE"""),"-")</f>
        <v>-</v>
      </c>
    </row>
    <row r="439">
      <c r="A439" s="3" t="str">
        <f>IFERROR(__xludf.DUMMYFUNCTION("""COMPUTED_VALUE"""),"MOBRO0065")</f>
        <v>MOBRO0065</v>
      </c>
      <c r="B439" s="4">
        <f>IFERROR(__xludf.DUMMYFUNCTION("""COMPUTED_VALUE"""),45993.49177363426)</f>
        <v>45993.49177</v>
      </c>
      <c r="C439" s="3">
        <f>IFERROR(__xludf.DUMMYFUNCTION("""COMPUTED_VALUE"""),46002.465597766204)</f>
        <v>46002.4656</v>
      </c>
      <c r="D439" s="3" t="str">
        <f>IFERROR(__xludf.DUMMYFUNCTION("""COMPUTED_VALUE"""),"Pneumatic Fitting")</f>
        <v>Pneumatic Fitting</v>
      </c>
      <c r="E439" s="3" t="str">
        <f>IFERROR(__xludf.DUMMYFUNCTION("""COMPUTED_VALUE"""),"-")</f>
        <v>-</v>
      </c>
      <c r="F439" s="3" t="str">
        <f>IFERROR(__xludf.DUMMYFUNCTION("""COMPUTED_VALUE"""),"Pneumatic  Fitting - QS 1/2-10 / PN : 190646 / Festo")</f>
        <v>Pneumatic  Fitting - QS 1/2-10 / PN : 190646 / Festo</v>
      </c>
      <c r="G439" s="3">
        <f>IFERROR(__xludf.DUMMYFUNCTION("""COMPUTED_VALUE"""),10.0)</f>
        <v>10</v>
      </c>
      <c r="H439" s="3" t="str">
        <f>IFERROR(__xludf.DUMMYFUNCTION("""COMPUTED_VALUE"""),"pcs")</f>
        <v>pcs</v>
      </c>
      <c r="I439" s="3" t="str">
        <f>IFERROR(__xludf.DUMMYFUNCTION("""COMPUTED_VALUE"""),"Deliver")</f>
        <v>Deliver</v>
      </c>
      <c r="J439" s="3" t="str">
        <f>IFERROR(__xludf.DUMMYFUNCTION("""COMPUTED_VALUE"""),"121703621 - APPROVED")</f>
        <v>121703621 - APPROVED</v>
      </c>
      <c r="K439" s="3" t="str">
        <f>IFERROR(__xludf.DUMMYFUNCTION("""COMPUTED_VALUE"""),"GL2607381")</f>
        <v>GL2607381</v>
      </c>
    </row>
    <row r="440">
      <c r="A440" s="3" t="str">
        <f>IFERROR(__xludf.DUMMYFUNCTION("""COMPUTED_VALUE"""),"MOBRO0066")</f>
        <v>MOBRO0066</v>
      </c>
      <c r="B440" s="4">
        <f>IFERROR(__xludf.DUMMYFUNCTION("""COMPUTED_VALUE"""),45993.49864751157)</f>
        <v>45993.49865</v>
      </c>
      <c r="C440" s="3">
        <f>IFERROR(__xludf.DUMMYFUNCTION("""COMPUTED_VALUE"""),46002.46575488426)</f>
        <v>46002.46575</v>
      </c>
      <c r="D440" s="3" t="str">
        <f>IFERROR(__xludf.DUMMYFUNCTION("""COMPUTED_VALUE"""),"Pneumatic Fitting")</f>
        <v>Pneumatic Fitting</v>
      </c>
      <c r="E440" s="3" t="str">
        <f>IFERROR(__xludf.DUMMYFUNCTION("""COMPUTED_VALUE"""),"-")</f>
        <v>-</v>
      </c>
      <c r="F440" s="3" t="str">
        <f>IFERROR(__xludf.DUMMYFUNCTION("""COMPUTED_VALUE"""),"Pneumatic Fitting - QS 1/4-10 / PN : 153007 / Festo")</f>
        <v>Pneumatic Fitting - QS 1/4-10 / PN : 153007 / Festo</v>
      </c>
      <c r="G440" s="3">
        <f>IFERROR(__xludf.DUMMYFUNCTION("""COMPUTED_VALUE"""),10.0)</f>
        <v>10</v>
      </c>
      <c r="H440" s="3" t="str">
        <f>IFERROR(__xludf.DUMMYFUNCTION("""COMPUTED_VALUE"""),"pcs")</f>
        <v>pcs</v>
      </c>
      <c r="I440" s="3" t="str">
        <f>IFERROR(__xludf.DUMMYFUNCTION("""COMPUTED_VALUE"""),"Deliver")</f>
        <v>Deliver</v>
      </c>
      <c r="J440" s="3" t="str">
        <f>IFERROR(__xludf.DUMMYFUNCTION("""COMPUTED_VALUE"""),"121703621 - APPROVED")</f>
        <v>121703621 - APPROVED</v>
      </c>
      <c r="K440" s="3" t="str">
        <f>IFERROR(__xludf.DUMMYFUNCTION("""COMPUTED_VALUE"""),"GL2607381")</f>
        <v>GL2607381</v>
      </c>
    </row>
    <row r="441">
      <c r="A441" s="3" t="str">
        <f>IFERROR(__xludf.DUMMYFUNCTION("""COMPUTED_VALUE"""),"MOBRO0067")</f>
        <v>MOBRO0067</v>
      </c>
      <c r="B441" s="4">
        <f>IFERROR(__xludf.DUMMYFUNCTION("""COMPUTED_VALUE"""),45993.49905060185)</f>
        <v>45993.49905</v>
      </c>
      <c r="C441" s="3">
        <f>IFERROR(__xludf.DUMMYFUNCTION("""COMPUTED_VALUE"""),46002.465884606485)</f>
        <v>46002.46588</v>
      </c>
      <c r="D441" s="3" t="str">
        <f>IFERROR(__xludf.DUMMYFUNCTION("""COMPUTED_VALUE"""),"Pneumatic Fitting")</f>
        <v>Pneumatic Fitting</v>
      </c>
      <c r="E441" s="3" t="str">
        <f>IFERROR(__xludf.DUMMYFUNCTION("""COMPUTED_VALUE"""),"-")</f>
        <v>-</v>
      </c>
      <c r="F441" s="3" t="str">
        <f>IFERROR(__xludf.DUMMYFUNCTION("""COMPUTED_VALUE"""),"General - Push-in Fitting, QS-1/4-6; Festo; 153003; 1 pcs")</f>
        <v>General - Push-in Fitting, QS-1/4-6; Festo; 153003; 1 pcs</v>
      </c>
      <c r="G441" s="3">
        <f>IFERROR(__xludf.DUMMYFUNCTION("""COMPUTED_VALUE"""),10.0)</f>
        <v>10</v>
      </c>
      <c r="H441" s="3" t="str">
        <f>IFERROR(__xludf.DUMMYFUNCTION("""COMPUTED_VALUE"""),"pcs")</f>
        <v>pcs</v>
      </c>
      <c r="I441" s="3" t="str">
        <f>IFERROR(__xludf.DUMMYFUNCTION("""COMPUTED_VALUE"""),"Deliver")</f>
        <v>Deliver</v>
      </c>
      <c r="J441" s="3" t="str">
        <f>IFERROR(__xludf.DUMMYFUNCTION("""COMPUTED_VALUE"""),"121703621 - APPROVED")</f>
        <v>121703621 - APPROVED</v>
      </c>
      <c r="K441" s="3" t="str">
        <f>IFERROR(__xludf.DUMMYFUNCTION("""COMPUTED_VALUE"""),"GL2607381")</f>
        <v>GL2607381</v>
      </c>
    </row>
    <row r="442">
      <c r="A442" s="3" t="str">
        <f>IFERROR(__xludf.DUMMYFUNCTION("""COMPUTED_VALUE"""),"MOBRO0068")</f>
        <v>MOBRO0068</v>
      </c>
      <c r="B442" s="4">
        <f>IFERROR(__xludf.DUMMYFUNCTION("""COMPUTED_VALUE"""),45993.5010647338)</f>
        <v>45993.50106</v>
      </c>
      <c r="C442" s="3">
        <f>IFERROR(__xludf.DUMMYFUNCTION("""COMPUTED_VALUE"""),46002.466014502315)</f>
        <v>46002.46601</v>
      </c>
      <c r="D442" s="3" t="str">
        <f>IFERROR(__xludf.DUMMYFUNCTION("""COMPUTED_VALUE"""),"Pneumatic Fitting")</f>
        <v>Pneumatic Fitting</v>
      </c>
      <c r="E442" s="3" t="str">
        <f>IFERROR(__xludf.DUMMYFUNCTION("""COMPUTED_VALUE"""),"-")</f>
        <v>-</v>
      </c>
      <c r="F442" s="3" t="str">
        <f>IFERROR(__xludf.DUMMYFUNCTION("""COMPUTED_VALUE"""),"FESTO - QS-10-8 Push In Connector p/n 153039")</f>
        <v>FESTO - QS-10-8 Push In Connector p/n 153039</v>
      </c>
      <c r="G442" s="3">
        <f>IFERROR(__xludf.DUMMYFUNCTION("""COMPUTED_VALUE"""),10.0)</f>
        <v>10</v>
      </c>
      <c r="H442" s="3" t="str">
        <f>IFERROR(__xludf.DUMMYFUNCTION("""COMPUTED_VALUE"""),"pcs")</f>
        <v>pcs</v>
      </c>
      <c r="I442" s="3" t="str">
        <f>IFERROR(__xludf.DUMMYFUNCTION("""COMPUTED_VALUE"""),"Deliver")</f>
        <v>Deliver</v>
      </c>
      <c r="J442" s="3" t="str">
        <f>IFERROR(__xludf.DUMMYFUNCTION("""COMPUTED_VALUE"""),"121703724 - APPROVED")</f>
        <v>121703724 - APPROVED</v>
      </c>
      <c r="K442" s="3" t="str">
        <f>IFERROR(__xludf.DUMMYFUNCTION("""COMPUTED_VALUE"""),"GL2607381")</f>
        <v>GL2607381</v>
      </c>
    </row>
    <row r="443">
      <c r="A443" s="3" t="str">
        <f>IFERROR(__xludf.DUMMYFUNCTION("""COMPUTED_VALUE"""),"MOBRO0069")</f>
        <v>MOBRO0069</v>
      </c>
      <c r="B443" s="4">
        <f>IFERROR(__xludf.DUMMYFUNCTION("""COMPUTED_VALUE"""),45993.50336865741)</f>
        <v>45993.50337</v>
      </c>
      <c r="C443" s="3">
        <f>IFERROR(__xludf.DUMMYFUNCTION("""COMPUTED_VALUE"""),46002.46614402778)</f>
        <v>46002.46614</v>
      </c>
      <c r="D443" s="3" t="str">
        <f>IFERROR(__xludf.DUMMYFUNCTION("""COMPUTED_VALUE"""),"Pneumatic Fitting")</f>
        <v>Pneumatic Fitting</v>
      </c>
      <c r="E443" s="3" t="str">
        <f>IFERROR(__xludf.DUMMYFUNCTION("""COMPUTED_VALUE"""),"-")</f>
        <v>-</v>
      </c>
      <c r="F443" s="3" t="str">
        <f>IFERROR(__xludf.DUMMYFUNCTION("""COMPUTED_VALUE"""),"General - Push-in Connector, QS-8-6; Festo; 153038; 1 pcs")</f>
        <v>General - Push-in Connector, QS-8-6; Festo; 153038; 1 pcs</v>
      </c>
      <c r="G443" s="3">
        <f>IFERROR(__xludf.DUMMYFUNCTION("""COMPUTED_VALUE"""),10.0)</f>
        <v>10</v>
      </c>
      <c r="H443" s="3" t="str">
        <f>IFERROR(__xludf.DUMMYFUNCTION("""COMPUTED_VALUE"""),"pcs")</f>
        <v>pcs</v>
      </c>
      <c r="I443" s="3" t="str">
        <f>IFERROR(__xludf.DUMMYFUNCTION("""COMPUTED_VALUE"""),"Deliver")</f>
        <v>Deliver</v>
      </c>
      <c r="J443" s="3" t="str">
        <f>IFERROR(__xludf.DUMMYFUNCTION("""COMPUTED_VALUE"""),"121703621 - APPROVED")</f>
        <v>121703621 - APPROVED</v>
      </c>
      <c r="K443" s="3" t="str">
        <f>IFERROR(__xludf.DUMMYFUNCTION("""COMPUTED_VALUE"""),"GL2607381")</f>
        <v>GL2607381</v>
      </c>
    </row>
    <row r="444">
      <c r="A444" s="3" t="str">
        <f>IFERROR(__xludf.DUMMYFUNCTION("""COMPUTED_VALUE"""),"RIARO0056")</f>
        <v>RIARO0056</v>
      </c>
      <c r="B444" s="4">
        <f>IFERROR(__xludf.DUMMYFUNCTION("""COMPUTED_VALUE"""),46008.262979189814)</f>
        <v>46008.26298</v>
      </c>
      <c r="C444" s="3">
        <f>IFERROR(__xludf.DUMMYFUNCTION("""COMPUTED_VALUE"""),46010.40665071759)</f>
        <v>46010.40665</v>
      </c>
      <c r="D444" s="3" t="str">
        <f>IFERROR(__xludf.DUMMYFUNCTION("""COMPUTED_VALUE"""),"PW SKID")</f>
        <v>PW SKID</v>
      </c>
      <c r="E444" s="3" t="str">
        <f>IFERROR(__xludf.DUMMYFUNCTION("""COMPUTED_VALUE"""),"EJO/2025/10/146")</f>
        <v>EJO/2025/10/146</v>
      </c>
      <c r="F444" s="3" t="str">
        <f>IFERROR(__xludf.DUMMYFUNCTION("""COMPUTED_VALUE"""),"General - UV Lamp SD55-320W; Hanovia; 130071-0320-C; 1 pc")</f>
        <v>General - UV Lamp SD55-320W; Hanovia; 130071-0320-C; 1 pc</v>
      </c>
      <c r="G444" s="3">
        <f>IFERROR(__xludf.DUMMYFUNCTION("""COMPUTED_VALUE"""),2.0)</f>
        <v>2</v>
      </c>
      <c r="H444" s="3" t="str">
        <f>IFERROR(__xludf.DUMMYFUNCTION("""COMPUTED_VALUE"""),"Pcs")</f>
        <v>Pcs</v>
      </c>
      <c r="I444" s="3" t="str">
        <f>IFERROR(__xludf.DUMMYFUNCTION("""COMPUTED_VALUE"""),"Deliver")</f>
        <v>Deliver</v>
      </c>
      <c r="J444" s="3" t="str">
        <f>IFERROR(__xludf.DUMMYFUNCTION("""COMPUTED_VALUE"""),"-")</f>
        <v>-</v>
      </c>
      <c r="K444" s="3" t="str">
        <f>IFERROR(__xludf.DUMMYFUNCTION("""COMPUTED_VALUE"""),"-")</f>
        <v>-</v>
      </c>
    </row>
    <row r="445">
      <c r="A445" s="3" t="str">
        <f>IFERROR(__xludf.DUMMYFUNCTION("""COMPUTED_VALUE"""),"BDURO0001")</f>
        <v>BDURO0001</v>
      </c>
      <c r="B445" s="4">
        <f>IFERROR(__xludf.DUMMYFUNCTION("""COMPUTED_VALUE"""),46017.09970445602)</f>
        <v>46017.0997</v>
      </c>
      <c r="C445" s="3">
        <f>IFERROR(__xludf.DUMMYFUNCTION("""COMPUTED_VALUE"""),46020.413390601854)</f>
        <v>46020.41339</v>
      </c>
      <c r="D445" s="3" t="str">
        <f>IFERROR(__xludf.DUMMYFUNCTION("""COMPUTED_VALUE"""),"inkubator 1 (Micro Lab)")</f>
        <v>inkubator 1 (Micro Lab)</v>
      </c>
      <c r="E445" s="3" t="str">
        <f>IFERROR(__xludf.DUMMYFUNCTION("""COMPUTED_VALUE"""),"EJO/2025/11/117")</f>
        <v>EJO/2025/11/117</v>
      </c>
      <c r="F445" s="3" t="str">
        <f>IFERROR(__xludf.DUMMYFUNCTION("""COMPUTED_VALUE"""),"General - Lampu TL LED T5 16 W 6000 K; No Brand; -; 1 unt")</f>
        <v>General - Lampu TL LED T5 16 W 6000 K; No Brand; -; 1 unt</v>
      </c>
      <c r="G445" s="3">
        <f>IFERROR(__xludf.DUMMYFUNCTION("""COMPUTED_VALUE"""),5.0)</f>
        <v>5</v>
      </c>
      <c r="H445" s="3" t="str">
        <f>IFERROR(__xludf.DUMMYFUNCTION("""COMPUTED_VALUE"""),"pcs")</f>
        <v>pcs</v>
      </c>
      <c r="I445" s="3" t="str">
        <f>IFERROR(__xludf.DUMMYFUNCTION("""COMPUTED_VALUE"""),"Deliver")</f>
        <v>Deliver</v>
      </c>
      <c r="J445" s="3" t="str">
        <f>IFERROR(__xludf.DUMMYFUNCTION("""COMPUTED_VALUE"""),"-")</f>
        <v>-</v>
      </c>
      <c r="K445" s="3" t="str">
        <f>IFERROR(__xludf.DUMMYFUNCTION("""COMPUTED_VALUE"""),"-")</f>
        <v>-</v>
      </c>
    </row>
    <row r="446">
      <c r="A446" s="3" t="str">
        <f>IFERROR(__xludf.DUMMYFUNCTION("""COMPUTED_VALUE"""),"NDSRO0014")</f>
        <v>NDSRO0014</v>
      </c>
      <c r="B446" s="4">
        <f>IFERROR(__xludf.DUMMYFUNCTION("""COMPUTED_VALUE"""),46026.93657457176)</f>
        <v>46026.93657</v>
      </c>
      <c r="C446" s="3">
        <f>IFERROR(__xludf.DUMMYFUNCTION("""COMPUTED_VALUE"""),46027.765782083334)</f>
        <v>46027.76578</v>
      </c>
      <c r="D446" s="3" t="str">
        <f>IFERROR(__xludf.DUMMYFUNCTION("""COMPUTED_VALUE"""),"Filling Steriline")</f>
        <v>Filling Steriline</v>
      </c>
      <c r="E446" s="3" t="str">
        <f>IFERROR(__xludf.DUMMYFUNCTION("""COMPUTED_VALUE"""),"-")</f>
        <v>-</v>
      </c>
      <c r="F446" s="3" t="str">
        <f>IFERROR(__xludf.DUMMYFUNCTION("""COMPUTED_VALUE"""),"General - Silicone Gasket for Ferrule dia. 3/4""; -; -; 1 Pc")</f>
        <v>General - Silicone Gasket for Ferrule dia. 3/4"; -; -; 1 Pc</v>
      </c>
      <c r="G446" s="3">
        <f>IFERROR(__xludf.DUMMYFUNCTION("""COMPUTED_VALUE"""),50.0)</f>
        <v>50</v>
      </c>
      <c r="H446" s="3" t="str">
        <f>IFERROR(__xludf.DUMMYFUNCTION("""COMPUTED_VALUE"""),"pcs")</f>
        <v>pcs</v>
      </c>
      <c r="I446" s="3" t="str">
        <f>IFERROR(__xludf.DUMMYFUNCTION("""COMPUTED_VALUE"""),"Deliver")</f>
        <v>Deliver</v>
      </c>
      <c r="J446" s="3" t="str">
        <f>IFERROR(__xludf.DUMMYFUNCTION("""COMPUTED_VALUE"""),"-")</f>
        <v>-</v>
      </c>
      <c r="K446" s="3" t="str">
        <f>IFERROR(__xludf.DUMMYFUNCTION("""COMPUTED_VALUE"""),"-")</f>
        <v>-</v>
      </c>
    </row>
    <row r="447">
      <c r="A447" s="3" t="str">
        <f>IFERROR(__xludf.DUMMYFUNCTION("""COMPUTED_VALUE"""),"NDSRO0015")</f>
        <v>NDSRO0015</v>
      </c>
      <c r="B447" s="4">
        <f>IFERROR(__xludf.DUMMYFUNCTION("""COMPUTED_VALUE"""),46026.937808634255)</f>
        <v>46026.93781</v>
      </c>
      <c r="C447" s="3">
        <f>IFERROR(__xludf.DUMMYFUNCTION("""COMPUTED_VALUE"""),46027.76602829861)</f>
        <v>46027.76603</v>
      </c>
      <c r="D447" s="3" t="str">
        <f>IFERROR(__xludf.DUMMYFUNCTION("""COMPUTED_VALUE"""),"Produksi")</f>
        <v>Produksi</v>
      </c>
      <c r="E447" s="3" t="str">
        <f>IFERROR(__xludf.DUMMYFUNCTION("""COMPUTED_VALUE"""),"-")</f>
        <v>-</v>
      </c>
      <c r="F447" s="3" t="str">
        <f>IFERROR(__xludf.DUMMYFUNCTION("""COMPUTED_VALUE"""),"General - Baut L, SS, M5 x 20 mm + Mur + Ring; No Brand; -; 1 pcs")</f>
        <v>General - Baut L, SS, M5 x 20 mm + Mur + Ring; No Brand; -; 1 pcs</v>
      </c>
      <c r="G447" s="3">
        <f>IFERROR(__xludf.DUMMYFUNCTION("""COMPUTED_VALUE"""),100.0)</f>
        <v>100</v>
      </c>
      <c r="H447" s="3" t="str">
        <f>IFERROR(__xludf.DUMMYFUNCTION("""COMPUTED_VALUE"""),"Pcs")</f>
        <v>Pcs</v>
      </c>
      <c r="I447" s="3" t="str">
        <f>IFERROR(__xludf.DUMMYFUNCTION("""COMPUTED_VALUE"""),"Deliver")</f>
        <v>Deliver</v>
      </c>
      <c r="J447" s="3" t="str">
        <f>IFERROR(__xludf.DUMMYFUNCTION("""COMPUTED_VALUE"""),"-")</f>
        <v>-</v>
      </c>
      <c r="K447" s="3" t="str">
        <f>IFERROR(__xludf.DUMMYFUNCTION("""COMPUTED_VALUE"""),"-")</f>
        <v>-</v>
      </c>
    </row>
    <row r="448">
      <c r="A448" s="3" t="str">
        <f>IFERROR(__xludf.DUMMYFUNCTION("""COMPUTED_VALUE"""),"BDURO0002")</f>
        <v>BDURO0002</v>
      </c>
      <c r="B448" s="4">
        <f>IFERROR(__xludf.DUMMYFUNCTION("""COMPUTED_VALUE"""),46031.41487912037)</f>
        <v>46031.41488</v>
      </c>
      <c r="C448" s="3">
        <f>IFERROR(__xludf.DUMMYFUNCTION("""COMPUTED_VALUE"""),46036.53648556713)</f>
        <v>46036.53649</v>
      </c>
      <c r="D448" s="3" t="str">
        <f>IFERROR(__xludf.DUMMYFUNCTION("""COMPUTED_VALUE"""),"HO")</f>
        <v>HO</v>
      </c>
      <c r="E448" s="3" t="str">
        <f>IFERROR(__xludf.DUMMYFUNCTION("""COMPUTED_VALUE"""),"EJO/2026/01/28")</f>
        <v>EJO/2026/01/28</v>
      </c>
      <c r="F448" s="3" t="str">
        <f>IFERROR(__xludf.DUMMYFUNCTION("""COMPUTED_VALUE"""),"Terminal Krustin 6 Terminal; ; ;")</f>
        <v>Terminal Krustin 6 Terminal; ; ;</v>
      </c>
      <c r="G448" s="3">
        <f>IFERROR(__xludf.DUMMYFUNCTION("""COMPUTED_VALUE"""),1.0)</f>
        <v>1</v>
      </c>
      <c r="H448" s="3" t="str">
        <f>IFERROR(__xludf.DUMMYFUNCTION("""COMPUTED_VALUE"""),"Pack")</f>
        <v>Pack</v>
      </c>
      <c r="I448" s="3" t="str">
        <f>IFERROR(__xludf.DUMMYFUNCTION("""COMPUTED_VALUE"""),"Deliver")</f>
        <v>Deliver</v>
      </c>
      <c r="J448" s="3" t="str">
        <f>IFERROR(__xludf.DUMMYFUNCTION("""COMPUTED_VALUE"""),"121703725 - APPROVED")</f>
        <v>121703725 - APPROVED</v>
      </c>
      <c r="K448" s="3" t="str">
        <f>IFERROR(__xludf.DUMMYFUNCTION("""COMPUTED_VALUE"""),"GL2603434")</f>
        <v>GL2603434</v>
      </c>
    </row>
    <row r="449">
      <c r="A449" s="3" t="str">
        <f>IFERROR(__xludf.DUMMYFUNCTION("""COMPUTED_VALUE"""),"MOBRO0070")</f>
        <v>MOBRO0070</v>
      </c>
      <c r="B449" s="4">
        <f>IFERROR(__xludf.DUMMYFUNCTION("""COMPUTED_VALUE"""),46034.655956574075)</f>
        <v>46034.65596</v>
      </c>
      <c r="C449" s="3">
        <f>IFERROR(__xludf.DUMMYFUNCTION("""COMPUTED_VALUE"""),46048.63076128472)</f>
        <v>46048.63076</v>
      </c>
      <c r="D449" s="3" t="str">
        <f>IFERROR(__xludf.DUMMYFUNCTION("""COMPUTED_VALUE"""),"PSG")</f>
        <v>PSG</v>
      </c>
      <c r="E449" s="3" t="str">
        <f>IFERROR(__xludf.DUMMYFUNCTION("""COMPUTED_VALUE"""),"-")</f>
        <v>-</v>
      </c>
      <c r="F449" s="3" t="str">
        <f>IFERROR(__xludf.DUMMYFUNCTION("""COMPUTED_VALUE"""),"General - Thermostatic Steam Trap LV6-CE DN20 SS; TLV; -; 1 Pc")</f>
        <v>General - Thermostatic Steam Trap LV6-CE DN20 SS; TLV; -; 1 Pc</v>
      </c>
      <c r="G449" s="3">
        <f>IFERROR(__xludf.DUMMYFUNCTION("""COMPUTED_VALUE"""),1.0)</f>
        <v>1</v>
      </c>
      <c r="H449" s="3" t="str">
        <f>IFERROR(__xludf.DUMMYFUNCTION("""COMPUTED_VALUE"""),"Pcs")</f>
        <v>Pcs</v>
      </c>
      <c r="I449" s="3" t="str">
        <f>IFERROR(__xludf.DUMMYFUNCTION("""COMPUTED_VALUE"""),"Deliver")</f>
        <v>Deliver</v>
      </c>
      <c r="J449" s="3" t="str">
        <f>IFERROR(__xludf.DUMMYFUNCTION("""COMPUTED_VALUE"""),"121703753 - APPROVED")</f>
        <v>121703753 - APPROVED</v>
      </c>
      <c r="K449" s="3" t="str">
        <f>IFERROR(__xludf.DUMMYFUNCTION("""COMPUTED_VALUE"""),"GL2602014")</f>
        <v>GL2602014</v>
      </c>
    </row>
    <row r="450">
      <c r="A450" s="3" t="str">
        <f>IFERROR(__xludf.DUMMYFUNCTION("""COMPUTED_VALUE"""),"MRNRO0041")</f>
        <v>MRNRO0041</v>
      </c>
      <c r="B450" s="4">
        <f>IFERROR(__xludf.DUMMYFUNCTION("""COMPUTED_VALUE"""),46036.28344309027)</f>
        <v>46036.28344</v>
      </c>
      <c r="C450" s="3">
        <f>IFERROR(__xludf.DUMMYFUNCTION("""COMPUTED_VALUE"""),46037.41566423611)</f>
        <v>46037.41566</v>
      </c>
      <c r="D450" s="3" t="str">
        <f>IFERROR(__xludf.DUMMYFUNCTION("""COMPUTED_VALUE"""),"selang wastafel")</f>
        <v>selang wastafel</v>
      </c>
      <c r="E450" s="3" t="str">
        <f>IFERROR(__xludf.DUMMYFUNCTION("""COMPUTED_VALUE"""),"EJO/2026/01/74")</f>
        <v>EJO/2026/01/74</v>
      </c>
      <c r="F450" s="3" t="str">
        <f>IFERROR(__xludf.DUMMYFUNCTION("""COMPUTED_VALUE"""),"General - Stang Sealant; Tekiro; -; 1 Pc")</f>
        <v>General - Stang Sealant; Tekiro; -; 1 Pc</v>
      </c>
      <c r="G450" s="3">
        <f>IFERROR(__xludf.DUMMYFUNCTION("""COMPUTED_VALUE"""),4.0)</f>
        <v>4</v>
      </c>
      <c r="H450" s="3" t="str">
        <f>IFERROR(__xludf.DUMMYFUNCTION("""COMPUTED_VALUE"""),"pcs")</f>
        <v>pcs</v>
      </c>
      <c r="I450" s="3" t="str">
        <f>IFERROR(__xludf.DUMMYFUNCTION("""COMPUTED_VALUE"""),"Deliver")</f>
        <v>Deliver</v>
      </c>
      <c r="J450" s="3" t="str">
        <f>IFERROR(__xludf.DUMMYFUNCTION("""COMPUTED_VALUE"""),"121703727 - APPROVED")</f>
        <v>121703727 - APPROVED</v>
      </c>
      <c r="K450" s="3" t="str">
        <f>IFERROR(__xludf.DUMMYFUNCTION("""COMPUTED_VALUE"""),"GL2603434")</f>
        <v>GL2603434</v>
      </c>
    </row>
    <row r="451">
      <c r="A451" s="3" t="str">
        <f>IFERROR(__xludf.DUMMYFUNCTION("""COMPUTED_VALUE"""),"RIARO0057")</f>
        <v>RIARO0057</v>
      </c>
      <c r="B451" s="4">
        <f>IFERROR(__xludf.DUMMYFUNCTION("""COMPUTED_VALUE"""),46036.444023090284)</f>
        <v>46036.44402</v>
      </c>
      <c r="C451" s="3">
        <f>IFERROR(__xludf.DUMMYFUNCTION("""COMPUTED_VALUE"""),46037.41094502315)</f>
        <v>46037.41095</v>
      </c>
      <c r="D451" s="3" t="str">
        <f>IFERROR(__xludf.DUMMYFUNCTION("""COMPUTED_VALUE"""),"P Pen 1")</f>
        <v>P Pen 1</v>
      </c>
      <c r="E451" s="3" t="str">
        <f>IFERROR(__xludf.DUMMYFUNCTION("""COMPUTED_VALUE"""),"EJO/2026/01/33")</f>
        <v>EJO/2026/01/33</v>
      </c>
      <c r="F451" s="3" t="str">
        <f>IFERROR(__xludf.DUMMYFUNCTION("""COMPUTED_VALUE"""),"General - Terminal Block, 10 mm; Fort; -; 1 pcs")</f>
        <v>General - Terminal Block, 10 mm; Fort; -; 1 pcs</v>
      </c>
      <c r="G451" s="3">
        <f>IFERROR(__xludf.DUMMYFUNCTION("""COMPUTED_VALUE"""),10.0)</f>
        <v>10</v>
      </c>
      <c r="H451" s="3" t="str">
        <f>IFERROR(__xludf.DUMMYFUNCTION("""COMPUTED_VALUE"""),"Pcs")</f>
        <v>Pcs</v>
      </c>
      <c r="I451" s="3" t="str">
        <f>IFERROR(__xludf.DUMMYFUNCTION("""COMPUTED_VALUE"""),"Deliver")</f>
        <v>Deliver</v>
      </c>
      <c r="J451" s="3" t="str">
        <f>IFERROR(__xludf.DUMMYFUNCTION("""COMPUTED_VALUE"""),"121703726 - APPROVED")</f>
        <v>121703726 - APPROVED</v>
      </c>
      <c r="K451" s="3" t="str">
        <f>IFERROR(__xludf.DUMMYFUNCTION("""COMPUTED_VALUE"""),"GL2602413")</f>
        <v>GL2602413</v>
      </c>
    </row>
    <row r="452">
      <c r="A452" s="3" t="str">
        <f>IFERROR(__xludf.DUMMYFUNCTION("""COMPUTED_VALUE"""),"RIARO0058")</f>
        <v>RIARO0058</v>
      </c>
      <c r="B452" s="4">
        <f>IFERROR(__xludf.DUMMYFUNCTION("""COMPUTED_VALUE"""),46036.44468798611)</f>
        <v>46036.44469</v>
      </c>
      <c r="C452" s="3">
        <f>IFERROR(__xludf.DUMMYFUNCTION("""COMPUTED_VALUE"""),46037.41119987269)</f>
        <v>46037.4112</v>
      </c>
      <c r="D452" s="3" t="str">
        <f>IFERROR(__xludf.DUMMYFUNCTION("""COMPUTED_VALUE"""),"P Pen 1")</f>
        <v>P Pen 1</v>
      </c>
      <c r="E452" s="3" t="str">
        <f>IFERROR(__xludf.DUMMYFUNCTION("""COMPUTED_VALUE"""),"EJO/2026/01/33")</f>
        <v>EJO/2026/01/33</v>
      </c>
      <c r="F452" s="3" t="str">
        <f>IFERROR(__xludf.DUMMYFUNCTION("""COMPUTED_VALUE"""),"General - MCB 1 PHASE 25 AMPERE; Schneider; -; 1 Pc")</f>
        <v>General - MCB 1 PHASE 25 AMPERE; Schneider; -; 1 Pc</v>
      </c>
      <c r="G452" s="3">
        <f>IFERROR(__xludf.DUMMYFUNCTION("""COMPUTED_VALUE"""),5.0)</f>
        <v>5</v>
      </c>
      <c r="H452" s="3" t="str">
        <f>IFERROR(__xludf.DUMMYFUNCTION("""COMPUTED_VALUE"""),"Pcs")</f>
        <v>Pcs</v>
      </c>
      <c r="I452" s="3" t="str">
        <f>IFERROR(__xludf.DUMMYFUNCTION("""COMPUTED_VALUE"""),"Deliver")</f>
        <v>Deliver</v>
      </c>
      <c r="J452" s="3" t="str">
        <f>IFERROR(__xludf.DUMMYFUNCTION("""COMPUTED_VALUE"""),"121703726 - APPROVED")</f>
        <v>121703726 - APPROVED</v>
      </c>
      <c r="K452" s="3" t="str">
        <f>IFERROR(__xludf.DUMMYFUNCTION("""COMPUTED_VALUE"""),"GL2602414")</f>
        <v>GL2602414</v>
      </c>
    </row>
    <row r="453">
      <c r="A453" s="3" t="str">
        <f>IFERROR(__xludf.DUMMYFUNCTION("""COMPUTED_VALUE"""),"RIARO0059")</f>
        <v>RIARO0059</v>
      </c>
      <c r="B453" s="4">
        <f>IFERROR(__xludf.DUMMYFUNCTION("""COMPUTED_VALUE"""),46036.46866061343)</f>
        <v>46036.46866</v>
      </c>
      <c r="C453" s="3">
        <f>IFERROR(__xludf.DUMMYFUNCTION("""COMPUTED_VALUE"""),46037.41499431713)</f>
        <v>46037.41499</v>
      </c>
      <c r="D453" s="3" t="str">
        <f>IFERROR(__xludf.DUMMYFUNCTION("""COMPUTED_VALUE"""),"All Area")</f>
        <v>All Area</v>
      </c>
      <c r="E453" s="3" t="str">
        <f>IFERROR(__xludf.DUMMYFUNCTION("""COMPUTED_VALUE"""),"-")</f>
        <v>-</v>
      </c>
      <c r="F453" s="3" t="str">
        <f>IFERROR(__xludf.DUMMYFUNCTION("""COMPUTED_VALUE"""),"OMRON - Relay MY4N 220/240VAC")</f>
        <v>OMRON - Relay MY4N 220/240VAC</v>
      </c>
      <c r="G453" s="3">
        <f>IFERROR(__xludf.DUMMYFUNCTION("""COMPUTED_VALUE"""),20.0)</f>
        <v>20</v>
      </c>
      <c r="H453" s="3" t="str">
        <f>IFERROR(__xludf.DUMMYFUNCTION("""COMPUTED_VALUE"""),"Pcs")</f>
        <v>Pcs</v>
      </c>
      <c r="I453" s="3" t="str">
        <f>IFERROR(__xludf.DUMMYFUNCTION("""COMPUTED_VALUE"""),"Deliver")</f>
        <v>Deliver</v>
      </c>
      <c r="J453" s="3" t="str">
        <f>IFERROR(__xludf.DUMMYFUNCTION("""COMPUTED_VALUE"""),"-")</f>
        <v>-</v>
      </c>
      <c r="K453" s="3" t="str">
        <f>IFERROR(__xludf.DUMMYFUNCTION("""COMPUTED_VALUE"""),"-")</f>
        <v>-</v>
      </c>
    </row>
    <row r="454">
      <c r="A454" s="3" t="str">
        <f>IFERROR(__xludf.DUMMYFUNCTION("""COMPUTED_VALUE"""),"RIARO0060")</f>
        <v>RIARO0060</v>
      </c>
      <c r="B454" s="4">
        <f>IFERROR(__xludf.DUMMYFUNCTION("""COMPUTED_VALUE"""),46036.47074423611)</f>
        <v>46036.47074</v>
      </c>
      <c r="C454" s="3">
        <f>IFERROR(__xludf.DUMMYFUNCTION("""COMPUTED_VALUE"""),46037.41515930556)</f>
        <v>46037.41516</v>
      </c>
      <c r="D454" s="3" t="str">
        <f>IFERROR(__xludf.DUMMYFUNCTION("""COMPUTED_VALUE"""),"All Area")</f>
        <v>All Area</v>
      </c>
      <c r="E454" s="3" t="str">
        <f>IFERROR(__xludf.DUMMYFUNCTION("""COMPUTED_VALUE"""),"-")</f>
        <v>-</v>
      </c>
      <c r="F454" s="3" t="str">
        <f>IFERROR(__xludf.DUMMYFUNCTION("""COMPUTED_VALUE"""),"General - Power Supply 220 VAC 12 VDC, 3 Ampere; -; -; 1 Pc")</f>
        <v>General - Power Supply 220 VAC 12 VDC, 3 Ampere; -; -; 1 Pc</v>
      </c>
      <c r="G454" s="3">
        <f>IFERROR(__xludf.DUMMYFUNCTION("""COMPUTED_VALUE"""),3.0)</f>
        <v>3</v>
      </c>
      <c r="H454" s="3" t="str">
        <f>IFERROR(__xludf.DUMMYFUNCTION("""COMPUTED_VALUE"""),"Pcs")</f>
        <v>Pcs</v>
      </c>
      <c r="I454" s="3" t="str">
        <f>IFERROR(__xludf.DUMMYFUNCTION("""COMPUTED_VALUE"""),"Deliver")</f>
        <v>Deliver</v>
      </c>
      <c r="J454" s="3" t="str">
        <f>IFERROR(__xludf.DUMMYFUNCTION("""COMPUTED_VALUE"""),"121703726 - APPROVED")</f>
        <v>121703726 - APPROVED</v>
      </c>
      <c r="K454" s="3" t="str">
        <f>IFERROR(__xludf.DUMMYFUNCTION("""COMPUTED_VALUE"""),"GL2602413")</f>
        <v>GL2602413</v>
      </c>
    </row>
    <row r="455">
      <c r="A455" s="3" t="str">
        <f>IFERROR(__xludf.DUMMYFUNCTION("""COMPUTED_VALUE"""),"RIARO0061")</f>
        <v>RIARO0061</v>
      </c>
      <c r="B455" s="4">
        <f>IFERROR(__xludf.DUMMYFUNCTION("""COMPUTED_VALUE"""),46036.47156795138)</f>
        <v>46036.47157</v>
      </c>
      <c r="C455" s="3">
        <f>IFERROR(__xludf.DUMMYFUNCTION("""COMPUTED_VALUE"""),46037.41543246528)</f>
        <v>46037.41543</v>
      </c>
      <c r="D455" s="3" t="str">
        <f>IFERROR(__xludf.DUMMYFUNCTION("""COMPUTED_VALUE"""),"All Area")</f>
        <v>All Area</v>
      </c>
      <c r="E455" s="3" t="str">
        <f>IFERROR(__xludf.DUMMYFUNCTION("""COMPUTED_VALUE"""),"-")</f>
        <v>-</v>
      </c>
      <c r="F455" s="3" t="str">
        <f>IFERROR(__xludf.DUMMYFUNCTION("""COMPUTED_VALUE"""),"UV lamp for TOC Sievers M500; TOC Sievers; ; pack size per pc")</f>
        <v>UV lamp for TOC Sievers M500; TOC Sievers; ; pack size per pc</v>
      </c>
      <c r="G455" s="3">
        <f>IFERROR(__xludf.DUMMYFUNCTION("""COMPUTED_VALUE"""),2.0)</f>
        <v>2</v>
      </c>
      <c r="H455" s="3" t="str">
        <f>IFERROR(__xludf.DUMMYFUNCTION("""COMPUTED_VALUE"""),"Pcs")</f>
        <v>Pcs</v>
      </c>
      <c r="I455" s="3" t="str">
        <f>IFERROR(__xludf.DUMMYFUNCTION("""COMPUTED_VALUE"""),"Deliver")</f>
        <v>Deliver</v>
      </c>
      <c r="J455" s="3" t="str">
        <f>IFERROR(__xludf.DUMMYFUNCTION("""COMPUTED_VALUE"""),"121703729 - APPROVED")</f>
        <v>121703729 - APPROVED</v>
      </c>
      <c r="K455" s="3" t="str">
        <f>IFERROR(__xludf.DUMMYFUNCTION("""COMPUTED_VALUE"""),"GL2602392")</f>
        <v>GL2602392</v>
      </c>
    </row>
    <row r="456">
      <c r="A456" s="3" t="str">
        <f>IFERROR(__xludf.DUMMYFUNCTION("""COMPUTED_VALUE"""),"RIARO0062")</f>
        <v>RIARO0062</v>
      </c>
      <c r="B456" s="4">
        <f>IFERROR(__xludf.DUMMYFUNCTION("""COMPUTED_VALUE"""),46036.47243618056)</f>
        <v>46036.47244</v>
      </c>
      <c r="C456" s="3">
        <f>IFERROR(__xludf.DUMMYFUNCTION("""COMPUTED_VALUE"""),46037.415839884256)</f>
        <v>46037.41584</v>
      </c>
      <c r="D456" s="3" t="str">
        <f>IFERROR(__xludf.DUMMYFUNCTION("""COMPUTED_VALUE"""),"All Area")</f>
        <v>All Area</v>
      </c>
      <c r="E456" s="3" t="str">
        <f>IFERROR(__xludf.DUMMYFUNCTION("""COMPUTED_VALUE"""),"-")</f>
        <v>-</v>
      </c>
      <c r="F456" s="3" t="str">
        <f>IFERROR(__xludf.DUMMYFUNCTION("""COMPUTED_VALUE"""),"General - Kabel NYAF Uk. 1 x 0.75mm, Warna Merah; Supreme; -; 100meter/roll")</f>
        <v>General - Kabel NYAF Uk. 1 x 0.75mm, Warna Merah; Supreme; -; 100meter/roll</v>
      </c>
      <c r="G456" s="3">
        <f>IFERROR(__xludf.DUMMYFUNCTION("""COMPUTED_VALUE"""),1.0)</f>
        <v>1</v>
      </c>
      <c r="H456" s="3" t="str">
        <f>IFERROR(__xludf.DUMMYFUNCTION("""COMPUTED_VALUE"""),"Roll")</f>
        <v>Roll</v>
      </c>
      <c r="I456" s="3" t="str">
        <f>IFERROR(__xludf.DUMMYFUNCTION("""COMPUTED_VALUE"""),"Deliver")</f>
        <v>Deliver</v>
      </c>
      <c r="J456" s="3" t="str">
        <f>IFERROR(__xludf.DUMMYFUNCTION("""COMPUTED_VALUE"""),"121703725 - APPROVED")</f>
        <v>121703725 - APPROVED</v>
      </c>
      <c r="K456" s="3" t="str">
        <f>IFERROR(__xludf.DUMMYFUNCTION("""COMPUTED_VALUE"""),"GL2603431")</f>
        <v>GL2603431</v>
      </c>
    </row>
    <row r="457">
      <c r="A457" s="3" t="str">
        <f>IFERROR(__xludf.DUMMYFUNCTION("""COMPUTED_VALUE"""),"RIARO0063")</f>
        <v>RIARO0063</v>
      </c>
      <c r="B457" s="4">
        <f>IFERROR(__xludf.DUMMYFUNCTION("""COMPUTED_VALUE"""),46036.47279770833)</f>
        <v>46036.4728</v>
      </c>
      <c r="C457" s="3">
        <f>IFERROR(__xludf.DUMMYFUNCTION("""COMPUTED_VALUE"""),46037.41648587963)</f>
        <v>46037.41649</v>
      </c>
      <c r="D457" s="3" t="str">
        <f>IFERROR(__xludf.DUMMYFUNCTION("""COMPUTED_VALUE"""),"All Area")</f>
        <v>All Area</v>
      </c>
      <c r="E457" s="3" t="str">
        <f>IFERROR(__xludf.DUMMYFUNCTION("""COMPUTED_VALUE"""),"-")</f>
        <v>-</v>
      </c>
      <c r="F457" s="3" t="str">
        <f>IFERROR(__xludf.DUMMYFUNCTION("""COMPUTED_VALUE"""),"General - Kabel NYAF 1x0.75mm, Warna Biru; JEMBO; -; 1 meter")</f>
        <v>General - Kabel NYAF 1x0.75mm, Warna Biru; JEMBO; -; 1 meter</v>
      </c>
      <c r="G457" s="3">
        <f>IFERROR(__xludf.DUMMYFUNCTION("""COMPUTED_VALUE"""),1.0)</f>
        <v>1</v>
      </c>
      <c r="H457" s="3" t="str">
        <f>IFERROR(__xludf.DUMMYFUNCTION("""COMPUTED_VALUE"""),"Roll")</f>
        <v>Roll</v>
      </c>
      <c r="I457" s="3" t="str">
        <f>IFERROR(__xludf.DUMMYFUNCTION("""COMPUTED_VALUE"""),"Deliver")</f>
        <v>Deliver</v>
      </c>
      <c r="J457" s="3" t="str">
        <f>IFERROR(__xludf.DUMMYFUNCTION("""COMPUTED_VALUE"""),"-")</f>
        <v>-</v>
      </c>
      <c r="K457" s="3" t="str">
        <f>IFERROR(__xludf.DUMMYFUNCTION("""COMPUTED_VALUE"""),"-")</f>
        <v>-</v>
      </c>
    </row>
    <row r="458">
      <c r="A458" s="3" t="str">
        <f>IFERROR(__xludf.DUMMYFUNCTION("""COMPUTED_VALUE"""),"RIARO0064")</f>
        <v>RIARO0064</v>
      </c>
      <c r="B458" s="4">
        <f>IFERROR(__xludf.DUMMYFUNCTION("""COMPUTED_VALUE"""),46036.47339395833)</f>
        <v>46036.47339</v>
      </c>
      <c r="C458" s="3">
        <f>IFERROR(__xludf.DUMMYFUNCTION("""COMPUTED_VALUE"""),46037.41664415509)</f>
        <v>46037.41664</v>
      </c>
      <c r="D458" s="3" t="str">
        <f>IFERROR(__xludf.DUMMYFUNCTION("""COMPUTED_VALUE"""),"All Area")</f>
        <v>All Area</v>
      </c>
      <c r="E458" s="3" t="str">
        <f>IFERROR(__xludf.DUMMYFUNCTION("""COMPUTED_VALUE"""),"-")</f>
        <v>-</v>
      </c>
      <c r="F458" s="3" t="str">
        <f>IFERROR(__xludf.DUMMYFUNCTION("""COMPUTED_VALUE"""),"General - Terminal Block, 6 mm; Fort; -; 1 pcs")</f>
        <v>General - Terminal Block, 6 mm; Fort; -; 1 pcs</v>
      </c>
      <c r="G458" s="3">
        <f>IFERROR(__xludf.DUMMYFUNCTION("""COMPUTED_VALUE"""),1.0)</f>
        <v>1</v>
      </c>
      <c r="H458" s="3" t="str">
        <f>IFERROR(__xludf.DUMMYFUNCTION("""COMPUTED_VALUE"""),"Pack")</f>
        <v>Pack</v>
      </c>
      <c r="I458" s="3" t="str">
        <f>IFERROR(__xludf.DUMMYFUNCTION("""COMPUTED_VALUE"""),"Deliver")</f>
        <v>Deliver</v>
      </c>
      <c r="J458" s="3" t="str">
        <f>IFERROR(__xludf.DUMMYFUNCTION("""COMPUTED_VALUE"""),"121703726 - APPROVED")</f>
        <v>121703726 - APPROVED</v>
      </c>
      <c r="K458" s="3" t="str">
        <f>IFERROR(__xludf.DUMMYFUNCTION("""COMPUTED_VALUE"""),"GL2602413")</f>
        <v>GL2602413</v>
      </c>
    </row>
    <row r="459">
      <c r="A459" s="3" t="str">
        <f>IFERROR(__xludf.DUMMYFUNCTION("""COMPUTED_VALUE"""),"SFHRO0031")</f>
        <v>SFHRO0031</v>
      </c>
      <c r="B459" s="4">
        <f>IFERROR(__xludf.DUMMYFUNCTION("""COMPUTED_VALUE"""),46043.286751932865)</f>
        <v>46043.28675</v>
      </c>
      <c r="C459" s="3">
        <f>IFERROR(__xludf.DUMMYFUNCTION("""COMPUTED_VALUE"""),46048.623725833335)</f>
        <v>46048.62373</v>
      </c>
      <c r="D459" s="3" t="str">
        <f>IFERROR(__xludf.DUMMYFUNCTION("""COMPUTED_VALUE"""),"LANTAI 2")</f>
        <v>LANTAI 2</v>
      </c>
      <c r="E459" s="3" t="str">
        <f>IFERROR(__xludf.DUMMYFUNCTION("""COMPUTED_VALUE"""),"-")</f>
        <v>-</v>
      </c>
      <c r="F459" s="3" t="str">
        <f>IFERROR(__xludf.DUMMYFUNCTION("""COMPUTED_VALUE"""),"Keramik Roman Warna Putih 40 x 40 cm;Roman;CN: 447106;pack size per pack")</f>
        <v>Keramik Roman Warna Putih 40 x 40 cm;Roman;CN: 447106;pack size per pack</v>
      </c>
      <c r="G459" s="3">
        <f>IFERROR(__xludf.DUMMYFUNCTION("""COMPUTED_VALUE"""),6.0)</f>
        <v>6</v>
      </c>
      <c r="H459" s="3" t="str">
        <f>IFERROR(__xludf.DUMMYFUNCTION("""COMPUTED_VALUE"""),"dus")</f>
        <v>dus</v>
      </c>
      <c r="I459" s="3" t="str">
        <f>IFERROR(__xludf.DUMMYFUNCTION("""COMPUTED_VALUE"""),"Deliver")</f>
        <v>Deliver</v>
      </c>
      <c r="J459" s="3" t="str">
        <f>IFERROR(__xludf.DUMMYFUNCTION("""COMPUTED_VALUE"""),"121703772 - APPROVED")</f>
        <v>121703772 - APPROVED</v>
      </c>
      <c r="K459" s="3" t="str">
        <f>IFERROR(__xludf.DUMMYFUNCTION("""COMPUTED_VALUE"""),"GL2602027")</f>
        <v>GL2602027</v>
      </c>
    </row>
    <row r="460">
      <c r="A460" s="3" t="str">
        <f>IFERROR(__xludf.DUMMYFUNCTION("""COMPUTED_VALUE"""),"ROSRO0018")</f>
        <v>ROSRO0018</v>
      </c>
      <c r="B460" s="4">
        <f>IFERROR(__xludf.DUMMYFUNCTION("""COMPUTED_VALUE"""),46044.58087050926)</f>
        <v>46044.58087</v>
      </c>
      <c r="C460" s="3">
        <f>IFERROR(__xludf.DUMMYFUNCTION("""COMPUTED_VALUE"""),46050.98289292824)</f>
        <v>46050.98289</v>
      </c>
      <c r="D460" s="3" t="str">
        <f>IFERROR(__xludf.DUMMYFUNCTION("""COMPUTED_VALUE"""),"Washing")</f>
        <v>Washing</v>
      </c>
      <c r="E460" s="3" t="str">
        <f>IFERROR(__xludf.DUMMYFUNCTION("""COMPUTED_VALUE"""),"-")</f>
        <v>-</v>
      </c>
      <c r="F460" s="3" t="str">
        <f>IFERROR(__xludf.DUMMYFUNCTION("""COMPUTED_VALUE"""),"General - Air Gripper; SMC; MHZJ2 20DS X43 X81B; 1 Pc")</f>
        <v>General - Air Gripper; SMC; MHZJ2 20DS X43 X81B; 1 Pc</v>
      </c>
      <c r="G460" s="3">
        <f>IFERROR(__xludf.DUMMYFUNCTION("""COMPUTED_VALUE"""),5.0)</f>
        <v>5</v>
      </c>
      <c r="H460" s="3" t="str">
        <f>IFERROR(__xludf.DUMMYFUNCTION("""COMPUTED_VALUE"""),"set")</f>
        <v>set</v>
      </c>
      <c r="I460" s="3" t="str">
        <f>IFERROR(__xludf.DUMMYFUNCTION("""COMPUTED_VALUE"""),"Deliver")</f>
        <v>Deliver</v>
      </c>
      <c r="J460" s="3" t="str">
        <f>IFERROR(__xludf.DUMMYFUNCTION("""COMPUTED_VALUE"""),"121703776 - APPROVED")</f>
        <v>121703776 - APPROVED</v>
      </c>
      <c r="K460" s="3" t="str">
        <f>IFERROR(__xludf.DUMMYFUNCTION("""COMPUTED_VALUE"""),"GL2602410")</f>
        <v>GL2602410</v>
      </c>
    </row>
    <row r="461">
      <c r="A461" s="3" t="str">
        <f>IFERROR(__xludf.DUMMYFUNCTION("""COMPUTED_VALUE"""),"ROSRO0019")</f>
        <v>ROSRO0019</v>
      </c>
      <c r="B461" s="4">
        <f>IFERROR(__xludf.DUMMYFUNCTION("""COMPUTED_VALUE"""),46045.70816622685)</f>
        <v>46045.70817</v>
      </c>
      <c r="C461" s="3">
        <f>IFERROR(__xludf.DUMMYFUNCTION("""COMPUTED_VALUE"""),46050.98385613426)</f>
        <v>46050.98386</v>
      </c>
      <c r="D461" s="3" t="str">
        <f>IFERROR(__xludf.DUMMYFUNCTION("""COMPUTED_VALUE"""),"Autoclave ")</f>
        <v>Autoclave </v>
      </c>
      <c r="E461" s="3" t="str">
        <f>IFERROR(__xludf.DUMMYFUNCTION("""COMPUTED_VALUE"""),"-")</f>
        <v>-</v>
      </c>
      <c r="F461" s="3" t="str">
        <f>IFERROR(__xludf.DUMMYFUNCTION("""COMPUTED_VALUE"""),"Autoclave Fedegari FOF / 6 AC - Transition Joint RTD Sensor RTJ201 (SG-060503) PT100 4W Duplex; Radix; RTJ201-1-C-D-3-0-NA-XNA-05-00070-10-Si-PN-XXX; 1 Pc")</f>
        <v>Autoclave Fedegari FOF / 6 AC - Transition Joint RTD Sensor RTJ201 (SG-060503) PT100 4W Duplex; Radix; RTJ201-1-C-D-3-0-NA-XNA-05-00070-10-Si-PN-XXX; 1 Pc</v>
      </c>
      <c r="G461" s="3">
        <f>IFERROR(__xludf.DUMMYFUNCTION("""COMPUTED_VALUE"""),5.0)</f>
        <v>5</v>
      </c>
      <c r="H461" s="3" t="str">
        <f>IFERROR(__xludf.DUMMYFUNCTION("""COMPUTED_VALUE"""),"set")</f>
        <v>set</v>
      </c>
      <c r="I461" s="3" t="str">
        <f>IFERROR(__xludf.DUMMYFUNCTION("""COMPUTED_VALUE"""),"Deliver")</f>
        <v>Deliver</v>
      </c>
      <c r="J461" s="3" t="str">
        <f>IFERROR(__xludf.DUMMYFUNCTION("""COMPUTED_VALUE"""),"121703876 - APPROVED")</f>
        <v>121703876 - APPROVED</v>
      </c>
      <c r="K461" s="3" t="str">
        <f>IFERROR(__xludf.DUMMYFUNCTION("""COMPUTED_VALUE"""),"GL2603010")</f>
        <v>GL2603010</v>
      </c>
    </row>
    <row r="462">
      <c r="A462" s="3" t="str">
        <f>IFERROR(__xludf.DUMMYFUNCTION("""COMPUTED_VALUE"""),"NDSRO0017")</f>
        <v>NDSRO0017</v>
      </c>
      <c r="B462" s="4">
        <f>IFERROR(__xludf.DUMMYFUNCTION("""COMPUTED_VALUE"""),46045.714394386574)</f>
        <v>46045.71439</v>
      </c>
      <c r="C462" s="3">
        <f>IFERROR(__xludf.DUMMYFUNCTION("""COMPUTED_VALUE"""),46050.87978135417)</f>
        <v>46050.87978</v>
      </c>
      <c r="D462" s="3" t="str">
        <f>IFERROR(__xludf.DUMMYFUNCTION("""COMPUTED_VALUE"""),"Circulation fan")</f>
        <v>Circulation fan</v>
      </c>
      <c r="E462" s="3" t="str">
        <f>IFERROR(__xludf.DUMMYFUNCTION("""COMPUTED_VALUE"""),"-")</f>
        <v>-</v>
      </c>
      <c r="F462" s="3" t="str">
        <f>IFERROR(__xludf.DUMMYFUNCTION("""COMPUTED_VALUE"""),"Bearing 6202 ZZ - P/N : -  pc")</f>
        <v>Bearing 6202 ZZ - P/N : -  pc</v>
      </c>
      <c r="G462" s="3">
        <f>IFERROR(__xludf.DUMMYFUNCTION("""COMPUTED_VALUE"""),10.0)</f>
        <v>10</v>
      </c>
      <c r="H462" s="3" t="str">
        <f>IFERROR(__xludf.DUMMYFUNCTION("""COMPUTED_VALUE"""),"pcs")</f>
        <v>pcs</v>
      </c>
      <c r="I462" s="3" t="str">
        <f>IFERROR(__xludf.DUMMYFUNCTION("""COMPUTED_VALUE"""),"Deliver")</f>
        <v>Deliver</v>
      </c>
      <c r="J462" s="3" t="str">
        <f>IFERROR(__xludf.DUMMYFUNCTION("""COMPUTED_VALUE"""),"121703769 - APPROVED")</f>
        <v>121703769 - APPROVED</v>
      </c>
      <c r="K462" s="3" t="str">
        <f>IFERROR(__xludf.DUMMYFUNCTION("""COMPUTED_VALUE"""),"GL2602409")</f>
        <v>GL2602409</v>
      </c>
    </row>
    <row r="463">
      <c r="A463" s="3" t="str">
        <f>IFERROR(__xludf.DUMMYFUNCTION("""COMPUTED_VALUE"""),"MOBRO0071")</f>
        <v>MOBRO0071</v>
      </c>
      <c r="B463" s="4">
        <f>IFERROR(__xludf.DUMMYFUNCTION("""COMPUTED_VALUE"""),46045.90621429399)</f>
        <v>46045.90621</v>
      </c>
      <c r="C463" s="3">
        <f>IFERROR(__xludf.DUMMYFUNCTION("""COMPUTED_VALUE"""),46050.70804429398)</f>
        <v>46050.70804</v>
      </c>
      <c r="D463" s="3" t="str">
        <f>IFERROR(__xludf.DUMMYFUNCTION("""COMPUTED_VALUE"""),"Pneumatic Fitting")</f>
        <v>Pneumatic Fitting</v>
      </c>
      <c r="E463" s="3" t="str">
        <f>IFERROR(__xludf.DUMMYFUNCTION("""COMPUTED_VALUE"""),"-")</f>
        <v>-</v>
      </c>
      <c r="F463" s="3" t="str">
        <f>IFERROR(__xludf.DUMMYFUNCTION("""COMPUTED_VALUE"""),"General - Push-in Connector, QS-8-6; Festo; 153038; 1 pcs")</f>
        <v>General - Push-in Connector, QS-8-6; Festo; 153038; 1 pcs</v>
      </c>
      <c r="G463" s="3">
        <f>IFERROR(__xludf.DUMMYFUNCTION("""COMPUTED_VALUE"""),10.0)</f>
        <v>10</v>
      </c>
      <c r="H463" s="3" t="str">
        <f>IFERROR(__xludf.DUMMYFUNCTION("""COMPUTED_VALUE"""),"Pcs")</f>
        <v>Pcs</v>
      </c>
      <c r="I463" s="3" t="str">
        <f>IFERROR(__xludf.DUMMYFUNCTION("""COMPUTED_VALUE"""),"Deliver")</f>
        <v>Deliver</v>
      </c>
      <c r="J463" s="3" t="str">
        <f>IFERROR(__xludf.DUMMYFUNCTION("""COMPUTED_VALUE"""),"121703775 - APPROVED")</f>
        <v>121703775 - APPROVED</v>
      </c>
      <c r="K463" s="3" t="str">
        <f>IFERROR(__xludf.DUMMYFUNCTION("""COMPUTED_VALUE"""),"GL2607381")</f>
        <v>GL2607381</v>
      </c>
    </row>
    <row r="464">
      <c r="A464" s="3" t="str">
        <f>IFERROR(__xludf.DUMMYFUNCTION("""COMPUTED_VALUE"""),"MOBRO0072")</f>
        <v>MOBRO0072</v>
      </c>
      <c r="B464" s="4">
        <f>IFERROR(__xludf.DUMMYFUNCTION("""COMPUTED_VALUE"""),46045.90758798611)</f>
        <v>46045.90759</v>
      </c>
      <c r="C464" s="3">
        <f>IFERROR(__xludf.DUMMYFUNCTION("""COMPUTED_VALUE"""),46050.70790432871)</f>
        <v>46050.7079</v>
      </c>
      <c r="D464" s="3" t="str">
        <f>IFERROR(__xludf.DUMMYFUNCTION("""COMPUTED_VALUE"""),"Pneumatic Fitting")</f>
        <v>Pneumatic Fitting</v>
      </c>
      <c r="E464" s="3" t="str">
        <f>IFERROR(__xludf.DUMMYFUNCTION("""COMPUTED_VALUE"""),"-")</f>
        <v>-</v>
      </c>
      <c r="F464" s="3" t="str">
        <f>IFERROR(__xludf.DUMMYFUNCTION("""COMPUTED_VALUE"""),"FESTO - QS-10-8 Push In Connector p/n 153039")</f>
        <v>FESTO - QS-10-8 Push In Connector p/n 153039</v>
      </c>
      <c r="G464" s="3">
        <f>IFERROR(__xludf.DUMMYFUNCTION("""COMPUTED_VALUE"""),10.0)</f>
        <v>10</v>
      </c>
      <c r="H464" s="3" t="str">
        <f>IFERROR(__xludf.DUMMYFUNCTION("""COMPUTED_VALUE"""),"Pcs")</f>
        <v>Pcs</v>
      </c>
      <c r="I464" s="3" t="str">
        <f>IFERROR(__xludf.DUMMYFUNCTION("""COMPUTED_VALUE"""),"Deliver")</f>
        <v>Deliver</v>
      </c>
      <c r="J464" s="3" t="str">
        <f>IFERROR(__xludf.DUMMYFUNCTION("""COMPUTED_VALUE"""),"121703991 - APPROVED")</f>
        <v>121703991 - APPROVED</v>
      </c>
      <c r="K464" s="3" t="str">
        <f>IFERROR(__xludf.DUMMYFUNCTION("""COMPUTED_VALUE"""),"GL2604306")</f>
        <v>GL2604306</v>
      </c>
    </row>
    <row r="465">
      <c r="A465" s="3" t="str">
        <f>IFERROR(__xludf.DUMMYFUNCTION("""COMPUTED_VALUE"""),"MOBRO0074")</f>
        <v>MOBRO0074</v>
      </c>
      <c r="B465" s="4">
        <f>IFERROR(__xludf.DUMMYFUNCTION("""COMPUTED_VALUE"""),46045.90941965278)</f>
        <v>46045.90942</v>
      </c>
      <c r="C465" s="3">
        <f>IFERROR(__xludf.DUMMYFUNCTION("""COMPUTED_VALUE"""),46050.70754309028)</f>
        <v>46050.70754</v>
      </c>
      <c r="D465" s="3" t="str">
        <f>IFERROR(__xludf.DUMMYFUNCTION("""COMPUTED_VALUE"""),"Pneumatic Fitting")</f>
        <v>Pneumatic Fitting</v>
      </c>
      <c r="E465" s="3" t="str">
        <f>IFERROR(__xludf.DUMMYFUNCTION("""COMPUTED_VALUE"""),"-")</f>
        <v>-</v>
      </c>
      <c r="F465" s="3" t="str">
        <f>IFERROR(__xludf.DUMMYFUNCTION("""COMPUTED_VALUE"""),"General - Push-in Connector, QS-10; Festo; 153034; 1 pcs")</f>
        <v>General - Push-in Connector, QS-10; Festo; 153034; 1 pcs</v>
      </c>
      <c r="G465" s="3">
        <f>IFERROR(__xludf.DUMMYFUNCTION("""COMPUTED_VALUE"""),10.0)</f>
        <v>10</v>
      </c>
      <c r="H465" s="3" t="str">
        <f>IFERROR(__xludf.DUMMYFUNCTION("""COMPUTED_VALUE"""),"Pcs")</f>
        <v>Pcs</v>
      </c>
      <c r="I465" s="3" t="str">
        <f>IFERROR(__xludf.DUMMYFUNCTION("""COMPUTED_VALUE"""),"Deliver")</f>
        <v>Deliver</v>
      </c>
      <c r="J465" s="3" t="str">
        <f>IFERROR(__xludf.DUMMYFUNCTION("""COMPUTED_VALUE"""),"121703775 - APPROVED")</f>
        <v>121703775 - APPROVED</v>
      </c>
      <c r="K465" s="3" t="str">
        <f>IFERROR(__xludf.DUMMYFUNCTION("""COMPUTED_VALUE"""),"GL2607381")</f>
        <v>GL2607381</v>
      </c>
    </row>
    <row r="466">
      <c r="A466" s="3" t="str">
        <f>IFERROR(__xludf.DUMMYFUNCTION("""COMPUTED_VALUE"""),"MOBRO0075")</f>
        <v>MOBRO0075</v>
      </c>
      <c r="B466" s="4">
        <f>IFERROR(__xludf.DUMMYFUNCTION("""COMPUTED_VALUE"""),46045.90941965278)</f>
        <v>46045.90942</v>
      </c>
      <c r="C466" s="3">
        <f>IFERROR(__xludf.DUMMYFUNCTION("""COMPUTED_VALUE"""),46050.70740409722)</f>
        <v>46050.7074</v>
      </c>
      <c r="D466" s="3" t="str">
        <f>IFERROR(__xludf.DUMMYFUNCTION("""COMPUTED_VALUE"""),"Pneumatic Fitting")</f>
        <v>Pneumatic Fitting</v>
      </c>
      <c r="E466" s="3" t="str">
        <f>IFERROR(__xludf.DUMMYFUNCTION("""COMPUTED_VALUE"""),"-")</f>
        <v>-</v>
      </c>
      <c r="F466" s="3" t="str">
        <f>IFERROR(__xludf.DUMMYFUNCTION("""COMPUTED_VALUE"""),"General - Push-in Connector, QS-6; Festo; 153032; 1 pcs")</f>
        <v>General - Push-in Connector, QS-6; Festo; 153032; 1 pcs</v>
      </c>
      <c r="G466" s="3">
        <f>IFERROR(__xludf.DUMMYFUNCTION("""COMPUTED_VALUE"""),10.0)</f>
        <v>10</v>
      </c>
      <c r="H466" s="3" t="str">
        <f>IFERROR(__xludf.DUMMYFUNCTION("""COMPUTED_VALUE"""),"Pcs")</f>
        <v>Pcs</v>
      </c>
      <c r="I466" s="3" t="str">
        <f>IFERROR(__xludf.DUMMYFUNCTION("""COMPUTED_VALUE"""),"Deliver")</f>
        <v>Deliver</v>
      </c>
      <c r="J466" s="3" t="str">
        <f>IFERROR(__xludf.DUMMYFUNCTION("""COMPUTED_VALUE"""),"121703775 - APPROVED")</f>
        <v>121703775 - APPROVED</v>
      </c>
      <c r="K466" s="3" t="str">
        <f>IFERROR(__xludf.DUMMYFUNCTION("""COMPUTED_VALUE"""),"GL2607381")</f>
        <v>GL2607381</v>
      </c>
    </row>
    <row r="467">
      <c r="A467" s="3" t="str">
        <f>IFERROR(__xludf.DUMMYFUNCTION("""COMPUTED_VALUE"""),"MOBRO0076")</f>
        <v>MOBRO0076</v>
      </c>
      <c r="B467" s="4">
        <f>IFERROR(__xludf.DUMMYFUNCTION("""COMPUTED_VALUE"""),46045.911177141206)</f>
        <v>46045.91118</v>
      </c>
      <c r="C467" s="3">
        <f>IFERROR(__xludf.DUMMYFUNCTION("""COMPUTED_VALUE"""),46050.70725399305)</f>
        <v>46050.70725</v>
      </c>
      <c r="D467" s="3" t="str">
        <f>IFERROR(__xludf.DUMMYFUNCTION("""COMPUTED_VALUE"""),"Pneumatic Fitting")</f>
        <v>Pneumatic Fitting</v>
      </c>
      <c r="E467" s="3" t="str">
        <f>IFERROR(__xludf.DUMMYFUNCTION("""COMPUTED_VALUE"""),"-")</f>
        <v>-</v>
      </c>
      <c r="F467" s="3" t="str">
        <f>IFERROR(__xludf.DUMMYFUNCTION("""COMPUTED_VALUE"""),"FESTO - Push In Connector QS-8 p/n 153033")</f>
        <v>FESTO - Push In Connector QS-8 p/n 153033</v>
      </c>
      <c r="G467" s="3">
        <f>IFERROR(__xludf.DUMMYFUNCTION("""COMPUTED_VALUE"""),10.0)</f>
        <v>10</v>
      </c>
      <c r="H467" s="3" t="str">
        <f>IFERROR(__xludf.DUMMYFUNCTION("""COMPUTED_VALUE"""),"Pcs")</f>
        <v>Pcs</v>
      </c>
      <c r="I467" s="3" t="str">
        <f>IFERROR(__xludf.DUMMYFUNCTION("""COMPUTED_VALUE"""),"Deliver")</f>
        <v>Deliver</v>
      </c>
      <c r="J467" s="3" t="str">
        <f>IFERROR(__xludf.DUMMYFUNCTION("""COMPUTED_VALUE"""),"121703989 - APPROVED")</f>
        <v>121703989 - APPROVED</v>
      </c>
      <c r="K467" s="3" t="str">
        <f>IFERROR(__xludf.DUMMYFUNCTION("""COMPUTED_VALUE"""),"GL2604306")</f>
        <v>GL2604306</v>
      </c>
    </row>
    <row r="468">
      <c r="A468" s="3" t="str">
        <f>IFERROR(__xludf.DUMMYFUNCTION("""COMPUTED_VALUE"""),"MRNRO0043")</f>
        <v>MRNRO0043</v>
      </c>
      <c r="B468" s="4">
        <f>IFERROR(__xludf.DUMMYFUNCTION("""COMPUTED_VALUE"""),46046.339860555556)</f>
        <v>46046.33986</v>
      </c>
      <c r="C468" s="3">
        <f>IFERROR(__xludf.DUMMYFUNCTION("""COMPUTED_VALUE"""),46048.60855693287)</f>
        <v>46048.60856</v>
      </c>
      <c r="D468" s="3" t="str">
        <f>IFERROR(__xludf.DUMMYFUNCTION("""COMPUTED_VALUE"""),"toilet lantai 2")</f>
        <v>toilet lantai 2</v>
      </c>
      <c r="E468" s="3" t="str">
        <f>IFERROR(__xludf.DUMMYFUNCTION("""COMPUTED_VALUE"""),"EJO/2025/02/01")</f>
        <v>EJO/2025/02/01</v>
      </c>
      <c r="F468" s="3" t="str">
        <f>IFERROR(__xludf.DUMMYFUNCTION("""COMPUTED_VALUE"""),"Tutup Wastafel TOTO; ; ;")</f>
        <v>Tutup Wastafel TOTO; ; ;</v>
      </c>
      <c r="G468" s="3">
        <f>IFERROR(__xludf.DUMMYFUNCTION("""COMPUTED_VALUE"""),5.0)</f>
        <v>5</v>
      </c>
      <c r="H468" s="3" t="str">
        <f>IFERROR(__xludf.DUMMYFUNCTION("""COMPUTED_VALUE"""),"pcs")</f>
        <v>pcs</v>
      </c>
      <c r="I468" s="3" t="str">
        <f>IFERROR(__xludf.DUMMYFUNCTION("""COMPUTED_VALUE"""),"Deliver")</f>
        <v>Deliver</v>
      </c>
      <c r="J468" s="3" t="str">
        <f>IFERROR(__xludf.DUMMYFUNCTION("""COMPUTED_VALUE"""),"121703762 - APPROVED")</f>
        <v>121703762 - APPROVED</v>
      </c>
      <c r="K468" s="3" t="str">
        <f>IFERROR(__xludf.DUMMYFUNCTION("""COMPUTED_VALUE"""),"GL2602027")</f>
        <v>GL2602027</v>
      </c>
    </row>
    <row r="469">
      <c r="A469" s="3" t="str">
        <f>IFERROR(__xludf.DUMMYFUNCTION("""COMPUTED_VALUE"""),"MFHRO0233")</f>
        <v>MFHRO0233</v>
      </c>
      <c r="B469" s="4">
        <f>IFERROR(__xludf.DUMMYFUNCTION("""COMPUTED_VALUE"""),46047.42031945602)</f>
        <v>46047.42032</v>
      </c>
      <c r="C469" s="3">
        <f>IFERROR(__xludf.DUMMYFUNCTION("""COMPUTED_VALUE"""),46047.87531369213)</f>
        <v>46047.87531</v>
      </c>
      <c r="D469" s="3" t="str">
        <f>IFERROR(__xludf.DUMMYFUNCTION("""COMPUTED_VALUE"""),"Granulasi")</f>
        <v>Granulasi</v>
      </c>
      <c r="E469" s="3" t="str">
        <f>IFERROR(__xludf.DUMMYFUNCTION("""COMPUTED_VALUE"""),"-")</f>
        <v>-</v>
      </c>
      <c r="F469" s="3" t="str">
        <f>IFERROR(__xludf.DUMMYFUNCTION("""COMPUTED_VALUE"""),"Integrated Granulation Line - Temperature Probe PT-100 55mm Long 3 Wire 1/10 DIN 316L")</f>
        <v>Integrated Granulation Line - Temperature Probe PT-100 55mm Long 3 Wire 1/10 DIN 316L</v>
      </c>
      <c r="G469" s="3">
        <f>IFERROR(__xludf.DUMMYFUNCTION("""COMPUTED_VALUE"""),1.0)</f>
        <v>1</v>
      </c>
      <c r="H469" s="3" t="str">
        <f>IFERROR(__xludf.DUMMYFUNCTION("""COMPUTED_VALUE"""),"Pieces")</f>
        <v>Pieces</v>
      </c>
      <c r="I469" s="3" t="str">
        <f>IFERROR(__xludf.DUMMYFUNCTION("""COMPUTED_VALUE"""),"Deliver")</f>
        <v>Deliver</v>
      </c>
      <c r="J469" s="3" t="str">
        <f>IFERROR(__xludf.DUMMYFUNCTION("""COMPUTED_VALUE"""),"121703303 - APPROVED")</f>
        <v>121703303 - APPROVED</v>
      </c>
      <c r="K469" s="3" t="str">
        <f>IFERROR(__xludf.DUMMYFUNCTION("""COMPUTED_VALUE"""),"GL2511033")</f>
        <v>GL2511033</v>
      </c>
    </row>
    <row r="470">
      <c r="A470" s="3" t="str">
        <f>IFERROR(__xludf.DUMMYFUNCTION("""COMPUTED_VALUE"""),"MFHRO0234")</f>
        <v>MFHRO0234</v>
      </c>
      <c r="B470" s="4">
        <f>IFERROR(__xludf.DUMMYFUNCTION("""COMPUTED_VALUE"""),46047.42031945602)</f>
        <v>46047.42032</v>
      </c>
      <c r="C470" s="3">
        <f>IFERROR(__xludf.DUMMYFUNCTION("""COMPUTED_VALUE"""),46047.875399745375)</f>
        <v>46047.8754</v>
      </c>
      <c r="D470" s="3" t="str">
        <f>IFERROR(__xludf.DUMMYFUNCTION("""COMPUTED_VALUE"""),"Granulasi")</f>
        <v>Granulasi</v>
      </c>
      <c r="E470" s="3" t="str">
        <f>IFERROR(__xludf.DUMMYFUNCTION("""COMPUTED_VALUE"""),"-")</f>
        <v>-</v>
      </c>
      <c r="F470" s="3" t="str">
        <f>IFERROR(__xludf.DUMMYFUNCTION("""COMPUTED_VALUE"""),"Integrated Granulation Line - Blowback Cone Seal PTFE")</f>
        <v>Integrated Granulation Line - Blowback Cone Seal PTFE</v>
      </c>
      <c r="G470" s="3">
        <f>IFERROR(__xludf.DUMMYFUNCTION("""COMPUTED_VALUE"""),4.0)</f>
        <v>4</v>
      </c>
      <c r="H470" s="3" t="str">
        <f>IFERROR(__xludf.DUMMYFUNCTION("""COMPUTED_VALUE"""),"Pieces")</f>
        <v>Pieces</v>
      </c>
      <c r="I470" s="3" t="str">
        <f>IFERROR(__xludf.DUMMYFUNCTION("""COMPUTED_VALUE"""),"Deliver")</f>
        <v>Deliver</v>
      </c>
      <c r="J470" s="3" t="str">
        <f>IFERROR(__xludf.DUMMYFUNCTION("""COMPUTED_VALUE"""),"121703303 - APPROVED")</f>
        <v>121703303 - APPROVED</v>
      </c>
      <c r="K470" s="3" t="str">
        <f>IFERROR(__xludf.DUMMYFUNCTION("""COMPUTED_VALUE"""),"GL2511033")</f>
        <v>GL2511033</v>
      </c>
    </row>
    <row r="471">
      <c r="A471" s="3" t="str">
        <f>IFERROR(__xludf.DUMMYFUNCTION("""COMPUTED_VALUE"""),"MFHRO0235")</f>
        <v>MFHRO0235</v>
      </c>
      <c r="B471" s="4">
        <f>IFERROR(__xludf.DUMMYFUNCTION("""COMPUTED_VALUE"""),46047.42031945602)</f>
        <v>46047.42032</v>
      </c>
      <c r="C471" s="3">
        <f>IFERROR(__xludf.DUMMYFUNCTION("""COMPUTED_VALUE"""),46047.87549583333)</f>
        <v>46047.8755</v>
      </c>
      <c r="D471" s="3" t="str">
        <f>IFERROR(__xludf.DUMMYFUNCTION("""COMPUTED_VALUE"""),"Granulasi")</f>
        <v>Granulasi</v>
      </c>
      <c r="E471" s="3" t="str">
        <f>IFERROR(__xludf.DUMMYFUNCTION("""COMPUTED_VALUE"""),"-")</f>
        <v>-</v>
      </c>
      <c r="F471" s="3" t="str">
        <f>IFERROR(__xludf.DUMMYFUNCTION("""COMPUTED_VALUE"""),"Integrated Granulation Line - Temperature Probe Product 72mm Bayonet 3 Wire Cable=5m")</f>
        <v>Integrated Granulation Line - Temperature Probe Product 72mm Bayonet 3 Wire Cable=5m</v>
      </c>
      <c r="G471" s="3">
        <f>IFERROR(__xludf.DUMMYFUNCTION("""COMPUTED_VALUE"""),1.0)</f>
        <v>1</v>
      </c>
      <c r="H471" s="3" t="str">
        <f>IFERROR(__xludf.DUMMYFUNCTION("""COMPUTED_VALUE"""),"Pieces")</f>
        <v>Pieces</v>
      </c>
      <c r="I471" s="3" t="str">
        <f>IFERROR(__xludf.DUMMYFUNCTION("""COMPUTED_VALUE"""),"Deliver")</f>
        <v>Deliver</v>
      </c>
      <c r="J471" s="3" t="str">
        <f>IFERROR(__xludf.DUMMYFUNCTION("""COMPUTED_VALUE"""),"121703303 - APPROVED")</f>
        <v>121703303 - APPROVED</v>
      </c>
      <c r="K471" s="3" t="str">
        <f>IFERROR(__xludf.DUMMYFUNCTION("""COMPUTED_VALUE"""),"GL2511033")</f>
        <v>GL2511033</v>
      </c>
    </row>
    <row r="472">
      <c r="A472" s="3" t="str">
        <f>IFERROR(__xludf.DUMMYFUNCTION("""COMPUTED_VALUE"""),"MFHRO0236")</f>
        <v>MFHRO0236</v>
      </c>
      <c r="B472" s="4">
        <f>IFERROR(__xludf.DUMMYFUNCTION("""COMPUTED_VALUE"""),46047.42031945602)</f>
        <v>46047.42032</v>
      </c>
      <c r="C472" s="3">
        <f>IFERROR(__xludf.DUMMYFUNCTION("""COMPUTED_VALUE"""),46047.8755890162)</f>
        <v>46047.87559</v>
      </c>
      <c r="D472" s="3" t="str">
        <f>IFERROR(__xludf.DUMMYFUNCTION("""COMPUTED_VALUE"""),"Granulasi")</f>
        <v>Granulasi</v>
      </c>
      <c r="E472" s="3" t="str">
        <f>IFERROR(__xludf.DUMMYFUNCTION("""COMPUTED_VALUE"""),"-")</f>
        <v>-</v>
      </c>
      <c r="F472" s="3" t="str">
        <f>IFERROR(__xludf.DUMMYFUNCTION("""COMPUTED_VALUE"""),"Integrated Granulation Line - Temperature Probe Product 72mm Bayonet 3 Wire Cable=5m")</f>
        <v>Integrated Granulation Line - Temperature Probe Product 72mm Bayonet 3 Wire Cable=5m</v>
      </c>
      <c r="G472" s="3">
        <f>IFERROR(__xludf.DUMMYFUNCTION("""COMPUTED_VALUE"""),1.0)</f>
        <v>1</v>
      </c>
      <c r="H472" s="3" t="str">
        <f>IFERROR(__xludf.DUMMYFUNCTION("""COMPUTED_VALUE"""),"Pieces")</f>
        <v>Pieces</v>
      </c>
      <c r="I472" s="3" t="str">
        <f>IFERROR(__xludf.DUMMYFUNCTION("""COMPUTED_VALUE"""),"Deliver")</f>
        <v>Deliver</v>
      </c>
      <c r="J472" s="3" t="str">
        <f>IFERROR(__xludf.DUMMYFUNCTION("""COMPUTED_VALUE"""),"121703303 - APPROVED")</f>
        <v>121703303 - APPROVED</v>
      </c>
      <c r="K472" s="3" t="str">
        <f>IFERROR(__xludf.DUMMYFUNCTION("""COMPUTED_VALUE"""),"GL2511033")</f>
        <v>GL2511033</v>
      </c>
    </row>
    <row r="473">
      <c r="A473" s="3" t="str">
        <f>IFERROR(__xludf.DUMMYFUNCTION("""COMPUTED_VALUE"""),"MFHRO0237")</f>
        <v>MFHRO0237</v>
      </c>
      <c r="B473" s="4">
        <f>IFERROR(__xludf.DUMMYFUNCTION("""COMPUTED_VALUE"""),46047.42031945602)</f>
        <v>46047.42032</v>
      </c>
      <c r="C473" s="3">
        <f>IFERROR(__xludf.DUMMYFUNCTION("""COMPUTED_VALUE"""),46047.87568431713)</f>
        <v>46047.87568</v>
      </c>
      <c r="D473" s="3" t="str">
        <f>IFERROR(__xludf.DUMMYFUNCTION("""COMPUTED_VALUE"""),"Granulasi")</f>
        <v>Granulasi</v>
      </c>
      <c r="E473" s="3" t="str">
        <f>IFERROR(__xludf.DUMMYFUNCTION("""COMPUTED_VALUE"""),"-")</f>
        <v>-</v>
      </c>
      <c r="F473" s="3" t="str">
        <f>IFERROR(__xludf.DUMMYFUNCTION("""COMPUTED_VALUE"""),"Integrated Granulation Line - Collar HC100")</f>
        <v>Integrated Granulation Line - Collar HC100</v>
      </c>
      <c r="G473" s="3">
        <f>IFERROR(__xludf.DUMMYFUNCTION("""COMPUTED_VALUE"""),4.0)</f>
        <v>4</v>
      </c>
      <c r="H473" s="3" t="str">
        <f>IFERROR(__xludf.DUMMYFUNCTION("""COMPUTED_VALUE"""),"Pieces")</f>
        <v>Pieces</v>
      </c>
      <c r="I473" s="3" t="str">
        <f>IFERROR(__xludf.DUMMYFUNCTION("""COMPUTED_VALUE"""),"Deliver")</f>
        <v>Deliver</v>
      </c>
      <c r="J473" s="3" t="str">
        <f>IFERROR(__xludf.DUMMYFUNCTION("""COMPUTED_VALUE"""),"121703303 - APPROVED")</f>
        <v>121703303 - APPROVED</v>
      </c>
      <c r="K473" s="3" t="str">
        <f>IFERROR(__xludf.DUMMYFUNCTION("""COMPUTED_VALUE"""),"GL2511033")</f>
        <v>GL2511033</v>
      </c>
    </row>
    <row r="474">
      <c r="A474" s="3" t="str">
        <f>IFERROR(__xludf.DUMMYFUNCTION("""COMPUTED_VALUE"""),"MFHRO0238")</f>
        <v>MFHRO0238</v>
      </c>
      <c r="B474" s="4">
        <f>IFERROR(__xludf.DUMMYFUNCTION("""COMPUTED_VALUE"""),46047.42031945602)</f>
        <v>46047.42032</v>
      </c>
      <c r="C474" s="3">
        <f>IFERROR(__xludf.DUMMYFUNCTION("""COMPUTED_VALUE"""),46047.87576725695)</f>
        <v>46047.87577</v>
      </c>
      <c r="D474" s="3" t="str">
        <f>IFERROR(__xludf.DUMMYFUNCTION("""COMPUTED_VALUE"""),"Granulasi")</f>
        <v>Granulasi</v>
      </c>
      <c r="E474" s="3" t="str">
        <f>IFERROR(__xludf.DUMMYFUNCTION("""COMPUTED_VALUE"""),"-")</f>
        <v>-</v>
      </c>
      <c r="F474" s="3" t="str">
        <f>IFERROR(__xludf.DUMMYFUNCTION("""COMPUTED_VALUE"""),"Integrated Granulation Line - Flap Disc Seal MC DN100 (2.M10.0110X)")</f>
        <v>Integrated Granulation Line - Flap Disc Seal MC DN100 (2.M10.0110X)</v>
      </c>
      <c r="G474" s="3">
        <f>IFERROR(__xludf.DUMMYFUNCTION("""COMPUTED_VALUE"""),2.0)</f>
        <v>2</v>
      </c>
      <c r="H474" s="3" t="str">
        <f>IFERROR(__xludf.DUMMYFUNCTION("""COMPUTED_VALUE"""),"Pieces")</f>
        <v>Pieces</v>
      </c>
      <c r="I474" s="3" t="str">
        <f>IFERROR(__xludf.DUMMYFUNCTION("""COMPUTED_VALUE"""),"Deliver")</f>
        <v>Deliver</v>
      </c>
      <c r="J474" s="3" t="str">
        <f>IFERROR(__xludf.DUMMYFUNCTION("""COMPUTED_VALUE"""),"121703303 - APPROVED")</f>
        <v>121703303 - APPROVED</v>
      </c>
      <c r="K474" s="3" t="str">
        <f>IFERROR(__xludf.DUMMYFUNCTION("""COMPUTED_VALUE"""),"GL2511033")</f>
        <v>GL2511033</v>
      </c>
    </row>
    <row r="475">
      <c r="A475" s="3" t="str">
        <f>IFERROR(__xludf.DUMMYFUNCTION("""COMPUTED_VALUE"""),"MFHRO0239")</f>
        <v>MFHRO0239</v>
      </c>
      <c r="B475" s="4">
        <f>IFERROR(__xludf.DUMMYFUNCTION("""COMPUTED_VALUE"""),46047.42031945602)</f>
        <v>46047.42032</v>
      </c>
      <c r="C475" s="3">
        <f>IFERROR(__xludf.DUMMYFUNCTION("""COMPUTED_VALUE"""),46047.87588208333)</f>
        <v>46047.87588</v>
      </c>
      <c r="D475" s="3" t="str">
        <f>IFERROR(__xludf.DUMMYFUNCTION("""COMPUTED_VALUE"""),"Granulasi")</f>
        <v>Granulasi</v>
      </c>
      <c r="E475" s="3" t="str">
        <f>IFERROR(__xludf.DUMMYFUNCTION("""COMPUTED_VALUE"""),"-")</f>
        <v>-</v>
      </c>
      <c r="F475" s="3" t="str">
        <f>IFERROR(__xludf.DUMMYFUNCTION("""COMPUTED_VALUE"""),"Integrated Granulation Line - Temperature Probe CIP 60mm MK3: 3 Wire")</f>
        <v>Integrated Granulation Line - Temperature Probe CIP 60mm MK3: 3 Wire</v>
      </c>
      <c r="G475" s="3">
        <f>IFERROR(__xludf.DUMMYFUNCTION("""COMPUTED_VALUE"""),1.0)</f>
        <v>1</v>
      </c>
      <c r="H475" s="3" t="str">
        <f>IFERROR(__xludf.DUMMYFUNCTION("""COMPUTED_VALUE"""),"Pieces")</f>
        <v>Pieces</v>
      </c>
      <c r="I475" s="3" t="str">
        <f>IFERROR(__xludf.DUMMYFUNCTION("""COMPUTED_VALUE"""),"Deliver")</f>
        <v>Deliver</v>
      </c>
      <c r="J475" s="3" t="str">
        <f>IFERROR(__xludf.DUMMYFUNCTION("""COMPUTED_VALUE"""),"121703303 - APPROVED")</f>
        <v>121703303 - APPROVED</v>
      </c>
      <c r="K475" s="3" t="str">
        <f>IFERROR(__xludf.DUMMYFUNCTION("""COMPUTED_VALUE"""),"GL2511033")</f>
        <v>GL2511033</v>
      </c>
    </row>
    <row r="476">
      <c r="A476" s="3" t="str">
        <f>IFERROR(__xludf.DUMMYFUNCTION("""COMPUTED_VALUE"""),"MFHRO0240")</f>
        <v>MFHRO0240</v>
      </c>
      <c r="B476" s="4">
        <f>IFERROR(__xludf.DUMMYFUNCTION("""COMPUTED_VALUE"""),46047.42031945602)</f>
        <v>46047.42032</v>
      </c>
      <c r="C476" s="3">
        <f>IFERROR(__xludf.DUMMYFUNCTION("""COMPUTED_VALUE"""),46047.87597414352)</f>
        <v>46047.87597</v>
      </c>
      <c r="D476" s="3" t="str">
        <f>IFERROR(__xludf.DUMMYFUNCTION("""COMPUTED_VALUE"""),"Granulasi")</f>
        <v>Granulasi</v>
      </c>
      <c r="E476" s="3" t="str">
        <f>IFERROR(__xludf.DUMMYFUNCTION("""COMPUTED_VALUE"""),"-")</f>
        <v>-</v>
      </c>
      <c r="F476" s="3" t="str">
        <f>IFERROR(__xludf.DUMMYFUNCTION("""COMPUTED_VALUE"""),"Integrated Granulation Line - Housing Seal MC DN 100")</f>
        <v>Integrated Granulation Line - Housing Seal MC DN 100</v>
      </c>
      <c r="G476" s="3">
        <f>IFERROR(__xludf.DUMMYFUNCTION("""COMPUTED_VALUE"""),1.0)</f>
        <v>1</v>
      </c>
      <c r="H476" s="3" t="str">
        <f>IFERROR(__xludf.DUMMYFUNCTION("""COMPUTED_VALUE"""),"Pieces")</f>
        <v>Pieces</v>
      </c>
      <c r="I476" s="3" t="str">
        <f>IFERROR(__xludf.DUMMYFUNCTION("""COMPUTED_VALUE"""),"Deliver")</f>
        <v>Deliver</v>
      </c>
      <c r="J476" s="3" t="str">
        <f>IFERROR(__xludf.DUMMYFUNCTION("""COMPUTED_VALUE"""),"121703303 - APPROVED")</f>
        <v>121703303 - APPROVED</v>
      </c>
      <c r="K476" s="3" t="str">
        <f>IFERROR(__xludf.DUMMYFUNCTION("""COMPUTED_VALUE"""),"GL2511033")</f>
        <v>GL2511033</v>
      </c>
    </row>
    <row r="477">
      <c r="A477" s="3" t="str">
        <f>IFERROR(__xludf.DUMMYFUNCTION("""COMPUTED_VALUE"""),"MFHRO0241")</f>
        <v>MFHRO0241</v>
      </c>
      <c r="B477" s="4">
        <f>IFERROR(__xludf.DUMMYFUNCTION("""COMPUTED_VALUE"""),46047.42031945602)</f>
        <v>46047.42032</v>
      </c>
      <c r="C477" s="3">
        <f>IFERROR(__xludf.DUMMYFUNCTION("""COMPUTED_VALUE"""),46047.8760553125)</f>
        <v>46047.87606</v>
      </c>
      <c r="D477" s="3" t="str">
        <f>IFERROR(__xludf.DUMMYFUNCTION("""COMPUTED_VALUE"""),"Granulasi")</f>
        <v>Granulasi</v>
      </c>
      <c r="E477" s="3" t="str">
        <f>IFERROR(__xludf.DUMMYFUNCTION("""COMPUTED_VALUE"""),"-")</f>
        <v>-</v>
      </c>
      <c r="F477" s="3" t="str">
        <f>IFERROR(__xludf.DUMMYFUNCTION("""COMPUTED_VALUE"""),"Integrated Granulation Line - Inflatable Seal CIP G281 S2P Dm=286mm Silicone Transparent")</f>
        <v>Integrated Granulation Line - Inflatable Seal CIP G281 S2P Dm=286mm Silicone Transparent</v>
      </c>
      <c r="G477" s="3">
        <f>IFERROR(__xludf.DUMMYFUNCTION("""COMPUTED_VALUE"""),1.0)</f>
        <v>1</v>
      </c>
      <c r="H477" s="3" t="str">
        <f>IFERROR(__xludf.DUMMYFUNCTION("""COMPUTED_VALUE"""),"Pieces")</f>
        <v>Pieces</v>
      </c>
      <c r="I477" s="3" t="str">
        <f>IFERROR(__xludf.DUMMYFUNCTION("""COMPUTED_VALUE"""),"Deliver")</f>
        <v>Deliver</v>
      </c>
      <c r="J477" s="3" t="str">
        <f>IFERROR(__xludf.DUMMYFUNCTION("""COMPUTED_VALUE"""),"121703303 - APPROVED")</f>
        <v>121703303 - APPROVED</v>
      </c>
      <c r="K477" s="3" t="str">
        <f>IFERROR(__xludf.DUMMYFUNCTION("""COMPUTED_VALUE"""),"GL2511033")</f>
        <v>GL2511033</v>
      </c>
    </row>
    <row r="478">
      <c r="A478" s="3" t="str">
        <f>IFERROR(__xludf.DUMMYFUNCTION("""COMPUTED_VALUE"""),"MFHRO0242")</f>
        <v>MFHRO0242</v>
      </c>
      <c r="B478" s="4">
        <f>IFERROR(__xludf.DUMMYFUNCTION("""COMPUTED_VALUE"""),46047.42031945602)</f>
        <v>46047.42032</v>
      </c>
      <c r="C478" s="3">
        <f>IFERROR(__xludf.DUMMYFUNCTION("""COMPUTED_VALUE"""),46047.876140266206)</f>
        <v>46047.87614</v>
      </c>
      <c r="D478" s="3" t="str">
        <f>IFERROR(__xludf.DUMMYFUNCTION("""COMPUTED_VALUE"""),"Granulasi")</f>
        <v>Granulasi</v>
      </c>
      <c r="E478" s="3" t="str">
        <f>IFERROR(__xludf.DUMMYFUNCTION("""COMPUTED_VALUE"""),"-")</f>
        <v>-</v>
      </c>
      <c r="F478" s="3" t="str">
        <f>IFERROR(__xludf.DUMMYFUNCTION("""COMPUTED_VALUE"""),"Integrated Granulation Line - Inflatable Seal CIP G281 S2F Dm=474mm Silicone Transparent")</f>
        <v>Integrated Granulation Line - Inflatable Seal CIP G281 S2F Dm=474mm Silicone Transparent</v>
      </c>
      <c r="G478" s="3">
        <f>IFERROR(__xludf.DUMMYFUNCTION("""COMPUTED_VALUE"""),1.0)</f>
        <v>1</v>
      </c>
      <c r="H478" s="3" t="str">
        <f>IFERROR(__xludf.DUMMYFUNCTION("""COMPUTED_VALUE"""),"Pieces")</f>
        <v>Pieces</v>
      </c>
      <c r="I478" s="3" t="str">
        <f>IFERROR(__xludf.DUMMYFUNCTION("""COMPUTED_VALUE"""),"Deliver")</f>
        <v>Deliver</v>
      </c>
      <c r="J478" s="3" t="str">
        <f>IFERROR(__xludf.DUMMYFUNCTION("""COMPUTED_VALUE"""),"121703303 - APPROVED")</f>
        <v>121703303 - APPROVED</v>
      </c>
      <c r="K478" s="3" t="str">
        <f>IFERROR(__xludf.DUMMYFUNCTION("""COMPUTED_VALUE"""),"GL2511033")</f>
        <v>GL2511033</v>
      </c>
    </row>
    <row r="479">
      <c r="A479" s="3" t="str">
        <f>IFERROR(__xludf.DUMMYFUNCTION("""COMPUTED_VALUE"""),"MFHRO0243")</f>
        <v>MFHRO0243</v>
      </c>
      <c r="B479" s="4">
        <f>IFERROR(__xludf.DUMMYFUNCTION("""COMPUTED_VALUE"""),46047.42031945602)</f>
        <v>46047.42032</v>
      </c>
      <c r="C479" s="3">
        <f>IFERROR(__xludf.DUMMYFUNCTION("""COMPUTED_VALUE"""),46047.876227245375)</f>
        <v>46047.87623</v>
      </c>
      <c r="D479" s="3" t="str">
        <f>IFERROR(__xludf.DUMMYFUNCTION("""COMPUTED_VALUE"""),"Granulasi")</f>
        <v>Granulasi</v>
      </c>
      <c r="E479" s="3" t="str">
        <f>IFERROR(__xludf.DUMMYFUNCTION("""COMPUTED_VALUE"""),"-")</f>
        <v>-</v>
      </c>
      <c r="F479" s="3" t="str">
        <f>IFERROR(__xludf.DUMMYFUNCTION("""COMPUTED_VALUE"""),"Integrated Granulation Line - Inflatable Seal CIP FC111VS DS=117.2mm Silicone Transparent")</f>
        <v>Integrated Granulation Line - Inflatable Seal CIP FC111VS DS=117.2mm Silicone Transparent</v>
      </c>
      <c r="G479" s="3">
        <f>IFERROR(__xludf.DUMMYFUNCTION("""COMPUTED_VALUE"""),1.0)</f>
        <v>1</v>
      </c>
      <c r="H479" s="3" t="str">
        <f>IFERROR(__xludf.DUMMYFUNCTION("""COMPUTED_VALUE"""),"Pieces")</f>
        <v>Pieces</v>
      </c>
      <c r="I479" s="3" t="str">
        <f>IFERROR(__xludf.DUMMYFUNCTION("""COMPUTED_VALUE"""),"Deliver")</f>
        <v>Deliver</v>
      </c>
      <c r="J479" s="3" t="str">
        <f>IFERROR(__xludf.DUMMYFUNCTION("""COMPUTED_VALUE"""),"121703307 - APPROVED")</f>
        <v>121703307 - APPROVED</v>
      </c>
      <c r="K479" s="3" t="str">
        <f>IFERROR(__xludf.DUMMYFUNCTION("""COMPUTED_VALUE"""),"GL2511033")</f>
        <v>GL2511033</v>
      </c>
    </row>
    <row r="480">
      <c r="A480" s="3" t="str">
        <f>IFERROR(__xludf.DUMMYFUNCTION("""COMPUTED_VALUE"""),"MFHRO0244")</f>
        <v>MFHRO0244</v>
      </c>
      <c r="B480" s="4">
        <f>IFERROR(__xludf.DUMMYFUNCTION("""COMPUTED_VALUE"""),46047.42031945602)</f>
        <v>46047.42032</v>
      </c>
      <c r="C480" s="3">
        <f>IFERROR(__xludf.DUMMYFUNCTION("""COMPUTED_VALUE"""),46047.876308969906)</f>
        <v>46047.87631</v>
      </c>
      <c r="D480" s="3" t="str">
        <f>IFERROR(__xludf.DUMMYFUNCTION("""COMPUTED_VALUE"""),"Granulasi")</f>
        <v>Granulasi</v>
      </c>
      <c r="E480" s="3" t="str">
        <f>IFERROR(__xludf.DUMMYFUNCTION("""COMPUTED_VALUE"""),"-")</f>
        <v>-</v>
      </c>
      <c r="F480" s="3" t="str">
        <f>IFERROR(__xludf.DUMMYFUNCTION("""COMPUTED_VALUE"""),"Integrated Granulation Line - Inflatable Seal CIP FC111VS DS=340.2mm Silicone Transparent")</f>
        <v>Integrated Granulation Line - Inflatable Seal CIP FC111VS DS=340.2mm Silicone Transparent</v>
      </c>
      <c r="G480" s="3">
        <f>IFERROR(__xludf.DUMMYFUNCTION("""COMPUTED_VALUE"""),1.0)</f>
        <v>1</v>
      </c>
      <c r="H480" s="3" t="str">
        <f>IFERROR(__xludf.DUMMYFUNCTION("""COMPUTED_VALUE"""),"Pieces")</f>
        <v>Pieces</v>
      </c>
      <c r="I480" s="3" t="str">
        <f>IFERROR(__xludf.DUMMYFUNCTION("""COMPUTED_VALUE"""),"Deliver")</f>
        <v>Deliver</v>
      </c>
      <c r="J480" s="3" t="str">
        <f>IFERROR(__xludf.DUMMYFUNCTION("""COMPUTED_VALUE"""),"121703307 - APPROVED")</f>
        <v>121703307 - APPROVED</v>
      </c>
      <c r="K480" s="3" t="str">
        <f>IFERROR(__xludf.DUMMYFUNCTION("""COMPUTED_VALUE"""),"GL2511033")</f>
        <v>GL2511033</v>
      </c>
    </row>
    <row r="481">
      <c r="A481" s="3" t="str">
        <f>IFERROR(__xludf.DUMMYFUNCTION("""COMPUTED_VALUE"""),"MFHRO0245")</f>
        <v>MFHRO0245</v>
      </c>
      <c r="B481" s="4">
        <f>IFERROR(__xludf.DUMMYFUNCTION("""COMPUTED_VALUE"""),46047.42031945602)</f>
        <v>46047.42032</v>
      </c>
      <c r="C481" s="3">
        <f>IFERROR(__xludf.DUMMYFUNCTION("""COMPUTED_VALUE"""),46047.87643633102)</f>
        <v>46047.87644</v>
      </c>
      <c r="D481" s="3" t="str">
        <f>IFERROR(__xludf.DUMMYFUNCTION("""COMPUTED_VALUE"""),"Granulasi")</f>
        <v>Granulasi</v>
      </c>
      <c r="E481" s="3" t="str">
        <f>IFERROR(__xludf.DUMMYFUNCTION("""COMPUTED_VALUE"""),"-")</f>
        <v>-</v>
      </c>
      <c r="F481" s="3" t="str">
        <f>IFERROR(__xludf.DUMMYFUNCTION("""COMPUTED_VALUE"""),"Integrated Granulation Line - Inflatable Seal Filter Ring ER/ABB 1 Valve MK3 Size 2; GEA; 214261; 1 Pc")</f>
        <v>Integrated Granulation Line - Inflatable Seal Filter Ring ER/ABB 1 Valve MK3 Size 2; GEA; 214261; 1 Pc</v>
      </c>
      <c r="G481" s="3">
        <f>IFERROR(__xludf.DUMMYFUNCTION("""COMPUTED_VALUE"""),1.0)</f>
        <v>1</v>
      </c>
      <c r="H481" s="3" t="str">
        <f>IFERROR(__xludf.DUMMYFUNCTION("""COMPUTED_VALUE"""),"Pieces")</f>
        <v>Pieces</v>
      </c>
      <c r="I481" s="3" t="str">
        <f>IFERROR(__xludf.DUMMYFUNCTION("""COMPUTED_VALUE"""),"Deliver")</f>
        <v>Deliver</v>
      </c>
      <c r="J481" s="3" t="str">
        <f>IFERROR(__xludf.DUMMYFUNCTION("""COMPUTED_VALUE"""),"121703307 - APPROVED")</f>
        <v>121703307 - APPROVED</v>
      </c>
      <c r="K481" s="3" t="str">
        <f>IFERROR(__xludf.DUMMYFUNCTION("""COMPUTED_VALUE"""),"GL2511033")</f>
        <v>GL2511033</v>
      </c>
    </row>
    <row r="482">
      <c r="A482" s="3" t="str">
        <f>IFERROR(__xludf.DUMMYFUNCTION("""COMPUTED_VALUE"""),"MFHRO0246")</f>
        <v>MFHRO0246</v>
      </c>
      <c r="B482" s="4">
        <f>IFERROR(__xludf.DUMMYFUNCTION("""COMPUTED_VALUE"""),46047.42031945602)</f>
        <v>46047.42032</v>
      </c>
      <c r="C482" s="3">
        <f>IFERROR(__xludf.DUMMYFUNCTION("""COMPUTED_VALUE"""),46047.87687172454)</f>
        <v>46047.87687</v>
      </c>
      <c r="D482" s="3" t="str">
        <f>IFERROR(__xludf.DUMMYFUNCTION("""COMPUTED_VALUE"""),"Granulasi")</f>
        <v>Granulasi</v>
      </c>
      <c r="E482" s="3" t="str">
        <f>IFERROR(__xludf.DUMMYFUNCTION("""COMPUTED_VALUE"""),"-")</f>
        <v>-</v>
      </c>
      <c r="F482" s="3" t="str">
        <f>IFERROR(__xludf.DUMMYFUNCTION("""COMPUTED_VALUE"""),"Integrated Granulation Line - Bellow V3 MC DN100 L=292x2 EPDM White; GEA; 179947; 1 Pc")</f>
        <v>Integrated Granulation Line - Bellow V3 MC DN100 L=292x2 EPDM White; GEA; 179947; 1 Pc</v>
      </c>
      <c r="G482" s="3">
        <f>IFERROR(__xludf.DUMMYFUNCTION("""COMPUTED_VALUE"""),1.0)</f>
        <v>1</v>
      </c>
      <c r="H482" s="3" t="str">
        <f>IFERROR(__xludf.DUMMYFUNCTION("""COMPUTED_VALUE"""),"Pieces")</f>
        <v>Pieces</v>
      </c>
      <c r="I482" s="3" t="str">
        <f>IFERROR(__xludf.DUMMYFUNCTION("""COMPUTED_VALUE"""),"Deliver")</f>
        <v>Deliver</v>
      </c>
      <c r="J482" s="3" t="str">
        <f>IFERROR(__xludf.DUMMYFUNCTION("""COMPUTED_VALUE"""),"121703307 - APPROVED")</f>
        <v>121703307 - APPROVED</v>
      </c>
      <c r="K482" s="3" t="str">
        <f>IFERROR(__xludf.DUMMYFUNCTION("""COMPUTED_VALUE"""),"GL2511033")</f>
        <v>GL2511033</v>
      </c>
    </row>
    <row r="483">
      <c r="A483" s="3" t="str">
        <f>IFERROR(__xludf.DUMMYFUNCTION("""COMPUTED_VALUE"""),"MFHRO0247")</f>
        <v>MFHRO0247</v>
      </c>
      <c r="B483" s="4">
        <f>IFERROR(__xludf.DUMMYFUNCTION("""COMPUTED_VALUE"""),46047.83255263889)</f>
        <v>46047.83255</v>
      </c>
      <c r="C483" s="3">
        <f>IFERROR(__xludf.DUMMYFUNCTION("""COMPUTED_VALUE"""),46047.877010185184)</f>
        <v>46047.87701</v>
      </c>
      <c r="D483" s="3" t="str">
        <f>IFERROR(__xludf.DUMMYFUNCTION("""COMPUTED_VALUE"""),"Building")</f>
        <v>Building</v>
      </c>
      <c r="E483" s="3" t="str">
        <f>IFERROR(__xludf.DUMMYFUNCTION("""COMPUTED_VALUE"""),"-")</f>
        <v>-</v>
      </c>
      <c r="F483" s="3" t="str">
        <f>IFERROR(__xludf.DUMMYFUNCTION("""COMPUTED_VALUE"""),"General - Door Sticker T30-X; Austar; -; 1 pc")</f>
        <v>General - Door Sticker T30-X; Austar; -; 1 pc</v>
      </c>
      <c r="G483" s="3">
        <f>IFERROR(__xludf.DUMMYFUNCTION("""COMPUTED_VALUE"""),20.0)</f>
        <v>20</v>
      </c>
      <c r="H483" s="3" t="str">
        <f>IFERROR(__xludf.DUMMYFUNCTION("""COMPUTED_VALUE"""),"Pieces")</f>
        <v>Pieces</v>
      </c>
      <c r="I483" s="3" t="str">
        <f>IFERROR(__xludf.DUMMYFUNCTION("""COMPUTED_VALUE"""),"Deliver")</f>
        <v>Deliver</v>
      </c>
      <c r="J483" s="3" t="str">
        <f>IFERROR(__xludf.DUMMYFUNCTION("""COMPUTED_VALUE"""),"121703406 - APPROVED")</f>
        <v>121703406 - APPROVED</v>
      </c>
      <c r="K483" s="3" t="str">
        <f>IFERROR(__xludf.DUMMYFUNCTION("""COMPUTED_VALUE"""),"GL2511030")</f>
        <v>GL2511030</v>
      </c>
    </row>
    <row r="484">
      <c r="A484" s="3" t="str">
        <f>IFERROR(__xludf.DUMMYFUNCTION("""COMPUTED_VALUE"""),"MFHRO0248")</f>
        <v>MFHRO0248</v>
      </c>
      <c r="B484" s="4">
        <f>IFERROR(__xludf.DUMMYFUNCTION("""COMPUTED_VALUE"""),46047.83255263889)</f>
        <v>46047.83255</v>
      </c>
      <c r="C484" s="3">
        <f>IFERROR(__xludf.DUMMYFUNCTION("""COMPUTED_VALUE"""),46047.87711084491)</f>
        <v>46047.87711</v>
      </c>
      <c r="D484" s="3" t="str">
        <f>IFERROR(__xludf.DUMMYFUNCTION("""COMPUTED_VALUE"""),"FD")</f>
        <v>FD</v>
      </c>
      <c r="E484" s="3" t="str">
        <f>IFERROR(__xludf.DUMMYFUNCTION("""COMPUTED_VALUE"""),"-")</f>
        <v>-</v>
      </c>
      <c r="F484" s="3" t="str">
        <f>IFERROR(__xludf.DUMMYFUNCTION("""COMPUTED_VALUE"""),"General - Diaphragm Grade ER SQUARE Type A EPDM Diaphragm Screw; Saunders; DP008ER; 1 Pc")</f>
        <v>General - Diaphragm Grade ER SQUARE Type A EPDM Diaphragm Screw; Saunders; DP008ER; 1 Pc</v>
      </c>
      <c r="G484" s="3">
        <f>IFERROR(__xludf.DUMMYFUNCTION("""COMPUTED_VALUE"""),3.0)</f>
        <v>3</v>
      </c>
      <c r="H484" s="3" t="str">
        <f>IFERROR(__xludf.DUMMYFUNCTION("""COMPUTED_VALUE"""),"Pieces")</f>
        <v>Pieces</v>
      </c>
      <c r="I484" s="3" t="str">
        <f>IFERROR(__xludf.DUMMYFUNCTION("""COMPUTED_VALUE"""),"Deliver")</f>
        <v>Deliver</v>
      </c>
      <c r="J484" s="3" t="str">
        <f>IFERROR(__xludf.DUMMYFUNCTION("""COMPUTED_VALUE"""),"121703434 - APPROVED")</f>
        <v>121703434 - APPROVED</v>
      </c>
      <c r="K484" s="3" t="str">
        <f>IFERROR(__xludf.DUMMYFUNCTION("""COMPUTED_VALUE"""),"GL2512319")</f>
        <v>GL2512319</v>
      </c>
    </row>
    <row r="485">
      <c r="A485" s="3" t="str">
        <f>IFERROR(__xludf.DUMMYFUNCTION("""COMPUTED_VALUE"""),"MFHRO0249")</f>
        <v>MFHRO0249</v>
      </c>
      <c r="B485" s="4">
        <f>IFERROR(__xludf.DUMMYFUNCTION("""COMPUTED_VALUE"""),46047.83255263889)</f>
        <v>46047.83255</v>
      </c>
      <c r="C485" s="3">
        <f>IFERROR(__xludf.DUMMYFUNCTION("""COMPUTED_VALUE"""),46047.87721039352)</f>
        <v>46047.87721</v>
      </c>
      <c r="D485" s="3" t="str">
        <f>IFERROR(__xludf.DUMMYFUNCTION("""COMPUTED_VALUE"""),"Autoclave")</f>
        <v>Autoclave</v>
      </c>
      <c r="E485" s="3" t="str">
        <f>IFERROR(__xludf.DUMMYFUNCTION("""COMPUTED_VALUE"""),"-")</f>
        <v>-</v>
      </c>
      <c r="F485" s="3" t="str">
        <f>IFERROR(__xludf.DUMMYFUNCTION("""COMPUTED_VALUE"""),"Autoclave Service NA2247AU - Pressure Transducer MOD. PBMH 24; Fedegari; CD230063; 1 Pc")</f>
        <v>Autoclave Service NA2247AU - Pressure Transducer MOD. PBMH 24; Fedegari; CD230063; 1 Pc</v>
      </c>
      <c r="G485" s="3">
        <f>IFERROR(__xludf.DUMMYFUNCTION("""COMPUTED_VALUE"""),1.0)</f>
        <v>1</v>
      </c>
      <c r="H485" s="3" t="str">
        <f>IFERROR(__xludf.DUMMYFUNCTION("""COMPUTED_VALUE"""),"Pieces")</f>
        <v>Pieces</v>
      </c>
      <c r="I485" s="3" t="str">
        <f>IFERROR(__xludf.DUMMYFUNCTION("""COMPUTED_VALUE"""),"Deliver")</f>
        <v>Deliver</v>
      </c>
      <c r="J485" s="3" t="str">
        <f>IFERROR(__xludf.DUMMYFUNCTION("""COMPUTED_VALUE"""),"121703435 - APPROVED")</f>
        <v>121703435 - APPROVED</v>
      </c>
      <c r="K485" s="3" t="str">
        <f>IFERROR(__xludf.DUMMYFUNCTION("""COMPUTED_VALUE"""),"GL2511305")</f>
        <v>GL2511305</v>
      </c>
    </row>
    <row r="486">
      <c r="A486" s="3" t="str">
        <f>IFERROR(__xludf.DUMMYFUNCTION("""COMPUTED_VALUE"""),"MFHRO0250")</f>
        <v>MFHRO0250</v>
      </c>
      <c r="B486" s="4">
        <f>IFERROR(__xludf.DUMMYFUNCTION("""COMPUTED_VALUE"""),46047.83255263889)</f>
        <v>46047.83255</v>
      </c>
      <c r="C486" s="3">
        <f>IFERROR(__xludf.DUMMYFUNCTION("""COMPUTED_VALUE"""),46047.877314722224)</f>
        <v>46047.87731</v>
      </c>
      <c r="D486" s="3" t="str">
        <f>IFERROR(__xludf.DUMMYFUNCTION("""COMPUTED_VALUE"""),"Autoclave")</f>
        <v>Autoclave</v>
      </c>
      <c r="E486" s="3" t="str">
        <f>IFERROR(__xludf.DUMMYFUNCTION("""COMPUTED_VALUE"""),"-")</f>
        <v>-</v>
      </c>
      <c r="F486" s="3" t="str">
        <f>IFERROR(__xludf.DUMMYFUNCTION("""COMPUTED_VALUE"""),"Autoclave FVA2/A1 - SILICONE GASKET FO-5 900X1300; Fedegari; PP600076; 1 Pc")</f>
        <v>Autoclave FVA2/A1 - SILICONE GASKET FO-5 900X1300; Fedegari; PP600076; 1 Pc</v>
      </c>
      <c r="G486" s="3">
        <f>IFERROR(__xludf.DUMMYFUNCTION("""COMPUTED_VALUE"""),1.0)</f>
        <v>1</v>
      </c>
      <c r="H486" s="3" t="str">
        <f>IFERROR(__xludf.DUMMYFUNCTION("""COMPUTED_VALUE"""),"Pieces")</f>
        <v>Pieces</v>
      </c>
      <c r="I486" s="3" t="str">
        <f>IFERROR(__xludf.DUMMYFUNCTION("""COMPUTED_VALUE"""),"Deliver")</f>
        <v>Deliver</v>
      </c>
      <c r="J486" s="3" t="str">
        <f>IFERROR(__xludf.DUMMYFUNCTION("""COMPUTED_VALUE"""),"121703435 - APPROVED")</f>
        <v>121703435 - APPROVED</v>
      </c>
      <c r="K486" s="3" t="str">
        <f>IFERROR(__xludf.DUMMYFUNCTION("""COMPUTED_VALUE"""),"GL2511305")</f>
        <v>GL2511305</v>
      </c>
    </row>
    <row r="487">
      <c r="A487" s="3" t="str">
        <f>IFERROR(__xludf.DUMMYFUNCTION("""COMPUTED_VALUE"""),"MFHRO0251")</f>
        <v>MFHRO0251</v>
      </c>
      <c r="B487" s="4">
        <f>IFERROR(__xludf.DUMMYFUNCTION("""COMPUTED_VALUE"""),46047.83255263889)</f>
        <v>46047.83255</v>
      </c>
      <c r="C487" s="3">
        <f>IFERROR(__xludf.DUMMYFUNCTION("""COMPUTED_VALUE"""),46047.87740561343)</f>
        <v>46047.87741</v>
      </c>
      <c r="D487" s="3" t="str">
        <f>IFERROR(__xludf.DUMMYFUNCTION("""COMPUTED_VALUE"""),"Autoclave")</f>
        <v>Autoclave</v>
      </c>
      <c r="E487" s="3" t="str">
        <f>IFERROR(__xludf.DUMMYFUNCTION("""COMPUTED_VALUE"""),"-")</f>
        <v>-</v>
      </c>
      <c r="F487" s="3" t="str">
        <f>IFERROR(__xludf.DUMMYFUNCTION("""COMPUTED_VALUE"""),"Autoclave Service NA2247AU - Pressure Switch Alco Controls PS3-AJR 0.8-1 bar Assy; Fedegari; GP00045; 1 Pc")</f>
        <v>Autoclave Service NA2247AU - Pressure Switch Alco Controls PS3-AJR 0.8-1 bar Assy; Fedegari; GP00045; 1 Pc</v>
      </c>
      <c r="G487" s="3">
        <f>IFERROR(__xludf.DUMMYFUNCTION("""COMPUTED_VALUE"""),1.0)</f>
        <v>1</v>
      </c>
      <c r="H487" s="3" t="str">
        <f>IFERROR(__xludf.DUMMYFUNCTION("""COMPUTED_VALUE"""),"Pieces")</f>
        <v>Pieces</v>
      </c>
      <c r="I487" s="3" t="str">
        <f>IFERROR(__xludf.DUMMYFUNCTION("""COMPUTED_VALUE"""),"Deliver")</f>
        <v>Deliver</v>
      </c>
      <c r="J487" s="3" t="str">
        <f>IFERROR(__xludf.DUMMYFUNCTION("""COMPUTED_VALUE"""),"121703437 - APPROVED")</f>
        <v>121703437 - APPROVED</v>
      </c>
      <c r="K487" s="3" t="str">
        <f>IFERROR(__xludf.DUMMYFUNCTION("""COMPUTED_VALUE"""),"GL2511305")</f>
        <v>GL2511305</v>
      </c>
    </row>
    <row r="488">
      <c r="A488" s="3" t="str">
        <f>IFERROR(__xludf.DUMMYFUNCTION("""COMPUTED_VALUE"""),"MFHRO0252")</f>
        <v>MFHRO0252</v>
      </c>
      <c r="B488" s="4">
        <f>IFERROR(__xludf.DUMMYFUNCTION("""COMPUTED_VALUE"""),46047.83255263889)</f>
        <v>46047.83255</v>
      </c>
      <c r="C488" s="3">
        <f>IFERROR(__xludf.DUMMYFUNCTION("""COMPUTED_VALUE"""),46047.877495196764)</f>
        <v>46047.8775</v>
      </c>
      <c r="D488" s="3" t="str">
        <f>IFERROR(__xludf.DUMMYFUNCTION("""COMPUTED_VALUE"""),"Autoclave")</f>
        <v>Autoclave</v>
      </c>
      <c r="E488" s="3" t="str">
        <f>IFERROR(__xludf.DUMMYFUNCTION("""COMPUTED_VALUE"""),"-")</f>
        <v>-</v>
      </c>
      <c r="F488" s="3" t="str">
        <f>IFERROR(__xludf.DUMMYFUNCTION("""COMPUTED_VALUE"""),"Autoclave Service NA2247AU - O ring 15.47x3.53; Fedegari; CC150170; 1 Pc")</f>
        <v>Autoclave Service NA2247AU - O ring 15.47x3.53; Fedegari; CC150170; 1 Pc</v>
      </c>
      <c r="G488" s="3">
        <f>IFERROR(__xludf.DUMMYFUNCTION("""COMPUTED_VALUE"""),5.0)</f>
        <v>5</v>
      </c>
      <c r="H488" s="3" t="str">
        <f>IFERROR(__xludf.DUMMYFUNCTION("""COMPUTED_VALUE"""),"Pieces")</f>
        <v>Pieces</v>
      </c>
      <c r="I488" s="3" t="str">
        <f>IFERROR(__xludf.DUMMYFUNCTION("""COMPUTED_VALUE"""),"Deliver")</f>
        <v>Deliver</v>
      </c>
      <c r="J488" s="3" t="str">
        <f>IFERROR(__xludf.DUMMYFUNCTION("""COMPUTED_VALUE"""),"121703437 - APPROVED")</f>
        <v>121703437 - APPROVED</v>
      </c>
      <c r="K488" s="3" t="str">
        <f>IFERROR(__xludf.DUMMYFUNCTION("""COMPUTED_VALUE"""),"GL2511305")</f>
        <v>GL2511305</v>
      </c>
    </row>
    <row r="489">
      <c r="A489" s="3" t="str">
        <f>IFERROR(__xludf.DUMMYFUNCTION("""COMPUTED_VALUE"""),"MFHRO0253")</f>
        <v>MFHRO0253</v>
      </c>
      <c r="B489" s="4">
        <f>IFERROR(__xludf.DUMMYFUNCTION("""COMPUTED_VALUE"""),46047.83255263889)</f>
        <v>46047.83255</v>
      </c>
      <c r="C489" s="3">
        <f>IFERROR(__xludf.DUMMYFUNCTION("""COMPUTED_VALUE"""),46047.87764648148)</f>
        <v>46047.87765</v>
      </c>
      <c r="D489" s="3" t="str">
        <f>IFERROR(__xludf.DUMMYFUNCTION("""COMPUTED_VALUE"""),"Autoclave")</f>
        <v>Autoclave</v>
      </c>
      <c r="E489" s="3" t="str">
        <f>IFERROR(__xludf.DUMMYFUNCTION("""COMPUTED_VALUE"""),"-")</f>
        <v>-</v>
      </c>
      <c r="F489" s="3" t="str">
        <f>IFERROR(__xludf.DUMMYFUNCTION("""COMPUTED_VALUE"""),"Autoclave Service NA2247AU - O ring 34.52x3.53; Fedegari; CC150171; 1 Pc")</f>
        <v>Autoclave Service NA2247AU - O ring 34.52x3.53; Fedegari; CC150171; 1 Pc</v>
      </c>
      <c r="G489" s="3">
        <f>IFERROR(__xludf.DUMMYFUNCTION("""COMPUTED_VALUE"""),5.0)</f>
        <v>5</v>
      </c>
      <c r="H489" s="3" t="str">
        <f>IFERROR(__xludf.DUMMYFUNCTION("""COMPUTED_VALUE"""),"Pieces")</f>
        <v>Pieces</v>
      </c>
      <c r="I489" s="3" t="str">
        <f>IFERROR(__xludf.DUMMYFUNCTION("""COMPUTED_VALUE"""),"Deliver")</f>
        <v>Deliver</v>
      </c>
      <c r="J489" s="3" t="str">
        <f>IFERROR(__xludf.DUMMYFUNCTION("""COMPUTED_VALUE"""),"121703437 - APPROVED")</f>
        <v>121703437 - APPROVED</v>
      </c>
      <c r="K489" s="3" t="str">
        <f>IFERROR(__xludf.DUMMYFUNCTION("""COMPUTED_VALUE"""),"GL2511305")</f>
        <v>GL2511305</v>
      </c>
    </row>
    <row r="490">
      <c r="A490" s="3" t="str">
        <f>IFERROR(__xludf.DUMMYFUNCTION("""COMPUTED_VALUE"""),"MFHRO0254")</f>
        <v>MFHRO0254</v>
      </c>
      <c r="B490" s="4">
        <f>IFERROR(__xludf.DUMMYFUNCTION("""COMPUTED_VALUE"""),46047.83255263889)</f>
        <v>46047.83255</v>
      </c>
      <c r="C490" s="3">
        <f>IFERROR(__xludf.DUMMYFUNCTION("""COMPUTED_VALUE"""),46047.8777390162)</f>
        <v>46047.87774</v>
      </c>
      <c r="D490" s="3" t="str">
        <f>IFERROR(__xludf.DUMMYFUNCTION("""COMPUTED_VALUE"""),"cRABS")</f>
        <v>cRABS</v>
      </c>
      <c r="E490" s="3" t="str">
        <f>IFERROR(__xludf.DUMMYFUNCTION("""COMPUTED_VALUE"""),"-")</f>
        <v>-</v>
      </c>
      <c r="F490" s="3" t="str">
        <f>IFERROR(__xludf.DUMMYFUNCTION("""COMPUTED_VALUE"""),"cRABS Z064CR - DOOR SAFETY SWITCHES ; SCHMERSAL ; MAGNET BPS-260; ; 14061; 1 Pc")</f>
        <v>cRABS Z064CR - DOOR SAFETY SWITCHES ; SCHMERSAL ; MAGNET BPS-260; ; 14061; 1 Pc</v>
      </c>
      <c r="G490" s="3">
        <f>IFERROR(__xludf.DUMMYFUNCTION("""COMPUTED_VALUE"""),1.0)</f>
        <v>1</v>
      </c>
      <c r="H490" s="3" t="str">
        <f>IFERROR(__xludf.DUMMYFUNCTION("""COMPUTED_VALUE"""),"Pieces")</f>
        <v>Pieces</v>
      </c>
      <c r="I490" s="3" t="str">
        <f>IFERROR(__xludf.DUMMYFUNCTION("""COMPUTED_VALUE"""),"Deliver")</f>
        <v>Deliver</v>
      </c>
      <c r="J490" s="3" t="str">
        <f>IFERROR(__xludf.DUMMYFUNCTION("""COMPUTED_VALUE"""),"121703438 - APPROVED")</f>
        <v>121703438 - APPROVED</v>
      </c>
      <c r="K490" s="3" t="str">
        <f>IFERROR(__xludf.DUMMYFUNCTION("""COMPUTED_VALUE"""),"GL2511060")</f>
        <v>GL2511060</v>
      </c>
    </row>
    <row r="491">
      <c r="A491" s="3" t="str">
        <f>IFERROR(__xludf.DUMMYFUNCTION("""COMPUTED_VALUE"""),"MFHRO0255")</f>
        <v>MFHRO0255</v>
      </c>
      <c r="B491" s="4">
        <f>IFERROR(__xludf.DUMMYFUNCTION("""COMPUTED_VALUE"""),46047.83255263889)</f>
        <v>46047.83255</v>
      </c>
      <c r="C491" s="3">
        <f>IFERROR(__xludf.DUMMYFUNCTION("""COMPUTED_VALUE"""),46047.87865111111)</f>
        <v>46047.87865</v>
      </c>
      <c r="D491" s="3" t="str">
        <f>IFERROR(__xludf.DUMMYFUNCTION("""COMPUTED_VALUE"""),"Washing")</f>
        <v>Washing</v>
      </c>
      <c r="E491" s="3" t="str">
        <f>IFERROR(__xludf.DUMMYFUNCTION("""COMPUTED_VALUE"""),"-")</f>
        <v>-</v>
      </c>
      <c r="F491" s="3" t="str">
        <f>IFERROR(__xludf.DUMMYFUNCTION("""COMPUTED_VALUE"""),"Washing RAR4 - Needle PW, OD.15mmx123mm, Material SS 319; ; ;")</f>
        <v>Washing RAR4 - Needle PW, OD.15mmx123mm, Material SS 319; ; ;</v>
      </c>
      <c r="G491" s="3">
        <f>IFERROR(__xludf.DUMMYFUNCTION("""COMPUTED_VALUE"""),1.0)</f>
        <v>1</v>
      </c>
      <c r="H491" s="3" t="str">
        <f>IFERROR(__xludf.DUMMYFUNCTION("""COMPUTED_VALUE"""),"Pieces")</f>
        <v>Pieces</v>
      </c>
      <c r="I491" s="3" t="str">
        <f>IFERROR(__xludf.DUMMYFUNCTION("""COMPUTED_VALUE"""),"Deliver")</f>
        <v>Deliver</v>
      </c>
      <c r="J491" s="3" t="str">
        <f>IFERROR(__xludf.DUMMYFUNCTION("""COMPUTED_VALUE"""),"121703439 - APPROVED")</f>
        <v>121703439 - APPROVED</v>
      </c>
      <c r="K491" s="3" t="str">
        <f>IFERROR(__xludf.DUMMYFUNCTION("""COMPUTED_VALUE"""),"GL2512331")</f>
        <v>GL2512331</v>
      </c>
    </row>
    <row r="492">
      <c r="A492" s="3" t="str">
        <f>IFERROR(__xludf.DUMMYFUNCTION("""COMPUTED_VALUE"""),"MFHRO0256")</f>
        <v>MFHRO0256</v>
      </c>
      <c r="B492" s="4">
        <f>IFERROR(__xludf.DUMMYFUNCTION("""COMPUTED_VALUE"""),46047.83255263889)</f>
        <v>46047.83255</v>
      </c>
      <c r="C492" s="3">
        <f>IFERROR(__xludf.DUMMYFUNCTION("""COMPUTED_VALUE"""),46047.878765636575)</f>
        <v>46047.87877</v>
      </c>
      <c r="D492" s="3" t="str">
        <f>IFERROR(__xludf.DUMMYFUNCTION("""COMPUTED_VALUE"""),"Hepa")</f>
        <v>Hepa</v>
      </c>
      <c r="E492" s="3" t="str">
        <f>IFERROR(__xludf.DUMMYFUNCTION("""COMPUTED_VALUE"""),"-")</f>
        <v>-</v>
      </c>
      <c r="F492" s="3" t="str">
        <f>IFERROR(__xludf.DUMMYFUNCTION("""COMPUTED_VALUE"""),"HB Series (H13) :592x592x292mm Minimum efficiency : 99,99% on 0,3 micron Rec.final resistance:50; IAF; ;")</f>
        <v>HB Series (H13) :592x592x292mm Minimum efficiency : 99,99% on 0,3 micron Rec.final resistance:50; IAF; ;</v>
      </c>
      <c r="G492" s="3">
        <f>IFERROR(__xludf.DUMMYFUNCTION("""COMPUTED_VALUE"""),6.0)</f>
        <v>6</v>
      </c>
      <c r="H492" s="3" t="str">
        <f>IFERROR(__xludf.DUMMYFUNCTION("""COMPUTED_VALUE"""),"Pieces")</f>
        <v>Pieces</v>
      </c>
      <c r="I492" s="3" t="str">
        <f>IFERROR(__xludf.DUMMYFUNCTION("""COMPUTED_VALUE"""),"Deliver")</f>
        <v>Deliver</v>
      </c>
      <c r="J492" s="3" t="str">
        <f>IFERROR(__xludf.DUMMYFUNCTION("""COMPUTED_VALUE"""),"-")</f>
        <v>-</v>
      </c>
      <c r="K492" s="3" t="str">
        <f>IFERROR(__xludf.DUMMYFUNCTION("""COMPUTED_VALUE"""),"-")</f>
        <v>-</v>
      </c>
    </row>
    <row r="493">
      <c r="A493" s="3" t="str">
        <f>IFERROR(__xludf.DUMMYFUNCTION("""COMPUTED_VALUE"""),"MFHRO0257")</f>
        <v>MFHRO0257</v>
      </c>
      <c r="B493" s="4">
        <f>IFERROR(__xludf.DUMMYFUNCTION("""COMPUTED_VALUE"""),46047.83255263889)</f>
        <v>46047.83255</v>
      </c>
      <c r="C493" s="3">
        <f>IFERROR(__xludf.DUMMYFUNCTION("""COMPUTED_VALUE"""),46047.878867453706)</f>
        <v>46047.87887</v>
      </c>
      <c r="D493" s="3" t="str">
        <f>IFERROR(__xludf.DUMMYFUNCTION("""COMPUTED_VALUE"""),"Hepa")</f>
        <v>Hepa</v>
      </c>
      <c r="E493" s="3" t="str">
        <f>IFERROR(__xludf.DUMMYFUNCTION("""COMPUTED_VALUE"""),"-")</f>
        <v>-</v>
      </c>
      <c r="F493" s="3" t="str">
        <f>IFERROR(__xludf.DUMMYFUNCTION("""COMPUTED_VALUE"""),"General - IAF HB Series (H13) Minimum eff.: 99.99% on 0.3 micron, Size: 305 x 305 x 292mm; IAF; -; 1 pc")</f>
        <v>General - IAF HB Series (H13) Minimum eff.: 99.99% on 0.3 micron, Size: 305 x 305 x 292mm; IAF; -; 1 pc</v>
      </c>
      <c r="G493" s="3">
        <f>IFERROR(__xludf.DUMMYFUNCTION("""COMPUTED_VALUE"""),1.0)</f>
        <v>1</v>
      </c>
      <c r="H493" s="3" t="str">
        <f>IFERROR(__xludf.DUMMYFUNCTION("""COMPUTED_VALUE"""),"Pieces")</f>
        <v>Pieces</v>
      </c>
      <c r="I493" s="3" t="str">
        <f>IFERROR(__xludf.DUMMYFUNCTION("""COMPUTED_VALUE"""),"Deliver")</f>
        <v>Deliver</v>
      </c>
      <c r="J493" s="3" t="str">
        <f>IFERROR(__xludf.DUMMYFUNCTION("""COMPUTED_VALUE"""),"-")</f>
        <v>-</v>
      </c>
      <c r="K493" s="3" t="str">
        <f>IFERROR(__xludf.DUMMYFUNCTION("""COMPUTED_VALUE"""),"-")</f>
        <v>-</v>
      </c>
    </row>
    <row r="494">
      <c r="A494" s="3" t="str">
        <f>IFERROR(__xludf.DUMMYFUNCTION("""COMPUTED_VALUE"""),"MFHRO0258")</f>
        <v>MFHRO0258</v>
      </c>
      <c r="B494" s="4">
        <f>IFERROR(__xludf.DUMMYFUNCTION("""COMPUTED_VALUE"""),46047.83255263889)</f>
        <v>46047.83255</v>
      </c>
      <c r="C494" s="3">
        <f>IFERROR(__xludf.DUMMYFUNCTION("""COMPUTED_VALUE"""),46047.87908853009)</f>
        <v>46047.87909</v>
      </c>
      <c r="D494" s="3" t="str">
        <f>IFERROR(__xludf.DUMMYFUNCTION("""COMPUTED_VALUE"""),"FD")</f>
        <v>FD</v>
      </c>
      <c r="E494" s="3" t="str">
        <f>IFERROR(__xludf.DUMMYFUNCTION("""COMPUTED_VALUE"""),"-")</f>
        <v>-</v>
      </c>
      <c r="F494" s="3" t="str">
        <f>IFERROR(__xludf.DUMMYFUNCTION("""COMPUTED_VALUE"""),"Freeze Dryer MBE1207 - Mechanical Positioner Switch 50-0406-12610-532 P/n: EB14-00072; BRAY; ;")</f>
        <v>Freeze Dryer MBE1207 - Mechanical Positioner Switch 50-0406-12610-532 P/n: EB14-00072; BRAY; ;</v>
      </c>
      <c r="G494" s="3">
        <f>IFERROR(__xludf.DUMMYFUNCTION("""COMPUTED_VALUE"""),2.0)</f>
        <v>2</v>
      </c>
      <c r="H494" s="3" t="str">
        <f>IFERROR(__xludf.DUMMYFUNCTION("""COMPUTED_VALUE"""),"Pieces")</f>
        <v>Pieces</v>
      </c>
      <c r="I494" s="3" t="str">
        <f>IFERROR(__xludf.DUMMYFUNCTION("""COMPUTED_VALUE"""),"Deliver")</f>
        <v>Deliver</v>
      </c>
      <c r="J494" s="3" t="str">
        <f>IFERROR(__xludf.DUMMYFUNCTION("""COMPUTED_VALUE"""),"-")</f>
        <v>-</v>
      </c>
      <c r="K494" s="3" t="str">
        <f>IFERROR(__xludf.DUMMYFUNCTION("""COMPUTED_VALUE"""),"-")</f>
        <v>-</v>
      </c>
    </row>
    <row r="495">
      <c r="A495" s="3" t="str">
        <f>IFERROR(__xludf.DUMMYFUNCTION("""COMPUTED_VALUE"""),"MFHRO0259")</f>
        <v>MFHRO0259</v>
      </c>
      <c r="B495" s="4">
        <f>IFERROR(__xludf.DUMMYFUNCTION("""COMPUTED_VALUE"""),46047.83255263889)</f>
        <v>46047.83255</v>
      </c>
      <c r="C495" s="3">
        <f>IFERROR(__xludf.DUMMYFUNCTION("""COMPUTED_VALUE"""),46047.879581817135)</f>
        <v>46047.87958</v>
      </c>
      <c r="D495" s="3" t="str">
        <f>IFERROR(__xludf.DUMMYFUNCTION("""COMPUTED_VALUE"""),"Washing")</f>
        <v>Washing</v>
      </c>
      <c r="E495" s="3" t="str">
        <f>IFERROR(__xludf.DUMMYFUNCTION("""COMPUTED_VALUE"""),"-")</f>
        <v>-</v>
      </c>
      <c r="F495" s="3" t="str">
        <f>IFERROR(__xludf.DUMMYFUNCTION("""COMPUTED_VALUE"""),"Washing RAR4 - Steel Ball / Gotri 2.5mm; -; -; 1 pck = 100pc")</f>
        <v>Washing RAR4 - Steel Ball / Gotri 2.5mm; -; -; 1 pck = 100pc</v>
      </c>
      <c r="G495" s="3">
        <f>IFERROR(__xludf.DUMMYFUNCTION("""COMPUTED_VALUE"""),1.0)</f>
        <v>1</v>
      </c>
      <c r="H495" s="3" t="str">
        <f>IFERROR(__xludf.DUMMYFUNCTION("""COMPUTED_VALUE"""),"Pack")</f>
        <v>Pack</v>
      </c>
      <c r="I495" s="3" t="str">
        <f>IFERROR(__xludf.DUMMYFUNCTION("""COMPUTED_VALUE"""),"Deliver")</f>
        <v>Deliver</v>
      </c>
      <c r="J495" s="3" t="str">
        <f>IFERROR(__xludf.DUMMYFUNCTION("""COMPUTED_VALUE"""),"-")</f>
        <v>-</v>
      </c>
      <c r="K495" s="3" t="str">
        <f>IFERROR(__xludf.DUMMYFUNCTION("""COMPUTED_VALUE"""),"-")</f>
        <v>-</v>
      </c>
    </row>
    <row r="496">
      <c r="A496" s="3" t="str">
        <f>IFERROR(__xludf.DUMMYFUNCTION("""COMPUTED_VALUE"""),"MFHRO0260")</f>
        <v>MFHRO0260</v>
      </c>
      <c r="B496" s="4">
        <f>IFERROR(__xludf.DUMMYFUNCTION("""COMPUTED_VALUE"""),46047.83255263889)</f>
        <v>46047.83255</v>
      </c>
      <c r="C496" s="3">
        <f>IFERROR(__xludf.DUMMYFUNCTION("""COMPUTED_VALUE"""),46047.87972491898)</f>
        <v>46047.87972</v>
      </c>
      <c r="D496" s="3" t="str">
        <f>IFERROR(__xludf.DUMMYFUNCTION("""COMPUTED_VALUE"""),"Filling")</f>
        <v>Filling</v>
      </c>
      <c r="E496" s="3" t="str">
        <f>IFERROR(__xludf.DUMMYFUNCTION("""COMPUTED_VALUE"""),"-")</f>
        <v>-</v>
      </c>
      <c r="F496" s="3" t="str">
        <f>IFERROR(__xludf.DUMMYFUNCTION("""COMPUTED_VALUE"""),"Filling VFM100 - PROXIMITY SENSOR, DATALOGIC  M12 NON FLUSH SHORT PNP NO IS-12-D1-S2; ; 204170; 1 Pc")</f>
        <v>Filling VFM100 - PROXIMITY SENSOR, DATALOGIC  M12 NON FLUSH SHORT PNP NO IS-12-D1-S2; ; 204170; 1 Pc</v>
      </c>
      <c r="G496" s="3">
        <f>IFERROR(__xludf.DUMMYFUNCTION("""COMPUTED_VALUE"""),1.0)</f>
        <v>1</v>
      </c>
      <c r="H496" s="3" t="str">
        <f>IFERROR(__xludf.DUMMYFUNCTION("""COMPUTED_VALUE"""),"Pieces")</f>
        <v>Pieces</v>
      </c>
      <c r="I496" s="3" t="str">
        <f>IFERROR(__xludf.DUMMYFUNCTION("""COMPUTED_VALUE"""),"Deliver")</f>
        <v>Deliver</v>
      </c>
      <c r="J496" s="3" t="str">
        <f>IFERROR(__xludf.DUMMYFUNCTION("""COMPUTED_VALUE"""),"121703490 - APPROVED")</f>
        <v>121703490 - APPROVED</v>
      </c>
      <c r="K496" s="3" t="str">
        <f>IFERROR(__xludf.DUMMYFUNCTION("""COMPUTED_VALUE"""),"GL2511060")</f>
        <v>GL2511060</v>
      </c>
    </row>
    <row r="497">
      <c r="A497" s="3" t="str">
        <f>IFERROR(__xludf.DUMMYFUNCTION("""COMPUTED_VALUE"""),"MFHRO0261")</f>
        <v>MFHRO0261</v>
      </c>
      <c r="B497" s="4">
        <f>IFERROR(__xludf.DUMMYFUNCTION("""COMPUTED_VALUE"""),46047.83255263889)</f>
        <v>46047.83255</v>
      </c>
      <c r="C497" s="3">
        <f>IFERROR(__xludf.DUMMYFUNCTION("""COMPUTED_VALUE"""),46047.87982625)</f>
        <v>46047.87983</v>
      </c>
      <c r="D497" s="3" t="str">
        <f>IFERROR(__xludf.DUMMYFUNCTION("""COMPUTED_VALUE"""),"Filling")</f>
        <v>Filling</v>
      </c>
      <c r="E497" s="3" t="str">
        <f>IFERROR(__xludf.DUMMYFUNCTION("""COMPUTED_VALUE"""),"-")</f>
        <v>-</v>
      </c>
      <c r="F497" s="3" t="str">
        <f>IFERROR(__xludf.DUMMYFUNCTION("""COMPUTED_VALUE"""),"Filling VFM100 - PROXIMITY SENSOR, DATALOGIC  M8 FLUSH 2X PNP NC IS-08-G2-S1; ; 204172; 1 Pc")</f>
        <v>Filling VFM100 - PROXIMITY SENSOR, DATALOGIC  M8 FLUSH 2X PNP NC IS-08-G2-S1; ; 204172; 1 Pc</v>
      </c>
      <c r="G497" s="3">
        <f>IFERROR(__xludf.DUMMYFUNCTION("""COMPUTED_VALUE"""),1.0)</f>
        <v>1</v>
      </c>
      <c r="H497" s="3" t="str">
        <f>IFERROR(__xludf.DUMMYFUNCTION("""COMPUTED_VALUE"""),"Pieces")</f>
        <v>Pieces</v>
      </c>
      <c r="I497" s="3" t="str">
        <f>IFERROR(__xludf.DUMMYFUNCTION("""COMPUTED_VALUE"""),"Deliver")</f>
        <v>Deliver</v>
      </c>
      <c r="J497" s="3" t="str">
        <f>IFERROR(__xludf.DUMMYFUNCTION("""COMPUTED_VALUE"""),"121703490 - APPROVED")</f>
        <v>121703490 - APPROVED</v>
      </c>
      <c r="K497" s="3" t="str">
        <f>IFERROR(__xludf.DUMMYFUNCTION("""COMPUTED_VALUE"""),"GL2511060")</f>
        <v>GL2511060</v>
      </c>
    </row>
    <row r="498">
      <c r="A498" s="3" t="str">
        <f>IFERROR(__xludf.DUMMYFUNCTION("""COMPUTED_VALUE"""),"MFHRO0262")</f>
        <v>MFHRO0262</v>
      </c>
      <c r="B498" s="4">
        <f>IFERROR(__xludf.DUMMYFUNCTION("""COMPUTED_VALUE"""),46047.83255263889)</f>
        <v>46047.83255</v>
      </c>
      <c r="C498" s="3">
        <f>IFERROR(__xludf.DUMMYFUNCTION("""COMPUTED_VALUE"""),46047.88061021991)</f>
        <v>46047.88061</v>
      </c>
      <c r="D498" s="3" t="str">
        <f>IFERROR(__xludf.DUMMYFUNCTION("""COMPUTED_VALUE"""),"cRABS")</f>
        <v>cRABS</v>
      </c>
      <c r="E498" s="3" t="str">
        <f>IFERROR(__xludf.DUMMYFUNCTION("""COMPUTED_VALUE"""),"-")</f>
        <v>-</v>
      </c>
      <c r="F498" s="3" t="str">
        <f>IFERROR(__xludf.DUMMYFUNCTION("""COMPUTED_VALUE"""),"cRABS Z064CR - SENSOR PROXIMITY M12 NON FLUSH SHORT PNP NO ; DATA LOGIC; ; 204171; 1 Pc")</f>
        <v>cRABS Z064CR - SENSOR PROXIMITY M12 NON FLUSH SHORT PNP NO ; DATA LOGIC; ; 204171; 1 Pc</v>
      </c>
      <c r="G498" s="3">
        <f>IFERROR(__xludf.DUMMYFUNCTION("""COMPUTED_VALUE"""),1.0)</f>
        <v>1</v>
      </c>
      <c r="H498" s="3" t="str">
        <f>IFERROR(__xludf.DUMMYFUNCTION("""COMPUTED_VALUE"""),"Pieces")</f>
        <v>Pieces</v>
      </c>
      <c r="I498" s="3" t="str">
        <f>IFERROR(__xludf.DUMMYFUNCTION("""COMPUTED_VALUE"""),"Deliver")</f>
        <v>Deliver</v>
      </c>
      <c r="J498" s="3" t="str">
        <f>IFERROR(__xludf.DUMMYFUNCTION("""COMPUTED_VALUE"""),"121703490 - APPROVED")</f>
        <v>121703490 - APPROVED</v>
      </c>
      <c r="K498" s="3" t="str">
        <f>IFERROR(__xludf.DUMMYFUNCTION("""COMPUTED_VALUE"""),"GL2511060")</f>
        <v>GL2511060</v>
      </c>
    </row>
    <row r="499">
      <c r="A499" s="3" t="str">
        <f>IFERROR(__xludf.DUMMYFUNCTION("""COMPUTED_VALUE"""),"MFHRO0263")</f>
        <v>MFHRO0263</v>
      </c>
      <c r="B499" s="4">
        <f>IFERROR(__xludf.DUMMYFUNCTION("""COMPUTED_VALUE"""),46047.83255263889)</f>
        <v>46047.83255</v>
      </c>
      <c r="C499" s="3">
        <f>IFERROR(__xludf.DUMMYFUNCTION("""COMPUTED_VALUE"""),46047.88071666667)</f>
        <v>46047.88072</v>
      </c>
      <c r="D499" s="3" t="str">
        <f>IFERROR(__xludf.DUMMYFUNCTION("""COMPUTED_VALUE"""),"EDM")</f>
        <v>EDM</v>
      </c>
      <c r="E499" s="3" t="str">
        <f>IFERROR(__xludf.DUMMYFUNCTION("""COMPUTED_VALUE"""),"-")</f>
        <v>-</v>
      </c>
      <c r="F499" s="3" t="str">
        <f>IFERROR(__xludf.DUMMYFUNCTION("""COMPUTED_VALUE"""),"EDM EDM1 - C.A. BLOWING VALVE ACTUATOR, Univer, 6869, CL-302A, Valve CL 1/8"" 3 ways 2 positions, N.C; ; 6869; 1 Pc")</f>
        <v>EDM EDM1 - C.A. BLOWING VALVE ACTUATOR, Univer, 6869, CL-302A, Valve CL 1/8" 3 ways 2 positions, N.C; ; 6869; 1 Pc</v>
      </c>
      <c r="G499" s="3">
        <f>IFERROR(__xludf.DUMMYFUNCTION("""COMPUTED_VALUE"""),2.0)</f>
        <v>2</v>
      </c>
      <c r="H499" s="3" t="str">
        <f>IFERROR(__xludf.DUMMYFUNCTION("""COMPUTED_VALUE"""),"Pieces")</f>
        <v>Pieces</v>
      </c>
      <c r="I499" s="3" t="str">
        <f>IFERROR(__xludf.DUMMYFUNCTION("""COMPUTED_VALUE"""),"Deliver")</f>
        <v>Deliver</v>
      </c>
      <c r="J499" s="3" t="str">
        <f>IFERROR(__xludf.DUMMYFUNCTION("""COMPUTED_VALUE"""),"121703490 - APPROVED")</f>
        <v>121703490 - APPROVED</v>
      </c>
      <c r="K499" s="3" t="str">
        <f>IFERROR(__xludf.DUMMYFUNCTION("""COMPUTED_VALUE"""),"GL2511060")</f>
        <v>GL2511060</v>
      </c>
    </row>
    <row r="500">
      <c r="A500" s="3" t="str">
        <f>IFERROR(__xludf.DUMMYFUNCTION("""COMPUTED_VALUE"""),"MFHRO0264")</f>
        <v>MFHRO0264</v>
      </c>
      <c r="B500" s="4">
        <f>IFERROR(__xludf.DUMMYFUNCTION("""COMPUTED_VALUE"""),46047.83255263889)</f>
        <v>46047.83255</v>
      </c>
      <c r="C500" s="3">
        <f>IFERROR(__xludf.DUMMYFUNCTION("""COMPUTED_VALUE"""),46047.88087262731)</f>
        <v>46047.88087</v>
      </c>
      <c r="D500" s="3" t="str">
        <f>IFERROR(__xludf.DUMMYFUNCTION("""COMPUTED_VALUE"""),"Filling")</f>
        <v>Filling</v>
      </c>
      <c r="E500" s="3" t="str">
        <f>IFERROR(__xludf.DUMMYFUNCTION("""COMPUTED_VALUE"""),"-")</f>
        <v>-</v>
      </c>
      <c r="F500" s="3" t="str">
        <f>IFERROR(__xludf.DUMMYFUNCTION("""COMPUTED_VALUE"""),"Filling VFM100 - TEMPERATURE PROBE ;  MODEL PT100 SINGLE ELEMENT, 3 WIRES, DIAMETER 3MM, LENGTH 250M; Jumo; 29274; 1 Pc")</f>
        <v>Filling VFM100 - TEMPERATURE PROBE ;  MODEL PT100 SINGLE ELEMENT, 3 WIRES, DIAMETER 3MM, LENGTH 250M; Jumo; 29274; 1 Pc</v>
      </c>
      <c r="G500" s="3">
        <f>IFERROR(__xludf.DUMMYFUNCTION("""COMPUTED_VALUE"""),1.0)</f>
        <v>1</v>
      </c>
      <c r="H500" s="3" t="str">
        <f>IFERROR(__xludf.DUMMYFUNCTION("""COMPUTED_VALUE"""),"Pieces")</f>
        <v>Pieces</v>
      </c>
      <c r="I500" s="3" t="str">
        <f>IFERROR(__xludf.DUMMYFUNCTION("""COMPUTED_VALUE"""),"Deliver")</f>
        <v>Deliver</v>
      </c>
      <c r="J500" s="3" t="str">
        <f>IFERROR(__xludf.DUMMYFUNCTION("""COMPUTED_VALUE"""),"121703490 - APPROVED")</f>
        <v>121703490 - APPROVED</v>
      </c>
      <c r="K500" s="3" t="str">
        <f>IFERROR(__xludf.DUMMYFUNCTION("""COMPUTED_VALUE"""),"GL2511060")</f>
        <v>GL2511060</v>
      </c>
    </row>
    <row r="501">
      <c r="A501" s="3" t="str">
        <f>IFERROR(__xludf.DUMMYFUNCTION("""COMPUTED_VALUE"""),"MFHRO0265")</f>
        <v>MFHRO0265</v>
      </c>
      <c r="B501" s="4">
        <f>IFERROR(__xludf.DUMMYFUNCTION("""COMPUTED_VALUE"""),46047.83255263889)</f>
        <v>46047.83255</v>
      </c>
      <c r="C501" s="3">
        <f>IFERROR(__xludf.DUMMYFUNCTION("""COMPUTED_VALUE"""),46047.880961030096)</f>
        <v>46047.88096</v>
      </c>
      <c r="D501" s="3" t="str">
        <f>IFERROR(__xludf.DUMMYFUNCTION("""COMPUTED_VALUE"""),"Filling")</f>
        <v>Filling</v>
      </c>
      <c r="E501" s="3" t="str">
        <f>IFERROR(__xludf.DUMMYFUNCTION("""COMPUTED_VALUE"""),"-")</f>
        <v>-</v>
      </c>
      <c r="F501" s="3" t="str">
        <f>IFERROR(__xludf.DUMMYFUNCTION("""COMPUTED_VALUE"""),"Filling VFM100 - SENSOR NO 10-30 VDC, 200MA; NITROGEN POST-GAS  FLOW CHECK SENSOR; ; 202196; 1 Pc")</f>
        <v>Filling VFM100 - SENSOR NO 10-30 VDC, 200MA; NITROGEN POST-GAS  FLOW CHECK SENSOR; ; 202196; 1 Pc</v>
      </c>
      <c r="G501" s="3">
        <f>IFERROR(__xludf.DUMMYFUNCTION("""COMPUTED_VALUE"""),1.0)</f>
        <v>1</v>
      </c>
      <c r="H501" s="3" t="str">
        <f>IFERROR(__xludf.DUMMYFUNCTION("""COMPUTED_VALUE"""),"Pieces")</f>
        <v>Pieces</v>
      </c>
      <c r="I501" s="3" t="str">
        <f>IFERROR(__xludf.DUMMYFUNCTION("""COMPUTED_VALUE"""),"Deliver")</f>
        <v>Deliver</v>
      </c>
      <c r="J501" s="3" t="str">
        <f>IFERROR(__xludf.DUMMYFUNCTION("""COMPUTED_VALUE"""),"121703490 - APPROVED")</f>
        <v>121703490 - APPROVED</v>
      </c>
      <c r="K501" s="3" t="str">
        <f>IFERROR(__xludf.DUMMYFUNCTION("""COMPUTED_VALUE"""),"GL2511060")</f>
        <v>GL2511060</v>
      </c>
    </row>
    <row r="502">
      <c r="A502" s="3" t="str">
        <f>IFERROR(__xludf.DUMMYFUNCTION("""COMPUTED_VALUE"""),"MFHRO0266")</f>
        <v>MFHRO0266</v>
      </c>
      <c r="B502" s="4">
        <f>IFERROR(__xludf.DUMMYFUNCTION("""COMPUTED_VALUE"""),46047.83255263889)</f>
        <v>46047.83255</v>
      </c>
      <c r="C502" s="3">
        <f>IFERROR(__xludf.DUMMYFUNCTION("""COMPUTED_VALUE"""),46047.88105138889)</f>
        <v>46047.88105</v>
      </c>
      <c r="D502" s="3" t="str">
        <f>IFERROR(__xludf.DUMMYFUNCTION("""COMPUTED_VALUE"""),"Filling")</f>
        <v>Filling</v>
      </c>
      <c r="E502" s="3" t="str">
        <f>IFERROR(__xludf.DUMMYFUNCTION("""COMPUTED_VALUE"""),"-")</f>
        <v>-</v>
      </c>
      <c r="F502" s="3" t="str">
        <f>IFERROR(__xludf.DUMMYFUNCTION("""COMPUTED_VALUE"""),"Filling VFM100 - VACUUM LEVEL SWITCH ; DIGITAL VACUUM LEVEL SWITCH Code: 120511; Vuototecnica; 202545; 1 Pc")</f>
        <v>Filling VFM100 - VACUUM LEVEL SWITCH ; DIGITAL VACUUM LEVEL SWITCH Code: 120511; Vuototecnica; 202545; 1 Pc</v>
      </c>
      <c r="G502" s="3">
        <f>IFERROR(__xludf.DUMMYFUNCTION("""COMPUTED_VALUE"""),1.0)</f>
        <v>1</v>
      </c>
      <c r="H502" s="3" t="str">
        <f>IFERROR(__xludf.DUMMYFUNCTION("""COMPUTED_VALUE"""),"Pieces")</f>
        <v>Pieces</v>
      </c>
      <c r="I502" s="3" t="str">
        <f>IFERROR(__xludf.DUMMYFUNCTION("""COMPUTED_VALUE"""),"Deliver")</f>
        <v>Deliver</v>
      </c>
      <c r="J502" s="3" t="str">
        <f>IFERROR(__xludf.DUMMYFUNCTION("""COMPUTED_VALUE"""),"121703490 - APPROVED")</f>
        <v>121703490 - APPROVED</v>
      </c>
      <c r="K502" s="3" t="str">
        <f>IFERROR(__xludf.DUMMYFUNCTION("""COMPUTED_VALUE"""),"GL2511060")</f>
        <v>GL2511060</v>
      </c>
    </row>
    <row r="503">
      <c r="A503" s="3" t="str">
        <f>IFERROR(__xludf.DUMMYFUNCTION("""COMPUTED_VALUE"""),"MFHRO0267")</f>
        <v>MFHRO0267</v>
      </c>
      <c r="B503" s="4">
        <f>IFERROR(__xludf.DUMMYFUNCTION("""COMPUTED_VALUE"""),46047.83255263889)</f>
        <v>46047.83255</v>
      </c>
      <c r="C503" s="3">
        <f>IFERROR(__xludf.DUMMYFUNCTION("""COMPUTED_VALUE"""),46047.88114900463)</f>
        <v>46047.88115</v>
      </c>
      <c r="D503" s="3" t="str">
        <f>IFERROR(__xludf.DUMMYFUNCTION("""COMPUTED_VALUE"""),"Steriline")</f>
        <v>Steriline</v>
      </c>
      <c r="E503" s="3" t="str">
        <f>IFERROR(__xludf.DUMMYFUNCTION("""COMPUTED_VALUE"""),"-")</f>
        <v>-</v>
      </c>
      <c r="F503" s="3" t="str">
        <f>IFERROR(__xludf.DUMMYFUNCTION("""COMPUTED_VALUE"""),"Silicon suction cup 01.11.16 PN: 202082; ; ;")</f>
        <v>Silicon suction cup 01.11.16 PN: 202082; ; ;</v>
      </c>
      <c r="G503" s="3">
        <f>IFERROR(__xludf.DUMMYFUNCTION("""COMPUTED_VALUE"""),100.0)</f>
        <v>100</v>
      </c>
      <c r="H503" s="3" t="str">
        <f>IFERROR(__xludf.DUMMYFUNCTION("""COMPUTED_VALUE"""),"Pieces")</f>
        <v>Pieces</v>
      </c>
      <c r="I503" s="3" t="str">
        <f>IFERROR(__xludf.DUMMYFUNCTION("""COMPUTED_VALUE"""),"Deliver")</f>
        <v>Deliver</v>
      </c>
      <c r="J503" s="3" t="str">
        <f>IFERROR(__xludf.DUMMYFUNCTION("""COMPUTED_VALUE"""),"121703490 - APPROVED")</f>
        <v>121703490 - APPROVED</v>
      </c>
      <c r="K503" s="3" t="str">
        <f>IFERROR(__xludf.DUMMYFUNCTION("""COMPUTED_VALUE"""),"GL2511060")</f>
        <v>GL2511060</v>
      </c>
    </row>
    <row r="504">
      <c r="A504" s="3" t="str">
        <f>IFERROR(__xludf.DUMMYFUNCTION("""COMPUTED_VALUE"""),"MFHRO0268")</f>
        <v>MFHRO0268</v>
      </c>
      <c r="B504" s="4">
        <f>IFERROR(__xludf.DUMMYFUNCTION("""COMPUTED_VALUE"""),46047.83255263889)</f>
        <v>46047.83255</v>
      </c>
      <c r="C504" s="3">
        <f>IFERROR(__xludf.DUMMYFUNCTION("""COMPUTED_VALUE"""),46047.88123400463)</f>
        <v>46047.88123</v>
      </c>
      <c r="D504" s="3" t="str">
        <f>IFERROR(__xludf.DUMMYFUNCTION("""COMPUTED_VALUE"""),"EDM")</f>
        <v>EDM</v>
      </c>
      <c r="E504" s="3" t="str">
        <f>IFERROR(__xludf.DUMMYFUNCTION("""COMPUTED_VALUE"""),"-")</f>
        <v>-</v>
      </c>
      <c r="F504" s="3" t="str">
        <f>IFERROR(__xludf.DUMMYFUNCTION("""COMPUTED_VALUE"""),"EDM EDM1 - Pressure transmitter -100 / +100Pa output 4-20 mA 24VDC Precision: +-1% ; Model: PIZ (2 w; ; 16456; 1 Pc")</f>
        <v>EDM EDM1 - Pressure transmitter -100 / +100Pa output 4-20 mA 24VDC Precision: +-1% ; Model: PIZ (2 w; ; 16456; 1 Pc</v>
      </c>
      <c r="G504" s="3">
        <f>IFERROR(__xludf.DUMMYFUNCTION("""COMPUTED_VALUE"""),1.0)</f>
        <v>1</v>
      </c>
      <c r="H504" s="3" t="str">
        <f>IFERROR(__xludf.DUMMYFUNCTION("""COMPUTED_VALUE"""),"Pieces")</f>
        <v>Pieces</v>
      </c>
      <c r="I504" s="3" t="str">
        <f>IFERROR(__xludf.DUMMYFUNCTION("""COMPUTED_VALUE"""),"Deliver")</f>
        <v>Deliver</v>
      </c>
      <c r="J504" s="3" t="str">
        <f>IFERROR(__xludf.DUMMYFUNCTION("""COMPUTED_VALUE"""),"121703490 - APPROVED")</f>
        <v>121703490 - APPROVED</v>
      </c>
      <c r="K504" s="3" t="str">
        <f>IFERROR(__xludf.DUMMYFUNCTION("""COMPUTED_VALUE"""),"GL2511060")</f>
        <v>GL2511060</v>
      </c>
    </row>
    <row r="505">
      <c r="A505" s="3" t="str">
        <f>IFERROR(__xludf.DUMMYFUNCTION("""COMPUTED_VALUE"""),"MFHRO0269")</f>
        <v>MFHRO0269</v>
      </c>
      <c r="B505" s="4">
        <f>IFERROR(__xludf.DUMMYFUNCTION("""COMPUTED_VALUE"""),46047.83255263889)</f>
        <v>46047.83255</v>
      </c>
      <c r="C505" s="3">
        <f>IFERROR(__xludf.DUMMYFUNCTION("""COMPUTED_VALUE"""),46047.88131636574)</f>
        <v>46047.88132</v>
      </c>
      <c r="D505" s="3" t="str">
        <f>IFERROR(__xludf.DUMMYFUNCTION("""COMPUTED_VALUE"""),"FD")</f>
        <v>FD</v>
      </c>
      <c r="E505" s="3" t="str">
        <f>IFERROR(__xludf.DUMMYFUNCTION("""COMPUTED_VALUE"""),"-")</f>
        <v>-</v>
      </c>
      <c r="F505" s="3" t="str">
        <f>IFERROR(__xludf.DUMMYFUNCTION("""COMPUTED_VALUE"""),"General - Spare Working Diaphragm EPDM DN 10-20mm Type 612,625; Gemu; 600 10M 17; 1 Pc")</f>
        <v>General - Spare Working Diaphragm EPDM DN 10-20mm Type 612,625; Gemu; 600 10M 17; 1 Pc</v>
      </c>
      <c r="G505" s="3">
        <f>IFERROR(__xludf.DUMMYFUNCTION("""COMPUTED_VALUE"""),3.0)</f>
        <v>3</v>
      </c>
      <c r="H505" s="3" t="str">
        <f>IFERROR(__xludf.DUMMYFUNCTION("""COMPUTED_VALUE"""),"Pieces")</f>
        <v>Pieces</v>
      </c>
      <c r="I505" s="3" t="str">
        <f>IFERROR(__xludf.DUMMYFUNCTION("""COMPUTED_VALUE"""),"Deliver")</f>
        <v>Deliver</v>
      </c>
      <c r="J505" s="3" t="str">
        <f>IFERROR(__xludf.DUMMYFUNCTION("""COMPUTED_VALUE"""),"-")</f>
        <v>-</v>
      </c>
      <c r="K505" s="3" t="str">
        <f>IFERROR(__xludf.DUMMYFUNCTION("""COMPUTED_VALUE"""),"-")</f>
        <v>-</v>
      </c>
    </row>
    <row r="506">
      <c r="A506" s="3" t="str">
        <f>IFERROR(__xludf.DUMMYFUNCTION("""COMPUTED_VALUE"""),"MFHRO0270")</f>
        <v>MFHRO0270</v>
      </c>
      <c r="B506" s="4">
        <f>IFERROR(__xludf.DUMMYFUNCTION("""COMPUTED_VALUE"""),46047.83255263889)</f>
        <v>46047.83255</v>
      </c>
      <c r="C506" s="3">
        <f>IFERROR(__xludf.DUMMYFUNCTION("""COMPUTED_VALUE"""),46047.88140457176)</f>
        <v>46047.8814</v>
      </c>
      <c r="D506" s="3" t="str">
        <f>IFERROR(__xludf.DUMMYFUNCTION("""COMPUTED_VALUE"""),"Filling")</f>
        <v>Filling</v>
      </c>
      <c r="E506" s="3" t="str">
        <f>IFERROR(__xludf.DUMMYFUNCTION("""COMPUTED_VALUE"""),"-")</f>
        <v>-</v>
      </c>
      <c r="F506" s="3" t="str">
        <f>IFERROR(__xludf.DUMMYFUNCTION("""COMPUTED_VALUE"""),"Filling VFM100 - Vacuump pump Vane balde; VT 4.16; Becker; 90134700007; 1 Pack")</f>
        <v>Filling VFM100 - Vacuump pump Vane balde; VT 4.16; Becker; 90134700007; 1 Pack</v>
      </c>
      <c r="G506" s="3">
        <f>IFERROR(__xludf.DUMMYFUNCTION("""COMPUTED_VALUE"""),1.0)</f>
        <v>1</v>
      </c>
      <c r="H506" s="3" t="str">
        <f>IFERROR(__xludf.DUMMYFUNCTION("""COMPUTED_VALUE"""),"Pack")</f>
        <v>Pack</v>
      </c>
      <c r="I506" s="3" t="str">
        <f>IFERROR(__xludf.DUMMYFUNCTION("""COMPUTED_VALUE"""),"Deliver")</f>
        <v>Deliver</v>
      </c>
      <c r="J506" s="3" t="str">
        <f>IFERROR(__xludf.DUMMYFUNCTION("""COMPUTED_VALUE"""),"-")</f>
        <v>-</v>
      </c>
      <c r="K506" s="3" t="str">
        <f>IFERROR(__xludf.DUMMYFUNCTION("""COMPUTED_VALUE"""),"-")</f>
        <v>-</v>
      </c>
    </row>
    <row r="507">
      <c r="A507" s="3" t="str">
        <f>IFERROR(__xludf.DUMMYFUNCTION("""COMPUTED_VALUE"""),"MFHRO0272")</f>
        <v>MFHRO0272</v>
      </c>
      <c r="B507" s="4">
        <f>IFERROR(__xludf.DUMMYFUNCTION("""COMPUTED_VALUE"""),46047.83255263889)</f>
        <v>46047.83255</v>
      </c>
      <c r="C507" s="3">
        <f>IFERROR(__xludf.DUMMYFUNCTION("""COMPUTED_VALUE"""),46047.88253253472)</f>
        <v>46047.88253</v>
      </c>
      <c r="D507" s="3" t="str">
        <f>IFERROR(__xludf.DUMMYFUNCTION("""COMPUTED_VALUE"""),"Lab")</f>
        <v>Lab</v>
      </c>
      <c r="E507" s="3" t="str">
        <f>IFERROR(__xludf.DUMMYFUNCTION("""COMPUTED_VALUE"""),"-")</f>
        <v>-</v>
      </c>
      <c r="F507" s="3" t="str">
        <f>IFERROR(__xludf.DUMMYFUNCTION("""COMPUTED_VALUE"""),"Electrode holder uPlace; Mettler Toledo; 30019823;")</f>
        <v>Electrode holder uPlace; Mettler Toledo; 30019823;</v>
      </c>
      <c r="G507" s="3">
        <f>IFERROR(__xludf.DUMMYFUNCTION("""COMPUTED_VALUE"""),1.0)</f>
        <v>1</v>
      </c>
      <c r="H507" s="3" t="str">
        <f>IFERROR(__xludf.DUMMYFUNCTION("""COMPUTED_VALUE"""),"Unit")</f>
        <v>Unit</v>
      </c>
      <c r="I507" s="3" t="str">
        <f>IFERROR(__xludf.DUMMYFUNCTION("""COMPUTED_VALUE"""),"Deliver")</f>
        <v>Deliver</v>
      </c>
      <c r="J507" s="3" t="str">
        <f>IFERROR(__xludf.DUMMYFUNCTION("""COMPUTED_VALUE"""),"-")</f>
        <v>-</v>
      </c>
      <c r="K507" s="3" t="str">
        <f>IFERROR(__xludf.DUMMYFUNCTION("""COMPUTED_VALUE"""),"-")</f>
        <v>-</v>
      </c>
    </row>
    <row r="508">
      <c r="A508" s="3" t="str">
        <f>IFERROR(__xludf.DUMMYFUNCTION("""COMPUTED_VALUE"""),"MFHRO0273")</f>
        <v>MFHRO0273</v>
      </c>
      <c r="B508" s="4">
        <f>IFERROR(__xludf.DUMMYFUNCTION("""COMPUTED_VALUE"""),46047.83255263889)</f>
        <v>46047.83255</v>
      </c>
      <c r="C508" s="3">
        <f>IFERROR(__xludf.DUMMYFUNCTION("""COMPUTED_VALUE"""),46047.88265777778)</f>
        <v>46047.88266</v>
      </c>
      <c r="D508" s="3" t="str">
        <f>IFERROR(__xludf.DUMMYFUNCTION("""COMPUTED_VALUE"""),"AHU")</f>
        <v>AHU</v>
      </c>
      <c r="E508" s="3" t="str">
        <f>IFERROR(__xludf.DUMMYFUNCTION("""COMPUTED_VALUE"""),"-")</f>
        <v>-</v>
      </c>
      <c r="F508" s="3" t="str">
        <f>IFERROR(__xludf.DUMMYFUNCTION("""COMPUTED_VALUE"""),"General - Replacement VVF42,80-80C 2-port seat Valve, Flanged, PN10, DN80, kvs 80 (Body Valve); Siemens; -; 1 pc")</f>
        <v>General - Replacement VVF42,80-80C 2-port seat Valve, Flanged, PN10, DN80, kvs 80 (Body Valve); Siemens; -; 1 pc</v>
      </c>
      <c r="G508" s="3">
        <f>IFERROR(__xludf.DUMMYFUNCTION("""COMPUTED_VALUE"""),1.0)</f>
        <v>1</v>
      </c>
      <c r="H508" s="3" t="str">
        <f>IFERROR(__xludf.DUMMYFUNCTION("""COMPUTED_VALUE"""),"Pieces")</f>
        <v>Pieces</v>
      </c>
      <c r="I508" s="3" t="str">
        <f>IFERROR(__xludf.DUMMYFUNCTION("""COMPUTED_VALUE"""),"Deliver")</f>
        <v>Deliver</v>
      </c>
      <c r="J508" s="3" t="str">
        <f>IFERROR(__xludf.DUMMYFUNCTION("""COMPUTED_VALUE"""),"121703552 - APPROVED")</f>
        <v>121703552 - APPROVED</v>
      </c>
      <c r="K508" s="3" t="str">
        <f>IFERROR(__xludf.DUMMYFUNCTION("""COMPUTED_VALUE"""),"GL2512018")</f>
        <v>GL2512018</v>
      </c>
    </row>
    <row r="509">
      <c r="A509" s="3" t="str">
        <f>IFERROR(__xludf.DUMMYFUNCTION("""COMPUTED_VALUE"""),"MFHRO0274")</f>
        <v>MFHRO0274</v>
      </c>
      <c r="B509" s="4">
        <f>IFERROR(__xludf.DUMMYFUNCTION("""COMPUTED_VALUE"""),46047.83255263889)</f>
        <v>46047.83255</v>
      </c>
      <c r="C509" s="3">
        <f>IFERROR(__xludf.DUMMYFUNCTION("""COMPUTED_VALUE"""),46047.8827600463)</f>
        <v>46047.88276</v>
      </c>
      <c r="D509" s="3" t="str">
        <f>IFERROR(__xludf.DUMMYFUNCTION("""COMPUTED_VALUE"""),"Sparepart")</f>
        <v>Sparepart</v>
      </c>
      <c r="E509" s="3" t="str">
        <f>IFERROR(__xludf.DUMMYFUNCTION("""COMPUTED_VALUE"""),"-")</f>
        <v>-</v>
      </c>
      <c r="F509" s="3" t="str">
        <f>IFERROR(__xludf.DUMMYFUNCTION("""COMPUTED_VALUE"""),"General - Terminal Viking Grounding 4mm; Legrand; -; 1 pc")</f>
        <v>General - Terminal Viking Grounding 4mm; Legrand; -; 1 pc</v>
      </c>
      <c r="G509" s="3">
        <f>IFERROR(__xludf.DUMMYFUNCTION("""COMPUTED_VALUE"""),10.0)</f>
        <v>10</v>
      </c>
      <c r="H509" s="3" t="str">
        <f>IFERROR(__xludf.DUMMYFUNCTION("""COMPUTED_VALUE"""),"Pieces")</f>
        <v>Pieces</v>
      </c>
      <c r="I509" s="3" t="str">
        <f>IFERROR(__xludf.DUMMYFUNCTION("""COMPUTED_VALUE"""),"Deliver")</f>
        <v>Deliver</v>
      </c>
      <c r="J509" s="3" t="str">
        <f>IFERROR(__xludf.DUMMYFUNCTION("""COMPUTED_VALUE"""),"-")</f>
        <v>-</v>
      </c>
      <c r="K509" s="3" t="str">
        <f>IFERROR(__xludf.DUMMYFUNCTION("""COMPUTED_VALUE"""),"-")</f>
        <v>-</v>
      </c>
    </row>
    <row r="510">
      <c r="A510" s="3" t="str">
        <f>IFERROR(__xludf.DUMMYFUNCTION("""COMPUTED_VALUE"""),"MFHRO0275")</f>
        <v>MFHRO0275</v>
      </c>
      <c r="B510" s="4">
        <f>IFERROR(__xludf.DUMMYFUNCTION("""COMPUTED_VALUE"""),46047.83255263889)</f>
        <v>46047.83255</v>
      </c>
      <c r="C510" s="3">
        <f>IFERROR(__xludf.DUMMYFUNCTION("""COMPUTED_VALUE"""),46047.88283665509)</f>
        <v>46047.88284</v>
      </c>
      <c r="D510" s="3" t="str">
        <f>IFERROR(__xludf.DUMMYFUNCTION("""COMPUTED_VALUE"""),"Sparepart")</f>
        <v>Sparepart</v>
      </c>
      <c r="E510" s="3" t="str">
        <f>IFERROR(__xludf.DUMMYFUNCTION("""COMPUTED_VALUE"""),"-")</f>
        <v>-</v>
      </c>
      <c r="F510" s="3" t="str">
        <f>IFERROR(__xludf.DUMMYFUNCTION("""COMPUTED_VALUE"""),"Cellotape / Lakban Kertas 1 inch warna Putih ; No Brand ; pack size per pcs")</f>
        <v>Cellotape / Lakban Kertas 1 inch warna Putih ; No Brand ; pack size per pcs</v>
      </c>
      <c r="G510" s="3">
        <f>IFERROR(__xludf.DUMMYFUNCTION("""COMPUTED_VALUE"""),60.0)</f>
        <v>60</v>
      </c>
      <c r="H510" s="3" t="str">
        <f>IFERROR(__xludf.DUMMYFUNCTION("""COMPUTED_VALUE"""),"Roll")</f>
        <v>Roll</v>
      </c>
      <c r="I510" s="3" t="str">
        <f>IFERROR(__xludf.DUMMYFUNCTION("""COMPUTED_VALUE"""),"Deliver")</f>
        <v>Deliver</v>
      </c>
      <c r="J510" s="3" t="str">
        <f>IFERROR(__xludf.DUMMYFUNCTION("""COMPUTED_VALUE"""),"-")</f>
        <v>-</v>
      </c>
      <c r="K510" s="3" t="str">
        <f>IFERROR(__xludf.DUMMYFUNCTION("""COMPUTED_VALUE"""),"-")</f>
        <v>-</v>
      </c>
    </row>
    <row r="511">
      <c r="A511" s="3" t="str">
        <f>IFERROR(__xludf.DUMMYFUNCTION("""COMPUTED_VALUE"""),"MFHRO0276")</f>
        <v>MFHRO0276</v>
      </c>
      <c r="B511" s="4">
        <f>IFERROR(__xludf.DUMMYFUNCTION("""COMPUTED_VALUE"""),46047.83255263889)</f>
        <v>46047.83255</v>
      </c>
      <c r="C511" s="3">
        <f>IFERROR(__xludf.DUMMYFUNCTION("""COMPUTED_VALUE"""),46047.88293373842)</f>
        <v>46047.88293</v>
      </c>
      <c r="D511" s="3" t="str">
        <f>IFERROR(__xludf.DUMMYFUNCTION("""COMPUTED_VALUE"""),"Sparepart")</f>
        <v>Sparepart</v>
      </c>
      <c r="E511" s="3" t="str">
        <f>IFERROR(__xludf.DUMMYFUNCTION("""COMPUTED_VALUE"""),"-")</f>
        <v>-</v>
      </c>
      <c r="F511" s="3" t="str">
        <f>IFERROR(__xludf.DUMMYFUNCTION("""COMPUTED_VALUE"""),"Cellotape / Lakban Kertas 1 inch warna Putih ; No Brand ; pack size per pcs")</f>
        <v>Cellotape / Lakban Kertas 1 inch warna Putih ; No Brand ; pack size per pcs</v>
      </c>
      <c r="G511" s="3">
        <f>IFERROR(__xludf.DUMMYFUNCTION("""COMPUTED_VALUE"""),60.0)</f>
        <v>60</v>
      </c>
      <c r="H511" s="3" t="str">
        <f>IFERROR(__xludf.DUMMYFUNCTION("""COMPUTED_VALUE"""),"Roll")</f>
        <v>Roll</v>
      </c>
      <c r="I511" s="3" t="str">
        <f>IFERROR(__xludf.DUMMYFUNCTION("""COMPUTED_VALUE"""),"Deliver")</f>
        <v>Deliver</v>
      </c>
      <c r="J511" s="3" t="str">
        <f>IFERROR(__xludf.DUMMYFUNCTION("""COMPUTED_VALUE"""),"121703588 - APPROVED")</f>
        <v>121703588 - APPROVED</v>
      </c>
      <c r="K511" s="3" t="str">
        <f>IFERROR(__xludf.DUMMYFUNCTION("""COMPUTED_VALUE"""),"GL2602012")</f>
        <v>GL2602012</v>
      </c>
    </row>
    <row r="512">
      <c r="A512" s="3" t="str">
        <f>IFERROR(__xludf.DUMMYFUNCTION("""COMPUTED_VALUE"""),"MFHRO0277")</f>
        <v>MFHRO0277</v>
      </c>
      <c r="B512" s="4">
        <f>IFERROR(__xludf.DUMMYFUNCTION("""COMPUTED_VALUE"""),46047.83255263889)</f>
        <v>46047.83255</v>
      </c>
      <c r="C512" s="3">
        <f>IFERROR(__xludf.DUMMYFUNCTION("""COMPUTED_VALUE"""),46047.883032060185)</f>
        <v>46047.88303</v>
      </c>
      <c r="D512" s="3" t="str">
        <f>IFERROR(__xludf.DUMMYFUNCTION("""COMPUTED_VALUE"""),"GC")</f>
        <v>GC</v>
      </c>
      <c r="E512" s="3" t="str">
        <f>IFERROR(__xludf.DUMMYFUNCTION("""COMPUTED_VALUE"""),"-")</f>
        <v>-</v>
      </c>
      <c r="F512" s="3" t="str">
        <f>IFERROR(__xludf.DUMMYFUNCTION("""COMPUTED_VALUE"""),"OQ/PV headspace sample ;Agilent;  PN :   5182-9733; Agilent; 5182-9733; 1 pcs/pack")</f>
        <v>OQ/PV headspace sample ;Agilent;  PN :   5182-9733; Agilent; 5182-9733; 1 pcs/pack</v>
      </c>
      <c r="G512" s="3">
        <f>IFERROR(__xludf.DUMMYFUNCTION("""COMPUTED_VALUE"""),1.0)</f>
        <v>1</v>
      </c>
      <c r="H512" s="3" t="str">
        <f>IFERROR(__xludf.DUMMYFUNCTION("""COMPUTED_VALUE"""),"Pack")</f>
        <v>Pack</v>
      </c>
      <c r="I512" s="3" t="str">
        <f>IFERROR(__xludf.DUMMYFUNCTION("""COMPUTED_VALUE"""),"Deliver")</f>
        <v>Deliver</v>
      </c>
      <c r="J512" s="3" t="str">
        <f>IFERROR(__xludf.DUMMYFUNCTION("""COMPUTED_VALUE"""),"-")</f>
        <v>-</v>
      </c>
      <c r="K512" s="3" t="str">
        <f>IFERROR(__xludf.DUMMYFUNCTION("""COMPUTED_VALUE"""),"-")</f>
        <v>-</v>
      </c>
    </row>
    <row r="513">
      <c r="A513" s="3" t="str">
        <f>IFERROR(__xludf.DUMMYFUNCTION("""COMPUTED_VALUE"""),"MFHRO0279")</f>
        <v>MFHRO0279</v>
      </c>
      <c r="B513" s="4">
        <f>IFERROR(__xludf.DUMMYFUNCTION("""COMPUTED_VALUE"""),46047.83255263889)</f>
        <v>46047.83255</v>
      </c>
      <c r="C513" s="3">
        <f>IFERROR(__xludf.DUMMYFUNCTION("""COMPUTED_VALUE"""),46047.88342787037)</f>
        <v>46047.88343</v>
      </c>
      <c r="D513" s="3" t="str">
        <f>IFERROR(__xludf.DUMMYFUNCTION("""COMPUTED_VALUE"""),"Sparepart")</f>
        <v>Sparepart</v>
      </c>
      <c r="E513" s="3" t="str">
        <f>IFERROR(__xludf.DUMMYFUNCTION("""COMPUTED_VALUE"""),"-")</f>
        <v>-</v>
      </c>
      <c r="F513" s="3" t="str">
        <f>IFERROR(__xludf.DUMMYFUNCTION("""COMPUTED_VALUE"""),"Gas Oksigen (O2) ; 6 M3; Refill; Industrial Grade; Purity ? 99.95%")</f>
        <v>Gas Oksigen (O2) ; 6 M3; Refill; Industrial Grade; Purity ? 99.95%</v>
      </c>
      <c r="G513" s="3">
        <f>IFERROR(__xludf.DUMMYFUNCTION("""COMPUTED_VALUE"""),1.0)</f>
        <v>1</v>
      </c>
      <c r="H513" s="3" t="str">
        <f>IFERROR(__xludf.DUMMYFUNCTION("""COMPUTED_VALUE"""),"Tube")</f>
        <v>Tube</v>
      </c>
      <c r="I513" s="3" t="str">
        <f>IFERROR(__xludf.DUMMYFUNCTION("""COMPUTED_VALUE"""),"Deliver")</f>
        <v>Deliver</v>
      </c>
      <c r="J513" s="3" t="str">
        <f>IFERROR(__xludf.DUMMYFUNCTION("""COMPUTED_VALUE"""),"-")</f>
        <v>-</v>
      </c>
      <c r="K513" s="3" t="str">
        <f>IFERROR(__xludf.DUMMYFUNCTION("""COMPUTED_VALUE"""),"-")</f>
        <v>-</v>
      </c>
    </row>
    <row r="514">
      <c r="A514" s="3" t="str">
        <f>IFERROR(__xludf.DUMMYFUNCTION("""COMPUTED_VALUE"""),"MFHRO0280")</f>
        <v>MFHRO0280</v>
      </c>
      <c r="B514" s="4">
        <f>IFERROR(__xludf.DUMMYFUNCTION("""COMPUTED_VALUE"""),46047.83255263889)</f>
        <v>46047.83255</v>
      </c>
      <c r="C514" s="3">
        <f>IFERROR(__xludf.DUMMYFUNCTION("""COMPUTED_VALUE"""),46047.88351827546)</f>
        <v>46047.88352</v>
      </c>
      <c r="D514" s="3" t="str">
        <f>IFERROR(__xludf.DUMMYFUNCTION("""COMPUTED_VALUE"""),"Sparepart")</f>
        <v>Sparepart</v>
      </c>
      <c r="E514" s="3" t="str">
        <f>IFERROR(__xludf.DUMMYFUNCTION("""COMPUTED_VALUE"""),"-")</f>
        <v>-</v>
      </c>
      <c r="F514" s="3" t="str">
        <f>IFERROR(__xludf.DUMMYFUNCTION("""COMPUTED_VALUE"""),"Gas Acetylene (C2H2), Industrial Grade, 2kg; ; ;")</f>
        <v>Gas Acetylene (C2H2), Industrial Grade, 2kg; ; ;</v>
      </c>
      <c r="G514" s="3">
        <f>IFERROR(__xludf.DUMMYFUNCTION("""COMPUTED_VALUE"""),1.0)</f>
        <v>1</v>
      </c>
      <c r="H514" s="3" t="str">
        <f>IFERROR(__xludf.DUMMYFUNCTION("""COMPUTED_VALUE"""),"Tube")</f>
        <v>Tube</v>
      </c>
      <c r="I514" s="3" t="str">
        <f>IFERROR(__xludf.DUMMYFUNCTION("""COMPUTED_VALUE"""),"Deliver")</f>
        <v>Deliver</v>
      </c>
      <c r="J514" s="3" t="str">
        <f>IFERROR(__xludf.DUMMYFUNCTION("""COMPUTED_VALUE"""),"-")</f>
        <v>-</v>
      </c>
      <c r="K514" s="3" t="str">
        <f>IFERROR(__xludf.DUMMYFUNCTION("""COMPUTED_VALUE"""),"-")</f>
        <v>-</v>
      </c>
    </row>
    <row r="515">
      <c r="A515" s="3" t="str">
        <f>IFERROR(__xludf.DUMMYFUNCTION("""COMPUTED_VALUE"""),"MFHRO0281")</f>
        <v>MFHRO0281</v>
      </c>
      <c r="B515" s="4">
        <f>IFERROR(__xludf.DUMMYFUNCTION("""COMPUTED_VALUE"""),46047.83255263889)</f>
        <v>46047.83255</v>
      </c>
      <c r="C515" s="3">
        <f>IFERROR(__xludf.DUMMYFUNCTION("""COMPUTED_VALUE"""),46047.883611550926)</f>
        <v>46047.88361</v>
      </c>
      <c r="D515" s="3" t="str">
        <f>IFERROR(__xludf.DUMMYFUNCTION("""COMPUTED_VALUE"""),"BSC")</f>
        <v>BSC</v>
      </c>
      <c r="E515" s="3" t="str">
        <f>IFERROR(__xludf.DUMMYFUNCTION("""COMPUTED_VALUE"""),"-")</f>
        <v>-</v>
      </c>
      <c r="F515" s="3" t="str">
        <f>IFERROR(__xludf.DUMMYFUNCTION("""COMPUTED_VALUE"""),"General - Isolator Glove Smaller glove CSM  (AS : E10330 Y 7 E4); Austar; ; 1 Pc")</f>
        <v>General - Isolator Glove Smaller glove CSM  (AS : E10330 Y 7 E4); Austar; ; 1 Pc</v>
      </c>
      <c r="G515" s="3">
        <f>IFERROR(__xludf.DUMMYFUNCTION("""COMPUTED_VALUE"""),40.0)</f>
        <v>40</v>
      </c>
      <c r="H515" s="3" t="str">
        <f>IFERROR(__xludf.DUMMYFUNCTION("""COMPUTED_VALUE"""),"Unit")</f>
        <v>Unit</v>
      </c>
      <c r="I515" s="3" t="str">
        <f>IFERROR(__xludf.DUMMYFUNCTION("""COMPUTED_VALUE"""),"Deliver")</f>
        <v>Deliver</v>
      </c>
      <c r="J515" s="3" t="str">
        <f>IFERROR(__xludf.DUMMYFUNCTION("""COMPUTED_VALUE"""),"121703794 - APPROVED")</f>
        <v>121703794 - APPROVED</v>
      </c>
      <c r="K515" s="3" t="str">
        <f>IFERROR(__xludf.DUMMYFUNCTION("""COMPUTED_VALUE"""),"GL2602020")</f>
        <v>GL2602020</v>
      </c>
    </row>
    <row r="516">
      <c r="A516" s="3" t="str">
        <f>IFERROR(__xludf.DUMMYFUNCTION("""COMPUTED_VALUE"""),"MFHRO0282")</f>
        <v>MFHRO0282</v>
      </c>
      <c r="B516" s="4">
        <f>IFERROR(__xludf.DUMMYFUNCTION("""COMPUTED_VALUE"""),46047.83255263889)</f>
        <v>46047.83255</v>
      </c>
      <c r="C516" s="3">
        <f>IFERROR(__xludf.DUMMYFUNCTION("""COMPUTED_VALUE"""),46047.88370524306)</f>
        <v>46047.88371</v>
      </c>
      <c r="D516" s="3" t="str">
        <f>IFERROR(__xludf.DUMMYFUNCTION("""COMPUTED_VALUE"""),"Isolator")</f>
        <v>Isolator</v>
      </c>
      <c r="E516" s="3" t="str">
        <f>IFERROR(__xludf.DUMMYFUNCTION("""COMPUTED_VALUE"""),"-")</f>
        <v>-</v>
      </c>
      <c r="F516" s="3" t="str">
        <f>IFERROR(__xludf.DUMMYFUNCTION("""COMPUTED_VALUE"""),"General - Sleeves M200/90 Y 550 E4 Bt5/5 BJ, Material : CSM; Shape : 200/90; Thickness (mm) : 4/10; Leng; Piercan; 1643; 1 Pc")</f>
        <v>General - Sleeves M200/90 Y 550 E4 Bt5/5 BJ, Material : CSM; Shape : 200/90; Thickness (mm) : 4/10; Leng; Piercan; 1643; 1 Pc</v>
      </c>
      <c r="G516" s="3">
        <f>IFERROR(__xludf.DUMMYFUNCTION("""COMPUTED_VALUE"""),20.0)</f>
        <v>20</v>
      </c>
      <c r="H516" s="3" t="str">
        <f>IFERROR(__xludf.DUMMYFUNCTION("""COMPUTED_VALUE"""),"Unit")</f>
        <v>Unit</v>
      </c>
      <c r="I516" s="3" t="str">
        <f>IFERROR(__xludf.DUMMYFUNCTION("""COMPUTED_VALUE"""),"Deliver")</f>
        <v>Deliver</v>
      </c>
      <c r="J516" s="3" t="str">
        <f>IFERROR(__xludf.DUMMYFUNCTION("""COMPUTED_VALUE"""),"121703873 - APPROVED")</f>
        <v>121703873 - APPROVED</v>
      </c>
      <c r="K516" s="3" t="str">
        <f>IFERROR(__xludf.DUMMYFUNCTION("""COMPUTED_VALUE"""),"GL2601346")</f>
        <v>GL2601346</v>
      </c>
    </row>
    <row r="517">
      <c r="A517" s="3" t="str">
        <f>IFERROR(__xludf.DUMMYFUNCTION("""COMPUTED_VALUE"""),"MFHRO0283")</f>
        <v>MFHRO0283</v>
      </c>
      <c r="B517" s="4">
        <f>IFERROR(__xludf.DUMMYFUNCTION("""COMPUTED_VALUE"""),46047.83255263889)</f>
        <v>46047.83255</v>
      </c>
      <c r="C517" s="3">
        <f>IFERROR(__xludf.DUMMYFUNCTION("""COMPUTED_VALUE"""),46047.883841874995)</f>
        <v>46047.88384</v>
      </c>
      <c r="D517" s="3" t="str">
        <f>IFERROR(__xludf.DUMMYFUNCTION("""COMPUTED_VALUE"""),"Sparepart")</f>
        <v>Sparepart</v>
      </c>
      <c r="E517" s="3" t="str">
        <f>IFERROR(__xludf.DUMMYFUNCTION("""COMPUTED_VALUE"""),"-")</f>
        <v>-</v>
      </c>
      <c r="F517" s="3" t="str">
        <f>IFERROR(__xludf.DUMMYFUNCTION("""COMPUTED_VALUE"""),"General - Elbow Ornamen SS201 dia. 4 inch; No Brand; -; 1 pc")</f>
        <v>General - Elbow Ornamen SS201 dia. 4 inch; No Brand; -; 1 pc</v>
      </c>
      <c r="G517" s="3">
        <f>IFERROR(__xludf.DUMMYFUNCTION("""COMPUTED_VALUE"""),2.0)</f>
        <v>2</v>
      </c>
      <c r="H517" s="3" t="str">
        <f>IFERROR(__xludf.DUMMYFUNCTION("""COMPUTED_VALUE"""),"Pieces")</f>
        <v>Pieces</v>
      </c>
      <c r="I517" s="3" t="str">
        <f>IFERROR(__xludf.DUMMYFUNCTION("""COMPUTED_VALUE"""),"Deliver")</f>
        <v>Deliver</v>
      </c>
      <c r="J517" s="3" t="str">
        <f>IFERROR(__xludf.DUMMYFUNCTION("""COMPUTED_VALUE"""),"121703618 - APPROVED")</f>
        <v>121703618 - APPROVED</v>
      </c>
      <c r="K517" s="3" t="str">
        <f>IFERROR(__xludf.DUMMYFUNCTION("""COMPUTED_VALUE"""),"GL2512049")</f>
        <v>GL2512049</v>
      </c>
    </row>
    <row r="518">
      <c r="A518" s="3" t="str">
        <f>IFERROR(__xludf.DUMMYFUNCTION("""COMPUTED_VALUE"""),"MFHRO0284")</f>
        <v>MFHRO0284</v>
      </c>
      <c r="B518" s="4">
        <f>IFERROR(__xludf.DUMMYFUNCTION("""COMPUTED_VALUE"""),46047.83255263889)</f>
        <v>46047.83255</v>
      </c>
      <c r="C518" s="3">
        <f>IFERROR(__xludf.DUMMYFUNCTION("""COMPUTED_VALUE"""),46047.88392417824)</f>
        <v>46047.88392</v>
      </c>
      <c r="D518" s="3" t="str">
        <f>IFERROR(__xludf.DUMMYFUNCTION("""COMPUTED_VALUE"""),"Sparepart")</f>
        <v>Sparepart</v>
      </c>
      <c r="E518" s="3" t="str">
        <f>IFERROR(__xludf.DUMMYFUNCTION("""COMPUTED_VALUE"""),"-")</f>
        <v>-</v>
      </c>
      <c r="F518" s="3" t="str">
        <f>IFERROR(__xludf.DUMMYFUNCTION("""COMPUTED_VALUE"""),"General - Round Pipe Hanger with Blue Rubber Seat and Base SS304 dia. 4 inch; No Brand; -; 1 pc")</f>
        <v>General - Round Pipe Hanger with Blue Rubber Seat and Base SS304 dia. 4 inch; No Brand; -; 1 pc</v>
      </c>
      <c r="G518" s="3">
        <f>IFERROR(__xludf.DUMMYFUNCTION("""COMPUTED_VALUE"""),3.0)</f>
        <v>3</v>
      </c>
      <c r="H518" s="3" t="str">
        <f>IFERROR(__xludf.DUMMYFUNCTION("""COMPUTED_VALUE"""),"Pieces")</f>
        <v>Pieces</v>
      </c>
      <c r="I518" s="3" t="str">
        <f>IFERROR(__xludf.DUMMYFUNCTION("""COMPUTED_VALUE"""),"Deliver")</f>
        <v>Deliver</v>
      </c>
      <c r="J518" s="3" t="str">
        <f>IFERROR(__xludf.DUMMYFUNCTION("""COMPUTED_VALUE"""),"121703618 - APPROVED")</f>
        <v>121703618 - APPROVED</v>
      </c>
      <c r="K518" s="3" t="str">
        <f>IFERROR(__xludf.DUMMYFUNCTION("""COMPUTED_VALUE"""),"GL2512049")</f>
        <v>GL2512049</v>
      </c>
    </row>
    <row r="519">
      <c r="A519" s="3" t="str">
        <f>IFERROR(__xludf.DUMMYFUNCTION("""COMPUTED_VALUE"""),"MFHRO0285")</f>
        <v>MFHRO0285</v>
      </c>
      <c r="B519" s="4">
        <f>IFERROR(__xludf.DUMMYFUNCTION("""COMPUTED_VALUE"""),46047.83255263889)</f>
        <v>46047.83255</v>
      </c>
      <c r="C519" s="3">
        <f>IFERROR(__xludf.DUMMYFUNCTION("""COMPUTED_VALUE"""),46047.88400871528)</f>
        <v>46047.88401</v>
      </c>
      <c r="D519" s="3" t="str">
        <f>IFERROR(__xludf.DUMMYFUNCTION("""COMPUTED_VALUE"""),"Sparepart")</f>
        <v>Sparepart</v>
      </c>
      <c r="E519" s="3" t="str">
        <f>IFERROR(__xludf.DUMMYFUNCTION("""COMPUTED_VALUE"""),"-")</f>
        <v>-</v>
      </c>
      <c r="F519" s="3" t="str">
        <f>IFERROR(__xludf.DUMMYFUNCTION("""COMPUTED_VALUE"""),"FESTO - Push In Fitting QS-1/2-10 part number 190646")</f>
        <v>FESTO - Push In Fitting QS-1/2-10 part number 190646</v>
      </c>
      <c r="G519" s="3">
        <f>IFERROR(__xludf.DUMMYFUNCTION("""COMPUTED_VALUE"""),10.0)</f>
        <v>10</v>
      </c>
      <c r="H519" s="3" t="str">
        <f>IFERROR(__xludf.DUMMYFUNCTION("""COMPUTED_VALUE"""),"Pieces")</f>
        <v>Pieces</v>
      </c>
      <c r="I519" s="3" t="str">
        <f>IFERROR(__xludf.DUMMYFUNCTION("""COMPUTED_VALUE"""),"Deliver")</f>
        <v>Deliver</v>
      </c>
      <c r="J519" s="3" t="str">
        <f>IFERROR(__xludf.DUMMYFUNCTION("""COMPUTED_VALUE"""),"121703621 - APPROVED")</f>
        <v>121703621 - APPROVED</v>
      </c>
      <c r="K519" s="3" t="str">
        <f>IFERROR(__xludf.DUMMYFUNCTION("""COMPUTED_VALUE"""),"GL2607381")</f>
        <v>GL2607381</v>
      </c>
    </row>
    <row r="520">
      <c r="A520" s="3" t="str">
        <f>IFERROR(__xludf.DUMMYFUNCTION("""COMPUTED_VALUE"""),"MFHRO0286")</f>
        <v>MFHRO0286</v>
      </c>
      <c r="B520" s="4">
        <f>IFERROR(__xludf.DUMMYFUNCTION("""COMPUTED_VALUE"""),46047.83255263889)</f>
        <v>46047.83255</v>
      </c>
      <c r="C520" s="3">
        <f>IFERROR(__xludf.DUMMYFUNCTION("""COMPUTED_VALUE"""),46047.884374166664)</f>
        <v>46047.88437</v>
      </c>
      <c r="D520" s="3" t="str">
        <f>IFERROR(__xludf.DUMMYFUNCTION("""COMPUTED_VALUE"""),"Sparepart")</f>
        <v>Sparepart</v>
      </c>
      <c r="E520" s="3" t="str">
        <f>IFERROR(__xludf.DUMMYFUNCTION("""COMPUTED_VALUE"""),"-")</f>
        <v>-</v>
      </c>
      <c r="F520" s="3" t="str">
        <f>IFERROR(__xludf.DUMMYFUNCTION("""COMPUTED_VALUE"""),"Pneumatic Fitting - QS 1/4-10 / PN : 153007 / Festo")</f>
        <v>Pneumatic Fitting - QS 1/4-10 / PN : 153007 / Festo</v>
      </c>
      <c r="G520" s="3">
        <f>IFERROR(__xludf.DUMMYFUNCTION("""COMPUTED_VALUE"""),10.0)</f>
        <v>10</v>
      </c>
      <c r="H520" s="3" t="str">
        <f>IFERROR(__xludf.DUMMYFUNCTION("""COMPUTED_VALUE"""),"Pieces")</f>
        <v>Pieces</v>
      </c>
      <c r="I520" s="3" t="str">
        <f>IFERROR(__xludf.DUMMYFUNCTION("""COMPUTED_VALUE"""),"Deliver")</f>
        <v>Deliver</v>
      </c>
      <c r="J520" s="3" t="str">
        <f>IFERROR(__xludf.DUMMYFUNCTION("""COMPUTED_VALUE"""),"121703621 - APPROVED")</f>
        <v>121703621 - APPROVED</v>
      </c>
      <c r="K520" s="3" t="str">
        <f>IFERROR(__xludf.DUMMYFUNCTION("""COMPUTED_VALUE"""),"GL2607381")</f>
        <v>GL2607381</v>
      </c>
    </row>
    <row r="521">
      <c r="A521" s="3" t="str">
        <f>IFERROR(__xludf.DUMMYFUNCTION("""COMPUTED_VALUE"""),"MFHRO0287")</f>
        <v>MFHRO0287</v>
      </c>
      <c r="B521" s="4">
        <f>IFERROR(__xludf.DUMMYFUNCTION("""COMPUTED_VALUE"""),46047.83255263889)</f>
        <v>46047.83255</v>
      </c>
      <c r="C521" s="3">
        <f>IFERROR(__xludf.DUMMYFUNCTION("""COMPUTED_VALUE"""),46047.884557627316)</f>
        <v>46047.88456</v>
      </c>
      <c r="D521" s="3" t="str">
        <f>IFERROR(__xludf.DUMMYFUNCTION("""COMPUTED_VALUE"""),"Sparepart")</f>
        <v>Sparepart</v>
      </c>
      <c r="E521" s="3" t="str">
        <f>IFERROR(__xludf.DUMMYFUNCTION("""COMPUTED_VALUE"""),"-")</f>
        <v>-</v>
      </c>
      <c r="F521" s="3" t="str">
        <f>IFERROR(__xludf.DUMMYFUNCTION("""COMPUTED_VALUE"""),"General - Push-in Fitting, QS-1/4-6; Festo; 153003; 1 pcs")</f>
        <v>General - Push-in Fitting, QS-1/4-6; Festo; 153003; 1 pcs</v>
      </c>
      <c r="G521" s="3">
        <f>IFERROR(__xludf.DUMMYFUNCTION("""COMPUTED_VALUE"""),10.0)</f>
        <v>10</v>
      </c>
      <c r="H521" s="3" t="str">
        <f>IFERROR(__xludf.DUMMYFUNCTION("""COMPUTED_VALUE"""),"Pieces")</f>
        <v>Pieces</v>
      </c>
      <c r="I521" s="3" t="str">
        <f>IFERROR(__xludf.DUMMYFUNCTION("""COMPUTED_VALUE"""),"Deliver")</f>
        <v>Deliver</v>
      </c>
      <c r="J521" s="3" t="str">
        <f>IFERROR(__xludf.DUMMYFUNCTION("""COMPUTED_VALUE"""),"121703621 - APPROVED")</f>
        <v>121703621 - APPROVED</v>
      </c>
      <c r="K521" s="3" t="str">
        <f>IFERROR(__xludf.DUMMYFUNCTION("""COMPUTED_VALUE"""),"GL2607381")</f>
        <v>GL2607381</v>
      </c>
    </row>
    <row r="522">
      <c r="A522" s="3" t="str">
        <f>IFERROR(__xludf.DUMMYFUNCTION("""COMPUTED_VALUE"""),"MFHRO0288")</f>
        <v>MFHRO0288</v>
      </c>
      <c r="B522" s="4">
        <f>IFERROR(__xludf.DUMMYFUNCTION("""COMPUTED_VALUE"""),46047.83255263889)</f>
        <v>46047.83255</v>
      </c>
      <c r="C522" s="3">
        <f>IFERROR(__xludf.DUMMYFUNCTION("""COMPUTED_VALUE"""),46047.88485293982)</f>
        <v>46047.88485</v>
      </c>
      <c r="D522" s="3" t="str">
        <f>IFERROR(__xludf.DUMMYFUNCTION("""COMPUTED_VALUE"""),"Sparepart")</f>
        <v>Sparepart</v>
      </c>
      <c r="E522" s="3" t="str">
        <f>IFERROR(__xludf.DUMMYFUNCTION("""COMPUTED_VALUE"""),"-")</f>
        <v>-</v>
      </c>
      <c r="F522" s="3" t="str">
        <f>IFERROR(__xludf.DUMMYFUNCTION("""COMPUTED_VALUE"""),"General - Push-in Connector, QS-8-6; Festo; 153038; 1 pcs")</f>
        <v>General - Push-in Connector, QS-8-6; Festo; 153038; 1 pcs</v>
      </c>
      <c r="G522" s="3">
        <f>IFERROR(__xludf.DUMMYFUNCTION("""COMPUTED_VALUE"""),10.0)</f>
        <v>10</v>
      </c>
      <c r="H522" s="3" t="str">
        <f>IFERROR(__xludf.DUMMYFUNCTION("""COMPUTED_VALUE"""),"Pieces")</f>
        <v>Pieces</v>
      </c>
      <c r="I522" s="3" t="str">
        <f>IFERROR(__xludf.DUMMYFUNCTION("""COMPUTED_VALUE"""),"Deliver")</f>
        <v>Deliver</v>
      </c>
      <c r="J522" s="3" t="str">
        <f>IFERROR(__xludf.DUMMYFUNCTION("""COMPUTED_VALUE"""),"121703621 - APPROVED")</f>
        <v>121703621 - APPROVED</v>
      </c>
      <c r="K522" s="3" t="str">
        <f>IFERROR(__xludf.DUMMYFUNCTION("""COMPUTED_VALUE"""),"GL2607381")</f>
        <v>GL2607381</v>
      </c>
    </row>
    <row r="523">
      <c r="A523" s="3" t="str">
        <f>IFERROR(__xludf.DUMMYFUNCTION("""COMPUTED_VALUE"""),"MFHRO0289")</f>
        <v>MFHRO0289</v>
      </c>
      <c r="B523" s="4">
        <f>IFERROR(__xludf.DUMMYFUNCTION("""COMPUTED_VALUE"""),46047.83255263889)</f>
        <v>46047.83255</v>
      </c>
      <c r="C523" s="3">
        <f>IFERROR(__xludf.DUMMYFUNCTION("""COMPUTED_VALUE"""),46047.88494752315)</f>
        <v>46047.88495</v>
      </c>
      <c r="D523" s="3" t="str">
        <f>IFERROR(__xludf.DUMMYFUNCTION("""COMPUTED_VALUE"""),"Sparepart")</f>
        <v>Sparepart</v>
      </c>
      <c r="E523" s="3" t="str">
        <f>IFERROR(__xludf.DUMMYFUNCTION("""COMPUTED_VALUE"""),"-")</f>
        <v>-</v>
      </c>
      <c r="F523" s="3" t="str">
        <f>IFERROR(__xludf.DUMMYFUNCTION("""COMPUTED_VALUE"""),"General - Seal Ferrule Teflon 1inch; No Brand; -; 1 pcs")</f>
        <v>General - Seal Ferrule Teflon 1inch; No Brand; -; 1 pcs</v>
      </c>
      <c r="G523" s="3">
        <f>IFERROR(__xludf.DUMMYFUNCTION("""COMPUTED_VALUE"""),20.0)</f>
        <v>20</v>
      </c>
      <c r="H523" s="3" t="str">
        <f>IFERROR(__xludf.DUMMYFUNCTION("""COMPUTED_VALUE"""),"Pieces")</f>
        <v>Pieces</v>
      </c>
      <c r="I523" s="3" t="str">
        <f>IFERROR(__xludf.DUMMYFUNCTION("""COMPUTED_VALUE"""),"Deliver")</f>
        <v>Deliver</v>
      </c>
      <c r="J523" s="3" t="str">
        <f>IFERROR(__xludf.DUMMYFUNCTION("""COMPUTED_VALUE"""),"-")</f>
        <v>-</v>
      </c>
      <c r="K523" s="3" t="str">
        <f>IFERROR(__xludf.DUMMYFUNCTION("""COMPUTED_VALUE"""),"-")</f>
        <v>-</v>
      </c>
    </row>
    <row r="524">
      <c r="A524" s="3" t="str">
        <f>IFERROR(__xludf.DUMMYFUNCTION("""COMPUTED_VALUE"""),"MFHRO0290")</f>
        <v>MFHRO0290</v>
      </c>
      <c r="B524" s="4">
        <f>IFERROR(__xludf.DUMMYFUNCTION("""COMPUTED_VALUE"""),46047.83255263889)</f>
        <v>46047.83255</v>
      </c>
      <c r="C524" s="3">
        <f>IFERROR(__xludf.DUMMYFUNCTION("""COMPUTED_VALUE"""),46047.8850933912)</f>
        <v>46047.88509</v>
      </c>
      <c r="D524" s="3" t="str">
        <f>IFERROR(__xludf.DUMMYFUNCTION("""COMPUTED_VALUE"""),"Sparepart")</f>
        <v>Sparepart</v>
      </c>
      <c r="E524" s="3" t="str">
        <f>IFERROR(__xludf.DUMMYFUNCTION("""COMPUTED_VALUE"""),"-")</f>
        <v>-</v>
      </c>
      <c r="F524" s="3" t="str">
        <f>IFERROR(__xludf.DUMMYFUNCTION("""COMPUTED_VALUE"""),"General - Seal Ferrule Teflon 3/4inch; No Brand; -; 1 pcs")</f>
        <v>General - Seal Ferrule Teflon 3/4inch; No Brand; -; 1 pcs</v>
      </c>
      <c r="G524" s="3">
        <f>IFERROR(__xludf.DUMMYFUNCTION("""COMPUTED_VALUE"""),20.0)</f>
        <v>20</v>
      </c>
      <c r="H524" s="3" t="str">
        <f>IFERROR(__xludf.DUMMYFUNCTION("""COMPUTED_VALUE"""),"Pieces")</f>
        <v>Pieces</v>
      </c>
      <c r="I524" s="3" t="str">
        <f>IFERROR(__xludf.DUMMYFUNCTION("""COMPUTED_VALUE"""),"Deliver")</f>
        <v>Deliver</v>
      </c>
      <c r="J524" s="3" t="str">
        <f>IFERROR(__xludf.DUMMYFUNCTION("""COMPUTED_VALUE"""),"-")</f>
        <v>-</v>
      </c>
      <c r="K524" s="3" t="str">
        <f>IFERROR(__xludf.DUMMYFUNCTION("""COMPUTED_VALUE"""),"-")</f>
        <v>-</v>
      </c>
    </row>
    <row r="525">
      <c r="A525" s="3" t="str">
        <f>IFERROR(__xludf.DUMMYFUNCTION("""COMPUTED_VALUE"""),"MFHRO0291")</f>
        <v>MFHRO0291</v>
      </c>
      <c r="B525" s="4">
        <f>IFERROR(__xludf.DUMMYFUNCTION("""COMPUTED_VALUE"""),46047.83255263889)</f>
        <v>46047.83255</v>
      </c>
      <c r="C525" s="3">
        <f>IFERROR(__xludf.DUMMYFUNCTION("""COMPUTED_VALUE"""),46047.88520282407)</f>
        <v>46047.8852</v>
      </c>
      <c r="D525" s="3" t="str">
        <f>IFERROR(__xludf.DUMMYFUNCTION("""COMPUTED_VALUE"""),"WWTP")</f>
        <v>WWTP</v>
      </c>
      <c r="E525" s="3" t="str">
        <f>IFERROR(__xludf.DUMMYFUNCTION("""COMPUTED_VALUE"""),"-")</f>
        <v>-</v>
      </c>
      <c r="F525" s="3" t="str">
        <f>IFERROR(__xludf.DUMMYFUNCTION("""COMPUTED_VALUE"""),"Chemical - Sodium Hiphoclorite; No Brand; -; 1 Liter")</f>
        <v>Chemical - Sodium Hiphoclorite; No Brand; -; 1 Liter</v>
      </c>
      <c r="G525" s="3">
        <f>IFERROR(__xludf.DUMMYFUNCTION("""COMPUTED_VALUE"""),840.0)</f>
        <v>840</v>
      </c>
      <c r="H525" s="3" t="str">
        <f>IFERROR(__xludf.DUMMYFUNCTION("""COMPUTED_VALUE"""),"Liter")</f>
        <v>Liter</v>
      </c>
      <c r="I525" s="3" t="str">
        <f>IFERROR(__xludf.DUMMYFUNCTION("""COMPUTED_VALUE"""),"Deliver")</f>
        <v>Deliver</v>
      </c>
      <c r="J525" s="3" t="str">
        <f>IFERROR(__xludf.DUMMYFUNCTION("""COMPUTED_VALUE"""),"-")</f>
        <v>-</v>
      </c>
      <c r="K525" s="3" t="str">
        <f>IFERROR(__xludf.DUMMYFUNCTION("""COMPUTED_VALUE"""),"-")</f>
        <v>-</v>
      </c>
    </row>
    <row r="526">
      <c r="A526" s="3" t="str">
        <f>IFERROR(__xludf.DUMMYFUNCTION("""COMPUTED_VALUE"""),"MFHRO0292")</f>
        <v>MFHRO0292</v>
      </c>
      <c r="B526" s="4">
        <f>IFERROR(__xludf.DUMMYFUNCTION("""COMPUTED_VALUE"""),46047.83255263889)</f>
        <v>46047.83255</v>
      </c>
      <c r="C526" s="3">
        <f>IFERROR(__xludf.DUMMYFUNCTION("""COMPUTED_VALUE"""),46047.8852915162)</f>
        <v>46047.88529</v>
      </c>
      <c r="D526" s="3" t="str">
        <f>IFERROR(__xludf.DUMMYFUNCTION("""COMPUTED_VALUE"""),"WWTP")</f>
        <v>WWTP</v>
      </c>
      <c r="E526" s="3" t="str">
        <f>IFERROR(__xludf.DUMMYFUNCTION("""COMPUTED_VALUE"""),"-")</f>
        <v>-</v>
      </c>
      <c r="F526" s="3" t="str">
        <f>IFERROR(__xludf.DUMMYFUNCTION("""COMPUTED_VALUE"""),"Chemical - Sodium Hiphoclorite; No Brand; -; 1 Liter")</f>
        <v>Chemical - Sodium Hiphoclorite; No Brand; -; 1 Liter</v>
      </c>
      <c r="G526" s="3">
        <f>IFERROR(__xludf.DUMMYFUNCTION("""COMPUTED_VALUE"""),840.0)</f>
        <v>840</v>
      </c>
      <c r="H526" s="3" t="str">
        <f>IFERROR(__xludf.DUMMYFUNCTION("""COMPUTED_VALUE"""),"Liter")</f>
        <v>Liter</v>
      </c>
      <c r="I526" s="3" t="str">
        <f>IFERROR(__xludf.DUMMYFUNCTION("""COMPUTED_VALUE"""),"Deliver")</f>
        <v>Deliver</v>
      </c>
      <c r="J526" s="3" t="str">
        <f>IFERROR(__xludf.DUMMYFUNCTION("""COMPUTED_VALUE"""),"121703624 - APPROVED")</f>
        <v>121703624 - APPROVED</v>
      </c>
      <c r="K526" s="3" t="str">
        <f>IFERROR(__xludf.DUMMYFUNCTION("""COMPUTED_VALUE"""),"GL2601009")</f>
        <v>GL2601009</v>
      </c>
    </row>
    <row r="527">
      <c r="A527" s="3" t="str">
        <f>IFERROR(__xludf.DUMMYFUNCTION("""COMPUTED_VALUE"""),"MFHRO0293")</f>
        <v>MFHRO0293</v>
      </c>
      <c r="B527" s="4">
        <f>IFERROR(__xludf.DUMMYFUNCTION("""COMPUTED_VALUE"""),46047.83255263889)</f>
        <v>46047.83255</v>
      </c>
      <c r="C527" s="3">
        <f>IFERROR(__xludf.DUMMYFUNCTION("""COMPUTED_VALUE"""),46047.885562696756)</f>
        <v>46047.88556</v>
      </c>
      <c r="D527" s="3" t="str">
        <f>IFERROR(__xludf.DUMMYFUNCTION("""COMPUTED_VALUE"""),"WWTP")</f>
        <v>WWTP</v>
      </c>
      <c r="E527" s="3" t="str">
        <f>IFERROR(__xludf.DUMMYFUNCTION("""COMPUTED_VALUE"""),"-")</f>
        <v>-</v>
      </c>
      <c r="F527" s="3" t="str">
        <f>IFERROR(__xludf.DUMMYFUNCTION("""COMPUTED_VALUE"""),"Sodium metabisulfit")</f>
        <v>Sodium metabisulfit</v>
      </c>
      <c r="G527" s="3">
        <f>IFERROR(__xludf.DUMMYFUNCTION("""COMPUTED_VALUE"""),3.0)</f>
        <v>3</v>
      </c>
      <c r="H527" s="3" t="str">
        <f>IFERROR(__xludf.DUMMYFUNCTION("""COMPUTED_VALUE"""),"Pieces")</f>
        <v>Pieces</v>
      </c>
      <c r="I527" s="3" t="str">
        <f>IFERROR(__xludf.DUMMYFUNCTION("""COMPUTED_VALUE"""),"Deliver")</f>
        <v>Deliver</v>
      </c>
      <c r="J527" s="3" t="str">
        <f>IFERROR(__xludf.DUMMYFUNCTION("""COMPUTED_VALUE"""),"121703624 - APPROVED")</f>
        <v>121703624 - APPROVED</v>
      </c>
      <c r="K527" s="3" t="str">
        <f>IFERROR(__xludf.DUMMYFUNCTION("""COMPUTED_VALUE"""),"GL2601012")</f>
        <v>GL2601012</v>
      </c>
    </row>
    <row r="528">
      <c r="A528" s="3" t="str">
        <f>IFERROR(__xludf.DUMMYFUNCTION("""COMPUTED_VALUE"""),"MFHRO0294")</f>
        <v>MFHRO0294</v>
      </c>
      <c r="B528" s="4">
        <f>IFERROR(__xludf.DUMMYFUNCTION("""COMPUTED_VALUE"""),46047.83255263889)</f>
        <v>46047.83255</v>
      </c>
      <c r="C528" s="3">
        <f>IFERROR(__xludf.DUMMYFUNCTION("""COMPUTED_VALUE"""),46047.88567846065)</f>
        <v>46047.88568</v>
      </c>
      <c r="D528" s="3" t="str">
        <f>IFERROR(__xludf.DUMMYFUNCTION("""COMPUTED_VALUE"""),"WWTP")</f>
        <v>WWTP</v>
      </c>
      <c r="E528" s="3" t="str">
        <f>IFERROR(__xludf.DUMMYFUNCTION("""COMPUTED_VALUE"""),"-")</f>
        <v>-</v>
      </c>
      <c r="F528" s="3" t="str">
        <f>IFERROR(__xludf.DUMMYFUNCTION("""COMPUTED_VALUE"""),"Sodium metabisulfit")</f>
        <v>Sodium metabisulfit</v>
      </c>
      <c r="G528" s="3">
        <f>IFERROR(__xludf.DUMMYFUNCTION("""COMPUTED_VALUE"""),3.0)</f>
        <v>3</v>
      </c>
      <c r="H528" s="3" t="str">
        <f>IFERROR(__xludf.DUMMYFUNCTION("""COMPUTED_VALUE"""),"Pieces")</f>
        <v>Pieces</v>
      </c>
      <c r="I528" s="3" t="str">
        <f>IFERROR(__xludf.DUMMYFUNCTION("""COMPUTED_VALUE"""),"PO Open")</f>
        <v>PO Open</v>
      </c>
      <c r="J528" s="3" t="str">
        <f>IFERROR(__xludf.DUMMYFUNCTION("""COMPUTED_VALUE"""),"121703624 - APPROVED")</f>
        <v>121703624 - APPROVED</v>
      </c>
      <c r="K528" s="3" t="str">
        <f>IFERROR(__xludf.DUMMYFUNCTION("""COMPUTED_VALUE"""),"GL2601012")</f>
        <v>GL2601012</v>
      </c>
    </row>
    <row r="529">
      <c r="A529" s="3" t="str">
        <f>IFERROR(__xludf.DUMMYFUNCTION("""COMPUTED_VALUE"""),"MFHRO0295")</f>
        <v>MFHRO0295</v>
      </c>
      <c r="B529" s="4">
        <f>IFERROR(__xludf.DUMMYFUNCTION("""COMPUTED_VALUE"""),46047.83255263889)</f>
        <v>46047.83255</v>
      </c>
      <c r="C529" s="3">
        <f>IFERROR(__xludf.DUMMYFUNCTION("""COMPUTED_VALUE"""),46047.88580788195)</f>
        <v>46047.88581</v>
      </c>
      <c r="D529" s="3" t="str">
        <f>IFERROR(__xludf.DUMMYFUNCTION("""COMPUTED_VALUE"""),"Washing")</f>
        <v>Washing</v>
      </c>
      <c r="E529" s="3" t="str">
        <f>IFERROR(__xludf.DUMMYFUNCTION("""COMPUTED_VALUE"""),"-")</f>
        <v>-</v>
      </c>
      <c r="F529" s="3" t="str">
        <f>IFERROR(__xludf.DUMMYFUNCTION("""COMPUTED_VALUE"""),"General - Oring Silicone Merah 23x18x2.5 mm; -; -; 1 Pc")</f>
        <v>General - Oring Silicone Merah 23x18x2.5 mm; -; -; 1 Pc</v>
      </c>
      <c r="G529" s="3">
        <f>IFERROR(__xludf.DUMMYFUNCTION("""COMPUTED_VALUE"""),270.0)</f>
        <v>270</v>
      </c>
      <c r="H529" s="3" t="str">
        <f>IFERROR(__xludf.DUMMYFUNCTION("""COMPUTED_VALUE"""),"Pieces")</f>
        <v>Pieces</v>
      </c>
      <c r="I529" s="3" t="str">
        <f>IFERROR(__xludf.DUMMYFUNCTION("""COMPUTED_VALUE"""),"Deliver")</f>
        <v>Deliver</v>
      </c>
      <c r="J529" s="3" t="str">
        <f>IFERROR(__xludf.DUMMYFUNCTION("""COMPUTED_VALUE"""),"-")</f>
        <v>-</v>
      </c>
      <c r="K529" s="3" t="str">
        <f>IFERROR(__xludf.DUMMYFUNCTION("""COMPUTED_VALUE"""),"-")</f>
        <v>-</v>
      </c>
    </row>
    <row r="530">
      <c r="A530" s="3" t="str">
        <f>IFERROR(__xludf.DUMMYFUNCTION("""COMPUTED_VALUE"""),"MFHRO0296")</f>
        <v>MFHRO0296</v>
      </c>
      <c r="B530" s="4">
        <f>IFERROR(__xludf.DUMMYFUNCTION("""COMPUTED_VALUE"""),46047.83255263889)</f>
        <v>46047.83255</v>
      </c>
      <c r="C530" s="3">
        <f>IFERROR(__xludf.DUMMYFUNCTION("""COMPUTED_VALUE"""),46047.8859977199)</f>
        <v>46047.886</v>
      </c>
      <c r="D530" s="3" t="str">
        <f>IFERROR(__xludf.DUMMYFUNCTION("""COMPUTED_VALUE"""),"Washing")</f>
        <v>Washing</v>
      </c>
      <c r="E530" s="3" t="str">
        <f>IFERROR(__xludf.DUMMYFUNCTION("""COMPUTED_VALUE"""),"-")</f>
        <v>-</v>
      </c>
      <c r="F530" s="3" t="str">
        <f>IFERROR(__xludf.DUMMYFUNCTION("""COMPUTED_VALUE"""),"General - Oring Silicone Merah 23x18x2.5 mm; -; -; 1 Pc")</f>
        <v>General - Oring Silicone Merah 23x18x2.5 mm; -; -; 1 Pc</v>
      </c>
      <c r="G530" s="3">
        <f>IFERROR(__xludf.DUMMYFUNCTION("""COMPUTED_VALUE"""),270.0)</f>
        <v>270</v>
      </c>
      <c r="H530" s="3" t="str">
        <f>IFERROR(__xludf.DUMMYFUNCTION("""COMPUTED_VALUE"""),"Pieces")</f>
        <v>Pieces</v>
      </c>
      <c r="I530" s="3" t="str">
        <f>IFERROR(__xludf.DUMMYFUNCTION("""COMPUTED_VALUE"""),"Deliver")</f>
        <v>Deliver</v>
      </c>
      <c r="J530" s="3" t="str">
        <f>IFERROR(__xludf.DUMMYFUNCTION("""COMPUTED_VALUE"""),"121703628 - APPROVED")</f>
        <v>121703628 - APPROVED</v>
      </c>
      <c r="K530" s="3" t="str">
        <f>IFERROR(__xludf.DUMMYFUNCTION("""COMPUTED_VALUE"""),"GL2601347")</f>
        <v>GL2601347</v>
      </c>
    </row>
    <row r="531">
      <c r="A531" s="3" t="str">
        <f>IFERROR(__xludf.DUMMYFUNCTION("""COMPUTED_VALUE"""),"MFHRO0297")</f>
        <v>MFHRO0297</v>
      </c>
      <c r="B531" s="4">
        <f>IFERROR(__xludf.DUMMYFUNCTION("""COMPUTED_VALUE"""),46047.83255263889)</f>
        <v>46047.83255</v>
      </c>
      <c r="C531" s="3">
        <f>IFERROR(__xludf.DUMMYFUNCTION("""COMPUTED_VALUE"""),46047.88606954861)</f>
        <v>46047.88607</v>
      </c>
      <c r="D531" s="3" t="str">
        <f>IFERROR(__xludf.DUMMYFUNCTION("""COMPUTED_VALUE"""),"Filling")</f>
        <v>Filling</v>
      </c>
      <c r="E531" s="3" t="str">
        <f>IFERROR(__xludf.DUMMYFUNCTION("""COMPUTED_VALUE"""),"-")</f>
        <v>-</v>
      </c>
      <c r="F531" s="3" t="str">
        <f>IFERROR(__xludf.DUMMYFUNCTION("""COMPUTED_VALUE"""),"General - Pulsed DC Ionising Bar Hyperion 929IPS Length 325mm; Steriline; 1096041; 1 Pc")</f>
        <v>General - Pulsed DC Ionising Bar Hyperion 929IPS Length 325mm; Steriline; 1096041; 1 Pc</v>
      </c>
      <c r="G531" s="3">
        <f>IFERROR(__xludf.DUMMYFUNCTION("""COMPUTED_VALUE"""),1.0)</f>
        <v>1</v>
      </c>
      <c r="H531" s="3" t="str">
        <f>IFERROR(__xludf.DUMMYFUNCTION("""COMPUTED_VALUE"""),"Pieces")</f>
        <v>Pieces</v>
      </c>
      <c r="I531" s="3" t="str">
        <f>IFERROR(__xludf.DUMMYFUNCTION("""COMPUTED_VALUE"""),"Deliver")</f>
        <v>Deliver</v>
      </c>
      <c r="J531" s="3" t="str">
        <f>IFERROR(__xludf.DUMMYFUNCTION("""COMPUTED_VALUE"""),"121703633 - APPROVED")</f>
        <v>121703633 - APPROVED</v>
      </c>
      <c r="K531" s="3" t="str">
        <f>IFERROR(__xludf.DUMMYFUNCTION("""COMPUTED_VALUE"""),"GL2601027")</f>
        <v>GL2601027</v>
      </c>
    </row>
    <row r="532">
      <c r="A532" s="3" t="str">
        <f>IFERROR(__xludf.DUMMYFUNCTION("""COMPUTED_VALUE"""),"MFHRO0298")</f>
        <v>MFHRO0298</v>
      </c>
      <c r="B532" s="4">
        <f>IFERROR(__xludf.DUMMYFUNCTION("""COMPUTED_VALUE"""),46047.83255263889)</f>
        <v>46047.83255</v>
      </c>
      <c r="C532" s="3">
        <f>IFERROR(__xludf.DUMMYFUNCTION("""COMPUTED_VALUE"""),46047.886155914355)</f>
        <v>46047.88616</v>
      </c>
      <c r="D532" s="3" t="str">
        <f>IFERROR(__xludf.DUMMYFUNCTION("""COMPUTED_VALUE"""),"cRABS")</f>
        <v>cRABS</v>
      </c>
      <c r="E532" s="3" t="str">
        <f>IFERROR(__xludf.DUMMYFUNCTION("""COMPUTED_VALUE"""),"-")</f>
        <v>-</v>
      </c>
      <c r="F532" s="3" t="str">
        <f>IFERROR(__xludf.DUMMYFUNCTION("""COMPUTED_VALUE"""),"cRABS Z064CR - Transmitter for Temperature Probe HC2-xxx; -; 64938; 1 Pc")</f>
        <v>cRABS Z064CR - Transmitter for Temperature Probe HC2-xxx; -; 64938; 1 Pc</v>
      </c>
      <c r="G532" s="3">
        <f>IFERROR(__xludf.DUMMYFUNCTION("""COMPUTED_VALUE"""),1.0)</f>
        <v>1</v>
      </c>
      <c r="H532" s="3" t="str">
        <f>IFERROR(__xludf.DUMMYFUNCTION("""COMPUTED_VALUE"""),"Pieces")</f>
        <v>Pieces</v>
      </c>
      <c r="I532" s="3" t="str">
        <f>IFERROR(__xludf.DUMMYFUNCTION("""COMPUTED_VALUE"""),"Deliver")</f>
        <v>Deliver</v>
      </c>
      <c r="J532" s="3" t="str">
        <f>IFERROR(__xludf.DUMMYFUNCTION("""COMPUTED_VALUE"""),"121703633 - APPROVED")</f>
        <v>121703633 - APPROVED</v>
      </c>
      <c r="K532" s="3" t="str">
        <f>IFERROR(__xludf.DUMMYFUNCTION("""COMPUTED_VALUE"""),"GL2601027")</f>
        <v>GL2601027</v>
      </c>
    </row>
    <row r="533">
      <c r="A533" s="3" t="str">
        <f>IFERROR(__xludf.DUMMYFUNCTION("""COMPUTED_VALUE"""),"MFHRO0299")</f>
        <v>MFHRO0299</v>
      </c>
      <c r="B533" s="4">
        <f>IFERROR(__xludf.DUMMYFUNCTION("""COMPUTED_VALUE"""),46047.83255263889)</f>
        <v>46047.83255</v>
      </c>
      <c r="C533" s="3">
        <f>IFERROR(__xludf.DUMMYFUNCTION("""COMPUTED_VALUE"""),46047.88625157408)</f>
        <v>46047.88625</v>
      </c>
      <c r="D533" s="3" t="str">
        <f>IFERROR(__xludf.DUMMYFUNCTION("""COMPUTED_VALUE"""),"cRABS")</f>
        <v>cRABS</v>
      </c>
      <c r="E533" s="3" t="str">
        <f>IFERROR(__xludf.DUMMYFUNCTION("""COMPUTED_VALUE"""),"-")</f>
        <v>-</v>
      </c>
      <c r="F533" s="3" t="str">
        <f>IFERROR(__xludf.DUMMYFUNCTION("""COMPUTED_VALUE"""),"cRABS Z064CR - Digital Probe for Humidity and Temperature; -; 64939; 1 Pc")</f>
        <v>cRABS Z064CR - Digital Probe for Humidity and Temperature; -; 64939; 1 Pc</v>
      </c>
      <c r="G533" s="3">
        <f>IFERROR(__xludf.DUMMYFUNCTION("""COMPUTED_VALUE"""),1.0)</f>
        <v>1</v>
      </c>
      <c r="H533" s="3" t="str">
        <f>IFERROR(__xludf.DUMMYFUNCTION("""COMPUTED_VALUE"""),"Pieces")</f>
        <v>Pieces</v>
      </c>
      <c r="I533" s="3" t="str">
        <f>IFERROR(__xludf.DUMMYFUNCTION("""COMPUTED_VALUE"""),"Deliver")</f>
        <v>Deliver</v>
      </c>
      <c r="J533" s="3" t="str">
        <f>IFERROR(__xludf.DUMMYFUNCTION("""COMPUTED_VALUE"""),"121703633 - APPROVED")</f>
        <v>121703633 - APPROVED</v>
      </c>
      <c r="K533" s="3" t="str">
        <f>IFERROR(__xludf.DUMMYFUNCTION("""COMPUTED_VALUE"""),"GL2601027")</f>
        <v>GL2601027</v>
      </c>
    </row>
    <row r="534">
      <c r="A534" s="3" t="str">
        <f>IFERROR(__xludf.DUMMYFUNCTION("""COMPUTED_VALUE"""),"MFHRO0301")</f>
        <v>MFHRO0301</v>
      </c>
      <c r="B534" s="4">
        <f>IFERROR(__xludf.DUMMYFUNCTION("""COMPUTED_VALUE"""),46047.83255263889)</f>
        <v>46047.83255</v>
      </c>
      <c r="C534" s="3">
        <f>IFERROR(__xludf.DUMMYFUNCTION("""COMPUTED_VALUE"""),46047.887844004625)</f>
        <v>46047.88784</v>
      </c>
      <c r="D534" s="3" t="str">
        <f>IFERROR(__xludf.DUMMYFUNCTION("""COMPUTED_VALUE"""),"Sparepart")</f>
        <v>Sparepart</v>
      </c>
      <c r="E534" s="3" t="str">
        <f>IFERROR(__xludf.DUMMYFUNCTION("""COMPUTED_VALUE"""),"-")</f>
        <v>-</v>
      </c>
      <c r="F534" s="3" t="str">
        <f>IFERROR(__xludf.DUMMYFUNCTION("""COMPUTED_VALUE"""),"Gas Nitrogen (N2); 6 M3; Refill; Ultra High Purity (UHP); Purity ? 99.999%")</f>
        <v>Gas Nitrogen (N2); 6 M3; Refill; Ultra High Purity (UHP); Purity ? 99.999%</v>
      </c>
      <c r="G534" s="3">
        <f>IFERROR(__xludf.DUMMYFUNCTION("""COMPUTED_VALUE"""),2.0)</f>
        <v>2</v>
      </c>
      <c r="H534" s="3" t="str">
        <f>IFERROR(__xludf.DUMMYFUNCTION("""COMPUTED_VALUE"""),"Tube")</f>
        <v>Tube</v>
      </c>
      <c r="I534" s="3" t="str">
        <f>IFERROR(__xludf.DUMMYFUNCTION("""COMPUTED_VALUE"""),"Deliver")</f>
        <v>Deliver</v>
      </c>
      <c r="J534" s="3" t="str">
        <f>IFERROR(__xludf.DUMMYFUNCTION("""COMPUTED_VALUE"""),"121703633 - APPROVED")</f>
        <v>121703633 - APPROVED</v>
      </c>
      <c r="K534" s="3" t="str">
        <f>IFERROR(__xludf.DUMMYFUNCTION("""COMPUTED_VALUE"""),"GL2601027")</f>
        <v>GL2601027</v>
      </c>
    </row>
    <row r="535">
      <c r="A535" s="3" t="str">
        <f>IFERROR(__xludf.DUMMYFUNCTION("""COMPUTED_VALUE"""),"MFHRO0302")</f>
        <v>MFHRO0302</v>
      </c>
      <c r="B535" s="4">
        <f>IFERROR(__xludf.DUMMYFUNCTION("""COMPUTED_VALUE"""),46047.83255263889)</f>
        <v>46047.83255</v>
      </c>
      <c r="C535" s="3">
        <f>IFERROR(__xludf.DUMMYFUNCTION("""COMPUTED_VALUE"""),46047.88792879629)</f>
        <v>46047.88793</v>
      </c>
      <c r="D535" s="3" t="str">
        <f>IFERROR(__xludf.DUMMYFUNCTION("""COMPUTED_VALUE"""),"Sparepart")</f>
        <v>Sparepart</v>
      </c>
      <c r="E535" s="3" t="str">
        <f>IFERROR(__xludf.DUMMYFUNCTION("""COMPUTED_VALUE"""),"-")</f>
        <v>-</v>
      </c>
      <c r="F535" s="3" t="str">
        <f>IFERROR(__xludf.DUMMYFUNCTION("""COMPUTED_VALUE"""),"Gas Nitrogen (N2); 6 M3; Refill; Ultra High Purity (UHP); Purity ? 99.999%")</f>
        <v>Gas Nitrogen (N2); 6 M3; Refill; Ultra High Purity (UHP); Purity ? 99.999%</v>
      </c>
      <c r="G535" s="3">
        <f>IFERROR(__xludf.DUMMYFUNCTION("""COMPUTED_VALUE"""),3.0)</f>
        <v>3</v>
      </c>
      <c r="H535" s="3" t="str">
        <f>IFERROR(__xludf.DUMMYFUNCTION("""COMPUTED_VALUE"""),"Tube")</f>
        <v>Tube</v>
      </c>
      <c r="I535" s="3" t="str">
        <f>IFERROR(__xludf.DUMMYFUNCTION("""COMPUTED_VALUE"""),"Deliver")</f>
        <v>Deliver</v>
      </c>
      <c r="J535" s="3" t="str">
        <f>IFERROR(__xludf.DUMMYFUNCTION("""COMPUTED_VALUE"""),"121703634 - APPROVED")</f>
        <v>121703634 - APPROVED</v>
      </c>
      <c r="K535" s="3" t="str">
        <f>IFERROR(__xludf.DUMMYFUNCTION("""COMPUTED_VALUE"""),"GL2602398")</f>
        <v>GL2602398</v>
      </c>
    </row>
    <row r="536">
      <c r="A536" s="3" t="str">
        <f>IFERROR(__xludf.DUMMYFUNCTION("""COMPUTED_VALUE"""),"MFHRO0303")</f>
        <v>MFHRO0303</v>
      </c>
      <c r="B536" s="4">
        <f>IFERROR(__xludf.DUMMYFUNCTION("""COMPUTED_VALUE"""),46047.83255263889)</f>
        <v>46047.83255</v>
      </c>
      <c r="C536" s="3">
        <f>IFERROR(__xludf.DUMMYFUNCTION("""COMPUTED_VALUE"""),46047.88801222222)</f>
        <v>46047.88801</v>
      </c>
      <c r="D536" s="3" t="str">
        <f>IFERROR(__xludf.DUMMYFUNCTION("""COMPUTED_VALUE"""),"Sparepart")</f>
        <v>Sparepart</v>
      </c>
      <c r="E536" s="3" t="str">
        <f>IFERROR(__xludf.DUMMYFUNCTION("""COMPUTED_VALUE"""),"-")</f>
        <v>-</v>
      </c>
      <c r="F536" s="3" t="str">
        <f>IFERROR(__xludf.DUMMYFUNCTION("""COMPUTED_VALUE"""),"General - Contact cleaner WD 40; No Brand; -; 382gr/can")</f>
        <v>General - Contact cleaner WD 40; No Brand; -; 382gr/can</v>
      </c>
      <c r="G536" s="3">
        <f>IFERROR(__xludf.DUMMYFUNCTION("""COMPUTED_VALUE"""),3.0)</f>
        <v>3</v>
      </c>
      <c r="H536" s="3" t="str">
        <f>IFERROR(__xludf.DUMMYFUNCTION("""COMPUTED_VALUE"""),"Pieces")</f>
        <v>Pieces</v>
      </c>
      <c r="I536" s="3" t="str">
        <f>IFERROR(__xludf.DUMMYFUNCTION("""COMPUTED_VALUE"""),"Deliver")</f>
        <v>Deliver</v>
      </c>
      <c r="J536" s="3" t="str">
        <f>IFERROR(__xludf.DUMMYFUNCTION("""COMPUTED_VALUE"""),"-")</f>
        <v>-</v>
      </c>
      <c r="K536" s="3" t="str">
        <f>IFERROR(__xludf.DUMMYFUNCTION("""COMPUTED_VALUE"""),"-")</f>
        <v>-</v>
      </c>
    </row>
    <row r="537">
      <c r="A537" s="3" t="str">
        <f>IFERROR(__xludf.DUMMYFUNCTION("""COMPUTED_VALUE"""),"MFHRO0304")</f>
        <v>MFHRO0304</v>
      </c>
      <c r="B537" s="4">
        <f>IFERROR(__xludf.DUMMYFUNCTION("""COMPUTED_VALUE"""),46047.83255263889)</f>
        <v>46047.83255</v>
      </c>
      <c r="C537" s="3">
        <f>IFERROR(__xludf.DUMMYFUNCTION("""COMPUTED_VALUE"""),46047.88812454861)</f>
        <v>46047.88812</v>
      </c>
      <c r="D537" s="3" t="str">
        <f>IFERROR(__xludf.DUMMYFUNCTION("""COMPUTED_VALUE"""),"Tools")</f>
        <v>Tools</v>
      </c>
      <c r="E537" s="3" t="str">
        <f>IFERROR(__xludf.DUMMYFUNCTION("""COMPUTED_VALUE"""),"-")</f>
        <v>-</v>
      </c>
      <c r="F537" s="3" t="str">
        <f>IFERROR(__xludf.DUMMYFUNCTION("""COMPUTED_VALUE"""),"Kunci L Mini Set; Tekiro; HK-EL1198; 7 pc/set")</f>
        <v>Kunci L Mini Set; Tekiro; HK-EL1198; 7 pc/set</v>
      </c>
      <c r="G537" s="3">
        <f>IFERROR(__xludf.DUMMYFUNCTION("""COMPUTED_VALUE"""),1.0)</f>
        <v>1</v>
      </c>
      <c r="H537" s="3" t="str">
        <f>IFERROR(__xludf.DUMMYFUNCTION("""COMPUTED_VALUE"""),"Set")</f>
        <v>Set</v>
      </c>
      <c r="I537" s="3" t="str">
        <f>IFERROR(__xludf.DUMMYFUNCTION("""COMPUTED_VALUE"""),"Deliver")</f>
        <v>Deliver</v>
      </c>
      <c r="J537" s="3" t="str">
        <f>IFERROR(__xludf.DUMMYFUNCTION("""COMPUTED_VALUE"""),"-")</f>
        <v>-</v>
      </c>
      <c r="K537" s="3" t="str">
        <f>IFERROR(__xludf.DUMMYFUNCTION("""COMPUTED_VALUE"""),"-")</f>
        <v>-</v>
      </c>
    </row>
    <row r="538">
      <c r="A538" s="3" t="str">
        <f>IFERROR(__xludf.DUMMYFUNCTION("""COMPUTED_VALUE"""),"MFHRO0305")</f>
        <v>MFHRO0305</v>
      </c>
      <c r="B538" s="4">
        <f>IFERROR(__xludf.DUMMYFUNCTION("""COMPUTED_VALUE"""),46047.83255263889)</f>
        <v>46047.83255</v>
      </c>
      <c r="C538" s="3">
        <f>IFERROR(__xludf.DUMMYFUNCTION("""COMPUTED_VALUE"""),46047.888217534724)</f>
        <v>46047.88822</v>
      </c>
      <c r="D538" s="3" t="str">
        <f>IFERROR(__xludf.DUMMYFUNCTION("""COMPUTED_VALUE"""),"BSC")</f>
        <v>BSC</v>
      </c>
      <c r="E538" s="3" t="str">
        <f>IFERROR(__xludf.DUMMYFUNCTION("""COMPUTED_VALUE"""),"-")</f>
        <v>-</v>
      </c>
      <c r="F538" s="3" t="str">
        <f>IFERROR(__xludf.DUMMYFUNCTION("""COMPUTED_VALUE"""),"General - Isolator Gloves 000080 E10330 CNS 7 E3 5 Neoprene No Staining; Piercan; SG010138; 1 Pc")</f>
        <v>General - Isolator Gloves 000080 E10330 CNS 7 E3 5 Neoprene No Staining; Piercan; SG010138; 1 Pc</v>
      </c>
      <c r="G538" s="3">
        <f>IFERROR(__xludf.DUMMYFUNCTION("""COMPUTED_VALUE"""),30.0)</f>
        <v>30</v>
      </c>
      <c r="H538" s="3" t="str">
        <f>IFERROR(__xludf.DUMMYFUNCTION("""COMPUTED_VALUE"""),"Pieces")</f>
        <v>Pieces</v>
      </c>
      <c r="I538" s="3" t="str">
        <f>IFERROR(__xludf.DUMMYFUNCTION("""COMPUTED_VALUE"""),"Deliver")</f>
        <v>Deliver</v>
      </c>
      <c r="J538" s="3" t="str">
        <f>IFERROR(__xludf.DUMMYFUNCTION("""COMPUTED_VALUE"""),"121703645 - APPROVED")</f>
        <v>121703645 - APPROVED</v>
      </c>
      <c r="K538" s="3" t="str">
        <f>IFERROR(__xludf.DUMMYFUNCTION("""COMPUTED_VALUE"""),"GL2602027")</f>
        <v>GL2602027</v>
      </c>
    </row>
    <row r="539">
      <c r="A539" s="3" t="str">
        <f>IFERROR(__xludf.DUMMYFUNCTION("""COMPUTED_VALUE"""),"MFHRO0306")</f>
        <v>MFHRO0306</v>
      </c>
      <c r="B539" s="4">
        <f>IFERROR(__xludf.DUMMYFUNCTION("""COMPUTED_VALUE"""),46047.83255263889)</f>
        <v>46047.83255</v>
      </c>
      <c r="C539" s="3">
        <f>IFERROR(__xludf.DUMMYFUNCTION("""COMPUTED_VALUE"""),46047.88831909723)</f>
        <v>46047.88832</v>
      </c>
      <c r="D539" s="3" t="str">
        <f>IFERROR(__xludf.DUMMYFUNCTION("""COMPUTED_VALUE"""),"TOC")</f>
        <v>TOC</v>
      </c>
      <c r="E539" s="3" t="str">
        <f>IFERROR(__xludf.DUMMYFUNCTION("""COMPUTED_VALUE"""),"-")</f>
        <v>-</v>
      </c>
      <c r="F539" s="3" t="str">
        <f>IFERROR(__xludf.DUMMYFUNCTION("""COMPUTED_VALUE"""),"Replacement Filter 60 Micron; Sievers; c/n CHTF94402; 1 pc")</f>
        <v>Replacement Filter 60 Micron; Sievers; c/n CHTF94402; 1 pc</v>
      </c>
      <c r="G539" s="3">
        <f>IFERROR(__xludf.DUMMYFUNCTION("""COMPUTED_VALUE"""),1.0)</f>
        <v>1</v>
      </c>
      <c r="H539" s="3" t="str">
        <f>IFERROR(__xludf.DUMMYFUNCTION("""COMPUTED_VALUE"""),"Pieces")</f>
        <v>Pieces</v>
      </c>
      <c r="I539" s="3" t="str">
        <f>IFERROR(__xludf.DUMMYFUNCTION("""COMPUTED_VALUE"""),"Deliver")</f>
        <v>Deliver</v>
      </c>
      <c r="J539" s="3" t="str">
        <f>IFERROR(__xludf.DUMMYFUNCTION("""COMPUTED_VALUE"""),"121703655 - APPROVED")</f>
        <v>121703655 - APPROVED</v>
      </c>
      <c r="K539" s="3" t="str">
        <f>IFERROR(__xludf.DUMMYFUNCTION("""COMPUTED_VALUE"""),"GL2601346")</f>
        <v>GL2601346</v>
      </c>
    </row>
    <row r="540">
      <c r="A540" s="3" t="str">
        <f>IFERROR(__xludf.DUMMYFUNCTION("""COMPUTED_VALUE"""),"MFHRO0307")</f>
        <v>MFHRO0307</v>
      </c>
      <c r="B540" s="4">
        <f>IFERROR(__xludf.DUMMYFUNCTION("""COMPUTED_VALUE"""),46047.83255263889)</f>
        <v>46047.83255</v>
      </c>
      <c r="C540" s="3">
        <f>IFERROR(__xludf.DUMMYFUNCTION("""COMPUTED_VALUE"""),46047.888406655096)</f>
        <v>46047.88841</v>
      </c>
      <c r="D540" s="3" t="str">
        <f>IFERROR(__xludf.DUMMYFUNCTION("""COMPUTED_VALUE"""),"TOC")</f>
        <v>TOC</v>
      </c>
      <c r="E540" s="3" t="str">
        <f>IFERROR(__xludf.DUMMYFUNCTION("""COMPUTED_VALUE"""),"-")</f>
        <v>-</v>
      </c>
      <c r="F540" s="3" t="str">
        <f>IFERROR(__xludf.DUMMYFUNCTION("""COMPUTED_VALUE"""),"900 Sample pump tubing; Sievers; P/N CATU 96200; 1 pc")</f>
        <v>900 Sample pump tubing; Sievers; P/N CATU 96200; 1 pc</v>
      </c>
      <c r="G540" s="3">
        <f>IFERROR(__xludf.DUMMYFUNCTION("""COMPUTED_VALUE"""),1.0)</f>
        <v>1</v>
      </c>
      <c r="H540" s="3" t="str">
        <f>IFERROR(__xludf.DUMMYFUNCTION("""COMPUTED_VALUE"""),"Pieces")</f>
        <v>Pieces</v>
      </c>
      <c r="I540" s="3" t="str">
        <f>IFERROR(__xludf.DUMMYFUNCTION("""COMPUTED_VALUE"""),"Deliver")</f>
        <v>Deliver</v>
      </c>
      <c r="J540" s="3" t="str">
        <f>IFERROR(__xludf.DUMMYFUNCTION("""COMPUTED_VALUE"""),"121703656 - APPROVED")</f>
        <v>121703656 - APPROVED</v>
      </c>
      <c r="K540" s="3" t="str">
        <f>IFERROR(__xludf.DUMMYFUNCTION("""COMPUTED_VALUE"""),"GL2601344")</f>
        <v>GL2601344</v>
      </c>
    </row>
    <row r="541">
      <c r="A541" s="3" t="str">
        <f>IFERROR(__xludf.DUMMYFUNCTION("""COMPUTED_VALUE"""),"MFHRO0308")</f>
        <v>MFHRO0308</v>
      </c>
      <c r="B541" s="4">
        <f>IFERROR(__xludf.DUMMYFUNCTION("""COMPUTED_VALUE"""),46047.83255263889)</f>
        <v>46047.83255</v>
      </c>
      <c r="C541" s="3">
        <f>IFERROR(__xludf.DUMMYFUNCTION("""COMPUTED_VALUE"""),46047.88849678241)</f>
        <v>46047.8885</v>
      </c>
      <c r="D541" s="3" t="str">
        <f>IFERROR(__xludf.DUMMYFUNCTION("""COMPUTED_VALUE"""),"Sparepart")</f>
        <v>Sparepart</v>
      </c>
      <c r="E541" s="3" t="str">
        <f>IFERROR(__xludf.DUMMYFUNCTION("""COMPUTED_VALUE"""),"-")</f>
        <v>-</v>
      </c>
      <c r="F541" s="3" t="str">
        <f>IFERROR(__xludf.DUMMYFUNCTION("""COMPUTED_VALUE"""),"Cleaner - Contact Cleaner CRC CO 2016; No Brand; -; 500ml/Botol")</f>
        <v>Cleaner - Contact Cleaner CRC CO 2016; No Brand; -; 500ml/Botol</v>
      </c>
      <c r="G541" s="3">
        <f>IFERROR(__xludf.DUMMYFUNCTION("""COMPUTED_VALUE"""),3.0)</f>
        <v>3</v>
      </c>
      <c r="H541" s="3" t="str">
        <f>IFERROR(__xludf.DUMMYFUNCTION("""COMPUTED_VALUE"""),"Pieces")</f>
        <v>Pieces</v>
      </c>
      <c r="I541" s="3" t="str">
        <f>IFERROR(__xludf.DUMMYFUNCTION("""COMPUTED_VALUE"""),"Deliver")</f>
        <v>Deliver</v>
      </c>
      <c r="J541" s="3" t="str">
        <f>IFERROR(__xludf.DUMMYFUNCTION("""COMPUTED_VALUE"""),"121703656 - APPROVED")</f>
        <v>121703656 - APPROVED</v>
      </c>
      <c r="K541" s="3" t="str">
        <f>IFERROR(__xludf.DUMMYFUNCTION("""COMPUTED_VALUE"""),"GL2601344")</f>
        <v>GL2601344</v>
      </c>
    </row>
    <row r="542">
      <c r="A542" s="3" t="str">
        <f>IFERROR(__xludf.DUMMYFUNCTION("""COMPUTED_VALUE"""),"MFHRO0309")</f>
        <v>MFHRO0309</v>
      </c>
      <c r="B542" s="4">
        <f>IFERROR(__xludf.DUMMYFUNCTION("""COMPUTED_VALUE"""),46047.83255263889)</f>
        <v>46047.83255</v>
      </c>
      <c r="C542" s="3">
        <f>IFERROR(__xludf.DUMMYFUNCTION("""COMPUTED_VALUE"""),46047.88947012732)</f>
        <v>46047.88947</v>
      </c>
      <c r="D542" s="3" t="str">
        <f>IFERROR(__xludf.DUMMYFUNCTION("""COMPUTED_VALUE"""),"Sparepart")</f>
        <v>Sparepart</v>
      </c>
      <c r="E542" s="3" t="str">
        <f>IFERROR(__xludf.DUMMYFUNCTION("""COMPUTED_VALUE"""),"-")</f>
        <v>-</v>
      </c>
      <c r="F542" s="3" t="str">
        <f>IFERROR(__xludf.DUMMYFUNCTION("""COMPUTED_VALUE"""),"General - Double Tape 1"" Merah; 3M; -; 1 Pc")</f>
        <v>General - Double Tape 1" Merah; 3M; -; 1 Pc</v>
      </c>
      <c r="G542" s="3">
        <f>IFERROR(__xludf.DUMMYFUNCTION("""COMPUTED_VALUE"""),20.0)</f>
        <v>20</v>
      </c>
      <c r="H542" s="3" t="str">
        <f>IFERROR(__xludf.DUMMYFUNCTION("""COMPUTED_VALUE"""),"Pieces")</f>
        <v>Pieces</v>
      </c>
      <c r="I542" s="3" t="str">
        <f>IFERROR(__xludf.DUMMYFUNCTION("""COMPUTED_VALUE"""),"Deliver")</f>
        <v>Deliver</v>
      </c>
      <c r="J542" s="3" t="str">
        <f>IFERROR(__xludf.DUMMYFUNCTION("""COMPUTED_VALUE"""),"-")</f>
        <v>-</v>
      </c>
      <c r="K542" s="3" t="str">
        <f>IFERROR(__xludf.DUMMYFUNCTION("""COMPUTED_VALUE"""),"-")</f>
        <v>-</v>
      </c>
    </row>
    <row r="543">
      <c r="A543" s="3" t="str">
        <f>IFERROR(__xludf.DUMMYFUNCTION("""COMPUTED_VALUE"""),"MFHRO0310")</f>
        <v>MFHRO0310</v>
      </c>
      <c r="B543" s="4">
        <f>IFERROR(__xludf.DUMMYFUNCTION("""COMPUTED_VALUE"""),46047.83255263889)</f>
        <v>46047.83255</v>
      </c>
      <c r="C543" s="3">
        <f>IFERROR(__xludf.DUMMYFUNCTION("""COMPUTED_VALUE"""),46047.88955186342)</f>
        <v>46047.88955</v>
      </c>
      <c r="D543" s="3" t="str">
        <f>IFERROR(__xludf.DUMMYFUNCTION("""COMPUTED_VALUE"""),"Sparepart")</f>
        <v>Sparepart</v>
      </c>
      <c r="E543" s="3" t="str">
        <f>IFERROR(__xludf.DUMMYFUNCTION("""COMPUTED_VALUE"""),"-")</f>
        <v>-</v>
      </c>
      <c r="F543" s="3" t="str">
        <f>IFERROR(__xludf.DUMMYFUNCTION("""COMPUTED_VALUE"""),"General - Double Tape 1"" Merah; 3M; -; 1 Pc")</f>
        <v>General - Double Tape 1" Merah; 3M; -; 1 Pc</v>
      </c>
      <c r="G543" s="3">
        <f>IFERROR(__xludf.DUMMYFUNCTION("""COMPUTED_VALUE"""),20.0)</f>
        <v>20</v>
      </c>
      <c r="H543" s="3" t="str">
        <f>IFERROR(__xludf.DUMMYFUNCTION("""COMPUTED_VALUE"""),"Pieces")</f>
        <v>Pieces</v>
      </c>
      <c r="I543" s="3" t="str">
        <f>IFERROR(__xludf.DUMMYFUNCTION("""COMPUTED_VALUE"""),"Deliver")</f>
        <v>Deliver</v>
      </c>
      <c r="J543" s="3" t="str">
        <f>IFERROR(__xludf.DUMMYFUNCTION("""COMPUTED_VALUE"""),"-")</f>
        <v>-</v>
      </c>
      <c r="K543" s="3" t="str">
        <f>IFERROR(__xludf.DUMMYFUNCTION("""COMPUTED_VALUE"""),"-")</f>
        <v>-</v>
      </c>
    </row>
    <row r="544">
      <c r="A544" s="3" t="str">
        <f>IFERROR(__xludf.DUMMYFUNCTION("""COMPUTED_VALUE"""),"MFHRO0311")</f>
        <v>MFHRO0311</v>
      </c>
      <c r="B544" s="4">
        <f>IFERROR(__xludf.DUMMYFUNCTION("""COMPUTED_VALUE"""),46047.83255263889)</f>
        <v>46047.83255</v>
      </c>
      <c r="C544" s="3">
        <f>IFERROR(__xludf.DUMMYFUNCTION("""COMPUTED_VALUE"""),46047.890022974534)</f>
        <v>46047.89002</v>
      </c>
      <c r="D544" s="3" t="str">
        <f>IFERROR(__xludf.DUMMYFUNCTION("""COMPUTED_VALUE"""),"AHU")</f>
        <v>AHU</v>
      </c>
      <c r="E544" s="3" t="str">
        <f>IFERROR(__xludf.DUMMYFUNCTION("""COMPUTED_VALUE"""),"-")</f>
        <v>-</v>
      </c>
      <c r="F544" s="3" t="str">
        <f>IFERROR(__xludf.DUMMYFUNCTION("""COMPUTED_VALUE"""),"General - Filter IAF MB Series (Medium Filter), efficiency : 60-65 %, Size: 24 x 24 x 12 inch; IAF; -; 1 pcs")</f>
        <v>General - Filter IAF MB Series (Medium Filter), efficiency : 60-65 %, Size: 24 x 24 x 12 inch; IAF; -; 1 pcs</v>
      </c>
      <c r="G544" s="3">
        <f>IFERROR(__xludf.DUMMYFUNCTION("""COMPUTED_VALUE"""),10.0)</f>
        <v>10</v>
      </c>
      <c r="H544" s="3" t="str">
        <f>IFERROR(__xludf.DUMMYFUNCTION("""COMPUTED_VALUE"""),"Pieces")</f>
        <v>Pieces</v>
      </c>
      <c r="I544" s="3" t="str">
        <f>IFERROR(__xludf.DUMMYFUNCTION("""COMPUTED_VALUE"""),"Deliver")</f>
        <v>Deliver</v>
      </c>
      <c r="J544" s="3" t="str">
        <f>IFERROR(__xludf.DUMMYFUNCTION("""COMPUTED_VALUE"""),"121703670 - APPROVED")</f>
        <v>121703670 - APPROVED</v>
      </c>
      <c r="K544" s="3" t="str">
        <f>IFERROR(__xludf.DUMMYFUNCTION("""COMPUTED_VALUE"""),"GL2602367")</f>
        <v>GL2602367</v>
      </c>
    </row>
    <row r="545">
      <c r="A545" s="3" t="str">
        <f>IFERROR(__xludf.DUMMYFUNCTION("""COMPUTED_VALUE"""),"MFHRO0312")</f>
        <v>MFHRO0312</v>
      </c>
      <c r="B545" s="4">
        <f>IFERROR(__xludf.DUMMYFUNCTION("""COMPUTED_VALUE"""),46047.83255263889)</f>
        <v>46047.83255</v>
      </c>
      <c r="C545" s="3">
        <f>IFERROR(__xludf.DUMMYFUNCTION("""COMPUTED_VALUE"""),46047.89011894676)</f>
        <v>46047.89012</v>
      </c>
      <c r="D545" s="3" t="str">
        <f>IFERROR(__xludf.DUMMYFUNCTION("""COMPUTED_VALUE"""),"AHU")</f>
        <v>AHU</v>
      </c>
      <c r="E545" s="3" t="str">
        <f>IFERROR(__xludf.DUMMYFUNCTION("""COMPUTED_VALUE"""),"-")</f>
        <v>-</v>
      </c>
      <c r="F545" s="3" t="str">
        <f>IFERROR(__xludf.DUMMYFUNCTION("""COMPUTED_VALUE"""),"General - Filter IAF MB Series (Medium Filter), efficiency : 60-65 %, Size: 12 x 24 x 12 inch; IAF; -; 1 pcs")</f>
        <v>General - Filter IAF MB Series (Medium Filter), efficiency : 60-65 %, Size: 12 x 24 x 12 inch; IAF; -; 1 pcs</v>
      </c>
      <c r="G545" s="3">
        <f>IFERROR(__xludf.DUMMYFUNCTION("""COMPUTED_VALUE"""),10.0)</f>
        <v>10</v>
      </c>
      <c r="H545" s="3" t="str">
        <f>IFERROR(__xludf.DUMMYFUNCTION("""COMPUTED_VALUE"""),"Pieces")</f>
        <v>Pieces</v>
      </c>
      <c r="I545" s="3" t="str">
        <f>IFERROR(__xludf.DUMMYFUNCTION("""COMPUTED_VALUE"""),"Deliver")</f>
        <v>Deliver</v>
      </c>
      <c r="J545" s="3" t="str">
        <f>IFERROR(__xludf.DUMMYFUNCTION("""COMPUTED_VALUE"""),"121703671 - APPROVED")</f>
        <v>121703671 - APPROVED</v>
      </c>
      <c r="K545" s="3" t="str">
        <f>IFERROR(__xludf.DUMMYFUNCTION("""COMPUTED_VALUE"""),"GL2602408")</f>
        <v>GL2602408</v>
      </c>
    </row>
    <row r="546">
      <c r="A546" s="3" t="str">
        <f>IFERROR(__xludf.DUMMYFUNCTION("""COMPUTED_VALUE"""),"MFHRO0313")</f>
        <v>MFHRO0313</v>
      </c>
      <c r="B546" s="4">
        <f>IFERROR(__xludf.DUMMYFUNCTION("""COMPUTED_VALUE"""),46047.83255263889)</f>
        <v>46047.83255</v>
      </c>
      <c r="C546" s="3">
        <f>IFERROR(__xludf.DUMMYFUNCTION("""COMPUTED_VALUE"""),46047.890214733794)</f>
        <v>46047.89021</v>
      </c>
      <c r="D546" s="3" t="str">
        <f>IFERROR(__xludf.DUMMYFUNCTION("""COMPUTED_VALUE"""),"Sparepart")</f>
        <v>Sparepart</v>
      </c>
      <c r="E546" s="3" t="str">
        <f>IFERROR(__xludf.DUMMYFUNCTION("""COMPUTED_VALUE"""),"-")</f>
        <v>-</v>
      </c>
      <c r="F546" s="3" t="str">
        <f>IFERROR(__xludf.DUMMYFUNCTION("""COMPUTED_VALUE"""),"General - Ampelas P500; EAGLE; -; 1 pcs")</f>
        <v>General - Ampelas P500; EAGLE; -; 1 pcs</v>
      </c>
      <c r="G546" s="3">
        <f>IFERROR(__xludf.DUMMYFUNCTION("""COMPUTED_VALUE"""),15.0)</f>
        <v>15</v>
      </c>
      <c r="H546" s="3" t="str">
        <f>IFERROR(__xludf.DUMMYFUNCTION("""COMPUTED_VALUE"""),"Pieces")</f>
        <v>Pieces</v>
      </c>
      <c r="I546" s="3" t="str">
        <f>IFERROR(__xludf.DUMMYFUNCTION("""COMPUTED_VALUE"""),"Deliver")</f>
        <v>Deliver</v>
      </c>
      <c r="J546" s="3" t="str">
        <f>IFERROR(__xludf.DUMMYFUNCTION("""COMPUTED_VALUE"""),"121703671 - APPROVED")</f>
        <v>121703671 - APPROVED</v>
      </c>
      <c r="K546" s="3" t="str">
        <f>IFERROR(__xludf.DUMMYFUNCTION("""COMPUTED_VALUE"""),"GL2602408")</f>
        <v>GL2602408</v>
      </c>
    </row>
    <row r="547">
      <c r="A547" s="3" t="str">
        <f>IFERROR(__xludf.DUMMYFUNCTION("""COMPUTED_VALUE"""),"MFHRO0314")</f>
        <v>MFHRO0314</v>
      </c>
      <c r="B547" s="4">
        <f>IFERROR(__xludf.DUMMYFUNCTION("""COMPUTED_VALUE"""),46047.83255263889)</f>
        <v>46047.83255</v>
      </c>
      <c r="C547" s="3">
        <f>IFERROR(__xludf.DUMMYFUNCTION("""COMPUTED_VALUE"""),46047.89031847222)</f>
        <v>46047.89032</v>
      </c>
      <c r="D547" s="3" t="str">
        <f>IFERROR(__xludf.DUMMYFUNCTION("""COMPUTED_VALUE"""),"Sparepart")</f>
        <v>Sparepart</v>
      </c>
      <c r="E547" s="3" t="str">
        <f>IFERROR(__xludf.DUMMYFUNCTION("""COMPUTED_VALUE"""),"-")</f>
        <v>-</v>
      </c>
      <c r="F547" s="3" t="str">
        <f>IFERROR(__xludf.DUMMYFUNCTION("""COMPUTED_VALUE"""),"General - Ampelas P500; EAGLE; -; 1 pcs")</f>
        <v>General - Ampelas P500; EAGLE; -; 1 pcs</v>
      </c>
      <c r="G547" s="3">
        <f>IFERROR(__xludf.DUMMYFUNCTION("""COMPUTED_VALUE"""),15.0)</f>
        <v>15</v>
      </c>
      <c r="H547" s="3" t="str">
        <f>IFERROR(__xludf.DUMMYFUNCTION("""COMPUTED_VALUE"""),"Pieces")</f>
        <v>Pieces</v>
      </c>
      <c r="I547" s="3" t="str">
        <f>IFERROR(__xludf.DUMMYFUNCTION("""COMPUTED_VALUE"""),"Deliver")</f>
        <v>Deliver</v>
      </c>
      <c r="J547" s="3" t="str">
        <f>IFERROR(__xludf.DUMMYFUNCTION("""COMPUTED_VALUE"""),"-")</f>
        <v>-</v>
      </c>
      <c r="K547" s="3" t="str">
        <f>IFERROR(__xludf.DUMMYFUNCTION("""COMPUTED_VALUE"""),"-")</f>
        <v>-</v>
      </c>
    </row>
    <row r="548">
      <c r="A548" s="3" t="str">
        <f>IFERROR(__xludf.DUMMYFUNCTION("""COMPUTED_VALUE"""),"MFHRO0315")</f>
        <v>MFHRO0315</v>
      </c>
      <c r="B548" s="4">
        <f>IFERROR(__xludf.DUMMYFUNCTION("""COMPUTED_VALUE"""),46047.83255263889)</f>
        <v>46047.83255</v>
      </c>
      <c r="C548" s="3">
        <f>IFERROR(__xludf.DUMMYFUNCTION("""COMPUTED_VALUE"""),46047.89040510417)</f>
        <v>46047.89041</v>
      </c>
      <c r="D548" s="3" t="str">
        <f>IFERROR(__xludf.DUMMYFUNCTION("""COMPUTED_VALUE"""),"Building")</f>
        <v>Building</v>
      </c>
      <c r="E548" s="3" t="str">
        <f>IFERROR(__xludf.DUMMYFUNCTION("""COMPUTED_VALUE"""),"-")</f>
        <v>-</v>
      </c>
      <c r="F548" s="3" t="str">
        <f>IFERROR(__xludf.DUMMYFUNCTION("""COMPUTED_VALUE"""),"General - Lampu LED Downlight 9W DN027B G3 D125, 900 lm, 65k, Putih; Philips; -; 1 pc")</f>
        <v>General - Lampu LED Downlight 9W DN027B G3 D125, 900 lm, 65k, Putih; Philips; -; 1 pc</v>
      </c>
      <c r="G548" s="3">
        <f>IFERROR(__xludf.DUMMYFUNCTION("""COMPUTED_VALUE"""),50.0)</f>
        <v>50</v>
      </c>
      <c r="H548" s="3" t="str">
        <f>IFERROR(__xludf.DUMMYFUNCTION("""COMPUTED_VALUE"""),"Pieces")</f>
        <v>Pieces</v>
      </c>
      <c r="I548" s="3" t="str">
        <f>IFERROR(__xludf.DUMMYFUNCTION("""COMPUTED_VALUE"""),"Deliver")</f>
        <v>Deliver</v>
      </c>
      <c r="J548" s="3" t="str">
        <f>IFERROR(__xludf.DUMMYFUNCTION("""COMPUTED_VALUE"""),"-")</f>
        <v>-</v>
      </c>
      <c r="K548" s="3" t="str">
        <f>IFERROR(__xludf.DUMMYFUNCTION("""COMPUTED_VALUE"""),"-")</f>
        <v>-</v>
      </c>
    </row>
    <row r="549">
      <c r="A549" s="3" t="str">
        <f>IFERROR(__xludf.DUMMYFUNCTION("""COMPUTED_VALUE"""),"MFHRO0316")</f>
        <v>MFHRO0316</v>
      </c>
      <c r="B549" s="4">
        <f>IFERROR(__xludf.DUMMYFUNCTION("""COMPUTED_VALUE"""),46047.83255263889)</f>
        <v>46047.83255</v>
      </c>
      <c r="C549" s="3">
        <f>IFERROR(__xludf.DUMMYFUNCTION("""COMPUTED_VALUE"""),46047.89049831018)</f>
        <v>46047.8905</v>
      </c>
      <c r="D549" s="3" t="str">
        <f>IFERROR(__xludf.DUMMYFUNCTION("""COMPUTED_VALUE"""),"Washing")</f>
        <v>Washing</v>
      </c>
      <c r="E549" s="3" t="str">
        <f>IFERROR(__xludf.DUMMYFUNCTION("""COMPUTED_VALUE"""),"-")</f>
        <v>-</v>
      </c>
      <c r="F549" s="3" t="str">
        <f>IFERROR(__xludf.DUMMYFUNCTION("""COMPUTED_VALUE"""),"Washing RAR4 - Steel Ball / Gotri 2.5mm; -; -; 1 pck = 100pc")</f>
        <v>Washing RAR4 - Steel Ball / Gotri 2.5mm; -; -; 1 pck = 100pc</v>
      </c>
      <c r="G549" s="3">
        <f>IFERROR(__xludf.DUMMYFUNCTION("""COMPUTED_VALUE"""),1.0)</f>
        <v>1</v>
      </c>
      <c r="H549" s="3" t="str">
        <f>IFERROR(__xludf.DUMMYFUNCTION("""COMPUTED_VALUE"""),"Pack")</f>
        <v>Pack</v>
      </c>
      <c r="I549" s="3" t="str">
        <f>IFERROR(__xludf.DUMMYFUNCTION("""COMPUTED_VALUE"""),"Deliver")</f>
        <v>Deliver</v>
      </c>
      <c r="J549" s="3" t="str">
        <f>IFERROR(__xludf.DUMMYFUNCTION("""COMPUTED_VALUE"""),"-")</f>
        <v>-</v>
      </c>
      <c r="K549" s="3" t="str">
        <f>IFERROR(__xludf.DUMMYFUNCTION("""COMPUTED_VALUE"""),"-")</f>
        <v>-</v>
      </c>
    </row>
    <row r="550">
      <c r="A550" s="3" t="str">
        <f>IFERROR(__xludf.DUMMYFUNCTION("""COMPUTED_VALUE"""),"MFHRO0317")</f>
        <v>MFHRO0317</v>
      </c>
      <c r="B550" s="4">
        <f>IFERROR(__xludf.DUMMYFUNCTION("""COMPUTED_VALUE"""),46047.83255263889)</f>
        <v>46047.83255</v>
      </c>
      <c r="C550" s="3">
        <f>IFERROR(__xludf.DUMMYFUNCTION("""COMPUTED_VALUE"""),46047.89060434028)</f>
        <v>46047.8906</v>
      </c>
      <c r="D550" s="3" t="str">
        <f>IFERROR(__xludf.DUMMYFUNCTION("""COMPUTED_VALUE"""),"FD")</f>
        <v>FD</v>
      </c>
      <c r="E550" s="3" t="str">
        <f>IFERROR(__xludf.DUMMYFUNCTION("""COMPUTED_VALUE"""),"-")</f>
        <v>-</v>
      </c>
      <c r="F550" s="3" t="str">
        <f>IFERROR(__xludf.DUMMYFUNCTION("""COMPUTED_VALUE"""),"General - Diaphragm 40 mm ER Grade EPDM; Saunders; DA040ER M4; 1 Pc")</f>
        <v>General - Diaphragm 40 mm ER Grade EPDM; Saunders; DA040ER M4; 1 Pc</v>
      </c>
      <c r="G550" s="3">
        <f>IFERROR(__xludf.DUMMYFUNCTION("""COMPUTED_VALUE"""),24.0)</f>
        <v>24</v>
      </c>
      <c r="H550" s="3" t="str">
        <f>IFERROR(__xludf.DUMMYFUNCTION("""COMPUTED_VALUE"""),"Pieces")</f>
        <v>Pieces</v>
      </c>
      <c r="I550" s="3" t="str">
        <f>IFERROR(__xludf.DUMMYFUNCTION("""COMPUTED_VALUE"""),"Deliver")</f>
        <v>Deliver</v>
      </c>
      <c r="J550" s="3" t="str">
        <f>IFERROR(__xludf.DUMMYFUNCTION("""COMPUTED_VALUE"""),"-")</f>
        <v>-</v>
      </c>
      <c r="K550" s="3" t="str">
        <f>IFERROR(__xludf.DUMMYFUNCTION("""COMPUTED_VALUE"""),"-")</f>
        <v>-</v>
      </c>
    </row>
    <row r="551">
      <c r="A551" s="3" t="str">
        <f>IFERROR(__xludf.DUMMYFUNCTION("""COMPUTED_VALUE"""),"MFHRO0318")</f>
        <v>MFHRO0318</v>
      </c>
      <c r="B551" s="4">
        <f>IFERROR(__xludf.DUMMYFUNCTION("""COMPUTED_VALUE"""),46047.83255263889)</f>
        <v>46047.83255</v>
      </c>
      <c r="C551" s="3">
        <f>IFERROR(__xludf.DUMMYFUNCTION("""COMPUTED_VALUE"""),46047.89109675926)</f>
        <v>46047.8911</v>
      </c>
      <c r="D551" s="3" t="str">
        <f>IFERROR(__xludf.DUMMYFUNCTION("""COMPUTED_VALUE"""),"FD")</f>
        <v>FD</v>
      </c>
      <c r="E551" s="3" t="str">
        <f>IFERROR(__xludf.DUMMYFUNCTION("""COMPUTED_VALUE"""),"-")</f>
        <v>-</v>
      </c>
      <c r="F551" s="3" t="str">
        <f>IFERROR(__xludf.DUMMYFUNCTION("""COMPUTED_VALUE"""),"General - Diaphragm 25 mm ER Grade EPDM; Saunders; DA025ER M4; 1 Pc")</f>
        <v>General - Diaphragm 25 mm ER Grade EPDM; Saunders; DA025ER M4; 1 Pc</v>
      </c>
      <c r="G551" s="3">
        <f>IFERROR(__xludf.DUMMYFUNCTION("""COMPUTED_VALUE"""),40.0)</f>
        <v>40</v>
      </c>
      <c r="H551" s="3" t="str">
        <f>IFERROR(__xludf.DUMMYFUNCTION("""COMPUTED_VALUE"""),"Pieces")</f>
        <v>Pieces</v>
      </c>
      <c r="I551" s="3" t="str">
        <f>IFERROR(__xludf.DUMMYFUNCTION("""COMPUTED_VALUE"""),"Deliver")</f>
        <v>Deliver</v>
      </c>
      <c r="J551" s="3" t="str">
        <f>IFERROR(__xludf.DUMMYFUNCTION("""COMPUTED_VALUE"""),"121703688 - APPROVED")</f>
        <v>121703688 - APPROVED</v>
      </c>
      <c r="K551" s="3" t="str">
        <f>IFERROR(__xludf.DUMMYFUNCTION("""COMPUTED_VALUE"""),"GL2602004")</f>
        <v>GL2602004</v>
      </c>
    </row>
    <row r="552">
      <c r="A552" s="3" t="str">
        <f>IFERROR(__xludf.DUMMYFUNCTION("""COMPUTED_VALUE"""),"MFHRO0319")</f>
        <v>MFHRO0319</v>
      </c>
      <c r="B552" s="4">
        <f>IFERROR(__xludf.DUMMYFUNCTION("""COMPUTED_VALUE"""),46047.83255263889)</f>
        <v>46047.83255</v>
      </c>
      <c r="C552" s="3">
        <f>IFERROR(__xludf.DUMMYFUNCTION("""COMPUTED_VALUE"""),46047.891193449075)</f>
        <v>46047.89119</v>
      </c>
      <c r="D552" s="3" t="str">
        <f>IFERROR(__xludf.DUMMYFUNCTION("""COMPUTED_VALUE"""),"FD")</f>
        <v>FD</v>
      </c>
      <c r="E552" s="3" t="str">
        <f>IFERROR(__xludf.DUMMYFUNCTION("""COMPUTED_VALUE"""),"-")</f>
        <v>-</v>
      </c>
      <c r="F552" s="3" t="str">
        <f>IFERROR(__xludf.DUMMYFUNCTION("""COMPUTED_VALUE"""),"General - Diaphragm Grade ER SQUARE Type A EPDM Diaphragm Screw; Saunders; DP008ER; 1 Pc")</f>
        <v>General - Diaphragm Grade ER SQUARE Type A EPDM Diaphragm Screw; Saunders; DP008ER; 1 Pc</v>
      </c>
      <c r="G552" s="3">
        <f>IFERROR(__xludf.DUMMYFUNCTION("""COMPUTED_VALUE"""),4.0)</f>
        <v>4</v>
      </c>
      <c r="H552" s="3" t="str">
        <f>IFERROR(__xludf.DUMMYFUNCTION("""COMPUTED_VALUE"""),"Pieces")</f>
        <v>Pieces</v>
      </c>
      <c r="I552" s="3" t="str">
        <f>IFERROR(__xludf.DUMMYFUNCTION("""COMPUTED_VALUE"""),"Deliver")</f>
        <v>Deliver</v>
      </c>
      <c r="J552" s="3" t="str">
        <f>IFERROR(__xludf.DUMMYFUNCTION("""COMPUTED_VALUE"""),"121703688 - APPROVED")</f>
        <v>121703688 - APPROVED</v>
      </c>
      <c r="K552" s="3" t="str">
        <f>IFERROR(__xludf.DUMMYFUNCTION("""COMPUTED_VALUE"""),"GL2602004")</f>
        <v>GL2602004</v>
      </c>
    </row>
    <row r="553">
      <c r="A553" s="3" t="str">
        <f>IFERROR(__xludf.DUMMYFUNCTION("""COMPUTED_VALUE"""),"MFHRO0320")</f>
        <v>MFHRO0320</v>
      </c>
      <c r="B553" s="4">
        <f>IFERROR(__xludf.DUMMYFUNCTION("""COMPUTED_VALUE"""),46047.83255263889)</f>
        <v>46047.83255</v>
      </c>
      <c r="C553" s="3">
        <f>IFERROR(__xludf.DUMMYFUNCTION("""COMPUTED_VALUE"""),46047.89131820602)</f>
        <v>46047.89132</v>
      </c>
      <c r="D553" s="3" t="str">
        <f>IFERROR(__xludf.DUMMYFUNCTION("""COMPUTED_VALUE"""),"Coating")</f>
        <v>Coating</v>
      </c>
      <c r="E553" s="3" t="str">
        <f>IFERROR(__xludf.DUMMYFUNCTION("""COMPUTED_VALUE"""),"-")</f>
        <v>-</v>
      </c>
      <c r="F553" s="3" t="str">
        <f>IFERROR(__xludf.DUMMYFUNCTION("""COMPUTED_VALUE"""),"Coating PLAB - Inflatable Silicone Sealing Ring; ; GDA040193; 1 Pc")</f>
        <v>Coating PLAB - Inflatable Silicone Sealing Ring; ; GDA040193; 1 Pc</v>
      </c>
      <c r="G553" s="3">
        <f>IFERROR(__xludf.DUMMYFUNCTION("""COMPUTED_VALUE"""),1.0)</f>
        <v>1</v>
      </c>
      <c r="H553" s="3" t="str">
        <f>IFERROR(__xludf.DUMMYFUNCTION("""COMPUTED_VALUE"""),"Pieces")</f>
        <v>Pieces</v>
      </c>
      <c r="I553" s="3" t="str">
        <f>IFERROR(__xludf.DUMMYFUNCTION("""COMPUTED_VALUE"""),"Deliver")</f>
        <v>Deliver</v>
      </c>
      <c r="J553" s="3" t="str">
        <f>IFERROR(__xludf.DUMMYFUNCTION("""COMPUTED_VALUE"""),"121703688 - APPROVED")</f>
        <v>121703688 - APPROVED</v>
      </c>
      <c r="K553" s="3" t="str">
        <f>IFERROR(__xludf.DUMMYFUNCTION("""COMPUTED_VALUE"""),"GL2602004")</f>
        <v>GL2602004</v>
      </c>
    </row>
    <row r="554">
      <c r="A554" s="3" t="str">
        <f>IFERROR(__xludf.DUMMYFUNCTION("""COMPUTED_VALUE"""),"MFHRO0321")</f>
        <v>MFHRO0321</v>
      </c>
      <c r="B554" s="4">
        <f>IFERROR(__xludf.DUMMYFUNCTION("""COMPUTED_VALUE"""),46047.83255263889)</f>
        <v>46047.83255</v>
      </c>
      <c r="C554" s="3">
        <f>IFERROR(__xludf.DUMMYFUNCTION("""COMPUTED_VALUE"""),46047.89140552083)</f>
        <v>46047.89141</v>
      </c>
      <c r="D554" s="3" t="str">
        <f>IFERROR(__xludf.DUMMYFUNCTION("""COMPUTED_VALUE"""),"Coating")</f>
        <v>Coating</v>
      </c>
      <c r="E554" s="3" t="str">
        <f>IFERROR(__xludf.DUMMYFUNCTION("""COMPUTED_VALUE"""),"-")</f>
        <v>-</v>
      </c>
      <c r="F554" s="3" t="str">
        <f>IFERROR(__xludf.DUMMYFUNCTION("""COMPUTED_VALUE"""),"Coating PLAB - Directional Control Valve; SMC; VNA101A-F6A; 1 Pc")</f>
        <v>Coating PLAB - Directional Control Valve; SMC; VNA101A-F6A; 1 Pc</v>
      </c>
      <c r="G554" s="3">
        <f>IFERROR(__xludf.DUMMYFUNCTION("""COMPUTED_VALUE"""),3.0)</f>
        <v>3</v>
      </c>
      <c r="H554" s="3" t="str">
        <f>IFERROR(__xludf.DUMMYFUNCTION("""COMPUTED_VALUE"""),"Pieces")</f>
        <v>Pieces</v>
      </c>
      <c r="I554" s="3" t="str">
        <f>IFERROR(__xludf.DUMMYFUNCTION("""COMPUTED_VALUE"""),"Deliver")</f>
        <v>Deliver</v>
      </c>
      <c r="J554" s="3" t="str">
        <f>IFERROR(__xludf.DUMMYFUNCTION("""COMPUTED_VALUE"""),"121703689 - APPROVED")</f>
        <v>121703689 - APPROVED</v>
      </c>
      <c r="K554" s="3" t="str">
        <f>IFERROR(__xludf.DUMMYFUNCTION("""COMPUTED_VALUE"""),"GL2602369")</f>
        <v>GL2602369</v>
      </c>
    </row>
    <row r="555">
      <c r="A555" s="3" t="str">
        <f>IFERROR(__xludf.DUMMYFUNCTION("""COMPUTED_VALUE"""),"MFHRO0322")</f>
        <v>MFHRO0322</v>
      </c>
      <c r="B555" s="4">
        <f>IFERROR(__xludf.DUMMYFUNCTION("""COMPUTED_VALUE"""),46047.83255263889)</f>
        <v>46047.83255</v>
      </c>
      <c r="C555" s="3">
        <f>IFERROR(__xludf.DUMMYFUNCTION("""COMPUTED_VALUE"""),46047.89163672454)</f>
        <v>46047.89164</v>
      </c>
      <c r="D555" s="3" t="str">
        <f>IFERROR(__xludf.DUMMYFUNCTION("""COMPUTED_VALUE"""),"Coating")</f>
        <v>Coating</v>
      </c>
      <c r="E555" s="3" t="str">
        <f>IFERROR(__xludf.DUMMYFUNCTION("""COMPUTED_VALUE"""),"-")</f>
        <v>-</v>
      </c>
      <c r="F555" s="3" t="str">
        <f>IFERROR(__xludf.DUMMYFUNCTION("""COMPUTED_VALUE"""),"Coating PLAB - Spare Kit; SMC; VN1-A3AA; ; ; 1 Pc")</f>
        <v>Coating PLAB - Spare Kit; SMC; VN1-A3AA; ; ; 1 Pc</v>
      </c>
      <c r="G555" s="3">
        <f>IFERROR(__xludf.DUMMYFUNCTION("""COMPUTED_VALUE"""),3.0)</f>
        <v>3</v>
      </c>
      <c r="H555" s="3" t="str">
        <f>IFERROR(__xludf.DUMMYFUNCTION("""COMPUTED_VALUE"""),"Pieces")</f>
        <v>Pieces</v>
      </c>
      <c r="I555" s="3" t="str">
        <f>IFERROR(__xludf.DUMMYFUNCTION("""COMPUTED_VALUE"""),"Deliver")</f>
        <v>Deliver</v>
      </c>
      <c r="J555" s="3" t="str">
        <f>IFERROR(__xludf.DUMMYFUNCTION("""COMPUTED_VALUE"""),"121703690 - APPROVED")</f>
        <v>121703690 - APPROVED</v>
      </c>
      <c r="K555" s="3" t="str">
        <f>IFERROR(__xludf.DUMMYFUNCTION("""COMPUTED_VALUE"""),"GL2602374")</f>
        <v>GL2602374</v>
      </c>
    </row>
    <row r="556">
      <c r="A556" s="3" t="str">
        <f>IFERROR(__xludf.DUMMYFUNCTION("""COMPUTED_VALUE"""),"MFHRO0323")</f>
        <v>MFHRO0323</v>
      </c>
      <c r="B556" s="4">
        <f>IFERROR(__xludf.DUMMYFUNCTION("""COMPUTED_VALUE"""),46047.83255263889)</f>
        <v>46047.83255</v>
      </c>
      <c r="C556" s="3">
        <f>IFERROR(__xludf.DUMMYFUNCTION("""COMPUTED_VALUE"""),46047.89174789352)</f>
        <v>46047.89175</v>
      </c>
      <c r="D556" s="3" t="str">
        <f>IFERROR(__xludf.DUMMYFUNCTION("""COMPUTED_VALUE"""),"Coating")</f>
        <v>Coating</v>
      </c>
      <c r="E556" s="3" t="str">
        <f>IFERROR(__xludf.DUMMYFUNCTION("""COMPUTED_VALUE"""),"-")</f>
        <v>-</v>
      </c>
      <c r="F556" s="3" t="str">
        <f>IFERROR(__xludf.DUMMYFUNCTION("""COMPUTED_VALUE"""),"Coating PLAB - Spare Kit; SMC; VN1-4AA; ; ; 1 Pc")</f>
        <v>Coating PLAB - Spare Kit; SMC; VN1-4AA; ; ; 1 Pc</v>
      </c>
      <c r="G556" s="3">
        <f>IFERROR(__xludf.DUMMYFUNCTION("""COMPUTED_VALUE"""),3.0)</f>
        <v>3</v>
      </c>
      <c r="H556" s="3" t="str">
        <f>IFERROR(__xludf.DUMMYFUNCTION("""COMPUTED_VALUE"""),"Pieces")</f>
        <v>Pieces</v>
      </c>
      <c r="I556" s="3" t="str">
        <f>IFERROR(__xludf.DUMMYFUNCTION("""COMPUTED_VALUE"""),"Deliver")</f>
        <v>Deliver</v>
      </c>
      <c r="J556" s="3" t="str">
        <f>IFERROR(__xludf.DUMMYFUNCTION("""COMPUTED_VALUE"""),"121703690 - APPROVED")</f>
        <v>121703690 - APPROVED</v>
      </c>
      <c r="K556" s="3" t="str">
        <f>IFERROR(__xludf.DUMMYFUNCTION("""COMPUTED_VALUE"""),"GL2602374")</f>
        <v>GL2602374</v>
      </c>
    </row>
    <row r="557">
      <c r="A557" s="3" t="str">
        <f>IFERROR(__xludf.DUMMYFUNCTION("""COMPUTED_VALUE"""),"MFHRO0324")</f>
        <v>MFHRO0324</v>
      </c>
      <c r="B557" s="4">
        <f>IFERROR(__xludf.DUMMYFUNCTION("""COMPUTED_VALUE"""),46047.83255263889)</f>
        <v>46047.83255</v>
      </c>
      <c r="C557" s="3">
        <f>IFERROR(__xludf.DUMMYFUNCTION("""COMPUTED_VALUE"""),46047.89230357639)</f>
        <v>46047.8923</v>
      </c>
      <c r="D557" s="3" t="str">
        <f>IFERROR(__xludf.DUMMYFUNCTION("""COMPUTED_VALUE"""),"Building")</f>
        <v>Building</v>
      </c>
      <c r="E557" s="3" t="str">
        <f>IFERROR(__xludf.DUMMYFUNCTION("""COMPUTED_VALUE"""),"-")</f>
        <v>-</v>
      </c>
      <c r="F557" s="3" t="str">
        <f>IFERROR(__xludf.DUMMYFUNCTION("""COMPUTED_VALUE"""),"General - Drain Sewerage Opener GL-10; No Brand; -; 1 pc")</f>
        <v>General - Drain Sewerage Opener GL-10; No Brand; -; 1 pc</v>
      </c>
      <c r="G557" s="3">
        <f>IFERROR(__xludf.DUMMYFUNCTION("""COMPUTED_VALUE"""),2.0)</f>
        <v>2</v>
      </c>
      <c r="H557" s="3" t="str">
        <f>IFERROR(__xludf.DUMMYFUNCTION("""COMPUTED_VALUE"""),"Liter")</f>
        <v>Liter</v>
      </c>
      <c r="I557" s="3" t="str">
        <f>IFERROR(__xludf.DUMMYFUNCTION("""COMPUTED_VALUE"""),"Deliver")</f>
        <v>Deliver</v>
      </c>
      <c r="J557" s="3" t="str">
        <f>IFERROR(__xludf.DUMMYFUNCTION("""COMPUTED_VALUE"""),"121703690 - APPROVED")</f>
        <v>121703690 - APPROVED</v>
      </c>
      <c r="K557" s="3" t="str">
        <f>IFERROR(__xludf.DUMMYFUNCTION("""COMPUTED_VALUE"""),"GL2602374")</f>
        <v>GL2602374</v>
      </c>
    </row>
    <row r="558">
      <c r="A558" s="3" t="str">
        <f>IFERROR(__xludf.DUMMYFUNCTION("""COMPUTED_VALUE"""),"SFHRO0032")</f>
        <v>SFHRO0032</v>
      </c>
      <c r="B558" s="4">
        <f>IFERROR(__xludf.DUMMYFUNCTION("""COMPUTED_VALUE"""),46049.64311123842)</f>
        <v>46049.64311</v>
      </c>
      <c r="C558" s="3">
        <f>IFERROR(__xludf.DUMMYFUNCTION("""COMPUTED_VALUE"""),46050.7070775)</f>
        <v>46050.70708</v>
      </c>
      <c r="D558" s="3" t="str">
        <f>IFERROR(__xludf.DUMMYFUNCTION("""COMPUTED_VALUE"""),"lantai 2")</f>
        <v>lantai 2</v>
      </c>
      <c r="E558" s="3" t="str">
        <f>IFERROR(__xludf.DUMMYFUNCTION("""COMPUTED_VALUE"""),"-")</f>
        <v>-</v>
      </c>
      <c r="F558" s="3" t="str">
        <f>IFERROR(__xludf.DUMMYFUNCTION("""COMPUTED_VALUE"""),"Cat Weathershield Day Break;Dulux;Type 40544M Day Break;pack size per 20L pail")</f>
        <v>Cat Weathershield Day Break;Dulux;Type 40544M Day Break;pack size per 20L pail</v>
      </c>
      <c r="G558" s="3">
        <f>IFERROR(__xludf.DUMMYFUNCTION("""COMPUTED_VALUE"""),3.0)</f>
        <v>3</v>
      </c>
      <c r="H558" s="3" t="str">
        <f>IFERROR(__xludf.DUMMYFUNCTION("""COMPUTED_VALUE"""),"pel")</f>
        <v>pel</v>
      </c>
      <c r="I558" s="3" t="str">
        <f>IFERROR(__xludf.DUMMYFUNCTION("""COMPUTED_VALUE"""),"Deliver")</f>
        <v>Deliver</v>
      </c>
      <c r="J558" s="3" t="str">
        <f>IFERROR(__xludf.DUMMYFUNCTION("""COMPUTED_VALUE"""),"121703774 - APPROVED")</f>
        <v>121703774 - APPROVED</v>
      </c>
      <c r="K558" s="3" t="str">
        <f>IFERROR(__xludf.DUMMYFUNCTION("""COMPUTED_VALUE"""),"GL2604011")</f>
        <v>GL2604011</v>
      </c>
    </row>
    <row r="559">
      <c r="A559" s="3" t="str">
        <f>IFERROR(__xludf.DUMMYFUNCTION("""COMPUTED_VALUE"""),"SFHRO0033")</f>
        <v>SFHRO0033</v>
      </c>
      <c r="B559" s="4">
        <f>IFERROR(__xludf.DUMMYFUNCTION("""COMPUTED_VALUE"""),46049.853237523144)</f>
        <v>46049.85324</v>
      </c>
      <c r="C559" s="3">
        <f>IFERROR(__xludf.DUMMYFUNCTION("""COMPUTED_VALUE"""),46050.70682636574)</f>
        <v>46050.70683</v>
      </c>
      <c r="D559" s="3" t="str">
        <f>IFERROR(__xludf.DUMMYFUNCTION("""COMPUTED_VALUE"""),"lantai 3")</f>
        <v>lantai 3</v>
      </c>
      <c r="E559" s="3" t="str">
        <f>IFERROR(__xludf.DUMMYFUNCTION("""COMPUTED_VALUE"""),"-")</f>
        <v>-</v>
      </c>
      <c r="F559" s="3" t="str">
        <f>IFERROR(__xludf.DUMMYFUNCTION("""COMPUTED_VALUE"""),"Polyfloor PFT-213 Light blue @ 20 KG")</f>
        <v>Polyfloor PFT-213 Light blue @ 20 KG</v>
      </c>
      <c r="G559" s="3">
        <f>IFERROR(__xludf.DUMMYFUNCTION("""COMPUTED_VALUE"""),4.0)</f>
        <v>4</v>
      </c>
      <c r="H559" s="3" t="str">
        <f>IFERROR(__xludf.DUMMYFUNCTION("""COMPUTED_VALUE"""),"pel")</f>
        <v>pel</v>
      </c>
      <c r="I559" s="3" t="str">
        <f>IFERROR(__xludf.DUMMYFUNCTION("""COMPUTED_VALUE"""),"Deliver")</f>
        <v>Deliver</v>
      </c>
      <c r="J559" s="3" t="str">
        <f>IFERROR(__xludf.DUMMYFUNCTION("""COMPUTED_VALUE"""),"121703773 - APPROVED")</f>
        <v>121703773 - APPROVED</v>
      </c>
      <c r="K559" s="3" t="str">
        <f>IFERROR(__xludf.DUMMYFUNCTION("""COMPUTED_VALUE"""),"GL2603052")</f>
        <v>GL2603052</v>
      </c>
    </row>
    <row r="560">
      <c r="A560" s="3" t="str">
        <f>IFERROR(__xludf.DUMMYFUNCTION("""COMPUTED_VALUE"""),"RIARO0065")</f>
        <v>RIARO0065</v>
      </c>
      <c r="B560" s="4">
        <f>IFERROR(__xludf.DUMMYFUNCTION("""COMPUTED_VALUE"""),46055.43885324074)</f>
        <v>46055.43885</v>
      </c>
      <c r="C560" s="3">
        <f>IFERROR(__xludf.DUMMYFUNCTION("""COMPUTED_VALUE"""),46062.3955021875)</f>
        <v>46062.3955</v>
      </c>
      <c r="D560" s="3" t="str">
        <f>IFERROR(__xludf.DUMMYFUNCTION("""COMPUTED_VALUE"""),"Dumbwaiter")</f>
        <v>Dumbwaiter</v>
      </c>
      <c r="E560" s="3" t="str">
        <f>IFERROR(__xludf.DUMMYFUNCTION("""COMPUTED_VALUE"""),"-")</f>
        <v>-</v>
      </c>
      <c r="F560" s="3" t="str">
        <f>IFERROR(__xludf.DUMMYFUNCTION("""COMPUTED_VALUE"""),"General - Limit Switch IP65; EWIG; E8108; 1 pc")</f>
        <v>General - Limit Switch IP65; EWIG; E8108; 1 pc</v>
      </c>
      <c r="G560" s="3">
        <f>IFERROR(__xludf.DUMMYFUNCTION("""COMPUTED_VALUE"""),3.0)</f>
        <v>3</v>
      </c>
      <c r="H560" s="3" t="str">
        <f>IFERROR(__xludf.DUMMYFUNCTION("""COMPUTED_VALUE"""),"Pcs")</f>
        <v>Pcs</v>
      </c>
      <c r="I560" s="3" t="str">
        <f>IFERROR(__xludf.DUMMYFUNCTION("""COMPUTED_VALUE"""),"Deliver")</f>
        <v>Deliver</v>
      </c>
      <c r="J560" s="3" t="str">
        <f>IFERROR(__xludf.DUMMYFUNCTION("""COMPUTED_VALUE"""),"121703861 - APPROVED")</f>
        <v>121703861 - APPROVED</v>
      </c>
      <c r="K560" s="3" t="str">
        <f>IFERROR(__xludf.DUMMYFUNCTION("""COMPUTED_VALUE"""),"GL2603434")</f>
        <v>GL2603434</v>
      </c>
    </row>
    <row r="561">
      <c r="A561" s="3" t="str">
        <f>IFERROR(__xludf.DUMMYFUNCTION("""COMPUTED_VALUE"""),"MRNRO0044")</f>
        <v>MRNRO0044</v>
      </c>
      <c r="B561" s="4">
        <f>IFERROR(__xludf.DUMMYFUNCTION("""COMPUTED_VALUE"""),46056.61126896991)</f>
        <v>46056.61127</v>
      </c>
      <c r="C561" s="3">
        <f>IFERROR(__xludf.DUMMYFUNCTION("""COMPUTED_VALUE"""),46062.39493278935)</f>
        <v>46062.39493</v>
      </c>
      <c r="D561" s="3" t="str">
        <f>IFERROR(__xludf.DUMMYFUNCTION("""COMPUTED_VALUE"""),"PSG")</f>
        <v>PSG</v>
      </c>
      <c r="E561" s="3" t="str">
        <f>IFERROR(__xludf.DUMMYFUNCTION("""COMPUTED_VALUE"""),"EJO/2025/08/203")</f>
        <v>EJO/2025/08/203</v>
      </c>
      <c r="F561" s="3" t="str">
        <f>IFERROR(__xludf.DUMMYFUNCTION("""COMPUTED_VALUE"""),"General - Ferrule SS 316, 1/2inch; No Brand; -; 1 pcs")</f>
        <v>General - Ferrule SS 316, 1/2inch; No Brand; -; 1 pcs</v>
      </c>
      <c r="G561" s="3">
        <f>IFERROR(__xludf.DUMMYFUNCTION("""COMPUTED_VALUE"""),2.0)</f>
        <v>2</v>
      </c>
      <c r="H561" s="3" t="str">
        <f>IFERROR(__xludf.DUMMYFUNCTION("""COMPUTED_VALUE"""),"pcs")</f>
        <v>pcs</v>
      </c>
      <c r="I561" s="3" t="str">
        <f>IFERROR(__xludf.DUMMYFUNCTION("""COMPUTED_VALUE"""),"Deliver")</f>
        <v>Deliver</v>
      </c>
      <c r="J561" s="3" t="str">
        <f>IFERROR(__xludf.DUMMYFUNCTION("""COMPUTED_VALUE"""),"121703859 - APPROVED")</f>
        <v>121703859 - APPROVED</v>
      </c>
      <c r="K561" s="3" t="str">
        <f>IFERROR(__xludf.DUMMYFUNCTION("""COMPUTED_VALUE"""),"GL2603430")</f>
        <v>GL2603430</v>
      </c>
    </row>
    <row r="562">
      <c r="A562" s="3" t="str">
        <f>IFERROR(__xludf.DUMMYFUNCTION("""COMPUTED_VALUE"""),"MRNRO0045")</f>
        <v>MRNRO0045</v>
      </c>
      <c r="B562" s="4">
        <f>IFERROR(__xludf.DUMMYFUNCTION("""COMPUTED_VALUE"""),46056.61235695602)</f>
        <v>46056.61236</v>
      </c>
      <c r="C562" s="3">
        <f>IFERROR(__xludf.DUMMYFUNCTION("""COMPUTED_VALUE"""),46062.39511769676)</f>
        <v>46062.39512</v>
      </c>
      <c r="D562" s="3" t="str">
        <f>IFERROR(__xludf.DUMMYFUNCTION("""COMPUTED_VALUE"""),"PSG")</f>
        <v>PSG</v>
      </c>
      <c r="E562" s="3" t="str">
        <f>IFERROR(__xludf.DUMMYFUNCTION("""COMPUTED_VALUE"""),"EJO/2025/08/204")</f>
        <v>EJO/2025/08/204</v>
      </c>
      <c r="F562" s="3" t="str">
        <f>IFERROR(__xludf.DUMMYFUNCTION("""COMPUTED_VALUE"""),"General - Ferrule SS 316L 1inch; No Brand; -; 1 pcs")</f>
        <v>General - Ferrule SS 316L 1inch; No Brand; -; 1 pcs</v>
      </c>
      <c r="G562" s="3">
        <f>IFERROR(__xludf.DUMMYFUNCTION("""COMPUTED_VALUE"""),2.0)</f>
        <v>2</v>
      </c>
      <c r="H562" s="3" t="str">
        <f>IFERROR(__xludf.DUMMYFUNCTION("""COMPUTED_VALUE"""),"pcs")</f>
        <v>pcs</v>
      </c>
      <c r="I562" s="3" t="str">
        <f>IFERROR(__xludf.DUMMYFUNCTION("""COMPUTED_VALUE"""),"Deliver")</f>
        <v>Deliver</v>
      </c>
      <c r="J562" s="3" t="str">
        <f>IFERROR(__xludf.DUMMYFUNCTION("""COMPUTED_VALUE"""),"121703859 - APPROVED")</f>
        <v>121703859 - APPROVED</v>
      </c>
      <c r="K562" s="3" t="str">
        <f>IFERROR(__xludf.DUMMYFUNCTION("""COMPUTED_VALUE"""),"GL2602033")</f>
        <v>GL2602033</v>
      </c>
    </row>
    <row r="563">
      <c r="A563" s="3" t="str">
        <f>IFERROR(__xludf.DUMMYFUNCTION("""COMPUTED_VALUE"""),"MRNRO0046")</f>
        <v>MRNRO0046</v>
      </c>
      <c r="B563" s="4">
        <f>IFERROR(__xludf.DUMMYFUNCTION("""COMPUTED_VALUE"""),46056.61339070602)</f>
        <v>46056.61339</v>
      </c>
      <c r="C563" s="3">
        <f>IFERROR(__xludf.DUMMYFUNCTION("""COMPUTED_VALUE"""),46062.39531416667)</f>
        <v>46062.39531</v>
      </c>
      <c r="D563" s="3" t="str">
        <f>IFERROR(__xludf.DUMMYFUNCTION("""COMPUTED_VALUE"""),"PSG")</f>
        <v>PSG</v>
      </c>
      <c r="E563" s="3" t="str">
        <f>IFERROR(__xludf.DUMMYFUNCTION("""COMPUTED_VALUE"""),"EJO/2025/08/205")</f>
        <v>EJO/2025/08/205</v>
      </c>
      <c r="F563" s="3" t="str">
        <f>IFERROR(__xludf.DUMMYFUNCTION("""COMPUTED_VALUE"""),"Elbow SS 316 L dia 1inch")</f>
        <v>Elbow SS 316 L dia 1inch</v>
      </c>
      <c r="G563" s="3">
        <f>IFERROR(__xludf.DUMMYFUNCTION("""COMPUTED_VALUE"""),6.0)</f>
        <v>6</v>
      </c>
      <c r="H563" s="3" t="str">
        <f>IFERROR(__xludf.DUMMYFUNCTION("""COMPUTED_VALUE"""),"pcs")</f>
        <v>pcs</v>
      </c>
      <c r="I563" s="3" t="str">
        <f>IFERROR(__xludf.DUMMYFUNCTION("""COMPUTED_VALUE"""),"Deliver")</f>
        <v>Deliver</v>
      </c>
      <c r="J563" s="3" t="str">
        <f>IFERROR(__xludf.DUMMYFUNCTION("""COMPUTED_VALUE"""),"121703859 - APPROVED")</f>
        <v>121703859 - APPROVED</v>
      </c>
      <c r="K563" s="3" t="str">
        <f>IFERROR(__xludf.DUMMYFUNCTION("""COMPUTED_VALUE"""),"GL2603430")</f>
        <v>GL2603430</v>
      </c>
    </row>
    <row r="564">
      <c r="A564" s="3" t="str">
        <f>IFERROR(__xludf.DUMMYFUNCTION("""COMPUTED_VALUE"""),"ROSRO0021")</f>
        <v>ROSRO0021</v>
      </c>
      <c r="B564" s="4">
        <f>IFERROR(__xludf.DUMMYFUNCTION("""COMPUTED_VALUE"""),46056.71664653935)</f>
        <v>46056.71665</v>
      </c>
      <c r="C564" s="3">
        <f>IFERROR(__xludf.DUMMYFUNCTION("""COMPUTED_VALUE"""),46064.99766043981)</f>
        <v>46064.99766</v>
      </c>
      <c r="D564" s="3" t="str">
        <f>IFERROR(__xludf.DUMMYFUNCTION("""COMPUTED_VALUE"""),"autoclave preparasi dan decontam")</f>
        <v>autoclave preparasi dan decontam</v>
      </c>
      <c r="E564" s="3" t="str">
        <f>IFERROR(__xludf.DUMMYFUNCTION("""COMPUTED_VALUE"""),"-")</f>
        <v>-</v>
      </c>
      <c r="F564" s="3" t="str">
        <f>IFERROR(__xludf.DUMMYFUNCTION("""COMPUTED_VALUE"""),"Autoclave Fedegari FOF / 6 AC - O-RING21.82x3.53 ; p/n CC150010; ; ;")</f>
        <v>Autoclave Fedegari FOF / 6 AC - O-RING21.82x3.53 ; p/n CC150010; ; ;</v>
      </c>
      <c r="G564" s="3">
        <f>IFERROR(__xludf.DUMMYFUNCTION("""COMPUTED_VALUE"""),20.0)</f>
        <v>20</v>
      </c>
      <c r="H564" s="3" t="str">
        <f>IFERROR(__xludf.DUMMYFUNCTION("""COMPUTED_VALUE"""),"pcs")</f>
        <v>pcs</v>
      </c>
      <c r="I564" s="3" t="str">
        <f>IFERROR(__xludf.DUMMYFUNCTION("""COMPUTED_VALUE"""),"Deliver")</f>
        <v>Deliver</v>
      </c>
      <c r="J564" s="3" t="str">
        <f>IFERROR(__xludf.DUMMYFUNCTION("""COMPUTED_VALUE"""),"121703883 - APPROVED")</f>
        <v>121703883 - APPROVED</v>
      </c>
      <c r="K564" s="3" t="str">
        <f>IFERROR(__xludf.DUMMYFUNCTION("""COMPUTED_VALUE"""),"GL2603453")</f>
        <v>GL2603453</v>
      </c>
    </row>
    <row r="565">
      <c r="A565" s="3" t="str">
        <f>IFERROR(__xludf.DUMMYFUNCTION("""COMPUTED_VALUE"""),"MOBRO0077")</f>
        <v>MOBRO0077</v>
      </c>
      <c r="B565" s="4">
        <f>IFERROR(__xludf.DUMMYFUNCTION("""COMPUTED_VALUE"""),46062.43281680556)</f>
        <v>46062.43282</v>
      </c>
      <c r="C565" s="3">
        <f>IFERROR(__xludf.DUMMYFUNCTION("""COMPUTED_VALUE"""),46072.99076731481)</f>
        <v>46072.99077</v>
      </c>
      <c r="D565" s="3" t="str">
        <f>IFERROR(__xludf.DUMMYFUNCTION("""COMPUTED_VALUE"""),"PWG")</f>
        <v>PWG</v>
      </c>
      <c r="E565" s="3" t="str">
        <f>IFERROR(__xludf.DUMMYFUNCTION("""COMPUTED_VALUE"""),"-")</f>
        <v>-</v>
      </c>
      <c r="F565" s="3" t="str">
        <f>IFERROR(__xludf.DUMMYFUNCTION("""COMPUTED_VALUE"""),"General - Water Hardness Test Kit; No Brand; -; 1 Pc")</f>
        <v>General - Water Hardness Test Kit; No Brand; -; 1 Pc</v>
      </c>
      <c r="G565" s="3">
        <f>IFERROR(__xludf.DUMMYFUNCTION("""COMPUTED_VALUE"""),3.0)</f>
        <v>3</v>
      </c>
      <c r="H565" s="3" t="str">
        <f>IFERROR(__xludf.DUMMYFUNCTION("""COMPUTED_VALUE"""),"Pcs")</f>
        <v>Pcs</v>
      </c>
      <c r="I565" s="3" t="str">
        <f>IFERROR(__xludf.DUMMYFUNCTION("""COMPUTED_VALUE"""),"Deliver")</f>
        <v>Deliver</v>
      </c>
      <c r="J565" s="3" t="str">
        <f>IFERROR(__xludf.DUMMYFUNCTION("""COMPUTED_VALUE"""),"121703888 - APPROVED")</f>
        <v>121703888 - APPROVED</v>
      </c>
      <c r="K565" s="3" t="str">
        <f>IFERROR(__xludf.DUMMYFUNCTION("""COMPUTED_VALUE"""),"GL2603449")</f>
        <v>GL2603449</v>
      </c>
    </row>
    <row r="566">
      <c r="A566" s="3" t="str">
        <f>IFERROR(__xludf.DUMMYFUNCTION("""COMPUTED_VALUE"""),"BDURO0003")</f>
        <v>BDURO0003</v>
      </c>
      <c r="B566" s="4">
        <f>IFERROR(__xludf.DUMMYFUNCTION("""COMPUTED_VALUE"""),46063.045743229166)</f>
        <v>46063.04574</v>
      </c>
      <c r="C566" s="3">
        <f>IFERROR(__xludf.DUMMYFUNCTION("""COMPUTED_VALUE"""),46072.99130712963)</f>
        <v>46072.99131</v>
      </c>
      <c r="D566" s="3" t="str">
        <f>IFERROR(__xludf.DUMMYFUNCTION("""COMPUTED_VALUE"""),"Install jalur ups clien hplc 5&amp;6")</f>
        <v>Install jalur ups clien hplc 5&amp;6</v>
      </c>
      <c r="E566" s="3" t="str">
        <f>IFERROR(__xludf.DUMMYFUNCTION("""COMPUTED_VALUE"""),"EJO/2025/12/51")</f>
        <v>EJO/2025/12/51</v>
      </c>
      <c r="F566" s="3" t="str">
        <f>IFERROR(__xludf.DUMMYFUNCTION("""COMPUTED_VALUE"""),"General - Kabel NYYHY 3 x 2.5mm; SUPREME; -; 1 meter")</f>
        <v>General - Kabel NYYHY 3 x 2.5mm; SUPREME; -; 1 meter</v>
      </c>
      <c r="G566" s="3">
        <f>IFERROR(__xludf.DUMMYFUNCTION("""COMPUTED_VALUE"""),70.0)</f>
        <v>70</v>
      </c>
      <c r="H566" s="3" t="str">
        <f>IFERROR(__xludf.DUMMYFUNCTION("""COMPUTED_VALUE"""),"M")</f>
        <v>M</v>
      </c>
      <c r="I566" s="3" t="str">
        <f>IFERROR(__xludf.DUMMYFUNCTION("""COMPUTED_VALUE"""),"Deliver")</f>
        <v>Deliver</v>
      </c>
      <c r="J566" s="3" t="str">
        <f>IFERROR(__xludf.DUMMYFUNCTION("""COMPUTED_VALUE"""),"121703891 - APPROVED")</f>
        <v>121703891 - APPROVED</v>
      </c>
      <c r="K566" s="3" t="str">
        <f>IFERROR(__xludf.DUMMYFUNCTION("""COMPUTED_VALUE"""),"GL2604492")</f>
        <v>GL2604492</v>
      </c>
    </row>
    <row r="567">
      <c r="A567" s="3" t="str">
        <f>IFERROR(__xludf.DUMMYFUNCTION("""COMPUTED_VALUE"""),"BDURO0004")</f>
        <v>BDURO0004</v>
      </c>
      <c r="B567" s="4">
        <f>IFERROR(__xludf.DUMMYFUNCTION("""COMPUTED_VALUE"""),46063.045818402774)</f>
        <v>46063.04582</v>
      </c>
      <c r="C567" s="3">
        <f>IFERROR(__xludf.DUMMYFUNCTION("""COMPUTED_VALUE"""),46072.991173993054)</f>
        <v>46072.99117</v>
      </c>
      <c r="D567" s="3" t="str">
        <f>IFERROR(__xludf.DUMMYFUNCTION("""COMPUTED_VALUE"""),"Install jalur ups uplc")</f>
        <v>Install jalur ups uplc</v>
      </c>
      <c r="E567" s="3" t="str">
        <f>IFERROR(__xludf.DUMMYFUNCTION("""COMPUTED_VALUE"""),"EJO/2025/12/51")</f>
        <v>EJO/2025/12/51</v>
      </c>
      <c r="F567" s="3" t="str">
        <f>IFERROR(__xludf.DUMMYFUNCTION("""COMPUTED_VALUE"""),"General - Kabel NYYHY 3 x 2.5mm; SUPREME; -; 1 meter")</f>
        <v>General - Kabel NYYHY 3 x 2.5mm; SUPREME; -; 1 meter</v>
      </c>
      <c r="G567" s="3">
        <f>IFERROR(__xludf.DUMMYFUNCTION("""COMPUTED_VALUE"""),80.0)</f>
        <v>80</v>
      </c>
      <c r="H567" s="3" t="str">
        <f>IFERROR(__xludf.DUMMYFUNCTION("""COMPUTED_VALUE"""),"M")</f>
        <v>M</v>
      </c>
      <c r="I567" s="3" t="str">
        <f>IFERROR(__xludf.DUMMYFUNCTION("""COMPUTED_VALUE"""),"Deliver")</f>
        <v>Deliver</v>
      </c>
      <c r="J567" s="3" t="str">
        <f>IFERROR(__xludf.DUMMYFUNCTION("""COMPUTED_VALUE"""),"121703891 - APPROVED")</f>
        <v>121703891 - APPROVED</v>
      </c>
      <c r="K567" s="3" t="str">
        <f>IFERROR(__xludf.DUMMYFUNCTION("""COMPUTED_VALUE"""),"GL2604492")</f>
        <v>GL2604492</v>
      </c>
    </row>
    <row r="568">
      <c r="A568" s="3" t="str">
        <f>IFERROR(__xludf.DUMMYFUNCTION("""COMPUTED_VALUE"""),"BDURO0005")</f>
        <v>BDURO0005</v>
      </c>
      <c r="B568" s="4">
        <f>IFERROR(__xludf.DUMMYFUNCTION("""COMPUTED_VALUE"""),46063.04584630787)</f>
        <v>46063.04585</v>
      </c>
      <c r="C568" s="3">
        <f>IFERROR(__xludf.DUMMYFUNCTION("""COMPUTED_VALUE"""),46072.991054004626)</f>
        <v>46072.99105</v>
      </c>
      <c r="D568" s="3" t="str">
        <f>IFERROR(__xludf.DUMMYFUNCTION("""COMPUTED_VALUE"""),"Install jalur ups clien hplc 5&amp;6")</f>
        <v>Install jalur ups clien hplc 5&amp;6</v>
      </c>
      <c r="E568" s="3" t="str">
        <f>IFERROR(__xludf.DUMMYFUNCTION("""COMPUTED_VALUE"""),"EJO/2025/12/51")</f>
        <v>EJO/2025/12/51</v>
      </c>
      <c r="F568" s="3" t="str">
        <f>IFERROR(__xludf.DUMMYFUNCTION("""COMPUTED_VALUE"""),"MCB 1 PHASE, SCHNEIDER ELECTRIC, IC60H 10Ka 16 AMPERE")</f>
        <v>MCB 1 PHASE, SCHNEIDER ELECTRIC, IC60H 10Ka 16 AMPERE</v>
      </c>
      <c r="G568" s="3">
        <f>IFERROR(__xludf.DUMMYFUNCTION("""COMPUTED_VALUE"""),1.0)</f>
        <v>1</v>
      </c>
      <c r="H568" s="3" t="str">
        <f>IFERROR(__xludf.DUMMYFUNCTION("""COMPUTED_VALUE"""),"Pcs")</f>
        <v>Pcs</v>
      </c>
      <c r="I568" s="3" t="str">
        <f>IFERROR(__xludf.DUMMYFUNCTION("""COMPUTED_VALUE"""),"Deliver")</f>
        <v>Deliver</v>
      </c>
      <c r="J568" s="3" t="str">
        <f>IFERROR(__xludf.DUMMYFUNCTION("""COMPUTED_VALUE"""),"121703890 - APPROVED")</f>
        <v>121703890 - APPROVED</v>
      </c>
      <c r="K568" s="3" t="str">
        <f>IFERROR(__xludf.DUMMYFUNCTION("""COMPUTED_VALUE"""),"GL2603456")</f>
        <v>GL2603456</v>
      </c>
    </row>
    <row r="569">
      <c r="A569" s="3" t="str">
        <f>IFERROR(__xludf.DUMMYFUNCTION("""COMPUTED_VALUE"""),"BDURO0006")</f>
        <v>BDURO0006</v>
      </c>
      <c r="B569" s="4">
        <f>IFERROR(__xludf.DUMMYFUNCTION("""COMPUTED_VALUE"""),46063.04586870371)</f>
        <v>46063.04587</v>
      </c>
      <c r="C569" s="3">
        <f>IFERROR(__xludf.DUMMYFUNCTION("""COMPUTED_VALUE"""),46072.99091763889)</f>
        <v>46072.99092</v>
      </c>
      <c r="D569" s="3" t="str">
        <f>IFERROR(__xludf.DUMMYFUNCTION("""COMPUTED_VALUE"""),"Install jalur ups uplc")</f>
        <v>Install jalur ups uplc</v>
      </c>
      <c r="E569" s="3" t="str">
        <f>IFERROR(__xludf.DUMMYFUNCTION("""COMPUTED_VALUE"""),"EJO/2025/12/51")</f>
        <v>EJO/2025/12/51</v>
      </c>
      <c r="F569" s="3" t="str">
        <f>IFERROR(__xludf.DUMMYFUNCTION("""COMPUTED_VALUE"""),"MCB 1 PHASE, SCHNEIDER ELECTRIC, IC60H 10Ka 16 AMPERE")</f>
        <v>MCB 1 PHASE, SCHNEIDER ELECTRIC, IC60H 10Ka 16 AMPERE</v>
      </c>
      <c r="G569" s="3">
        <f>IFERROR(__xludf.DUMMYFUNCTION("""COMPUTED_VALUE"""),1.0)</f>
        <v>1</v>
      </c>
      <c r="H569" s="3" t="str">
        <f>IFERROR(__xludf.DUMMYFUNCTION("""COMPUTED_VALUE"""),"Pcs")</f>
        <v>Pcs</v>
      </c>
      <c r="I569" s="3" t="str">
        <f>IFERROR(__xludf.DUMMYFUNCTION("""COMPUTED_VALUE"""),"Deliver")</f>
        <v>Deliver</v>
      </c>
      <c r="J569" s="3" t="str">
        <f>IFERROR(__xludf.DUMMYFUNCTION("""COMPUTED_VALUE"""),"121703890 - APPROVED")</f>
        <v>121703890 - APPROVED</v>
      </c>
      <c r="K569" s="3" t="str">
        <f>IFERROR(__xludf.DUMMYFUNCTION("""COMPUTED_VALUE"""),"GL2603456")</f>
        <v>GL2603456</v>
      </c>
    </row>
    <row r="570">
      <c r="A570" s="3" t="str">
        <f>IFERROR(__xludf.DUMMYFUNCTION("""COMPUTED_VALUE"""),"SFHRO0034")</f>
        <v>SFHRO0034</v>
      </c>
      <c r="B570" s="4">
        <f>IFERROR(__xludf.DUMMYFUNCTION("""COMPUTED_VALUE"""),46065.385553078704)</f>
        <v>46065.38555</v>
      </c>
      <c r="C570" s="3">
        <f>IFERROR(__xludf.DUMMYFUNCTION("""COMPUTED_VALUE"""),46072.98640559027)</f>
        <v>46072.98641</v>
      </c>
      <c r="D570" s="3" t="str">
        <f>IFERROR(__xludf.DUMMYFUNCTION("""COMPUTED_VALUE"""),"lantai 2")</f>
        <v>lantai 2</v>
      </c>
      <c r="E570" s="3" t="str">
        <f>IFERROR(__xludf.DUMMYFUNCTION("""COMPUTED_VALUE"""),"-")</f>
        <v>-</v>
      </c>
      <c r="F570" s="3" t="str">
        <f>IFERROR(__xludf.DUMMYFUNCTION("""COMPUTED_VALUE"""),"General - Lem Aibon; No Brand; -; 300 gram/can")</f>
        <v>General - Lem Aibon; No Brand; -; 300 gram/can</v>
      </c>
      <c r="G570" s="3">
        <f>IFERROR(__xludf.DUMMYFUNCTION("""COMPUTED_VALUE"""),3.0)</f>
        <v>3</v>
      </c>
      <c r="H570" s="3" t="str">
        <f>IFERROR(__xludf.DUMMYFUNCTION("""COMPUTED_VALUE"""),"kaleng")</f>
        <v>kaleng</v>
      </c>
      <c r="I570" s="3" t="str">
        <f>IFERROR(__xludf.DUMMYFUNCTION("""COMPUTED_VALUE"""),"Deliver")</f>
        <v>Deliver</v>
      </c>
      <c r="J570" s="3" t="str">
        <f>IFERROR(__xludf.DUMMYFUNCTION("""COMPUTED_VALUE"""),"121703884 - APPROVED")</f>
        <v>121703884 - APPROVED</v>
      </c>
      <c r="K570" s="3" t="str">
        <f>IFERROR(__xludf.DUMMYFUNCTION("""COMPUTED_VALUE"""),"GL2603449")</f>
        <v>GL2603449</v>
      </c>
    </row>
    <row r="571">
      <c r="A571" s="3" t="str">
        <f>IFERROR(__xludf.DUMMYFUNCTION("""COMPUTED_VALUE"""),"SFHRO0035")</f>
        <v>SFHRO0035</v>
      </c>
      <c r="B571" s="4">
        <f>IFERROR(__xludf.DUMMYFUNCTION("""COMPUTED_VALUE"""),46065.38636293981)</f>
        <v>46065.38636</v>
      </c>
      <c r="C571" s="3">
        <f>IFERROR(__xludf.DUMMYFUNCTION("""COMPUTED_VALUE"""),46072.98625855324)</f>
        <v>46072.98626</v>
      </c>
      <c r="D571" s="3" t="str">
        <f>IFERROR(__xludf.DUMMYFUNCTION("""COMPUTED_VALUE"""),"lantai 2")</f>
        <v>lantai 2</v>
      </c>
      <c r="E571" s="3" t="str">
        <f>IFERROR(__xludf.DUMMYFUNCTION("""COMPUTED_VALUE"""),"-")</f>
        <v>-</v>
      </c>
      <c r="F571" s="3" t="str">
        <f>IFERROR(__xludf.DUMMYFUNCTION("""COMPUTED_VALUE"""),"Limit Switch;; Omron; Part No. D4MC-1000; 1 pc/pack")</f>
        <v>Limit Switch;; Omron; Part No. D4MC-1000; 1 pc/pack</v>
      </c>
      <c r="G571" s="3">
        <f>IFERROR(__xludf.DUMMYFUNCTION("""COMPUTED_VALUE"""),3.0)</f>
        <v>3</v>
      </c>
      <c r="H571" s="3" t="str">
        <f>IFERROR(__xludf.DUMMYFUNCTION("""COMPUTED_VALUE"""),"pcs")</f>
        <v>pcs</v>
      </c>
      <c r="I571" s="3" t="str">
        <f>IFERROR(__xludf.DUMMYFUNCTION("""COMPUTED_VALUE"""),"Deliver")</f>
        <v>Deliver</v>
      </c>
      <c r="J571" s="3" t="str">
        <f>IFERROR(__xludf.DUMMYFUNCTION("""COMPUTED_VALUE"""),"121703884 - APPROVED")</f>
        <v>121703884 - APPROVED</v>
      </c>
      <c r="K571" s="3" t="str">
        <f>IFERROR(__xludf.DUMMYFUNCTION("""COMPUTED_VALUE"""),"GL2603042")</f>
        <v>GL2603042</v>
      </c>
    </row>
    <row r="572">
      <c r="A572" s="3" t="str">
        <f>IFERROR(__xludf.DUMMYFUNCTION("""COMPUTED_VALUE"""),"SFHRO0036")</f>
        <v>SFHRO0036</v>
      </c>
      <c r="B572" s="4">
        <f>IFERROR(__xludf.DUMMYFUNCTION("""COMPUTED_VALUE"""),46065.38918606482)</f>
        <v>46065.38919</v>
      </c>
      <c r="C572" s="3">
        <f>IFERROR(__xludf.DUMMYFUNCTION("""COMPUTED_VALUE"""),46072.986094884254)</f>
        <v>46072.98609</v>
      </c>
      <c r="D572" s="3" t="str">
        <f>IFERROR(__xludf.DUMMYFUNCTION("""COMPUTED_VALUE"""),"lantai 2")</f>
        <v>lantai 2</v>
      </c>
      <c r="E572" s="3" t="str">
        <f>IFERROR(__xludf.DUMMYFUNCTION("""COMPUTED_VALUE"""),"-")</f>
        <v>-</v>
      </c>
      <c r="F572" s="3" t="str">
        <f>IFERROR(__xludf.DUMMYFUNCTION("""COMPUTED_VALUE"""),"Cat Ftalit 444 Banana Yellow; ; ; 1 Kg per Can")</f>
        <v>Cat Ftalit 444 Banana Yellow; ; ; 1 Kg per Can</v>
      </c>
      <c r="G572" s="3">
        <f>IFERROR(__xludf.DUMMYFUNCTION("""COMPUTED_VALUE"""),3.0)</f>
        <v>3</v>
      </c>
      <c r="H572" s="3" t="str">
        <f>IFERROR(__xludf.DUMMYFUNCTION("""COMPUTED_VALUE"""),"kg")</f>
        <v>kg</v>
      </c>
      <c r="I572" s="3" t="str">
        <f>IFERROR(__xludf.DUMMYFUNCTION("""COMPUTED_VALUE"""),"Deliver")</f>
        <v>Deliver</v>
      </c>
      <c r="J572" s="3" t="str">
        <f>IFERROR(__xludf.DUMMYFUNCTION("""COMPUTED_VALUE"""),"121703893 - APPROVED")</f>
        <v>121703893 - APPROVED</v>
      </c>
      <c r="K572" s="3" t="str">
        <f>IFERROR(__xludf.DUMMYFUNCTION("""COMPUTED_VALUE"""),"GL2604011")</f>
        <v>GL2604011</v>
      </c>
    </row>
    <row r="573">
      <c r="A573" s="3" t="str">
        <f>IFERROR(__xludf.DUMMYFUNCTION("""COMPUTED_VALUE"""),"SFHRO0037")</f>
        <v>SFHRO0037</v>
      </c>
      <c r="B573" s="4">
        <f>IFERROR(__xludf.DUMMYFUNCTION("""COMPUTED_VALUE"""),46065.393395879626)</f>
        <v>46065.3934</v>
      </c>
      <c r="C573" s="3">
        <f>IFERROR(__xludf.DUMMYFUNCTION("""COMPUTED_VALUE"""),46072.9858684838)</f>
        <v>46072.98587</v>
      </c>
      <c r="D573" s="3" t="str">
        <f>IFERROR(__xludf.DUMMYFUNCTION("""COMPUTED_VALUE"""),"Lantai 2")</f>
        <v>Lantai 2</v>
      </c>
      <c r="E573" s="3" t="str">
        <f>IFERROR(__xludf.DUMMYFUNCTION("""COMPUTED_VALUE"""),"-")</f>
        <v>-</v>
      </c>
      <c r="F573" s="3" t="str">
        <f>IFERROR(__xludf.DUMMYFUNCTION("""COMPUTED_VALUE"""),"Kuas Cat Uk. 5 inch;No Brand;;pack size per pcs")</f>
        <v>Kuas Cat Uk. 5 inch;No Brand;;pack size per pcs</v>
      </c>
      <c r="G573" s="3">
        <f>IFERROR(__xludf.DUMMYFUNCTION("""COMPUTED_VALUE"""),5.0)</f>
        <v>5</v>
      </c>
      <c r="H573" s="3" t="str">
        <f>IFERROR(__xludf.DUMMYFUNCTION("""COMPUTED_VALUE"""),"pcs")</f>
        <v>pcs</v>
      </c>
      <c r="I573" s="3" t="str">
        <f>IFERROR(__xludf.DUMMYFUNCTION("""COMPUTED_VALUE"""),"Deliver")</f>
        <v>Deliver</v>
      </c>
      <c r="J573" s="3" t="str">
        <f>IFERROR(__xludf.DUMMYFUNCTION("""COMPUTED_VALUE"""),"121703892 - APPROVED")</f>
        <v>121703892 - APPROVED</v>
      </c>
      <c r="K573" s="3" t="str">
        <f>IFERROR(__xludf.DUMMYFUNCTION("""COMPUTED_VALUE"""),"GL2604040")</f>
        <v>GL2604040</v>
      </c>
    </row>
    <row r="574">
      <c r="A574" s="3" t="str">
        <f>IFERROR(__xludf.DUMMYFUNCTION("""COMPUTED_VALUE"""),"SFHRO0038")</f>
        <v>SFHRO0038</v>
      </c>
      <c r="B574" s="4">
        <f>IFERROR(__xludf.DUMMYFUNCTION("""COMPUTED_VALUE"""),46065.402645856484)</f>
        <v>46065.40265</v>
      </c>
      <c r="C574" s="3">
        <f>IFERROR(__xludf.DUMMYFUNCTION("""COMPUTED_VALUE"""),46072.98568583334)</f>
        <v>46072.98569</v>
      </c>
      <c r="D574" s="3" t="str">
        <f>IFERROR(__xludf.DUMMYFUNCTION("""COMPUTED_VALUE"""),"lantai 2")</f>
        <v>lantai 2</v>
      </c>
      <c r="E574" s="3" t="str">
        <f>IFERROR(__xludf.DUMMYFUNCTION("""COMPUTED_VALUE"""),"-")</f>
        <v>-</v>
      </c>
      <c r="F574" s="3" t="str">
        <f>IFERROR(__xludf.DUMMYFUNCTION("""COMPUTED_VALUE"""),"Kuas uk. 2.5 inch; No Brand; ; pack size per pc")</f>
        <v>Kuas uk. 2.5 inch; No Brand; ; pack size per pc</v>
      </c>
      <c r="G574" s="3">
        <f>IFERROR(__xludf.DUMMYFUNCTION("""COMPUTED_VALUE"""),5.0)</f>
        <v>5</v>
      </c>
      <c r="H574" s="3" t="str">
        <f>IFERROR(__xludf.DUMMYFUNCTION("""COMPUTED_VALUE"""),"pcs")</f>
        <v>pcs</v>
      </c>
      <c r="I574" s="3" t="str">
        <f>IFERROR(__xludf.DUMMYFUNCTION("""COMPUTED_VALUE"""),"Deliver")</f>
        <v>Deliver</v>
      </c>
      <c r="J574" s="3" t="str">
        <f>IFERROR(__xludf.DUMMYFUNCTION("""COMPUTED_VALUE"""),"121703886 - APPROVED")</f>
        <v>121703886 - APPROVED</v>
      </c>
      <c r="K574" s="3" t="str">
        <f>IFERROR(__xludf.DUMMYFUNCTION("""COMPUTED_VALUE"""),"GL2604011")</f>
        <v>GL2604011</v>
      </c>
    </row>
    <row r="575">
      <c r="A575" s="3" t="str">
        <f>IFERROR(__xludf.DUMMYFUNCTION("""COMPUTED_VALUE"""),"RIARO0068")</f>
        <v>RIARO0068</v>
      </c>
      <c r="B575" s="4">
        <f>IFERROR(__xludf.DUMMYFUNCTION("""COMPUTED_VALUE"""),46068.6837164699)</f>
        <v>46068.68372</v>
      </c>
      <c r="C575" s="3">
        <f>IFERROR(__xludf.DUMMYFUNCTION("""COMPUTED_VALUE"""),46072.982896643516)</f>
        <v>46072.9829</v>
      </c>
      <c r="D575" s="3" t="str">
        <f>IFERROR(__xludf.DUMMYFUNCTION("""COMPUTED_VALUE"""),"All Area")</f>
        <v>All Area</v>
      </c>
      <c r="E575" s="3" t="str">
        <f>IFERROR(__xludf.DUMMYFUNCTION("""COMPUTED_VALUE"""),"-")</f>
        <v>-</v>
      </c>
      <c r="F575" s="3" t="str">
        <f>IFERROR(__xludf.DUMMYFUNCTION("""COMPUTED_VALUE"""),"OMRON - Relay MY4N 220/240VAC")</f>
        <v>OMRON - Relay MY4N 220/240VAC</v>
      </c>
      <c r="G575" s="3">
        <f>IFERROR(__xludf.DUMMYFUNCTION("""COMPUTED_VALUE"""),20.0)</f>
        <v>20</v>
      </c>
      <c r="H575" s="3" t="str">
        <f>IFERROR(__xludf.DUMMYFUNCTION("""COMPUTED_VALUE"""),"Pcs")</f>
        <v>Pcs</v>
      </c>
      <c r="I575" s="3" t="str">
        <f>IFERROR(__xludf.DUMMYFUNCTION("""COMPUTED_VALUE"""),"Deliver")</f>
        <v>Deliver</v>
      </c>
      <c r="J575" s="3" t="str">
        <f>IFERROR(__xludf.DUMMYFUNCTION("""COMPUTED_VALUE"""),"121703887 - APPROVED")</f>
        <v>121703887 - APPROVED</v>
      </c>
      <c r="K575" s="3" t="str">
        <f>IFERROR(__xludf.DUMMYFUNCTION("""COMPUTED_VALUE"""),"GL2603454")</f>
        <v>GL2603454</v>
      </c>
    </row>
    <row r="576">
      <c r="A576" s="3" t="str">
        <f>IFERROR(__xludf.DUMMYFUNCTION("""COMPUTED_VALUE"""),"ROSRO0022")</f>
        <v>ROSRO0022</v>
      </c>
      <c r="B576" s="4">
        <f>IFERROR(__xludf.DUMMYFUNCTION("""COMPUTED_VALUE"""),46069.59646663194)</f>
        <v>46069.59647</v>
      </c>
      <c r="C576" s="3">
        <f>IFERROR(__xludf.DUMMYFUNCTION("""COMPUTED_VALUE"""),46069.648477511575)</f>
        <v>46069.64848</v>
      </c>
      <c r="D576" s="3" t="str">
        <f>IFERROR(__xludf.DUMMYFUNCTION("""COMPUTED_VALUE"""),"Dsipensing Steril")</f>
        <v>Dsipensing Steril</v>
      </c>
      <c r="E576" s="3" t="str">
        <f>IFERROR(__xludf.DUMMYFUNCTION("""COMPUTED_VALUE"""),"-")</f>
        <v>-</v>
      </c>
      <c r="F576" s="3" t="str">
        <f>IFERROR(__xludf.DUMMYFUNCTION("""COMPUTED_VALUE"""),"BEARING R-4HH BRAND EZO")</f>
        <v>BEARING R-4HH BRAND EZO</v>
      </c>
      <c r="G576" s="3">
        <f>IFERROR(__xludf.DUMMYFUNCTION("""COMPUTED_VALUE"""),20.0)</f>
        <v>20</v>
      </c>
      <c r="H576" s="3" t="str">
        <f>IFERROR(__xludf.DUMMYFUNCTION("""COMPUTED_VALUE"""),"Pcs")</f>
        <v>Pcs</v>
      </c>
      <c r="I576" s="3" t="str">
        <f>IFERROR(__xludf.DUMMYFUNCTION("""COMPUTED_VALUE"""),"PO Open")</f>
        <v>PO Open</v>
      </c>
      <c r="J576" s="3" t="str">
        <f>IFERROR(__xludf.DUMMYFUNCTION("""COMPUTED_VALUE"""),"121704358 - APPROVED")</f>
        <v>121704358 - APPROVED</v>
      </c>
      <c r="K576" s="3" t="str">
        <f>IFERROR(__xludf.DUMMYFUNCTION("""COMPUTED_VALUE"""),"GL2607382")</f>
        <v>GL2607382</v>
      </c>
    </row>
    <row r="577">
      <c r="A577" s="3" t="str">
        <f>IFERROR(__xludf.DUMMYFUNCTION("""COMPUTED_VALUE"""),"ROSRO0023")</f>
        <v>ROSRO0023</v>
      </c>
      <c r="B577" s="4">
        <f>IFERROR(__xludf.DUMMYFUNCTION("""COMPUTED_VALUE"""),46069.60635513889)</f>
        <v>46069.60636</v>
      </c>
      <c r="C577" s="3">
        <f>IFERROR(__xludf.DUMMYFUNCTION("""COMPUTED_VALUE"""),46069.653149652775)</f>
        <v>46069.65315</v>
      </c>
      <c r="D577" s="3" t="str">
        <f>IFERROR(__xludf.DUMMYFUNCTION("""COMPUTED_VALUE"""),"WIHC")</f>
        <v>WIHC</v>
      </c>
      <c r="E577" s="3" t="str">
        <f>IFERROR(__xludf.DUMMYFUNCTION("""COMPUTED_VALUE"""),"-")</f>
        <v>-</v>
      </c>
      <c r="F577" s="3" t="str">
        <f>IFERROR(__xludf.DUMMYFUNCTION("""COMPUTED_VALUE"""),"General - Terminal Block, 6 mm; Fort; -; 1 pcs")</f>
        <v>General - Terminal Block, 6 mm; Fort; -; 1 pcs</v>
      </c>
      <c r="G577" s="3">
        <f>IFERROR(__xludf.DUMMYFUNCTION("""COMPUTED_VALUE"""),50.0)</f>
        <v>50</v>
      </c>
      <c r="H577" s="3" t="str">
        <f>IFERROR(__xludf.DUMMYFUNCTION("""COMPUTED_VALUE"""),"pcs")</f>
        <v>pcs</v>
      </c>
      <c r="I577" s="3" t="str">
        <f>IFERROR(__xludf.DUMMYFUNCTION("""COMPUTED_VALUE"""),"Deliver")</f>
        <v>Deliver</v>
      </c>
      <c r="J577" s="3" t="str">
        <f>IFERROR(__xludf.DUMMYFUNCTION("""COMPUTED_VALUE"""),"121703890 - APPROVED")</f>
        <v>121703890 - APPROVED</v>
      </c>
      <c r="K577" s="3" t="str">
        <f>IFERROR(__xludf.DUMMYFUNCTION("""COMPUTED_VALUE"""),"GL2603456")</f>
        <v>GL2603456</v>
      </c>
    </row>
    <row r="578">
      <c r="A578" s="3" t="str">
        <f>IFERROR(__xludf.DUMMYFUNCTION("""COMPUTED_VALUE"""),"ROSRO0024")</f>
        <v>ROSRO0024</v>
      </c>
      <c r="B578" s="4">
        <f>IFERROR(__xludf.DUMMYFUNCTION("""COMPUTED_VALUE"""),46069.60670791667)</f>
        <v>46069.60671</v>
      </c>
      <c r="C578" s="3">
        <f>IFERROR(__xludf.DUMMYFUNCTION("""COMPUTED_VALUE"""),46069.656917824075)</f>
        <v>46069.65692</v>
      </c>
      <c r="D578" s="3" t="str">
        <f>IFERROR(__xludf.DUMMYFUNCTION("""COMPUTED_VALUE"""),"-")</f>
        <v>-</v>
      </c>
      <c r="E578" s="3" t="str">
        <f>IFERROR(__xludf.DUMMYFUNCTION("""COMPUTED_VALUE"""),"-")</f>
        <v>-</v>
      </c>
      <c r="F578" s="3" t="str">
        <f>IFERROR(__xludf.DUMMYFUNCTION("""COMPUTED_VALUE"""),"General - Terminal Viking Grounding 4mm; Legrand; -; 1 pc")</f>
        <v>General - Terminal Viking Grounding 4mm; Legrand; -; 1 pc</v>
      </c>
      <c r="G578" s="3">
        <f>IFERROR(__xludf.DUMMYFUNCTION("""COMPUTED_VALUE"""),50.0)</f>
        <v>50</v>
      </c>
      <c r="H578" s="3" t="str">
        <f>IFERROR(__xludf.DUMMYFUNCTION("""COMPUTED_VALUE"""),"pcs")</f>
        <v>pcs</v>
      </c>
      <c r="I578" s="3" t="str">
        <f>IFERROR(__xludf.DUMMYFUNCTION("""COMPUTED_VALUE"""),"Deliver")</f>
        <v>Deliver</v>
      </c>
      <c r="J578" s="3" t="str">
        <f>IFERROR(__xludf.DUMMYFUNCTION("""COMPUTED_VALUE"""),"121703889 - APPROVED")</f>
        <v>121703889 - APPROVED</v>
      </c>
      <c r="K578" s="3" t="str">
        <f>IFERROR(__xludf.DUMMYFUNCTION("""COMPUTED_VALUE"""),"GL2603451")</f>
        <v>GL2603451</v>
      </c>
    </row>
    <row r="579">
      <c r="A579" s="3" t="str">
        <f>IFERROR(__xludf.DUMMYFUNCTION("""COMPUTED_VALUE"""),"SFHRO0039")</f>
        <v>SFHRO0039</v>
      </c>
      <c r="B579" s="4">
        <f>IFERROR(__xludf.DUMMYFUNCTION("""COMPUTED_VALUE"""),46072.670798680556)</f>
        <v>46072.6708</v>
      </c>
      <c r="C579" s="3">
        <f>IFERROR(__xludf.DUMMYFUNCTION("""COMPUTED_VALUE"""),46072.99151856481)</f>
        <v>46072.99152</v>
      </c>
      <c r="D579" s="3" t="str">
        <f>IFERROR(__xludf.DUMMYFUNCTION("""COMPUTED_VALUE"""),"lantai 2")</f>
        <v>lantai 2</v>
      </c>
      <c r="E579" s="3" t="str">
        <f>IFERROR(__xludf.DUMMYFUNCTION("""COMPUTED_VALUE"""),"-")</f>
        <v>-</v>
      </c>
      <c r="F579" s="3" t="str">
        <f>IFERROR(__xludf.DUMMYFUNCTION("""COMPUTED_VALUE"""),"Polyfloor PFT-213 Ivory @ 20 KG")</f>
        <v>Polyfloor PFT-213 Ivory @ 20 KG</v>
      </c>
      <c r="G579" s="3">
        <f>IFERROR(__xludf.DUMMYFUNCTION("""COMPUTED_VALUE"""),2.0)</f>
        <v>2</v>
      </c>
      <c r="H579" s="3" t="str">
        <f>IFERROR(__xludf.DUMMYFUNCTION("""COMPUTED_VALUE"""),"pel")</f>
        <v>pel</v>
      </c>
      <c r="I579" s="3" t="str">
        <f>IFERROR(__xludf.DUMMYFUNCTION("""COMPUTED_VALUE"""),"PR Open")</f>
        <v>PR Open</v>
      </c>
      <c r="J579" s="3" t="str">
        <f>IFERROR(__xludf.DUMMYFUNCTION("""COMPUTED_VALUE"""),"121704564 - APPROVED")</f>
        <v>121704564 - APPROVED</v>
      </c>
      <c r="K579" s="3" t="str">
        <f>IFERROR(__xludf.DUMMYFUNCTION("""COMPUTED_VALUE"""),"GL2609431")</f>
        <v>GL2609431</v>
      </c>
    </row>
    <row r="580">
      <c r="A580" s="3" t="str">
        <f>IFERROR(__xludf.DUMMYFUNCTION("""COMPUTED_VALUE"""),"RIARO0069")</f>
        <v>RIARO0069</v>
      </c>
      <c r="B580" s="4">
        <f>IFERROR(__xludf.DUMMYFUNCTION("""COMPUTED_VALUE"""),46078.3682403125)</f>
        <v>46078.36824</v>
      </c>
      <c r="C580" s="3">
        <f>IFERROR(__xludf.DUMMYFUNCTION("""COMPUTED_VALUE"""),46079.61878827546)</f>
        <v>46079.61879</v>
      </c>
      <c r="D580" s="3" t="str">
        <f>IFERROR(__xludf.DUMMYFUNCTION("""COMPUTED_VALUE"""),"Hot Water ")</f>
        <v>Hot Water </v>
      </c>
      <c r="E580" s="3" t="str">
        <f>IFERROR(__xludf.DUMMYFUNCTION("""COMPUTED_VALUE"""),"-")</f>
        <v>-</v>
      </c>
      <c r="F580" s="3" t="str">
        <f>IFERROR(__xludf.DUMMYFUNCTION("""COMPUTED_VALUE"""),"General - Fuse Keramik Double 160A 690VAC Bussman FEE160")</f>
        <v>General - Fuse Keramik Double 160A 690VAC Bussman FEE160</v>
      </c>
      <c r="G580" s="3">
        <f>IFERROR(__xludf.DUMMYFUNCTION("""COMPUTED_VALUE"""),10.0)</f>
        <v>10</v>
      </c>
      <c r="H580" s="3" t="str">
        <f>IFERROR(__xludf.DUMMYFUNCTION("""COMPUTED_VALUE"""),"Pcs")</f>
        <v>Pcs</v>
      </c>
      <c r="I580" s="3" t="str">
        <f>IFERROR(__xludf.DUMMYFUNCTION("""COMPUTED_VALUE"""),"Deliver")</f>
        <v>Deliver</v>
      </c>
      <c r="J580" s="3" t="str">
        <f>IFERROR(__xludf.DUMMYFUNCTION("""COMPUTED_VALUE"""),"121703997 - APPROVED")</f>
        <v>121703997 - APPROVED</v>
      </c>
      <c r="K580" s="3" t="str">
        <f>IFERROR(__xludf.DUMMYFUNCTION("""COMPUTED_VALUE"""),"GL2603475")</f>
        <v>GL2603475</v>
      </c>
    </row>
    <row r="581">
      <c r="A581" s="3" t="str">
        <f>IFERROR(__xludf.DUMMYFUNCTION("""COMPUTED_VALUE"""),"RIARO0070")</f>
        <v>RIARO0070</v>
      </c>
      <c r="B581" s="4">
        <f>IFERROR(__xludf.DUMMYFUNCTION("""COMPUTED_VALUE"""),46078.369425150464)</f>
        <v>46078.36943</v>
      </c>
      <c r="C581" s="3">
        <f>IFERROR(__xludf.DUMMYFUNCTION("""COMPUTED_VALUE"""),46079.61913216436)</f>
        <v>46079.61913</v>
      </c>
      <c r="D581" s="3" t="str">
        <f>IFERROR(__xludf.DUMMYFUNCTION("""COMPUTED_VALUE"""),"Hot Water")</f>
        <v>Hot Water</v>
      </c>
      <c r="E581" s="3" t="str">
        <f>IFERROR(__xludf.DUMMYFUNCTION("""COMPUTED_VALUE"""),"-")</f>
        <v>-</v>
      </c>
      <c r="F581" s="3" t="str">
        <f>IFERROR(__xludf.DUMMYFUNCTION("""COMPUTED_VALUE"""),"Cat Pilox 109 - Black")</f>
        <v>Cat Pilox 109 - Black</v>
      </c>
      <c r="G581" s="3">
        <f>IFERROR(__xludf.DUMMYFUNCTION("""COMPUTED_VALUE"""),10.0)</f>
        <v>10</v>
      </c>
      <c r="H581" s="3" t="str">
        <f>IFERROR(__xludf.DUMMYFUNCTION("""COMPUTED_VALUE"""),"Pcs")</f>
        <v>Pcs</v>
      </c>
      <c r="I581" s="3" t="str">
        <f>IFERROR(__xludf.DUMMYFUNCTION("""COMPUTED_VALUE"""),"Deliver")</f>
        <v>Deliver</v>
      </c>
      <c r="J581" s="3" t="str">
        <f>IFERROR(__xludf.DUMMYFUNCTION("""COMPUTED_VALUE"""),"121703992 - APPROVED")</f>
        <v>121703992 - APPROVED</v>
      </c>
      <c r="K581" s="3" t="str">
        <f>IFERROR(__xludf.DUMMYFUNCTION("""COMPUTED_VALUE"""),"GL2604011")</f>
        <v>GL2604011</v>
      </c>
    </row>
    <row r="582">
      <c r="A582" s="3" t="str">
        <f>IFERROR(__xludf.DUMMYFUNCTION("""COMPUTED_VALUE"""),"RIARO0071")</f>
        <v>RIARO0071</v>
      </c>
      <c r="B582" s="4">
        <f>IFERROR(__xludf.DUMMYFUNCTION("""COMPUTED_VALUE"""),46078.68403574074)</f>
        <v>46078.68404</v>
      </c>
      <c r="C582" s="3">
        <f>IFERROR(__xludf.DUMMYFUNCTION("""COMPUTED_VALUE"""),46079.61930175926)</f>
        <v>46079.6193</v>
      </c>
      <c r="D582" s="3" t="str">
        <f>IFERROR(__xludf.DUMMYFUNCTION("""COMPUTED_VALUE"""),"All Area")</f>
        <v>All Area</v>
      </c>
      <c r="E582" s="3" t="str">
        <f>IFERROR(__xludf.DUMMYFUNCTION("""COMPUTED_VALUE"""),"-")</f>
        <v>-</v>
      </c>
      <c r="F582" s="3" t="str">
        <f>IFERROR(__xludf.DUMMYFUNCTION("""COMPUTED_VALUE"""),"Cat Pilox 102 - White")</f>
        <v>Cat Pilox 102 - White</v>
      </c>
      <c r="G582" s="3">
        <f>IFERROR(__xludf.DUMMYFUNCTION("""COMPUTED_VALUE"""),15.0)</f>
        <v>15</v>
      </c>
      <c r="H582" s="3" t="str">
        <f>IFERROR(__xludf.DUMMYFUNCTION("""COMPUTED_VALUE"""),"Pcs")</f>
        <v>Pcs</v>
      </c>
      <c r="I582" s="3" t="str">
        <f>IFERROR(__xludf.DUMMYFUNCTION("""COMPUTED_VALUE"""),"Deliver")</f>
        <v>Deliver</v>
      </c>
      <c r="J582" s="3" t="str">
        <f>IFERROR(__xludf.DUMMYFUNCTION("""COMPUTED_VALUE"""),"121703992 - APPROVED")</f>
        <v>121703992 - APPROVED</v>
      </c>
      <c r="K582" s="3" t="str">
        <f>IFERROR(__xludf.DUMMYFUNCTION("""COMPUTED_VALUE"""),"GL2604011")</f>
        <v>GL2604011</v>
      </c>
    </row>
    <row r="583">
      <c r="A583" s="3" t="str">
        <f>IFERROR(__xludf.DUMMYFUNCTION("""COMPUTED_VALUE"""),"ROSRO0025")</f>
        <v>ROSRO0025</v>
      </c>
      <c r="B583" s="4">
        <f>IFERROR(__xludf.DUMMYFUNCTION("""COMPUTED_VALUE"""),46083.63185246528)</f>
        <v>46083.63185</v>
      </c>
      <c r="C583" s="3">
        <f>IFERROR(__xludf.DUMMYFUNCTION("""COMPUTED_VALUE"""),46085.418390983796)</f>
        <v>46085.41839</v>
      </c>
      <c r="D583" s="3" t="str">
        <f>IFERROR(__xludf.DUMMYFUNCTION("""COMPUTED_VALUE"""),"-")</f>
        <v>-</v>
      </c>
      <c r="E583" s="3" t="str">
        <f>IFERROR(__xludf.DUMMYFUNCTION("""COMPUTED_VALUE"""),"-")</f>
        <v>-</v>
      </c>
      <c r="F583" s="3" t="str">
        <f>IFERROR(__xludf.DUMMYFUNCTION("""COMPUTED_VALUE"""),"General - Exhaust Fan 4414M; EBMPast; -; 1 pc")</f>
        <v>General - Exhaust Fan 4414M; EBMPast; -; 1 pc</v>
      </c>
      <c r="G583" s="3">
        <f>IFERROR(__xludf.DUMMYFUNCTION("""COMPUTED_VALUE"""),4.0)</f>
        <v>4</v>
      </c>
      <c r="H583" s="3" t="str">
        <f>IFERROR(__xludf.DUMMYFUNCTION("""COMPUTED_VALUE"""),"pcs")</f>
        <v>pcs</v>
      </c>
      <c r="I583" s="3" t="str">
        <f>IFERROR(__xludf.DUMMYFUNCTION("""COMPUTED_VALUE"""),"Deliver")</f>
        <v>Deliver</v>
      </c>
      <c r="J583" s="3" t="str">
        <f>IFERROR(__xludf.DUMMYFUNCTION("""COMPUTED_VALUE"""),"121703998 - APPROVED")</f>
        <v>121703998 - APPROVED</v>
      </c>
      <c r="K583" s="3" t="str">
        <f>IFERROR(__xludf.DUMMYFUNCTION("""COMPUTED_VALUE"""),"GL2604491")</f>
        <v>GL2604491</v>
      </c>
    </row>
    <row r="584">
      <c r="A584" s="3" t="str">
        <f>IFERROR(__xludf.DUMMYFUNCTION("""COMPUTED_VALUE"""),"ROSRO0026")</f>
        <v>ROSRO0026</v>
      </c>
      <c r="B584" s="4">
        <f>IFERROR(__xludf.DUMMYFUNCTION("""COMPUTED_VALUE"""),46086.599018912035)</f>
        <v>46086.59902</v>
      </c>
      <c r="C584" s="3">
        <f>IFERROR(__xludf.DUMMYFUNCTION("""COMPUTED_VALUE"""),46093.04480091435)</f>
        <v>46093.0448</v>
      </c>
      <c r="D584" s="3" t="str">
        <f>IFERROR(__xludf.DUMMYFUNCTION("""COMPUTED_VALUE"""),"EF BSC 1")</f>
        <v>EF BSC 1</v>
      </c>
      <c r="E584" s="3" t="str">
        <f>IFERROR(__xludf.DUMMYFUNCTION("""COMPUTED_VALUE"""),"EJO/2026/03/84")</f>
        <v>EJO/2026/03/84</v>
      </c>
      <c r="F584" s="3" t="str">
        <f>IFERROR(__xludf.DUMMYFUNCTION("""COMPUTED_VALUE"""),"General - Exhaust Fan;Ebm-Papst;R3G190-RC05-03;")</f>
        <v>General - Exhaust Fan;Ebm-Papst;R3G190-RC05-03;</v>
      </c>
      <c r="G584" s="3">
        <f>IFERROR(__xludf.DUMMYFUNCTION("""COMPUTED_VALUE"""),2.0)</f>
        <v>2</v>
      </c>
      <c r="H584" s="3" t="str">
        <f>IFERROR(__xludf.DUMMYFUNCTION("""COMPUTED_VALUE"""),"pcs")</f>
        <v>pcs</v>
      </c>
      <c r="I584" s="3" t="str">
        <f>IFERROR(__xludf.DUMMYFUNCTION("""COMPUTED_VALUE"""),"Deliver")</f>
        <v>Deliver</v>
      </c>
      <c r="J584" s="3" t="str">
        <f>IFERROR(__xludf.DUMMYFUNCTION("""COMPUTED_VALUE"""),"121704074 - APPROVED")</f>
        <v>121704074 - APPROVED</v>
      </c>
      <c r="K584" s="3" t="str">
        <f>IFERROR(__xludf.DUMMYFUNCTION("""COMPUTED_VALUE"""),"GL2604303")</f>
        <v>GL2604303</v>
      </c>
    </row>
    <row r="585">
      <c r="A585" s="3" t="str">
        <f>IFERROR(__xludf.DUMMYFUNCTION("""COMPUTED_VALUE"""),"NDSRO0018")</f>
        <v>NDSRO0018</v>
      </c>
      <c r="B585" s="4">
        <f>IFERROR(__xludf.DUMMYFUNCTION("""COMPUTED_VALUE"""),46086.653820775464)</f>
        <v>46086.65382</v>
      </c>
      <c r="C585" s="3">
        <f>IFERROR(__xludf.DUMMYFUNCTION("""COMPUTED_VALUE"""),46093.05009909722)</f>
        <v>46093.0501</v>
      </c>
      <c r="D585" s="3" t="str">
        <f>IFERROR(__xludf.DUMMYFUNCTION("""COMPUTED_VALUE"""),"Cartoning")</f>
        <v>Cartoning</v>
      </c>
      <c r="E585" s="3" t="str">
        <f>IFERROR(__xludf.DUMMYFUNCTION("""COMPUTED_VALUE"""),"-")</f>
        <v>-</v>
      </c>
      <c r="F585" s="3" t="str">
        <f>IFERROR(__xludf.DUMMYFUNCTION("""COMPUTED_VALUE"""),"MARCHESINI MA 255 - Conveyor belt Nastro transporto FNB-8E 1850 X 40 HA; Marchesini; C720718540 pc")</f>
        <v>MARCHESINI MA 255 - Conveyor belt Nastro transporto FNB-8E 1850 X 40 HA; Marchesini; C720718540 pc</v>
      </c>
      <c r="G585" s="3">
        <f>IFERROR(__xludf.DUMMYFUNCTION("""COMPUTED_VALUE"""),2.0)</f>
        <v>2</v>
      </c>
      <c r="H585" s="3" t="str">
        <f>IFERROR(__xludf.DUMMYFUNCTION("""COMPUTED_VALUE"""),"pcs")</f>
        <v>pcs</v>
      </c>
      <c r="I585" s="3" t="str">
        <f>IFERROR(__xludf.DUMMYFUNCTION("""COMPUTED_VALUE"""),"Deliver")</f>
        <v>Deliver</v>
      </c>
      <c r="J585" s="3" t="str">
        <f>IFERROR(__xludf.DUMMYFUNCTION("""COMPUTED_VALUE"""),"121704156 - APPROVED")</f>
        <v>121704156 - APPROVED</v>
      </c>
      <c r="K585" s="3" t="str">
        <f>IFERROR(__xludf.DUMMYFUNCTION("""COMPUTED_VALUE"""),"GL2605330")</f>
        <v>GL2605330</v>
      </c>
    </row>
    <row r="586">
      <c r="A586" s="3" t="str">
        <f>IFERROR(__xludf.DUMMYFUNCTION("""COMPUTED_VALUE"""),"NDSRO0019")</f>
        <v>NDSRO0019</v>
      </c>
      <c r="B586" s="4">
        <f>IFERROR(__xludf.DUMMYFUNCTION("""COMPUTED_VALUE"""),46086.654177048615)</f>
        <v>46086.65418</v>
      </c>
      <c r="C586" s="3">
        <f>IFERROR(__xludf.DUMMYFUNCTION("""COMPUTED_VALUE"""),46093.05026393518)</f>
        <v>46093.05026</v>
      </c>
      <c r="D586" s="3" t="str">
        <f>IFERROR(__xludf.DUMMYFUNCTION("""COMPUTED_VALUE"""),"Cartoning")</f>
        <v>Cartoning</v>
      </c>
      <c r="E586" s="3" t="str">
        <f>IFERROR(__xludf.DUMMYFUNCTION("""COMPUTED_VALUE"""),"-")</f>
        <v>-</v>
      </c>
      <c r="F586" s="3" t="str">
        <f>IFERROR(__xludf.DUMMYFUNCTION("""COMPUTED_VALUE"""),"Marchesini MA255 Cartoning Machine - Conveyor Belt, PU White, 1380 x 40 x 1.6 mm; Custom/Lokal; -; 1 unt")</f>
        <v>Marchesini MA255 Cartoning Machine - Conveyor Belt, PU White, 1380 x 40 x 1.6 mm; Custom/Lokal; -; 1 unt</v>
      </c>
      <c r="G586" s="3">
        <f>IFERROR(__xludf.DUMMYFUNCTION("""COMPUTED_VALUE"""),2.0)</f>
        <v>2</v>
      </c>
      <c r="H586" s="3" t="str">
        <f>IFERROR(__xludf.DUMMYFUNCTION("""COMPUTED_VALUE"""),"pcs")</f>
        <v>pcs</v>
      </c>
      <c r="I586" s="3" t="str">
        <f>IFERROR(__xludf.DUMMYFUNCTION("""COMPUTED_VALUE"""),"Deliver")</f>
        <v>Deliver</v>
      </c>
      <c r="J586" s="3" t="str">
        <f>IFERROR(__xludf.DUMMYFUNCTION("""COMPUTED_VALUE"""),"121704156 - APPROVED")</f>
        <v>121704156 - APPROVED</v>
      </c>
      <c r="K586" s="3" t="str">
        <f>IFERROR(__xludf.DUMMYFUNCTION("""COMPUTED_VALUE"""),"GL2605330")</f>
        <v>GL2605330</v>
      </c>
    </row>
    <row r="587">
      <c r="A587" s="3" t="str">
        <f>IFERROR(__xludf.DUMMYFUNCTION("""COMPUTED_VALUE"""),"MOBRO0078")</f>
        <v>MOBRO0078</v>
      </c>
      <c r="B587" s="4">
        <f>IFERROR(__xludf.DUMMYFUNCTION("""COMPUTED_VALUE"""),46090.03408174769)</f>
        <v>46090.03408</v>
      </c>
      <c r="C587" s="3">
        <f>IFERROR(__xludf.DUMMYFUNCTION("""COMPUTED_VALUE"""),46090.42481711805)</f>
        <v>46090.42482</v>
      </c>
      <c r="D587" s="3" t="str">
        <f>IFERROR(__xludf.DUMMYFUNCTION("""COMPUTED_VALUE"""),"Pneumatic Fitting")</f>
        <v>Pneumatic Fitting</v>
      </c>
      <c r="E587" s="3" t="str">
        <f>IFERROR(__xludf.DUMMYFUNCTION("""COMPUTED_VALUE"""),"-")</f>
        <v>-</v>
      </c>
      <c r="F587" s="3" t="str">
        <f>IFERROR(__xludf.DUMMYFUNCTION("""COMPUTED_VALUE"""),"General - Fitting QS 1/2 x 8 mm; EMC; -; 1 pc")</f>
        <v>General - Fitting QS 1/2 x 8 mm; EMC; -; 1 pc</v>
      </c>
      <c r="G587" s="3">
        <f>IFERROR(__xludf.DUMMYFUNCTION("""COMPUTED_VALUE"""),3.0)</f>
        <v>3</v>
      </c>
      <c r="H587" s="3" t="str">
        <f>IFERROR(__xludf.DUMMYFUNCTION("""COMPUTED_VALUE"""),"Pcs")</f>
        <v>Pcs</v>
      </c>
      <c r="I587" s="3" t="str">
        <f>IFERROR(__xludf.DUMMYFUNCTION("""COMPUTED_VALUE"""),"Deliver")</f>
        <v>Deliver</v>
      </c>
      <c r="J587" s="3" t="str">
        <f>IFERROR(__xludf.DUMMYFUNCTION("""COMPUTED_VALUE"""),"121704176 - APPROVED")</f>
        <v>121704176 - APPROVED</v>
      </c>
      <c r="K587" s="3" t="str">
        <f>IFERROR(__xludf.DUMMYFUNCTION("""COMPUTED_VALUE"""),"GL2605325")</f>
        <v>GL2605325</v>
      </c>
    </row>
    <row r="588">
      <c r="A588" s="3" t="str">
        <f>IFERROR(__xludf.DUMMYFUNCTION("""COMPUTED_VALUE"""),"MRNRO0047")</f>
        <v>MRNRO0047</v>
      </c>
      <c r="B588" s="4">
        <f>IFERROR(__xludf.DUMMYFUNCTION("""COMPUTED_VALUE"""),46090.572295000005)</f>
        <v>46090.5723</v>
      </c>
      <c r="C588" s="3">
        <f>IFERROR(__xludf.DUMMYFUNCTION("""COMPUTED_VALUE"""),46094.69420813657)</f>
        <v>46094.69421</v>
      </c>
      <c r="D588" s="3" t="str">
        <f>IFERROR(__xludf.DUMMYFUNCTION("""COMPUTED_VALUE"""),"Pintu sandwich panel")</f>
        <v>Pintu sandwich panel</v>
      </c>
      <c r="E588" s="3" t="str">
        <f>IFERROR(__xludf.DUMMYFUNCTION("""COMPUTED_VALUE"""),"EJO/2026/02/85")</f>
        <v>EJO/2026/02/85</v>
      </c>
      <c r="F588" s="3" t="str">
        <f>IFERROR(__xludf.DUMMYFUNCTION("""COMPUTED_VALUE"""),"Door Closer TS 2000V Hold Open GEZE; ; ;")</f>
        <v>Door Closer TS 2000V Hold Open GEZE; ; ;</v>
      </c>
      <c r="G588" s="3">
        <f>IFERROR(__xludf.DUMMYFUNCTION("""COMPUTED_VALUE"""),3.0)</f>
        <v>3</v>
      </c>
      <c r="H588" s="3" t="str">
        <f>IFERROR(__xludf.DUMMYFUNCTION("""COMPUTED_VALUE"""),"pcs")</f>
        <v>pcs</v>
      </c>
      <c r="I588" s="3" t="str">
        <f>IFERROR(__xludf.DUMMYFUNCTION("""COMPUTED_VALUE"""),"Deliver")</f>
        <v>Deliver</v>
      </c>
      <c r="J588" s="3" t="str">
        <f>IFERROR(__xludf.DUMMYFUNCTION("""COMPUTED_VALUE"""),"121704157 - APPROVED")</f>
        <v>121704157 - APPROVED</v>
      </c>
      <c r="K588" s="3" t="str">
        <f>IFERROR(__xludf.DUMMYFUNCTION("""COMPUTED_VALUE"""),"GL2605018")</f>
        <v>GL2605018</v>
      </c>
    </row>
    <row r="589">
      <c r="A589" s="3" t="str">
        <f>IFERROR(__xludf.DUMMYFUNCTION("""COMPUTED_VALUE"""),"SFHRO0040")</f>
        <v>SFHRO0040</v>
      </c>
      <c r="B589" s="4">
        <f>IFERROR(__xludf.DUMMYFUNCTION("""COMPUTED_VALUE"""),46094.74010523148)</f>
        <v>46094.74011</v>
      </c>
      <c r="C589" s="3">
        <f>IFERROR(__xludf.DUMMYFUNCTION("""COMPUTED_VALUE"""),46111.365915902774)</f>
        <v>46111.36592</v>
      </c>
      <c r="D589" s="3" t="str">
        <f>IFERROR(__xludf.DUMMYFUNCTION("""COMPUTED_VALUE"""),"lanttai 2")</f>
        <v>lanttai 2</v>
      </c>
      <c r="E589" s="3" t="str">
        <f>IFERROR(__xludf.DUMMYFUNCTION("""COMPUTED_VALUE"""),"EJO/2026/03/33")</f>
        <v>EJO/2026/03/33</v>
      </c>
      <c r="F589" s="3" t="str">
        <f>IFERROR(__xludf.DUMMYFUNCTION("""COMPUTED_VALUE"""),"Cat Durogloss DR-2000; Propan; Type Spiders Web 90YY 73/040; 0,9 L/can")</f>
        <v>Cat Durogloss DR-2000; Propan; Type Spiders Web 90YY 73/040; 0,9 L/can</v>
      </c>
      <c r="G589" s="3">
        <f>IFERROR(__xludf.DUMMYFUNCTION("""COMPUTED_VALUE"""),5.0)</f>
        <v>5</v>
      </c>
      <c r="H589" s="3" t="str">
        <f>IFERROR(__xludf.DUMMYFUNCTION("""COMPUTED_VALUE"""),"can")</f>
        <v>can</v>
      </c>
      <c r="I589" s="3" t="str">
        <f>IFERROR(__xludf.DUMMYFUNCTION("""COMPUTED_VALUE"""),"Deliver")</f>
        <v>Deliver</v>
      </c>
      <c r="J589" s="3" t="str">
        <f>IFERROR(__xludf.DUMMYFUNCTION("""COMPUTED_VALUE"""),"121704167 - APPROVED")</f>
        <v>121704167 - APPROVED</v>
      </c>
      <c r="K589" s="3" t="str">
        <f>IFERROR(__xludf.DUMMYFUNCTION("""COMPUTED_VALUE"""),"GL2605017")</f>
        <v>GL2605017</v>
      </c>
    </row>
    <row r="590">
      <c r="A590" s="3" t="str">
        <f>IFERROR(__xludf.DUMMYFUNCTION("""COMPUTED_VALUE"""),"BDURO0007")</f>
        <v>BDURO0007</v>
      </c>
      <c r="B590" s="4">
        <f>IFERROR(__xludf.DUMMYFUNCTION("""COMPUTED_VALUE"""),46107.57614774305)</f>
        <v>46107.57615</v>
      </c>
      <c r="C590" s="3">
        <f>IFERROR(__xludf.DUMMYFUNCTION("""COMPUTED_VALUE"""),46119.261463981486)</f>
        <v>46119.26146</v>
      </c>
      <c r="D590" s="3" t="str">
        <f>IFERROR(__xludf.DUMMYFUNCTION("""COMPUTED_VALUE"""),"Mesin Labelling")</f>
        <v>Mesin Labelling</v>
      </c>
      <c r="E590" s="3" t="str">
        <f>IFERROR(__xludf.DUMMYFUNCTION("""COMPUTED_VALUE"""),"EJO Menyusul")</f>
        <v>EJO Menyusul</v>
      </c>
      <c r="F590" s="3" t="str">
        <f>IFERROR(__xludf.DUMMYFUNCTION("""COMPUTED_VALUE"""),"Autonics - Power Supply ? SPA-075-24 ? 24VDC 3.2A")</f>
        <v>Autonics - Power Supply ? SPA-075-24 ? 24VDC 3.2A</v>
      </c>
      <c r="G590" s="3">
        <f>IFERROR(__xludf.DUMMYFUNCTION("""COMPUTED_VALUE"""),1.0)</f>
        <v>1</v>
      </c>
      <c r="H590" s="3" t="str">
        <f>IFERROR(__xludf.DUMMYFUNCTION("""COMPUTED_VALUE"""),"pcs")</f>
        <v>pcs</v>
      </c>
      <c r="I590" s="3" t="str">
        <f>IFERROR(__xludf.DUMMYFUNCTION("""COMPUTED_VALUE"""),"Deliver")</f>
        <v>Deliver</v>
      </c>
      <c r="J590" s="3" t="str">
        <f>IFERROR(__xludf.DUMMYFUNCTION("""COMPUTED_VALUE"""),"121704435 - APPROVED")</f>
        <v>121704435 - APPROVED</v>
      </c>
      <c r="K590" s="3" t="str">
        <f>IFERROR(__xludf.DUMMYFUNCTION("""COMPUTED_VALUE"""),"GL2607052")</f>
        <v>GL2607052</v>
      </c>
    </row>
    <row r="591">
      <c r="A591" s="3" t="str">
        <f>IFERROR(__xludf.DUMMYFUNCTION("""COMPUTED_VALUE"""),"RIARO0072")</f>
        <v>RIARO0072</v>
      </c>
      <c r="B591" s="4">
        <f>IFERROR(__xludf.DUMMYFUNCTION("""COMPUTED_VALUE"""),46108.46200425926)</f>
        <v>46108.462</v>
      </c>
      <c r="C591" s="3">
        <f>IFERROR(__xludf.DUMMYFUNCTION("""COMPUTED_VALUE"""),46118.61513471065)</f>
        <v>46118.61513</v>
      </c>
      <c r="D591" s="3" t="str">
        <f>IFERROR(__xludf.DUMMYFUNCTION("""COMPUTED_VALUE"""),"AHU")</f>
        <v>AHU</v>
      </c>
      <c r="E591" s="3" t="str">
        <f>IFERROR(__xludf.DUMMYFUNCTION("""COMPUTED_VALUE"""),"-")</f>
        <v>-</v>
      </c>
      <c r="F591" s="3" t="str">
        <f>IFERROR(__xludf.DUMMYFUNCTION("""COMPUTED_VALUE"""),"General - Bushing VAV dia. 24 x 26mm; Custom Agru Farma; -; 1 pc")</f>
        <v>General - Bushing VAV dia. 24 x 26mm; Custom Agru Farma; -; 1 pc</v>
      </c>
      <c r="G591" s="3">
        <f>IFERROR(__xludf.DUMMYFUNCTION("""COMPUTED_VALUE"""),50.0)</f>
        <v>50</v>
      </c>
      <c r="H591" s="3" t="str">
        <f>IFERROR(__xludf.DUMMYFUNCTION("""COMPUTED_VALUE"""),"Pcs")</f>
        <v>Pcs</v>
      </c>
      <c r="I591" s="3" t="str">
        <f>IFERROR(__xludf.DUMMYFUNCTION("""COMPUTED_VALUE"""),"Deliver")</f>
        <v>Deliver</v>
      </c>
      <c r="J591" s="3" t="str">
        <f>IFERROR(__xludf.DUMMYFUNCTION("""COMPUTED_VALUE"""),"121704154 - APPROVED")</f>
        <v>121704154 - APPROVED</v>
      </c>
      <c r="K591" s="3" t="str">
        <f>IFERROR(__xludf.DUMMYFUNCTION("""COMPUTED_VALUE"""),"GL2605002")</f>
        <v>GL2605002</v>
      </c>
    </row>
    <row r="592">
      <c r="A592" s="3" t="str">
        <f>IFERROR(__xludf.DUMMYFUNCTION("""COMPUTED_VALUE"""),"RIARO0073")</f>
        <v>RIARO0073</v>
      </c>
      <c r="B592" s="4">
        <f>IFERROR(__xludf.DUMMYFUNCTION("""COMPUTED_VALUE"""),46108.462365902786)</f>
        <v>46108.46237</v>
      </c>
      <c r="C592" s="3">
        <f>IFERROR(__xludf.DUMMYFUNCTION("""COMPUTED_VALUE"""),46118.61526122685)</f>
        <v>46118.61526</v>
      </c>
      <c r="D592" s="3" t="str">
        <f>IFERROR(__xludf.DUMMYFUNCTION("""COMPUTED_VALUE"""),"WWTP")</f>
        <v>WWTP</v>
      </c>
      <c r="E592" s="3" t="str">
        <f>IFERROR(__xludf.DUMMYFUNCTION("""COMPUTED_VALUE"""),"-")</f>
        <v>-</v>
      </c>
      <c r="F592" s="3" t="str">
        <f>IFERROR(__xludf.DUMMYFUNCTION("""COMPUTED_VALUE"""),"General - Pelampung Air Radar Float Switch 2m; No Brand; -; 1 Pc")</f>
        <v>General - Pelampung Air Radar Float Switch 2m; No Brand; -; 1 Pc</v>
      </c>
      <c r="G592" s="3">
        <f>IFERROR(__xludf.DUMMYFUNCTION("""COMPUTED_VALUE"""),5.0)</f>
        <v>5</v>
      </c>
      <c r="H592" s="3" t="str">
        <f>IFERROR(__xludf.DUMMYFUNCTION("""COMPUTED_VALUE"""),"Pcs")</f>
        <v>Pcs</v>
      </c>
      <c r="I592" s="3" t="str">
        <f>IFERROR(__xludf.DUMMYFUNCTION("""COMPUTED_VALUE"""),"Deliver")</f>
        <v>Deliver</v>
      </c>
      <c r="J592" s="3" t="str">
        <f>IFERROR(__xludf.DUMMYFUNCTION("""COMPUTED_VALUE"""),"121704166 - APPROVED")</f>
        <v>121704166 - APPROVED</v>
      </c>
      <c r="K592" s="3" t="str">
        <f>IFERROR(__xludf.DUMMYFUNCTION("""COMPUTED_VALUE"""),"GL2605322")</f>
        <v>GL2605322</v>
      </c>
    </row>
    <row r="593">
      <c r="A593" s="3" t="str">
        <f>IFERROR(__xludf.DUMMYFUNCTION("""COMPUTED_VALUE"""),"NDSRO0020")</f>
        <v>NDSRO0020</v>
      </c>
      <c r="B593" s="4">
        <f>IFERROR(__xludf.DUMMYFUNCTION("""COMPUTED_VALUE"""),46108.653579641206)</f>
        <v>46108.65358</v>
      </c>
      <c r="C593" s="3">
        <f>IFERROR(__xludf.DUMMYFUNCTION("""COMPUTED_VALUE"""),46123.27742971065)</f>
        <v>46123.27743</v>
      </c>
      <c r="D593" s="3" t="str">
        <f>IFERROR(__xludf.DUMMYFUNCTION("""COMPUTED_VALUE"""),"GMP Washer")</f>
        <v>GMP Washer</v>
      </c>
      <c r="E593" s="3" t="str">
        <f>IFERROR(__xludf.DUMMYFUNCTION("""COMPUTED_VALUE"""),"-")</f>
        <v>-</v>
      </c>
      <c r="F593" s="3" t="str">
        <f>IFERROR(__xludf.DUMMYFUNCTION("""COMPUTED_VALUE"""),"GMP Washer - Pressure Switch0-0.25 Bar 0.045 Bar PSA-31 (0.045 Bar) Wika p/n:014032")</f>
        <v>GMP Washer - Pressure Switch0-0.25 Bar 0.045 Bar PSA-31 (0.045 Bar) Wika p/n:014032</v>
      </c>
      <c r="G593" s="3">
        <f>IFERROR(__xludf.DUMMYFUNCTION("""COMPUTED_VALUE"""),1.0)</f>
        <v>1</v>
      </c>
      <c r="H593" s="3" t="str">
        <f>IFERROR(__xludf.DUMMYFUNCTION("""COMPUTED_VALUE"""),"pcs")</f>
        <v>pcs</v>
      </c>
      <c r="I593" s="3" t="str">
        <f>IFERROR(__xludf.DUMMYFUNCTION("""COMPUTED_VALUE"""),"Mencari Penawaran")</f>
        <v>Mencari Penawaran</v>
      </c>
      <c r="J593" s="3" t="str">
        <f>IFERROR(__xludf.DUMMYFUNCTION("""COMPUTED_VALUE"""),"-")</f>
        <v>-</v>
      </c>
      <c r="K593" s="3" t="str">
        <f>IFERROR(__xludf.DUMMYFUNCTION("""COMPUTED_VALUE"""),"-")</f>
        <v>-</v>
      </c>
    </row>
    <row r="594">
      <c r="A594" s="3" t="str">
        <f>IFERROR(__xludf.DUMMYFUNCTION("""COMPUTED_VALUE"""),"MOBRO0080")</f>
        <v>MOBRO0080</v>
      </c>
      <c r="B594" s="4">
        <f>IFERROR(__xludf.DUMMYFUNCTION("""COMPUTED_VALUE"""),46111.60980003472)</f>
        <v>46111.6098</v>
      </c>
      <c r="C594" s="3">
        <f>IFERROR(__xludf.DUMMYFUNCTION("""COMPUTED_VALUE"""),46121.5792387963)</f>
        <v>46121.57924</v>
      </c>
      <c r="D594" s="3" t="str">
        <f>IFERROR(__xludf.DUMMYFUNCTION("""COMPUTED_VALUE"""),"Pneumatic Equipment")</f>
        <v>Pneumatic Equipment</v>
      </c>
      <c r="E594" s="3" t="str">
        <f>IFERROR(__xludf.DUMMYFUNCTION("""COMPUTED_VALUE"""),"-")</f>
        <v>-</v>
      </c>
      <c r="F594" s="3" t="str">
        <f>IFERROR(__xludf.DUMMYFUNCTION("""COMPUTED_VALUE"""),"SMC - Pressure Filter Regulator Manual Drain AW30-03BG-A; ; ;")</f>
        <v>SMC - Pressure Filter Regulator Manual Drain AW30-03BG-A; ; ;</v>
      </c>
      <c r="G594" s="3">
        <f>IFERROR(__xludf.DUMMYFUNCTION("""COMPUTED_VALUE"""),2.0)</f>
        <v>2</v>
      </c>
      <c r="H594" s="3" t="str">
        <f>IFERROR(__xludf.DUMMYFUNCTION("""COMPUTED_VALUE"""),"Pcs")</f>
        <v>Pcs</v>
      </c>
      <c r="I594" s="3" t="str">
        <f>IFERROR(__xludf.DUMMYFUNCTION("""COMPUTED_VALUE"""),"PO Open")</f>
        <v>PO Open</v>
      </c>
      <c r="J594" s="3" t="str">
        <f>IFERROR(__xludf.DUMMYFUNCTION("""COMPUTED_VALUE"""),"121704170 - APPROVED")</f>
        <v>121704170 - APPROVED</v>
      </c>
      <c r="K594" s="3" t="str">
        <f>IFERROR(__xludf.DUMMYFUNCTION("""COMPUTED_VALUE"""),"GL2605009")</f>
        <v>GL2605009</v>
      </c>
    </row>
    <row r="595">
      <c r="A595" s="3" t="str">
        <f>IFERROR(__xludf.DUMMYFUNCTION("""COMPUTED_VALUE"""),"MOBRO0081")</f>
        <v>MOBRO0081</v>
      </c>
      <c r="B595" s="4">
        <f>IFERROR(__xludf.DUMMYFUNCTION("""COMPUTED_VALUE"""),46112.612267129625)</f>
        <v>46112.61227</v>
      </c>
      <c r="C595" s="3">
        <f>IFERROR(__xludf.DUMMYFUNCTION("""COMPUTED_VALUE"""),46121.57938328704)</f>
        <v>46121.57938</v>
      </c>
      <c r="D595" s="3" t="str">
        <f>IFERROR(__xludf.DUMMYFUNCTION("""COMPUTED_VALUE"""),"PSG")</f>
        <v>PSG</v>
      </c>
      <c r="E595" s="3" t="str">
        <f>IFERROR(__xludf.DUMMYFUNCTION("""COMPUTED_VALUE"""),"2026/04/022")</f>
        <v>2026/04/022</v>
      </c>
      <c r="F595" s="3" t="str">
        <f>IFERROR(__xludf.DUMMYFUNCTION("""COMPUTED_VALUE"""),"General - Gate Valve 1/2inch; Kitz; -; 1 pc")</f>
        <v>General - Gate Valve 1/2inch; Kitz; -; 1 pc</v>
      </c>
      <c r="G595" s="3">
        <f>IFERROR(__xludf.DUMMYFUNCTION("""COMPUTED_VALUE"""),3.0)</f>
        <v>3</v>
      </c>
      <c r="H595" s="3" t="str">
        <f>IFERROR(__xludf.DUMMYFUNCTION("""COMPUTED_VALUE"""),"Pcs")</f>
        <v>Pcs</v>
      </c>
      <c r="I595" s="3" t="str">
        <f>IFERROR(__xludf.DUMMYFUNCTION("""COMPUTED_VALUE"""),"Deliver")</f>
        <v>Deliver</v>
      </c>
      <c r="J595" s="3" t="str">
        <f>IFERROR(__xludf.DUMMYFUNCTION("""COMPUTED_VALUE"""),"121704176 - APPROVED")</f>
        <v>121704176 - APPROVED</v>
      </c>
      <c r="K595" s="3" t="str">
        <f>IFERROR(__xludf.DUMMYFUNCTION("""COMPUTED_VALUE"""),"GL2605322")</f>
        <v>GL2605322</v>
      </c>
    </row>
    <row r="596">
      <c r="A596" s="3" t="str">
        <f>IFERROR(__xludf.DUMMYFUNCTION("""COMPUTED_VALUE"""),"MOBRO0082")</f>
        <v>MOBRO0082</v>
      </c>
      <c r="B596" s="4">
        <f>IFERROR(__xludf.DUMMYFUNCTION("""COMPUTED_VALUE"""),46113.41679614583)</f>
        <v>46113.4168</v>
      </c>
      <c r="C596" s="3">
        <f>IFERROR(__xludf.DUMMYFUNCTION("""COMPUTED_VALUE"""),46121.579541875)</f>
        <v>46121.57954</v>
      </c>
      <c r="D596" s="3" t="str">
        <f>IFERROR(__xludf.DUMMYFUNCTION("""COMPUTED_VALUE"""),"Instalasi kabel")</f>
        <v>Instalasi kabel</v>
      </c>
      <c r="E596" s="3" t="str">
        <f>IFERROR(__xludf.DUMMYFUNCTION("""COMPUTED_VALUE"""),"-")</f>
        <v>-</v>
      </c>
      <c r="F596" s="3" t="str">
        <f>IFERROR(__xludf.DUMMYFUNCTION("""COMPUTED_VALUE"""),"General - Kabel NYYHY 3 x 1.5mm; SUPREME; -; 1 meter")</f>
        <v>General - Kabel NYYHY 3 x 1.5mm; SUPREME; -; 1 meter</v>
      </c>
      <c r="G596" s="3">
        <f>IFERROR(__xludf.DUMMYFUNCTION("""COMPUTED_VALUE"""),2.0)</f>
        <v>2</v>
      </c>
      <c r="H596" s="3" t="str">
        <f>IFERROR(__xludf.DUMMYFUNCTION("""COMPUTED_VALUE"""),"Roll")</f>
        <v>Roll</v>
      </c>
      <c r="I596" s="3" t="str">
        <f>IFERROR(__xludf.DUMMYFUNCTION("""COMPUTED_VALUE"""),"Deliver")</f>
        <v>Deliver</v>
      </c>
      <c r="J596" s="3" t="str">
        <f>IFERROR(__xludf.DUMMYFUNCTION("""COMPUTED_VALUE"""),"121704176 - APPROVED")</f>
        <v>121704176 - APPROVED</v>
      </c>
      <c r="K596" s="3" t="str">
        <f>IFERROR(__xludf.DUMMYFUNCTION("""COMPUTED_VALUE"""),"GL2605332")</f>
        <v>GL2605332</v>
      </c>
    </row>
    <row r="597">
      <c r="A597" s="3" t="str">
        <f>IFERROR(__xludf.DUMMYFUNCTION("""COMPUTED_VALUE"""),"RIARO0074")</f>
        <v>RIARO0074</v>
      </c>
      <c r="B597" s="4">
        <f>IFERROR(__xludf.DUMMYFUNCTION("""COMPUTED_VALUE"""),46114.73361101852)</f>
        <v>46114.73361</v>
      </c>
      <c r="C597" s="3">
        <f>IFERROR(__xludf.DUMMYFUNCTION("""COMPUTED_VALUE"""),46118.617921550926)</f>
        <v>46118.61792</v>
      </c>
      <c r="D597" s="3" t="str">
        <f>IFERROR(__xludf.DUMMYFUNCTION("""COMPUTED_VALUE"""),"PWG")</f>
        <v>PWG</v>
      </c>
      <c r="E597" s="3" t="str">
        <f>IFERROR(__xludf.DUMMYFUNCTION("""COMPUTED_VALUE"""),"EJO/2026/04/017")</f>
        <v>EJO/2026/04/017</v>
      </c>
      <c r="F597" s="3" t="str">
        <f>IFERROR(__xludf.DUMMYFUNCTION("""COMPUTED_VALUE"""),"General - TU Polyurethane Tubing, TU1065C-100; SMC Pneumatics; -; 1 roll")</f>
        <v>General - TU Polyurethane Tubing, TU1065C-100; SMC Pneumatics; -; 1 roll</v>
      </c>
      <c r="G597" s="3">
        <f>IFERROR(__xludf.DUMMYFUNCTION("""COMPUTED_VALUE"""),30.0)</f>
        <v>30</v>
      </c>
      <c r="H597" s="3" t="str">
        <f>IFERROR(__xludf.DUMMYFUNCTION("""COMPUTED_VALUE"""),"Mtr")</f>
        <v>Mtr</v>
      </c>
      <c r="I597" s="3" t="str">
        <f>IFERROR(__xludf.DUMMYFUNCTION("""COMPUTED_VALUE"""),"Deliver")</f>
        <v>Deliver</v>
      </c>
      <c r="J597" s="3" t="str">
        <f>IFERROR(__xludf.DUMMYFUNCTION("""COMPUTED_VALUE"""),"121704169 - APPROVED")</f>
        <v>121704169 - APPROVED</v>
      </c>
      <c r="K597" s="3" t="str">
        <f>IFERROR(__xludf.DUMMYFUNCTION("""COMPUTED_VALUE"""),"GL2605328")</f>
        <v>GL2605328</v>
      </c>
    </row>
    <row r="598">
      <c r="A598" s="3" t="str">
        <f>IFERROR(__xludf.DUMMYFUNCTION("""COMPUTED_VALUE"""),"RIARO0075")</f>
        <v>RIARO0075</v>
      </c>
      <c r="B598" s="4">
        <f>IFERROR(__xludf.DUMMYFUNCTION("""COMPUTED_VALUE"""),46114.96947152778)</f>
        <v>46114.96947</v>
      </c>
      <c r="C598" s="3">
        <f>IFERROR(__xludf.DUMMYFUNCTION("""COMPUTED_VALUE"""),46118.61810178241)</f>
        <v>46118.6181</v>
      </c>
      <c r="D598" s="3" t="str">
        <f>IFERROR(__xludf.DUMMYFUNCTION("""COMPUTED_VALUE"""),"WFI SKID")</f>
        <v>WFI SKID</v>
      </c>
      <c r="E598" s="3" t="str">
        <f>IFERROR(__xludf.DUMMYFUNCTION("""COMPUTED_VALUE"""),"EJO/2026/04/016")</f>
        <v>EJO/2026/04/016</v>
      </c>
      <c r="F598" s="3" t="str">
        <f>IFERROR(__xludf.DUMMYFUNCTION("""COMPUTED_VALUE"""),"Junction Box Plastik 12x12x10 cm; ; ;")</f>
        <v>Junction Box Plastik 12x12x10 cm; ; ;</v>
      </c>
      <c r="G598" s="3">
        <f>IFERROR(__xludf.DUMMYFUNCTION("""COMPUTED_VALUE"""),1.0)</f>
        <v>1</v>
      </c>
      <c r="H598" s="3" t="str">
        <f>IFERROR(__xludf.DUMMYFUNCTION("""COMPUTED_VALUE"""),"Pcs")</f>
        <v>Pcs</v>
      </c>
      <c r="I598" s="3" t="str">
        <f>IFERROR(__xludf.DUMMYFUNCTION("""COMPUTED_VALUE"""),"Deliver")</f>
        <v>Deliver</v>
      </c>
      <c r="J598" s="3" t="str">
        <f>IFERROR(__xludf.DUMMYFUNCTION("""COMPUTED_VALUE"""),"121704177 - APPROVED")</f>
        <v>121704177 - APPROVED</v>
      </c>
      <c r="K598" s="3" t="str">
        <f>IFERROR(__xludf.DUMMYFUNCTION("""COMPUTED_VALUE"""),"GL2605018")</f>
        <v>GL2605018</v>
      </c>
    </row>
    <row r="599">
      <c r="A599" s="3" t="str">
        <f>IFERROR(__xludf.DUMMYFUNCTION("""COMPUTED_VALUE"""),"RIARO0078")</f>
        <v>RIARO0078</v>
      </c>
      <c r="B599" s="4">
        <f>IFERROR(__xludf.DUMMYFUNCTION("""COMPUTED_VALUE"""),46114.969509525465)</f>
        <v>46114.96951</v>
      </c>
      <c r="C599" s="3">
        <f>IFERROR(__xludf.DUMMYFUNCTION("""COMPUTED_VALUE"""),46118.61859627315)</f>
        <v>46118.6186</v>
      </c>
      <c r="D599" s="3" t="str">
        <f>IFERROR(__xludf.DUMMYFUNCTION("""COMPUTED_VALUE"""),"WFI SKID")</f>
        <v>WFI SKID</v>
      </c>
      <c r="E599" s="3" t="str">
        <f>IFERROR(__xludf.DUMMYFUNCTION("""COMPUTED_VALUE"""),"EJO/2026/04/016")</f>
        <v>EJO/2026/04/016</v>
      </c>
      <c r="F599" s="3" t="str">
        <f>IFERROR(__xludf.DUMMYFUNCTION("""COMPUTED_VALUE"""),"General - Temperature Controller TK4S- 14SN 100-240 VAC; Autonics; -; 1 pc")</f>
        <v>General - Temperature Controller TK4S- 14SN 100-240 VAC; Autonics; -; 1 pc</v>
      </c>
      <c r="G599" s="3">
        <f>IFERROR(__xludf.DUMMYFUNCTION("""COMPUTED_VALUE"""),1.0)</f>
        <v>1</v>
      </c>
      <c r="H599" s="3" t="str">
        <f>IFERROR(__xludf.DUMMYFUNCTION("""COMPUTED_VALUE"""),"Pcs")</f>
        <v>Pcs</v>
      </c>
      <c r="I599" s="3" t="str">
        <f>IFERROR(__xludf.DUMMYFUNCTION("""COMPUTED_VALUE"""),"Deliver")</f>
        <v>Deliver</v>
      </c>
      <c r="J599" s="3" t="str">
        <f>IFERROR(__xludf.DUMMYFUNCTION("""COMPUTED_VALUE"""),"121704168 - APPROVED")</f>
        <v>121704168 - APPROVED</v>
      </c>
      <c r="K599" s="3" t="str">
        <f>IFERROR(__xludf.DUMMYFUNCTION("""COMPUTED_VALUE"""),"GL2605020")</f>
        <v>GL2605020</v>
      </c>
    </row>
    <row r="600">
      <c r="A600" s="3" t="str">
        <f>IFERROR(__xludf.DUMMYFUNCTION("""COMPUTED_VALUE"""),"RIARO0076")</f>
        <v>RIARO0076</v>
      </c>
      <c r="B600" s="4">
        <f>IFERROR(__xludf.DUMMYFUNCTION("""COMPUTED_VALUE"""),46114.969539803235)</f>
        <v>46114.96954</v>
      </c>
      <c r="C600" s="3">
        <f>IFERROR(__xludf.DUMMYFUNCTION("""COMPUTED_VALUE"""),46118.618279675924)</f>
        <v>46118.61828</v>
      </c>
      <c r="D600" s="3" t="str">
        <f>IFERROR(__xludf.DUMMYFUNCTION("""COMPUTED_VALUE"""),"WFI SKID")</f>
        <v>WFI SKID</v>
      </c>
      <c r="E600" s="3" t="str">
        <f>IFERROR(__xludf.DUMMYFUNCTION("""COMPUTED_VALUE"""),"EJO/2026/04/016")</f>
        <v>EJO/2026/04/016</v>
      </c>
      <c r="F600" s="3" t="str">
        <f>IFERROR(__xludf.DUMMYFUNCTION("""COMPUTED_VALUE"""),"General - MCB 1 PHASE 10 AMPERE; Schneider; -; 1 Pc")</f>
        <v>General - MCB 1 PHASE 10 AMPERE; Schneider; -; 1 Pc</v>
      </c>
      <c r="G600" s="3">
        <f>IFERROR(__xludf.DUMMYFUNCTION("""COMPUTED_VALUE"""),1.0)</f>
        <v>1</v>
      </c>
      <c r="H600" s="3" t="str">
        <f>IFERROR(__xludf.DUMMYFUNCTION("""COMPUTED_VALUE"""),"Pcs")</f>
        <v>Pcs</v>
      </c>
      <c r="I600" s="3" t="str">
        <f>IFERROR(__xludf.DUMMYFUNCTION("""COMPUTED_VALUE"""),"Deliver")</f>
        <v>Deliver</v>
      </c>
      <c r="J600" s="3" t="str">
        <f>IFERROR(__xludf.DUMMYFUNCTION("""COMPUTED_VALUE"""),"121704175 - APPROVED")</f>
        <v>121704175 - APPROVED</v>
      </c>
      <c r="K600" s="3" t="str">
        <f>IFERROR(__xludf.DUMMYFUNCTION("""COMPUTED_VALUE"""),"GL2605331")</f>
        <v>GL2605331</v>
      </c>
    </row>
    <row r="601">
      <c r="A601" s="3" t="str">
        <f>IFERROR(__xludf.DUMMYFUNCTION("""COMPUTED_VALUE"""),"RIARO0079")</f>
        <v>RIARO0079</v>
      </c>
      <c r="B601" s="4">
        <f>IFERROR(__xludf.DUMMYFUNCTION("""COMPUTED_VALUE"""),46114.97291055556)</f>
        <v>46114.97291</v>
      </c>
      <c r="C601" s="3">
        <f>IFERROR(__xludf.DUMMYFUNCTION("""COMPUTED_VALUE"""),46118.618726712964)</f>
        <v>46118.61873</v>
      </c>
      <c r="D601" s="3" t="str">
        <f>IFERROR(__xludf.DUMMYFUNCTION("""COMPUTED_VALUE"""),"WFI SKID")</f>
        <v>WFI SKID</v>
      </c>
      <c r="E601" s="3" t="str">
        <f>IFERROR(__xludf.DUMMYFUNCTION("""COMPUTED_VALUE"""),"EJO/2026/04/016")</f>
        <v>EJO/2026/04/016</v>
      </c>
      <c r="F601" s="3" t="str">
        <f>IFERROR(__xludf.DUMMYFUNCTION("""COMPUTED_VALUE"""),"General - Thermocouple TW-N (PT100), Dia.: 6.4*30L*2M*PT1/8; Autonics; A04209; 1 pc")</f>
        <v>General - Thermocouple TW-N (PT100), Dia.: 6.4*30L*2M*PT1/8; Autonics; A04209; 1 pc</v>
      </c>
      <c r="G601" s="3">
        <f>IFERROR(__xludf.DUMMYFUNCTION("""COMPUTED_VALUE"""),1.0)</f>
        <v>1</v>
      </c>
      <c r="H601" s="3" t="str">
        <f>IFERROR(__xludf.DUMMYFUNCTION("""COMPUTED_VALUE"""),"Pcs")</f>
        <v>Pcs</v>
      </c>
      <c r="I601" s="3" t="str">
        <f>IFERROR(__xludf.DUMMYFUNCTION("""COMPUTED_VALUE"""),"Deliver")</f>
        <v>Deliver</v>
      </c>
      <c r="J601" s="3" t="str">
        <f>IFERROR(__xludf.DUMMYFUNCTION("""COMPUTED_VALUE"""),"121704168 - APPROVED")</f>
        <v>121704168 - APPROVED</v>
      </c>
      <c r="K601" s="3" t="str">
        <f>IFERROR(__xludf.DUMMYFUNCTION("""COMPUTED_VALUE"""),"GL2605020")</f>
        <v>GL2605020</v>
      </c>
    </row>
    <row r="602">
      <c r="A602" s="3" t="str">
        <f>IFERROR(__xludf.DUMMYFUNCTION("""COMPUTED_VALUE"""),"RIARO0080")</f>
        <v>RIARO0080</v>
      </c>
      <c r="B602" s="4">
        <f>IFERROR(__xludf.DUMMYFUNCTION("""COMPUTED_VALUE"""),46118.68604018518)</f>
        <v>46118.68604</v>
      </c>
      <c r="C602" s="3">
        <f>IFERROR(__xludf.DUMMYFUNCTION("""COMPUTED_VALUE"""),46202.92318100695)</f>
        <v>46202.92318</v>
      </c>
      <c r="D602" s="3" t="str">
        <f>IFERROR(__xludf.DUMMYFUNCTION("""COMPUTED_VALUE"""),"AHU")</f>
        <v>AHU</v>
      </c>
      <c r="E602" s="3" t="str">
        <f>IFERROR(__xludf.DUMMYFUNCTION("""COMPUTED_VALUE"""),"-")</f>
        <v>-</v>
      </c>
      <c r="F602" s="3" t="str">
        <f>IFERROR(__xludf.DUMMYFUNCTION("""COMPUTED_VALUE"""),"General - Chemical Cleaning; Kuclean; AC 101; 1 PL = 25 Kg")</f>
        <v>General - Chemical Cleaning; Kuclean; AC 101; 1 PL = 25 Kg</v>
      </c>
      <c r="G602" s="3">
        <f>IFERROR(__xludf.DUMMYFUNCTION("""COMPUTED_VALUE"""),3.0)</f>
        <v>3</v>
      </c>
      <c r="H602" s="3" t="str">
        <f>IFERROR(__xludf.DUMMYFUNCTION("""COMPUTED_VALUE"""),"Pcs")</f>
        <v>Pcs</v>
      </c>
      <c r="I602" s="3" t="str">
        <f>IFERROR(__xludf.DUMMYFUNCTION("""COMPUTED_VALUE"""),"Deliver")</f>
        <v>Deliver</v>
      </c>
      <c r="J602" s="3" t="str">
        <f>IFERROR(__xludf.DUMMYFUNCTION("""COMPUTED_VALUE"""),"121702906 - APPROVED")</f>
        <v>121702906 - APPROVED</v>
      </c>
      <c r="K602" s="3" t="str">
        <f>IFERROR(__xludf.DUMMYFUNCTION("""COMPUTED_VALUE"""),"GL2507019")</f>
        <v>GL2507019</v>
      </c>
    </row>
    <row r="603">
      <c r="A603" s="3" t="str">
        <f>IFERROR(__xludf.DUMMYFUNCTION("""COMPUTED_VALUE"""),"NDSRO0021")</f>
        <v>NDSRO0021</v>
      </c>
      <c r="B603" s="4">
        <f>IFERROR(__xludf.DUMMYFUNCTION("""COMPUTED_VALUE"""),46123.35638966435)</f>
        <v>46123.35639</v>
      </c>
      <c r="C603" s="3">
        <f>IFERROR(__xludf.DUMMYFUNCTION("""COMPUTED_VALUE"""),46134.957675763886)</f>
        <v>46134.95768</v>
      </c>
      <c r="D603" s="3" t="str">
        <f>IFERROR(__xludf.DUMMYFUNCTION("""COMPUTED_VALUE"""),"Autoclave Lab")</f>
        <v>Autoclave Lab</v>
      </c>
      <c r="E603" s="3" t="str">
        <f>IFERROR(__xludf.DUMMYFUNCTION("""COMPUTED_VALUE"""),"-")</f>
        <v>-</v>
      </c>
      <c r="F603" s="3" t="str">
        <f>IFERROR(__xludf.DUMMYFUNCTION("""COMPUTED_VALUE"""),"Autoclave Fedegari FVA2/A1 NB2963AT - Level Transmitter code 15218 2m p/n: CD050024; ; ;")</f>
        <v>Autoclave Fedegari FVA2/A1 NB2963AT - Level Transmitter code 15218 2m p/n: CD050024; ; ;</v>
      </c>
      <c r="G603" s="3">
        <f>IFERROR(__xludf.DUMMYFUNCTION("""COMPUTED_VALUE"""),2.0)</f>
        <v>2</v>
      </c>
      <c r="H603" s="3" t="str">
        <f>IFERROR(__xludf.DUMMYFUNCTION("""COMPUTED_VALUE"""),"pcs")</f>
        <v>pcs</v>
      </c>
      <c r="I603" s="3" t="str">
        <f>IFERROR(__xludf.DUMMYFUNCTION("""COMPUTED_VALUE"""),"PO Open")</f>
        <v>PO Open</v>
      </c>
      <c r="J603" s="3" t="str">
        <f>IFERROR(__xludf.DUMMYFUNCTION("""COMPUTED_VALUE"""),"121704197 - APPROVED")</f>
        <v>121704197 - APPROVED</v>
      </c>
      <c r="K603" s="3" t="str">
        <f>IFERROR(__xludf.DUMMYFUNCTION("""COMPUTED_VALUE"""),"GL2607373")</f>
        <v>GL2607373</v>
      </c>
    </row>
    <row r="604">
      <c r="A604" s="3" t="str">
        <f>IFERROR(__xludf.DUMMYFUNCTION("""COMPUTED_VALUE"""),"SFHRO0041")</f>
        <v>SFHRO0041</v>
      </c>
      <c r="B604" s="4">
        <f>IFERROR(__xludf.DUMMYFUNCTION("""COMPUTED_VALUE"""),46126.834051770835)</f>
        <v>46126.83405</v>
      </c>
      <c r="C604" s="3">
        <f>IFERROR(__xludf.DUMMYFUNCTION("""COMPUTED_VALUE"""),46132.73286152778)</f>
        <v>46132.73286</v>
      </c>
      <c r="D604" s="3" t="str">
        <f>IFERROR(__xludf.DUMMYFUNCTION("""COMPUTED_VALUE"""),"lantai 2")</f>
        <v>lantai 2</v>
      </c>
      <c r="E604" s="3" t="str">
        <f>IFERROR(__xludf.DUMMYFUNCTION("""COMPUTED_VALUE"""),"-")</f>
        <v>-</v>
      </c>
      <c r="F604" s="3" t="str">
        <f>IFERROR(__xludf.DUMMYFUNCTION("""COMPUTED_VALUE"""),"Kuas Cat Roller uk. 230 mm;No Brand;;pack size per set")</f>
        <v>Kuas Cat Roller uk. 230 mm;No Brand;;pack size per set</v>
      </c>
      <c r="G604" s="3">
        <f>IFERROR(__xludf.DUMMYFUNCTION("""COMPUTED_VALUE"""),10.0)</f>
        <v>10</v>
      </c>
      <c r="H604" s="3" t="str">
        <f>IFERROR(__xludf.DUMMYFUNCTION("""COMPUTED_VALUE"""),"pcs")</f>
        <v>pcs</v>
      </c>
      <c r="I604" s="3" t="str">
        <f>IFERROR(__xludf.DUMMYFUNCTION("""COMPUTED_VALUE"""),"Deliver")</f>
        <v>Deliver</v>
      </c>
      <c r="J604" s="3" t="str">
        <f>IFERROR(__xludf.DUMMYFUNCTION("""COMPUTED_VALUE"""),"121704177 - APPROVED")</f>
        <v>121704177 - APPROVED</v>
      </c>
      <c r="K604" s="3" t="str">
        <f>IFERROR(__xludf.DUMMYFUNCTION("""COMPUTED_VALUE"""),"GL2605026")</f>
        <v>GL2605026</v>
      </c>
    </row>
    <row r="605">
      <c r="A605" s="3" t="str">
        <f>IFERROR(__xludf.DUMMYFUNCTION("""COMPUTED_VALUE"""),"SFHRO0042")</f>
        <v>SFHRO0042</v>
      </c>
      <c r="B605" s="4">
        <f>IFERROR(__xludf.DUMMYFUNCTION("""COMPUTED_VALUE"""),46126.835104861115)</f>
        <v>46126.8351</v>
      </c>
      <c r="C605" s="3">
        <f>IFERROR(__xludf.DUMMYFUNCTION("""COMPUTED_VALUE"""),46132.73297460648)</f>
        <v>46132.73297</v>
      </c>
      <c r="D605" s="3" t="str">
        <f>IFERROR(__xludf.DUMMYFUNCTION("""COMPUTED_VALUE"""),"lantai 2")</f>
        <v>lantai 2</v>
      </c>
      <c r="E605" s="3" t="str">
        <f>IFERROR(__xludf.DUMMYFUNCTION("""COMPUTED_VALUE"""),"-")</f>
        <v>-</v>
      </c>
      <c r="F605" s="3" t="str">
        <f>IFERROR(__xludf.DUMMYFUNCTION("""COMPUTED_VALUE"""),"Kuas Cat Roller uk. 110 mm;No Brand;;pack size per set")</f>
        <v>Kuas Cat Roller uk. 110 mm;No Brand;;pack size per set</v>
      </c>
      <c r="G605" s="3">
        <f>IFERROR(__xludf.DUMMYFUNCTION("""COMPUTED_VALUE"""),10.0)</f>
        <v>10</v>
      </c>
      <c r="H605" s="3" t="str">
        <f>IFERROR(__xludf.DUMMYFUNCTION("""COMPUTED_VALUE"""),"pcs")</f>
        <v>pcs</v>
      </c>
      <c r="I605" s="3" t="str">
        <f>IFERROR(__xludf.DUMMYFUNCTION("""COMPUTED_VALUE"""),"Deliver")</f>
        <v>Deliver</v>
      </c>
      <c r="J605" s="3" t="str">
        <f>IFERROR(__xludf.DUMMYFUNCTION("""COMPUTED_VALUE"""),"121704177 - APPROVED")</f>
        <v>121704177 - APPROVED</v>
      </c>
      <c r="K605" s="3" t="str">
        <f>IFERROR(__xludf.DUMMYFUNCTION("""COMPUTED_VALUE"""),"GL2605026")</f>
        <v>GL2605026</v>
      </c>
    </row>
    <row r="606">
      <c r="A606" s="3" t="str">
        <f>IFERROR(__xludf.DUMMYFUNCTION("""COMPUTED_VALUE"""),"SFHRO0043")</f>
        <v>SFHRO0043</v>
      </c>
      <c r="B606" s="4">
        <f>IFERROR(__xludf.DUMMYFUNCTION("""COMPUTED_VALUE"""),46126.83661381944)</f>
        <v>46126.83661</v>
      </c>
      <c r="C606" s="3">
        <f>IFERROR(__xludf.DUMMYFUNCTION("""COMPUTED_VALUE"""),46132.73313770833)</f>
        <v>46132.73314</v>
      </c>
      <c r="D606" s="3" t="str">
        <f>IFERROR(__xludf.DUMMYFUNCTION("""COMPUTED_VALUE"""),"lantai 2")</f>
        <v>lantai 2</v>
      </c>
      <c r="E606" s="3" t="str">
        <f>IFERROR(__xludf.DUMMYFUNCTION("""COMPUTED_VALUE"""),"-")</f>
        <v>-</v>
      </c>
      <c r="F606" s="3" t="str">
        <f>IFERROR(__xludf.DUMMYFUNCTION("""COMPUTED_VALUE"""),"Semen MU 301 Plester Plus; ; ;")</f>
        <v>Semen MU 301 Plester Plus; ; ;</v>
      </c>
      <c r="G606" s="3">
        <f>IFERROR(__xludf.DUMMYFUNCTION("""COMPUTED_VALUE"""),40.0)</f>
        <v>40</v>
      </c>
      <c r="H606" s="3" t="str">
        <f>IFERROR(__xludf.DUMMYFUNCTION("""COMPUTED_VALUE"""),"kg")</f>
        <v>kg</v>
      </c>
      <c r="I606" s="3" t="str">
        <f>IFERROR(__xludf.DUMMYFUNCTION("""COMPUTED_VALUE"""),"PO Open")</f>
        <v>PO Open</v>
      </c>
      <c r="J606" s="3" t="str">
        <f>IFERROR(__xludf.DUMMYFUNCTION("""COMPUTED_VALUE"""),"121704177 - APPROVED")</f>
        <v>121704177 - APPROVED</v>
      </c>
      <c r="K606" s="3" t="str">
        <f>IFERROR(__xludf.DUMMYFUNCTION("""COMPUTED_VALUE"""),"-")</f>
        <v>-</v>
      </c>
    </row>
    <row r="607">
      <c r="A607" s="3" t="str">
        <f>IFERROR(__xludf.DUMMYFUNCTION("""COMPUTED_VALUE"""),"SFHRO0044")</f>
        <v>SFHRO0044</v>
      </c>
      <c r="B607" s="4">
        <f>IFERROR(__xludf.DUMMYFUNCTION("""COMPUTED_VALUE"""),46126.84634841434)</f>
        <v>46126.84635</v>
      </c>
      <c r="C607" s="3">
        <f>IFERROR(__xludf.DUMMYFUNCTION("""COMPUTED_VALUE"""),46132.733263055554)</f>
        <v>46132.73326</v>
      </c>
      <c r="D607" s="3" t="str">
        <f>IFERROR(__xludf.DUMMYFUNCTION("""COMPUTED_VALUE"""),"lantai 2")</f>
        <v>lantai 2</v>
      </c>
      <c r="E607" s="3" t="str">
        <f>IFERROR(__xludf.DUMMYFUNCTION("""COMPUTED_VALUE"""),"-")</f>
        <v>-</v>
      </c>
      <c r="F607" s="3" t="str">
        <f>IFERROR(__xludf.DUMMYFUNCTION("""COMPUTED_VALUE"""),"Kuas Cat Uk. 3 inch;Eterna;Tipe 611;pack size per pcs")</f>
        <v>Kuas Cat Uk. 3 inch;Eterna;Tipe 611;pack size per pcs</v>
      </c>
      <c r="G607" s="3">
        <f>IFERROR(__xludf.DUMMYFUNCTION("""COMPUTED_VALUE"""),5.0)</f>
        <v>5</v>
      </c>
      <c r="H607" s="3" t="str">
        <f>IFERROR(__xludf.DUMMYFUNCTION("""COMPUTED_VALUE"""),"pcs")</f>
        <v>pcs</v>
      </c>
      <c r="I607" s="3" t="str">
        <f>IFERROR(__xludf.DUMMYFUNCTION("""COMPUTED_VALUE"""),"Deliver")</f>
        <v>Deliver</v>
      </c>
      <c r="J607" s="3" t="str">
        <f>IFERROR(__xludf.DUMMYFUNCTION("""COMPUTED_VALUE"""),"121704177 - APPROVED")</f>
        <v>121704177 - APPROVED</v>
      </c>
      <c r="K607" s="3" t="str">
        <f>IFERROR(__xludf.DUMMYFUNCTION("""COMPUTED_VALUE"""),"GL2605026")</f>
        <v>GL2605026</v>
      </c>
    </row>
    <row r="608">
      <c r="A608" s="3" t="str">
        <f>IFERROR(__xludf.DUMMYFUNCTION("""COMPUTED_VALUE"""),"ROSRO0027")</f>
        <v>ROSRO0027</v>
      </c>
      <c r="B608" s="4">
        <f>IFERROR(__xludf.DUMMYFUNCTION("""COMPUTED_VALUE"""),46133.18225651621)</f>
        <v>46133.18226</v>
      </c>
      <c r="C608" s="3">
        <f>IFERROR(__xludf.DUMMYFUNCTION("""COMPUTED_VALUE"""),46135.12786436343)</f>
        <v>46135.12786</v>
      </c>
      <c r="D608" s="3" t="str">
        <f>IFERROR(__xludf.DUMMYFUNCTION("""COMPUTED_VALUE"""),"Autoclave")</f>
        <v>Autoclave</v>
      </c>
      <c r="E608" s="3" t="str">
        <f>IFERROR(__xludf.DUMMYFUNCTION("""COMPUTED_VALUE"""),"-")</f>
        <v>-</v>
      </c>
      <c r="F608" s="3" t="str">
        <f>IFERROR(__xludf.DUMMYFUNCTION("""COMPUTED_VALUE"""),"Autoclave Fedegari FVA2/A1 NB2963AT - KIT Ricambi Valv. DN10 ON-OFF FEDEGARI ASIA PTE LTD P/N : KS000025 pc")</f>
        <v>Autoclave Fedegari FVA2/A1 NB2963AT - KIT Ricambi Valv. DN10 ON-OFF FEDEGARI ASIA PTE LTD P/N : KS000025 pc</v>
      </c>
      <c r="G608" s="3">
        <f>IFERROR(__xludf.DUMMYFUNCTION("""COMPUTED_VALUE"""),10.0)</f>
        <v>10</v>
      </c>
      <c r="H608" s="3" t="str">
        <f>IFERROR(__xludf.DUMMYFUNCTION("""COMPUTED_VALUE"""),"pcs")</f>
        <v>pcs</v>
      </c>
      <c r="I608" s="3" t="str">
        <f>IFERROR(__xludf.DUMMYFUNCTION("""COMPUTED_VALUE"""),"PO Open")</f>
        <v>PO Open</v>
      </c>
      <c r="J608" s="3" t="str">
        <f>IFERROR(__xludf.DUMMYFUNCTION("""COMPUTED_VALUE"""),"121704197 - APPROVED")</f>
        <v>121704197 - APPROVED</v>
      </c>
      <c r="K608" s="3" t="str">
        <f>IFERROR(__xludf.DUMMYFUNCTION("""COMPUTED_VALUE"""),"GL2607373")</f>
        <v>GL2607373</v>
      </c>
    </row>
    <row r="609">
      <c r="A609" s="3" t="str">
        <f>IFERROR(__xludf.DUMMYFUNCTION("""COMPUTED_VALUE"""),"ROSRO0028")</f>
        <v>ROSRO0028</v>
      </c>
      <c r="B609" s="4">
        <f>IFERROR(__xludf.DUMMYFUNCTION("""COMPUTED_VALUE"""),46133.18225651621)</f>
        <v>46133.18226</v>
      </c>
      <c r="C609" s="3">
        <f>IFERROR(__xludf.DUMMYFUNCTION("""COMPUTED_VALUE"""),46135.128027638886)</f>
        <v>46135.12803</v>
      </c>
      <c r="D609" s="3" t="str">
        <f>IFERROR(__xludf.DUMMYFUNCTION("""COMPUTED_VALUE"""),"Autoclave")</f>
        <v>Autoclave</v>
      </c>
      <c r="E609" s="3" t="str">
        <f>IFERROR(__xludf.DUMMYFUNCTION("""COMPUTED_VALUE"""),"-")</f>
        <v>-</v>
      </c>
      <c r="F609" s="3" t="str">
        <f>IFERROR(__xludf.DUMMYFUNCTION("""COMPUTED_VALUE"""),"Autoclave Fedegari FOF / 6 AC - Kit DN22 Valve Mod; p/n: KK000310; ; ;")</f>
        <v>Autoclave Fedegari FOF / 6 AC - Kit DN22 Valve Mod; p/n: KK000310; ; ;</v>
      </c>
      <c r="G609" s="3">
        <f>IFERROR(__xludf.DUMMYFUNCTION("""COMPUTED_VALUE"""),10.0)</f>
        <v>10</v>
      </c>
      <c r="H609" s="3" t="str">
        <f>IFERROR(__xludf.DUMMYFUNCTION("""COMPUTED_VALUE"""),"pcs")</f>
        <v>pcs</v>
      </c>
      <c r="I609" s="3" t="str">
        <f>IFERROR(__xludf.DUMMYFUNCTION("""COMPUTED_VALUE"""),"PO Open")</f>
        <v>PO Open</v>
      </c>
      <c r="J609" s="3" t="str">
        <f>IFERROR(__xludf.DUMMYFUNCTION("""COMPUTED_VALUE"""),"121704197 - APPROVED")</f>
        <v>121704197 - APPROVED</v>
      </c>
      <c r="K609" s="3" t="str">
        <f>IFERROR(__xludf.DUMMYFUNCTION("""COMPUTED_VALUE"""),"GL2607373")</f>
        <v>GL2607373</v>
      </c>
    </row>
    <row r="610">
      <c r="A610" s="3" t="str">
        <f>IFERROR(__xludf.DUMMYFUNCTION("""COMPUTED_VALUE"""),"ROSRO0029")</f>
        <v>ROSRO0029</v>
      </c>
      <c r="B610" s="4">
        <f>IFERROR(__xludf.DUMMYFUNCTION("""COMPUTED_VALUE"""),46133.18225651621)</f>
        <v>46133.18226</v>
      </c>
      <c r="C610" s="3">
        <f>IFERROR(__xludf.DUMMYFUNCTION("""COMPUTED_VALUE"""),46135.128186539354)</f>
        <v>46135.12819</v>
      </c>
      <c r="D610" s="3" t="str">
        <f>IFERROR(__xludf.DUMMYFUNCTION("""COMPUTED_VALUE"""),"Autoclave")</f>
        <v>Autoclave</v>
      </c>
      <c r="E610" s="3" t="str">
        <f>IFERROR(__xludf.DUMMYFUNCTION("""COMPUTED_VALUE"""),"-")</f>
        <v>-</v>
      </c>
      <c r="F610" s="3" t="str">
        <f>IFERROR(__xludf.DUMMYFUNCTION("""COMPUTED_VALUE"""),"Autoclave Fedegari FOF / 6 AC - P/N. KK000304-KIT RICAMBI VALV.DN16 ON-OFF")</f>
        <v>Autoclave Fedegari FOF / 6 AC - P/N. KK000304-KIT RICAMBI VALV.DN16 ON-OFF</v>
      </c>
      <c r="G610" s="3">
        <f>IFERROR(__xludf.DUMMYFUNCTION("""COMPUTED_VALUE"""),10.0)</f>
        <v>10</v>
      </c>
      <c r="H610" s="3" t="str">
        <f>IFERROR(__xludf.DUMMYFUNCTION("""COMPUTED_VALUE"""),"pcs")</f>
        <v>pcs</v>
      </c>
      <c r="I610" s="3" t="str">
        <f>IFERROR(__xludf.DUMMYFUNCTION("""COMPUTED_VALUE"""),"PO Open")</f>
        <v>PO Open</v>
      </c>
      <c r="J610" s="3" t="str">
        <f>IFERROR(__xludf.DUMMYFUNCTION("""COMPUTED_VALUE"""),"121704197 - APPROVED")</f>
        <v>121704197 - APPROVED</v>
      </c>
      <c r="K610" s="3" t="str">
        <f>IFERROR(__xludf.DUMMYFUNCTION("""COMPUTED_VALUE"""),"GL2607373")</f>
        <v>GL2607373</v>
      </c>
    </row>
    <row r="611">
      <c r="A611" s="3" t="str">
        <f>IFERROR(__xludf.DUMMYFUNCTION("""COMPUTED_VALUE"""),"ROSRO0030")</f>
        <v>ROSRO0030</v>
      </c>
      <c r="B611" s="4">
        <f>IFERROR(__xludf.DUMMYFUNCTION("""COMPUTED_VALUE"""),46133.18225651621)</f>
        <v>46133.18226</v>
      </c>
      <c r="C611" s="3">
        <f>IFERROR(__xludf.DUMMYFUNCTION("""COMPUTED_VALUE"""),46135.128349039354)</f>
        <v>46135.12835</v>
      </c>
      <c r="D611" s="3" t="str">
        <f>IFERROR(__xludf.DUMMYFUNCTION("""COMPUTED_VALUE"""),"Autoclave")</f>
        <v>Autoclave</v>
      </c>
      <c r="E611" s="3" t="str">
        <f>IFERROR(__xludf.DUMMYFUNCTION("""COMPUTED_VALUE"""),"-")</f>
        <v>-</v>
      </c>
      <c r="F611" s="3" t="str">
        <f>IFERROR(__xludf.DUMMYFUNCTION("""COMPUTED_VALUE"""),"Autoclave Fedegari FVA2/A1 NB2963AT - KIT Ricambi Valv. DN10 ON-OFF FEDEGARI ASIA PTE LTD P/N : KK000301 pc")</f>
        <v>Autoclave Fedegari FVA2/A1 NB2963AT - KIT Ricambi Valv. DN10 ON-OFF FEDEGARI ASIA PTE LTD P/N : KK000301 pc</v>
      </c>
      <c r="G611" s="3">
        <f>IFERROR(__xludf.DUMMYFUNCTION("""COMPUTED_VALUE"""),10.0)</f>
        <v>10</v>
      </c>
      <c r="H611" s="3" t="str">
        <f>IFERROR(__xludf.DUMMYFUNCTION("""COMPUTED_VALUE"""),"pcs")</f>
        <v>pcs</v>
      </c>
      <c r="I611" s="3" t="str">
        <f>IFERROR(__xludf.DUMMYFUNCTION("""COMPUTED_VALUE"""),"PO Open")</f>
        <v>PO Open</v>
      </c>
      <c r="J611" s="3" t="str">
        <f>IFERROR(__xludf.DUMMYFUNCTION("""COMPUTED_VALUE"""),"121704197 - APPROVED")</f>
        <v>121704197 - APPROVED</v>
      </c>
      <c r="K611" s="3" t="str">
        <f>IFERROR(__xludf.DUMMYFUNCTION("""COMPUTED_VALUE"""),"GL2607373")</f>
        <v>GL2607373</v>
      </c>
    </row>
    <row r="612">
      <c r="A612" s="3" t="str">
        <f>IFERROR(__xludf.DUMMYFUNCTION("""COMPUTED_VALUE"""),"RIARO0082")</f>
        <v>RIARO0082</v>
      </c>
      <c r="B612" s="4">
        <f>IFERROR(__xludf.DUMMYFUNCTION("""COMPUTED_VALUE"""),46134.586524317136)</f>
        <v>46134.58652</v>
      </c>
      <c r="C612" s="3">
        <f>IFERROR(__xludf.DUMMYFUNCTION("""COMPUTED_VALUE"""),46135.601071446756)</f>
        <v>46135.60107</v>
      </c>
      <c r="D612" s="3" t="str">
        <f>IFERROR(__xludf.DUMMYFUNCTION("""COMPUTED_VALUE"""),"AHU C12")</f>
        <v>AHU C12</v>
      </c>
      <c r="E612" s="3" t="str">
        <f>IFERROR(__xludf.DUMMYFUNCTION("""COMPUTED_VALUE"""),"-")</f>
        <v>-</v>
      </c>
      <c r="F612" s="3" t="str">
        <f>IFERROR(__xludf.DUMMYFUNCTION("""COMPUTED_VALUE"""),"General - Heater Ducting Dia. 11.2 x 300mm 220V 5000W; No Brand; -; 1 Pc")</f>
        <v>General - Heater Ducting Dia. 11.2 x 300mm 220V 5000W; No Brand; -; 1 Pc</v>
      </c>
      <c r="G612" s="3">
        <f>IFERROR(__xludf.DUMMYFUNCTION("""COMPUTED_VALUE"""),3.0)</f>
        <v>3</v>
      </c>
      <c r="H612" s="3" t="str">
        <f>IFERROR(__xludf.DUMMYFUNCTION("""COMPUTED_VALUE"""),"Pcs")</f>
        <v>Pcs</v>
      </c>
      <c r="I612" s="3" t="str">
        <f>IFERROR(__xludf.DUMMYFUNCTION("""COMPUTED_VALUE"""),"Deliver")</f>
        <v>Deliver</v>
      </c>
      <c r="J612" s="3" t="str">
        <f>IFERROR(__xludf.DUMMYFUNCTION("""COMPUTED_VALUE"""),"121704214 - APPROVED")</f>
        <v>121704214 - APPROVED</v>
      </c>
      <c r="K612" s="3" t="str">
        <f>IFERROR(__xludf.DUMMYFUNCTION("""COMPUTED_VALUE"""),"GL2605027")</f>
        <v>GL2605027</v>
      </c>
    </row>
    <row r="613">
      <c r="A613" s="3" t="str">
        <f>IFERROR(__xludf.DUMMYFUNCTION("""COMPUTED_VALUE"""),"RIARO0083")</f>
        <v>RIARO0083</v>
      </c>
      <c r="B613" s="4">
        <f>IFERROR(__xludf.DUMMYFUNCTION("""COMPUTED_VALUE"""),46134.58727755787)</f>
        <v>46134.58728</v>
      </c>
      <c r="C613" s="3">
        <f>IFERROR(__xludf.DUMMYFUNCTION("""COMPUTED_VALUE"""),46135.6012378125)</f>
        <v>46135.60124</v>
      </c>
      <c r="D613" s="3" t="str">
        <f>IFERROR(__xludf.DUMMYFUNCTION("""COMPUTED_VALUE"""),"All Area")</f>
        <v>All Area</v>
      </c>
      <c r="E613" s="3" t="str">
        <f>IFERROR(__xludf.DUMMYFUNCTION("""COMPUTED_VALUE"""),"-")</f>
        <v>-</v>
      </c>
      <c r="F613" s="3" t="str">
        <f>IFERROR(__xludf.DUMMYFUNCTION("""COMPUTED_VALUE"""),"General - Heat Sink untuk SSR; Fotex; -; 1 Pc")</f>
        <v>General - Heat Sink untuk SSR; Fotex; -; 1 Pc</v>
      </c>
      <c r="G613" s="3">
        <f>IFERROR(__xludf.DUMMYFUNCTION("""COMPUTED_VALUE"""),5.0)</f>
        <v>5</v>
      </c>
      <c r="H613" s="3" t="str">
        <f>IFERROR(__xludf.DUMMYFUNCTION("""COMPUTED_VALUE"""),"Pcs")</f>
        <v>Pcs</v>
      </c>
      <c r="I613" s="3" t="str">
        <f>IFERROR(__xludf.DUMMYFUNCTION("""COMPUTED_VALUE"""),"Deliver")</f>
        <v>Deliver</v>
      </c>
      <c r="J613" s="3" t="str">
        <f>IFERROR(__xludf.DUMMYFUNCTION("""COMPUTED_VALUE"""),"121704202 - APPROVED")</f>
        <v>121704202 - APPROVED</v>
      </c>
      <c r="K613" s="3" t="str">
        <f>IFERROR(__xludf.DUMMYFUNCTION("""COMPUTED_VALUE"""),"GL2605343")</f>
        <v>GL2605343</v>
      </c>
    </row>
    <row r="614">
      <c r="A614" s="3" t="str">
        <f>IFERROR(__xludf.DUMMYFUNCTION("""COMPUTED_VALUE"""),"RIARO0084")</f>
        <v>RIARO0084</v>
      </c>
      <c r="B614" s="4">
        <f>IFERROR(__xludf.DUMMYFUNCTION("""COMPUTED_VALUE"""),46134.589205752316)</f>
        <v>46134.58921</v>
      </c>
      <c r="C614" s="3">
        <f>IFERROR(__xludf.DUMMYFUNCTION("""COMPUTED_VALUE"""),46135.6013800463)</f>
        <v>46135.60138</v>
      </c>
      <c r="D614" s="3" t="str">
        <f>IFERROR(__xludf.DUMMYFUNCTION("""COMPUTED_VALUE"""),"AHU C12")</f>
        <v>AHU C12</v>
      </c>
      <c r="E614" s="3" t="str">
        <f>IFERROR(__xludf.DUMMYFUNCTION("""COMPUTED_VALUE"""),"-")</f>
        <v>-</v>
      </c>
      <c r="F614" s="3" t="str">
        <f>IFERROR(__xludf.DUMMYFUNCTION("""COMPUTED_VALUE"""),"General - Solid State Relay 3-32 VDC - 330 VAC 25 A; Fotek; SSR 3-32; 1 Pc")</f>
        <v>General - Solid State Relay 3-32 VDC - 330 VAC 25 A; Fotek; SSR 3-32; 1 Pc</v>
      </c>
      <c r="G614" s="3">
        <f>IFERROR(__xludf.DUMMYFUNCTION("""COMPUTED_VALUE"""),5.0)</f>
        <v>5</v>
      </c>
      <c r="H614" s="3" t="str">
        <f>IFERROR(__xludf.DUMMYFUNCTION("""COMPUTED_VALUE"""),"Pcs")</f>
        <v>Pcs</v>
      </c>
      <c r="I614" s="3" t="str">
        <f>IFERROR(__xludf.DUMMYFUNCTION("""COMPUTED_VALUE"""),"Deliver")</f>
        <v>Deliver</v>
      </c>
      <c r="J614" s="3" t="str">
        <f>IFERROR(__xludf.DUMMYFUNCTION("""COMPUTED_VALUE"""),"121704206 - APPROVED")</f>
        <v>121704206 - APPROVED</v>
      </c>
      <c r="K614" s="3" t="str">
        <f>IFERROR(__xludf.DUMMYFUNCTION("""COMPUTED_VALUE"""),"GL2605344")</f>
        <v>GL2605344</v>
      </c>
    </row>
    <row r="615">
      <c r="A615" s="3" t="str">
        <f>IFERROR(__xludf.DUMMYFUNCTION("""COMPUTED_VALUE"""),"RIARO0085")</f>
        <v>RIARO0085</v>
      </c>
      <c r="B615" s="4">
        <f>IFERROR(__xludf.DUMMYFUNCTION("""COMPUTED_VALUE"""),46134.58922396991)</f>
        <v>46134.58922</v>
      </c>
      <c r="C615" s="3">
        <f>IFERROR(__xludf.DUMMYFUNCTION("""COMPUTED_VALUE"""),46135.601522592595)</f>
        <v>46135.60152</v>
      </c>
      <c r="D615" s="3" t="str">
        <f>IFERROR(__xludf.DUMMYFUNCTION("""COMPUTED_VALUE"""),"AHU C12")</f>
        <v>AHU C12</v>
      </c>
      <c r="E615" s="3" t="str">
        <f>IFERROR(__xludf.DUMMYFUNCTION("""COMPUTED_VALUE"""),"-")</f>
        <v>-</v>
      </c>
      <c r="F615" s="3" t="str">
        <f>IFERROR(__xludf.DUMMYFUNCTION("""COMPUTED_VALUE"""),"General - Solid State Relay (SSR) 3-32VDC 24-330VAC 40A; No Brand; -; 1 Pc")</f>
        <v>General - Solid State Relay (SSR) 3-32VDC 24-330VAC 40A; No Brand; -; 1 Pc</v>
      </c>
      <c r="G615" s="3">
        <f>IFERROR(__xludf.DUMMYFUNCTION("""COMPUTED_VALUE"""),5.0)</f>
        <v>5</v>
      </c>
      <c r="H615" s="3" t="str">
        <f>IFERROR(__xludf.DUMMYFUNCTION("""COMPUTED_VALUE"""),"Pcs")</f>
        <v>Pcs</v>
      </c>
      <c r="I615" s="3" t="str">
        <f>IFERROR(__xludf.DUMMYFUNCTION("""COMPUTED_VALUE"""),"PO Open")</f>
        <v>PO Open</v>
      </c>
      <c r="J615" s="3" t="str">
        <f>IFERROR(__xludf.DUMMYFUNCTION("""COMPUTED_VALUE"""),"121704203 - APPROVED")</f>
        <v>121704203 - APPROVED</v>
      </c>
      <c r="K615" s="3" t="str">
        <f>IFERROR(__xludf.DUMMYFUNCTION("""COMPUTED_VALUE"""),"GL2606013")</f>
        <v>GL2606013</v>
      </c>
    </row>
    <row r="616">
      <c r="A616" s="3" t="str">
        <f>IFERROR(__xludf.DUMMYFUNCTION("""COMPUTED_VALUE"""),"RIARO0086")</f>
        <v>RIARO0086</v>
      </c>
      <c r="B616" s="4">
        <f>IFERROR(__xludf.DUMMYFUNCTION("""COMPUTED_VALUE"""),46134.591565312505)</f>
        <v>46134.59157</v>
      </c>
      <c r="C616" s="3">
        <f>IFERROR(__xludf.DUMMYFUNCTION("""COMPUTED_VALUE"""),46135.601741782404)</f>
        <v>46135.60174</v>
      </c>
      <c r="D616" s="3" t="str">
        <f>IFERROR(__xludf.DUMMYFUNCTION("""COMPUTED_VALUE"""),"Lampu Emergency Tangga")</f>
        <v>Lampu Emergency Tangga</v>
      </c>
      <c r="E616" s="3" t="str">
        <f>IFERROR(__xludf.DUMMYFUNCTION("""COMPUTED_VALUE"""),"-")</f>
        <v>-</v>
      </c>
      <c r="F616" s="3" t="str">
        <f>IFERROR(__xludf.DUMMYFUNCTION("""COMPUTED_VALUE"""),"General - Lampu Emergency TL LED 16W Waterproof IP65; Briliant; -; 1 pc")</f>
        <v>General - Lampu Emergency TL LED 16W Waterproof IP65; Briliant; -; 1 pc</v>
      </c>
      <c r="G616" s="3">
        <f>IFERROR(__xludf.DUMMYFUNCTION("""COMPUTED_VALUE"""),15.0)</f>
        <v>15</v>
      </c>
      <c r="H616" s="3" t="str">
        <f>IFERROR(__xludf.DUMMYFUNCTION("""COMPUTED_VALUE"""),"Pcs")</f>
        <v>Pcs</v>
      </c>
      <c r="I616" s="3" t="str">
        <f>IFERROR(__xludf.DUMMYFUNCTION("""COMPUTED_VALUE"""),"Deliver")</f>
        <v>Deliver</v>
      </c>
      <c r="J616" s="3" t="str">
        <f>IFERROR(__xludf.DUMMYFUNCTION("""COMPUTED_VALUE"""),"121704207 - APPROVED")</f>
        <v>121704207 - APPROVED</v>
      </c>
      <c r="K616" s="3" t="str">
        <f>IFERROR(__xludf.DUMMYFUNCTION("""COMPUTED_VALUE"""),"GL2605338")</f>
        <v>GL2605338</v>
      </c>
    </row>
    <row r="617">
      <c r="A617" s="3" t="str">
        <f>IFERROR(__xludf.DUMMYFUNCTION("""COMPUTED_VALUE"""),"RIARO0088")</f>
        <v>RIARO0088</v>
      </c>
      <c r="B617" s="4">
        <f>IFERROR(__xludf.DUMMYFUNCTION("""COMPUTED_VALUE"""),46134.596282025464)</f>
        <v>46134.59628</v>
      </c>
      <c r="C617" s="3">
        <f>IFERROR(__xludf.DUMMYFUNCTION("""COMPUTED_VALUE"""),46146.479155023146)</f>
        <v>46146.47916</v>
      </c>
      <c r="D617" s="3" t="str">
        <f>IFERROR(__xludf.DUMMYFUNCTION("""COMPUTED_VALUE"""),"PW SKID")</f>
        <v>PW SKID</v>
      </c>
      <c r="E617" s="3" t="str">
        <f>IFERROR(__xludf.DUMMYFUNCTION("""COMPUTED_VALUE"""),"-")</f>
        <v>-</v>
      </c>
      <c r="F617" s="3" t="str">
        <f>IFERROR(__xludf.DUMMYFUNCTION("""COMPUTED_VALUE"""),"General - Sanitary Diaphragma Pressure Gauge Membrane Conn. Ferrule 1.5 inch Center Back SS 316 0 s/d 10 bar; SPV; -; 1 Pc")</f>
        <v>General - Sanitary Diaphragma Pressure Gauge Membrane Conn. Ferrule 1.5 inch Center Back SS 316 0 s/d 10 bar; SPV; -; 1 Pc</v>
      </c>
      <c r="G617" s="3">
        <f>IFERROR(__xludf.DUMMYFUNCTION("""COMPUTED_VALUE"""),2.0)</f>
        <v>2</v>
      </c>
      <c r="H617" s="3" t="str">
        <f>IFERROR(__xludf.DUMMYFUNCTION("""COMPUTED_VALUE"""),"Pcs")</f>
        <v>Pcs</v>
      </c>
      <c r="I617" s="3" t="str">
        <f>IFERROR(__xludf.DUMMYFUNCTION("""COMPUTED_VALUE"""),"PO Open")</f>
        <v>PO Open</v>
      </c>
      <c r="J617" s="3" t="str">
        <f>IFERROR(__xludf.DUMMYFUNCTION("""COMPUTED_VALUE"""),"121704382 - APPROVED")</f>
        <v>121704382 - APPROVED</v>
      </c>
      <c r="K617" s="3" t="str">
        <f>IFERROR(__xludf.DUMMYFUNCTION("""COMPUTED_VALUE"""),"GL2605044")</f>
        <v>GL2605044</v>
      </c>
    </row>
    <row r="618">
      <c r="A618" s="3" t="str">
        <f>IFERROR(__xludf.DUMMYFUNCTION("""COMPUTED_VALUE"""),"RIARO0089")</f>
        <v>RIARO0089</v>
      </c>
      <c r="B618" s="4">
        <f>IFERROR(__xludf.DUMMYFUNCTION("""COMPUTED_VALUE"""),46134.64896170139)</f>
        <v>46134.64896</v>
      </c>
      <c r="C618" s="3">
        <f>IFERROR(__xludf.DUMMYFUNCTION("""COMPUTED_VALUE"""),46135.60274200232)</f>
        <v>46135.60274</v>
      </c>
      <c r="D618" s="3" t="str">
        <f>IFERROR(__xludf.DUMMYFUNCTION("""COMPUTED_VALUE"""),"WWTP")</f>
        <v>WWTP</v>
      </c>
      <c r="E618" s="3" t="str">
        <f>IFERROR(__xludf.DUMMYFUNCTION("""COMPUTED_VALUE"""),"-")</f>
        <v>-</v>
      </c>
      <c r="F618" s="3" t="str">
        <f>IFERROR(__xludf.DUMMYFUNCTION("""COMPUTED_VALUE"""),"General - Vertical Float Level Switch; Wingel; VSS-2FJ-S4-L720-FS45-HT; 1 Pc")</f>
        <v>General - Vertical Float Level Switch; Wingel; VSS-2FJ-S4-L720-FS45-HT; 1 Pc</v>
      </c>
      <c r="G618" s="3">
        <f>IFERROR(__xludf.DUMMYFUNCTION("""COMPUTED_VALUE"""),2.0)</f>
        <v>2</v>
      </c>
      <c r="H618" s="3" t="str">
        <f>IFERROR(__xludf.DUMMYFUNCTION("""COMPUTED_VALUE"""),"Pcs")</f>
        <v>Pcs</v>
      </c>
      <c r="I618" s="3" t="str">
        <f>IFERROR(__xludf.DUMMYFUNCTION("""COMPUTED_VALUE"""),"Deliver")</f>
        <v>Deliver</v>
      </c>
      <c r="J618" s="3" t="str">
        <f>IFERROR(__xludf.DUMMYFUNCTION("""COMPUTED_VALUE"""),"121704212 - APPROVED")</f>
        <v>121704212 - APPROVED</v>
      </c>
      <c r="K618" s="3" t="str">
        <f>IFERROR(__xludf.DUMMYFUNCTION("""COMPUTED_VALUE"""),"GL2605028")</f>
        <v>GL2605028</v>
      </c>
    </row>
    <row r="619">
      <c r="A619" s="3" t="str">
        <f>IFERROR(__xludf.DUMMYFUNCTION("""COMPUTED_VALUE"""),"SFHRO0045")</f>
        <v>SFHRO0045</v>
      </c>
      <c r="B619" s="4">
        <f>IFERROR(__xludf.DUMMYFUNCTION("""COMPUTED_VALUE"""),46138.87230109954)</f>
        <v>46138.8723</v>
      </c>
      <c r="C619" s="3">
        <f>IFERROR(__xludf.DUMMYFUNCTION("""COMPUTED_VALUE"""),46146.666825810185)</f>
        <v>46146.66683</v>
      </c>
      <c r="D619" s="3" t="str">
        <f>IFERROR(__xludf.DUMMYFUNCTION("""COMPUTED_VALUE"""),"Lantai 1")</f>
        <v>Lantai 1</v>
      </c>
      <c r="E619" s="3" t="str">
        <f>IFERROR(__xludf.DUMMYFUNCTION("""COMPUTED_VALUE"""),"EJO/2026/04/046")</f>
        <v>EJO/2026/04/046</v>
      </c>
      <c r="F619" s="3" t="str">
        <f>IFERROR(__xludf.DUMMYFUNCTION("""COMPUTED_VALUE"""),"Hardener / Obat dempul sanpolac; ; ; pack size per tube")</f>
        <v>Hardener / Obat dempul sanpolac; ; ; pack size per tube</v>
      </c>
      <c r="G619" s="3">
        <f>IFERROR(__xludf.DUMMYFUNCTION("""COMPUTED_VALUE"""),5.0)</f>
        <v>5</v>
      </c>
      <c r="H619" s="3" t="str">
        <f>IFERROR(__xludf.DUMMYFUNCTION("""COMPUTED_VALUE"""),"pcs")</f>
        <v>pcs</v>
      </c>
      <c r="I619" s="3" t="str">
        <f>IFERROR(__xludf.DUMMYFUNCTION("""COMPUTED_VALUE"""),"Deliver")</f>
        <v>Deliver</v>
      </c>
      <c r="J619" s="3" t="str">
        <f>IFERROR(__xludf.DUMMYFUNCTION("""COMPUTED_VALUE"""),"121704369 - APPROVED")</f>
        <v>121704369 - APPROVED</v>
      </c>
      <c r="K619" s="3" t="str">
        <f>IFERROR(__xludf.DUMMYFUNCTION("""COMPUTED_VALUE"""),"GL2607035")</f>
        <v>GL2607035</v>
      </c>
    </row>
    <row r="620">
      <c r="A620" s="3" t="str">
        <f>IFERROR(__xludf.DUMMYFUNCTION("""COMPUTED_VALUE"""),"ROSRO0031")</f>
        <v>ROSRO0031</v>
      </c>
      <c r="B620" s="4">
        <f>IFERROR(__xludf.DUMMYFUNCTION("""COMPUTED_VALUE"""),46150.26054189815)</f>
        <v>46150.26054</v>
      </c>
      <c r="C620" s="3">
        <f>IFERROR(__xludf.DUMMYFUNCTION("""COMPUTED_VALUE"""),46268.46545957176)</f>
        <v>46268.46546</v>
      </c>
      <c r="D620" s="3" t="str">
        <f>IFERROR(__xludf.DUMMYFUNCTION("""COMPUTED_VALUE"""),"Autoclave")</f>
        <v>Autoclave</v>
      </c>
      <c r="E620" s="3" t="str">
        <f>IFERROR(__xludf.DUMMYFUNCTION("""COMPUTED_VALUE"""),"-")</f>
        <v>-</v>
      </c>
      <c r="F620" s="3" t="str">
        <f>IFERROR(__xludf.DUMMYFUNCTION("""COMPUTED_VALUE"""),"Autoclave Fedegari FVA2/A1 NB2963AT - Level Transmitter code 15218 2m p/n: CD050024; ; ;")</f>
        <v>Autoclave Fedegari FVA2/A1 NB2963AT - Level Transmitter code 15218 2m p/n: CD050024; ; ;</v>
      </c>
      <c r="G620" s="3">
        <f>IFERROR(__xludf.DUMMYFUNCTION("""COMPUTED_VALUE"""),4.0)</f>
        <v>4</v>
      </c>
      <c r="H620" s="3" t="str">
        <f>IFERROR(__xludf.DUMMYFUNCTION("""COMPUTED_VALUE"""),"pcs")</f>
        <v>pcs</v>
      </c>
      <c r="I620" s="3" t="str">
        <f>IFERROR(__xludf.DUMMYFUNCTION("""COMPUTED_VALUE"""),"Proses PR")</f>
        <v>Proses PR</v>
      </c>
      <c r="J620" s="3" t="str">
        <f>IFERROR(__xludf.DUMMYFUNCTION("""COMPUTED_VALUE"""),"-")</f>
        <v>-</v>
      </c>
      <c r="K620" s="3" t="str">
        <f>IFERROR(__xludf.DUMMYFUNCTION("""COMPUTED_VALUE"""),"-")</f>
        <v>-</v>
      </c>
    </row>
    <row r="621">
      <c r="A621" s="3" t="str">
        <f>IFERROR(__xludf.DUMMYFUNCTION("""COMPUTED_VALUE"""),"MOBRO0083")</f>
        <v>MOBRO0083</v>
      </c>
      <c r="B621" s="4">
        <f>IFERROR(__xludf.DUMMYFUNCTION("""COMPUTED_VALUE"""),46150.67701347222)</f>
        <v>46150.67701</v>
      </c>
      <c r="C621" s="3">
        <f>IFERROR(__xludf.DUMMYFUNCTION("""COMPUTED_VALUE"""),46198.73223620371)</f>
        <v>46198.73224</v>
      </c>
      <c r="D621" s="3" t="str">
        <f>IFERROR(__xludf.DUMMYFUNCTION("""COMPUTED_VALUE"""),"Drawing Yoga")</f>
        <v>Drawing Yoga</v>
      </c>
      <c r="E621" s="3" t="str">
        <f>IFERROR(__xludf.DUMMYFUNCTION("""COMPUTED_VALUE"""),"-")</f>
        <v>-</v>
      </c>
      <c r="F621" s="3" t="str">
        <f>IFERROR(__xludf.DUMMYFUNCTION("""COMPUTED_VALUE"""),"Mouse; Logitech; M331 Silent Plus")</f>
        <v>Mouse; Logitech; M331 Silent Plus</v>
      </c>
      <c r="G621" s="3">
        <f>IFERROR(__xludf.DUMMYFUNCTION("""COMPUTED_VALUE"""),2.0)</f>
        <v>2</v>
      </c>
      <c r="H621" s="3" t="str">
        <f>IFERROR(__xludf.DUMMYFUNCTION("""COMPUTED_VALUE"""),"Pcs")</f>
        <v>Pcs</v>
      </c>
      <c r="I621" s="3" t="str">
        <f>IFERROR(__xludf.DUMMYFUNCTION("""COMPUTED_VALUE"""),"Deliver")</f>
        <v>Deliver</v>
      </c>
      <c r="J621" s="3" t="str">
        <f>IFERROR(__xludf.DUMMYFUNCTION("""COMPUTED_VALUE"""),"121704383 - APPROVED")</f>
        <v>121704383 - APPROVED</v>
      </c>
      <c r="K621" s="3" t="str">
        <f>IFERROR(__xludf.DUMMYFUNCTION("""COMPUTED_VALUE"""),"GL2607041")</f>
        <v>GL2607041</v>
      </c>
    </row>
    <row r="622">
      <c r="A622" s="3" t="str">
        <f>IFERROR(__xludf.DUMMYFUNCTION("""COMPUTED_VALUE"""),"SFHRO0046")</f>
        <v>SFHRO0046</v>
      </c>
      <c r="B622" s="4">
        <f>IFERROR(__xludf.DUMMYFUNCTION("""COMPUTED_VALUE"""),46150.939021886574)</f>
        <v>46150.93902</v>
      </c>
      <c r="C622" s="3">
        <f>IFERROR(__xludf.DUMMYFUNCTION("""COMPUTED_VALUE"""),46153.64091362269)</f>
        <v>46153.64091</v>
      </c>
      <c r="D622" s="3" t="str">
        <f>IFERROR(__xludf.DUMMYFUNCTION("""COMPUTED_VALUE"""),"lantai 3")</f>
        <v>lantai 3</v>
      </c>
      <c r="E622" s="3" t="str">
        <f>IFERROR(__xludf.DUMMYFUNCTION("""COMPUTED_VALUE"""),"-")</f>
        <v>-</v>
      </c>
      <c r="F622" s="3" t="str">
        <f>IFERROR(__xludf.DUMMYFUNCTION("""COMPUTED_VALUE"""),"Keramik Granito Warna Crystal White Sand 60x60; Granito; ;")</f>
        <v>Keramik Granito Warna Crystal White Sand 60x60; Granito; ;</v>
      </c>
      <c r="G622" s="3">
        <f>IFERROR(__xludf.DUMMYFUNCTION("""COMPUTED_VALUE"""),4.0)</f>
        <v>4</v>
      </c>
      <c r="H622" s="3" t="str">
        <f>IFERROR(__xludf.DUMMYFUNCTION("""COMPUTED_VALUE"""),"dus")</f>
        <v>dus</v>
      </c>
      <c r="I622" s="3" t="str">
        <f>IFERROR(__xludf.DUMMYFUNCTION("""COMPUTED_VALUE"""),"PO Open")</f>
        <v>PO Open</v>
      </c>
      <c r="J622" s="3" t="str">
        <f>IFERROR(__xludf.DUMMYFUNCTION("""COMPUTED_VALUE"""),"121704380 - APPROVED")</f>
        <v>121704380 - APPROVED</v>
      </c>
      <c r="K622" s="3" t="str">
        <f>IFERROR(__xludf.DUMMYFUNCTION("""COMPUTED_VALUE"""),"GL2608001")</f>
        <v>GL2608001</v>
      </c>
    </row>
    <row r="623">
      <c r="A623" s="3" t="str">
        <f>IFERROR(__xludf.DUMMYFUNCTION("""COMPUTED_VALUE"""),"MRNRO0049")</f>
        <v>MRNRO0049</v>
      </c>
      <c r="B623" s="4">
        <f>IFERROR(__xludf.DUMMYFUNCTION("""COMPUTED_VALUE"""),46154.50197199074)</f>
        <v>46154.50197</v>
      </c>
      <c r="C623" s="3">
        <f>IFERROR(__xludf.DUMMYFUNCTION("""COMPUTED_VALUE"""),46198.719002743055)</f>
        <v>46198.719</v>
      </c>
      <c r="D623" s="3" t="str">
        <f>IFERROR(__xludf.DUMMYFUNCTION("""COMPUTED_VALUE"""),"-")</f>
        <v>-</v>
      </c>
      <c r="E623" s="3" t="str">
        <f>IFERROR(__xludf.DUMMYFUNCTION("""COMPUTED_VALUE"""),"-")</f>
        <v>-</v>
      </c>
      <c r="F623" s="3" t="str">
        <f>IFERROR(__xludf.DUMMYFUNCTION("""COMPUTED_VALUE"""),"General - UV Lamp SD55-320W; Hanovia; 130071-0320-C; 1 pc")</f>
        <v>General - UV Lamp SD55-320W; Hanovia; 130071-0320-C; 1 pc</v>
      </c>
      <c r="G623" s="3">
        <f>IFERROR(__xludf.DUMMYFUNCTION("""COMPUTED_VALUE"""),2.0)</f>
        <v>2</v>
      </c>
      <c r="H623" s="3" t="str">
        <f>IFERROR(__xludf.DUMMYFUNCTION("""COMPUTED_VALUE"""),"pcs")</f>
        <v>pcs</v>
      </c>
      <c r="I623" s="3" t="str">
        <f>IFERROR(__xludf.DUMMYFUNCTION("""COMPUTED_VALUE"""),"PO Open")</f>
        <v>PO Open</v>
      </c>
      <c r="J623" s="3" t="str">
        <f>IFERROR(__xludf.DUMMYFUNCTION("""COMPUTED_VALUE"""),"121704360 - APPROVED")</f>
        <v>121704360 - APPROVED</v>
      </c>
      <c r="K623" s="3" t="str">
        <f>IFERROR(__xludf.DUMMYFUNCTION("""COMPUTED_VALUE"""),"GL2608046")</f>
        <v>GL2608046</v>
      </c>
    </row>
    <row r="624">
      <c r="A624" s="3" t="str">
        <f>IFERROR(__xludf.DUMMYFUNCTION("""COMPUTED_VALUE"""),"ERARO0001")</f>
        <v>ERARO0001</v>
      </c>
      <c r="B624" s="4">
        <f>IFERROR(__xludf.DUMMYFUNCTION("""COMPUTED_VALUE"""),46155.49358927083)</f>
        <v>46155.49359</v>
      </c>
      <c r="C624" s="3">
        <f>IFERROR(__xludf.DUMMYFUNCTION("""COMPUTED_VALUE"""),46254.84433478009)</f>
        <v>46254.84433</v>
      </c>
      <c r="D624" s="3" t="str">
        <f>IFERROR(__xludf.DUMMYFUNCTION("""COMPUTED_VALUE"""),"Pack Hall")</f>
        <v>Pack Hall</v>
      </c>
      <c r="E624" s="3" t="str">
        <f>IFERROR(__xludf.DUMMYFUNCTION("""COMPUTED_VALUE"""),"EJO/2026/05/015")</f>
        <v>EJO/2026/05/015</v>
      </c>
      <c r="F624" s="3" t="str">
        <f>IFERROR(__xludf.DUMMYFUNCTION("""COMPUTED_VALUE"""),"General - Lampu TL LED Bright Boost 18 W; Philips; -; 1 unt")</f>
        <v>General - Lampu TL LED Bright Boost 18 W; Philips; -; 1 unt</v>
      </c>
      <c r="G624" s="3">
        <f>IFERROR(__xludf.DUMMYFUNCTION("""COMPUTED_VALUE"""),5.0)</f>
        <v>5</v>
      </c>
      <c r="H624" s="3" t="str">
        <f>IFERROR(__xludf.DUMMYFUNCTION("""COMPUTED_VALUE"""),"pcs")</f>
        <v>pcs</v>
      </c>
      <c r="I624" s="3" t="str">
        <f>IFERROR(__xludf.DUMMYFUNCTION("""COMPUTED_VALUE"""),"PR Open")</f>
        <v>PR Open</v>
      </c>
      <c r="J624" s="3" t="str">
        <f>IFERROR(__xludf.DUMMYFUNCTION("""COMPUTED_VALUE"""),"121704569 - APPROVED")</f>
        <v>121704569 - APPROVED</v>
      </c>
      <c r="K624" s="3" t="str">
        <f>IFERROR(__xludf.DUMMYFUNCTION("""COMPUTED_VALUE"""),"GL2609428")</f>
        <v>GL2609428</v>
      </c>
    </row>
    <row r="625">
      <c r="A625" s="3" t="str">
        <f>IFERROR(__xludf.DUMMYFUNCTION("""COMPUTED_VALUE"""),"ERARO0002")</f>
        <v>ERARO0002</v>
      </c>
      <c r="B625" s="4">
        <f>IFERROR(__xludf.DUMMYFUNCTION("""COMPUTED_VALUE"""),46155.4961666088)</f>
        <v>46155.49617</v>
      </c>
      <c r="C625" s="3">
        <f>IFERROR(__xludf.DUMMYFUNCTION("""COMPUTED_VALUE"""),46254.84461483796)</f>
        <v>46254.84461</v>
      </c>
      <c r="D625" s="3" t="str">
        <f>IFERROR(__xludf.DUMMYFUNCTION("""COMPUTED_VALUE"""),"Pack Hall")</f>
        <v>Pack Hall</v>
      </c>
      <c r="E625" s="3" t="str">
        <f>IFERROR(__xludf.DUMMYFUNCTION("""COMPUTED_VALUE"""),"EJO/2026/05/015")</f>
        <v>EJO/2026/05/015</v>
      </c>
      <c r="F625" s="3" t="str">
        <f>IFERROR(__xludf.DUMMYFUNCTION("""COMPUTED_VALUE"""),"General - Lampu TL5 14 W G5; Philips; -; 1 unt")</f>
        <v>General - Lampu TL5 14 W G5; Philips; -; 1 unt</v>
      </c>
      <c r="G625" s="3">
        <f>IFERROR(__xludf.DUMMYFUNCTION("""COMPUTED_VALUE"""),5.0)</f>
        <v>5</v>
      </c>
      <c r="H625" s="3" t="str">
        <f>IFERROR(__xludf.DUMMYFUNCTION("""COMPUTED_VALUE"""),"pcs")</f>
        <v>pcs</v>
      </c>
      <c r="I625" s="3" t="str">
        <f>IFERROR(__xludf.DUMMYFUNCTION("""COMPUTED_VALUE"""),"PR Open")</f>
        <v>PR Open</v>
      </c>
      <c r="J625" s="3" t="str">
        <f>IFERROR(__xludf.DUMMYFUNCTION("""COMPUTED_VALUE"""),"121704569 - APPROVED")</f>
        <v>121704569 - APPROVED</v>
      </c>
      <c r="K625" s="3" t="str">
        <f>IFERROR(__xludf.DUMMYFUNCTION("""COMPUTED_VALUE"""),"GL2609428")</f>
        <v>GL2609428</v>
      </c>
    </row>
    <row r="626">
      <c r="A626" s="3" t="str">
        <f>IFERROR(__xludf.DUMMYFUNCTION("""COMPUTED_VALUE"""),"RIARO0090")</f>
        <v>RIARO0090</v>
      </c>
      <c r="B626" s="4">
        <f>IFERROR(__xludf.DUMMYFUNCTION("""COMPUTED_VALUE"""),46156.37053158565)</f>
        <v>46156.37053</v>
      </c>
      <c r="C626" s="3">
        <f>IFERROR(__xludf.DUMMYFUNCTION("""COMPUTED_VALUE"""),46202.92496674768)</f>
        <v>46202.92497</v>
      </c>
      <c r="D626" s="3" t="str">
        <f>IFERROR(__xludf.DUMMYFUNCTION("""COMPUTED_VALUE"""),"All Area")</f>
        <v>All Area</v>
      </c>
      <c r="E626" s="3" t="str">
        <f>IFERROR(__xludf.DUMMYFUNCTION("""COMPUTED_VALUE"""),"-")</f>
        <v>-</v>
      </c>
      <c r="F626" s="3" t="str">
        <f>IFERROR(__xludf.DUMMYFUNCTION("""COMPUTED_VALUE"""),"General - Kabel NYAF Uk. 1 x 0.75mm, Warna Merah; Supreme; -; 100meter/roll")</f>
        <v>General - Kabel NYAF Uk. 1 x 0.75mm, Warna Merah; Supreme; -; 100meter/roll</v>
      </c>
      <c r="G626" s="3">
        <f>IFERROR(__xludf.DUMMYFUNCTION("""COMPUTED_VALUE"""),100.0)</f>
        <v>100</v>
      </c>
      <c r="H626" s="3" t="str">
        <f>IFERROR(__xludf.DUMMYFUNCTION("""COMPUTED_VALUE"""),"Mtr")</f>
        <v>Mtr</v>
      </c>
      <c r="I626" s="3" t="str">
        <f>IFERROR(__xludf.DUMMYFUNCTION("""COMPUTED_VALUE"""),"PO Open")</f>
        <v>PO Open</v>
      </c>
      <c r="J626" s="3" t="str">
        <f>IFERROR(__xludf.DUMMYFUNCTION("""COMPUTED_VALUE"""),"121704447 - APPROVED")</f>
        <v>121704447 - APPROVED</v>
      </c>
      <c r="K626" s="3" t="str">
        <f>IFERROR(__xludf.DUMMYFUNCTION("""COMPUTED_VALUE"""),"GL2608396")</f>
        <v>GL2608396</v>
      </c>
    </row>
    <row r="627">
      <c r="A627" s="3" t="str">
        <f>IFERROR(__xludf.DUMMYFUNCTION("""COMPUTED_VALUE"""),"RIARO0091")</f>
        <v>RIARO0091</v>
      </c>
      <c r="B627" s="4">
        <f>IFERROR(__xludf.DUMMYFUNCTION("""COMPUTED_VALUE"""),46156.37143658564)</f>
        <v>46156.37144</v>
      </c>
      <c r="C627" s="3">
        <f>IFERROR(__xludf.DUMMYFUNCTION("""COMPUTED_VALUE"""),46202.925096377316)</f>
        <v>46202.9251</v>
      </c>
      <c r="D627" s="3" t="str">
        <f>IFERROR(__xludf.DUMMYFUNCTION("""COMPUTED_VALUE"""),"All Area")</f>
        <v>All Area</v>
      </c>
      <c r="E627" s="3" t="str">
        <f>IFERROR(__xludf.DUMMYFUNCTION("""COMPUTED_VALUE"""),"-")</f>
        <v>-</v>
      </c>
      <c r="F627" s="3" t="str">
        <f>IFERROR(__xludf.DUMMYFUNCTION("""COMPUTED_VALUE"""),"General - Baut L, SS, M3 x 30 mm + Mur + Ring; No Brand; -; 1 pcs")</f>
        <v>General - Baut L, SS, M3 x 30 mm + Mur + Ring; No Brand; -; 1 pcs</v>
      </c>
      <c r="G627" s="3">
        <f>IFERROR(__xludf.DUMMYFUNCTION("""COMPUTED_VALUE"""),100.0)</f>
        <v>100</v>
      </c>
      <c r="H627" s="3" t="str">
        <f>IFERROR(__xludf.DUMMYFUNCTION("""COMPUTED_VALUE"""),"Pcs")</f>
        <v>Pcs</v>
      </c>
      <c r="I627" s="3" t="str">
        <f>IFERROR(__xludf.DUMMYFUNCTION("""COMPUTED_VALUE"""),"PO Open")</f>
        <v>PO Open</v>
      </c>
      <c r="J627" s="3" t="str">
        <f>IFERROR(__xludf.DUMMYFUNCTION("""COMPUTED_VALUE"""),"121704455 - APPROVED")</f>
        <v>121704455 - APPROVED</v>
      </c>
      <c r="K627" s="3" t="str">
        <f>IFERROR(__xludf.DUMMYFUNCTION("""COMPUTED_VALUE"""),"GL2608407")</f>
        <v>GL2608407</v>
      </c>
    </row>
    <row r="628">
      <c r="A628" s="3" t="str">
        <f>IFERROR(__xludf.DUMMYFUNCTION("""COMPUTED_VALUE"""),"MRNRO0050")</f>
        <v>MRNRO0050</v>
      </c>
      <c r="B628" s="4">
        <f>IFERROR(__xludf.DUMMYFUNCTION("""COMPUTED_VALUE"""),46179.56507519676)</f>
        <v>46179.56508</v>
      </c>
      <c r="C628" s="3">
        <f>IFERROR(__xludf.DUMMYFUNCTION("""COMPUTED_VALUE"""),46198.726438784724)</f>
        <v>46198.72644</v>
      </c>
      <c r="D628" s="3" t="str">
        <f>IFERROR(__xludf.DUMMYFUNCTION("""COMPUTED_VALUE"""),"ahu c1-1")</f>
        <v>ahu c1-1</v>
      </c>
      <c r="E628" s="3" t="str">
        <f>IFERROR(__xludf.DUMMYFUNCTION("""COMPUTED_VALUE"""),"EJO/2026/04/096")</f>
        <v>EJO/2026/04/096</v>
      </c>
      <c r="F628" s="3" t="str">
        <f>IFERROR(__xludf.DUMMYFUNCTION("""COMPUTED_VALUE"""),"INVERTER,DANFOSS, VLT2980PT4B20STR0DBFOOA21C1 S/N 56670CA465")</f>
        <v>INVERTER,DANFOSS, VLT2980PT4B20STR0DBFOOA21C1 S/N 56670CA465</v>
      </c>
      <c r="G628" s="3">
        <f>IFERROR(__xludf.DUMMYFUNCTION("""COMPUTED_VALUE"""),1.0)</f>
        <v>1</v>
      </c>
      <c r="H628" s="3" t="str">
        <f>IFERROR(__xludf.DUMMYFUNCTION("""COMPUTED_VALUE"""),"pcs")</f>
        <v>pcs</v>
      </c>
      <c r="I628" s="3" t="str">
        <f>IFERROR(__xludf.DUMMYFUNCTION("""COMPUTED_VALUE"""),"Proses PR")</f>
        <v>Proses PR</v>
      </c>
      <c r="J628" s="3" t="str">
        <f>IFERROR(__xludf.DUMMYFUNCTION("""COMPUTED_VALUE"""),"-")</f>
        <v>-</v>
      </c>
      <c r="K628" s="3" t="str">
        <f>IFERROR(__xludf.DUMMYFUNCTION("""COMPUTED_VALUE"""),"-")</f>
        <v>-</v>
      </c>
    </row>
    <row r="629">
      <c r="A629" s="3" t="str">
        <f>IFERROR(__xludf.DUMMYFUNCTION("""COMPUTED_VALUE"""),"RIARO0092")</f>
        <v>RIARO0092</v>
      </c>
      <c r="B629" s="4">
        <f>IFERROR(__xludf.DUMMYFUNCTION("""COMPUTED_VALUE"""),46181.14300125)</f>
        <v>46181.143</v>
      </c>
      <c r="C629" s="3">
        <f>IFERROR(__xludf.DUMMYFUNCTION("""COMPUTED_VALUE"""),46202.92521490741)</f>
        <v>46202.92521</v>
      </c>
      <c r="D629" s="3" t="str">
        <f>IFERROR(__xludf.DUMMYFUNCTION("""COMPUTED_VALUE"""),"All Area")</f>
        <v>All Area</v>
      </c>
      <c r="E629" s="3" t="str">
        <f>IFERROR(__xludf.DUMMYFUNCTION("""COMPUTED_VALUE"""),"-")</f>
        <v>-</v>
      </c>
      <c r="F629" s="3" t="str">
        <f>IFERROR(__xludf.DUMMYFUNCTION("""COMPUTED_VALUE"""),"STOP KONTAK LUBANG 4, BROCO")</f>
        <v>STOP KONTAK LUBANG 4, BROCO</v>
      </c>
      <c r="G629" s="3">
        <f>IFERROR(__xludf.DUMMYFUNCTION("""COMPUTED_VALUE"""),20.0)</f>
        <v>20</v>
      </c>
      <c r="H629" s="3" t="str">
        <f>IFERROR(__xludf.DUMMYFUNCTION("""COMPUTED_VALUE"""),"Pcs")</f>
        <v>Pcs</v>
      </c>
      <c r="I629" s="3" t="str">
        <f>IFERROR(__xludf.DUMMYFUNCTION("""COMPUTED_VALUE"""),"PO Open")</f>
        <v>PO Open</v>
      </c>
      <c r="J629" s="3" t="str">
        <f>IFERROR(__xludf.DUMMYFUNCTION("""COMPUTED_VALUE"""),"121704365 - APPROVED")</f>
        <v>121704365 - APPROVED</v>
      </c>
      <c r="K629" s="3" t="str">
        <f>IFERROR(__xludf.DUMMYFUNCTION("""COMPUTED_VALUE"""),"-")</f>
        <v>-</v>
      </c>
    </row>
    <row r="630">
      <c r="A630" s="3" t="str">
        <f>IFERROR(__xludf.DUMMYFUNCTION("""COMPUTED_VALUE"""),"RIARO0093")</f>
        <v>RIARO0093</v>
      </c>
      <c r="B630" s="4">
        <f>IFERROR(__xludf.DUMMYFUNCTION("""COMPUTED_VALUE"""),46181.143763078704)</f>
        <v>46181.14376</v>
      </c>
      <c r="C630" s="3">
        <f>IFERROR(__xludf.DUMMYFUNCTION("""COMPUTED_VALUE"""),46202.925329571764)</f>
        <v>46202.92533</v>
      </c>
      <c r="D630" s="3" t="str">
        <f>IFERROR(__xludf.DUMMYFUNCTION("""COMPUTED_VALUE"""),"N2 Generator")</f>
        <v>N2 Generator</v>
      </c>
      <c r="E630" s="3" t="str">
        <f>IFERROR(__xludf.DUMMYFUNCTION("""COMPUTED_VALUE"""),"-")</f>
        <v>-</v>
      </c>
      <c r="F630" s="3" t="str">
        <f>IFERROR(__xludf.DUMMYFUNCTION("""COMPUTED_VALUE"""),"General - Element Filter 1 micron; NXE-400-Z; -; 1 pc")</f>
        <v>General - Element Filter 1 micron; NXE-400-Z; -; 1 pc</v>
      </c>
      <c r="G630" s="3">
        <f>IFERROR(__xludf.DUMMYFUNCTION("""COMPUTED_VALUE"""),1.0)</f>
        <v>1</v>
      </c>
      <c r="H630" s="3" t="str">
        <f>IFERROR(__xludf.DUMMYFUNCTION("""COMPUTED_VALUE"""),"Pcs")</f>
        <v>Pcs</v>
      </c>
      <c r="I630" s="3" t="str">
        <f>IFERROR(__xludf.DUMMYFUNCTION("""COMPUTED_VALUE"""),"Deliver")</f>
        <v>Deliver</v>
      </c>
      <c r="J630" s="3" t="str">
        <f>IFERROR(__xludf.DUMMYFUNCTION("""COMPUTED_VALUE"""),"121704424 - APPROVED")</f>
        <v>121704424 - APPROVED</v>
      </c>
      <c r="K630" s="3" t="str">
        <f>IFERROR(__xludf.DUMMYFUNCTION("""COMPUTED_VALUE"""),"GL2608395")</f>
        <v>GL2608395</v>
      </c>
    </row>
    <row r="631">
      <c r="A631" s="3" t="str">
        <f>IFERROR(__xludf.DUMMYFUNCTION("""COMPUTED_VALUE"""),"RIARO0094")</f>
        <v>RIARO0094</v>
      </c>
      <c r="B631" s="4">
        <f>IFERROR(__xludf.DUMMYFUNCTION("""COMPUTED_VALUE"""),46181.143786851855)</f>
        <v>46181.14379</v>
      </c>
      <c r="C631" s="3">
        <f>IFERROR(__xludf.DUMMYFUNCTION("""COMPUTED_VALUE"""),46202.92546417824)</f>
        <v>46202.92546</v>
      </c>
      <c r="D631" s="3" t="str">
        <f>IFERROR(__xludf.DUMMYFUNCTION("""COMPUTED_VALUE"""),"N2 Generator")</f>
        <v>N2 Generator</v>
      </c>
      <c r="E631" s="3" t="str">
        <f>IFERROR(__xludf.DUMMYFUNCTION("""COMPUTED_VALUE"""),"-")</f>
        <v>-</v>
      </c>
      <c r="F631" s="3" t="str">
        <f>IFERROR(__xludf.DUMMYFUNCTION("""COMPUTED_VALUE"""),"General - Element Filter 0.01 micron; NXE-400-X; -; 1 pc")</f>
        <v>General - Element Filter 0.01 micron; NXE-400-X; -; 1 pc</v>
      </c>
      <c r="G631" s="3">
        <f>IFERROR(__xludf.DUMMYFUNCTION("""COMPUTED_VALUE"""),1.0)</f>
        <v>1</v>
      </c>
      <c r="H631" s="3" t="str">
        <f>IFERROR(__xludf.DUMMYFUNCTION("""COMPUTED_VALUE"""),"Pcs")</f>
        <v>Pcs</v>
      </c>
      <c r="I631" s="3" t="str">
        <f>IFERROR(__xludf.DUMMYFUNCTION("""COMPUTED_VALUE"""),"Deliver")</f>
        <v>Deliver</v>
      </c>
      <c r="J631" s="3" t="str">
        <f>IFERROR(__xludf.DUMMYFUNCTION("""COMPUTED_VALUE"""),"121704424 - APPROVED")</f>
        <v>121704424 - APPROVED</v>
      </c>
      <c r="K631" s="3" t="str">
        <f>IFERROR(__xludf.DUMMYFUNCTION("""COMPUTED_VALUE"""),"GL2608395")</f>
        <v>GL2608395</v>
      </c>
    </row>
    <row r="632">
      <c r="A632" s="3" t="str">
        <f>IFERROR(__xludf.DUMMYFUNCTION("""COMPUTED_VALUE"""),"RIARO0095")</f>
        <v>RIARO0095</v>
      </c>
      <c r="B632" s="4">
        <f>IFERROR(__xludf.DUMMYFUNCTION("""COMPUTED_VALUE"""),46181.143786851855)</f>
        <v>46181.14379</v>
      </c>
      <c r="C632" s="3">
        <f>IFERROR(__xludf.DUMMYFUNCTION("""COMPUTED_VALUE"""),46202.92562597222)</f>
        <v>46202.92563</v>
      </c>
      <c r="D632" s="3" t="str">
        <f>IFERROR(__xludf.DUMMYFUNCTION("""COMPUTED_VALUE"""),"N2 Generator")</f>
        <v>N2 Generator</v>
      </c>
      <c r="E632" s="3" t="str">
        <f>IFERROR(__xludf.DUMMYFUNCTION("""COMPUTED_VALUE"""),"-")</f>
        <v>-</v>
      </c>
      <c r="F632" s="3" t="str">
        <f>IFERROR(__xludf.DUMMYFUNCTION("""COMPUTED_VALUE"""),"General - Element Filter for N2; NEXUS; NXE-90-Z; 1 pc")</f>
        <v>General - Element Filter for N2; NEXUS; NXE-90-Z; 1 pc</v>
      </c>
      <c r="G632" s="3">
        <f>IFERROR(__xludf.DUMMYFUNCTION("""COMPUTED_VALUE"""),1.0)</f>
        <v>1</v>
      </c>
      <c r="H632" s="3" t="str">
        <f>IFERROR(__xludf.DUMMYFUNCTION("""COMPUTED_VALUE"""),"Pcs")</f>
        <v>Pcs</v>
      </c>
      <c r="I632" s="3" t="str">
        <f>IFERROR(__xludf.DUMMYFUNCTION("""COMPUTED_VALUE"""),"Deliver")</f>
        <v>Deliver</v>
      </c>
      <c r="J632" s="3" t="str">
        <f>IFERROR(__xludf.DUMMYFUNCTION("""COMPUTED_VALUE"""),"121704424 - APPROVED")</f>
        <v>121704424 - APPROVED</v>
      </c>
      <c r="K632" s="3" t="str">
        <f>IFERROR(__xludf.DUMMYFUNCTION("""COMPUTED_VALUE"""),"GL2608395")</f>
        <v>GL2608395</v>
      </c>
    </row>
    <row r="633">
      <c r="A633" s="3" t="str">
        <f>IFERROR(__xludf.DUMMYFUNCTION("""COMPUTED_VALUE"""),"BDURO0008")</f>
        <v>BDURO0008</v>
      </c>
      <c r="B633" s="4">
        <f>IFERROR(__xludf.DUMMYFUNCTION("""COMPUTED_VALUE"""),46184.10259724537)</f>
        <v>46184.1026</v>
      </c>
      <c r="C633" s="3">
        <f>IFERROR(__xludf.DUMMYFUNCTION("""COMPUTED_VALUE"""),46191.66396179398)</f>
        <v>46191.66396</v>
      </c>
      <c r="D633" s="3" t="str">
        <f>IFERROR(__xludf.DUMMYFUNCTION("""COMPUTED_VALUE"""),"Mixing")</f>
        <v>Mixing</v>
      </c>
      <c r="E633" s="3" t="str">
        <f>IFERROR(__xludf.DUMMYFUNCTION("""COMPUTED_VALUE"""),"-")</f>
        <v>-</v>
      </c>
      <c r="F633" s="3" t="str">
        <f>IFERROR(__xludf.DUMMYFUNCTION("""COMPUTED_VALUE"""),"General - Opto CapBT02T Operating Range 8 ppb - 60% O2 Sat P/N 30018857, Measured Pressure Resistance : 0-6 bar; Mettler Toledo; 30018857; 1 Pc")</f>
        <v>General - Opto CapBT02T Operating Range 8 ppb - 60% O2 Sat P/N 30018857, Measured Pressure Resistance : 0-6 bar; Mettler Toledo; 30018857; 1 Pc</v>
      </c>
      <c r="G633" s="3">
        <f>IFERROR(__xludf.DUMMYFUNCTION("""COMPUTED_VALUE"""),1.0)</f>
        <v>1</v>
      </c>
      <c r="H633" s="3" t="str">
        <f>IFERROR(__xludf.DUMMYFUNCTION("""COMPUTED_VALUE"""),"pcs")</f>
        <v>pcs</v>
      </c>
      <c r="I633" s="3" t="str">
        <f>IFERROR(__xludf.DUMMYFUNCTION("""COMPUTED_VALUE"""),"Deliver")</f>
        <v>Deliver</v>
      </c>
      <c r="J633" s="3" t="str">
        <f>IFERROR(__xludf.DUMMYFUNCTION("""COMPUTED_VALUE"""),"121704375 - APPROVED")</f>
        <v>121704375 - APPROVED</v>
      </c>
      <c r="K633" s="3" t="str">
        <f>IFERROR(__xludf.DUMMYFUNCTION("""COMPUTED_VALUE"""),"GL2607377")</f>
        <v>GL2607377</v>
      </c>
    </row>
    <row r="634">
      <c r="A634" s="3" t="str">
        <f>IFERROR(__xludf.DUMMYFUNCTION("""COMPUTED_VALUE"""),"MOBRO0084")</f>
        <v>MOBRO0084</v>
      </c>
      <c r="B634" s="4">
        <f>IFERROR(__xludf.DUMMYFUNCTION("""COMPUTED_VALUE"""),46185.48003271991)</f>
        <v>46185.48003</v>
      </c>
      <c r="C634" s="3">
        <f>IFERROR(__xludf.DUMMYFUNCTION("""COMPUTED_VALUE"""),46198.73250271991)</f>
        <v>46198.7325</v>
      </c>
      <c r="D634" s="3" t="str">
        <f>IFERROR(__xludf.DUMMYFUNCTION("""COMPUTED_VALUE"""),"Water System")</f>
        <v>Water System</v>
      </c>
      <c r="E634" s="3" t="str">
        <f>IFERROR(__xludf.DUMMYFUNCTION("""COMPUTED_VALUE"""),"-")</f>
        <v>-</v>
      </c>
      <c r="F634" s="3" t="str">
        <f>IFERROR(__xludf.DUMMYFUNCTION("""COMPUTED_VALUE"""),"General - Emflon PFR membrane filter cartridge, 0.2 um sterilizing grade, 5-inch length, double-o-ring (silicone) with bayonet lock and flat end; Pall; AB05PFR2PVH4; 1 pcs")</f>
        <v>General - Emflon PFR membrane filter cartridge, 0.2 um sterilizing grade, 5-inch length, double-o-ring (silicone) with bayonet lock and flat end; Pall; AB05PFR2PVH4; 1 pcs</v>
      </c>
      <c r="G634" s="3">
        <f>IFERROR(__xludf.DUMMYFUNCTION("""COMPUTED_VALUE"""),2.0)</f>
        <v>2</v>
      </c>
      <c r="H634" s="3" t="str">
        <f>IFERROR(__xludf.DUMMYFUNCTION("""COMPUTED_VALUE"""),"Pcs")</f>
        <v>Pcs</v>
      </c>
      <c r="I634" s="3" t="str">
        <f>IFERROR(__xludf.DUMMYFUNCTION("""COMPUTED_VALUE"""),"PO Open")</f>
        <v>PO Open</v>
      </c>
      <c r="J634" s="3" t="str">
        <f>IFERROR(__xludf.DUMMYFUNCTION("""COMPUTED_VALUE"""),"121704363 - APPROVED")</f>
        <v>121704363 - APPROVED</v>
      </c>
      <c r="K634" s="3" t="str">
        <f>IFERROR(__xludf.DUMMYFUNCTION("""COMPUTED_VALUE"""),"GL2607374")</f>
        <v>GL2607374</v>
      </c>
    </row>
    <row r="635">
      <c r="A635" s="3" t="str">
        <f>IFERROR(__xludf.DUMMYFUNCTION("""COMPUTED_VALUE"""),"MOBRO0085")</f>
        <v>MOBRO0085</v>
      </c>
      <c r="B635" s="4">
        <f>IFERROR(__xludf.DUMMYFUNCTION("""COMPUTED_VALUE"""),46185.547453113424)</f>
        <v>46185.54745</v>
      </c>
      <c r="C635" s="3">
        <f>IFERROR(__xludf.DUMMYFUNCTION("""COMPUTED_VALUE"""),46198.73267145833)</f>
        <v>46198.73267</v>
      </c>
      <c r="D635" s="3" t="str">
        <f>IFERROR(__xludf.DUMMYFUNCTION("""COMPUTED_VALUE"""),"Water System")</f>
        <v>Water System</v>
      </c>
      <c r="E635" s="3" t="str">
        <f>IFERROR(__xludf.DUMMYFUNCTION("""COMPUTED_VALUE"""),"-")</f>
        <v>-</v>
      </c>
      <c r="F635" s="3" t="str">
        <f>IFERROR(__xludf.DUMMYFUNCTION("""COMPUTED_VALUE"""),"Vent Filter HE Press 6.5 bar, temp. 40C ; Brand : NOVASIP ( PALL ) ; P/N : C3PFRPI , IT09556493 ; Pack Size : pcs")</f>
        <v>Vent Filter HE Press 6.5 bar, temp. 40C ; Brand : NOVASIP ( PALL ) ; P/N : C3PFRPI , IT09556493 ; Pack Size : pcs</v>
      </c>
      <c r="G635" s="3">
        <f>IFERROR(__xludf.DUMMYFUNCTION("""COMPUTED_VALUE"""),2.0)</f>
        <v>2</v>
      </c>
      <c r="H635" s="3" t="str">
        <f>IFERROR(__xludf.DUMMYFUNCTION("""COMPUTED_VALUE"""),"Pcs")</f>
        <v>Pcs</v>
      </c>
      <c r="I635" s="3" t="str">
        <f>IFERROR(__xludf.DUMMYFUNCTION("""COMPUTED_VALUE"""),"Deliver")</f>
        <v>Deliver</v>
      </c>
      <c r="J635" s="3" t="str">
        <f>IFERROR(__xludf.DUMMYFUNCTION("""COMPUTED_VALUE"""),"121704363 - APPROVED")</f>
        <v>121704363 - APPROVED</v>
      </c>
      <c r="K635" s="3" t="str">
        <f>IFERROR(__xludf.DUMMYFUNCTION("""COMPUTED_VALUE"""),"GL2607362")</f>
        <v>GL2607362</v>
      </c>
    </row>
    <row r="636">
      <c r="A636" s="3" t="str">
        <f>IFERROR(__xludf.DUMMYFUNCTION("""COMPUTED_VALUE"""),"MOBRO0086")</f>
        <v>MOBRO0086</v>
      </c>
      <c r="B636" s="4">
        <f>IFERROR(__xludf.DUMMYFUNCTION("""COMPUTED_VALUE"""),46185.54784868056)</f>
        <v>46185.54785</v>
      </c>
      <c r="C636" s="3">
        <f>IFERROR(__xludf.DUMMYFUNCTION("""COMPUTED_VALUE"""),46198.73284361111)</f>
        <v>46198.73284</v>
      </c>
      <c r="D636" s="3" t="str">
        <f>IFERROR(__xludf.DUMMYFUNCTION("""COMPUTED_VALUE"""),"Water System")</f>
        <v>Water System</v>
      </c>
      <c r="E636" s="3" t="str">
        <f>IFERROR(__xludf.DUMMYFUNCTION("""COMPUTED_VALUE"""),"-")</f>
        <v>-</v>
      </c>
      <c r="F636" s="3" t="str">
        <f>IFERROR(__xludf.DUMMYFUNCTION("""COMPUTED_VALUE"""),"IMA F200 Filling Machine - Pall Mini Kleenpak Capsules with Supor EKV Membrane, Filter Capsule 4,1""/0,2 um/0,02 m2/Hydrophilic PVDF/code2/0,25-0,5"" hose barb; Pall; KA02DFLP8G; 1 pcs")</f>
        <v>IMA F200 Filling Machine - Pall Mini Kleenpak Capsules with Supor EKV Membrane, Filter Capsule 4,1"/0,2 um/0,02 m2/Hydrophilic PVDF/code2/0,25-0,5" hose barb; Pall; KA02DFLP8G; 1 pcs</v>
      </c>
      <c r="G636" s="3">
        <f>IFERROR(__xludf.DUMMYFUNCTION("""COMPUTED_VALUE"""),2.0)</f>
        <v>2</v>
      </c>
      <c r="H636" s="3" t="str">
        <f>IFERROR(__xludf.DUMMYFUNCTION("""COMPUTED_VALUE"""),"Pcs")</f>
        <v>Pcs</v>
      </c>
      <c r="I636" s="3" t="str">
        <f>IFERROR(__xludf.DUMMYFUNCTION("""COMPUTED_VALUE"""),"PO Open")</f>
        <v>PO Open</v>
      </c>
      <c r="J636" s="3" t="str">
        <f>IFERROR(__xludf.DUMMYFUNCTION("""COMPUTED_VALUE"""),"121704363 - APPROVED")</f>
        <v>121704363 - APPROVED</v>
      </c>
      <c r="K636" s="3" t="str">
        <f>IFERROR(__xludf.DUMMYFUNCTION("""COMPUTED_VALUE"""),"GL2607374")</f>
        <v>GL2607374</v>
      </c>
    </row>
    <row r="637">
      <c r="A637" s="3" t="str">
        <f>IFERROR(__xludf.DUMMYFUNCTION("""COMPUTED_VALUE"""),"MOBRO0087")</f>
        <v>MOBRO0087</v>
      </c>
      <c r="B637" s="4">
        <f>IFERROR(__xludf.DUMMYFUNCTION("""COMPUTED_VALUE"""),46185.54820877314)</f>
        <v>46185.54821</v>
      </c>
      <c r="C637" s="3">
        <f>IFERROR(__xludf.DUMMYFUNCTION("""COMPUTED_VALUE"""),46198.733039108796)</f>
        <v>46198.73304</v>
      </c>
      <c r="D637" s="3" t="str">
        <f>IFERROR(__xludf.DUMMYFUNCTION("""COMPUTED_VALUE"""),"Water System")</f>
        <v>Water System</v>
      </c>
      <c r="E637" s="3" t="str">
        <f>IFERROR(__xludf.DUMMYFUNCTION("""COMPUTED_VALUE"""),"-")</f>
        <v>-</v>
      </c>
      <c r="F637" s="3" t="str">
        <f>IFERROR(__xludf.DUMMYFUNCTION("""COMPUTED_VALUE"""),"PALL - AB1PFR7PVH4, 0.2 um; ; ;")</f>
        <v>PALL - AB1PFR7PVH4, 0.2 um; ; ;</v>
      </c>
      <c r="G637" s="3">
        <f>IFERROR(__xludf.DUMMYFUNCTION("""COMPUTED_VALUE"""),2.0)</f>
        <v>2</v>
      </c>
      <c r="H637" s="3" t="str">
        <f>IFERROR(__xludf.DUMMYFUNCTION("""COMPUTED_VALUE"""),"Pcs")</f>
        <v>Pcs</v>
      </c>
      <c r="I637" s="3" t="str">
        <f>IFERROR(__xludf.DUMMYFUNCTION("""COMPUTED_VALUE"""),"Approval Item Code")</f>
        <v>Approval Item Code</v>
      </c>
      <c r="J637" s="3" t="str">
        <f>IFERROR(__xludf.DUMMYFUNCTION("""COMPUTED_VALUE"""),"-")</f>
        <v>-</v>
      </c>
      <c r="K637" s="3" t="str">
        <f>IFERROR(__xludf.DUMMYFUNCTION("""COMPUTED_VALUE"""),"-")</f>
        <v>-</v>
      </c>
    </row>
    <row r="638">
      <c r="A638" s="3" t="str">
        <f>IFERROR(__xludf.DUMMYFUNCTION("""COMPUTED_VALUE"""),"ROSRO0033")</f>
        <v>ROSRO0033</v>
      </c>
      <c r="B638" s="4">
        <f>IFERROR(__xludf.DUMMYFUNCTION("""COMPUTED_VALUE"""),46188.363196481485)</f>
        <v>46188.3632</v>
      </c>
      <c r="C638" s="3">
        <f>IFERROR(__xludf.DUMMYFUNCTION("""COMPUTED_VALUE"""),46191.73647974537)</f>
        <v>46191.73648</v>
      </c>
      <c r="D638" s="3" t="str">
        <f>IFERROR(__xludf.DUMMYFUNCTION("""COMPUTED_VALUE"""),"Autoclave Terminal")</f>
        <v>Autoclave Terminal</v>
      </c>
      <c r="E638" s="3" t="str">
        <f>IFERROR(__xludf.DUMMYFUNCTION("""COMPUTED_VALUE"""),"-")</f>
        <v>-</v>
      </c>
      <c r="F638" s="3" t="str">
        <f>IFERROR(__xludf.DUMMYFUNCTION("""COMPUTED_VALUE"""),"PROXIMITY SENSOR, DATALOGIC M8 FLUSH 2X PNP NC IS-08-G2-S1")</f>
        <v>PROXIMITY SENSOR, DATALOGIC M8 FLUSH 2X PNP NC IS-08-G2-S1</v>
      </c>
      <c r="G638" s="3">
        <f>IFERROR(__xludf.DUMMYFUNCTION("""COMPUTED_VALUE"""),4.0)</f>
        <v>4</v>
      </c>
      <c r="H638" s="3" t="str">
        <f>IFERROR(__xludf.DUMMYFUNCTION("""COMPUTED_VALUE"""),"set")</f>
        <v>set</v>
      </c>
      <c r="I638" s="3" t="str">
        <f>IFERROR(__xludf.DUMMYFUNCTION("""COMPUTED_VALUE"""),"Approval PR")</f>
        <v>Approval PR</v>
      </c>
      <c r="J638" s="3" t="str">
        <f>IFERROR(__xludf.DUMMYFUNCTION("""COMPUTED_VALUE"""),"121704389 - INCOMPLETE")</f>
        <v>121704389 - INCOMPLETE</v>
      </c>
      <c r="K638" s="3" t="str">
        <f>IFERROR(__xludf.DUMMYFUNCTION("""COMPUTED_VALUE"""),"-")</f>
        <v>-</v>
      </c>
    </row>
    <row r="639">
      <c r="A639" s="3" t="str">
        <f>IFERROR(__xludf.DUMMYFUNCTION("""COMPUTED_VALUE"""),"WAPRO0001")</f>
        <v>WAPRO0001</v>
      </c>
      <c r="B639" s="4">
        <f>IFERROR(__xludf.DUMMYFUNCTION("""COMPUTED_VALUE"""),46192.42172734954)</f>
        <v>46192.42173</v>
      </c>
      <c r="C639" s="3">
        <f>IFERROR(__xludf.DUMMYFUNCTION("""COMPUTED_VALUE"""),46251.585314895834)</f>
        <v>46251.58531</v>
      </c>
      <c r="D639" s="3" t="str">
        <f>IFERROR(__xludf.DUMMYFUNCTION("""COMPUTED_VALUE"""),"Workshop")</f>
        <v>Workshop</v>
      </c>
      <c r="E639" s="3" t="str">
        <f>IFERROR(__xludf.DUMMYFUNCTION("""COMPUTED_VALUE"""),"-")</f>
        <v>-</v>
      </c>
      <c r="F639" s="3" t="str">
        <f>IFERROR(__xludf.DUMMYFUNCTION("""COMPUTED_VALUE"""),"General - Kawat Las SS E-308 2.0mm; No Brand; -; 1 kg/pack")</f>
        <v>General - Kawat Las SS E-308 2.0mm; No Brand; -; 1 kg/pack</v>
      </c>
      <c r="G639" s="3">
        <f>IFERROR(__xludf.DUMMYFUNCTION("""COMPUTED_VALUE"""),2.0)</f>
        <v>2</v>
      </c>
      <c r="H639" s="3" t="str">
        <f>IFERROR(__xludf.DUMMYFUNCTION("""COMPUTED_VALUE"""),"Pcs")</f>
        <v>Pcs</v>
      </c>
      <c r="I639" s="3" t="str">
        <f>IFERROR(__xludf.DUMMYFUNCTION("""COMPUTED_VALUE"""),"Proses PR")</f>
        <v>Proses PR</v>
      </c>
      <c r="J639" s="3" t="str">
        <f>IFERROR(__xludf.DUMMYFUNCTION("""COMPUTED_VALUE"""),"-")</f>
        <v>-</v>
      </c>
      <c r="K639" s="3" t="str">
        <f>IFERROR(__xludf.DUMMYFUNCTION("""COMPUTED_VALUE"""),"-")</f>
        <v>-</v>
      </c>
    </row>
    <row r="640">
      <c r="A640" s="3" t="str">
        <f>IFERROR(__xludf.DUMMYFUNCTION("""COMPUTED_VALUE"""),"MRNRO0051")</f>
        <v>MRNRO0051</v>
      </c>
      <c r="B640" s="4">
        <f>IFERROR(__xludf.DUMMYFUNCTION("""COMPUTED_VALUE"""),46193.410595636575)</f>
        <v>46193.4106</v>
      </c>
      <c r="C640" s="3">
        <f>IFERROR(__xludf.DUMMYFUNCTION("""COMPUTED_VALUE"""),46198.726886793986)</f>
        <v>46198.72689</v>
      </c>
      <c r="D640" s="3" t="str">
        <f>IFERROR(__xludf.DUMMYFUNCTION("""COMPUTED_VALUE"""),"workshop")</f>
        <v>workshop</v>
      </c>
      <c r="E640" s="3" t="str">
        <f>IFERROR(__xludf.DUMMYFUNCTION("""COMPUTED_VALUE"""),"EJO/2026/02/41")</f>
        <v>EJO/2026/02/41</v>
      </c>
      <c r="F640" s="3" t="str">
        <f>IFERROR(__xludf.DUMMYFUNCTION("""COMPUTED_VALUE"""),"General - Inline Duct Fan 6""; CKE; CDI-150; 1 pcs")</f>
        <v>General - Inline Duct Fan 6"; CKE; CDI-150; 1 pcs</v>
      </c>
      <c r="G640" s="3">
        <f>IFERROR(__xludf.DUMMYFUNCTION("""COMPUTED_VALUE"""),1.0)</f>
        <v>1</v>
      </c>
      <c r="H640" s="3" t="str">
        <f>IFERROR(__xludf.DUMMYFUNCTION("""COMPUTED_VALUE"""),"pcs")</f>
        <v>pcs</v>
      </c>
      <c r="I640" s="3" t="str">
        <f>IFERROR(__xludf.DUMMYFUNCTION("""COMPUTED_VALUE"""),"Deliver")</f>
        <v>Deliver</v>
      </c>
      <c r="J640" s="3" t="str">
        <f>IFERROR(__xludf.DUMMYFUNCTION("""COMPUTED_VALUE"""),"121704380 - APPROVED")</f>
        <v>121704380 - APPROVED</v>
      </c>
      <c r="K640" s="3" t="str">
        <f>IFERROR(__xludf.DUMMYFUNCTION("""COMPUTED_VALUE"""),"GL2607378")</f>
        <v>GL2607378</v>
      </c>
    </row>
    <row r="641">
      <c r="A641" s="3" t="str">
        <f>IFERROR(__xludf.DUMMYFUNCTION("""COMPUTED_VALUE"""),"RIARO0096")</f>
        <v>RIARO0096</v>
      </c>
      <c r="B641" s="4">
        <f>IFERROR(__xludf.DUMMYFUNCTION("""COMPUTED_VALUE"""),46195.8818983912)</f>
        <v>46195.8819</v>
      </c>
      <c r="C641" s="3">
        <f>IFERROR(__xludf.DUMMYFUNCTION("""COMPUTED_VALUE"""),46202.925865219906)</f>
        <v>46202.92587</v>
      </c>
      <c r="D641" s="3" t="str">
        <f>IFERROR(__xludf.DUMMYFUNCTION("""COMPUTED_VALUE"""),"R Filling")</f>
        <v>R Filling</v>
      </c>
      <c r="E641" s="3" t="str">
        <f>IFERROR(__xludf.DUMMYFUNCTION("""COMPUTED_VALUE"""),"-")</f>
        <v>-</v>
      </c>
      <c r="F641" s="3" t="str">
        <f>IFERROR(__xludf.DUMMYFUNCTION("""COMPUTED_VALUE"""),"General - Cover Stop Kontak; Schneider; IEC 60529 BS5733; 1 pcs")</f>
        <v>General - Cover Stop Kontak; Schneider; IEC 60529 BS5733; 1 pcs</v>
      </c>
      <c r="G641" s="3">
        <f>IFERROR(__xludf.DUMMYFUNCTION("""COMPUTED_VALUE"""),2.0)</f>
        <v>2</v>
      </c>
      <c r="H641" s="3" t="str">
        <f>IFERROR(__xludf.DUMMYFUNCTION("""COMPUTED_VALUE"""),"Pcs")</f>
        <v>Pcs</v>
      </c>
      <c r="I641" s="3" t="str">
        <f>IFERROR(__xludf.DUMMYFUNCTION("""COMPUTED_VALUE"""),"Deliver")</f>
        <v>Deliver</v>
      </c>
      <c r="J641" s="3" t="str">
        <f>IFERROR(__xludf.DUMMYFUNCTION("""COMPUTED_VALUE"""),"121704456 - APPROVED")</f>
        <v>121704456 - APPROVED</v>
      </c>
      <c r="K641" s="3" t="str">
        <f>IFERROR(__xludf.DUMMYFUNCTION("""COMPUTED_VALUE"""),"GL2608397")</f>
        <v>GL2608397</v>
      </c>
    </row>
    <row r="642">
      <c r="A642" s="3" t="str">
        <f>IFERROR(__xludf.DUMMYFUNCTION("""COMPUTED_VALUE"""),"RIARO0097")</f>
        <v>RIARO0097</v>
      </c>
      <c r="B642" s="4">
        <f>IFERROR(__xludf.DUMMYFUNCTION("""COMPUTED_VALUE"""),46197.62707462963)</f>
        <v>46197.62707</v>
      </c>
      <c r="C642" s="3">
        <f>IFERROR(__xludf.DUMMYFUNCTION("""COMPUTED_VALUE"""),46202.92632899305)</f>
        <v>46202.92633</v>
      </c>
      <c r="D642" s="3" t="str">
        <f>IFERROR(__xludf.DUMMYFUNCTION("""COMPUTED_VALUE"""),"AHU")</f>
        <v>AHU</v>
      </c>
      <c r="E642" s="3" t="str">
        <f>IFERROR(__xludf.DUMMYFUNCTION("""COMPUTED_VALUE"""),"-")</f>
        <v>-</v>
      </c>
      <c r="F642" s="3" t="str">
        <f>IFERROR(__xludf.DUMMYFUNCTION("""COMPUTED_VALUE"""),"General - Rotary Air Damper Actuator GDB166.1E; Siemens; S55499-D377; 1 pcs")</f>
        <v>General - Rotary Air Damper Actuator GDB166.1E; Siemens; S55499-D377; 1 pcs</v>
      </c>
      <c r="G642" s="3">
        <f>IFERROR(__xludf.DUMMYFUNCTION("""COMPUTED_VALUE"""),20.0)</f>
        <v>20</v>
      </c>
      <c r="H642" s="3" t="str">
        <f>IFERROR(__xludf.DUMMYFUNCTION("""COMPUTED_VALUE"""),"Pcs")</f>
        <v>Pcs</v>
      </c>
      <c r="I642" s="3" t="str">
        <f>IFERROR(__xludf.DUMMYFUNCTION("""COMPUTED_VALUE"""),"PO Open")</f>
        <v>PO Open</v>
      </c>
      <c r="J642" s="3" t="str">
        <f>IFERROR(__xludf.DUMMYFUNCTION("""COMPUTED_VALUE"""),"121704454 - APPROVED")</f>
        <v>121704454 - APPROVED</v>
      </c>
      <c r="K642" s="3" t="str">
        <f>IFERROR(__xludf.DUMMYFUNCTION("""COMPUTED_VALUE"""),"GL2608031")</f>
        <v>GL2608031</v>
      </c>
    </row>
    <row r="643">
      <c r="A643" s="3" t="str">
        <f>IFERROR(__xludf.DUMMYFUNCTION("""COMPUTED_VALUE"""),"ROSRO0034")</f>
        <v>ROSRO0034</v>
      </c>
      <c r="B643" s="4">
        <f>IFERROR(__xludf.DUMMYFUNCTION("""COMPUTED_VALUE"""),46204.94041495371)</f>
        <v>46204.94041</v>
      </c>
      <c r="C643" s="3">
        <f>IFERROR(__xludf.DUMMYFUNCTION("""COMPUTED_VALUE"""),46206.664833773146)</f>
        <v>46206.66483</v>
      </c>
      <c r="D643" s="3" t="str">
        <f>IFERROR(__xludf.DUMMYFUNCTION("""COMPUTED_VALUE"""),"Autoclave Lab micro ")</f>
        <v>Autoclave Lab micro </v>
      </c>
      <c r="E643" s="3" t="str">
        <f>IFERROR(__xludf.DUMMYFUNCTION("""COMPUTED_VALUE"""),"-")</f>
        <v>-</v>
      </c>
      <c r="F643" s="3" t="str">
        <f>IFERROR(__xludf.DUMMYFUNCTION("""COMPUTED_VALUE"""),"Autoclave - Oring 70 x 59 x 5.5 mm Viton Custom/Lokal  -")</f>
        <v>Autoclave - Oring 70 x 59 x 5.5 mm Viton Custom/Lokal  -</v>
      </c>
      <c r="G643" s="3">
        <f>IFERROR(__xludf.DUMMYFUNCTION("""COMPUTED_VALUE"""),5.0)</f>
        <v>5</v>
      </c>
      <c r="H643" s="3" t="str">
        <f>IFERROR(__xludf.DUMMYFUNCTION("""COMPUTED_VALUE"""),"pcs")</f>
        <v>pcs</v>
      </c>
      <c r="I643" s="3" t="str">
        <f>IFERROR(__xludf.DUMMYFUNCTION("""COMPUTED_VALUE"""),"PR Open")</f>
        <v>PR Open</v>
      </c>
      <c r="J643" s="3" t="str">
        <f>IFERROR(__xludf.DUMMYFUNCTION("""COMPUTED_VALUE"""),"121704555 - APPROVED")</f>
        <v>121704555 - APPROVED</v>
      </c>
      <c r="K643" s="3" t="str">
        <f>IFERROR(__xludf.DUMMYFUNCTION("""COMPUTED_VALUE"""),"-")</f>
        <v>-</v>
      </c>
    </row>
    <row r="644">
      <c r="A644" s="3" t="str">
        <f>IFERROR(__xludf.DUMMYFUNCTION("""COMPUTED_VALUE"""),"ROSRO0035")</f>
        <v>ROSRO0035</v>
      </c>
      <c r="B644" s="4">
        <f>IFERROR(__xludf.DUMMYFUNCTION("""COMPUTED_VALUE"""),46216.16260428241)</f>
        <v>46216.1626</v>
      </c>
      <c r="C644" s="3">
        <f>IFERROR(__xludf.DUMMYFUNCTION("""COMPUTED_VALUE"""),46223.467510092596)</f>
        <v>46223.46751</v>
      </c>
      <c r="D644" s="3" t="str">
        <f>IFERROR(__xludf.DUMMYFUNCTION("""COMPUTED_VALUE"""),"Washing ")</f>
        <v>Washing </v>
      </c>
      <c r="E644" s="3" t="str">
        <f>IFERROR(__xludf.DUMMYFUNCTION("""COMPUTED_VALUE"""),"EJO/2026/06/114")</f>
        <v>EJO/2026/06/114</v>
      </c>
      <c r="F644" s="3" t="str">
        <f>IFERROR(__xludf.DUMMYFUNCTION("""COMPUTED_VALUE"""),"Strainer Machine - Strainer Crabs CR4 Capping 18X20 mm Custom/Lokal")</f>
        <v>Strainer Machine - Strainer Crabs CR4 Capping 18X20 mm Custom/Lokal</v>
      </c>
      <c r="G644" s="3">
        <f>IFERROR(__xludf.DUMMYFUNCTION("""COMPUTED_VALUE"""),1.0)</f>
        <v>1</v>
      </c>
      <c r="H644" s="3" t="str">
        <f>IFERROR(__xludf.DUMMYFUNCTION("""COMPUTED_VALUE"""),"pcs")</f>
        <v>pcs</v>
      </c>
      <c r="I644" s="3" t="str">
        <f>IFERROR(__xludf.DUMMYFUNCTION("""COMPUTED_VALUE"""),"Approval PR")</f>
        <v>Approval PR</v>
      </c>
      <c r="J644" s="3" t="str">
        <f>IFERROR(__xludf.DUMMYFUNCTION("""COMPUTED_VALUE"""),"121704521 - APPROVED")</f>
        <v>121704521 - APPROVED</v>
      </c>
      <c r="K644" s="3" t="str">
        <f>IFERROR(__xludf.DUMMYFUNCTION("""COMPUTED_VALUE"""),"-")</f>
        <v>-</v>
      </c>
    </row>
    <row r="645">
      <c r="A645" s="3" t="str">
        <f>IFERROR(__xludf.DUMMYFUNCTION("""COMPUTED_VALUE"""),"NDSRO0022")</f>
        <v>NDSRO0022</v>
      </c>
      <c r="B645" s="4">
        <f>IFERROR(__xludf.DUMMYFUNCTION("""COMPUTED_VALUE"""),46218.749626909725)</f>
        <v>46218.74963</v>
      </c>
      <c r="C645" s="3">
        <f>IFERROR(__xludf.DUMMYFUNCTION("""COMPUTED_VALUE"""),46223.469315069444)</f>
        <v>46223.46932</v>
      </c>
      <c r="D645" s="3" t="str">
        <f>IFERROR(__xludf.DUMMYFUNCTION("""COMPUTED_VALUE"""),"Cartoning")</f>
        <v>Cartoning</v>
      </c>
      <c r="E645" s="3" t="str">
        <f>IFERROR(__xludf.DUMMYFUNCTION("""COMPUTED_VALUE"""),"-")</f>
        <v>-</v>
      </c>
      <c r="F645" s="3" t="str">
        <f>IFERROR(__xludf.DUMMYFUNCTION("""COMPUTED_VALUE"""),"Marchesini MA255 Cartoning Machine - Flat Belt, 728 x 40 x 1 mm; Custom/Lokal; -; 1 unt")</f>
        <v>Marchesini MA255 Cartoning Machine - Flat Belt, 728 x 40 x 1 mm; Custom/Lokal; -; 1 unt</v>
      </c>
      <c r="G645" s="3">
        <f>IFERROR(__xludf.DUMMYFUNCTION("""COMPUTED_VALUE"""),2.0)</f>
        <v>2</v>
      </c>
      <c r="H645" s="3" t="str">
        <f>IFERROR(__xludf.DUMMYFUNCTION("""COMPUTED_VALUE"""),"Pcs")</f>
        <v>Pcs</v>
      </c>
      <c r="I645" s="3" t="str">
        <f>IFERROR(__xludf.DUMMYFUNCTION("""COMPUTED_VALUE"""),"Approval PR")</f>
        <v>Approval PR</v>
      </c>
      <c r="J645" s="3" t="str">
        <f>IFERROR(__xludf.DUMMYFUNCTION("""COMPUTED_VALUE"""),"121704524 - INCOMPLETE")</f>
        <v>121704524 - INCOMPLETE</v>
      </c>
      <c r="K645" s="3" t="str">
        <f>IFERROR(__xludf.DUMMYFUNCTION("""COMPUTED_VALUE"""),"-")</f>
        <v>-</v>
      </c>
    </row>
    <row r="646">
      <c r="A646" s="3" t="str">
        <f>IFERROR(__xludf.DUMMYFUNCTION("""COMPUTED_VALUE"""),"ROSRO0036")</f>
        <v>ROSRO0036</v>
      </c>
      <c r="B646" s="4">
        <f>IFERROR(__xludf.DUMMYFUNCTION("""COMPUTED_VALUE"""),46221.281111585646)</f>
        <v>46221.28111</v>
      </c>
      <c r="C646" s="3">
        <f>IFERROR(__xludf.DUMMYFUNCTION("""COMPUTED_VALUE"""),46223.46697155092)</f>
        <v>46223.46697</v>
      </c>
      <c r="D646" s="3" t="str">
        <f>IFERROR(__xludf.DUMMYFUNCTION("""COMPUTED_VALUE"""),"crabs")</f>
        <v>crabs</v>
      </c>
      <c r="E646" s="3" t="str">
        <f>IFERROR(__xludf.DUMMYFUNCTION("""COMPUTED_VALUE"""),"-")</f>
        <v>-</v>
      </c>
      <c r="F646" s="3" t="str">
        <f>IFERROR(__xludf.DUMMYFUNCTION("""COMPUTED_VALUE"""),"cRABS Z064CR - Glove Port Pom White Uk: 227x310x15.25mm; Custom/Lokal; -; 1 Pc")</f>
        <v>cRABS Z064CR - Glove Port Pom White Uk: 227x310x15.25mm; Custom/Lokal; -; 1 Pc</v>
      </c>
      <c r="G646" s="3">
        <f>IFERROR(__xludf.DUMMYFUNCTION("""COMPUTED_VALUE"""),2.0)</f>
        <v>2</v>
      </c>
      <c r="H646" s="3" t="str">
        <f>IFERROR(__xludf.DUMMYFUNCTION("""COMPUTED_VALUE"""),"pcs")</f>
        <v>pcs</v>
      </c>
      <c r="I646" s="3" t="str">
        <f>IFERROR(__xludf.DUMMYFUNCTION("""COMPUTED_VALUE"""),"Approval PR")</f>
        <v>Approval PR</v>
      </c>
      <c r="J646" s="3" t="str">
        <f>IFERROR(__xludf.DUMMYFUNCTION("""COMPUTED_VALUE"""),"121704528 - APPROVED")</f>
        <v>121704528 - APPROVED</v>
      </c>
      <c r="K646" s="3" t="str">
        <f>IFERROR(__xludf.DUMMYFUNCTION("""COMPUTED_VALUE"""),"-")</f>
        <v>-</v>
      </c>
    </row>
    <row r="647">
      <c r="A647" s="3" t="str">
        <f>IFERROR(__xludf.DUMMYFUNCTION("""COMPUTED_VALUE"""),"RIARO0098")</f>
        <v>RIARO0098</v>
      </c>
      <c r="B647" s="4">
        <f>IFERROR(__xludf.DUMMYFUNCTION("""COMPUTED_VALUE"""),46225.60162252315)</f>
        <v>46225.60162</v>
      </c>
      <c r="C647" s="3">
        <f>IFERROR(__xludf.DUMMYFUNCTION("""COMPUTED_VALUE"""),46254.79612856482)</f>
        <v>46254.79613</v>
      </c>
      <c r="D647" s="3" t="str">
        <f>IFERROR(__xludf.DUMMYFUNCTION("""COMPUTED_VALUE"""),"EF C1-41")</f>
        <v>EF C1-41</v>
      </c>
      <c r="E647" s="3" t="str">
        <f>IFERROR(__xludf.DUMMYFUNCTION("""COMPUTED_VALUE"""),"-")</f>
        <v>-</v>
      </c>
      <c r="F647" s="3" t="str">
        <f>IFERROR(__xludf.DUMMYFUNCTION("""COMPUTED_VALUE"""),"General - Actuator; Belimo; GMX120-3; 1 pcs")</f>
        <v>General - Actuator; Belimo; GMX120-3; 1 pcs</v>
      </c>
      <c r="G647" s="3">
        <f>IFERROR(__xludf.DUMMYFUNCTION("""COMPUTED_VALUE"""),1.0)</f>
        <v>1</v>
      </c>
      <c r="H647" s="3" t="str">
        <f>IFERROR(__xludf.DUMMYFUNCTION("""COMPUTED_VALUE"""),"Pcs")</f>
        <v>Pcs</v>
      </c>
      <c r="I647" s="3" t="str">
        <f>IFERROR(__xludf.DUMMYFUNCTION("""COMPUTED_VALUE"""),"PR Open")</f>
        <v>PR Open</v>
      </c>
      <c r="J647" s="3" t="str">
        <f>IFERROR(__xludf.DUMMYFUNCTION("""COMPUTED_VALUE"""),"121704568 - APPROVED")</f>
        <v>121704568 - APPROVED</v>
      </c>
      <c r="K647" s="3" t="str">
        <f>IFERROR(__xludf.DUMMYFUNCTION("""COMPUTED_VALUE"""),"-")</f>
        <v>-</v>
      </c>
    </row>
    <row r="648">
      <c r="A648" s="3" t="str">
        <f>IFERROR(__xludf.DUMMYFUNCTION("""COMPUTED_VALUE"""),"RIARO0099")</f>
        <v>RIARO0099</v>
      </c>
      <c r="B648" s="4">
        <f>IFERROR(__xludf.DUMMYFUNCTION("""COMPUTED_VALUE"""),46225.60261159722)</f>
        <v>46225.60261</v>
      </c>
      <c r="C648" s="3">
        <f>IFERROR(__xludf.DUMMYFUNCTION("""COMPUTED_VALUE"""),46254.79956534722)</f>
        <v>46254.79957</v>
      </c>
      <c r="D648" s="3" t="str">
        <f>IFERROR(__xludf.DUMMYFUNCTION("""COMPUTED_VALUE"""),"EF D1-12")</f>
        <v>EF D1-12</v>
      </c>
      <c r="E648" s="3" t="str">
        <f>IFERROR(__xludf.DUMMYFUNCTION("""COMPUTED_VALUE"""),"-")</f>
        <v>-</v>
      </c>
      <c r="F648" s="3" t="str">
        <f>IFERROR(__xludf.DUMMYFUNCTION("""COMPUTED_VALUE"""),"General - Motorize Valve; Belimo; NMX 120-3; 1 pc")</f>
        <v>General - Motorize Valve; Belimo; NMX 120-3; 1 pc</v>
      </c>
      <c r="G648" s="3">
        <f>IFERROR(__xludf.DUMMYFUNCTION("""COMPUTED_VALUE"""),1.0)</f>
        <v>1</v>
      </c>
      <c r="H648" s="3" t="str">
        <f>IFERROR(__xludf.DUMMYFUNCTION("""COMPUTED_VALUE"""),"Pcs")</f>
        <v>Pcs</v>
      </c>
      <c r="I648" s="3" t="str">
        <f>IFERROR(__xludf.DUMMYFUNCTION("""COMPUTED_VALUE"""),"PR Open")</f>
        <v>PR Open</v>
      </c>
      <c r="J648" s="3" t="str">
        <f>IFERROR(__xludf.DUMMYFUNCTION("""COMPUTED_VALUE"""),"121704568 - APPROVED")</f>
        <v>121704568 - APPROVED</v>
      </c>
      <c r="K648" s="3" t="str">
        <f>IFERROR(__xludf.DUMMYFUNCTION("""COMPUTED_VALUE"""),"-")</f>
        <v>-</v>
      </c>
    </row>
    <row r="649">
      <c r="A649" s="3" t="str">
        <f>IFERROR(__xludf.DUMMYFUNCTION("""COMPUTED_VALUE"""),"RIARO0100")</f>
        <v>RIARO0100</v>
      </c>
      <c r="B649" s="4">
        <f>IFERROR(__xludf.DUMMYFUNCTION("""COMPUTED_VALUE"""),46225.60990728009)</f>
        <v>46225.60991</v>
      </c>
      <c r="C649" s="3">
        <f>IFERROR(__xludf.DUMMYFUNCTION("""COMPUTED_VALUE"""),46254.79662731482)</f>
        <v>46254.79663</v>
      </c>
      <c r="D649" s="3" t="str">
        <f>IFERROR(__xludf.DUMMYFUNCTION("""COMPUTED_VALUE"""),"AHU C12")</f>
        <v>AHU C12</v>
      </c>
      <c r="E649" s="3" t="str">
        <f>IFERROR(__xludf.DUMMYFUNCTION("""COMPUTED_VALUE"""),"EJO/2026/08/024")</f>
        <v>EJO/2026/08/024</v>
      </c>
      <c r="F649" s="3" t="str">
        <f>IFERROR(__xludf.DUMMYFUNCTION("""COMPUTED_VALUE"""),"General - Actuator; Belimo; GMX120-3; 1 pcs")</f>
        <v>General - Actuator; Belimo; GMX120-3; 1 pcs</v>
      </c>
      <c r="G649" s="3">
        <f>IFERROR(__xludf.DUMMYFUNCTION("""COMPUTED_VALUE"""),1.0)</f>
        <v>1</v>
      </c>
      <c r="H649" s="3" t="str">
        <f>IFERROR(__xludf.DUMMYFUNCTION("""COMPUTED_VALUE"""),"Pcs")</f>
        <v>Pcs</v>
      </c>
      <c r="I649" s="3" t="str">
        <f>IFERROR(__xludf.DUMMYFUNCTION("""COMPUTED_VALUE"""),"PR Open")</f>
        <v>PR Open</v>
      </c>
      <c r="J649" s="3" t="str">
        <f>IFERROR(__xludf.DUMMYFUNCTION("""COMPUTED_VALUE"""),"121704568 - APPROVED")</f>
        <v>121704568 - APPROVED</v>
      </c>
      <c r="K649" s="3" t="str">
        <f>IFERROR(__xludf.DUMMYFUNCTION("""COMPUTED_VALUE"""),"-")</f>
        <v>-</v>
      </c>
    </row>
    <row r="650">
      <c r="A650" s="3" t="str">
        <f>IFERROR(__xludf.DUMMYFUNCTION("""COMPUTED_VALUE"""),"RIARO0101")</f>
        <v>RIARO0101</v>
      </c>
      <c r="B650" s="4">
        <f>IFERROR(__xludf.DUMMYFUNCTION("""COMPUTED_VALUE"""),46225.62660643518)</f>
        <v>46225.62661</v>
      </c>
      <c r="C650" s="3">
        <f>IFERROR(__xludf.DUMMYFUNCTION("""COMPUTED_VALUE"""),46254.797249826384)</f>
        <v>46254.79725</v>
      </c>
      <c r="D650" s="3" t="str">
        <f>IFERROR(__xludf.DUMMYFUNCTION("""COMPUTED_VALUE"""),"EF D1-12")</f>
        <v>EF D1-12</v>
      </c>
      <c r="E650" s="3" t="str">
        <f>IFERROR(__xludf.DUMMYFUNCTION("""COMPUTED_VALUE"""),"EJO/2026/08/021")</f>
        <v>EJO/2026/08/021</v>
      </c>
      <c r="F650" s="3" t="str">
        <f>IFERROR(__xludf.DUMMYFUNCTION("""COMPUTED_VALUE"""),"General - Motorize Valve; Belimo; NMX 120-3; 1 pc")</f>
        <v>General - Motorize Valve; Belimo; NMX 120-3; 1 pc</v>
      </c>
      <c r="G650" s="3">
        <f>IFERROR(__xludf.DUMMYFUNCTION("""COMPUTED_VALUE"""),1.0)</f>
        <v>1</v>
      </c>
      <c r="H650" s="3" t="str">
        <f>IFERROR(__xludf.DUMMYFUNCTION("""COMPUTED_VALUE"""),"Pcs")</f>
        <v>Pcs</v>
      </c>
      <c r="I650" s="3" t="str">
        <f>IFERROR(__xludf.DUMMYFUNCTION("""COMPUTED_VALUE"""),"PR Open")</f>
        <v>PR Open</v>
      </c>
      <c r="J650" s="3" t="str">
        <f>IFERROR(__xludf.DUMMYFUNCTION("""COMPUTED_VALUE"""),"121704568 - APPROVED")</f>
        <v>121704568 - APPROVED</v>
      </c>
      <c r="K650" s="3" t="str">
        <f>IFERROR(__xludf.DUMMYFUNCTION("""COMPUTED_VALUE"""),"-")</f>
        <v>-</v>
      </c>
    </row>
    <row r="651">
      <c r="A651" s="3" t="str">
        <f>IFERROR(__xludf.DUMMYFUNCTION("""COMPUTED_VALUE"""),"RIARO0102")</f>
        <v>RIARO0102</v>
      </c>
      <c r="B651" s="4">
        <f>IFERROR(__xludf.DUMMYFUNCTION("""COMPUTED_VALUE"""),46225.62832565972)</f>
        <v>46225.62833</v>
      </c>
      <c r="C651" s="3">
        <f>IFERROR(__xludf.DUMMYFUNCTION("""COMPUTED_VALUE"""),46254.796999467595)</f>
        <v>46254.797</v>
      </c>
      <c r="D651" s="3" t="str">
        <f>IFERROR(__xludf.DUMMYFUNCTION("""COMPUTED_VALUE"""),"AHU D1-1")</f>
        <v>AHU D1-1</v>
      </c>
      <c r="E651" s="3" t="str">
        <f>IFERROR(__xludf.DUMMYFUNCTION("""COMPUTED_VALUE"""),"EJO/2026/08/022")</f>
        <v>EJO/2026/08/022</v>
      </c>
      <c r="F651" s="3" t="str">
        <f>IFERROR(__xludf.DUMMYFUNCTION("""COMPUTED_VALUE"""),"General - Motorize Valve; Belimo; NMX 120-3; 1 pc")</f>
        <v>General - Motorize Valve; Belimo; NMX 120-3; 1 pc</v>
      </c>
      <c r="G651" s="3">
        <f>IFERROR(__xludf.DUMMYFUNCTION("""COMPUTED_VALUE"""),1.0)</f>
        <v>1</v>
      </c>
      <c r="H651" s="3" t="str">
        <f>IFERROR(__xludf.DUMMYFUNCTION("""COMPUTED_VALUE"""),"Pcs")</f>
        <v>Pcs</v>
      </c>
      <c r="I651" s="3" t="str">
        <f>IFERROR(__xludf.DUMMYFUNCTION("""COMPUTED_VALUE"""),"PR Open")</f>
        <v>PR Open</v>
      </c>
      <c r="J651" s="3" t="str">
        <f>IFERROR(__xludf.DUMMYFUNCTION("""COMPUTED_VALUE"""),"121704568 - APPROVED")</f>
        <v>121704568 - APPROVED</v>
      </c>
      <c r="K651" s="3" t="str">
        <f>IFERROR(__xludf.DUMMYFUNCTION("""COMPUTED_VALUE"""),"-")</f>
        <v>-</v>
      </c>
    </row>
    <row r="652">
      <c r="A652" s="3" t="str">
        <f>IFERROR(__xludf.DUMMYFUNCTION("""COMPUTED_VALUE"""),"RIARO0103")</f>
        <v>RIARO0103</v>
      </c>
      <c r="B652" s="4">
        <f>IFERROR(__xludf.DUMMYFUNCTION("""COMPUTED_VALUE"""),46225.629403043975)</f>
        <v>46225.6294</v>
      </c>
      <c r="C652" s="3">
        <f>IFERROR(__xludf.DUMMYFUNCTION("""COMPUTED_VALUE"""),46254.79741047454)</f>
        <v>46254.79741</v>
      </c>
      <c r="D652" s="3" t="str">
        <f>IFERROR(__xludf.DUMMYFUNCTION("""COMPUTED_VALUE"""),"AHU C13")</f>
        <v>AHU C13</v>
      </c>
      <c r="E652" s="3" t="str">
        <f>IFERROR(__xludf.DUMMYFUNCTION("""COMPUTED_VALUE"""),"EJO/2026/08/023")</f>
        <v>EJO/2026/08/023</v>
      </c>
      <c r="F652" s="3" t="str">
        <f>IFERROR(__xludf.DUMMYFUNCTION("""COMPUTED_VALUE"""),"General - Motorize Valve; Belimo; NMX 120-3; 1 pc")</f>
        <v>General - Motorize Valve; Belimo; NMX 120-3; 1 pc</v>
      </c>
      <c r="G652" s="3">
        <f>IFERROR(__xludf.DUMMYFUNCTION("""COMPUTED_VALUE"""),1.0)</f>
        <v>1</v>
      </c>
      <c r="H652" s="3" t="str">
        <f>IFERROR(__xludf.DUMMYFUNCTION("""COMPUTED_VALUE"""),"Pcs")</f>
        <v>Pcs</v>
      </c>
      <c r="I652" s="3" t="str">
        <f>IFERROR(__xludf.DUMMYFUNCTION("""COMPUTED_VALUE"""),"PR Open")</f>
        <v>PR Open</v>
      </c>
      <c r="J652" s="3" t="str">
        <f>IFERROR(__xludf.DUMMYFUNCTION("""COMPUTED_VALUE"""),"121704568 - APPROVED")</f>
        <v>121704568 - APPROVED</v>
      </c>
      <c r="K652" s="3" t="str">
        <f>IFERROR(__xludf.DUMMYFUNCTION("""COMPUTED_VALUE"""),"-")</f>
        <v>-</v>
      </c>
    </row>
    <row r="653">
      <c r="A653" s="3" t="str">
        <f>IFERROR(__xludf.DUMMYFUNCTION("""COMPUTED_VALUE"""),"ROSRO0037")</f>
        <v>ROSRO0037</v>
      </c>
      <c r="B653" s="4">
        <f>IFERROR(__xludf.DUMMYFUNCTION("""COMPUTED_VALUE"""),46225.64109975695)</f>
        <v>46225.6411</v>
      </c>
      <c r="C653" s="3">
        <f>IFERROR(__xludf.DUMMYFUNCTION("""COMPUTED_VALUE"""),46237.549602430554)</f>
        <v>46237.5496</v>
      </c>
      <c r="D653" s="3" t="str">
        <f>IFERROR(__xludf.DUMMYFUNCTION("""COMPUTED_VALUE"""),"CC1000 retained")</f>
        <v>CC1000 retained</v>
      </c>
      <c r="E653" s="3" t="str">
        <f>IFERROR(__xludf.DUMMYFUNCTION("""COMPUTED_VALUE"""),"EJO Menyusul")</f>
        <v>EJO Menyusul</v>
      </c>
      <c r="F653" s="3" t="str">
        <f>IFERROR(__xludf.DUMMYFUNCTION("""COMPUTED_VALUE"""),"CC600L Machine - Coil Evaporator Uk. 40 cm x 15 x 15, Material Tembaga; Custom/Lokal; -; 1 Unit")</f>
        <v>CC600L Machine - Coil Evaporator Uk. 40 cm x 15 x 15, Material Tembaga; Custom/Lokal; -; 1 Unit</v>
      </c>
      <c r="G653" s="3">
        <f>IFERROR(__xludf.DUMMYFUNCTION("""COMPUTED_VALUE"""),1.0)</f>
        <v>1</v>
      </c>
      <c r="H653" s="3" t="str">
        <f>IFERROR(__xludf.DUMMYFUNCTION("""COMPUTED_VALUE"""),"pcs")</f>
        <v>pcs</v>
      </c>
      <c r="I653" s="3" t="str">
        <f>IFERROR(__xludf.DUMMYFUNCTION("""COMPUTED_VALUE"""),"Approval PR")</f>
        <v>Approval PR</v>
      </c>
      <c r="J653" s="3" t="str">
        <f>IFERROR(__xludf.DUMMYFUNCTION("""COMPUTED_VALUE"""),"121704526 - APPROVED")</f>
        <v>121704526 - APPROVED</v>
      </c>
      <c r="K653" s="3" t="str">
        <f>IFERROR(__xludf.DUMMYFUNCTION("""COMPUTED_VALUE"""),"GL2609018")</f>
        <v>GL2609018</v>
      </c>
    </row>
    <row r="654">
      <c r="A654" s="3" t="str">
        <f>IFERROR(__xludf.DUMMYFUNCTION("""COMPUTED_VALUE"""),"SFHRO0047")</f>
        <v>SFHRO0047</v>
      </c>
      <c r="B654" s="4">
        <f>IFERROR(__xludf.DUMMYFUNCTION("""COMPUTED_VALUE"""),46233.63903380788)</f>
        <v>46233.63903</v>
      </c>
      <c r="C654" s="3">
        <f>IFERROR(__xludf.DUMMYFUNCTION("""COMPUTED_VALUE"""),46244.6571340625)</f>
        <v>46244.65713</v>
      </c>
      <c r="D654" s="3" t="str">
        <f>IFERROR(__xludf.DUMMYFUNCTION("""COMPUTED_VALUE"""),"lantai 2")</f>
        <v>lantai 2</v>
      </c>
      <c r="E654" s="3" t="str">
        <f>IFERROR(__xludf.DUMMYFUNCTION("""COMPUTED_VALUE"""),"-")</f>
        <v>-</v>
      </c>
      <c r="F654" s="3" t="str">
        <f>IFERROR(__xludf.DUMMYFUNCTION("""COMPUTED_VALUE"""),"Kuas Cat Roller uk. 110 mm;No Brand;;pack size per set")</f>
        <v>Kuas Cat Roller uk. 110 mm;No Brand;;pack size per set</v>
      </c>
      <c r="G654" s="3">
        <f>IFERROR(__xludf.DUMMYFUNCTION("""COMPUTED_VALUE"""),30.0)</f>
        <v>30</v>
      </c>
      <c r="H654" s="3" t="str">
        <f>IFERROR(__xludf.DUMMYFUNCTION("""COMPUTED_VALUE"""),"pcs")</f>
        <v>pcs</v>
      </c>
      <c r="I654" s="3" t="str">
        <f>IFERROR(__xludf.DUMMYFUNCTION("""COMPUTED_VALUE"""),"PO Open")</f>
        <v>PO Open</v>
      </c>
      <c r="J654" s="3" t="str">
        <f>IFERROR(__xludf.DUMMYFUNCTION("""COMPUTED_VALUE"""),"121704502 - APPROVED")</f>
        <v>121704502 - APPROVED</v>
      </c>
      <c r="K654" s="3" t="str">
        <f>IFERROR(__xludf.DUMMYFUNCTION("""COMPUTED_VALUE"""),"GL2608035")</f>
        <v>GL2608035</v>
      </c>
    </row>
    <row r="655">
      <c r="A655" s="3" t="str">
        <f>IFERROR(__xludf.DUMMYFUNCTION("""COMPUTED_VALUE"""),"SFHRO0048")</f>
        <v>SFHRO0048</v>
      </c>
      <c r="B655" s="4">
        <f>IFERROR(__xludf.DUMMYFUNCTION("""COMPUTED_VALUE"""),46233.63916390046)</f>
        <v>46233.63916</v>
      </c>
      <c r="C655" s="3">
        <f>IFERROR(__xludf.DUMMYFUNCTION("""COMPUTED_VALUE"""),46244.65740649306)</f>
        <v>46244.65741</v>
      </c>
      <c r="D655" s="3" t="str">
        <f>IFERROR(__xludf.DUMMYFUNCTION("""COMPUTED_VALUE"""),"lantai 2")</f>
        <v>lantai 2</v>
      </c>
      <c r="E655" s="3" t="str">
        <f>IFERROR(__xludf.DUMMYFUNCTION("""COMPUTED_VALUE"""),"-")</f>
        <v>-</v>
      </c>
      <c r="F655" s="3" t="str">
        <f>IFERROR(__xludf.DUMMYFUNCTION("""COMPUTED_VALUE"""),"Kuas Cat Roller uk. 230 mm;No Brand;;pack size per set")</f>
        <v>Kuas Cat Roller uk. 230 mm;No Brand;;pack size per set</v>
      </c>
      <c r="G655" s="3">
        <f>IFERROR(__xludf.DUMMYFUNCTION("""COMPUTED_VALUE"""),10.0)</f>
        <v>10</v>
      </c>
      <c r="H655" s="3" t="str">
        <f>IFERROR(__xludf.DUMMYFUNCTION("""COMPUTED_VALUE"""),"pcs")</f>
        <v>pcs</v>
      </c>
      <c r="I655" s="3" t="str">
        <f>IFERROR(__xludf.DUMMYFUNCTION("""COMPUTED_VALUE"""),"PO Open")</f>
        <v>PO Open</v>
      </c>
      <c r="J655" s="3" t="str">
        <f>IFERROR(__xludf.DUMMYFUNCTION("""COMPUTED_VALUE"""),"121704502 - APPROVED")</f>
        <v>121704502 - APPROVED</v>
      </c>
      <c r="K655" s="3" t="str">
        <f>IFERROR(__xludf.DUMMYFUNCTION("""COMPUTED_VALUE"""),"GL2608035")</f>
        <v>GL2608035</v>
      </c>
    </row>
    <row r="656">
      <c r="A656" s="3" t="str">
        <f>IFERROR(__xludf.DUMMYFUNCTION("""COMPUTED_VALUE"""),"SFHRO0049")</f>
        <v>SFHRO0049</v>
      </c>
      <c r="B656" s="4">
        <f>IFERROR(__xludf.DUMMYFUNCTION("""COMPUTED_VALUE"""),46233.66596554398)</f>
        <v>46233.66597</v>
      </c>
      <c r="C656" s="3">
        <f>IFERROR(__xludf.DUMMYFUNCTION("""COMPUTED_VALUE"""),46244.65758579861)</f>
        <v>46244.65759</v>
      </c>
      <c r="D656" s="3" t="str">
        <f>IFERROR(__xludf.DUMMYFUNCTION("""COMPUTED_VALUE"""),"lantai 2")</f>
        <v>lantai 2</v>
      </c>
      <c r="E656" s="3" t="str">
        <f>IFERROR(__xludf.DUMMYFUNCTION("""COMPUTED_VALUE"""),"-")</f>
        <v>-</v>
      </c>
      <c r="F656" s="3" t="str">
        <f>IFERROR(__xludf.DUMMYFUNCTION("""COMPUTED_VALUE"""),"Compound / Kompon Gypsum;No Brand;;pack size 20 kg per pck")</f>
        <v>Compound / Kompon Gypsum;No Brand;;pack size 20 kg per pck</v>
      </c>
      <c r="G656" s="3">
        <f>IFERROR(__xludf.DUMMYFUNCTION("""COMPUTED_VALUE"""),5.0)</f>
        <v>5</v>
      </c>
      <c r="H656" s="3" t="str">
        <f>IFERROR(__xludf.DUMMYFUNCTION("""COMPUTED_VALUE"""),"sak")</f>
        <v>sak</v>
      </c>
      <c r="I656" s="3" t="str">
        <f>IFERROR(__xludf.DUMMYFUNCTION("""COMPUTED_VALUE"""),"PO Open")</f>
        <v>PO Open</v>
      </c>
      <c r="J656" s="3" t="str">
        <f>IFERROR(__xludf.DUMMYFUNCTION("""COMPUTED_VALUE"""),"121704502 - APPROVED")</f>
        <v>121704502 - APPROVED</v>
      </c>
      <c r="K656" s="3" t="str">
        <f>IFERROR(__xludf.DUMMYFUNCTION("""COMPUTED_VALUE"""),"GL2608035")</f>
        <v>GL2608035</v>
      </c>
    </row>
    <row r="657">
      <c r="A657" s="3" t="str">
        <f>IFERROR(__xludf.DUMMYFUNCTION("""COMPUTED_VALUE"""),"SFHRO0050")</f>
        <v>SFHRO0050</v>
      </c>
      <c r="B657" s="4">
        <f>IFERROR(__xludf.DUMMYFUNCTION("""COMPUTED_VALUE"""),46233.66660667824)</f>
        <v>46233.66661</v>
      </c>
      <c r="C657" s="3">
        <f>IFERROR(__xludf.DUMMYFUNCTION("""COMPUTED_VALUE"""),46244.657924178246)</f>
        <v>46244.65792</v>
      </c>
      <c r="D657" s="3" t="str">
        <f>IFERROR(__xludf.DUMMYFUNCTION("""COMPUTED_VALUE"""),"lantai 2")</f>
        <v>lantai 2</v>
      </c>
      <c r="E657" s="3" t="str">
        <f>IFERROR(__xludf.DUMMYFUNCTION("""COMPUTED_VALUE"""),"-")</f>
        <v>-</v>
      </c>
      <c r="F657" s="3" t="str">
        <f>IFERROR(__xludf.DUMMYFUNCTION("""COMPUTED_VALUE"""),"Silicone Sealant, Silglaze, Type N10 Grey, pack size per pcs")</f>
        <v>Silicone Sealant, Silglaze, Type N10 Grey, pack size per pcs</v>
      </c>
      <c r="G657" s="3">
        <f>IFERROR(__xludf.DUMMYFUNCTION("""COMPUTED_VALUE"""),50.0)</f>
        <v>50</v>
      </c>
      <c r="H657" s="3" t="str">
        <f>IFERROR(__xludf.DUMMYFUNCTION("""COMPUTED_VALUE"""),"pcs")</f>
        <v>pcs</v>
      </c>
      <c r="I657" s="3" t="str">
        <f>IFERROR(__xludf.DUMMYFUNCTION("""COMPUTED_VALUE"""),"Approval PR")</f>
        <v>Approval PR</v>
      </c>
      <c r="J657" s="3" t="str">
        <f>IFERROR(__xludf.DUMMYFUNCTION("""COMPUTED_VALUE"""),"121704540 - APPROVED")</f>
        <v>121704540 - APPROVED</v>
      </c>
      <c r="K657" s="3" t="str">
        <f>IFERROR(__xludf.DUMMYFUNCTION("""COMPUTED_VALUE"""),"GL2609430")</f>
        <v>GL2609430</v>
      </c>
    </row>
    <row r="658">
      <c r="A658" s="3" t="str">
        <f>IFERROR(__xludf.DUMMYFUNCTION("""COMPUTED_VALUE"""),"SFHRO0051")</f>
        <v>SFHRO0051</v>
      </c>
      <c r="B658" s="4">
        <f>IFERROR(__xludf.DUMMYFUNCTION("""COMPUTED_VALUE"""),46233.6675984375)</f>
        <v>46233.6676</v>
      </c>
      <c r="C658" s="3">
        <f>IFERROR(__xludf.DUMMYFUNCTION("""COMPUTED_VALUE"""),46244.658133310186)</f>
        <v>46244.65813</v>
      </c>
      <c r="D658" s="3" t="str">
        <f>IFERROR(__xludf.DUMMYFUNCTION("""COMPUTED_VALUE"""),"lantai 2")</f>
        <v>lantai 2</v>
      </c>
      <c r="E658" s="3" t="str">
        <f>IFERROR(__xludf.DUMMYFUNCTION("""COMPUTED_VALUE"""),"-")</f>
        <v>-</v>
      </c>
      <c r="F658" s="3" t="str">
        <f>IFERROR(__xludf.DUMMYFUNCTION("""COMPUTED_VALUE"""),"Cellotape / Lakban Kertas 1 inch warna Putih ; No Brand ; pack size per pcs")</f>
        <v>Cellotape / Lakban Kertas 1 inch warna Putih ; No Brand ; pack size per pcs</v>
      </c>
      <c r="G658" s="3">
        <f>IFERROR(__xludf.DUMMYFUNCTION("""COMPUTED_VALUE"""),50.0)</f>
        <v>50</v>
      </c>
      <c r="H658" s="3" t="str">
        <f>IFERROR(__xludf.DUMMYFUNCTION("""COMPUTED_VALUE"""),"pcs")</f>
        <v>pcs</v>
      </c>
      <c r="I658" s="3" t="str">
        <f>IFERROR(__xludf.DUMMYFUNCTION("""COMPUTED_VALUE"""),"Deliver")</f>
        <v>Deliver</v>
      </c>
      <c r="J658" s="3" t="str">
        <f>IFERROR(__xludf.DUMMYFUNCTION("""COMPUTED_VALUE"""),"121704500 - APPROVED")</f>
        <v>121704500 - APPROVED</v>
      </c>
      <c r="K658" s="3" t="str">
        <f>IFERROR(__xludf.DUMMYFUNCTION("""COMPUTED_VALUE"""),"GL2608393")</f>
        <v>GL2608393</v>
      </c>
    </row>
    <row r="659">
      <c r="A659" s="3" t="str">
        <f>IFERROR(__xludf.DUMMYFUNCTION("""COMPUTED_VALUE"""),"SFHRO0052")</f>
        <v>SFHRO0052</v>
      </c>
      <c r="B659" s="4">
        <f>IFERROR(__xludf.DUMMYFUNCTION("""COMPUTED_VALUE"""),46234.863553298615)</f>
        <v>46234.86355</v>
      </c>
      <c r="C659" s="3">
        <f>IFERROR(__xludf.DUMMYFUNCTION("""COMPUTED_VALUE"""),46244.65843643519)</f>
        <v>46244.65844</v>
      </c>
      <c r="D659" s="3" t="str">
        <f>IFERROR(__xludf.DUMMYFUNCTION("""COMPUTED_VALUE"""),"lantai 2")</f>
        <v>lantai 2</v>
      </c>
      <c r="E659" s="3" t="str">
        <f>IFERROR(__xludf.DUMMYFUNCTION("""COMPUTED_VALUE"""),"-")</f>
        <v>-</v>
      </c>
      <c r="F659" s="3" t="str">
        <f>IFERROR(__xludf.DUMMYFUNCTION("""COMPUTED_VALUE"""),"Cat Tembok; ; ; - Cat Dulux Ambiance Brilliant White @ 20 Ltr")</f>
        <v>Cat Tembok; ; ; - Cat Dulux Ambiance Brilliant White @ 20 Ltr</v>
      </c>
      <c r="G659" s="3">
        <f>IFERROR(__xludf.DUMMYFUNCTION("""COMPUTED_VALUE"""),5.0)</f>
        <v>5</v>
      </c>
      <c r="H659" s="3" t="str">
        <f>IFERROR(__xludf.DUMMYFUNCTION("""COMPUTED_VALUE"""),"pel")</f>
        <v>pel</v>
      </c>
      <c r="I659" s="3" t="str">
        <f>IFERROR(__xludf.DUMMYFUNCTION("""COMPUTED_VALUE"""),"Approval PR")</f>
        <v>Approval PR</v>
      </c>
      <c r="J659" s="3" t="str">
        <f>IFERROR(__xludf.DUMMYFUNCTION("""COMPUTED_VALUE"""),"121704538 - APPROVED")</f>
        <v>121704538 - APPROVED</v>
      </c>
      <c r="K659" s="3" t="str">
        <f>IFERROR(__xludf.DUMMYFUNCTION("""COMPUTED_VALUE"""),"GL2609436")</f>
        <v>GL2609436</v>
      </c>
    </row>
    <row r="660">
      <c r="A660" s="3" t="str">
        <f>IFERROR(__xludf.DUMMYFUNCTION("""COMPUTED_VALUE"""),"MRNRO0052")</f>
        <v>MRNRO0052</v>
      </c>
      <c r="B660" s="4">
        <f>IFERROR(__xludf.DUMMYFUNCTION("""COMPUTED_VALUE"""),46238.17218084491)</f>
        <v>46238.17218</v>
      </c>
      <c r="C660" s="3">
        <f>IFERROR(__xludf.DUMMYFUNCTION("""COMPUTED_VALUE"""),46251.5812587963)</f>
        <v>46251.58126</v>
      </c>
      <c r="D660" s="3" t="str">
        <f>IFERROR(__xludf.DUMMYFUNCTION("""COMPUTED_VALUE"""),"toilet lantai 2")</f>
        <v>toilet lantai 2</v>
      </c>
      <c r="E660" s="3" t="str">
        <f>IFERROR(__xludf.DUMMYFUNCTION("""COMPUTED_VALUE"""),"EJO/2026/07/021")</f>
        <v>EJO/2026/07/021</v>
      </c>
      <c r="F660" s="3" t="str">
        <f>IFERROR(__xludf.DUMMYFUNCTION("""COMPUTED_VALUE"""),"General - Elbow PVC 90 AW 1 1/2inch; Rucika; -; 1 Pc")</f>
        <v>General - Elbow PVC 90 AW 1 1/2inch; Rucika; -; 1 Pc</v>
      </c>
      <c r="G660" s="3">
        <f>IFERROR(__xludf.DUMMYFUNCTION("""COMPUTED_VALUE"""),5.0)</f>
        <v>5</v>
      </c>
      <c r="H660" s="3" t="str">
        <f>IFERROR(__xludf.DUMMYFUNCTION("""COMPUTED_VALUE"""),"pcs")</f>
        <v>pcs</v>
      </c>
      <c r="I660" s="3" t="str">
        <f>IFERROR(__xludf.DUMMYFUNCTION("""COMPUTED_VALUE"""),"PR Open")</f>
        <v>PR Open</v>
      </c>
      <c r="J660" s="3" t="str">
        <f>IFERROR(__xludf.DUMMYFUNCTION("""COMPUTED_VALUE"""),"121704501 - APPROVED")</f>
        <v>121704501 - APPROVED</v>
      </c>
      <c r="K660" s="3" t="str">
        <f>IFERROR(__xludf.DUMMYFUNCTION("""COMPUTED_VALUE"""),"-")</f>
        <v>-</v>
      </c>
    </row>
    <row r="661">
      <c r="A661" s="3" t="str">
        <f>IFERROR(__xludf.DUMMYFUNCTION("""COMPUTED_VALUE"""),"MRNRO0053")</f>
        <v>MRNRO0053</v>
      </c>
      <c r="B661" s="4">
        <f>IFERROR(__xludf.DUMMYFUNCTION("""COMPUTED_VALUE"""),46238.177333287036)</f>
        <v>46238.17733</v>
      </c>
      <c r="C661" s="3">
        <f>IFERROR(__xludf.DUMMYFUNCTION("""COMPUTED_VALUE"""),46251.58090383102)</f>
        <v>46251.5809</v>
      </c>
      <c r="D661" s="3" t="str">
        <f>IFERROR(__xludf.DUMMYFUNCTION("""COMPUTED_VALUE"""),"toilet lantai 2")</f>
        <v>toilet lantai 2</v>
      </c>
      <c r="E661" s="3" t="str">
        <f>IFERROR(__xludf.DUMMYFUNCTION("""COMPUTED_VALUE"""),"EJO/2026/07/021")</f>
        <v>EJO/2026/07/021</v>
      </c>
      <c r="F661" s="3" t="str">
        <f>IFERROR(__xludf.DUMMYFUNCTION("""COMPUTED_VALUE"""),"General - Ball Valve PVC 1 1/2inch; No Brand; -; 1 pcs")</f>
        <v>General - Ball Valve PVC 1 1/2inch; No Brand; -; 1 pcs</v>
      </c>
      <c r="G661" s="3">
        <f>IFERROR(__xludf.DUMMYFUNCTION("""COMPUTED_VALUE"""),5.0)</f>
        <v>5</v>
      </c>
      <c r="H661" s="3" t="str">
        <f>IFERROR(__xludf.DUMMYFUNCTION("""COMPUTED_VALUE"""),"pcs")</f>
        <v>pcs</v>
      </c>
      <c r="I661" s="3" t="str">
        <f>IFERROR(__xludf.DUMMYFUNCTION("""COMPUTED_VALUE"""),"Proses PR")</f>
        <v>Proses PR</v>
      </c>
      <c r="J661" s="3" t="str">
        <f>IFERROR(__xludf.DUMMYFUNCTION("""COMPUTED_VALUE"""),"-")</f>
        <v>-</v>
      </c>
      <c r="K661" s="3" t="str">
        <f>IFERROR(__xludf.DUMMYFUNCTION("""COMPUTED_VALUE"""),"-")</f>
        <v>-</v>
      </c>
    </row>
    <row r="662">
      <c r="A662" s="3" t="str">
        <f>IFERROR(__xludf.DUMMYFUNCTION("""COMPUTED_VALUE"""),"SFHRO0053")</f>
        <v>SFHRO0053</v>
      </c>
      <c r="B662" s="4">
        <f>IFERROR(__xludf.DUMMYFUNCTION("""COMPUTED_VALUE"""),46240.8010968287)</f>
        <v>46240.8011</v>
      </c>
      <c r="C662" s="3">
        <f>IFERROR(__xludf.DUMMYFUNCTION("""COMPUTED_VALUE"""),46244.658670034725)</f>
        <v>46244.65867</v>
      </c>
      <c r="D662" s="3" t="str">
        <f>IFERROR(__xludf.DUMMYFUNCTION("""COMPUTED_VALUE"""),"lantai 2")</f>
        <v>lantai 2</v>
      </c>
      <c r="E662" s="3" t="str">
        <f>IFERROR(__xludf.DUMMYFUNCTION("""COMPUTED_VALUE"""),"-")</f>
        <v>-</v>
      </c>
      <c r="F662" s="3" t="str">
        <f>IFERROR(__xludf.DUMMYFUNCTION("""COMPUTED_VALUE"""),"Polyfloor PFT-213 Ivory @ 20 KG")</f>
        <v>Polyfloor PFT-213 Ivory @ 20 KG</v>
      </c>
      <c r="G662" s="3">
        <f>IFERROR(__xludf.DUMMYFUNCTION("""COMPUTED_VALUE"""),2.0)</f>
        <v>2</v>
      </c>
      <c r="H662" s="3" t="str">
        <f>IFERROR(__xludf.DUMMYFUNCTION("""COMPUTED_VALUE"""),"pel")</f>
        <v>pel</v>
      </c>
      <c r="I662" s="3" t="str">
        <f>IFERROR(__xludf.DUMMYFUNCTION("""COMPUTED_VALUE"""),"PR Open")</f>
        <v>PR Open</v>
      </c>
      <c r="J662" s="3" t="str">
        <f>IFERROR(__xludf.DUMMYFUNCTION("""COMPUTED_VALUE"""),"121704564 - APPROVED")</f>
        <v>121704564 - APPROVED</v>
      </c>
      <c r="K662" s="3" t="str">
        <f>IFERROR(__xludf.DUMMYFUNCTION("""COMPUTED_VALUE"""),"GL2609431")</f>
        <v>GL2609431</v>
      </c>
    </row>
    <row r="663">
      <c r="A663" s="3" t="str">
        <f>IFERROR(__xludf.DUMMYFUNCTION("""COMPUTED_VALUE"""),"SFHRO0054")</f>
        <v>SFHRO0054</v>
      </c>
      <c r="B663" s="4">
        <f>IFERROR(__xludf.DUMMYFUNCTION("""COMPUTED_VALUE"""),46240.80255071759)</f>
        <v>46240.80255</v>
      </c>
      <c r="C663" s="3">
        <f>IFERROR(__xludf.DUMMYFUNCTION("""COMPUTED_VALUE"""),46244.65889651621)</f>
        <v>46244.6589</v>
      </c>
      <c r="D663" s="3" t="str">
        <f>IFERROR(__xludf.DUMMYFUNCTION("""COMPUTED_VALUE"""),"lantai 2")</f>
        <v>lantai 2</v>
      </c>
      <c r="E663" s="3" t="str">
        <f>IFERROR(__xludf.DUMMYFUNCTION("""COMPUTED_VALUE"""),"-")</f>
        <v>-</v>
      </c>
      <c r="F663" s="3" t="str">
        <f>IFERROR(__xludf.DUMMYFUNCTION("""COMPUTED_VALUE"""),"Cat Decor Acrylic Enamel DAE - 550 / Solvent Based; Propan; TEAL 5412 - Warna Biru; pack size 20 liter per pail")</f>
        <v>Cat Decor Acrylic Enamel DAE - 550 / Solvent Based; Propan; TEAL 5412 - Warna Biru; pack size 20 liter per pail</v>
      </c>
      <c r="G663" s="3">
        <f>IFERROR(__xludf.DUMMYFUNCTION("""COMPUTED_VALUE"""),4.0)</f>
        <v>4</v>
      </c>
      <c r="H663" s="3" t="str">
        <f>IFERROR(__xludf.DUMMYFUNCTION("""COMPUTED_VALUE"""),"pel")</f>
        <v>pel</v>
      </c>
      <c r="I663" s="3" t="str">
        <f>IFERROR(__xludf.DUMMYFUNCTION("""COMPUTED_VALUE"""),"Approval PR")</f>
        <v>Approval PR</v>
      </c>
      <c r="J663" s="3" t="str">
        <f>IFERROR(__xludf.DUMMYFUNCTION("""COMPUTED_VALUE"""),"121704536 - APPROVED")</f>
        <v>121704536 - APPROVED</v>
      </c>
      <c r="K663" s="3" t="str">
        <f>IFERROR(__xludf.DUMMYFUNCTION("""COMPUTED_VALUE"""),"GL2609431")</f>
        <v>GL2609431</v>
      </c>
    </row>
    <row r="664">
      <c r="A664" s="3" t="str">
        <f>IFERROR(__xludf.DUMMYFUNCTION("""COMPUTED_VALUE"""),"SFHRO0055")</f>
        <v>SFHRO0055</v>
      </c>
      <c r="B664" s="4">
        <f>IFERROR(__xludf.DUMMYFUNCTION("""COMPUTED_VALUE"""),46245.702375416666)</f>
        <v>46245.70238</v>
      </c>
      <c r="C664" s="3">
        <f>IFERROR(__xludf.DUMMYFUNCTION("""COMPUTED_VALUE"""),46251.57944260417)</f>
        <v>46251.57944</v>
      </c>
      <c r="D664" s="3" t="str">
        <f>IFERROR(__xludf.DUMMYFUNCTION("""COMPUTED_VALUE"""),"lantai 1")</f>
        <v>lantai 1</v>
      </c>
      <c r="E664" s="3" t="str">
        <f>IFERROR(__xludf.DUMMYFUNCTION("""COMPUTED_VALUE"""),"-")</f>
        <v>-</v>
      </c>
      <c r="F664" s="3" t="str">
        <f>IFERROR(__xludf.DUMMYFUNCTION("""COMPUTED_VALUE"""),"Cat Ftalit 113 Primrose @1kg")</f>
        <v>Cat Ftalit 113 Primrose @1kg</v>
      </c>
      <c r="G664" s="3">
        <f>IFERROR(__xludf.DUMMYFUNCTION("""COMPUTED_VALUE"""),3.0)</f>
        <v>3</v>
      </c>
      <c r="H664" s="3" t="str">
        <f>IFERROR(__xludf.DUMMYFUNCTION("""COMPUTED_VALUE"""),"kg")</f>
        <v>kg</v>
      </c>
      <c r="I664" s="3" t="str">
        <f>IFERROR(__xludf.DUMMYFUNCTION("""COMPUTED_VALUE"""),"Proses PR")</f>
        <v>Proses PR</v>
      </c>
      <c r="J664" s="3" t="str">
        <f>IFERROR(__xludf.DUMMYFUNCTION("""COMPUTED_VALUE"""),"-")</f>
        <v>-</v>
      </c>
      <c r="K664" s="3" t="str">
        <f>IFERROR(__xludf.DUMMYFUNCTION("""COMPUTED_VALUE"""),"-")</f>
        <v>-</v>
      </c>
    </row>
    <row r="665">
      <c r="A665" s="3" t="str">
        <f>IFERROR(__xludf.DUMMYFUNCTION("""COMPUTED_VALUE"""),"AAARO0002")</f>
        <v>AAARO0002</v>
      </c>
      <c r="B665" s="4">
        <f>IFERROR(__xludf.DUMMYFUNCTION("""COMPUTED_VALUE"""),46255.82219748843)</f>
        <v>46255.8222</v>
      </c>
      <c r="C665" s="3">
        <f>IFERROR(__xludf.DUMMYFUNCTION("""COMPUTED_VALUE"""),45729.59638354166)</f>
        <v>45729.59638</v>
      </c>
      <c r="D665" s="3" t="str">
        <f>IFERROR(__xludf.DUMMYFUNCTION("""COMPUTED_VALUE"""),"Mixing tank")</f>
        <v>Mixing tank</v>
      </c>
      <c r="E665" s="3" t="str">
        <f>IFERROR(__xludf.DUMMYFUNCTION("""COMPUTED_VALUE"""),"N/A")</f>
        <v>N/A</v>
      </c>
      <c r="F665" s="3" t="str">
        <f>IFERROR(__xludf.DUMMYFUNCTION("""COMPUTED_VALUE"""),"General - Lampu Halogen 20 W; Osram; -; 1 unt")</f>
        <v>General - Lampu Halogen 20 W; Osram; -; 1 unt</v>
      </c>
      <c r="G665" s="3">
        <f>IFERROR(__xludf.DUMMYFUNCTION("""COMPUTED_VALUE"""),4.0)</f>
        <v>4</v>
      </c>
      <c r="H665" s="3" t="str">
        <f>IFERROR(__xludf.DUMMYFUNCTION("""COMPUTED_VALUE"""),"Pcs")</f>
        <v>Pcs</v>
      </c>
      <c r="I665" s="3" t="str">
        <f>IFERROR(__xludf.DUMMYFUNCTION("""COMPUTED_VALUE"""),"Deliver")</f>
        <v>Deliver</v>
      </c>
      <c r="J665" s="3" t="str">
        <f>IFERROR(__xludf.DUMMYFUNCTION("""COMPUTED_VALUE"""),"-")</f>
        <v>-</v>
      </c>
      <c r="K665" s="3" t="str">
        <f>IFERROR(__xludf.DUMMYFUNCTION("""COMPUTED_VALUE"""),"-")</f>
        <v>-</v>
      </c>
    </row>
    <row r="666">
      <c r="A666" s="3" t="str">
        <f>IFERROR(__xludf.DUMMYFUNCTION("""COMPUTED_VALUE"""),"AAARO0003")</f>
        <v>AAARO0003</v>
      </c>
      <c r="B666" s="4">
        <f>IFERROR(__xludf.DUMMYFUNCTION("""COMPUTED_VALUE"""),46255.82219748843)</f>
        <v>46255.8222</v>
      </c>
      <c r="C666" s="3">
        <f>IFERROR(__xludf.DUMMYFUNCTION("""COMPUTED_VALUE"""),45729.59678209491)</f>
        <v>45729.59678</v>
      </c>
      <c r="D666" s="3" t="str">
        <f>IFERROR(__xludf.DUMMYFUNCTION("""COMPUTED_VALUE"""),"Cartoning")</f>
        <v>Cartoning</v>
      </c>
      <c r="E666" s="3" t="str">
        <f>IFERROR(__xludf.DUMMYFUNCTION("""COMPUTED_VALUE"""),"NA")</f>
        <v>NA</v>
      </c>
      <c r="F666" s="3" t="str">
        <f>IFERROR(__xludf.DUMMYFUNCTION("""COMPUTED_VALUE"""),"Marchesini MA155 - Leaflet Grippet p/n:A920000005")</f>
        <v>Marchesini MA155 - Leaflet Grippet p/n:A920000005</v>
      </c>
      <c r="G666" s="3">
        <f>IFERROR(__xludf.DUMMYFUNCTION("""COMPUTED_VALUE"""),2.0)</f>
        <v>2</v>
      </c>
      <c r="H666" s="3" t="str">
        <f>IFERROR(__xludf.DUMMYFUNCTION("""COMPUTED_VALUE"""),"Pcs")</f>
        <v>Pcs</v>
      </c>
      <c r="I666" s="3" t="str">
        <f>IFERROR(__xludf.DUMMYFUNCTION("""COMPUTED_VALUE"""),"Deliver")</f>
        <v>Deliver</v>
      </c>
      <c r="J666" s="3" t="str">
        <f>IFERROR(__xludf.DUMMYFUNCTION("""COMPUTED_VALUE"""),"-")</f>
        <v>-</v>
      </c>
      <c r="K666" s="3" t="str">
        <f>IFERROR(__xludf.DUMMYFUNCTION("""COMPUTED_VALUE"""),"-")</f>
        <v>-</v>
      </c>
    </row>
    <row r="667">
      <c r="A667" s="3" t="str">
        <f>IFERROR(__xludf.DUMMYFUNCTION("""COMPUTED_VALUE"""),"AAARO0004")</f>
        <v>AAARO0004</v>
      </c>
      <c r="B667" s="4">
        <f>IFERROR(__xludf.DUMMYFUNCTION("""COMPUTED_VALUE"""),46255.82219748843)</f>
        <v>46255.8222</v>
      </c>
      <c r="C667" s="3">
        <f>IFERROR(__xludf.DUMMYFUNCTION("""COMPUTED_VALUE"""),45729.59719958333)</f>
        <v>45729.5972</v>
      </c>
      <c r="D667" s="3" t="str">
        <f>IFERROR(__xludf.DUMMYFUNCTION("""COMPUTED_VALUE"""),"Cartoning")</f>
        <v>Cartoning</v>
      </c>
      <c r="E667" s="3" t="str">
        <f>IFERROR(__xludf.DUMMYFUNCTION("""COMPUTED_VALUE"""),"NA")</f>
        <v>NA</v>
      </c>
      <c r="F667" s="3" t="str">
        <f>IFERROR(__xludf.DUMMYFUNCTION("""COMPUTED_VALUE"""),"Marchesini MA155 - Conveyor Belt FNI-5E ER 1110 X 75 (SIL) p/n:C721411175")</f>
        <v>Marchesini MA155 - Conveyor Belt FNI-5E ER 1110 X 75 (SIL) p/n:C721411175</v>
      </c>
      <c r="G667" s="3">
        <f>IFERROR(__xludf.DUMMYFUNCTION("""COMPUTED_VALUE"""),2.0)</f>
        <v>2</v>
      </c>
      <c r="H667" s="3" t="str">
        <f>IFERROR(__xludf.DUMMYFUNCTION("""COMPUTED_VALUE"""),"Pcs")</f>
        <v>Pcs</v>
      </c>
      <c r="I667" s="3" t="str">
        <f>IFERROR(__xludf.DUMMYFUNCTION("""COMPUTED_VALUE"""),"Deliver")</f>
        <v>Deliver</v>
      </c>
      <c r="J667" s="3" t="str">
        <f>IFERROR(__xludf.DUMMYFUNCTION("""COMPUTED_VALUE"""),"-")</f>
        <v>-</v>
      </c>
      <c r="K667" s="3" t="str">
        <f>IFERROR(__xludf.DUMMYFUNCTION("""COMPUTED_VALUE"""),"-")</f>
        <v>-</v>
      </c>
    </row>
    <row r="668">
      <c r="A668" s="3" t="str">
        <f>IFERROR(__xludf.DUMMYFUNCTION("""COMPUTED_VALUE"""),"AAARO0005")</f>
        <v>AAARO0005</v>
      </c>
      <c r="B668" s="4">
        <f>IFERROR(__xludf.DUMMYFUNCTION("""COMPUTED_VALUE"""),46255.82219748843)</f>
        <v>46255.8222</v>
      </c>
      <c r="C668" s="3">
        <f>IFERROR(__xludf.DUMMYFUNCTION("""COMPUTED_VALUE"""),45729.59754554398)</f>
        <v>45729.59755</v>
      </c>
      <c r="D668" s="3" t="str">
        <f>IFERROR(__xludf.DUMMYFUNCTION("""COMPUTED_VALUE"""),"Cartoning")</f>
        <v>Cartoning</v>
      </c>
      <c r="E668" s="3" t="str">
        <f>IFERROR(__xludf.DUMMYFUNCTION("""COMPUTED_VALUE"""),"AAABR0029")</f>
        <v>AAABR0029</v>
      </c>
      <c r="F668" s="3" t="str">
        <f>IFERROR(__xludf.DUMMYFUNCTION("""COMPUTED_VALUE"""),"Marchesini MA155 - Conveyor Belt NB-8E 1850 x 40 p/n:C720718540")</f>
        <v>Marchesini MA155 - Conveyor Belt NB-8E 1850 x 40 p/n:C720718540</v>
      </c>
      <c r="G668" s="3">
        <f>IFERROR(__xludf.DUMMYFUNCTION("""COMPUTED_VALUE"""),1.0)</f>
        <v>1</v>
      </c>
      <c r="H668" s="3" t="str">
        <f>IFERROR(__xludf.DUMMYFUNCTION("""COMPUTED_VALUE"""),"Pcs")</f>
        <v>Pcs</v>
      </c>
      <c r="I668" s="3" t="str">
        <f>IFERROR(__xludf.DUMMYFUNCTION("""COMPUTED_VALUE"""),"Deliver")</f>
        <v>Deliver</v>
      </c>
      <c r="J668" s="3" t="str">
        <f>IFERROR(__xludf.DUMMYFUNCTION("""COMPUTED_VALUE"""),"-")</f>
        <v>-</v>
      </c>
      <c r="K668" s="3" t="str">
        <f>IFERROR(__xludf.DUMMYFUNCTION("""COMPUTED_VALUE"""),"-")</f>
        <v>-</v>
      </c>
    </row>
    <row r="669">
      <c r="A669" s="3" t="str">
        <f>IFERROR(__xludf.DUMMYFUNCTION("""COMPUTED_VALUE"""),"AAARO0006")</f>
        <v>AAARO0006</v>
      </c>
      <c r="B669" s="4">
        <f>IFERROR(__xludf.DUMMYFUNCTION("""COMPUTED_VALUE"""),46255.82219748843)</f>
        <v>46255.8222</v>
      </c>
      <c r="C669" s="3">
        <f>IFERROR(__xludf.DUMMYFUNCTION("""COMPUTED_VALUE"""),45729.59787643519)</f>
        <v>45729.59788</v>
      </c>
      <c r="D669" s="3" t="str">
        <f>IFERROR(__xludf.DUMMYFUNCTION("""COMPUTED_VALUE"""),"Cartoning")</f>
        <v>Cartoning</v>
      </c>
      <c r="E669" s="3" t="str">
        <f>IFERROR(__xludf.DUMMYFUNCTION("""COMPUTED_VALUE"""),"NA")</f>
        <v>NA</v>
      </c>
      <c r="F669" s="3" t="str">
        <f>IFERROR(__xludf.DUMMYFUNCTION("""COMPUTED_VALUE"""),"Marchesini MA155 - Conveyor Belt 1380 x 40 HA p/n:C720713840")</f>
        <v>Marchesini MA155 - Conveyor Belt 1380 x 40 HA p/n:C720713840</v>
      </c>
      <c r="G669" s="3">
        <f>IFERROR(__xludf.DUMMYFUNCTION("""COMPUTED_VALUE"""),1.0)</f>
        <v>1</v>
      </c>
      <c r="H669" s="3" t="str">
        <f>IFERROR(__xludf.DUMMYFUNCTION("""COMPUTED_VALUE"""),"pcs")</f>
        <v>pcs</v>
      </c>
      <c r="I669" s="3" t="str">
        <f>IFERROR(__xludf.DUMMYFUNCTION("""COMPUTED_VALUE"""),"Deliver")</f>
        <v>Deliver</v>
      </c>
      <c r="J669" s="3" t="str">
        <f>IFERROR(__xludf.DUMMYFUNCTION("""COMPUTED_VALUE"""),"-")</f>
        <v>-</v>
      </c>
      <c r="K669" s="3" t="str">
        <f>IFERROR(__xludf.DUMMYFUNCTION("""COMPUTED_VALUE"""),"-")</f>
        <v>-</v>
      </c>
    </row>
    <row r="670">
      <c r="A670" s="3" t="str">
        <f>IFERROR(__xludf.DUMMYFUNCTION("""COMPUTED_VALUE"""),"AAARO0007")</f>
        <v>AAARO0007</v>
      </c>
      <c r="B670" s="4">
        <f>IFERROR(__xludf.DUMMYFUNCTION("""COMPUTED_VALUE"""),46255.82219748843)</f>
        <v>46255.8222</v>
      </c>
      <c r="C670" s="3">
        <f>IFERROR(__xludf.DUMMYFUNCTION("""COMPUTED_VALUE"""),45729.598727233795)</f>
        <v>45729.59873</v>
      </c>
      <c r="D670" s="3" t="str">
        <f>IFERROR(__xludf.DUMMYFUNCTION("""COMPUTED_VALUE"""),"Tunnel")</f>
        <v>Tunnel</v>
      </c>
      <c r="E670" s="3" t="str">
        <f>IFERROR(__xludf.DUMMYFUNCTION("""COMPUTED_VALUE"""),"NA")</f>
        <v>NA</v>
      </c>
      <c r="F670" s="3" t="str">
        <f>IFERROR(__xludf.DUMMYFUNCTION("""COMPUTED_VALUE"""),"STERILIZING CHAMBER HEATERS ;NO. 03 RIBBED HEATERS RCU - 1000W - 230VAC -50/60HZ MATERIAL AISI316/304, MECHANICAL DIMENSION:; LENGTH: 397 MM -CENTER DISTANCE: 50 MM HEATING BODY DIAMETER: 10 MM RIBBED DIAMETER: 22 MM;")</f>
        <v>STERILIZING CHAMBER HEATERS ;NO. 03 RIBBED HEATERS RCU - 1000W - 230VAC -50/60HZ MATERIAL AISI316/304, MECHANICAL DIMENSION:; LENGTH: 397 MM -CENTER DISTANCE: 50 MM HEATING BODY DIAMETER: 10 MM RIBBED DIAMETER: 22 MM;</v>
      </c>
      <c r="G670" s="3">
        <f>IFERROR(__xludf.DUMMYFUNCTION("""COMPUTED_VALUE"""),5.0)</f>
        <v>5</v>
      </c>
      <c r="H670" s="3" t="str">
        <f>IFERROR(__xludf.DUMMYFUNCTION("""COMPUTED_VALUE"""),"Pcs")</f>
        <v>Pcs</v>
      </c>
      <c r="I670" s="3" t="str">
        <f>IFERROR(__xludf.DUMMYFUNCTION("""COMPUTED_VALUE"""),"Deliver")</f>
        <v>Deliver</v>
      </c>
      <c r="J670" s="3" t="str">
        <f>IFERROR(__xludf.DUMMYFUNCTION("""COMPUTED_VALUE"""),"-")</f>
        <v>-</v>
      </c>
      <c r="K670" s="3" t="str">
        <f>IFERROR(__xludf.DUMMYFUNCTION("""COMPUTED_VALUE"""),"-")</f>
        <v>-</v>
      </c>
    </row>
    <row r="671">
      <c r="A671" s="3" t="str">
        <f>IFERROR(__xludf.DUMMYFUNCTION("""COMPUTED_VALUE"""),"AAARO0008")</f>
        <v>AAARO0008</v>
      </c>
      <c r="B671" s="4">
        <f>IFERROR(__xludf.DUMMYFUNCTION("""COMPUTED_VALUE"""),46255.82219748843)</f>
        <v>46255.8222</v>
      </c>
      <c r="C671" s="3">
        <f>IFERROR(__xludf.DUMMYFUNCTION("""COMPUTED_VALUE"""),45729.59921054398)</f>
        <v>45729.59921</v>
      </c>
      <c r="D671" s="3" t="str">
        <f>IFERROR(__xludf.DUMMYFUNCTION("""COMPUTED_VALUE"""),"Tunnel")</f>
        <v>Tunnel</v>
      </c>
      <c r="E671" s="3" t="str">
        <f>IFERROR(__xludf.DUMMYFUNCTION("""COMPUTED_VALUE"""),"NA")</f>
        <v>NA</v>
      </c>
      <c r="F671" s="3" t="str">
        <f>IFERROR(__xludf.DUMMYFUNCTION("""COMPUTED_VALUE"""),"STERILIZING CHAMBER HEATERS ; NO. 15 RIBBED HEATERS RCU - 1200W - 230VAC - 50/60HZ - MATERIAL: AISI 304; DIMENSION 75X20 MM;")</f>
        <v>STERILIZING CHAMBER HEATERS ; NO. 15 RIBBED HEATERS RCU - 1200W - 230VAC - 50/60HZ - MATERIAL: AISI 304; DIMENSION 75X20 MM;</v>
      </c>
      <c r="G671" s="3">
        <f>IFERROR(__xludf.DUMMYFUNCTION("""COMPUTED_VALUE"""),10.0)</f>
        <v>10</v>
      </c>
      <c r="H671" s="3" t="str">
        <f>IFERROR(__xludf.DUMMYFUNCTION("""COMPUTED_VALUE"""),"Pcs")</f>
        <v>Pcs</v>
      </c>
      <c r="I671" s="3" t="str">
        <f>IFERROR(__xludf.DUMMYFUNCTION("""COMPUTED_VALUE"""),"Deliver")</f>
        <v>Deliver</v>
      </c>
      <c r="J671" s="3" t="str">
        <f>IFERROR(__xludf.DUMMYFUNCTION("""COMPUTED_VALUE"""),"121703649 - APPROVED")</f>
        <v>121703649 - APPROVED</v>
      </c>
      <c r="K671" s="3" t="str">
        <f>IFERROR(__xludf.DUMMYFUNCTION("""COMPUTED_VALUE"""),"GL2602377")</f>
        <v>GL2602377</v>
      </c>
    </row>
    <row r="672">
      <c r="A672" s="3" t="str">
        <f>IFERROR(__xludf.DUMMYFUNCTION("""COMPUTED_VALUE"""),"AAARO0009")</f>
        <v>AAARO0009</v>
      </c>
      <c r="B672" s="4">
        <f>IFERROR(__xludf.DUMMYFUNCTION("""COMPUTED_VALUE"""),46255.82219748843)</f>
        <v>46255.8222</v>
      </c>
      <c r="C672" s="3">
        <f>IFERROR(__xludf.DUMMYFUNCTION("""COMPUTED_VALUE"""),45729.59998059028)</f>
        <v>45729.59998</v>
      </c>
      <c r="D672" s="3" t="str">
        <f>IFERROR(__xludf.DUMMYFUNCTION("""COMPUTED_VALUE"""),"EDM")</f>
        <v>EDM</v>
      </c>
      <c r="E672" s="3" t="str">
        <f>IFERROR(__xludf.DUMMYFUNCTION("""COMPUTED_VALUE"""),"NA")</f>
        <v>NA</v>
      </c>
      <c r="F672" s="3" t="str">
        <f>IFERROR(__xludf.DUMMYFUNCTION("""COMPUTED_VALUE"""),"General - Silicone Guide Infeed; Custom/Lokal; -; 1 Pc")</f>
        <v>General - Silicone Guide Infeed; Custom/Lokal; -; 1 Pc</v>
      </c>
      <c r="G672" s="3">
        <f>IFERROR(__xludf.DUMMYFUNCTION("""COMPUTED_VALUE"""),1.0)</f>
        <v>1</v>
      </c>
      <c r="H672" s="3" t="str">
        <f>IFERROR(__xludf.DUMMYFUNCTION("""COMPUTED_VALUE"""),"Set")</f>
        <v>Set</v>
      </c>
      <c r="I672" s="3" t="str">
        <f>IFERROR(__xludf.DUMMYFUNCTION("""COMPUTED_VALUE"""),"Deliver")</f>
        <v>Deliver</v>
      </c>
      <c r="J672" s="3" t="str">
        <f>IFERROR(__xludf.DUMMYFUNCTION("""COMPUTED_VALUE"""),"-")</f>
        <v>-</v>
      </c>
      <c r="K672" s="3" t="str">
        <f>IFERROR(__xludf.DUMMYFUNCTION("""COMPUTED_VALUE"""),"-")</f>
        <v>-</v>
      </c>
    </row>
    <row r="673">
      <c r="A673" s="3" t="str">
        <f>IFERROR(__xludf.DUMMYFUNCTION("""COMPUTED_VALUE"""),"AAARO0010")</f>
        <v>AAARO0010</v>
      </c>
      <c r="B673" s="4">
        <f>IFERROR(__xludf.DUMMYFUNCTION("""COMPUTED_VALUE"""),46255.82219748843)</f>
        <v>46255.8222</v>
      </c>
      <c r="C673" s="3">
        <f>IFERROR(__xludf.DUMMYFUNCTION("""COMPUTED_VALUE"""),45729.60297894676)</f>
        <v>45729.60298</v>
      </c>
      <c r="D673" s="3" t="str">
        <f>IFERROR(__xludf.DUMMYFUNCTION("""COMPUTED_VALUE"""),"EDM")</f>
        <v>EDM</v>
      </c>
      <c r="E673" s="3" t="str">
        <f>IFERROR(__xludf.DUMMYFUNCTION("""COMPUTED_VALUE"""),"NA")</f>
        <v>NA</v>
      </c>
      <c r="F673" s="3" t="str">
        <f>IFERROR(__xludf.DUMMYFUNCTION("""COMPUTED_VALUE"""),"General - Silicone Guide Outfeed; Custom/Lokal; -; 1 Pc")</f>
        <v>General - Silicone Guide Outfeed; Custom/Lokal; -; 1 Pc</v>
      </c>
      <c r="G673" s="3">
        <f>IFERROR(__xludf.DUMMYFUNCTION("""COMPUTED_VALUE"""),1.0)</f>
        <v>1</v>
      </c>
      <c r="H673" s="3" t="str">
        <f>IFERROR(__xludf.DUMMYFUNCTION("""COMPUTED_VALUE"""),"Set")</f>
        <v>Set</v>
      </c>
      <c r="I673" s="3" t="str">
        <f>IFERROR(__xludf.DUMMYFUNCTION("""COMPUTED_VALUE"""),"Deliver")</f>
        <v>Deliver</v>
      </c>
      <c r="J673" s="3" t="str">
        <f>IFERROR(__xludf.DUMMYFUNCTION("""COMPUTED_VALUE"""),"-")</f>
        <v>-</v>
      </c>
      <c r="K673" s="3" t="str">
        <f>IFERROR(__xludf.DUMMYFUNCTION("""COMPUTED_VALUE"""),"-")</f>
        <v>-</v>
      </c>
    </row>
    <row r="674">
      <c r="A674" s="3" t="str">
        <f>IFERROR(__xludf.DUMMYFUNCTION("""COMPUTED_VALUE"""),"AAARO0011")</f>
        <v>AAARO0011</v>
      </c>
      <c r="B674" s="4">
        <f>IFERROR(__xludf.DUMMYFUNCTION("""COMPUTED_VALUE"""),46255.82219748843)</f>
        <v>46255.8222</v>
      </c>
      <c r="C674" s="3">
        <f>IFERROR(__xludf.DUMMYFUNCTION("""COMPUTED_VALUE"""),45887.46161025463)</f>
        <v>45887.46161</v>
      </c>
      <c r="D674" s="3" t="str">
        <f>IFERROR(__xludf.DUMMYFUNCTION("""COMPUTED_VALUE"""),"BOD Incubator")</f>
        <v>BOD Incubator</v>
      </c>
      <c r="E674" s="3" t="str">
        <f>IFERROR(__xludf.DUMMYFUNCTION("""COMPUTED_VALUE"""),"NA")</f>
        <v>NA</v>
      </c>
      <c r="F674" s="3" t="str">
        <f>IFERROR(__xludf.DUMMYFUNCTION("""COMPUTED_VALUE"""),"Relay / RXM 2AB2P7 / 230 V / 50-60 Hz / 12 A / 250 VAC")</f>
        <v>Relay / RXM 2AB2P7 / 230 V / 50-60 Hz / 12 A / 250 VAC</v>
      </c>
      <c r="G674" s="3">
        <f>IFERROR(__xludf.DUMMYFUNCTION("""COMPUTED_VALUE"""),10.0)</f>
        <v>10</v>
      </c>
      <c r="H674" s="3" t="str">
        <f>IFERROR(__xludf.DUMMYFUNCTION("""COMPUTED_VALUE"""),"Pcs")</f>
        <v>Pcs</v>
      </c>
      <c r="I674" s="3" t="str">
        <f>IFERROR(__xludf.DUMMYFUNCTION("""COMPUTED_VALUE"""),"Deliver")</f>
        <v>Deliver</v>
      </c>
      <c r="J674" s="3" t="str">
        <f>IFERROR(__xludf.DUMMYFUNCTION("""COMPUTED_VALUE"""),"-")</f>
        <v>-</v>
      </c>
      <c r="K674" s="3" t="str">
        <f>IFERROR(__xludf.DUMMYFUNCTION("""COMPUTED_VALUE"""),"-")</f>
        <v>-</v>
      </c>
    </row>
    <row r="675">
      <c r="A675" s="3" t="str">
        <f>IFERROR(__xludf.DUMMYFUNCTION("""COMPUTED_VALUE"""),"AAARO0012")</f>
        <v>AAARO0012</v>
      </c>
      <c r="B675" s="4">
        <f>IFERROR(__xludf.DUMMYFUNCTION("""COMPUTED_VALUE"""),46255.82219748843)</f>
        <v>46255.8222</v>
      </c>
      <c r="C675" s="3">
        <f>IFERROR(__xludf.DUMMYFUNCTION("""COMPUTED_VALUE"""),45930.23515445602)</f>
        <v>45930.23515</v>
      </c>
      <c r="D675" s="3" t="str">
        <f>IFERROR(__xludf.DUMMYFUNCTION("""COMPUTED_VALUE"""),"meja inspeksi packhall")</f>
        <v>meja inspeksi packhall</v>
      </c>
      <c r="E675" s="3" t="str">
        <f>IFERROR(__xludf.DUMMYFUNCTION("""COMPUTED_VALUE"""),"EJO/2025/09/108")</f>
        <v>EJO/2025/09/108</v>
      </c>
      <c r="F675" s="3" t="str">
        <f>IFERROR(__xludf.DUMMYFUNCTION("""COMPUTED_VALUE"""),"Cabel Tie Mount 30 x 30 mm; Sigma; ;")</f>
        <v>Cabel Tie Mount 30 x 30 mm; Sigma; ;</v>
      </c>
      <c r="G675" s="3">
        <f>IFERROR(__xludf.DUMMYFUNCTION("""COMPUTED_VALUE"""),1.0)</f>
        <v>1</v>
      </c>
      <c r="H675" s="3" t="str">
        <f>IFERROR(__xludf.DUMMYFUNCTION("""COMPUTED_VALUE"""),"pack")</f>
        <v>pack</v>
      </c>
      <c r="I675" s="3" t="str">
        <f>IFERROR(__xludf.DUMMYFUNCTION("""COMPUTED_VALUE"""),"Deliver")</f>
        <v>Deliver</v>
      </c>
      <c r="J675" s="3" t="str">
        <f>IFERROR(__xludf.DUMMYFUNCTION("""COMPUTED_VALUE"""),"-")</f>
        <v>-</v>
      </c>
      <c r="K675" s="3" t="str">
        <f>IFERROR(__xludf.DUMMYFUNCTION("""COMPUTED_VALUE"""),"-")</f>
        <v>-</v>
      </c>
    </row>
    <row r="676">
      <c r="A676" s="3" t="str">
        <f>IFERROR(__xludf.DUMMYFUNCTION("""COMPUTED_VALUE"""),"AAARO0014")</f>
        <v>AAARO0014</v>
      </c>
      <c r="B676" s="4">
        <f>IFERROR(__xludf.DUMMYFUNCTION("""COMPUTED_VALUE"""),46255.82219748843)</f>
        <v>46255.8222</v>
      </c>
      <c r="C676" s="3">
        <f>IFERROR(__xludf.DUMMYFUNCTION("""COMPUTED_VALUE"""),45976.21481107639)</f>
        <v>45976.21481</v>
      </c>
      <c r="D676" s="3" t="str">
        <f>IFERROR(__xludf.DUMMYFUNCTION("""COMPUTED_VALUE"""),"AHU cRABS sensor TE 0111")</f>
        <v>AHU cRABS sensor TE 0111</v>
      </c>
      <c r="E676" s="3" t="str">
        <f>IFERROR(__xludf.DUMMYFUNCTION("""COMPUTED_VALUE"""),"EJO/2025/10/51")</f>
        <v>EJO/2025/10/51</v>
      </c>
      <c r="F676" s="3" t="str">
        <f>IFERROR(__xludf.DUMMYFUNCTION("""COMPUTED_VALUE"""),"RTD - Single Element. Built according to directive 94/9/CE ATEX II 2GD Ex d IIC T6; Temperature Rang; ; ;")</f>
        <v>RTD - Single Element. Built according to directive 94/9/CE ATEX II 2GD Ex d IIC T6; Temperature Rang; ; ;</v>
      </c>
      <c r="G676" s="3">
        <f>IFERROR(__xludf.DUMMYFUNCTION("""COMPUTED_VALUE"""),2.0)</f>
        <v>2</v>
      </c>
      <c r="H676" s="3" t="str">
        <f>IFERROR(__xludf.DUMMYFUNCTION("""COMPUTED_VALUE"""),"unit")</f>
        <v>unit</v>
      </c>
      <c r="I676" s="3" t="str">
        <f>IFERROR(__xludf.DUMMYFUNCTION("""COMPUTED_VALUE"""),"PO Open")</f>
        <v>PO Open</v>
      </c>
      <c r="J676" s="3" t="str">
        <f>IFERROR(__xludf.DUMMYFUNCTION("""COMPUTED_VALUE"""),"121703647 - APPROVED")</f>
        <v>121703647 - APPROVED</v>
      </c>
      <c r="K676" s="3" t="str">
        <f>IFERROR(__xludf.DUMMYFUNCTION("""COMPUTED_VALUE"""),"GL2601027")</f>
        <v>GL2601027</v>
      </c>
    </row>
    <row r="677">
      <c r="A677" s="3" t="str">
        <f>IFERROR(__xludf.DUMMYFUNCTION("""COMPUTED_VALUE"""),"AAARO0015")</f>
        <v>AAARO0015</v>
      </c>
      <c r="B677" s="4">
        <f>IFERROR(__xludf.DUMMYFUNCTION("""COMPUTED_VALUE"""),46255.82219748843)</f>
        <v>46255.8222</v>
      </c>
      <c r="C677" s="3">
        <f>IFERROR(__xludf.DUMMYFUNCTION("""COMPUTED_VALUE"""),46027.77861059028)</f>
        <v>46027.77861</v>
      </c>
      <c r="D677" s="3" t="str">
        <f>IFERROR(__xludf.DUMMYFUNCTION("""COMPUTED_VALUE"""),"Washing")</f>
        <v>Washing</v>
      </c>
      <c r="E677" s="3" t="str">
        <f>IFERROR(__xludf.DUMMYFUNCTION("""COMPUTED_VALUE"""),"NA")</f>
        <v>NA</v>
      </c>
      <c r="F677" s="3" t="str">
        <f>IFERROR(__xludf.DUMMYFUNCTION("""COMPUTED_VALUE"""),"DOOR SAFETY SWITCHES ; SCHMERSAL ; PROXIMITY SENSOR , BNS-260 FOR DOOR")</f>
        <v>DOOR SAFETY SWITCHES ; SCHMERSAL ; PROXIMITY SENSOR , BNS-260 FOR DOOR</v>
      </c>
      <c r="G677" s="3">
        <f>IFERROR(__xludf.DUMMYFUNCTION("""COMPUTED_VALUE"""),2.0)</f>
        <v>2</v>
      </c>
      <c r="H677" s="3" t="str">
        <f>IFERROR(__xludf.DUMMYFUNCTION("""COMPUTED_VALUE"""),"pcs")</f>
        <v>pcs</v>
      </c>
      <c r="I677" s="3" t="str">
        <f>IFERROR(__xludf.DUMMYFUNCTION("""COMPUTED_VALUE"""),"Proses PR")</f>
        <v>Proses PR</v>
      </c>
      <c r="J677" s="3" t="str">
        <f>IFERROR(__xludf.DUMMYFUNCTION("""COMPUTED_VALUE"""),"-")</f>
        <v>-</v>
      </c>
      <c r="K677" s="3" t="str">
        <f>IFERROR(__xludf.DUMMYFUNCTION("""COMPUTED_VALUE"""),"-")</f>
        <v>-</v>
      </c>
    </row>
    <row r="678">
      <c r="A678" s="3" t="str">
        <f>IFERROR(__xludf.DUMMYFUNCTION("""COMPUTED_VALUE"""),"AAARO0016")</f>
        <v>AAARO0016</v>
      </c>
      <c r="B678" s="4">
        <f>IFERROR(__xludf.DUMMYFUNCTION("""COMPUTED_VALUE"""),46255.82219748843)</f>
        <v>46255.8222</v>
      </c>
      <c r="C678" s="3">
        <f>IFERROR(__xludf.DUMMYFUNCTION("""COMPUTED_VALUE"""),46027.77878659722)</f>
        <v>46027.77879</v>
      </c>
      <c r="D678" s="3" t="str">
        <f>IFERROR(__xludf.DUMMYFUNCTION("""COMPUTED_VALUE"""),"Washing")</f>
        <v>Washing</v>
      </c>
      <c r="E678" s="3" t="str">
        <f>IFERROR(__xludf.DUMMYFUNCTION("""COMPUTED_VALUE"""),"NA")</f>
        <v>NA</v>
      </c>
      <c r="F678" s="3" t="str">
        <f>IFERROR(__xludf.DUMMYFUNCTION("""COMPUTED_VALUE"""),"DOOR SAFETY SWITCHES ; SCHMERSAL ; PROXIMITY SENSOR , BNS-260 FOR DOOR")</f>
        <v>DOOR SAFETY SWITCHES ; SCHMERSAL ; PROXIMITY SENSOR , BNS-260 FOR DOOR</v>
      </c>
      <c r="G678" s="3">
        <f>IFERROR(__xludf.DUMMYFUNCTION("""COMPUTED_VALUE"""),2.0)</f>
        <v>2</v>
      </c>
      <c r="H678" s="3" t="str">
        <f>IFERROR(__xludf.DUMMYFUNCTION("""COMPUTED_VALUE"""),"pcs")</f>
        <v>pcs</v>
      </c>
      <c r="I678" s="3" t="str">
        <f>IFERROR(__xludf.DUMMYFUNCTION("""COMPUTED_VALUE"""),"Proses PR")</f>
        <v>Proses PR</v>
      </c>
      <c r="J678" s="3" t="str">
        <f>IFERROR(__xludf.DUMMYFUNCTION("""COMPUTED_VALUE"""),"-")</f>
        <v>-</v>
      </c>
      <c r="K678" s="3" t="str">
        <f>IFERROR(__xludf.DUMMYFUNCTION("""COMPUTED_VALUE"""),"-")</f>
        <v>-</v>
      </c>
    </row>
    <row r="679">
      <c r="A679" s="3" t="str">
        <f>IFERROR(__xludf.DUMMYFUNCTION("""COMPUTED_VALUE"""),"AAARO0017")</f>
        <v>AAARO0017</v>
      </c>
      <c r="B679" s="4">
        <f>IFERROR(__xludf.DUMMYFUNCTION("""COMPUTED_VALUE"""),46255.82219748843)</f>
        <v>46255.8222</v>
      </c>
      <c r="C679" s="3">
        <f>IFERROR(__xludf.DUMMYFUNCTION("""COMPUTED_VALUE"""),46027.779032129634)</f>
        <v>46027.77903</v>
      </c>
      <c r="D679" s="3" t="str">
        <f>IFERROR(__xludf.DUMMYFUNCTION("""COMPUTED_VALUE"""),"Washing")</f>
        <v>Washing</v>
      </c>
      <c r="E679" s="3" t="str">
        <f>IFERROR(__xludf.DUMMYFUNCTION("""COMPUTED_VALUE"""),"NA")</f>
        <v>NA</v>
      </c>
      <c r="F679" s="3" t="str">
        <f>IFERROR(__xludf.DUMMYFUNCTION("""COMPUTED_VALUE"""),"DOOR SAFETY SWITCHES ; SCHMERSAL ; MAGNET BPS-260")</f>
        <v>DOOR SAFETY SWITCHES ; SCHMERSAL ; MAGNET BPS-260</v>
      </c>
      <c r="G679" s="3">
        <f>IFERROR(__xludf.DUMMYFUNCTION("""COMPUTED_VALUE"""),2.0)</f>
        <v>2</v>
      </c>
      <c r="H679" s="3" t="str">
        <f>IFERROR(__xludf.DUMMYFUNCTION("""COMPUTED_VALUE"""),"pcs")</f>
        <v>pcs</v>
      </c>
      <c r="I679" s="3" t="str">
        <f>IFERROR(__xludf.DUMMYFUNCTION("""COMPUTED_VALUE"""),"Deliver")</f>
        <v>Deliver</v>
      </c>
      <c r="J679" s="3" t="str">
        <f>IFERROR(__xludf.DUMMYFUNCTION("""COMPUTED_VALUE"""),"121703438 - APPROVED")</f>
        <v>121703438 - APPROVED</v>
      </c>
      <c r="K679" s="3" t="str">
        <f>IFERROR(__xludf.DUMMYFUNCTION("""COMPUTED_VALUE"""),"GL2511060")</f>
        <v>GL2511060</v>
      </c>
    </row>
    <row r="680">
      <c r="A680" s="3" t="str">
        <f>IFERROR(__xludf.DUMMYFUNCTION("""COMPUTED_VALUE"""),"SFHRO0056")</f>
        <v>SFHRO0056</v>
      </c>
      <c r="B680" s="4">
        <f>IFERROR(__xludf.DUMMYFUNCTION("""COMPUTED_VALUE"""),46255.871175127315)</f>
        <v>46255.87118</v>
      </c>
      <c r="C680" s="3">
        <f>IFERROR(__xludf.DUMMYFUNCTION("""COMPUTED_VALUE"""),46272.80814403935)</f>
        <v>46272.80814</v>
      </c>
      <c r="D680" s="3" t="str">
        <f>IFERROR(__xludf.DUMMYFUNCTION("""COMPUTED_VALUE"""),"lantai 2")</f>
        <v>lantai 2</v>
      </c>
      <c r="E680" s="3" t="str">
        <f>IFERROR(__xludf.DUMMYFUNCTION("""COMPUTED_VALUE"""),"-")</f>
        <v>-</v>
      </c>
      <c r="F680" s="3" t="str">
        <f>IFERROR(__xludf.DUMMYFUNCTION("""COMPUTED_VALUE"""),"Cat Ambiance Lakestone 44537M Tinting; Dulux; ;")</f>
        <v>Cat Ambiance Lakestone 44537M Tinting; Dulux; ;</v>
      </c>
      <c r="G680" s="3">
        <f>IFERROR(__xludf.DUMMYFUNCTION("""COMPUTED_VALUE"""),2.0)</f>
        <v>2</v>
      </c>
      <c r="H680" s="3" t="str">
        <f>IFERROR(__xludf.DUMMYFUNCTION("""COMPUTED_VALUE"""),"pel")</f>
        <v>pel</v>
      </c>
      <c r="I680" s="3" t="str">
        <f>IFERROR(__xludf.DUMMYFUNCTION("""COMPUTED_VALUE"""),"Proses PR")</f>
        <v>Proses PR</v>
      </c>
      <c r="J680" s="3" t="str">
        <f>IFERROR(__xludf.DUMMYFUNCTION("""COMPUTED_VALUE"""),"-")</f>
        <v>-</v>
      </c>
      <c r="K680" s="3" t="str">
        <f>IFERROR(__xludf.DUMMYFUNCTION("""COMPUTED_VALUE"""),"-")</f>
        <v>-</v>
      </c>
    </row>
    <row r="681">
      <c r="A681" s="3" t="str">
        <f>IFERROR(__xludf.DUMMYFUNCTION("""COMPUTED_VALUE"""),"ROSRO0038")</f>
        <v>ROSRO0038</v>
      </c>
      <c r="B681" s="4">
        <f>IFERROR(__xludf.DUMMYFUNCTION("""COMPUTED_VALUE"""),46262.84448984954)</f>
        <v>46262.84449</v>
      </c>
      <c r="C681" s="3">
        <f>IFERROR(__xludf.DUMMYFUNCTION("""COMPUTED_VALUE"""),46268.46656917824)</f>
        <v>46268.46657</v>
      </c>
      <c r="D681" s="3" t="str">
        <f>IFERROR(__xludf.DUMMYFUNCTION("""COMPUTED_VALUE"""),"Filling")</f>
        <v>Filling</v>
      </c>
      <c r="E681" s="3" t="str">
        <f>IFERROR(__xludf.DUMMYFUNCTION("""COMPUTED_VALUE"""),"-")</f>
        <v>-</v>
      </c>
      <c r="F681" s="3" t="str">
        <f>IFERROR(__xludf.DUMMYFUNCTION("""COMPUTED_VALUE"""),"Filling VFM100 - Oring Silicone ID 6,96mm OD 10,34 Tebal 1,69mm; Custom/Lokal; -; 1 Pc")</f>
        <v>Filling VFM100 - Oring Silicone ID 6,96mm OD 10,34 Tebal 1,69mm; Custom/Lokal; -; 1 Pc</v>
      </c>
      <c r="G681" s="3">
        <f>IFERROR(__xludf.DUMMYFUNCTION("""COMPUTED_VALUE"""),20.0)</f>
        <v>20</v>
      </c>
      <c r="H681" s="3" t="str">
        <f>IFERROR(__xludf.DUMMYFUNCTION("""COMPUTED_VALUE"""),"Pcs")</f>
        <v>Pcs</v>
      </c>
      <c r="I681" s="3" t="str">
        <f>IFERROR(__xludf.DUMMYFUNCTION("""COMPUTED_VALUE"""),"PR Open")</f>
        <v>PR Open</v>
      </c>
      <c r="J681" s="3" t="str">
        <f>IFERROR(__xludf.DUMMYFUNCTION("""COMPUTED_VALUE"""),"121704555 - APPROVED")</f>
        <v>121704555 - APPROVED</v>
      </c>
      <c r="K681" s="3" t="str">
        <f>IFERROR(__xludf.DUMMYFUNCTION("""COMPUTED_VALUE"""),"-")</f>
        <v>-</v>
      </c>
    </row>
    <row r="682">
      <c r="A682" s="3" t="str">
        <f>IFERROR(__xludf.DUMMYFUNCTION("""COMPUTED_VALUE"""),"SFHRO0057")</f>
        <v>SFHRO0057</v>
      </c>
      <c r="B682" s="4">
        <f>IFERROR(__xludf.DUMMYFUNCTION("""COMPUTED_VALUE"""),46262.88575918982)</f>
        <v>46262.88576</v>
      </c>
      <c r="C682" s="3">
        <f>IFERROR(__xludf.DUMMYFUNCTION("""COMPUTED_VALUE"""),46272.80827432871)</f>
        <v>46272.80827</v>
      </c>
      <c r="D682" s="3" t="str">
        <f>IFERROR(__xludf.DUMMYFUNCTION("""COMPUTED_VALUE"""),"lantai 2")</f>
        <v>lantai 2</v>
      </c>
      <c r="E682" s="3" t="str">
        <f>IFERROR(__xludf.DUMMYFUNCTION("""COMPUTED_VALUE"""),"-")</f>
        <v>-</v>
      </c>
      <c r="F682" s="3" t="str">
        <f>IFERROR(__xludf.DUMMYFUNCTION("""COMPUTED_VALUE"""),"Cat Durogloss DR-2000; Propan; Type Spiders Web 90YY 73/040; 0,9 L/can")</f>
        <v>Cat Durogloss DR-2000; Propan; Type Spiders Web 90YY 73/040; 0,9 L/can</v>
      </c>
      <c r="G682" s="3">
        <f>IFERROR(__xludf.DUMMYFUNCTION("""COMPUTED_VALUE"""),5.0)</f>
        <v>5</v>
      </c>
      <c r="H682" s="3" t="str">
        <f>IFERROR(__xludf.DUMMYFUNCTION("""COMPUTED_VALUE"""),"liter")</f>
        <v>liter</v>
      </c>
      <c r="I682" s="3" t="str">
        <f>IFERROR(__xludf.DUMMYFUNCTION("""COMPUTED_VALUE"""),"Proses PR")</f>
        <v>Proses PR</v>
      </c>
      <c r="J682" s="3" t="str">
        <f>IFERROR(__xludf.DUMMYFUNCTION("""COMPUTED_VALUE"""),"-")</f>
        <v>-</v>
      </c>
      <c r="K682" s="3" t="str">
        <f>IFERROR(__xludf.DUMMYFUNCTION("""COMPUTED_VALUE"""),"-")</f>
        <v>-</v>
      </c>
    </row>
    <row r="683">
      <c r="A683" s="3" t="str">
        <f>IFERROR(__xludf.DUMMYFUNCTION("""COMPUTED_VALUE"""),"MRNRO0054")</f>
        <v>MRNRO0054</v>
      </c>
      <c r="B683" s="4">
        <f>IFERROR(__xludf.DUMMYFUNCTION("""COMPUTED_VALUE"""),46266.950218680555)</f>
        <v>46266.95022</v>
      </c>
      <c r="C683" s="3">
        <f>IFERROR(__xludf.DUMMYFUNCTION("""COMPUTED_VALUE"""),46272.8057946412)</f>
        <v>46272.80579</v>
      </c>
      <c r="D683" s="3" t="str">
        <f>IFERROR(__xludf.DUMMYFUNCTION("""COMPUTED_VALUE"""),"WWTP")</f>
        <v>WWTP</v>
      </c>
      <c r="E683" s="3" t="str">
        <f>IFERROR(__xludf.DUMMYFUNCTION("""COMPUTED_VALUE"""),"EJO/2026/05/028")</f>
        <v>EJO/2026/05/028</v>
      </c>
      <c r="F683" s="3" t="str">
        <f>IFERROR(__xludf.DUMMYFUNCTION("""COMPUTED_VALUE"""),"General - Pompa Magnetik 150W 1 phase; Sanso; PMD 1564; 1 Unit")</f>
        <v>General - Pompa Magnetik 150W 1 phase; Sanso; PMD 1564; 1 Unit</v>
      </c>
      <c r="G683" s="3">
        <f>IFERROR(__xludf.DUMMYFUNCTION("""COMPUTED_VALUE"""),1.0)</f>
        <v>1</v>
      </c>
      <c r="H683" s="3" t="str">
        <f>IFERROR(__xludf.DUMMYFUNCTION("""COMPUTED_VALUE"""),"pcs")</f>
        <v>pcs</v>
      </c>
      <c r="I683" s="3" t="str">
        <f>IFERROR(__xludf.DUMMYFUNCTION("""COMPUTED_VALUE"""),"Proses PR")</f>
        <v>Proses PR</v>
      </c>
      <c r="J683" s="3" t="str">
        <f>IFERROR(__xludf.DUMMYFUNCTION("""COMPUTED_VALUE"""),"-")</f>
        <v>-</v>
      </c>
      <c r="K683" s="3" t="str">
        <f>IFERROR(__xludf.DUMMYFUNCTION("""COMPUTED_VALUE"""),"-")</f>
        <v>-</v>
      </c>
    </row>
    <row r="684">
      <c r="A684" s="3" t="str">
        <f>IFERROR(__xludf.DUMMYFUNCTION("""COMPUTED_VALUE"""),"SFHRO0059")</f>
        <v>SFHRO0059</v>
      </c>
      <c r="B684" s="4">
        <f>IFERROR(__xludf.DUMMYFUNCTION("""COMPUTED_VALUE"""),46272.29273902778)</f>
        <v>46272.29274</v>
      </c>
      <c r="C684" s="3">
        <f>IFERROR(__xludf.DUMMYFUNCTION("""COMPUTED_VALUE"""),46272.80856010417)</f>
        <v>46272.80856</v>
      </c>
      <c r="D684" s="3" t="str">
        <f>IFERROR(__xludf.DUMMYFUNCTION("""COMPUTED_VALUE"""),"lantai  2")</f>
        <v>lantai  2</v>
      </c>
      <c r="E684" s="3" t="str">
        <f>IFERROR(__xludf.DUMMYFUNCTION("""COMPUTED_VALUE"""),"-")</f>
        <v>-</v>
      </c>
      <c r="F684" s="3" t="str">
        <f>IFERROR(__xludf.DUMMYFUNCTION("""COMPUTED_VALUE"""),"Handle Pintu Bulat, Elbow Press Lock; Meroni; N13NE TB127;")</f>
        <v>Handle Pintu Bulat, Elbow Press Lock; Meroni; N13NE TB127;</v>
      </c>
      <c r="G684" s="3">
        <f>IFERROR(__xludf.DUMMYFUNCTION("""COMPUTED_VALUE"""),4.0)</f>
        <v>4</v>
      </c>
      <c r="H684" s="3" t="str">
        <f>IFERROR(__xludf.DUMMYFUNCTION("""COMPUTED_VALUE"""),"pcs")</f>
        <v>pcs</v>
      </c>
      <c r="I684" s="3" t="str">
        <f>IFERROR(__xludf.DUMMYFUNCTION("""COMPUTED_VALUE"""),"Proses PR")</f>
        <v>Proses PR</v>
      </c>
      <c r="J684" s="3" t="str">
        <f>IFERROR(__xludf.DUMMYFUNCTION("""COMPUTED_VALUE"""),"-")</f>
        <v>-</v>
      </c>
      <c r="K684" s="3" t="str">
        <f>IFERROR(__xludf.DUMMYFUNCTION("""COMPUTED_VALUE"""),"-")</f>
        <v>-</v>
      </c>
    </row>
    <row r="685">
      <c r="A685" s="3" t="str">
        <f>IFERROR(__xludf.DUMMYFUNCTION("""COMPUTED_VALUE"""),"SFHRO0058")</f>
        <v>SFHRO0058</v>
      </c>
      <c r="B685" s="4">
        <f>IFERROR(__xludf.DUMMYFUNCTION("""COMPUTED_VALUE"""),46272.292790555555)</f>
        <v>46272.29279</v>
      </c>
      <c r="C685" s="3">
        <f>IFERROR(__xludf.DUMMYFUNCTION("""COMPUTED_VALUE"""),46272.808426041665)</f>
        <v>46272.80843</v>
      </c>
      <c r="D685" s="3" t="str">
        <f>IFERROR(__xludf.DUMMYFUNCTION("""COMPUTED_VALUE"""),"lantai 2")</f>
        <v>lantai 2</v>
      </c>
      <c r="E685" s="3" t="str">
        <f>IFERROR(__xludf.DUMMYFUNCTION("""COMPUTED_VALUE"""),"-")</f>
        <v>-</v>
      </c>
      <c r="F685" s="3" t="str">
        <f>IFERROR(__xludf.DUMMYFUNCTION("""COMPUTED_VALUE"""),"Besi siku SS 304 40x40x3x6000")</f>
        <v>Besi siku SS 304 40x40x3x6000</v>
      </c>
      <c r="G685" s="3">
        <f>IFERROR(__xludf.DUMMYFUNCTION("""COMPUTED_VALUE"""),4.0)</f>
        <v>4</v>
      </c>
      <c r="H685" s="3" t="str">
        <f>IFERROR(__xludf.DUMMYFUNCTION("""COMPUTED_VALUE"""),"btgt")</f>
        <v>btgt</v>
      </c>
      <c r="I685" s="3" t="str">
        <f>IFERROR(__xludf.DUMMYFUNCTION("""COMPUTED_VALUE"""),"Proses PR")</f>
        <v>Proses PR</v>
      </c>
      <c r="J685" s="3" t="str">
        <f>IFERROR(__xludf.DUMMYFUNCTION("""COMPUTED_VALUE"""),"-")</f>
        <v>-</v>
      </c>
      <c r="K685" s="3" t="str">
        <f>IFERROR(__xludf.DUMMYFUNCTION("""COMPUTED_VALUE"""),"-")</f>
        <v>-</v>
      </c>
    </row>
    <row r="686">
      <c r="A686" s="3" t="str">
        <f>IFERROR(__xludf.DUMMYFUNCTION("""COMPUTED_VALUE"""),"ANORO0010")</f>
        <v>ANORO0010</v>
      </c>
      <c r="B686" s="4">
        <f>IFERROR(__xludf.DUMMYFUNCTION("""COMPUTED_VALUE"""),46274.42842173611)</f>
        <v>46274.42842</v>
      </c>
      <c r="C686" s="3">
        <f>IFERROR(__xludf.DUMMYFUNCTION("""COMPUTED_VALUE"""),46280.51103450231)</f>
        <v>46280.51103</v>
      </c>
      <c r="D686" s="3" t="str">
        <f>IFERROR(__xludf.DUMMYFUNCTION("""COMPUTED_VALUE"""),"Exhaust Fan ")</f>
        <v>Exhaust Fan </v>
      </c>
      <c r="E686" s="3" t="str">
        <f>IFERROR(__xludf.DUMMYFUNCTION("""COMPUTED_VALUE"""),"-")</f>
        <v>-</v>
      </c>
      <c r="F686" s="3" t="str">
        <f>IFERROR(__xludf.DUMMYFUNCTION("""COMPUTED_VALUE"""),"SPA 1120 Brand : Optibelt / Bando Merah; Optibelt; ;")</f>
        <v>SPA 1120 Brand : Optibelt / Bando Merah; Optibelt; ;</v>
      </c>
      <c r="G686" s="3">
        <f>IFERROR(__xludf.DUMMYFUNCTION("""COMPUTED_VALUE"""),10.0)</f>
        <v>10</v>
      </c>
      <c r="H686" s="3" t="str">
        <f>IFERROR(__xludf.DUMMYFUNCTION("""COMPUTED_VALUE"""),"pcs")</f>
        <v>pcs</v>
      </c>
      <c r="I686" s="3" t="str">
        <f>IFERROR(__xludf.DUMMYFUNCTION("""COMPUTED_VALUE"""),"-")</f>
        <v>-</v>
      </c>
      <c r="J686" s="3" t="str">
        <f>IFERROR(__xludf.DUMMYFUNCTION("""COMPUTED_VALUE"""),"-")</f>
        <v>-</v>
      </c>
      <c r="K686" s="3" t="str">
        <f>IFERROR(__xludf.DUMMYFUNCTION("""COMPUTED_VALUE"""),"-")</f>
        <v>-</v>
      </c>
    </row>
    <row r="687">
      <c r="A687" s="3" t="str">
        <f>IFERROR(__xludf.DUMMYFUNCTION("""COMPUTED_VALUE"""),"NDSRO0024")</f>
        <v>NDSRO0024</v>
      </c>
      <c r="B687" s="4">
        <f>IFERROR(__xludf.DUMMYFUNCTION("""COMPUTED_VALUE"""),46275.46967363426)</f>
        <v>46275.46967</v>
      </c>
      <c r="C687" s="3">
        <f>IFERROR(__xludf.DUMMYFUNCTION("""COMPUTED_VALUE"""),46280.65375438657)</f>
        <v>46280.65375</v>
      </c>
      <c r="D687" s="3" t="str">
        <f>IFERROR(__xludf.DUMMYFUNCTION("""COMPUTED_VALUE"""),"MV60")</f>
        <v>MV60</v>
      </c>
      <c r="E687" s="3" t="str">
        <f>IFERROR(__xludf.DUMMYFUNCTION("""COMPUTED_VALUE"""),"-")</f>
        <v>-</v>
      </c>
      <c r="F687" s="3" t="str">
        <f>IFERROR(__xludf.DUMMYFUNCTION("""COMPUTED_VALUE"""),"Mixing Tank Adam - Pressure Transmitter d trans P31 type: 402050/000 TN : 43010260 -1.5 bar rel, DC10..30V. 4..20mA 2-6 JUMO")</f>
        <v>Mixing Tank Adam - Pressure Transmitter d trans P31 type: 402050/000 TN : 43010260 -1.5 bar rel, DC10..30V. 4..20mA 2-6 JUMO</v>
      </c>
      <c r="G687" s="3">
        <f>IFERROR(__xludf.DUMMYFUNCTION("""COMPUTED_VALUE"""),2.0)</f>
        <v>2</v>
      </c>
      <c r="H687" s="3" t="str">
        <f>IFERROR(__xludf.DUMMYFUNCTION("""COMPUTED_VALUE"""),"Pcs")</f>
        <v>Pcs</v>
      </c>
      <c r="I687" s="3" t="str">
        <f>IFERROR(__xludf.DUMMYFUNCTION("""COMPUTED_VALUE"""),"-")</f>
        <v>-</v>
      </c>
      <c r="J687" s="3" t="str">
        <f>IFERROR(__xludf.DUMMYFUNCTION("""COMPUTED_VALUE"""),"-")</f>
        <v>-</v>
      </c>
      <c r="K687" s="3" t="str">
        <f>IFERROR(__xludf.DUMMYFUNCTION("""COMPUTED_VALUE"""),"-")</f>
        <v>-</v>
      </c>
    </row>
    <row r="688">
      <c r="A688" s="3" t="str">
        <f>IFERROR(__xludf.DUMMYFUNCTION("""COMPUTED_VALUE"""),"SFHRO0061")</f>
        <v>SFHRO0061</v>
      </c>
      <c r="B688" s="4">
        <f>IFERROR(__xludf.DUMMYFUNCTION("""COMPUTED_VALUE"""),46276.29018721065)</f>
        <v>46276.29019</v>
      </c>
      <c r="C688" s="3">
        <f>IFERROR(__xludf.DUMMYFUNCTION("""COMPUTED_VALUE"""),46280.51243159722)</f>
        <v>46280.51243</v>
      </c>
      <c r="D688" s="3" t="str">
        <f>IFERROR(__xludf.DUMMYFUNCTION("""COMPUTED_VALUE"""),"lantai 2")</f>
        <v>lantai 2</v>
      </c>
      <c r="E688" s="3" t="str">
        <f>IFERROR(__xludf.DUMMYFUNCTION("""COMPUTED_VALUE"""),"-")</f>
        <v>-</v>
      </c>
      <c r="F688" s="3" t="str">
        <f>IFERROR(__xludf.DUMMYFUNCTION("""COMPUTED_VALUE"""),"Handle Pintu Bulat, Elbow Press Lock; Meroni; N13NE TB127;")</f>
        <v>Handle Pintu Bulat, Elbow Press Lock; Meroni; N13NE TB127;</v>
      </c>
      <c r="G688" s="3">
        <f>IFERROR(__xludf.DUMMYFUNCTION("""COMPUTED_VALUE"""),4.0)</f>
        <v>4</v>
      </c>
      <c r="H688" s="3" t="str">
        <f>IFERROR(__xludf.DUMMYFUNCTION("""COMPUTED_VALUE"""),"pasang")</f>
        <v>pasang</v>
      </c>
      <c r="I688" s="3" t="str">
        <f>IFERROR(__xludf.DUMMYFUNCTION("""COMPUTED_VALUE"""),"-")</f>
        <v>-</v>
      </c>
      <c r="J688" s="3" t="str">
        <f>IFERROR(__xludf.DUMMYFUNCTION("""COMPUTED_VALUE"""),"-")</f>
        <v>-</v>
      </c>
      <c r="K688" s="3" t="str">
        <f>IFERROR(__xludf.DUMMYFUNCTION("""COMPUTED_VALUE"""),"-")</f>
        <v>-</v>
      </c>
    </row>
    <row r="689">
      <c r="A689" s="3" t="str">
        <f>IFERROR(__xludf.DUMMYFUNCTION("""COMPUTED_VALUE"""),"SFHRO0062")</f>
        <v>SFHRO0062</v>
      </c>
      <c r="B689" s="4">
        <f>IFERROR(__xludf.DUMMYFUNCTION("""COMPUTED_VALUE"""),46276.29147578703)</f>
        <v>46276.29148</v>
      </c>
      <c r="C689" s="3">
        <f>IFERROR(__xludf.DUMMYFUNCTION("""COMPUTED_VALUE"""),46280.51257831018)</f>
        <v>46280.51258</v>
      </c>
      <c r="D689" s="3" t="str">
        <f>IFERROR(__xludf.DUMMYFUNCTION("""COMPUTED_VALUE"""),"lantai 2 ")</f>
        <v>lantai 2 </v>
      </c>
      <c r="E689" s="3" t="str">
        <f>IFERROR(__xludf.DUMMYFUNCTION("""COMPUTED_VALUE"""),"-")</f>
        <v>-</v>
      </c>
      <c r="F689" s="3" t="str">
        <f>IFERROR(__xludf.DUMMYFUNCTION("""COMPUTED_VALUE"""),"Door Closer Type: TS77 Hold Open; DORMA; ;")</f>
        <v>Door Closer Type: TS77 Hold Open; DORMA; ;</v>
      </c>
      <c r="G689" s="3">
        <f>IFERROR(__xludf.DUMMYFUNCTION("""COMPUTED_VALUE"""),4.0)</f>
        <v>4</v>
      </c>
      <c r="H689" s="3" t="str">
        <f>IFERROR(__xludf.DUMMYFUNCTION("""COMPUTED_VALUE"""),"pcs")</f>
        <v>pcs</v>
      </c>
      <c r="I689" s="3" t="str">
        <f>IFERROR(__xludf.DUMMYFUNCTION("""COMPUTED_VALUE"""),"-")</f>
        <v>-</v>
      </c>
      <c r="J689" s="3" t="str">
        <f>IFERROR(__xludf.DUMMYFUNCTION("""COMPUTED_VALUE"""),"-")</f>
        <v>-</v>
      </c>
      <c r="K689" s="3" t="str">
        <f>IFERROR(__xludf.DUMMYFUNCTION("""COMPUTED_VALUE"""),"-")</f>
        <v>-</v>
      </c>
    </row>
    <row r="690">
      <c r="A690" s="3" t="str">
        <f>IFERROR(__xludf.DUMMYFUNCTION("""COMPUTED_VALUE"""),"SFHRO0001")</f>
        <v>SFHRO0001</v>
      </c>
      <c r="B690" s="4">
        <f>IFERROR(__xludf.DUMMYFUNCTION("""COMPUTED_VALUE"""),45678.67155555555)</f>
        <v>45678.67156</v>
      </c>
      <c r="C690" s="3">
        <f>IFERROR(__xludf.DUMMYFUNCTION("""COMPUTED_VALUE"""),45680.5826012037)</f>
        <v>45680.5826</v>
      </c>
      <c r="D690" s="3" t="str">
        <f>IFERROR(__xludf.DUMMYFUNCTION("""COMPUTED_VALUE"""),"lantai 2 ")</f>
        <v>lantai 2 </v>
      </c>
      <c r="E690" s="3" t="str">
        <f>IFERROR(__xludf.DUMMYFUNCTION("""COMPUTED_VALUE"""),"-")</f>
        <v>-</v>
      </c>
      <c r="F690" s="3" t="str">
        <f>IFERROR(__xludf.DUMMYFUNCTION("""COMPUTED_VALUE"""),"Compound / Kompon Gypsum;No Brand;;pack size 20 kg per pck")</f>
        <v>Compound / Kompon Gypsum;No Brand;;pack size 20 kg per pck</v>
      </c>
      <c r="G690" s="3">
        <f>IFERROR(__xludf.DUMMYFUNCTION("""COMPUTED_VALUE"""),60.0)</f>
        <v>60</v>
      </c>
      <c r="H690" s="3" t="str">
        <f>IFERROR(__xludf.DUMMYFUNCTION("""COMPUTED_VALUE"""),"kg")</f>
        <v>kg</v>
      </c>
      <c r="I690" s="3" t="str">
        <f>IFERROR(__xludf.DUMMYFUNCTION("""COMPUTED_VALUE"""),"Deliver")</f>
        <v>Deliver</v>
      </c>
      <c r="J690" s="3" t="str">
        <f>IFERROR(__xludf.DUMMYFUNCTION("""COMPUTED_VALUE"""),"-")</f>
        <v>-</v>
      </c>
      <c r="K690" s="3" t="str">
        <f>IFERROR(__xludf.DUMMYFUNCTION("""COMPUTED_VALUE"""),"-")</f>
        <v>-</v>
      </c>
    </row>
    <row r="691">
      <c r="A691" s="3" t="str">
        <f>IFERROR(__xludf.DUMMYFUNCTION("""COMPUTED_VALUE"""),"MOBRO0018")</f>
        <v>MOBRO0018</v>
      </c>
      <c r="B691" s="4">
        <f>IFERROR(__xludf.DUMMYFUNCTION("""COMPUTED_VALUE"""),45691.58993614583)</f>
        <v>45691.58994</v>
      </c>
      <c r="C691" s="3">
        <f>IFERROR(__xludf.DUMMYFUNCTION("""COMPUTED_VALUE"""),45709.5518825926)</f>
        <v>45709.55188</v>
      </c>
      <c r="D691" s="3" t="str">
        <f>IFERROR(__xludf.DUMMYFUNCTION("""COMPUTED_VALUE"""),"UV Lamp PW SKID")</f>
        <v>UV Lamp PW SKID</v>
      </c>
      <c r="E691" s="3" t="str">
        <f>IFERROR(__xludf.DUMMYFUNCTION("""COMPUTED_VALUE"""),"EJO/2025/02/38")</f>
        <v>EJO/2025/02/38</v>
      </c>
      <c r="F691" s="3" t="str">
        <f>IFERROR(__xludf.DUMMYFUNCTION("""COMPUTED_VALUE"""),"Arc tube Hanovia UV System; HANOVIA; p/n 130071 - 0320 - 01;")</f>
        <v>Arc tube Hanovia UV System; HANOVIA; p/n 130071 - 0320 - 01;</v>
      </c>
      <c r="G691" s="3">
        <f>IFERROR(__xludf.DUMMYFUNCTION("""COMPUTED_VALUE"""),2.0)</f>
        <v>2</v>
      </c>
      <c r="H691" s="3" t="str">
        <f>IFERROR(__xludf.DUMMYFUNCTION("""COMPUTED_VALUE"""),"Pcs")</f>
        <v>Pcs</v>
      </c>
      <c r="I691" s="3" t="str">
        <f>IFERROR(__xludf.DUMMYFUNCTION("""COMPUTED_VALUE"""),"Deliver")</f>
        <v>Deliver</v>
      </c>
      <c r="J691" s="3" t="str">
        <f>IFERROR(__xludf.DUMMYFUNCTION("""COMPUTED_VALUE"""),"-")</f>
        <v>-</v>
      </c>
      <c r="K691" s="3" t="str">
        <f>IFERROR(__xludf.DUMMYFUNCTION("""COMPUTED_VALUE"""),"-")</f>
        <v>-</v>
      </c>
    </row>
    <row r="692">
      <c r="A692" s="3" t="str">
        <f>IFERROR(__xludf.DUMMYFUNCTION("""COMPUTED_VALUE"""),"RIARO0012")</f>
        <v>RIARO0012</v>
      </c>
      <c r="B692" s="4">
        <f>IFERROR(__xludf.DUMMYFUNCTION("""COMPUTED_VALUE"""),45696.25871767361)</f>
        <v>45696.25872</v>
      </c>
      <c r="C692" s="3">
        <f>IFERROR(__xludf.DUMMYFUNCTION("""COMPUTED_VALUE"""),45700.61964012732)</f>
        <v>45700.61964</v>
      </c>
      <c r="D692" s="3" t="str">
        <f>IFERROR(__xludf.DUMMYFUNCTION("""COMPUTED_VALUE"""),"PW SKID")</f>
        <v>PW SKID</v>
      </c>
      <c r="E692" s="3" t="str">
        <f>IFERROR(__xludf.DUMMYFUNCTION("""COMPUTED_VALUE"""),"EJO/2025/02/38")</f>
        <v>EJO/2025/02/38</v>
      </c>
      <c r="F692" s="3" t="str">
        <f>IFERROR(__xludf.DUMMYFUNCTION("""COMPUTED_VALUE"""),"UV DEVICE ; REMOVAL OF OZONE; HANOVIA UV; Pharma Line SD55; ID : S203-001")</f>
        <v>UV DEVICE ; REMOVAL OF OZONE; HANOVIA UV; Pharma Line SD55; ID : S203-001</v>
      </c>
      <c r="G692" s="3">
        <f>IFERROR(__xludf.DUMMYFUNCTION("""COMPUTED_VALUE"""),2.0)</f>
        <v>2</v>
      </c>
      <c r="H692" s="3" t="str">
        <f>IFERROR(__xludf.DUMMYFUNCTION("""COMPUTED_VALUE"""),"Pcs")</f>
        <v>Pcs</v>
      </c>
      <c r="I692" s="3" t="str">
        <f>IFERROR(__xludf.DUMMYFUNCTION("""COMPUTED_VALUE"""),"Deliver")</f>
        <v>Deliver</v>
      </c>
      <c r="J692" s="3" t="str">
        <f>IFERROR(__xludf.DUMMYFUNCTION("""COMPUTED_VALUE"""),"-")</f>
        <v>-</v>
      </c>
      <c r="K692" s="3" t="str">
        <f>IFERROR(__xludf.DUMMYFUNCTION("""COMPUTED_VALUE"""),"-")</f>
        <v>-</v>
      </c>
    </row>
    <row r="693">
      <c r="A693" s="3" t="str">
        <f>IFERROR(__xludf.DUMMYFUNCTION("""COMPUTED_VALUE"""),"INNRO0010")</f>
        <v>INNRO0010</v>
      </c>
      <c r="B693" s="4">
        <f>IFERROR(__xludf.DUMMYFUNCTION("""COMPUTED_VALUE"""),46017.12780109954)</f>
        <v>46017.1278</v>
      </c>
      <c r="C693" s="3">
        <f>IFERROR(__xludf.DUMMYFUNCTION("""COMPUTED_VALUE"""),46049.87946181713)</f>
        <v>46049.87946</v>
      </c>
      <c r="D693" s="3" t="str">
        <f>IFERROR(__xludf.DUMMYFUNCTION("""COMPUTED_VALUE"""),"Filling")</f>
        <v>Filling</v>
      </c>
      <c r="E693" s="3" t="str">
        <f>IFERROR(__xludf.DUMMYFUNCTION("""COMPUTED_VALUE"""),"EJO/2025/10/69")</f>
        <v>EJO/2025/10/69</v>
      </c>
      <c r="F693" s="3" t="str">
        <f>IFERROR(__xludf.DUMMYFUNCTION("""COMPUTED_VALUE"""),"General - Pulsed DC Ionising Bar Hyperion 929IPS Length 325mm; Steriline; 1096041; 1 Pc")</f>
        <v>General - Pulsed DC Ionising Bar Hyperion 929IPS Length 325mm; Steriline; 1096041; 1 Pc</v>
      </c>
      <c r="G693" s="3">
        <f>IFERROR(__xludf.DUMMYFUNCTION("""COMPUTED_VALUE"""),1.0)</f>
        <v>1</v>
      </c>
      <c r="H693" s="3" t="str">
        <f>IFERROR(__xludf.DUMMYFUNCTION("""COMPUTED_VALUE"""),"Pcs")</f>
        <v>Pcs</v>
      </c>
      <c r="I693" s="3" t="str">
        <f>IFERROR(__xludf.DUMMYFUNCTION("""COMPUTED_VALUE"""),"Deliver")</f>
        <v>Deliver</v>
      </c>
      <c r="J693" s="3" t="str">
        <f>IFERROR(__xludf.DUMMYFUNCTION("""COMPUTED_VALUE"""),"121703633 - APPROVED")</f>
        <v>121703633 - APPROVED</v>
      </c>
      <c r="K693" s="3" t="str">
        <f>IFERROR(__xludf.DUMMYFUNCTION("""COMPUTED_VALUE"""),"GL2601027")</f>
        <v>GL2601027</v>
      </c>
    </row>
    <row r="694">
      <c r="A694" s="3" t="str">
        <f>IFERROR(__xludf.DUMMYFUNCTION("""COMPUTED_VALUE"""),"AAARO0001")</f>
        <v>AAARO0001</v>
      </c>
      <c r="B694" s="4">
        <f>IFERROR(__xludf.DUMMYFUNCTION("""COMPUTED_VALUE"""),46255.82219748843)</f>
        <v>46255.8222</v>
      </c>
      <c r="C694" s="3">
        <f>IFERROR(__xludf.DUMMYFUNCTION("""COMPUTED_VALUE"""),45709.59816729167)</f>
        <v>45709.59817</v>
      </c>
      <c r="D694" s="3" t="str">
        <f>IFERROR(__xludf.DUMMYFUNCTION("""COMPUTED_VALUE"""),"Mixing Tank")</f>
        <v>Mixing Tank</v>
      </c>
      <c r="E694" s="3" t="str">
        <f>IFERROR(__xludf.DUMMYFUNCTION("""COMPUTED_VALUE"""),"EJO/2025/02/142")</f>
        <v>EJO/2025/02/142</v>
      </c>
      <c r="F694" s="3" t="str">
        <f>IFERROR(__xludf.DUMMYFUNCTION("""COMPUTED_VALUE"""),"SENSOR SUHU 2 x PT100 (DUPLEX), Jumo type 902810/13 Dia probe 6 mm, probe lenght 150 mm, conection threaded dia 29,1 mm. range temp. -15 ~ 150 oC.")</f>
        <v>SENSOR SUHU 2 x PT100 (DUPLEX), Jumo type 902810/13 Dia probe 6 mm, probe lenght 150 mm, conection threaded dia 29,1 mm. range temp. -15 ~ 150 oC.</v>
      </c>
      <c r="G694" s="3">
        <f>IFERROR(__xludf.DUMMYFUNCTION("""COMPUTED_VALUE"""),3.0)</f>
        <v>3</v>
      </c>
      <c r="H694" s="3" t="str">
        <f>IFERROR(__xludf.DUMMYFUNCTION("""COMPUTED_VALUE"""),"Pcs")</f>
        <v>Pcs</v>
      </c>
      <c r="I694" s="3" t="str">
        <f>IFERROR(__xludf.DUMMYFUNCTION("""COMPUTED_VALUE"""),"Deliver")</f>
        <v>Deliver</v>
      </c>
      <c r="J694" s="3" t="str">
        <f>IFERROR(__xludf.DUMMYFUNCTION("""COMPUTED_VALUE"""),"-")</f>
        <v>-</v>
      </c>
      <c r="K694" s="3" t="str">
        <f>IFERROR(__xludf.DUMMYFUNCTION("""COMPUTED_VALUE"""),"-")</f>
        <v>-</v>
      </c>
    </row>
    <row r="695">
      <c r="A695" s="3" t="str">
        <f>IFERROR(__xludf.DUMMYFUNCTION("""COMPUTED_VALUE"""),"AAARO0018")</f>
        <v>AAARO0018</v>
      </c>
      <c r="B695" s="4">
        <f>IFERROR(__xludf.DUMMYFUNCTION("""COMPUTED_VALUE"""),46255.82219748843)</f>
        <v>46255.8222</v>
      </c>
      <c r="C695" s="3">
        <f>IFERROR(__xludf.DUMMYFUNCTION("""COMPUTED_VALUE"""),46062.3687772338)</f>
        <v>46062.36878</v>
      </c>
      <c r="D695" s="3" t="str">
        <f>IFERROR(__xludf.DUMMYFUNCTION("""COMPUTED_VALUE"""),"Huber")</f>
        <v>Huber</v>
      </c>
      <c r="E695" s="3" t="str">
        <f>IFERROR(__xludf.DUMMYFUNCTION("""COMPUTED_VALUE"""),"menyusul")</f>
        <v>menyusul</v>
      </c>
      <c r="F695" s="3" t="str">
        <f>IFERROR(__xludf.DUMMYFUNCTION("""COMPUTED_VALUE"""),"General - Kabel NYAF Uk. 1 x 0.75mm, Warna Merah; Supreme; -; 100meter/roll")</f>
        <v>General - Kabel NYAF Uk. 1 x 0.75mm, Warna Merah; Supreme; -; 100meter/roll</v>
      </c>
      <c r="G695" s="3">
        <f>IFERROR(__xludf.DUMMYFUNCTION("""COMPUTED_VALUE"""),1.0)</f>
        <v>1</v>
      </c>
      <c r="H695" s="3" t="str">
        <f>IFERROR(__xludf.DUMMYFUNCTION("""COMPUTED_VALUE"""),"roll")</f>
        <v>roll</v>
      </c>
      <c r="I695" s="3" t="str">
        <f>IFERROR(__xludf.DUMMYFUNCTION("""COMPUTED_VALUE"""),"Deliver")</f>
        <v>Deliver</v>
      </c>
      <c r="J695" s="3" t="str">
        <f>IFERROR(__xludf.DUMMYFUNCTION("""COMPUTED_VALUE"""),"-")</f>
        <v>-</v>
      </c>
      <c r="K695" s="3" t="str">
        <f>IFERROR(__xludf.DUMMYFUNCTION("""COMPUTED_VALUE"""),"-")</f>
        <v>-</v>
      </c>
    </row>
    <row r="696">
      <c r="A696" s="3" t="str">
        <f>IFERROR(__xludf.DUMMYFUNCTION("""COMPUTED_VALUE"""),"AAARO0019")</f>
        <v>AAARO0019</v>
      </c>
      <c r="B696" s="4">
        <f>IFERROR(__xludf.DUMMYFUNCTION("""COMPUTED_VALUE"""),46255.82219748843)</f>
        <v>46255.8222</v>
      </c>
      <c r="C696" s="3">
        <f>IFERROR(__xludf.DUMMYFUNCTION("""COMPUTED_VALUE"""),46065.440529687505)</f>
        <v>46065.44053</v>
      </c>
      <c r="D696" s="3" t="str">
        <f>IFERROR(__xludf.DUMMYFUNCTION("""COMPUTED_VALUE"""),"Huber")</f>
        <v>Huber</v>
      </c>
      <c r="E696" s="3" t="str">
        <f>IFERROR(__xludf.DUMMYFUNCTION("""COMPUTED_VALUE"""),"menyusul")</f>
        <v>menyusul</v>
      </c>
      <c r="F696" s="3" t="str">
        <f>IFERROR(__xludf.DUMMYFUNCTION("""COMPUTED_VALUE"""),"General - Kabel NYAF 1x0.75mm, Warna Biru; JEMBO; -; 1 meter")</f>
        <v>General - Kabel NYAF 1x0.75mm, Warna Biru; JEMBO; -; 1 meter</v>
      </c>
      <c r="G696" s="3">
        <f>IFERROR(__xludf.DUMMYFUNCTION("""COMPUTED_VALUE"""),1.0)</f>
        <v>1</v>
      </c>
      <c r="H696" s="3" t="str">
        <f>IFERROR(__xludf.DUMMYFUNCTION("""COMPUTED_VALUE"""),"roll")</f>
        <v>roll</v>
      </c>
      <c r="I696" s="3" t="str">
        <f>IFERROR(__xludf.DUMMYFUNCTION("""COMPUTED_VALUE"""),"Deliver")</f>
        <v>Deliver</v>
      </c>
      <c r="J696" s="3" t="str">
        <f>IFERROR(__xludf.DUMMYFUNCTION("""COMPUTED_VALUE"""),"-")</f>
        <v>-</v>
      </c>
      <c r="K696" s="3" t="str">
        <f>IFERROR(__xludf.DUMMYFUNCTION("""COMPUTED_VALUE"""),"-")</f>
        <v>-</v>
      </c>
    </row>
    <row r="697">
      <c r="A697" s="3" t="str">
        <f>IFERROR(__xludf.DUMMYFUNCTION("""COMPUTED_VALUE"""),"AAARO0020")</f>
        <v>AAARO0020</v>
      </c>
      <c r="B697" s="4">
        <f>IFERROR(__xludf.DUMMYFUNCTION("""COMPUTED_VALUE"""),46255.82219748843)</f>
        <v>46255.8222</v>
      </c>
      <c r="C697" s="3">
        <f>IFERROR(__xludf.DUMMYFUNCTION("""COMPUTED_VALUE"""),46062.36814873843)</f>
        <v>46062.36815</v>
      </c>
      <c r="D697" s="3" t="str">
        <f>IFERROR(__xludf.DUMMYFUNCTION("""COMPUTED_VALUE"""),"Huber")</f>
        <v>Huber</v>
      </c>
      <c r="E697" s="3" t="str">
        <f>IFERROR(__xludf.DUMMYFUNCTION("""COMPUTED_VALUE"""),"menyusul")</f>
        <v>menyusul</v>
      </c>
      <c r="F697" s="3" t="str">
        <f>IFERROR(__xludf.DUMMYFUNCTION("""COMPUTED_VALUE"""),"General - Panel Box Uk. 20 x 30 x 15cm; No Brand; -; 1 pc")</f>
        <v>General - Panel Box Uk. 20 x 30 x 15cm; No Brand; -; 1 pc</v>
      </c>
      <c r="G697" s="3">
        <f>IFERROR(__xludf.DUMMYFUNCTION("""COMPUTED_VALUE"""),1.0)</f>
        <v>1</v>
      </c>
      <c r="H697" s="3" t="str">
        <f>IFERROR(__xludf.DUMMYFUNCTION("""COMPUTED_VALUE"""),"box")</f>
        <v>box</v>
      </c>
      <c r="I697" s="3" t="str">
        <f>IFERROR(__xludf.DUMMYFUNCTION("""COMPUTED_VALUE"""),"Deliver")</f>
        <v>Deliver</v>
      </c>
      <c r="J697" s="3" t="str">
        <f>IFERROR(__xludf.DUMMYFUNCTION("""COMPUTED_VALUE"""),"-")</f>
        <v>-</v>
      </c>
      <c r="K697" s="3" t="str">
        <f>IFERROR(__xludf.DUMMYFUNCTION("""COMPUTED_VALUE"""),"-")</f>
        <v>-</v>
      </c>
    </row>
    <row r="698">
      <c r="A698" s="3" t="str">
        <f>IFERROR(__xludf.DUMMYFUNCTION("""COMPUTED_VALUE"""),"AAARO0021")</f>
        <v>AAARO0021</v>
      </c>
      <c r="B698" s="4">
        <f>IFERROR(__xludf.DUMMYFUNCTION("""COMPUTED_VALUE"""),46255.82219748843)</f>
        <v>46255.8222</v>
      </c>
      <c r="C698" s="3">
        <f>IFERROR(__xludf.DUMMYFUNCTION("""COMPUTED_VALUE"""),46062.36783347222)</f>
        <v>46062.36783</v>
      </c>
      <c r="D698" s="3" t="str">
        <f>IFERROR(__xludf.DUMMYFUNCTION("""COMPUTED_VALUE"""),"Huber")</f>
        <v>Huber</v>
      </c>
      <c r="E698" s="3" t="str">
        <f>IFERROR(__xludf.DUMMYFUNCTION("""COMPUTED_VALUE"""),"menyusul")</f>
        <v>menyusul</v>
      </c>
      <c r="F698" s="3" t="str">
        <f>IFERROR(__xludf.DUMMYFUNCTION("""COMPUTED_VALUE"""),"General - Key Selector Switch; Autonics; S2KR-4CK2AM; 1 pc")</f>
        <v>General - Key Selector Switch; Autonics; S2KR-4CK2AM; 1 pc</v>
      </c>
      <c r="G698" s="3">
        <f>IFERROR(__xludf.DUMMYFUNCTION("""COMPUTED_VALUE"""),2.0)</f>
        <v>2</v>
      </c>
      <c r="H698" s="3" t="str">
        <f>IFERROR(__xludf.DUMMYFUNCTION("""COMPUTED_VALUE"""),"pcs")</f>
        <v>pcs</v>
      </c>
      <c r="I698" s="3" t="str">
        <f>IFERROR(__xludf.DUMMYFUNCTION("""COMPUTED_VALUE"""),"Deliver")</f>
        <v>Deliver</v>
      </c>
      <c r="J698" s="3" t="str">
        <f>IFERROR(__xludf.DUMMYFUNCTION("""COMPUTED_VALUE"""),"-")</f>
        <v>-</v>
      </c>
      <c r="K698" s="3" t="str">
        <f>IFERROR(__xludf.DUMMYFUNCTION("""COMPUTED_VALUE"""),"-")</f>
        <v>-</v>
      </c>
    </row>
    <row r="699">
      <c r="A699" s="3" t="str">
        <f>IFERROR(__xludf.DUMMYFUNCTION("""COMPUTED_VALUE"""),"AAARO0022")</f>
        <v>AAARO0022</v>
      </c>
      <c r="B699" s="4">
        <f>IFERROR(__xludf.DUMMYFUNCTION("""COMPUTED_VALUE"""),46255.82219748843)</f>
        <v>46255.8222</v>
      </c>
      <c r="C699" s="3">
        <f>IFERROR(__xludf.DUMMYFUNCTION("""COMPUTED_VALUE"""),46062.36742077547)</f>
        <v>46062.36742</v>
      </c>
      <c r="D699" s="3" t="str">
        <f>IFERROR(__xludf.DUMMYFUNCTION("""COMPUTED_VALUE"""),"Huber")</f>
        <v>Huber</v>
      </c>
      <c r="E699" s="3" t="str">
        <f>IFERROR(__xludf.DUMMYFUNCTION("""COMPUTED_VALUE"""),"menyusul")</f>
        <v>menyusul</v>
      </c>
      <c r="F699" s="3" t="str">
        <f>IFERROR(__xludf.DUMMYFUNCTION("""COMPUTED_VALUE"""),"General - Solid State Relay 3-32 VDC - 330 VAC 25 A; Fotek; SSR 3-32; 1 Pc")</f>
        <v>General - Solid State Relay 3-32 VDC - 330 VAC 25 A; Fotek; SSR 3-32; 1 Pc</v>
      </c>
      <c r="G699" s="3">
        <f>IFERROR(__xludf.DUMMYFUNCTION("""COMPUTED_VALUE"""),2.0)</f>
        <v>2</v>
      </c>
      <c r="H699" s="3" t="str">
        <f>IFERROR(__xludf.DUMMYFUNCTION("""COMPUTED_VALUE"""),"pcs")</f>
        <v>pcs</v>
      </c>
      <c r="I699" s="3" t="str">
        <f>IFERROR(__xludf.DUMMYFUNCTION("""COMPUTED_VALUE"""),"Deliver")</f>
        <v>Deliver</v>
      </c>
      <c r="J699" s="3" t="str">
        <f>IFERROR(__xludf.DUMMYFUNCTION("""COMPUTED_VALUE"""),"-")</f>
        <v>-</v>
      </c>
      <c r="K699" s="3" t="str">
        <f>IFERROR(__xludf.DUMMYFUNCTION("""COMPUTED_VALUE"""),"-")</f>
        <v>-</v>
      </c>
    </row>
    <row r="700">
      <c r="A700" s="3" t="str">
        <f>IFERROR(__xludf.DUMMYFUNCTION("""COMPUTED_VALUE"""),"AAARO0023")</f>
        <v>AAARO0023</v>
      </c>
      <c r="B700" s="4">
        <f>IFERROR(__xludf.DUMMYFUNCTION("""COMPUTED_VALUE"""),46255.82219748843)</f>
        <v>46255.8222</v>
      </c>
      <c r="C700" s="3">
        <f>IFERROR(__xludf.DUMMYFUNCTION("""COMPUTED_VALUE"""),46062.367053634254)</f>
        <v>46062.36705</v>
      </c>
      <c r="D700" s="3" t="str">
        <f>IFERROR(__xludf.DUMMYFUNCTION("""COMPUTED_VALUE"""),"Huber")</f>
        <v>Huber</v>
      </c>
      <c r="E700" s="3" t="str">
        <f>IFERROR(__xludf.DUMMYFUNCTION("""COMPUTED_VALUE"""),"menyusul")</f>
        <v>menyusul</v>
      </c>
      <c r="F700" s="3" t="str">
        <f>IFERROR(__xludf.DUMMYFUNCTION("""COMPUTED_VALUE"""),"General - Relay 220-240 VAC; Omron; MY4N; 1 Pc")</f>
        <v>General - Relay 220-240 VAC; Omron; MY4N; 1 Pc</v>
      </c>
      <c r="G700" s="3">
        <f>IFERROR(__xludf.DUMMYFUNCTION("""COMPUTED_VALUE"""),5.0)</f>
        <v>5</v>
      </c>
      <c r="H700" s="3" t="str">
        <f>IFERROR(__xludf.DUMMYFUNCTION("""COMPUTED_VALUE"""),"pcs")</f>
        <v>pcs</v>
      </c>
      <c r="I700" s="3" t="str">
        <f>IFERROR(__xludf.DUMMYFUNCTION("""COMPUTED_VALUE"""),"Deliver")</f>
        <v>Deliver</v>
      </c>
      <c r="J700" s="3" t="str">
        <f>IFERROR(__xludf.DUMMYFUNCTION("""COMPUTED_VALUE"""),"-")</f>
        <v>-</v>
      </c>
      <c r="K700" s="3" t="str">
        <f>IFERROR(__xludf.DUMMYFUNCTION("""COMPUTED_VALUE"""),"-")</f>
        <v>-</v>
      </c>
    </row>
    <row r="701">
      <c r="I701" s="3"/>
      <c r="J701" s="3"/>
      <c r="K701" s="3"/>
    </row>
    <row r="702">
      <c r="I702" s="3"/>
      <c r="J702" s="3"/>
      <c r="K702" s="3"/>
    </row>
    <row r="703">
      <c r="I703" s="3"/>
      <c r="J703" s="3"/>
      <c r="K703" s="3"/>
    </row>
    <row r="704">
      <c r="I704" s="3"/>
      <c r="J704" s="3"/>
      <c r="K704" s="3"/>
    </row>
    <row r="705">
      <c r="I705" s="3"/>
      <c r="J705" s="3"/>
      <c r="K705" s="3"/>
    </row>
    <row r="706">
      <c r="I706" s="3"/>
      <c r="J706" s="3"/>
      <c r="K706" s="3"/>
    </row>
    <row r="707">
      <c r="I707" s="3"/>
      <c r="J707" s="3"/>
      <c r="K707" s="3"/>
    </row>
    <row r="708">
      <c r="I708" s="3"/>
      <c r="J708" s="3"/>
      <c r="K708" s="3"/>
    </row>
    <row r="709">
      <c r="I709" s="3"/>
      <c r="J709" s="3"/>
      <c r="K709" s="3"/>
    </row>
    <row r="710">
      <c r="I710" s="3"/>
      <c r="J710" s="3"/>
      <c r="K710" s="3"/>
    </row>
    <row r="711">
      <c r="I711" s="3"/>
      <c r="J711" s="3"/>
      <c r="K711" s="3"/>
    </row>
    <row r="712">
      <c r="I712" s="3"/>
      <c r="J712" s="3"/>
      <c r="K712" s="3"/>
    </row>
    <row r="713">
      <c r="I713" s="3"/>
      <c r="J713" s="3"/>
      <c r="K713" s="3"/>
    </row>
    <row r="714">
      <c r="I714" s="3"/>
      <c r="J714" s="3"/>
      <c r="K714" s="3"/>
    </row>
    <row r="715">
      <c r="I715" s="3"/>
      <c r="J715" s="3"/>
      <c r="K715" s="3"/>
    </row>
    <row r="716">
      <c r="I716" s="3"/>
      <c r="J716" s="3"/>
      <c r="K716" s="3"/>
    </row>
    <row r="717">
      <c r="I717" s="3"/>
      <c r="J717" s="3"/>
      <c r="K717" s="3"/>
    </row>
    <row r="718">
      <c r="I718" s="3"/>
      <c r="J718" s="3"/>
      <c r="K718" s="3"/>
    </row>
    <row r="719">
      <c r="I719" s="3"/>
      <c r="J719" s="3"/>
      <c r="K719" s="3"/>
    </row>
    <row r="720">
      <c r="I720" s="3"/>
      <c r="J720" s="3"/>
      <c r="K720" s="3"/>
    </row>
    <row r="721">
      <c r="I721" s="3"/>
      <c r="J721" s="3"/>
      <c r="K721" s="3"/>
    </row>
    <row r="722">
      <c r="I722" s="3"/>
      <c r="J722" s="3"/>
      <c r="K722" s="3"/>
    </row>
    <row r="723">
      <c r="I723" s="3"/>
      <c r="J723" s="3"/>
      <c r="K723" s="3"/>
    </row>
    <row r="724">
      <c r="I724" s="3"/>
      <c r="J724" s="3"/>
      <c r="K724" s="3"/>
    </row>
    <row r="725">
      <c r="I725" s="3"/>
      <c r="J725" s="3"/>
      <c r="K725" s="3"/>
    </row>
    <row r="726">
      <c r="I726" s="3"/>
      <c r="J726" s="3"/>
      <c r="K726" s="3"/>
    </row>
    <row r="727">
      <c r="I727" s="3"/>
      <c r="J727" s="3"/>
      <c r="K727" s="3"/>
    </row>
    <row r="728">
      <c r="I728" s="3"/>
      <c r="J728" s="3"/>
      <c r="K728" s="3"/>
    </row>
    <row r="729">
      <c r="I729" s="3"/>
      <c r="J729" s="3"/>
      <c r="K729" s="3"/>
    </row>
    <row r="730">
      <c r="I730" s="3"/>
      <c r="J730" s="3"/>
      <c r="K730" s="3"/>
    </row>
    <row r="731">
      <c r="I731" s="3"/>
      <c r="J731" s="3"/>
      <c r="K731" s="3"/>
    </row>
    <row r="732">
      <c r="I732" s="3"/>
      <c r="J732" s="3"/>
      <c r="K732" s="3"/>
    </row>
    <row r="733">
      <c r="I733" s="3"/>
      <c r="J733" s="3"/>
      <c r="K733" s="3"/>
    </row>
    <row r="734">
      <c r="I734" s="3"/>
      <c r="J734" s="3"/>
      <c r="K734" s="3"/>
    </row>
    <row r="735">
      <c r="I735" s="3"/>
      <c r="J735" s="3"/>
      <c r="K735" s="3"/>
    </row>
    <row r="736">
      <c r="I736" s="3"/>
      <c r="J736" s="3"/>
      <c r="K736" s="3"/>
    </row>
    <row r="737">
      <c r="I737" s="3"/>
      <c r="J737" s="3"/>
      <c r="K737" s="3"/>
    </row>
    <row r="738">
      <c r="I738" s="3"/>
      <c r="J738" s="3"/>
      <c r="K738" s="3"/>
    </row>
    <row r="739">
      <c r="I739" s="3"/>
      <c r="J739" s="3"/>
      <c r="K739" s="3"/>
    </row>
    <row r="740">
      <c r="I740" s="3"/>
      <c r="J740" s="3"/>
      <c r="K740" s="3"/>
    </row>
    <row r="741">
      <c r="I741" s="3"/>
      <c r="J741" s="3"/>
      <c r="K741" s="3"/>
    </row>
    <row r="742">
      <c r="I742" s="3"/>
      <c r="J742" s="3"/>
      <c r="K742" s="3"/>
    </row>
    <row r="743">
      <c r="I743" s="3"/>
      <c r="J743" s="3"/>
      <c r="K743" s="3"/>
    </row>
    <row r="744">
      <c r="I744" s="3"/>
      <c r="J744" s="3"/>
      <c r="K744" s="3"/>
    </row>
    <row r="745">
      <c r="I745" s="3"/>
      <c r="J745" s="3"/>
      <c r="K745" s="3"/>
    </row>
    <row r="746">
      <c r="I746" s="3"/>
      <c r="J746" s="3"/>
      <c r="K746" s="3"/>
    </row>
    <row r="747">
      <c r="I747" s="3"/>
      <c r="J747" s="3"/>
      <c r="K747" s="3"/>
    </row>
    <row r="748">
      <c r="I748" s="3"/>
      <c r="J748" s="3"/>
      <c r="K748" s="3"/>
    </row>
    <row r="749">
      <c r="I749" s="3"/>
      <c r="J749" s="3"/>
      <c r="K749" s="3"/>
    </row>
    <row r="750">
      <c r="I750" s="3"/>
      <c r="J750" s="3"/>
      <c r="K750" s="3"/>
    </row>
    <row r="751">
      <c r="I751" s="3"/>
      <c r="J751" s="3"/>
      <c r="K751" s="3"/>
    </row>
    <row r="752">
      <c r="I752" s="3"/>
      <c r="J752" s="3"/>
      <c r="K752" s="3"/>
    </row>
    <row r="753">
      <c r="I753" s="3"/>
      <c r="J753" s="3"/>
      <c r="K753" s="3"/>
    </row>
    <row r="754">
      <c r="I754" s="3"/>
      <c r="J754" s="3"/>
      <c r="K754" s="3"/>
    </row>
    <row r="755">
      <c r="I755" s="3"/>
      <c r="J755" s="3"/>
      <c r="K755" s="3"/>
    </row>
    <row r="756">
      <c r="I756" s="3"/>
      <c r="J756" s="3"/>
      <c r="K756" s="3"/>
    </row>
    <row r="757">
      <c r="I757" s="3"/>
      <c r="J757" s="3"/>
      <c r="K757" s="3"/>
    </row>
    <row r="758">
      <c r="I758" s="3"/>
      <c r="J758" s="3"/>
      <c r="K758" s="3"/>
    </row>
    <row r="759">
      <c r="I759" s="3"/>
      <c r="J759" s="3"/>
      <c r="K759" s="3"/>
    </row>
    <row r="760">
      <c r="I760" s="3"/>
      <c r="J760" s="3"/>
      <c r="K760" s="3"/>
    </row>
    <row r="761">
      <c r="I761" s="3"/>
      <c r="J761" s="3"/>
      <c r="K761" s="3"/>
    </row>
    <row r="762">
      <c r="I762" s="3"/>
      <c r="J762" s="3"/>
      <c r="K762" s="3"/>
    </row>
    <row r="763">
      <c r="I763" s="3"/>
      <c r="J763" s="3"/>
      <c r="K763" s="3"/>
    </row>
    <row r="764">
      <c r="I764" s="3"/>
      <c r="J764" s="3"/>
      <c r="K764" s="3"/>
    </row>
    <row r="765">
      <c r="I765" s="3"/>
      <c r="J765" s="3"/>
      <c r="K765" s="3"/>
    </row>
    <row r="766">
      <c r="I766" s="3"/>
      <c r="J766" s="3"/>
      <c r="K766" s="3"/>
    </row>
    <row r="767">
      <c r="I767" s="3"/>
      <c r="J767" s="3"/>
      <c r="K767" s="3"/>
    </row>
    <row r="768">
      <c r="I768" s="3"/>
      <c r="J768" s="3"/>
      <c r="K768" s="3"/>
    </row>
    <row r="769">
      <c r="I769" s="3"/>
      <c r="J769" s="3"/>
      <c r="K769" s="3"/>
    </row>
    <row r="770">
      <c r="I770" s="3"/>
      <c r="J770" s="3"/>
      <c r="K770" s="3"/>
    </row>
    <row r="771">
      <c r="I771" s="3"/>
      <c r="J771" s="3"/>
      <c r="K771" s="3"/>
    </row>
    <row r="772">
      <c r="I772" s="3"/>
      <c r="J772" s="3"/>
      <c r="K772" s="3"/>
    </row>
    <row r="773">
      <c r="I773" s="3"/>
      <c r="J773" s="3"/>
      <c r="K773" s="3"/>
    </row>
    <row r="774">
      <c r="I774" s="3"/>
      <c r="J774" s="3"/>
      <c r="K774" s="3"/>
    </row>
    <row r="775">
      <c r="I775" s="3"/>
      <c r="J775" s="3"/>
      <c r="K775" s="3"/>
    </row>
    <row r="776">
      <c r="I776" s="3"/>
      <c r="J776" s="3"/>
      <c r="K776" s="3"/>
    </row>
    <row r="777">
      <c r="I777" s="3"/>
      <c r="J777" s="3"/>
      <c r="K777" s="3"/>
    </row>
    <row r="778">
      <c r="I778" s="3"/>
      <c r="J778" s="3"/>
      <c r="K778" s="3"/>
    </row>
    <row r="779">
      <c r="I779" s="3"/>
      <c r="J779" s="3"/>
      <c r="K779" s="3"/>
    </row>
    <row r="780">
      <c r="I780" s="3"/>
      <c r="J780" s="3"/>
      <c r="K780" s="3"/>
    </row>
    <row r="781">
      <c r="I781" s="3"/>
      <c r="J781" s="3"/>
      <c r="K781" s="3"/>
    </row>
    <row r="782">
      <c r="I782" s="3"/>
      <c r="J782" s="3"/>
      <c r="K782" s="3"/>
    </row>
    <row r="783">
      <c r="I783" s="3"/>
      <c r="J783" s="3"/>
      <c r="K783" s="3"/>
    </row>
    <row r="784">
      <c r="I784" s="3"/>
      <c r="J784" s="3"/>
      <c r="K784" s="3"/>
    </row>
    <row r="785">
      <c r="I785" s="3"/>
      <c r="J785" s="3"/>
      <c r="K785" s="3"/>
    </row>
    <row r="786">
      <c r="I786" s="3"/>
      <c r="J786" s="3"/>
      <c r="K786" s="3"/>
    </row>
    <row r="787">
      <c r="I787" s="3"/>
      <c r="J787" s="3"/>
      <c r="K787" s="3"/>
    </row>
    <row r="788">
      <c r="I788" s="3"/>
      <c r="J788" s="3"/>
      <c r="K788" s="3"/>
    </row>
    <row r="789">
      <c r="I789" s="3"/>
      <c r="J789" s="3"/>
      <c r="K789" s="3"/>
    </row>
    <row r="790">
      <c r="I790" s="3"/>
      <c r="J790" s="3"/>
      <c r="K790" s="3"/>
    </row>
    <row r="791">
      <c r="I791" s="3"/>
      <c r="J791" s="3"/>
      <c r="K791" s="3"/>
    </row>
    <row r="792">
      <c r="I792" s="3"/>
      <c r="J792" s="3"/>
      <c r="K792" s="3"/>
    </row>
    <row r="793">
      <c r="I793" s="3"/>
      <c r="J793" s="3"/>
      <c r="K793" s="3"/>
    </row>
    <row r="794">
      <c r="I794" s="3"/>
      <c r="J794" s="3"/>
      <c r="K794" s="3"/>
    </row>
    <row r="795">
      <c r="I795" s="3"/>
      <c r="J795" s="3"/>
      <c r="K795" s="3"/>
    </row>
    <row r="796">
      <c r="I796" s="3"/>
      <c r="J796" s="3"/>
      <c r="K796" s="3"/>
    </row>
    <row r="797">
      <c r="I797" s="3"/>
      <c r="J797" s="3"/>
      <c r="K797" s="3"/>
    </row>
    <row r="798">
      <c r="I798" s="3"/>
      <c r="J798" s="3"/>
      <c r="K798" s="3"/>
    </row>
    <row r="799">
      <c r="I799" s="3"/>
      <c r="J799" s="3"/>
      <c r="K799" s="3"/>
    </row>
    <row r="800">
      <c r="I800" s="3"/>
      <c r="J800" s="3"/>
      <c r="K800" s="3"/>
    </row>
    <row r="801">
      <c r="I801" s="3"/>
      <c r="J801" s="3"/>
      <c r="K801" s="3"/>
    </row>
    <row r="802">
      <c r="I802" s="3"/>
      <c r="J802" s="3"/>
      <c r="K802" s="3"/>
    </row>
    <row r="803">
      <c r="I803" s="3"/>
      <c r="J803" s="3"/>
      <c r="K803" s="3"/>
    </row>
    <row r="804">
      <c r="I804" s="3"/>
      <c r="J804" s="3"/>
      <c r="K804" s="3"/>
    </row>
    <row r="805">
      <c r="I805" s="3"/>
      <c r="J805" s="3"/>
      <c r="K805" s="3"/>
    </row>
    <row r="806">
      <c r="I806" s="3"/>
      <c r="J806" s="3"/>
      <c r="K806" s="3"/>
    </row>
    <row r="807">
      <c r="I807" s="3"/>
      <c r="J807" s="3"/>
      <c r="K807" s="3"/>
    </row>
    <row r="808">
      <c r="I808" s="3"/>
      <c r="J808" s="3"/>
      <c r="K808" s="3"/>
    </row>
    <row r="809">
      <c r="I809" s="3"/>
      <c r="J809" s="3"/>
      <c r="K809" s="3"/>
    </row>
    <row r="810">
      <c r="I810" s="3"/>
      <c r="J810" s="3"/>
      <c r="K810" s="3"/>
    </row>
    <row r="811">
      <c r="I811" s="3"/>
      <c r="J811" s="3"/>
      <c r="K811" s="3"/>
    </row>
    <row r="812">
      <c r="I812" s="3"/>
      <c r="J812" s="3"/>
      <c r="K812" s="3"/>
    </row>
    <row r="813">
      <c r="I813" s="3"/>
      <c r="J813" s="3"/>
      <c r="K813" s="3"/>
    </row>
    <row r="814">
      <c r="I814" s="3"/>
      <c r="J814" s="3"/>
      <c r="K814" s="3"/>
    </row>
    <row r="815">
      <c r="I815" s="3"/>
      <c r="J815" s="3"/>
      <c r="K815" s="3"/>
    </row>
    <row r="816">
      <c r="I816" s="3"/>
      <c r="J816" s="3"/>
      <c r="K816" s="3"/>
    </row>
    <row r="817">
      <c r="I817" s="3"/>
      <c r="J817" s="3"/>
      <c r="K817" s="3"/>
    </row>
    <row r="818">
      <c r="I818" s="3"/>
      <c r="J818" s="3"/>
      <c r="K818" s="3"/>
    </row>
    <row r="819">
      <c r="I819" s="3"/>
      <c r="J819" s="3"/>
      <c r="K819" s="3"/>
    </row>
    <row r="820">
      <c r="I820" s="3"/>
      <c r="J820" s="3"/>
      <c r="K820" s="3"/>
    </row>
    <row r="821">
      <c r="I821" s="3"/>
      <c r="J821" s="3"/>
      <c r="K821" s="3"/>
    </row>
    <row r="822">
      <c r="I822" s="3"/>
      <c r="J822" s="3"/>
      <c r="K822" s="3"/>
    </row>
    <row r="823">
      <c r="I823" s="3"/>
      <c r="J823" s="3"/>
      <c r="K823" s="3"/>
    </row>
    <row r="824">
      <c r="I824" s="3"/>
      <c r="J824" s="3"/>
      <c r="K824" s="3"/>
    </row>
    <row r="825">
      <c r="I825" s="3"/>
      <c r="J825" s="3"/>
      <c r="K825" s="3"/>
    </row>
    <row r="826">
      <c r="I826" s="3"/>
      <c r="J826" s="3"/>
      <c r="K826" s="3"/>
    </row>
    <row r="827">
      <c r="I827" s="3"/>
      <c r="J827" s="3"/>
      <c r="K827" s="3"/>
    </row>
    <row r="828">
      <c r="I828" s="3"/>
      <c r="J828" s="3"/>
      <c r="K828" s="3"/>
    </row>
    <row r="829">
      <c r="I829" s="3"/>
      <c r="J829" s="3"/>
      <c r="K829" s="3"/>
    </row>
    <row r="830">
      <c r="I830" s="3"/>
      <c r="J830" s="3"/>
      <c r="K830" s="3"/>
    </row>
    <row r="831">
      <c r="I831" s="3"/>
      <c r="J831" s="3"/>
      <c r="K831" s="3"/>
    </row>
    <row r="832">
      <c r="I832" s="3"/>
      <c r="J832" s="3"/>
      <c r="K832" s="3"/>
    </row>
    <row r="833">
      <c r="I833" s="3"/>
      <c r="J833" s="3"/>
      <c r="K833" s="3"/>
    </row>
    <row r="834">
      <c r="I834" s="3"/>
      <c r="J834" s="3"/>
      <c r="K834" s="3"/>
    </row>
    <row r="835">
      <c r="I835" s="3"/>
      <c r="J835" s="3"/>
      <c r="K835" s="3"/>
    </row>
    <row r="836">
      <c r="I836" s="3"/>
      <c r="J836" s="3"/>
      <c r="K836" s="3"/>
    </row>
    <row r="837">
      <c r="I837" s="3"/>
      <c r="J837" s="3"/>
      <c r="K837" s="3"/>
    </row>
    <row r="838">
      <c r="I838" s="3"/>
      <c r="J838" s="3"/>
      <c r="K838" s="3"/>
    </row>
    <row r="839">
      <c r="I839" s="3"/>
      <c r="J839" s="3"/>
      <c r="K839" s="3"/>
    </row>
    <row r="840">
      <c r="I840" s="3"/>
      <c r="J840" s="3"/>
      <c r="K840" s="3"/>
    </row>
    <row r="841">
      <c r="I841" s="3"/>
      <c r="J841" s="3"/>
      <c r="K841" s="3"/>
    </row>
    <row r="842">
      <c r="I842" s="3"/>
      <c r="J842" s="3"/>
      <c r="K842" s="3"/>
    </row>
    <row r="843">
      <c r="I843" s="3"/>
      <c r="J843" s="3"/>
      <c r="K843" s="3"/>
    </row>
    <row r="844">
      <c r="I844" s="3"/>
      <c r="J844" s="3"/>
      <c r="K844" s="3"/>
    </row>
    <row r="845">
      <c r="I845" s="3"/>
      <c r="J845" s="3"/>
      <c r="K845" s="3"/>
    </row>
    <row r="846">
      <c r="I846" s="3"/>
      <c r="J846" s="3"/>
      <c r="K846" s="3"/>
    </row>
    <row r="847">
      <c r="I847" s="3"/>
      <c r="J847" s="3"/>
      <c r="K847" s="3"/>
    </row>
    <row r="848">
      <c r="I848" s="3"/>
      <c r="J848" s="3"/>
      <c r="K848" s="3"/>
    </row>
    <row r="849">
      <c r="I849" s="3"/>
      <c r="J849" s="3"/>
      <c r="K849" s="3"/>
    </row>
    <row r="850">
      <c r="I850" s="3"/>
      <c r="J850" s="3"/>
      <c r="K850" s="3"/>
    </row>
    <row r="851">
      <c r="I851" s="3"/>
      <c r="J851" s="3"/>
      <c r="K851" s="3"/>
    </row>
    <row r="852">
      <c r="I852" s="3"/>
      <c r="J852" s="3"/>
      <c r="K852" s="3"/>
    </row>
    <row r="853">
      <c r="I853" s="3"/>
      <c r="J853" s="3"/>
      <c r="K853" s="3"/>
    </row>
    <row r="854">
      <c r="I854" s="3"/>
      <c r="J854" s="3"/>
      <c r="K854" s="3"/>
    </row>
    <row r="855">
      <c r="I855" s="3"/>
      <c r="J855" s="3"/>
      <c r="K855" s="3"/>
    </row>
    <row r="856">
      <c r="I856" s="3"/>
      <c r="J856" s="3"/>
      <c r="K856" s="3"/>
    </row>
    <row r="857">
      <c r="I857" s="3"/>
      <c r="J857" s="3"/>
      <c r="K857" s="3"/>
    </row>
    <row r="858">
      <c r="I858" s="3"/>
      <c r="J858" s="3"/>
      <c r="K858" s="3"/>
    </row>
    <row r="859">
      <c r="I859" s="3"/>
      <c r="J859" s="3"/>
      <c r="K859" s="3"/>
    </row>
    <row r="860">
      <c r="I860" s="3"/>
      <c r="J860" s="3"/>
      <c r="K860" s="3"/>
    </row>
    <row r="861">
      <c r="I861" s="3"/>
      <c r="J861" s="3"/>
      <c r="K861" s="3"/>
    </row>
    <row r="862">
      <c r="I862" s="3"/>
      <c r="J862" s="3"/>
      <c r="K862" s="3"/>
    </row>
    <row r="863">
      <c r="I863" s="3"/>
      <c r="J863" s="3"/>
      <c r="K863" s="3"/>
    </row>
    <row r="864">
      <c r="I864" s="3"/>
      <c r="J864" s="3"/>
      <c r="K864" s="3"/>
    </row>
    <row r="865">
      <c r="I865" s="3"/>
      <c r="J865" s="3"/>
      <c r="K865" s="3"/>
    </row>
    <row r="866">
      <c r="I866" s="3"/>
      <c r="J866" s="3"/>
      <c r="K866" s="3"/>
    </row>
    <row r="867">
      <c r="I867" s="3"/>
      <c r="J867" s="3"/>
      <c r="K867" s="3"/>
    </row>
    <row r="868">
      <c r="I868" s="3"/>
      <c r="J868" s="3"/>
      <c r="K868" s="3"/>
    </row>
    <row r="869">
      <c r="I869" s="3"/>
      <c r="J869" s="3"/>
      <c r="K869" s="3"/>
    </row>
    <row r="870">
      <c r="I870" s="3"/>
      <c r="J870" s="3"/>
      <c r="K870" s="3"/>
    </row>
    <row r="871">
      <c r="I871" s="3"/>
      <c r="J871" s="3"/>
      <c r="K871" s="3"/>
    </row>
    <row r="872">
      <c r="I872" s="3"/>
      <c r="J872" s="3"/>
      <c r="K872" s="3"/>
    </row>
    <row r="873">
      <c r="I873" s="3"/>
      <c r="J873" s="3"/>
      <c r="K873" s="3"/>
    </row>
    <row r="874">
      <c r="I874" s="3"/>
      <c r="J874" s="3"/>
      <c r="K874" s="3"/>
    </row>
    <row r="875">
      <c r="I875" s="3"/>
      <c r="J875" s="3"/>
      <c r="K875" s="3"/>
    </row>
    <row r="876">
      <c r="I876" s="3"/>
      <c r="J876" s="3"/>
      <c r="K876" s="3"/>
    </row>
    <row r="877">
      <c r="I877" s="3"/>
      <c r="J877" s="3"/>
      <c r="K877" s="3"/>
    </row>
    <row r="878">
      <c r="I878" s="3"/>
      <c r="J878" s="3"/>
      <c r="K878" s="3"/>
    </row>
    <row r="879">
      <c r="I879" s="3"/>
      <c r="J879" s="3"/>
      <c r="K879" s="3"/>
    </row>
    <row r="880">
      <c r="I880" s="3"/>
      <c r="J880" s="3"/>
      <c r="K880" s="3"/>
    </row>
    <row r="881">
      <c r="I881" s="3"/>
      <c r="J881" s="3"/>
      <c r="K881" s="3"/>
    </row>
    <row r="882">
      <c r="I882" s="3"/>
      <c r="J882" s="3"/>
      <c r="K882" s="3"/>
    </row>
    <row r="883">
      <c r="I883" s="3"/>
      <c r="J883" s="3"/>
      <c r="K883" s="3"/>
    </row>
    <row r="884">
      <c r="I884" s="3"/>
      <c r="J884" s="3"/>
      <c r="K884" s="3"/>
    </row>
    <row r="885">
      <c r="I885" s="3"/>
      <c r="J885" s="3"/>
      <c r="K885" s="3"/>
    </row>
    <row r="886">
      <c r="I886" s="3"/>
      <c r="J886" s="3"/>
      <c r="K886" s="3"/>
    </row>
    <row r="887">
      <c r="I887" s="3"/>
      <c r="J887" s="3"/>
      <c r="K887" s="3"/>
    </row>
    <row r="888">
      <c r="I888" s="3"/>
      <c r="J888" s="3"/>
      <c r="K888" s="3"/>
    </row>
    <row r="889">
      <c r="I889" s="3"/>
      <c r="J889" s="3"/>
      <c r="K889" s="3"/>
    </row>
    <row r="890">
      <c r="I890" s="3"/>
      <c r="J890" s="3"/>
      <c r="K890" s="3"/>
    </row>
    <row r="891">
      <c r="I891" s="3"/>
      <c r="J891" s="3"/>
      <c r="K891" s="3"/>
    </row>
    <row r="892">
      <c r="I892" s="3"/>
      <c r="J892" s="3"/>
      <c r="K892" s="3"/>
    </row>
    <row r="893">
      <c r="I893" s="3"/>
      <c r="J893" s="3"/>
      <c r="K893" s="3"/>
    </row>
    <row r="894">
      <c r="I894" s="3"/>
      <c r="J894" s="3"/>
      <c r="K894" s="3"/>
    </row>
    <row r="895">
      <c r="I895" s="3"/>
      <c r="J895" s="3"/>
      <c r="K895" s="3"/>
    </row>
    <row r="896">
      <c r="I896" s="3"/>
      <c r="J896" s="3"/>
      <c r="K896" s="3"/>
    </row>
    <row r="897">
      <c r="I897" s="3"/>
      <c r="J897" s="3"/>
      <c r="K897" s="3"/>
    </row>
    <row r="898">
      <c r="I898" s="3"/>
      <c r="J898" s="3"/>
      <c r="K898" s="3"/>
    </row>
    <row r="899">
      <c r="I899" s="3"/>
      <c r="J899" s="3"/>
      <c r="K899" s="3"/>
    </row>
    <row r="900">
      <c r="I900" s="3"/>
      <c r="J900" s="3"/>
      <c r="K900" s="3"/>
    </row>
    <row r="901">
      <c r="I901" s="3"/>
      <c r="J901" s="3"/>
      <c r="K901" s="3"/>
    </row>
    <row r="902">
      <c r="I902" s="3"/>
      <c r="J902" s="3"/>
      <c r="K902" s="3"/>
    </row>
    <row r="903">
      <c r="I903" s="3"/>
      <c r="J903" s="3"/>
      <c r="K903" s="3"/>
    </row>
    <row r="904">
      <c r="I904" s="3"/>
      <c r="J904" s="3"/>
      <c r="K904" s="3"/>
    </row>
    <row r="905">
      <c r="I905" s="3"/>
      <c r="J905" s="3"/>
      <c r="K905" s="3"/>
    </row>
    <row r="906">
      <c r="I906" s="3"/>
      <c r="J906" s="3"/>
      <c r="K906" s="3"/>
    </row>
    <row r="907">
      <c r="I907" s="3"/>
      <c r="J907" s="3"/>
      <c r="K907" s="3"/>
    </row>
    <row r="908">
      <c r="I908" s="3"/>
      <c r="J908" s="3"/>
      <c r="K908" s="3"/>
    </row>
    <row r="909">
      <c r="I909" s="3"/>
      <c r="J909" s="3"/>
      <c r="K909" s="3"/>
    </row>
    <row r="910">
      <c r="I910" s="3"/>
      <c r="J910" s="3"/>
      <c r="K910" s="3"/>
    </row>
    <row r="911">
      <c r="I911" s="3"/>
      <c r="J911" s="3"/>
      <c r="K911" s="3"/>
    </row>
    <row r="912">
      <c r="I912" s="3"/>
      <c r="J912" s="3"/>
      <c r="K912" s="3"/>
    </row>
    <row r="913">
      <c r="I913" s="3"/>
      <c r="J913" s="3"/>
      <c r="K913" s="3"/>
    </row>
    <row r="914">
      <c r="I914" s="3"/>
      <c r="J914" s="3"/>
      <c r="K914" s="3"/>
    </row>
    <row r="915">
      <c r="I915" s="3"/>
      <c r="J915" s="3"/>
      <c r="K915" s="3"/>
    </row>
    <row r="916">
      <c r="I916" s="3"/>
      <c r="J916" s="3"/>
      <c r="K916" s="3"/>
    </row>
    <row r="917">
      <c r="I917" s="3"/>
      <c r="J917" s="3"/>
      <c r="K917" s="3"/>
    </row>
    <row r="918">
      <c r="I918" s="3"/>
      <c r="J918" s="3"/>
      <c r="K918" s="3"/>
    </row>
    <row r="919">
      <c r="I919" s="3"/>
      <c r="J919" s="3"/>
      <c r="K919" s="3"/>
    </row>
    <row r="920">
      <c r="I920" s="3"/>
      <c r="J920" s="3"/>
      <c r="K920" s="3"/>
    </row>
    <row r="921">
      <c r="I921" s="3"/>
      <c r="J921" s="3"/>
      <c r="K921" s="3"/>
    </row>
    <row r="922">
      <c r="I922" s="3"/>
      <c r="J922" s="3"/>
      <c r="K922" s="3"/>
    </row>
    <row r="923">
      <c r="I923" s="3"/>
      <c r="J923" s="3"/>
      <c r="K923" s="3"/>
    </row>
    <row r="924">
      <c r="I924" s="3"/>
      <c r="J924" s="3"/>
      <c r="K924" s="3"/>
    </row>
    <row r="925">
      <c r="I925" s="3"/>
      <c r="J925" s="3"/>
      <c r="K925" s="3"/>
    </row>
    <row r="926">
      <c r="I926" s="3"/>
      <c r="J926" s="3"/>
      <c r="K926" s="3"/>
    </row>
    <row r="927">
      <c r="I927" s="3"/>
      <c r="J927" s="3"/>
      <c r="K927" s="3"/>
    </row>
    <row r="928">
      <c r="I928" s="3"/>
      <c r="J928" s="3"/>
      <c r="K928" s="3"/>
    </row>
    <row r="929">
      <c r="I929" s="3"/>
      <c r="J929" s="3"/>
      <c r="K929" s="3"/>
    </row>
    <row r="930">
      <c r="I930" s="3"/>
      <c r="J930" s="3"/>
      <c r="K930" s="3"/>
    </row>
    <row r="931">
      <c r="I931" s="3"/>
      <c r="J931" s="3"/>
      <c r="K931" s="3"/>
    </row>
    <row r="932">
      <c r="I932" s="3"/>
      <c r="J932" s="3"/>
      <c r="K932" s="3"/>
    </row>
    <row r="933">
      <c r="I933" s="3"/>
      <c r="J933" s="3"/>
      <c r="K933" s="3"/>
    </row>
    <row r="934">
      <c r="I934" s="3"/>
      <c r="J934" s="3"/>
      <c r="K934" s="3"/>
    </row>
    <row r="935">
      <c r="I935" s="3"/>
      <c r="J935" s="3"/>
      <c r="K935" s="3"/>
    </row>
    <row r="936">
      <c r="I936" s="3"/>
      <c r="J936" s="3"/>
      <c r="K936" s="3"/>
    </row>
    <row r="937">
      <c r="I937" s="3"/>
      <c r="J937" s="3"/>
      <c r="K937" s="3"/>
    </row>
    <row r="938">
      <c r="I938" s="3"/>
      <c r="J938" s="3"/>
      <c r="K938" s="3"/>
    </row>
    <row r="939">
      <c r="I939" s="3"/>
      <c r="J939" s="3"/>
      <c r="K939" s="3"/>
    </row>
    <row r="940">
      <c r="I940" s="3"/>
      <c r="J940" s="3"/>
      <c r="K940" s="3"/>
    </row>
    <row r="941">
      <c r="I941" s="3"/>
      <c r="J941" s="3"/>
      <c r="K941" s="3"/>
    </row>
    <row r="942">
      <c r="I942" s="3"/>
      <c r="J942" s="3"/>
      <c r="K942" s="3"/>
    </row>
    <row r="943">
      <c r="I943" s="3"/>
      <c r="J943" s="3"/>
      <c r="K943" s="3"/>
    </row>
    <row r="944">
      <c r="I944" s="3"/>
      <c r="J944" s="3"/>
      <c r="K944" s="3"/>
    </row>
    <row r="945">
      <c r="I945" s="3"/>
      <c r="J945" s="3"/>
      <c r="K945" s="3"/>
    </row>
    <row r="946">
      <c r="I946" s="3"/>
      <c r="J946" s="3"/>
      <c r="K946" s="3"/>
    </row>
    <row r="947">
      <c r="I947" s="3"/>
      <c r="J947" s="3"/>
      <c r="K947" s="3"/>
    </row>
    <row r="948">
      <c r="I948" s="3"/>
      <c r="J948" s="3"/>
      <c r="K948" s="3"/>
    </row>
    <row r="949">
      <c r="I949" s="3"/>
      <c r="J949" s="3"/>
      <c r="K949" s="3"/>
    </row>
    <row r="950">
      <c r="I950" s="3"/>
      <c r="J950" s="3"/>
      <c r="K950" s="3"/>
    </row>
    <row r="951">
      <c r="I951" s="3"/>
      <c r="J951" s="3"/>
      <c r="K951" s="3"/>
    </row>
    <row r="952">
      <c r="I952" s="3"/>
      <c r="J952" s="3"/>
      <c r="K952" s="3"/>
    </row>
    <row r="953">
      <c r="I953" s="3"/>
      <c r="J953" s="3"/>
      <c r="K953" s="3"/>
    </row>
    <row r="954">
      <c r="I954" s="3"/>
      <c r="J954" s="3"/>
      <c r="K954" s="3"/>
    </row>
    <row r="955">
      <c r="I955" s="3"/>
      <c r="J955" s="3"/>
      <c r="K955" s="3"/>
    </row>
    <row r="956">
      <c r="I956" s="3"/>
      <c r="J956" s="3"/>
      <c r="K956" s="3"/>
    </row>
    <row r="957">
      <c r="I957" s="3"/>
      <c r="J957" s="3"/>
      <c r="K957" s="3"/>
    </row>
    <row r="958">
      <c r="I958" s="3"/>
      <c r="J958" s="3"/>
      <c r="K958" s="3"/>
    </row>
    <row r="959">
      <c r="I959" s="3"/>
      <c r="J959" s="3"/>
      <c r="K959" s="3"/>
    </row>
    <row r="960">
      <c r="I960" s="3"/>
      <c r="J960" s="3"/>
      <c r="K960" s="3"/>
    </row>
    <row r="961">
      <c r="I961" s="3"/>
      <c r="J961" s="3"/>
      <c r="K961" s="3"/>
    </row>
    <row r="962">
      <c r="I962" s="3"/>
      <c r="J962" s="3"/>
      <c r="K962" s="3"/>
    </row>
    <row r="963">
      <c r="I963" s="3"/>
      <c r="J963" s="3"/>
      <c r="K963" s="3"/>
    </row>
    <row r="964">
      <c r="I964" s="3"/>
      <c r="J964" s="3"/>
      <c r="K964" s="3"/>
    </row>
    <row r="965">
      <c r="I965" s="3"/>
      <c r="J965" s="3"/>
      <c r="K965" s="3"/>
    </row>
    <row r="966">
      <c r="I966" s="3"/>
      <c r="J966" s="3"/>
      <c r="K966" s="3"/>
    </row>
    <row r="967">
      <c r="I967" s="3"/>
      <c r="J967" s="3"/>
      <c r="K967" s="3"/>
    </row>
    <row r="968">
      <c r="I968" s="3"/>
      <c r="J968" s="3"/>
      <c r="K968" s="3"/>
    </row>
    <row r="969">
      <c r="I969" s="3"/>
      <c r="J969" s="3"/>
      <c r="K969" s="3"/>
    </row>
    <row r="970">
      <c r="I970" s="3"/>
      <c r="J970" s="3"/>
      <c r="K970" s="3"/>
    </row>
    <row r="971">
      <c r="I971" s="3"/>
      <c r="J971" s="3"/>
      <c r="K971" s="3"/>
    </row>
    <row r="972">
      <c r="I972" s="3"/>
      <c r="J972" s="3"/>
      <c r="K972" s="3"/>
    </row>
    <row r="973">
      <c r="I973" s="3"/>
      <c r="J973" s="3"/>
      <c r="K973" s="3"/>
    </row>
    <row r="974">
      <c r="I974" s="3"/>
      <c r="J974" s="3"/>
      <c r="K974" s="3"/>
    </row>
    <row r="975">
      <c r="I975" s="3"/>
      <c r="J975" s="3"/>
      <c r="K975" s="3"/>
    </row>
    <row r="976">
      <c r="I976" s="3"/>
      <c r="J976" s="3"/>
      <c r="K976" s="3"/>
    </row>
    <row r="977">
      <c r="I977" s="3"/>
      <c r="J977" s="3"/>
      <c r="K977" s="3"/>
    </row>
    <row r="978">
      <c r="I978" s="3"/>
      <c r="J978" s="3"/>
      <c r="K978" s="3"/>
    </row>
    <row r="979">
      <c r="I979" s="3"/>
      <c r="J979" s="3"/>
      <c r="K979" s="3"/>
    </row>
    <row r="980">
      <c r="I980" s="3"/>
      <c r="J980" s="3"/>
      <c r="K980" s="3"/>
    </row>
    <row r="981">
      <c r="I981" s="3"/>
      <c r="J981" s="3"/>
      <c r="K981" s="3"/>
    </row>
    <row r="982">
      <c r="I982" s="3"/>
      <c r="J982" s="3"/>
      <c r="K982" s="3"/>
    </row>
    <row r="983">
      <c r="I983" s="3"/>
      <c r="J983" s="3"/>
      <c r="K983" s="3"/>
    </row>
    <row r="984">
      <c r="I984" s="3"/>
      <c r="J984" s="3"/>
      <c r="K984" s="3"/>
    </row>
    <row r="985">
      <c r="I985" s="3"/>
      <c r="J985" s="3"/>
      <c r="K985" s="3"/>
    </row>
    <row r="986">
      <c r="I986" s="3"/>
      <c r="J986" s="3"/>
      <c r="K986" s="3"/>
    </row>
    <row r="987">
      <c r="I987" s="3"/>
      <c r="J987" s="3"/>
      <c r="K987" s="3"/>
    </row>
    <row r="988">
      <c r="I988" s="3"/>
      <c r="J988" s="3"/>
      <c r="K988" s="3"/>
    </row>
    <row r="989">
      <c r="I989" s="3"/>
      <c r="J989" s="3"/>
      <c r="K989" s="3"/>
    </row>
    <row r="990">
      <c r="I990" s="3"/>
      <c r="J990" s="3"/>
      <c r="K990" s="3"/>
    </row>
    <row r="991">
      <c r="I991" s="3"/>
      <c r="J991" s="3"/>
      <c r="K991" s="3"/>
    </row>
    <row r="992">
      <c r="I992" s="3"/>
      <c r="J992" s="3"/>
      <c r="K992" s="3"/>
    </row>
    <row r="993">
      <c r="I993" s="3"/>
      <c r="J993" s="3"/>
      <c r="K993" s="3"/>
    </row>
    <row r="994">
      <c r="I994" s="3"/>
      <c r="J994" s="3"/>
      <c r="K994" s="3"/>
    </row>
    <row r="995">
      <c r="I995" s="3"/>
      <c r="J995" s="3"/>
      <c r="K995" s="3"/>
    </row>
    <row r="996">
      <c r="I996" s="3"/>
      <c r="J996" s="3"/>
      <c r="K996" s="3"/>
    </row>
    <row r="997">
      <c r="I997" s="3"/>
      <c r="J997" s="3"/>
      <c r="K997" s="3"/>
    </row>
    <row r="998">
      <c r="I998" s="3"/>
      <c r="J998" s="3"/>
      <c r="K998" s="3"/>
    </row>
    <row r="999">
      <c r="I999" s="3"/>
      <c r="J999" s="3"/>
      <c r="K999" s="3"/>
    </row>
    <row r="1000">
      <c r="I1000" s="3"/>
      <c r="J1000" s="3"/>
      <c r="K1000"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5.88"/>
  </cols>
  <sheetData>
    <row r="1">
      <c r="A1" s="3" t="s">
        <v>0</v>
      </c>
      <c r="B1" s="3" t="s">
        <v>1</v>
      </c>
      <c r="C1" s="3" t="s">
        <v>2</v>
      </c>
      <c r="D1" s="3" t="s">
        <v>3</v>
      </c>
      <c r="E1" s="3" t="s">
        <v>4</v>
      </c>
      <c r="F1" s="3" t="s">
        <v>5</v>
      </c>
      <c r="G1" s="3" t="s">
        <v>6</v>
      </c>
      <c r="H1" s="3" t="s">
        <v>7</v>
      </c>
      <c r="I1" s="3" t="s">
        <v>8</v>
      </c>
      <c r="J1" s="3" t="s">
        <v>9</v>
      </c>
      <c r="K1" s="3" t="s">
        <v>10</v>
      </c>
      <c r="L1" s="3" t="s">
        <v>11</v>
      </c>
      <c r="M1" s="3" t="s">
        <v>12</v>
      </c>
      <c r="N1" s="6" t="s">
        <v>11</v>
      </c>
      <c r="O1" s="6" t="s">
        <v>12</v>
      </c>
      <c r="P1" s="7" t="str">
        <f>IFERROR(__xludf.DUMMYFUNCTION("ArrayFormula(IF(LEN(M:M),if(ROW(M:M)=1,""Tanggal Approved"",vlookup(B:B,importrange(""1pu4PTNY0DwxqnxT6B1IOshB45EM_Ul3WONUVl73rw4Y"",""Salinan Gform!B:F""),5,0)),))"),"Tanggal Approved")</f>
        <v>Tanggal Approved</v>
      </c>
    </row>
    <row r="2">
      <c r="A2" s="4">
        <f>IFERROR(__xludf.DUMMYFUNCTION("if(isna(filter('All BR BQ'!A:O,'All BR BQ'!M:M=""Approve"",'All BR BQ'!N:N=""Normal"")),"""",filter('All BR BQ'!A:O,'All BR BQ'!M:M=""Approve"",'All BR BQ'!N:N=""Normal""))"),45678.5874640162)</f>
        <v>45678.58746</v>
      </c>
      <c r="B2" s="3" t="str">
        <f>IFERROR(__xludf.DUMMYFUNCTION("""COMPUTED_VALUE"""),"SFHBR0002")</f>
        <v>SFHBR0002</v>
      </c>
      <c r="C2" s="3" t="str">
        <f>IFERROR(__xludf.DUMMYFUNCTION("""COMPUTED_VALUE"""),"Consumable")</f>
        <v>Consumable</v>
      </c>
      <c r="D2" s="3" t="str">
        <f>IFERROR(__xludf.DUMMYFUNCTION("""COMPUTED_VALUE"""),"-")</f>
        <v>-</v>
      </c>
      <c r="E2" s="3" t="str">
        <f>IFERROR(__xludf.DUMMYFUNCTION("""COMPUTED_VALUE"""),"lantai 2")</f>
        <v>lantai 2</v>
      </c>
      <c r="F2" s="3" t="str">
        <f>IFERROR(__xludf.DUMMYFUNCTION("""COMPUTED_VALUE"""),"kape plastik ")</f>
        <v>kape plastik </v>
      </c>
      <c r="G2" s="3" t="str">
        <f>IFERROR(__xludf.DUMMYFUNCTION("""COMPUTED_VALUE"""),"ukuran  5 inc dan  bahan pvc")</f>
        <v>ukuran  5 inc dan  bahan pvc</v>
      </c>
      <c r="H2" s="3" t="str">
        <f>IFERROR(__xludf.DUMMYFUNCTION("""COMPUTED_VALUE"""),"prima ")</f>
        <v>prima </v>
      </c>
      <c r="I2" s="3">
        <f>IFERROR(__xludf.DUMMYFUNCTION("""COMPUTED_VALUE"""),10.0)</f>
        <v>10</v>
      </c>
      <c r="J2" s="3" t="str">
        <f>IFERROR(__xludf.DUMMYFUNCTION("""COMPUTED_VALUE"""),"pcs")</f>
        <v>pcs</v>
      </c>
      <c r="K2" s="5" t="str">
        <f>IFERROR(__xludf.DUMMYFUNCTION("""COMPUTED_VALUE"""),"https://tokopedia.link/xwdeezvMkQb")</f>
        <v>https://tokopedia.link/xwdeezvMkQb</v>
      </c>
      <c r="L2" s="3" t="str">
        <f>IFERROR(__xludf.DUMMYFUNCTION("""COMPUTED_VALUE"""),"-")</f>
        <v>-</v>
      </c>
      <c r="M2" s="3" t="str">
        <f>IFERROR(__xludf.DUMMYFUNCTION("""COMPUTED_VALUE"""),"Approve")</f>
        <v>Approve</v>
      </c>
      <c r="N2" s="3" t="str">
        <f>IFERROR(__xludf.DUMMYFUNCTION("""COMPUTED_VALUE"""),"Normal")</f>
        <v>Normal</v>
      </c>
      <c r="O2" s="3" t="str">
        <f>IFERROR(__xludf.DUMMYFUNCTION("""COMPUTED_VALUE"""),"Non Urgent")</f>
        <v>Non Urgent</v>
      </c>
      <c r="P2" s="7">
        <f>IFERROR(__xludf.DUMMYFUNCTION("""COMPUTED_VALUE"""),45679.3986758449)</f>
        <v>45679.39868</v>
      </c>
    </row>
    <row r="3">
      <c r="A3" s="4">
        <f>IFERROR(__xludf.DUMMYFUNCTION("""COMPUTED_VALUE"""),45679.48693741898)</f>
        <v>45679.48694</v>
      </c>
      <c r="B3" s="3" t="str">
        <f>IFERROR(__xludf.DUMMYFUNCTION("""COMPUTED_VALUE"""),"MOBBR0001")</f>
        <v>MOBBR0001</v>
      </c>
      <c r="C3" s="3" t="str">
        <f>IFERROR(__xludf.DUMMYFUNCTION("""COMPUTED_VALUE"""),"Consumable")</f>
        <v>Consumable</v>
      </c>
      <c r="D3" s="3" t="str">
        <f>IFERROR(__xludf.DUMMYFUNCTION("""COMPUTED_VALUE"""),"-")</f>
        <v>-</v>
      </c>
      <c r="E3" s="3" t="str">
        <f>IFERROR(__xludf.DUMMYFUNCTION("""COMPUTED_VALUE"""),"Plambing Building")</f>
        <v>Plambing Building</v>
      </c>
      <c r="F3" s="3" t="str">
        <f>IFERROR(__xludf.DUMMYFUNCTION("""COMPUTED_VALUE"""),"Fitting PVC - Sock PVC 1.5""")</f>
        <v>Fitting PVC - Sock PVC 1.5"</v>
      </c>
      <c r="G3" s="3" t="str">
        <f>IFERROR(__xludf.DUMMYFUNCTION("""COMPUTED_VALUE"""),"Fitting PVC - Sock PVC 1.5""")</f>
        <v>Fitting PVC - Sock PVC 1.5"</v>
      </c>
      <c r="H3" s="3" t="str">
        <f>IFERROR(__xludf.DUMMYFUNCTION("""COMPUTED_VALUE"""),"Rucika")</f>
        <v>Rucika</v>
      </c>
      <c r="I3" s="3">
        <f>IFERROR(__xludf.DUMMYFUNCTION("""COMPUTED_VALUE"""),4.0)</f>
        <v>4</v>
      </c>
      <c r="J3" s="3" t="str">
        <f>IFERROR(__xludf.DUMMYFUNCTION("""COMPUTED_VALUE"""),"Pcs")</f>
        <v>Pcs</v>
      </c>
      <c r="K3" s="5" t="str">
        <f>IFERROR(__xludf.DUMMYFUNCTION("""COMPUTED_VALUE"""),"https://www.tokopedia.com/rajasambungan/sock-aw-1-5-inch-shock-tanpa-drat-fitting-pralon-soket-pvc-rucika?utm_source=google&amp;utm_medium=organic&amp;utm_campaign=pdp-seo")</f>
        <v>https://www.tokopedia.com/rajasambungan/sock-aw-1-5-inch-shock-tanpa-drat-fitting-pralon-soket-pvc-rucika?utm_source=google&amp;utm_medium=organic&amp;utm_campaign=pdp-seo</v>
      </c>
      <c r="L3" s="3" t="str">
        <f>IFERROR(__xludf.DUMMYFUNCTION("""COMPUTED_VALUE"""),"-")</f>
        <v>-</v>
      </c>
      <c r="M3" s="3" t="str">
        <f>IFERROR(__xludf.DUMMYFUNCTION("""COMPUTED_VALUE"""),"Approve")</f>
        <v>Approve</v>
      </c>
      <c r="N3" s="3" t="str">
        <f>IFERROR(__xludf.DUMMYFUNCTION("""COMPUTED_VALUE"""),"Normal")</f>
        <v>Normal</v>
      </c>
      <c r="O3" s="3" t="str">
        <f>IFERROR(__xludf.DUMMYFUNCTION("""COMPUTED_VALUE"""),"Non Urgent")</f>
        <v>Non Urgent</v>
      </c>
      <c r="P3" s="7">
        <f>IFERROR(__xludf.DUMMYFUNCTION("""COMPUTED_VALUE"""),45682.4666993287)</f>
        <v>45682.4667</v>
      </c>
    </row>
    <row r="4">
      <c r="A4" s="4">
        <f>IFERROR(__xludf.DUMMYFUNCTION("""COMPUTED_VALUE"""),45679.489123321764)</f>
        <v>45679.48912</v>
      </c>
      <c r="B4" s="3" t="str">
        <f>IFERROR(__xludf.DUMMYFUNCTION("""COMPUTED_VALUE"""),"MOBBR0002")</f>
        <v>MOBBR0002</v>
      </c>
      <c r="C4" s="3" t="str">
        <f>IFERROR(__xludf.DUMMYFUNCTION("""COMPUTED_VALUE"""),"Consumable")</f>
        <v>Consumable</v>
      </c>
      <c r="D4" s="3" t="str">
        <f>IFERROR(__xludf.DUMMYFUNCTION("""COMPUTED_VALUE"""),"-")</f>
        <v>-</v>
      </c>
      <c r="E4" s="3" t="str">
        <f>IFERROR(__xludf.DUMMYFUNCTION("""COMPUTED_VALUE"""),"Plambing Building")</f>
        <v>Plambing Building</v>
      </c>
      <c r="F4" s="3" t="str">
        <f>IFERROR(__xludf.DUMMYFUNCTION("""COMPUTED_VALUE"""),"Fitting PVC - Sock PVC 2.5""")</f>
        <v>Fitting PVC - Sock PVC 2.5"</v>
      </c>
      <c r="G4" s="3" t="str">
        <f>IFERROR(__xludf.DUMMYFUNCTION("""COMPUTED_VALUE"""),"Fitting PVC - Sock PVC 2.5""")</f>
        <v>Fitting PVC - Sock PVC 2.5"</v>
      </c>
      <c r="H4" s="3" t="str">
        <f>IFERROR(__xludf.DUMMYFUNCTION("""COMPUTED_VALUE"""),"Rucika")</f>
        <v>Rucika</v>
      </c>
      <c r="I4" s="3">
        <f>IFERROR(__xludf.DUMMYFUNCTION("""COMPUTED_VALUE"""),4.0)</f>
        <v>4</v>
      </c>
      <c r="J4" s="3" t="str">
        <f>IFERROR(__xludf.DUMMYFUNCTION("""COMPUTED_VALUE"""),"Pcs")</f>
        <v>Pcs</v>
      </c>
      <c r="K4" s="5" t="str">
        <f>IFERROR(__xludf.DUMMYFUNCTION("""COMPUTED_VALUE"""),"https://www.tokopedia.com/rajasambungan/sock-aw-2-5-inch-shock-tanpa-drat-fitting-pralon-soket-pvc-rucika")</f>
        <v>https://www.tokopedia.com/rajasambungan/sock-aw-2-5-inch-shock-tanpa-drat-fitting-pralon-soket-pvc-rucika</v>
      </c>
      <c r="L4" s="3" t="str">
        <f>IFERROR(__xludf.DUMMYFUNCTION("""COMPUTED_VALUE"""),"-")</f>
        <v>-</v>
      </c>
      <c r="M4" s="3" t="str">
        <f>IFERROR(__xludf.DUMMYFUNCTION("""COMPUTED_VALUE"""),"Approve")</f>
        <v>Approve</v>
      </c>
      <c r="N4" s="3" t="str">
        <f>IFERROR(__xludf.DUMMYFUNCTION("""COMPUTED_VALUE"""),"Normal")</f>
        <v>Normal</v>
      </c>
      <c r="O4" s="3" t="str">
        <f>IFERROR(__xludf.DUMMYFUNCTION("""COMPUTED_VALUE"""),"Non Urgent")</f>
        <v>Non Urgent</v>
      </c>
      <c r="P4" s="7">
        <f>IFERROR(__xludf.DUMMYFUNCTION("""COMPUTED_VALUE"""),45682.466855983796)</f>
        <v>45682.46686</v>
      </c>
    </row>
    <row r="5">
      <c r="A5" s="4">
        <f>IFERROR(__xludf.DUMMYFUNCTION("""COMPUTED_VALUE"""),45679.49178275463)</f>
        <v>45679.49178</v>
      </c>
      <c r="B5" s="3" t="str">
        <f>IFERROR(__xludf.DUMMYFUNCTION("""COMPUTED_VALUE"""),"MOBBR0003")</f>
        <v>MOBBR0003</v>
      </c>
      <c r="C5" s="3" t="str">
        <f>IFERROR(__xludf.DUMMYFUNCTION("""COMPUTED_VALUE"""),"Consumable")</f>
        <v>Consumable</v>
      </c>
      <c r="D5" s="3" t="str">
        <f>IFERROR(__xludf.DUMMYFUNCTION("""COMPUTED_VALUE"""),"-")</f>
        <v>-</v>
      </c>
      <c r="E5" s="3" t="str">
        <f>IFERROR(__xludf.DUMMYFUNCTION("""COMPUTED_VALUE"""),"Plambing Building")</f>
        <v>Plambing Building</v>
      </c>
      <c r="F5" s="3" t="str">
        <f>IFERROR(__xludf.DUMMYFUNCTION("""COMPUTED_VALUE"""),"Fitting PVC - Tee PVC 1.5""")</f>
        <v>Fitting PVC - Tee PVC 1.5"</v>
      </c>
      <c r="G5" s="3" t="str">
        <f>IFERROR(__xludf.DUMMYFUNCTION("""COMPUTED_VALUE"""),"Fitting PVC - Tee PVC 1.5""")</f>
        <v>Fitting PVC - Tee PVC 1.5"</v>
      </c>
      <c r="H5" s="3" t="str">
        <f>IFERROR(__xludf.DUMMYFUNCTION("""COMPUTED_VALUE"""),"Rucika")</f>
        <v>Rucika</v>
      </c>
      <c r="I5" s="3">
        <f>IFERROR(__xludf.DUMMYFUNCTION("""COMPUTED_VALUE"""),4.0)</f>
        <v>4</v>
      </c>
      <c r="J5" s="3" t="str">
        <f>IFERROR(__xludf.DUMMYFUNCTION("""COMPUTED_VALUE"""),"Pcs")</f>
        <v>Pcs</v>
      </c>
      <c r="K5" s="5" t="str">
        <f>IFERROR(__xludf.DUMMYFUNCTION("""COMPUTED_VALUE"""),"https://www.tokopedia.com/m88-cibubur/tee-1-1-2-inch-rucika-d-1-5-1-5-pvc-sambungan-pipa")</f>
        <v>https://www.tokopedia.com/m88-cibubur/tee-1-1-2-inch-rucika-d-1-5-1-5-pvc-sambungan-pipa</v>
      </c>
      <c r="L5" s="3" t="str">
        <f>IFERROR(__xludf.DUMMYFUNCTION("""COMPUTED_VALUE"""),"-")</f>
        <v>-</v>
      </c>
      <c r="M5" s="3" t="str">
        <f>IFERROR(__xludf.DUMMYFUNCTION("""COMPUTED_VALUE"""),"Approve")</f>
        <v>Approve</v>
      </c>
      <c r="N5" s="3" t="str">
        <f>IFERROR(__xludf.DUMMYFUNCTION("""COMPUTED_VALUE"""),"Normal")</f>
        <v>Normal</v>
      </c>
      <c r="O5" s="3" t="str">
        <f>IFERROR(__xludf.DUMMYFUNCTION("""COMPUTED_VALUE"""),"Non Urgent")</f>
        <v>Non Urgent</v>
      </c>
      <c r="P5" s="7">
        <f>IFERROR(__xludf.DUMMYFUNCTION("""COMPUTED_VALUE"""),45682.46700321759)</f>
        <v>45682.467</v>
      </c>
    </row>
    <row r="6">
      <c r="A6" s="4">
        <f>IFERROR(__xludf.DUMMYFUNCTION("""COMPUTED_VALUE"""),45679.49250216435)</f>
        <v>45679.4925</v>
      </c>
      <c r="B6" s="3" t="str">
        <f>IFERROR(__xludf.DUMMYFUNCTION("""COMPUTED_VALUE"""),"MOBBR0004")</f>
        <v>MOBBR0004</v>
      </c>
      <c r="C6" s="3" t="str">
        <f>IFERROR(__xludf.DUMMYFUNCTION("""COMPUTED_VALUE"""),"Consumable")</f>
        <v>Consumable</v>
      </c>
      <c r="D6" s="3" t="str">
        <f>IFERROR(__xludf.DUMMYFUNCTION("""COMPUTED_VALUE"""),"-")</f>
        <v>-</v>
      </c>
      <c r="E6" s="3" t="str">
        <f>IFERROR(__xludf.DUMMYFUNCTION("""COMPUTED_VALUE"""),"Plambing Building")</f>
        <v>Plambing Building</v>
      </c>
      <c r="F6" s="3" t="str">
        <f>IFERROR(__xludf.DUMMYFUNCTION("""COMPUTED_VALUE"""),"Fitting PVC - Tee PVC 2.5""")</f>
        <v>Fitting PVC - Tee PVC 2.5"</v>
      </c>
      <c r="G6" s="3" t="str">
        <f>IFERROR(__xludf.DUMMYFUNCTION("""COMPUTED_VALUE"""),"Fitting PVC - Tee PVC 2.5""")</f>
        <v>Fitting PVC - Tee PVC 2.5"</v>
      </c>
      <c r="H6" s="3" t="str">
        <f>IFERROR(__xludf.DUMMYFUNCTION("""COMPUTED_VALUE"""),"Rucika")</f>
        <v>Rucika</v>
      </c>
      <c r="I6" s="3">
        <f>IFERROR(__xludf.DUMMYFUNCTION("""COMPUTED_VALUE"""),4.0)</f>
        <v>4</v>
      </c>
      <c r="J6" s="3" t="str">
        <f>IFERROR(__xludf.DUMMYFUNCTION("""COMPUTED_VALUE"""),"Pcs")</f>
        <v>Pcs</v>
      </c>
      <c r="K6" s="5" t="str">
        <f>IFERROR(__xludf.DUMMYFUNCTION("""COMPUTED_VALUE"""),"https://www.tokopedia.com/lajiah2/tee-pvc-d-2-5-inch-sambungan-fitting-pipa-pvc-t-2-5-inci-in-cabang-3?extParam=ivf%3Dfalse%26keyword%3Dpipa-2-5%26src%3Dsearch&amp;refined=true")</f>
        <v>https://www.tokopedia.com/lajiah2/tee-pvc-d-2-5-inch-sambungan-fitting-pipa-pvc-t-2-5-inci-in-cabang-3?extParam=ivf%3Dfalse%26keyword%3Dpipa-2-5%26src%3Dsearch&amp;refined=true</v>
      </c>
      <c r="L6" s="3" t="str">
        <f>IFERROR(__xludf.DUMMYFUNCTION("""COMPUTED_VALUE"""),"-")</f>
        <v>-</v>
      </c>
      <c r="M6" s="3" t="str">
        <f>IFERROR(__xludf.DUMMYFUNCTION("""COMPUTED_VALUE"""),"Approve")</f>
        <v>Approve</v>
      </c>
      <c r="N6" s="3" t="str">
        <f>IFERROR(__xludf.DUMMYFUNCTION("""COMPUTED_VALUE"""),"Normal")</f>
        <v>Normal</v>
      </c>
      <c r="O6" s="3" t="str">
        <f>IFERROR(__xludf.DUMMYFUNCTION("""COMPUTED_VALUE"""),"Non Urgent")</f>
        <v>Non Urgent</v>
      </c>
      <c r="P6" s="7">
        <f>IFERROR(__xludf.DUMMYFUNCTION("""COMPUTED_VALUE"""),45682.467155694445)</f>
        <v>45682.46716</v>
      </c>
    </row>
    <row r="7">
      <c r="A7" s="4">
        <f>IFERROR(__xludf.DUMMYFUNCTION("""COMPUTED_VALUE"""),45679.493272615735)</f>
        <v>45679.49327</v>
      </c>
      <c r="B7" s="3" t="str">
        <f>IFERROR(__xludf.DUMMYFUNCTION("""COMPUTED_VALUE"""),"MOBBR0005")</f>
        <v>MOBBR0005</v>
      </c>
      <c r="C7" s="3" t="str">
        <f>IFERROR(__xludf.DUMMYFUNCTION("""COMPUTED_VALUE"""),"Consumable")</f>
        <v>Consumable</v>
      </c>
      <c r="D7" s="3" t="str">
        <f>IFERROR(__xludf.DUMMYFUNCTION("""COMPUTED_VALUE"""),"-")</f>
        <v>-</v>
      </c>
      <c r="E7" s="3" t="str">
        <f>IFERROR(__xludf.DUMMYFUNCTION("""COMPUTED_VALUE"""),"Plambing Building")</f>
        <v>Plambing Building</v>
      </c>
      <c r="F7" s="3" t="str">
        <f>IFERROR(__xludf.DUMMYFUNCTION("""COMPUTED_VALUE"""),"Fitting PVC - Water Mur PVC 2.5""")</f>
        <v>Fitting PVC - Water Mur PVC 2.5"</v>
      </c>
      <c r="G7" s="3" t="str">
        <f>IFERROR(__xludf.DUMMYFUNCTION("""COMPUTED_VALUE"""),"Fitting PVC - Water Mur PVC 2.5""")</f>
        <v>Fitting PVC - Water Mur PVC 2.5"</v>
      </c>
      <c r="H7" s="3" t="str">
        <f>IFERROR(__xludf.DUMMYFUNCTION("""COMPUTED_VALUE"""),"Rucika")</f>
        <v>Rucika</v>
      </c>
      <c r="I7" s="3">
        <f>IFERROR(__xludf.DUMMYFUNCTION("""COMPUTED_VALUE"""),4.0)</f>
        <v>4</v>
      </c>
      <c r="J7" s="3" t="str">
        <f>IFERROR(__xludf.DUMMYFUNCTION("""COMPUTED_VALUE"""),"Pcs")</f>
        <v>Pcs</v>
      </c>
      <c r="K7" s="5" t="str">
        <f>IFERROR(__xludf.DUMMYFUNCTION("""COMPUTED_VALUE"""),"https://www.monotaro.id/items/s044154165.html?utm_source=google&amp;utm_medium=pla&amp;utm_campaign=1672206402&amp;utm_content=88187085595&amp;utm_term=cpcless_500_more1min_more3_clicks_noclick_others&amp;gad_source=4&amp;gclid=Cj0KCQiAy8K8BhCZARIsAKJ8sfR3JheFG81w58bLuvHbdKIN7I_"&amp;"TZtvV_FDTPiTS5yfIPuawtYGj0wgaAsBLEALw_wcB")</f>
        <v>https://www.monotaro.id/items/s044154165.html?utm_source=google&amp;utm_medium=pla&amp;utm_campaign=1672206402&amp;utm_content=88187085595&amp;utm_term=cpcless_500_more1min_more3_clicks_noclick_others&amp;gad_source=4&amp;gclid=Cj0KCQiAy8K8BhCZARIsAKJ8sfR3JheFG81w58bLuvHbdKIN7I_TZtvV_FDTPiTS5yfIPuawtYGj0wgaAsBLEALw_wcB</v>
      </c>
      <c r="L7" s="3" t="str">
        <f>IFERROR(__xludf.DUMMYFUNCTION("""COMPUTED_VALUE"""),"-")</f>
        <v>-</v>
      </c>
      <c r="M7" s="3" t="str">
        <f>IFERROR(__xludf.DUMMYFUNCTION("""COMPUTED_VALUE"""),"Approve")</f>
        <v>Approve</v>
      </c>
      <c r="N7" s="3" t="str">
        <f>IFERROR(__xludf.DUMMYFUNCTION("""COMPUTED_VALUE"""),"Normal")</f>
        <v>Normal</v>
      </c>
      <c r="O7" s="3" t="str">
        <f>IFERROR(__xludf.DUMMYFUNCTION("""COMPUTED_VALUE"""),"Non Urgent")</f>
        <v>Non Urgent</v>
      </c>
      <c r="P7" s="7">
        <f>IFERROR(__xludf.DUMMYFUNCTION("""COMPUTED_VALUE"""),45682.46730909722)</f>
        <v>45682.46731</v>
      </c>
    </row>
    <row r="8">
      <c r="A8" s="4">
        <f>IFERROR(__xludf.DUMMYFUNCTION("""COMPUTED_VALUE"""),45679.494418240734)</f>
        <v>45679.49442</v>
      </c>
      <c r="B8" s="3" t="str">
        <f>IFERROR(__xludf.DUMMYFUNCTION("""COMPUTED_VALUE"""),"MOBBR0006")</f>
        <v>MOBBR0006</v>
      </c>
      <c r="C8" s="3" t="str">
        <f>IFERROR(__xludf.DUMMYFUNCTION("""COMPUTED_VALUE"""),"Consumable")</f>
        <v>Consumable</v>
      </c>
      <c r="D8" s="3" t="str">
        <f>IFERROR(__xludf.DUMMYFUNCTION("""COMPUTED_VALUE"""),"-")</f>
        <v>-</v>
      </c>
      <c r="E8" s="3" t="str">
        <f>IFERROR(__xludf.DUMMYFUNCTION("""COMPUTED_VALUE"""),"Plambing Building")</f>
        <v>Plambing Building</v>
      </c>
      <c r="F8" s="3" t="str">
        <f>IFERROR(__xludf.DUMMYFUNCTION("""COMPUTED_VALUE"""),"Fitting PVC - Water Mur PVC 1""")</f>
        <v>Fitting PVC - Water Mur PVC 1"</v>
      </c>
      <c r="G8" s="3" t="str">
        <f>IFERROR(__xludf.DUMMYFUNCTION("""COMPUTED_VALUE"""),"Fitting PVC - Water Mur PVC 1""")</f>
        <v>Fitting PVC - Water Mur PVC 1"</v>
      </c>
      <c r="H8" s="3" t="str">
        <f>IFERROR(__xludf.DUMMYFUNCTION("""COMPUTED_VALUE"""),"Rucika")</f>
        <v>Rucika</v>
      </c>
      <c r="I8" s="3">
        <f>IFERROR(__xludf.DUMMYFUNCTION("""COMPUTED_VALUE"""),4.0)</f>
        <v>4</v>
      </c>
      <c r="J8" s="3" t="str">
        <f>IFERROR(__xludf.DUMMYFUNCTION("""COMPUTED_VALUE"""),"Pcs")</f>
        <v>Pcs</v>
      </c>
      <c r="K8" s="5" t="str">
        <f>IFERROR(__xludf.DUMMYFUNCTION("""COMPUTED_VALUE"""),"https://www.monotaro.id/items/s044355524.html?utm_source=google&amp;utm_medium=pla&amp;utm_campaign=1672206402&amp;utm_content=88187085595&amp;utm_term=cpcless_500_more1min_more3_clicks_noclick_badbrand&amp;gad_source=4&amp;gclid=Cj0KCQiAy8K8BhCZARIsAKJ8sfQfokzSeLh_STV_PgW4TRj7m"&amp;"hdErFRMIaQsqLWbD6nTW0OekKbuSa8aAh6qEALw_wcB")</f>
        <v>https://www.monotaro.id/items/s044355524.html?utm_source=google&amp;utm_medium=pla&amp;utm_campaign=1672206402&amp;utm_content=88187085595&amp;utm_term=cpcless_500_more1min_more3_clicks_noclick_badbrand&amp;gad_source=4&amp;gclid=Cj0KCQiAy8K8BhCZARIsAKJ8sfQfokzSeLh_STV_PgW4TRj7mhdErFRMIaQsqLWbD6nTW0OekKbuSa8aAh6qEALw_wcB</v>
      </c>
      <c r="L8" s="3" t="str">
        <f>IFERROR(__xludf.DUMMYFUNCTION("""COMPUTED_VALUE"""),"-")</f>
        <v>-</v>
      </c>
      <c r="M8" s="3" t="str">
        <f>IFERROR(__xludf.DUMMYFUNCTION("""COMPUTED_VALUE"""),"Approve")</f>
        <v>Approve</v>
      </c>
      <c r="N8" s="3" t="str">
        <f>IFERROR(__xludf.DUMMYFUNCTION("""COMPUTED_VALUE"""),"Normal")</f>
        <v>Normal</v>
      </c>
      <c r="O8" s="3" t="str">
        <f>IFERROR(__xludf.DUMMYFUNCTION("""COMPUTED_VALUE"""),"Non Urgent")</f>
        <v>Non Urgent</v>
      </c>
      <c r="P8" s="7">
        <f>IFERROR(__xludf.DUMMYFUNCTION("""COMPUTED_VALUE"""),45682.467761215274)</f>
        <v>45682.46776</v>
      </c>
    </row>
    <row r="9">
      <c r="A9" s="4">
        <f>IFERROR(__xludf.DUMMYFUNCTION("""COMPUTED_VALUE"""),45679.50596162037)</f>
        <v>45679.50596</v>
      </c>
      <c r="B9" s="3" t="str">
        <f>IFERROR(__xludf.DUMMYFUNCTION("""COMPUTED_VALUE"""),"MOBBR0007")</f>
        <v>MOBBR0007</v>
      </c>
      <c r="C9" s="3" t="str">
        <f>IFERROR(__xludf.DUMMYFUNCTION("""COMPUTED_VALUE"""),"Consumable")</f>
        <v>Consumable</v>
      </c>
      <c r="D9" s="3" t="str">
        <f>IFERROR(__xludf.DUMMYFUNCTION("""COMPUTED_VALUE"""),"-")</f>
        <v>-</v>
      </c>
      <c r="E9" s="3" t="str">
        <f>IFERROR(__xludf.DUMMYFUNCTION("""COMPUTED_VALUE"""),"Ruang Gas QC")</f>
        <v>Ruang Gas QC</v>
      </c>
      <c r="F9" s="3" t="str">
        <f>IFERROR(__xludf.DUMMYFUNCTION("""COMPUTED_VALUE"""),"Regulator Gas Helium")</f>
        <v>Regulator Gas Helium</v>
      </c>
      <c r="G9" s="3" t="str">
        <f>IFERROR(__xludf.DUMMYFUNCTION("""COMPUTED_VALUE"""),"Morris Regulator Harris Two Stages 96-15M-HE Helium")</f>
        <v>Morris Regulator Harris Two Stages 96-15M-HE Helium</v>
      </c>
      <c r="H9" s="3" t="str">
        <f>IFERROR(__xludf.DUMMYFUNCTION("""COMPUTED_VALUE"""),"Morris")</f>
        <v>Morris</v>
      </c>
      <c r="I9" s="3">
        <f>IFERROR(__xludf.DUMMYFUNCTION("""COMPUTED_VALUE"""),1.0)</f>
        <v>1</v>
      </c>
      <c r="J9" s="3" t="str">
        <f>IFERROR(__xludf.DUMMYFUNCTION("""COMPUTED_VALUE"""),"Pcs")</f>
        <v>Pcs</v>
      </c>
      <c r="K9" s="5" t="str">
        <f>IFERROR(__xludf.DUMMYFUNCTION("""COMPUTED_VALUE"""),"https://www.monotaro.id/s013385101.html")</f>
        <v>https://www.monotaro.id/s013385101.html</v>
      </c>
      <c r="L9" s="3" t="str">
        <f>IFERROR(__xludf.DUMMYFUNCTION("""COMPUTED_VALUE"""),"-")</f>
        <v>-</v>
      </c>
      <c r="M9" s="3" t="str">
        <f>IFERROR(__xludf.DUMMYFUNCTION("""COMPUTED_VALUE"""),"Approve")</f>
        <v>Approve</v>
      </c>
      <c r="N9" s="3" t="str">
        <f>IFERROR(__xludf.DUMMYFUNCTION("""COMPUTED_VALUE"""),"Normal")</f>
        <v>Normal</v>
      </c>
      <c r="O9" s="3" t="str">
        <f>IFERROR(__xludf.DUMMYFUNCTION("""COMPUTED_VALUE"""),"Non Urgent")</f>
        <v>Non Urgent</v>
      </c>
      <c r="P9" s="7">
        <f>IFERROR(__xludf.DUMMYFUNCTION("""COMPUTED_VALUE"""),45682.468397488425)</f>
        <v>45682.4684</v>
      </c>
    </row>
    <row r="10">
      <c r="A10" s="4">
        <f>IFERROR(__xludf.DUMMYFUNCTION("""COMPUTED_VALUE"""),45679.50860945601)</f>
        <v>45679.50861</v>
      </c>
      <c r="B10" s="3" t="str">
        <f>IFERROR(__xludf.DUMMYFUNCTION("""COMPUTED_VALUE"""),"MOBBR0008")</f>
        <v>MOBBR0008</v>
      </c>
      <c r="C10" s="3" t="str">
        <f>IFERROR(__xludf.DUMMYFUNCTION("""COMPUTED_VALUE"""),"Consumable")</f>
        <v>Consumable</v>
      </c>
      <c r="D10" s="3" t="str">
        <f>IFERROR(__xludf.DUMMYFUNCTION("""COMPUTED_VALUE"""),"-")</f>
        <v>-</v>
      </c>
      <c r="E10" s="3" t="str">
        <f>IFERROR(__xludf.DUMMYFUNCTION("""COMPUTED_VALUE"""),"Plambing Building")</f>
        <v>Plambing Building</v>
      </c>
      <c r="F10" s="3" t="str">
        <f>IFERROR(__xludf.DUMMYFUNCTION("""COMPUTED_VALUE"""),"Fitting PVC - Reducer PVC 1"" - 2""")</f>
        <v>Fitting PVC - Reducer PVC 1" - 2"</v>
      </c>
      <c r="G10" s="3" t="str">
        <f>IFERROR(__xludf.DUMMYFUNCTION("""COMPUTED_VALUE"""),"Fitting PVC - Reducer PVC 1"" - 2""")</f>
        <v>Fitting PVC - Reducer PVC 1" - 2"</v>
      </c>
      <c r="H10" s="3" t="str">
        <f>IFERROR(__xludf.DUMMYFUNCTION("""COMPUTED_VALUE"""),"Rucika")</f>
        <v>Rucika</v>
      </c>
      <c r="I10" s="3">
        <f>IFERROR(__xludf.DUMMYFUNCTION("""COMPUTED_VALUE"""),4.0)</f>
        <v>4</v>
      </c>
      <c r="J10" s="3" t="str">
        <f>IFERROR(__xludf.DUMMYFUNCTION("""COMPUTED_VALUE"""),"Pcs")</f>
        <v>Pcs</v>
      </c>
      <c r="K10" s="5" t="str">
        <f>IFERROR(__xludf.DUMMYFUNCTION("""COMPUTED_VALUE"""),"https://www.tokopedia.com/depibangunan/reducing-socket-vsok-1-x-1-2-inch-aw-rucika-fitting-pvc-vlok-sok")</f>
        <v>https://www.tokopedia.com/depibangunan/reducing-socket-vsok-1-x-1-2-inch-aw-rucika-fitting-pvc-vlok-sok</v>
      </c>
      <c r="L10" s="3" t="str">
        <f>IFERROR(__xludf.DUMMYFUNCTION("""COMPUTED_VALUE"""),"-")</f>
        <v>-</v>
      </c>
      <c r="M10" s="3" t="str">
        <f>IFERROR(__xludf.DUMMYFUNCTION("""COMPUTED_VALUE"""),"Approve")</f>
        <v>Approve</v>
      </c>
      <c r="N10" s="3" t="str">
        <f>IFERROR(__xludf.DUMMYFUNCTION("""COMPUTED_VALUE"""),"Normal")</f>
        <v>Normal</v>
      </c>
      <c r="O10" s="3" t="str">
        <f>IFERROR(__xludf.DUMMYFUNCTION("""COMPUTED_VALUE"""),"Non Urgent")</f>
        <v>Non Urgent</v>
      </c>
      <c r="P10" s="7">
        <f>IFERROR(__xludf.DUMMYFUNCTION("""COMPUTED_VALUE"""),45682.46854090277)</f>
        <v>45682.46854</v>
      </c>
    </row>
    <row r="11">
      <c r="A11" s="4">
        <f>IFERROR(__xludf.DUMMYFUNCTION("""COMPUTED_VALUE"""),45679.51542798611)</f>
        <v>45679.51543</v>
      </c>
      <c r="B11" s="3" t="str">
        <f>IFERROR(__xludf.DUMMYFUNCTION("""COMPUTED_VALUE"""),"MOBBR0009")</f>
        <v>MOBBR0009</v>
      </c>
      <c r="C11" s="3" t="str">
        <f>IFERROR(__xludf.DUMMYFUNCTION("""COMPUTED_VALUE"""),"EJO")</f>
        <v>EJO</v>
      </c>
      <c r="D11" s="3" t="str">
        <f>IFERROR(__xludf.DUMMYFUNCTION("""COMPUTED_VALUE"""),"-")</f>
        <v>-</v>
      </c>
      <c r="E11" s="3" t="str">
        <f>IFERROR(__xludf.DUMMYFUNCTION("""COMPUTED_VALUE"""),"Intercom Wireless Office WH")</f>
        <v>Intercom Wireless Office WH</v>
      </c>
      <c r="F11" s="3" t="str">
        <f>IFERROR(__xludf.DUMMYFUNCTION("""COMPUTED_VALUE"""),"Intercom Wireless")</f>
        <v>Intercom Wireless</v>
      </c>
      <c r="G11" s="3" t="str">
        <f>IFERROR(__xludf.DUMMYFUNCTION("""COMPUTED_VALUE"""),"Commax Intercom WI-4C ")</f>
        <v>Commax Intercom WI-4C </v>
      </c>
      <c r="H11" s="3" t="str">
        <f>IFERROR(__xludf.DUMMYFUNCTION("""COMPUTED_VALUE"""),"Commax")</f>
        <v>Commax</v>
      </c>
      <c r="I11" s="3">
        <f>IFERROR(__xludf.DUMMYFUNCTION("""COMPUTED_VALUE"""),2.0)</f>
        <v>2</v>
      </c>
      <c r="J11" s="3" t="str">
        <f>IFERROR(__xludf.DUMMYFUNCTION("""COMPUTED_VALUE"""),"Pcs")</f>
        <v>Pcs</v>
      </c>
      <c r="K11" s="5" t="str">
        <f>IFERROR(__xludf.DUMMYFUNCTION("""COMPUTED_VALUE"""),"https://www.tokopedia.com/onlinekios/commax-wi-4c-sepasang-intercom-wireless?utm_source=google&amp;utm_medium=organic&amp;utm_campaign=pdp")</f>
        <v>https://www.tokopedia.com/onlinekios/commax-wi-4c-sepasang-intercom-wireless?utm_source=google&amp;utm_medium=organic&amp;utm_campaign=pdp</v>
      </c>
      <c r="L11" s="3" t="str">
        <f>IFERROR(__xludf.DUMMYFUNCTION("""COMPUTED_VALUE"""),"Hubungi Pak anwar 089510517774")</f>
        <v>Hubungi Pak anwar 089510517774</v>
      </c>
      <c r="M11" s="3" t="str">
        <f>IFERROR(__xludf.DUMMYFUNCTION("""COMPUTED_VALUE"""),"Approve")</f>
        <v>Approve</v>
      </c>
      <c r="N11" s="3" t="str">
        <f>IFERROR(__xludf.DUMMYFUNCTION("""COMPUTED_VALUE"""),"Normal")</f>
        <v>Normal</v>
      </c>
      <c r="O11" s="3" t="str">
        <f>IFERROR(__xludf.DUMMYFUNCTION("""COMPUTED_VALUE"""),"Non Urgent")</f>
        <v>Non Urgent</v>
      </c>
      <c r="P11" s="7">
        <f>IFERROR(__xludf.DUMMYFUNCTION("""COMPUTED_VALUE"""),45682.47072065972)</f>
        <v>45682.47072</v>
      </c>
    </row>
    <row r="12">
      <c r="A12" s="4">
        <f>IFERROR(__xludf.DUMMYFUNCTION("""COMPUTED_VALUE"""),45679.59618357639)</f>
        <v>45679.59618</v>
      </c>
      <c r="B12" s="3" t="str">
        <f>IFERROR(__xludf.DUMMYFUNCTION("""COMPUTED_VALUE"""),"ROSBR0003")</f>
        <v>ROSBR0003</v>
      </c>
      <c r="C12" s="3" t="str">
        <f>IFERROR(__xludf.DUMMYFUNCTION("""COMPUTED_VALUE"""),"Consumable")</f>
        <v>Consumable</v>
      </c>
      <c r="D12" s="3" t="str">
        <f>IFERROR(__xludf.DUMMYFUNCTION("""COMPUTED_VALUE"""),"NA")</f>
        <v>NA</v>
      </c>
      <c r="E12" s="3" t="str">
        <f>IFERROR(__xludf.DUMMYFUNCTION("""COMPUTED_VALUE"""),"Capsuling, Tableting, dan Coating")</f>
        <v>Capsuling, Tableting, dan Coating</v>
      </c>
      <c r="F12" s="3" t="str">
        <f>IFERROR(__xludf.DUMMYFUNCTION("""COMPUTED_VALUE"""),"Buckhel ( Kuncian Spanset)")</f>
        <v>Buckhel ( Kuncian Spanset)</v>
      </c>
      <c r="G12" s="3" t="str">
        <f>IFERROR(__xludf.DUMMYFUNCTION("""COMPUTED_VALUE"""),"Buckle CB5 Galvanized Steel Buckle strapping Cordstrap 16MM Hook Tali")</f>
        <v>Buckle CB5 Galvanized Steel Buckle strapping Cordstrap 16MM Hook Tali</v>
      </c>
      <c r="H12" s="3" t="str">
        <f>IFERROR(__xludf.DUMMYFUNCTION("""COMPUTED_VALUE"""),"General")</f>
        <v>General</v>
      </c>
      <c r="I12" s="3">
        <f>IFERROR(__xludf.DUMMYFUNCTION("""COMPUTED_VALUE"""),312.0)</f>
        <v>312</v>
      </c>
      <c r="J12" s="3" t="str">
        <f>IFERROR(__xludf.DUMMYFUNCTION("""COMPUTED_VALUE"""),"pcs")</f>
        <v>pcs</v>
      </c>
      <c r="K12" s="5" t="str">
        <f>IFERROR(__xludf.DUMMYFUNCTION("""COMPUTED_VALUE"""),"https://www.tokopedia.com/pt-longtime/buckle-cb5-galvanized-steel-buckle-strapping-cordstrap-16mm-hook-tali")</f>
        <v>https://www.tokopedia.com/pt-longtime/buckle-cb5-galvanized-steel-buckle-strapping-cordstrap-16mm-hook-tali</v>
      </c>
      <c r="L12" s="5" t="str">
        <f>IFERROR(__xludf.DUMMYFUNCTION("""COMPUTED_VALUE"""),"https://drive.google.com/file/d/1eBvaxc7AjHsaoSnzSdwhswU5OueVqOuq/view?usp=drive_link")</f>
        <v>https://drive.google.com/file/d/1eBvaxc7AjHsaoSnzSdwhswU5OueVqOuq/view?usp=drive_link</v>
      </c>
      <c r="M12" s="3" t="str">
        <f>IFERROR(__xludf.DUMMYFUNCTION("""COMPUTED_VALUE"""),"Approve")</f>
        <v>Approve</v>
      </c>
      <c r="N12" s="3" t="str">
        <f>IFERROR(__xludf.DUMMYFUNCTION("""COMPUTED_VALUE"""),"Normal")</f>
        <v>Normal</v>
      </c>
      <c r="O12" s="3" t="str">
        <f>IFERROR(__xludf.DUMMYFUNCTION("""COMPUTED_VALUE"""),"Non Urgent")</f>
        <v>Non Urgent</v>
      </c>
      <c r="P12" s="7">
        <f>IFERROR(__xludf.DUMMYFUNCTION("""COMPUTED_VALUE"""),45679.64169505787)</f>
        <v>45679.6417</v>
      </c>
    </row>
    <row r="13">
      <c r="A13" s="4">
        <f>IFERROR(__xludf.DUMMYFUNCTION("""COMPUTED_VALUE"""),45679.604100578705)</f>
        <v>45679.6041</v>
      </c>
      <c r="B13" s="3" t="str">
        <f>IFERROR(__xludf.DUMMYFUNCTION("""COMPUTED_VALUE"""),"ROSBR0004")</f>
        <v>ROSBR0004</v>
      </c>
      <c r="C13" s="3" t="str">
        <f>IFERROR(__xludf.DUMMYFUNCTION("""COMPUTED_VALUE"""),"Consumable")</f>
        <v>Consumable</v>
      </c>
      <c r="D13" s="3" t="str">
        <f>IFERROR(__xludf.DUMMYFUNCTION("""COMPUTED_VALUE"""),"NA")</f>
        <v>NA</v>
      </c>
      <c r="E13" s="3" t="str">
        <f>IFERROR(__xludf.DUMMYFUNCTION("""COMPUTED_VALUE"""),"Capsuling, Tableting, dan Coating")</f>
        <v>Capsuling, Tableting, dan Coating</v>
      </c>
      <c r="F13" s="3" t="str">
        <f>IFERROR(__xludf.DUMMYFUNCTION("""COMPUTED_VALUE"""),"Tali Webbing (Spanset)")</f>
        <v>Tali Webbing (Spanset)</v>
      </c>
      <c r="G13" s="3" t="str">
        <f>IFERROR(__xludf.DUMMYFUNCTION("""COMPUTED_VALUE"""),"Tali Webbing ratchet tie down Roll ketebalan 4mm,pjang 50 m")</f>
        <v>Tali Webbing ratchet tie down Roll ketebalan 4mm,pjang 50 m</v>
      </c>
      <c r="H13" s="3" t="str">
        <f>IFERROR(__xludf.DUMMYFUNCTION("""COMPUTED_VALUE"""),"General")</f>
        <v>General</v>
      </c>
      <c r="I13" s="3">
        <f>IFERROR(__xludf.DUMMYFUNCTION("""COMPUTED_VALUE"""),13.0)</f>
        <v>13</v>
      </c>
      <c r="J13" s="3" t="str">
        <f>IFERROR(__xludf.DUMMYFUNCTION("""COMPUTED_VALUE"""),"Roll")</f>
        <v>Roll</v>
      </c>
      <c r="K13" s="5" t="str">
        <f>IFERROR(__xludf.DUMMYFUNCTION("""COMPUTED_VALUE"""),"https://www.tokopedia.com/afnteknik/tali-webbing-ratchet-tie-down-roll-ketebalan-4mm-pjang-50-m")</f>
        <v>https://www.tokopedia.com/afnteknik/tali-webbing-ratchet-tie-down-roll-ketebalan-4mm-pjang-50-m</v>
      </c>
      <c r="L13" s="5" t="str">
        <f>IFERROR(__xludf.DUMMYFUNCTION("""COMPUTED_VALUE"""),"https://drive.google.com/file/d/1hC4f0O07MBcnaiwecavt9yDoV67_K-GE/view?usp=drive_link")</f>
        <v>https://drive.google.com/file/d/1hC4f0O07MBcnaiwecavt9yDoV67_K-GE/view?usp=drive_link</v>
      </c>
      <c r="M13" s="3" t="str">
        <f>IFERROR(__xludf.DUMMYFUNCTION("""COMPUTED_VALUE"""),"Approve")</f>
        <v>Approve</v>
      </c>
      <c r="N13" s="3" t="str">
        <f>IFERROR(__xludf.DUMMYFUNCTION("""COMPUTED_VALUE"""),"Normal")</f>
        <v>Normal</v>
      </c>
      <c r="O13" s="3" t="str">
        <f>IFERROR(__xludf.DUMMYFUNCTION("""COMPUTED_VALUE"""),"Non Urgent")</f>
        <v>Non Urgent</v>
      </c>
      <c r="P13" s="7">
        <f>IFERROR(__xludf.DUMMYFUNCTION("""COMPUTED_VALUE"""),45679.641960636574)</f>
        <v>45679.64196</v>
      </c>
    </row>
    <row r="14">
      <c r="A14" s="4">
        <f>IFERROR(__xludf.DUMMYFUNCTION("""COMPUTED_VALUE"""),45680.382373796296)</f>
        <v>45680.38237</v>
      </c>
      <c r="B14" s="3" t="str">
        <f>IFERROR(__xludf.DUMMYFUNCTION("""COMPUTED_VALUE"""),"MOBBR0010")</f>
        <v>MOBBR0010</v>
      </c>
      <c r="C14" s="3" t="str">
        <f>IFERROR(__xludf.DUMMYFUNCTION("""COMPUTED_VALUE"""),"Consumable")</f>
        <v>Consumable</v>
      </c>
      <c r="D14" s="3" t="str">
        <f>IFERROR(__xludf.DUMMYFUNCTION("""COMPUTED_VALUE"""),"-")</f>
        <v>-</v>
      </c>
      <c r="E14" s="3" t="str">
        <f>IFERROR(__xludf.DUMMYFUNCTION("""COMPUTED_VALUE"""),"Plambing Building")</f>
        <v>Plambing Building</v>
      </c>
      <c r="F14" s="3" t="str">
        <f>IFERROR(__xludf.DUMMYFUNCTION("""COMPUTED_VALUE"""),"Fitting PVC - Water Mur PVC 1.5""")</f>
        <v>Fitting PVC - Water Mur PVC 1.5"</v>
      </c>
      <c r="G14" s="3" t="str">
        <f>IFERROR(__xludf.DUMMYFUNCTION("""COMPUTED_VALUE"""),"Fitting PVC - Water Mur PVC 1.5""")</f>
        <v>Fitting PVC - Water Mur PVC 1.5"</v>
      </c>
      <c r="H14" s="3" t="str">
        <f>IFERROR(__xludf.DUMMYFUNCTION("""COMPUTED_VALUE"""),"Rucika")</f>
        <v>Rucika</v>
      </c>
      <c r="I14" s="3">
        <f>IFERROR(__xludf.DUMMYFUNCTION("""COMPUTED_VALUE"""),4.0)</f>
        <v>4</v>
      </c>
      <c r="J14" s="3" t="str">
        <f>IFERROR(__xludf.DUMMYFUNCTION("""COMPUTED_VALUE"""),"Pcs")</f>
        <v>Pcs</v>
      </c>
      <c r="K14" s="5" t="str">
        <f>IFERROR(__xludf.DUMMYFUNCTION("""COMPUTED_VALUE"""),"https://www.monotaro.id/items/s044355494.html?utm_source=google&amp;utm_medium=pla&amp;utm_campaign=1672206402&amp;utm_content=88187085595&amp;utm_term=cpcless_500_more1min_more3_clicks_noclick_badbrand&amp;gad_source=4&amp;gclid=Cj0KCQiAy8K8BhCZARIsAKJ8sfRH6nJC7tVOQFd2uy58LoYSy"&amp;"sHem5Zy2YQO3wqhAGiFbZYn743OTGcaAoRnEALw_wcB")</f>
        <v>https://www.monotaro.id/items/s044355494.html?utm_source=google&amp;utm_medium=pla&amp;utm_campaign=1672206402&amp;utm_content=88187085595&amp;utm_term=cpcless_500_more1min_more3_clicks_noclick_badbrand&amp;gad_source=4&amp;gclid=Cj0KCQiAy8K8BhCZARIsAKJ8sfRH6nJC7tVOQFd2uy58LoYSysHem5Zy2YQO3wqhAGiFbZYn743OTGcaAoRnEALw_wcB</v>
      </c>
      <c r="L14" s="3" t="str">
        <f>IFERROR(__xludf.DUMMYFUNCTION("""COMPUTED_VALUE"""),"-")</f>
        <v>-</v>
      </c>
      <c r="M14" s="3" t="str">
        <f>IFERROR(__xludf.DUMMYFUNCTION("""COMPUTED_VALUE"""),"Approve")</f>
        <v>Approve</v>
      </c>
      <c r="N14" s="3" t="str">
        <f>IFERROR(__xludf.DUMMYFUNCTION("""COMPUTED_VALUE"""),"Normal")</f>
        <v>Normal</v>
      </c>
      <c r="O14" s="3" t="str">
        <f>IFERROR(__xludf.DUMMYFUNCTION("""COMPUTED_VALUE"""),"Non Urgent")</f>
        <v>Non Urgent</v>
      </c>
      <c r="P14" s="7">
        <f>IFERROR(__xludf.DUMMYFUNCTION("""COMPUTED_VALUE"""),45682.470873645834)</f>
        <v>45682.47087</v>
      </c>
    </row>
    <row r="15">
      <c r="A15" s="4">
        <f>IFERROR(__xludf.DUMMYFUNCTION("""COMPUTED_VALUE"""),45680.383995509255)</f>
        <v>45680.384</v>
      </c>
      <c r="B15" s="3" t="str">
        <f>IFERROR(__xludf.DUMMYFUNCTION("""COMPUTED_VALUE"""),"MOBBR0011")</f>
        <v>MOBBR0011</v>
      </c>
      <c r="C15" s="3" t="str">
        <f>IFERROR(__xludf.DUMMYFUNCTION("""COMPUTED_VALUE"""),"Consumable")</f>
        <v>Consumable</v>
      </c>
      <c r="D15" s="3" t="str">
        <f>IFERROR(__xludf.DUMMYFUNCTION("""COMPUTED_VALUE"""),"-")</f>
        <v>-</v>
      </c>
      <c r="E15" s="3" t="str">
        <f>IFERROR(__xludf.DUMMYFUNCTION("""COMPUTED_VALUE"""),"Plambing Building")</f>
        <v>Plambing Building</v>
      </c>
      <c r="F15" s="3" t="str">
        <f>IFERROR(__xludf.DUMMYFUNCTION("""COMPUTED_VALUE"""),"PVC - Dop 3/4""")</f>
        <v>PVC - Dop 3/4"</v>
      </c>
      <c r="G15" s="3" t="str">
        <f>IFERROR(__xludf.DUMMYFUNCTION("""COMPUTED_VALUE"""),"PVC - Dop 3/4""")</f>
        <v>PVC - Dop 3/4"</v>
      </c>
      <c r="H15" s="3" t="str">
        <f>IFERROR(__xludf.DUMMYFUNCTION("""COMPUTED_VALUE"""),"Rucika")</f>
        <v>Rucika</v>
      </c>
      <c r="I15" s="3">
        <f>IFERROR(__xludf.DUMMYFUNCTION("""COMPUTED_VALUE"""),4.0)</f>
        <v>4</v>
      </c>
      <c r="J15" s="3" t="str">
        <f>IFERROR(__xludf.DUMMYFUNCTION("""COMPUTED_VALUE"""),"Pcs")</f>
        <v>Pcs</v>
      </c>
      <c r="K15" s="5" t="str">
        <f>IFERROR(__xludf.DUMMYFUNCTION("""COMPUTED_VALUE"""),"https://shopee.co.id/product/193832839/8457384467?gads_t_sig=VTJGc2RHVmtYMTlxTFVSVVRrdENkVzBLS2xuUGZzMlQ5NjlFWklmRkZjUU9pQWFXSnBIeTRnYWV3eGVqT2RWR3Q0ZVBSNElESE9Sd3BRQlRhc0ZkK2xlVFVFTm1wRnVhODVrSXpPamUyWjAwWXdHcFZINmRJd0xlUEhOU0pJS0k&amp;gad_source=4&amp;gclid=Cj0"&amp;"KCQiAy8K8BhCZARIsAKJ8sfSVxeEF-f6OUgltFQqg0tuXGCMZSK6CfHpWO7rqVNnAE3JMcqdzzNoaAvlMEALw_wcB")</f>
        <v>https://shopee.co.id/product/193832839/8457384467?gads_t_sig=VTJGc2RHVmtYMTlxTFVSVVRrdENkVzBLS2xuUGZzMlQ5NjlFWklmRkZjUU9pQWFXSnBIeTRnYWV3eGVqT2RWR3Q0ZVBSNElESE9Sd3BRQlRhc0ZkK2xlVFVFTm1wRnVhODVrSXpPamUyWjAwWXdHcFZINmRJd0xlUEhOU0pJS0k&amp;gad_source=4&amp;gclid=Cj0KCQiAy8K8BhCZARIsAKJ8sfSVxeEF-f6OUgltFQqg0tuXGCMZSK6CfHpWO7rqVNnAE3JMcqdzzNoaAvlMEALw_wcB</v>
      </c>
      <c r="L15" s="3" t="str">
        <f>IFERROR(__xludf.DUMMYFUNCTION("""COMPUTED_VALUE"""),"-")</f>
        <v>-</v>
      </c>
      <c r="M15" s="3" t="str">
        <f>IFERROR(__xludf.DUMMYFUNCTION("""COMPUTED_VALUE"""),"Approve")</f>
        <v>Approve</v>
      </c>
      <c r="N15" s="3" t="str">
        <f>IFERROR(__xludf.DUMMYFUNCTION("""COMPUTED_VALUE"""),"Normal")</f>
        <v>Normal</v>
      </c>
      <c r="O15" s="3" t="str">
        <f>IFERROR(__xludf.DUMMYFUNCTION("""COMPUTED_VALUE"""),"Non Urgent")</f>
        <v>Non Urgent</v>
      </c>
      <c r="P15" s="7">
        <f>IFERROR(__xludf.DUMMYFUNCTION("""COMPUTED_VALUE"""),45682.470995868054)</f>
        <v>45682.471</v>
      </c>
    </row>
    <row r="16">
      <c r="A16" s="4">
        <f>IFERROR(__xludf.DUMMYFUNCTION("""COMPUTED_VALUE"""),45684.634351423614)</f>
        <v>45684.63435</v>
      </c>
      <c r="B16" s="3" t="str">
        <f>IFERROR(__xludf.DUMMYFUNCTION("""COMPUTED_VALUE"""),"MOBBR0012")</f>
        <v>MOBBR0012</v>
      </c>
      <c r="C16" s="3" t="str">
        <f>IFERROR(__xludf.DUMMYFUNCTION("""COMPUTED_VALUE"""),"EJO")</f>
        <v>EJO</v>
      </c>
      <c r="D16" s="3" t="str">
        <f>IFERROR(__xludf.DUMMYFUNCTION("""COMPUTED_VALUE"""),"EJO/2025/01/108")</f>
        <v>EJO/2025/01/108</v>
      </c>
      <c r="E16" s="3" t="str">
        <f>IFERROR(__xludf.DUMMYFUNCTION("""COMPUTED_VALUE"""),"Plumbing")</f>
        <v>Plumbing</v>
      </c>
      <c r="F16" s="3" t="str">
        <f>IFERROR(__xludf.DUMMYFUNCTION("""COMPUTED_VALUE"""),"Gate Valve Kitz")</f>
        <v>Gate Valve Kitz</v>
      </c>
      <c r="G16" s="3" t="str">
        <f>IFERROR(__xludf.DUMMYFUNCTION("""COMPUTED_VALUE"""),"Gate Valve Kitz 2 1/2"" ")</f>
        <v>Gate Valve Kitz 2 1/2" </v>
      </c>
      <c r="H16" s="3" t="str">
        <f>IFERROR(__xludf.DUMMYFUNCTION("""COMPUTED_VALUE"""),"KITZ")</f>
        <v>KITZ</v>
      </c>
      <c r="I16" s="3">
        <f>IFERROR(__xludf.DUMMYFUNCTION("""COMPUTED_VALUE"""),2.0)</f>
        <v>2</v>
      </c>
      <c r="J16" s="3" t="str">
        <f>IFERROR(__xludf.DUMMYFUNCTION("""COMPUTED_VALUE"""),"Pcs")</f>
        <v>Pcs</v>
      </c>
      <c r="K16" s="5" t="str">
        <f>IFERROR(__xludf.DUMMYFUNCTION("""COMPUTED_VALUE"""),"https://www.tokopedia.com/valvekitz/gate-valve-2-1-2-inch-kitz-original-japan?utm_source=google&amp;utm_medium=organic&amp;utm_campaign=pdp")</f>
        <v>https://www.tokopedia.com/valvekitz/gate-valve-2-1-2-inch-kitz-original-japan?utm_source=google&amp;utm_medium=organic&amp;utm_campaign=pdp</v>
      </c>
      <c r="L16" s="3" t="str">
        <f>IFERROR(__xludf.DUMMYFUNCTION("""COMPUTED_VALUE"""),"-")</f>
        <v>-</v>
      </c>
      <c r="M16" s="3" t="str">
        <f>IFERROR(__xludf.DUMMYFUNCTION("""COMPUTED_VALUE"""),"Approve")</f>
        <v>Approve</v>
      </c>
      <c r="N16" s="3" t="str">
        <f>IFERROR(__xludf.DUMMYFUNCTION("""COMPUTED_VALUE"""),"Normal")</f>
        <v>Normal</v>
      </c>
      <c r="O16" s="3" t="str">
        <f>IFERROR(__xludf.DUMMYFUNCTION("""COMPUTED_VALUE"""),"Non Urgent")</f>
        <v>Non Urgent</v>
      </c>
      <c r="P16" s="7">
        <f>IFERROR(__xludf.DUMMYFUNCTION("""COMPUTED_VALUE"""),45685.84379293981)</f>
        <v>45685.84379</v>
      </c>
    </row>
    <row r="17">
      <c r="A17" s="4">
        <f>IFERROR(__xludf.DUMMYFUNCTION("""COMPUTED_VALUE"""),45685.50748862268)</f>
        <v>45685.50749</v>
      </c>
      <c r="B17" s="3" t="str">
        <f>IFERROR(__xludf.DUMMYFUNCTION("""COMPUTED_VALUE"""),"ROSBR0005")</f>
        <v>ROSBR0005</v>
      </c>
      <c r="C17" s="3" t="str">
        <f>IFERROR(__xludf.DUMMYFUNCTION("""COMPUTED_VALUE"""),"EJO")</f>
        <v>EJO</v>
      </c>
      <c r="D17" s="3" t="str">
        <f>IFERROR(__xludf.DUMMYFUNCTION("""COMPUTED_VALUE"""),"EJO/2025/01/26")</f>
        <v>EJO/2025/01/26</v>
      </c>
      <c r="E17" s="3" t="str">
        <f>IFERROR(__xludf.DUMMYFUNCTION("""COMPUTED_VALUE"""),"Mixing")</f>
        <v>Mixing</v>
      </c>
      <c r="F17" s="3" t="str">
        <f>IFERROR(__xludf.DUMMYFUNCTION("""COMPUTED_VALUE"""),"Cover Tray Pelindung Tubing ")</f>
        <v>Cover Tray Pelindung Tubing </v>
      </c>
      <c r="G17" s="3" t="str">
        <f>IFERROR(__xludf.DUMMYFUNCTION("""COMPUTED_VALUE"""),"Tray Kabel 30x 50x 1000 mm Pengelasan Plate Mat'l SUS 304")</f>
        <v>Tray Kabel 30x 50x 1000 mm Pengelasan Plate Mat'l SUS 304</v>
      </c>
      <c r="H17" s="3" t="str">
        <f>IFERROR(__xludf.DUMMYFUNCTION("""COMPUTED_VALUE"""),"General")</f>
        <v>General</v>
      </c>
      <c r="I17" s="3">
        <f>IFERROR(__xludf.DUMMYFUNCTION("""COMPUTED_VALUE"""),2.0)</f>
        <v>2</v>
      </c>
      <c r="J17" s="3" t="str">
        <f>IFERROR(__xludf.DUMMYFUNCTION("""COMPUTED_VALUE"""),"Pcs")</f>
        <v>Pcs</v>
      </c>
      <c r="K17" s="5" t="str">
        <f>IFERROR(__xludf.DUMMYFUNCTION("""COMPUTED_VALUE"""),"https://drive.google.com/file/d/1TkNDjWAzuCMnA1K4CWfEoTBYgDHKjKe1/view?usp=drive_link")</f>
        <v>https://drive.google.com/file/d/1TkNDjWAzuCMnA1K4CWfEoTBYgDHKjKe1/view?usp=drive_link</v>
      </c>
      <c r="L17" s="5" t="str">
        <f>IFERROR(__xludf.DUMMYFUNCTION("""COMPUTED_VALUE"""),"https://drive.google.com/file/d/1cpyV30xyHQ171i0SzClFf3CzmunZOKQL/view?usp=drive_link")</f>
        <v>https://drive.google.com/file/d/1cpyV30xyHQ171i0SzClFf3CzmunZOKQL/view?usp=drive_link</v>
      </c>
      <c r="M17" s="3" t="str">
        <f>IFERROR(__xludf.DUMMYFUNCTION("""COMPUTED_VALUE"""),"Approve")</f>
        <v>Approve</v>
      </c>
      <c r="N17" s="3" t="str">
        <f>IFERROR(__xludf.DUMMYFUNCTION("""COMPUTED_VALUE"""),"Normal")</f>
        <v>Normal</v>
      </c>
      <c r="O17" s="3" t="str">
        <f>IFERROR(__xludf.DUMMYFUNCTION("""COMPUTED_VALUE"""),"Non Urgent")</f>
        <v>Non Urgent</v>
      </c>
      <c r="P17" s="7">
        <f>IFERROR(__xludf.DUMMYFUNCTION("""COMPUTED_VALUE"""),45685.560642662036)</f>
        <v>45685.56064</v>
      </c>
    </row>
    <row r="18">
      <c r="A18" s="4">
        <f>IFERROR(__xludf.DUMMYFUNCTION("""COMPUTED_VALUE"""),45685.70989032408)</f>
        <v>45685.70989</v>
      </c>
      <c r="B18" s="3" t="str">
        <f>IFERROR(__xludf.DUMMYFUNCTION("""COMPUTED_VALUE"""),"MRNBR0001")</f>
        <v>MRNBR0001</v>
      </c>
      <c r="C18" s="3" t="str">
        <f>IFERROR(__xludf.DUMMYFUNCTION("""COMPUTED_VALUE"""),"EJO")</f>
        <v>EJO</v>
      </c>
      <c r="D18" s="3" t="str">
        <f>IFERROR(__xludf.DUMMYFUNCTION("""COMPUTED_VALUE"""),"EJO/2024/12/150")</f>
        <v>EJO/2024/12/150</v>
      </c>
      <c r="E18" s="3" t="str">
        <f>IFERROR(__xludf.DUMMYFUNCTION("""COMPUTED_VALUE"""),"Loker sepatu")</f>
        <v>Loker sepatu</v>
      </c>
      <c r="F18" s="3" t="str">
        <f>IFERROR(__xludf.DUMMYFUNCTION("""COMPUTED_VALUE"""),"Exhaust")</f>
        <v>Exhaust</v>
      </c>
      <c r="G18" s="3" t="str">
        <f>IFERROR(__xludf.DUMMYFUNCTION("""COMPUTED_VALUE"""),"24CDQNA")</f>
        <v>24CDQNA</v>
      </c>
      <c r="H18" s="3" t="str">
        <f>IFERROR(__xludf.DUMMYFUNCTION("""COMPUTED_VALUE"""),"KDK")</f>
        <v>KDK</v>
      </c>
      <c r="I18" s="3">
        <f>IFERROR(__xludf.DUMMYFUNCTION("""COMPUTED_VALUE"""),2.0)</f>
        <v>2</v>
      </c>
      <c r="J18" s="3" t="str">
        <f>IFERROR(__xludf.DUMMYFUNCTION("""COMPUTED_VALUE"""),"unit")</f>
        <v>unit</v>
      </c>
      <c r="K18" s="5" t="str">
        <f>IFERROR(__xludf.DUMMYFUNCTION("""COMPUTED_VALUE"""),"https://kdk.co.id/product/detail/24")</f>
        <v>https://kdk.co.id/product/detail/24</v>
      </c>
      <c r="L18" s="3" t="str">
        <f>IFERROR(__xludf.DUMMYFUNCTION("""COMPUTED_VALUE"""),"untuk di loker")</f>
        <v>untuk di loker</v>
      </c>
      <c r="M18" s="3" t="str">
        <f>IFERROR(__xludf.DUMMYFUNCTION("""COMPUTED_VALUE"""),"Approve")</f>
        <v>Approve</v>
      </c>
      <c r="N18" s="3" t="str">
        <f>IFERROR(__xludf.DUMMYFUNCTION("""COMPUTED_VALUE"""),"Normal")</f>
        <v>Normal</v>
      </c>
      <c r="O18" s="3" t="str">
        <f>IFERROR(__xludf.DUMMYFUNCTION("""COMPUTED_VALUE"""),"Non Urgent")</f>
        <v>Non Urgent</v>
      </c>
      <c r="P18" s="7">
        <f>IFERROR(__xludf.DUMMYFUNCTION("""COMPUTED_VALUE"""),45694.63182101852)</f>
        <v>45694.63182</v>
      </c>
    </row>
    <row r="19">
      <c r="A19" s="4">
        <f>IFERROR(__xludf.DUMMYFUNCTION("""COMPUTED_VALUE"""),45688.2731081713)</f>
        <v>45688.27311</v>
      </c>
      <c r="B19" s="3" t="str">
        <f>IFERROR(__xludf.DUMMYFUNCTION("""COMPUTED_VALUE"""),"RIABR0001")</f>
        <v>RIABR0001</v>
      </c>
      <c r="C19" s="3" t="str">
        <f>IFERROR(__xludf.DUMMYFUNCTION("""COMPUTED_VALUE"""),"EJO")</f>
        <v>EJO</v>
      </c>
      <c r="D19" s="3" t="str">
        <f>IFERROR(__xludf.DUMMYFUNCTION("""COMPUTED_VALUE"""),"EJO/2025/01/30")</f>
        <v>EJO/2025/01/30</v>
      </c>
      <c r="E19" s="3" t="str">
        <f>IFERROR(__xludf.DUMMYFUNCTION("""COMPUTED_VALUE"""),"AHU F22")</f>
        <v>AHU F22</v>
      </c>
      <c r="F19" s="3" t="str">
        <f>IFERROR(__xludf.DUMMYFUNCTION("""COMPUTED_VALUE"""),"LCD Inverter")</f>
        <v>LCD Inverter</v>
      </c>
      <c r="G19" s="3" t="str">
        <f>IFERROR(__xludf.DUMMYFUNCTION("""COMPUTED_VALUE"""),"Control Panel LCP 102 Danfoss display inverter keypad")</f>
        <v>Control Panel LCP 102 Danfoss display inverter keypad</v>
      </c>
      <c r="H19" s="3" t="str">
        <f>IFERROR(__xludf.DUMMYFUNCTION("""COMPUTED_VALUE"""),"Danfoss")</f>
        <v>Danfoss</v>
      </c>
      <c r="I19" s="3">
        <f>IFERROR(__xludf.DUMMYFUNCTION("""COMPUTED_VALUE"""),1.0)</f>
        <v>1</v>
      </c>
      <c r="J19" s="3" t="str">
        <f>IFERROR(__xludf.DUMMYFUNCTION("""COMPUTED_VALUE"""),"Pcs")</f>
        <v>Pcs</v>
      </c>
      <c r="K19" s="5" t="str">
        <f>IFERROR(__xludf.DUMMYFUNCTION("""COMPUTED_VALUE"""),"https://www.tokopedia.com/zentama/control-panel-lcp-102-danfoss-display-inverter-kiped?extParam=ivf%3Dfalse%26keyword%3Dlcp+danfoss%26search_id%3D2025013023320395B43E7F03282537D7CP%26src%3Dsearch")</f>
        <v>https://www.tokopedia.com/zentama/control-panel-lcp-102-danfoss-display-inverter-kiped?extParam=ivf%3Dfalse%26keyword%3Dlcp+danfoss%26search_id%3D2025013023320395B43E7F03282537D7CP%26src%3Dsearch</v>
      </c>
      <c r="L19" s="3" t="str">
        <f>IFERROR(__xludf.DUMMYFUNCTION("""COMPUTED_VALUE"""),"LCD Inverter AHU Danfoss Vignet, ini buat gantinya")</f>
        <v>LCD Inverter AHU Danfoss Vignet, ini buat gantinya</v>
      </c>
      <c r="M19" s="3" t="str">
        <f>IFERROR(__xludf.DUMMYFUNCTION("""COMPUTED_VALUE"""),"Approve")</f>
        <v>Approve</v>
      </c>
      <c r="N19" s="3" t="str">
        <f>IFERROR(__xludf.DUMMYFUNCTION("""COMPUTED_VALUE"""),"Normal")</f>
        <v>Normal</v>
      </c>
      <c r="O19" s="3" t="str">
        <f>IFERROR(__xludf.DUMMYFUNCTION("""COMPUTED_VALUE"""),"Non Urgent")</f>
        <v>Non Urgent</v>
      </c>
      <c r="P19" s="7">
        <f>IFERROR(__xludf.DUMMYFUNCTION("""COMPUTED_VALUE"""),45688.94099878472)</f>
        <v>45688.941</v>
      </c>
    </row>
    <row r="20">
      <c r="A20" s="4">
        <f>IFERROR(__xludf.DUMMYFUNCTION("""COMPUTED_VALUE"""),45688.275967395835)</f>
        <v>45688.27597</v>
      </c>
      <c r="B20" s="3" t="str">
        <f>IFERROR(__xludf.DUMMYFUNCTION("""COMPUTED_VALUE"""),"RIABR0002")</f>
        <v>RIABR0002</v>
      </c>
      <c r="C20" s="3" t="str">
        <f>IFERROR(__xludf.DUMMYFUNCTION("""COMPUTED_VALUE"""),"EJO")</f>
        <v>EJO</v>
      </c>
      <c r="D20" s="3" t="str">
        <f>IFERROR(__xludf.DUMMYFUNCTION("""COMPUTED_VALUE"""),"EJO/2025/01/40")</f>
        <v>EJO/2025/01/40</v>
      </c>
      <c r="E20" s="3" t="str">
        <f>IFERROR(__xludf.DUMMYFUNCTION("""COMPUTED_VALUE"""),"AHU B12")</f>
        <v>AHU B12</v>
      </c>
      <c r="F20" s="3" t="str">
        <f>IFERROR(__xludf.DUMMYFUNCTION("""COMPUTED_VALUE"""),"Regin Heater")</f>
        <v>Regin Heater</v>
      </c>
      <c r="G20" s="3" t="str">
        <f>IFERROR(__xludf.DUMMYFUNCTION("""COMPUTED_VALUE"""),"PULSER230X010Electric heating controller for external input signal 0-10 V, 230 V AC or 400 V AC, wall mounting
Electric heating controller for external 0...10 V DC control signal")</f>
        <v>PULSER230X010Electric heating controller for external input signal 0-10 V, 230 V AC or 400 V AC, wall mounting
Electric heating controller for external 0...10 V DC control signal</v>
      </c>
      <c r="H20" s="3" t="str">
        <f>IFERROR(__xludf.DUMMYFUNCTION("""COMPUTED_VALUE"""),"Regin")</f>
        <v>Regin</v>
      </c>
      <c r="I20" s="3">
        <f>IFERROR(__xludf.DUMMYFUNCTION("""COMPUTED_VALUE"""),1.0)</f>
        <v>1</v>
      </c>
      <c r="J20" s="3" t="str">
        <f>IFERROR(__xludf.DUMMYFUNCTION("""COMPUTED_VALUE"""),"Pcs")</f>
        <v>Pcs</v>
      </c>
      <c r="K20" s="5" t="str">
        <f>IFERROR(__xludf.DUMMYFUNCTION("""COMPUTED_VALUE"""),"https://www.regincontrols.com/en/se/products/controllers/electric-heating-controllers/pulser-1-or-2-phase/electric-heating-controller-for-external-input-signal-0-10-v-230-v-ac-or-400-v-ac-wall-mounting-p11457/pulser230x010/")</f>
        <v>https://www.regincontrols.com/en/se/products/controllers/electric-heating-controllers/pulser-1-or-2-phase/electric-heating-controller-for-external-input-signal-0-10-v-230-v-ac-or-400-v-ac-wall-mounting-p11457/pulser230x010/</v>
      </c>
      <c r="L20" s="3" t="str">
        <f>IFERROR(__xludf.DUMMYFUNCTION("""COMPUTED_VALUE"""),"Regin Heater AHU B12 Ada Yang Mati")</f>
        <v>Regin Heater AHU B12 Ada Yang Mati</v>
      </c>
      <c r="M20" s="3" t="str">
        <f>IFERROR(__xludf.DUMMYFUNCTION("""COMPUTED_VALUE"""),"Approve")</f>
        <v>Approve</v>
      </c>
      <c r="N20" s="3" t="str">
        <f>IFERROR(__xludf.DUMMYFUNCTION("""COMPUTED_VALUE"""),"Normal")</f>
        <v>Normal</v>
      </c>
      <c r="O20" s="3" t="str">
        <f>IFERROR(__xludf.DUMMYFUNCTION("""COMPUTED_VALUE"""),"Non Urgent")</f>
        <v>Non Urgent</v>
      </c>
      <c r="P20" s="7">
        <f>IFERROR(__xludf.DUMMYFUNCTION("""COMPUTED_VALUE"""),45688.941593703705)</f>
        <v>45688.94159</v>
      </c>
    </row>
    <row r="21">
      <c r="A21" s="4">
        <f>IFERROR(__xludf.DUMMYFUNCTION("""COMPUTED_VALUE"""),45688.27733950232)</f>
        <v>45688.27734</v>
      </c>
      <c r="B21" s="3" t="str">
        <f>IFERROR(__xludf.DUMMYFUNCTION("""COMPUTED_VALUE"""),"RIABR0003")</f>
        <v>RIABR0003</v>
      </c>
      <c r="C21" s="3" t="str">
        <f>IFERROR(__xludf.DUMMYFUNCTION("""COMPUTED_VALUE"""),"EJO")</f>
        <v>EJO</v>
      </c>
      <c r="D21" s="3" t="str">
        <f>IFERROR(__xludf.DUMMYFUNCTION("""COMPUTED_VALUE"""),"EJO/2025/01/69")</f>
        <v>EJO/2025/01/69</v>
      </c>
      <c r="E21" s="3" t="str">
        <f>IFERROR(__xludf.DUMMYFUNCTION("""COMPUTED_VALUE"""),"F32")</f>
        <v>F32</v>
      </c>
      <c r="F21" s="3" t="str">
        <f>IFERROR(__xludf.DUMMYFUNCTION("""COMPUTED_VALUE"""),"LCD Inverter")</f>
        <v>LCD Inverter</v>
      </c>
      <c r="G21" s="3" t="str">
        <f>IFERROR(__xludf.DUMMYFUNCTION("""COMPUTED_VALUE"""),"Control Panel LCP 102 Danfoss display inverter keypad")</f>
        <v>Control Panel LCP 102 Danfoss display inverter keypad</v>
      </c>
      <c r="H21" s="3" t="str">
        <f>IFERROR(__xludf.DUMMYFUNCTION("""COMPUTED_VALUE"""),"Danfoss")</f>
        <v>Danfoss</v>
      </c>
      <c r="I21" s="3">
        <f>IFERROR(__xludf.DUMMYFUNCTION("""COMPUTED_VALUE"""),1.0)</f>
        <v>1</v>
      </c>
      <c r="J21" s="3" t="str">
        <f>IFERROR(__xludf.DUMMYFUNCTION("""COMPUTED_VALUE"""),"Pcs")</f>
        <v>Pcs</v>
      </c>
      <c r="K21" s="5" t="str">
        <f>IFERROR(__xludf.DUMMYFUNCTION("""COMPUTED_VALUE"""),"https://www.tokopedia.com/zentama/control-panel-lcp-102-danfoss-display-inverter-kiped?extParam=ivf%3Dfalse%26keyword%3Dlcp+danfoss%26search_id%3D2025013023320395B43E7F03282537D7CP%26src%3Dsearch")</f>
        <v>https://www.tokopedia.com/zentama/control-panel-lcp-102-danfoss-display-inverter-kiped?extParam=ivf%3Dfalse%26keyword%3Dlcp+danfoss%26search_id%3D2025013023320395B43E7F03282537D7CP%26src%3Dsearch</v>
      </c>
      <c r="L21" s="3" t="str">
        <f>IFERROR(__xludf.DUMMYFUNCTION("""COMPUTED_VALUE"""),"LCD Inverter AHU Danfoss Vignet, ini buat gantinya")</f>
        <v>LCD Inverter AHU Danfoss Vignet, ini buat gantinya</v>
      </c>
      <c r="M21" s="3" t="str">
        <f>IFERROR(__xludf.DUMMYFUNCTION("""COMPUTED_VALUE"""),"Approve")</f>
        <v>Approve</v>
      </c>
      <c r="N21" s="3" t="str">
        <f>IFERROR(__xludf.DUMMYFUNCTION("""COMPUTED_VALUE"""),"Normal")</f>
        <v>Normal</v>
      </c>
      <c r="O21" s="3" t="str">
        <f>IFERROR(__xludf.DUMMYFUNCTION("""COMPUTED_VALUE"""),"Non Urgent")</f>
        <v>Non Urgent</v>
      </c>
      <c r="P21" s="7">
        <f>IFERROR(__xludf.DUMMYFUNCTION("""COMPUTED_VALUE"""),45688.94283193287)</f>
        <v>45688.94283</v>
      </c>
    </row>
    <row r="22">
      <c r="A22" s="4">
        <f>IFERROR(__xludf.DUMMYFUNCTION("""COMPUTED_VALUE"""),45688.2850531713)</f>
        <v>45688.28505</v>
      </c>
      <c r="B22" s="3" t="str">
        <f>IFERROR(__xludf.DUMMYFUNCTION("""COMPUTED_VALUE"""),"RIABR0004")</f>
        <v>RIABR0004</v>
      </c>
      <c r="C22" s="3" t="str">
        <f>IFERROR(__xludf.DUMMYFUNCTION("""COMPUTED_VALUE"""),"EJO")</f>
        <v>EJO</v>
      </c>
      <c r="D22" s="3" t="str">
        <f>IFERROR(__xludf.DUMMYFUNCTION("""COMPUTED_VALUE"""),"EJO/2024/08/49")</f>
        <v>EJO/2024/08/49</v>
      </c>
      <c r="E22" s="3" t="str">
        <f>IFERROR(__xludf.DUMMYFUNCTION("""COMPUTED_VALUE"""),"Produksi")</f>
        <v>Produksi</v>
      </c>
      <c r="F22" s="3" t="str">
        <f>IFERROR(__xludf.DUMMYFUNCTION("""COMPUTED_VALUE"""),"Baterai Lampu Emergency")</f>
        <v>Baterai Lampu Emergency</v>
      </c>
      <c r="G22" s="3" t="str">
        <f>IFERROR(__xludf.DUMMYFUNCTION("""COMPUTED_VALUE"""),"baterai nicad emergency TL biasa 6v hokistar")</f>
        <v>baterai nicad emergency TL biasa 6v hokistar</v>
      </c>
      <c r="H22" s="3" t="str">
        <f>IFERROR(__xludf.DUMMYFUNCTION("""COMPUTED_VALUE"""),"Hokistar")</f>
        <v>Hokistar</v>
      </c>
      <c r="I22" s="3">
        <f>IFERROR(__xludf.DUMMYFUNCTION("""COMPUTED_VALUE"""),10.0)</f>
        <v>10</v>
      </c>
      <c r="J22" s="3" t="str">
        <f>IFERROR(__xludf.DUMMYFUNCTION("""COMPUTED_VALUE"""),"Pcs")</f>
        <v>Pcs</v>
      </c>
      <c r="K22" s="5" t="str">
        <f>IFERROR(__xludf.DUMMYFUNCTION("""COMPUTED_VALUE"""),"https://www.tokopedia.com/solarwinid/baterai-nicad-emergency-tl-biasa-6v-hokistar?extParam=ivf%3Dfalse%26keyword%3Dhokistar+emergency%26search_id%3D20250130234919E5AF7B92904D6F2F3EKQ%26src%3Dsearch")</f>
        <v>https://www.tokopedia.com/solarwinid/baterai-nicad-emergency-tl-biasa-6v-hokistar?extParam=ivf%3Dfalse%26keyword%3Dhokistar+emergency%26search_id%3D20250130234919E5AF7B92904D6F2F3EKQ%26src%3Dsearch</v>
      </c>
      <c r="L22" s="3" t="str">
        <f>IFERROR(__xludf.DUMMYFUNCTION("""COMPUTED_VALUE"""),"Baterai Lampu Emergency Rusak Di Corridor Produksi")</f>
        <v>Baterai Lampu Emergency Rusak Di Corridor Produksi</v>
      </c>
      <c r="M22" s="3" t="str">
        <f>IFERROR(__xludf.DUMMYFUNCTION("""COMPUTED_VALUE"""),"Approve")</f>
        <v>Approve</v>
      </c>
      <c r="N22" s="3" t="str">
        <f>IFERROR(__xludf.DUMMYFUNCTION("""COMPUTED_VALUE"""),"Normal")</f>
        <v>Normal</v>
      </c>
      <c r="O22" s="3" t="str">
        <f>IFERROR(__xludf.DUMMYFUNCTION("""COMPUTED_VALUE"""),"Non Urgent")</f>
        <v>Non Urgent</v>
      </c>
      <c r="P22" s="7">
        <f>IFERROR(__xludf.DUMMYFUNCTION("""COMPUTED_VALUE"""),45688.94334115741)</f>
        <v>45688.94334</v>
      </c>
    </row>
    <row r="23">
      <c r="A23" s="4">
        <f>IFERROR(__xludf.DUMMYFUNCTION("""COMPUTED_VALUE"""),45688.2909409375)</f>
        <v>45688.29094</v>
      </c>
      <c r="B23" s="3" t="str">
        <f>IFERROR(__xludf.DUMMYFUNCTION("""COMPUTED_VALUE"""),"RIABR0005")</f>
        <v>RIABR0005</v>
      </c>
      <c r="C23" s="3" t="str">
        <f>IFERROR(__xludf.DUMMYFUNCTION("""COMPUTED_VALUE"""),"EJO")</f>
        <v>EJO</v>
      </c>
      <c r="D23" s="3" t="str">
        <f>IFERROR(__xludf.DUMMYFUNCTION("""COMPUTED_VALUE"""),"EJO/2024/12/09")</f>
        <v>EJO/2024/12/09</v>
      </c>
      <c r="E23" s="3" t="str">
        <f>IFERROR(__xludf.DUMMYFUNCTION("""COMPUTED_VALUE"""),"HO")</f>
        <v>HO</v>
      </c>
      <c r="F23" s="3" t="str">
        <f>IFERROR(__xludf.DUMMYFUNCTION("""COMPUTED_VALUE"""),"Baterai Lampu Emergency")</f>
        <v>Baterai Lampu Emergency</v>
      </c>
      <c r="G23" s="3" t="str">
        <f>IFERROR(__xludf.DUMMYFUNCTION("""COMPUTED_VALUE"""),"baterai nicad emergency TL biasa 6v hokistar")</f>
        <v>baterai nicad emergency TL biasa 6v hokistar</v>
      </c>
      <c r="H23" s="3" t="str">
        <f>IFERROR(__xludf.DUMMYFUNCTION("""COMPUTED_VALUE"""),"Hokistar")</f>
        <v>Hokistar</v>
      </c>
      <c r="I23" s="3">
        <f>IFERROR(__xludf.DUMMYFUNCTION("""COMPUTED_VALUE"""),5.0)</f>
        <v>5</v>
      </c>
      <c r="J23" s="3" t="str">
        <f>IFERROR(__xludf.DUMMYFUNCTION("""COMPUTED_VALUE"""),"Pcs")</f>
        <v>Pcs</v>
      </c>
      <c r="K23" s="5" t="str">
        <f>IFERROR(__xludf.DUMMYFUNCTION("""COMPUTED_VALUE"""),"https://www.tokopedia.com/solarwinid/baterai-nicad-emergency-tl-biasa-6v-hokistar?extParam=ivf%3Dfalse%26keyword%3Dhokistar+emergency%26search_id%3D20250130234919E5AF7B92904D6F2F3EKQ%26src%3Dsearch")</f>
        <v>https://www.tokopedia.com/solarwinid/baterai-nicad-emergency-tl-biasa-6v-hokistar?extParam=ivf%3Dfalse%26keyword%3Dhokistar+emergency%26search_id%3D20250130234919E5AF7B92904D6F2F3EKQ%26src%3Dsearch</v>
      </c>
      <c r="L23" s="3" t="str">
        <f>IFERROR(__xludf.DUMMYFUNCTION("""COMPUTED_VALUE"""),"Baterai Lampu Emergency Rusak Di Corridor HO")</f>
        <v>Baterai Lampu Emergency Rusak Di Corridor HO</v>
      </c>
      <c r="M23" s="3" t="str">
        <f>IFERROR(__xludf.DUMMYFUNCTION("""COMPUTED_VALUE"""),"Approve")</f>
        <v>Approve</v>
      </c>
      <c r="N23" s="3" t="str">
        <f>IFERROR(__xludf.DUMMYFUNCTION("""COMPUTED_VALUE"""),"Normal")</f>
        <v>Normal</v>
      </c>
      <c r="O23" s="3" t="str">
        <f>IFERROR(__xludf.DUMMYFUNCTION("""COMPUTED_VALUE"""),"Non Urgent")</f>
        <v>Non Urgent</v>
      </c>
      <c r="P23" s="7">
        <f>IFERROR(__xludf.DUMMYFUNCTION("""COMPUTED_VALUE"""),45688.94393872685)</f>
        <v>45688.94394</v>
      </c>
    </row>
    <row r="24">
      <c r="A24" s="4">
        <f>IFERROR(__xludf.DUMMYFUNCTION("""COMPUTED_VALUE"""),45688.29599300926)</f>
        <v>45688.29599</v>
      </c>
      <c r="B24" s="3" t="str">
        <f>IFERROR(__xludf.DUMMYFUNCTION("""COMPUTED_VALUE"""),"RIABR0006")</f>
        <v>RIABR0006</v>
      </c>
      <c r="C24" s="3" t="str">
        <f>IFERROR(__xludf.DUMMYFUNCTION("""COMPUTED_VALUE"""),"EJO")</f>
        <v>EJO</v>
      </c>
      <c r="D24" s="3" t="str">
        <f>IFERROR(__xludf.DUMMYFUNCTION("""COMPUTED_VALUE"""),"EJO/2024/12/09")</f>
        <v>EJO/2024/12/09</v>
      </c>
      <c r="E24" s="3" t="str">
        <f>IFERROR(__xludf.DUMMYFUNCTION("""COMPUTED_VALUE"""),"Tangga HO")</f>
        <v>Tangga HO</v>
      </c>
      <c r="F24" s="3" t="str">
        <f>IFERROR(__xludf.DUMMYFUNCTION("""COMPUTED_VALUE"""),"Lampu Emergency")</f>
        <v>Lampu Emergency</v>
      </c>
      <c r="G24" s="3" t="str">
        <f>IFERROR(__xludf.DUMMYFUNCTION("""COMPUTED_VALUE"""),"LAMPU EMERGENCY TL LED 16WATT - WATERPROOF IP65 - 1X 16 WATT")</f>
        <v>LAMPU EMERGENCY TL LED 16WATT - WATERPROOF IP65 - 1X 16 WATT</v>
      </c>
      <c r="H24" s="3" t="str">
        <f>IFERROR(__xludf.DUMMYFUNCTION("""COMPUTED_VALUE"""),"-")</f>
        <v>-</v>
      </c>
      <c r="I24" s="3">
        <f>IFERROR(__xludf.DUMMYFUNCTION("""COMPUTED_VALUE"""),5.0)</f>
        <v>5</v>
      </c>
      <c r="J24" s="3" t="str">
        <f>IFERROR(__xludf.DUMMYFUNCTION("""COMPUTED_VALUE"""),"Pcs")</f>
        <v>Pcs</v>
      </c>
      <c r="K24" s="5" t="str">
        <f>IFERROR(__xludf.DUMMYFUNCTION("""COMPUTED_VALUE"""),"https://www.tokopedia.com/asolusindo/lampu-emergency-tl-led-16watt-waterproof-ip65-1x-16-watt-b5e6e")</f>
        <v>https://www.tokopedia.com/asolusindo/lampu-emergency-tl-led-16watt-waterproof-ip65-1x-16-watt-b5e6e</v>
      </c>
      <c r="L24" s="3" t="str">
        <f>IFERROR(__xludf.DUMMYFUNCTION("""COMPUTED_VALUE"""),"Lampu Emergency Tangga Sudah Banyak Rusak")</f>
        <v>Lampu Emergency Tangga Sudah Banyak Rusak</v>
      </c>
      <c r="M24" s="3" t="str">
        <f>IFERROR(__xludf.DUMMYFUNCTION("""COMPUTED_VALUE"""),"Approve")</f>
        <v>Approve</v>
      </c>
      <c r="N24" s="3" t="str">
        <f>IFERROR(__xludf.DUMMYFUNCTION("""COMPUTED_VALUE"""),"Normal")</f>
        <v>Normal</v>
      </c>
      <c r="O24" s="3" t="str">
        <f>IFERROR(__xludf.DUMMYFUNCTION("""COMPUTED_VALUE"""),"Non Urgent")</f>
        <v>Non Urgent</v>
      </c>
      <c r="P24" s="7">
        <f>IFERROR(__xludf.DUMMYFUNCTION("""COMPUTED_VALUE"""),45688.944468553236)</f>
        <v>45688.94447</v>
      </c>
    </row>
    <row r="25">
      <c r="A25" s="4">
        <f>IFERROR(__xludf.DUMMYFUNCTION("""COMPUTED_VALUE"""),45688.42307068287)</f>
        <v>45688.42307</v>
      </c>
      <c r="B25" s="3" t="str">
        <f>IFERROR(__xludf.DUMMYFUNCTION("""COMPUTED_VALUE"""),"ROSBR0006")</f>
        <v>ROSBR0006</v>
      </c>
      <c r="C25" s="3" t="str">
        <f>IFERROR(__xludf.DUMMYFUNCTION("""COMPUTED_VALUE"""),"EJO")</f>
        <v>EJO</v>
      </c>
      <c r="D25" s="3" t="str">
        <f>IFERROR(__xludf.DUMMYFUNCTION("""COMPUTED_VALUE"""),"2025/01/151")</f>
        <v>2025/01/151</v>
      </c>
      <c r="E25" s="3" t="str">
        <f>IFERROR(__xludf.DUMMYFUNCTION("""COMPUTED_VALUE"""),"Vial Washing")</f>
        <v>Vial Washing</v>
      </c>
      <c r="F25" s="3" t="str">
        <f>IFERROR(__xludf.DUMMYFUNCTION("""COMPUTED_VALUE"""),"Spray Gun CA")</f>
        <v>Spray Gun CA</v>
      </c>
      <c r="G25" s="3" t="str">
        <f>IFERROR(__xludf.DUMMYFUNCTION("""COMPUTED_VALUE"""),"DG-10 Kompresor Udara Gun 1/4 ""Air Duster Spray Gun - Tanpa Bubble")</f>
        <v>DG-10 Kompresor Udara Gun 1/4 "Air Duster Spray Gun - Tanpa Bubble</v>
      </c>
      <c r="H25" s="3" t="str">
        <f>IFERROR(__xludf.DUMMYFUNCTION("""COMPUTED_VALUE"""),"General")</f>
        <v>General</v>
      </c>
      <c r="I25" s="3">
        <f>IFERROR(__xludf.DUMMYFUNCTION("""COMPUTED_VALUE"""),2.0)</f>
        <v>2</v>
      </c>
      <c r="J25" s="3" t="str">
        <f>IFERROR(__xludf.DUMMYFUNCTION("""COMPUTED_VALUE"""),"Pcs")</f>
        <v>Pcs</v>
      </c>
      <c r="K25" s="5" t="str">
        <f>IFERROR(__xludf.DUMMYFUNCTION("""COMPUTED_VALUE"""),"https://www.tokopedia.com/peonyglodok/dg-10-kompresor-udara-gun-1-4-air-duster-spray-gun-tanpa-bubble")</f>
        <v>https://www.tokopedia.com/peonyglodok/dg-10-kompresor-udara-gun-1-4-air-duster-spray-gun-tanpa-bubble</v>
      </c>
      <c r="L25" s="3" t="str">
        <f>IFERROR(__xludf.DUMMYFUNCTION("""COMPUTED_VALUE"""),"-")</f>
        <v>-</v>
      </c>
      <c r="M25" s="3" t="str">
        <f>IFERROR(__xludf.DUMMYFUNCTION("""COMPUTED_VALUE"""),"Approve")</f>
        <v>Approve</v>
      </c>
      <c r="N25" s="3" t="str">
        <f>IFERROR(__xludf.DUMMYFUNCTION("""COMPUTED_VALUE"""),"Normal")</f>
        <v>Normal</v>
      </c>
      <c r="O25" s="3" t="str">
        <f>IFERROR(__xludf.DUMMYFUNCTION("""COMPUTED_VALUE"""),"Non Urgent")</f>
        <v>Non Urgent</v>
      </c>
      <c r="P25" s="7">
        <f>IFERROR(__xludf.DUMMYFUNCTION("""COMPUTED_VALUE"""),45692.6245961574)</f>
        <v>45692.6246</v>
      </c>
    </row>
    <row r="26">
      <c r="A26" s="4">
        <f>IFERROR(__xludf.DUMMYFUNCTION("""COMPUTED_VALUE"""),45691.60329695602)</f>
        <v>45691.6033</v>
      </c>
      <c r="B26" s="3" t="str">
        <f>IFERROR(__xludf.DUMMYFUNCTION("""COMPUTED_VALUE"""),"MOBBR0013")</f>
        <v>MOBBR0013</v>
      </c>
      <c r="C26" s="3" t="str">
        <f>IFERROR(__xludf.DUMMYFUNCTION("""COMPUTED_VALUE"""),"EJO")</f>
        <v>EJO</v>
      </c>
      <c r="D26" s="3" t="str">
        <f>IFERROR(__xludf.DUMMYFUNCTION("""COMPUTED_VALUE"""),"EJO/2025/01/11")</f>
        <v>EJO/2025/01/11</v>
      </c>
      <c r="E26" s="3" t="str">
        <f>IFERROR(__xludf.DUMMYFUNCTION("""COMPUTED_VALUE"""),"WFI SKID")</f>
        <v>WFI SKID</v>
      </c>
      <c r="F26" s="3" t="str">
        <f>IFERROR(__xludf.DUMMYFUNCTION("""COMPUTED_VALUE"""),"PG Spirax Sarco")</f>
        <v>PG Spirax Sarco</v>
      </c>
      <c r="G26" s="3" t="str">
        <f>IFERROR(__xludf.DUMMYFUNCTION("""COMPUTED_VALUE"""),"Pressure gauge SPIRAX SARCO 4""- 10kg (drat 3/8""inch)")</f>
        <v>Pressure gauge SPIRAX SARCO 4"- 10kg (drat 3/8"inch)</v>
      </c>
      <c r="H26" s="3" t="str">
        <f>IFERROR(__xludf.DUMMYFUNCTION("""COMPUTED_VALUE"""),"SPIRAX SARCO")</f>
        <v>SPIRAX SARCO</v>
      </c>
      <c r="I26" s="3">
        <f>IFERROR(__xludf.DUMMYFUNCTION("""COMPUTED_VALUE"""),2.0)</f>
        <v>2</v>
      </c>
      <c r="J26" s="3" t="str">
        <f>IFERROR(__xludf.DUMMYFUNCTION("""COMPUTED_VALUE"""),"Pcs")</f>
        <v>Pcs</v>
      </c>
      <c r="K26" s="5" t="str">
        <f>IFERROR(__xludf.DUMMYFUNCTION("""COMPUTED_VALUE"""),"https://www.tokopedia.com/sinarberdikari/pressure-gauge-spirax-sarco-4-10kg-drat-3-8-inch")</f>
        <v>https://www.tokopedia.com/sinarberdikari/pressure-gauge-spirax-sarco-4-10kg-drat-3-8-inch</v>
      </c>
      <c r="L26" s="3" t="str">
        <f>IFERROR(__xludf.DUMMYFUNCTION("""COMPUTED_VALUE"""),"-")</f>
        <v>-</v>
      </c>
      <c r="M26" s="3" t="str">
        <f>IFERROR(__xludf.DUMMYFUNCTION("""COMPUTED_VALUE"""),"Approve")</f>
        <v>Approve</v>
      </c>
      <c r="N26" s="3" t="str">
        <f>IFERROR(__xludf.DUMMYFUNCTION("""COMPUTED_VALUE"""),"Normal")</f>
        <v>Normal</v>
      </c>
      <c r="O26" s="3" t="str">
        <f>IFERROR(__xludf.DUMMYFUNCTION("""COMPUTED_VALUE"""),"Non Urgent")</f>
        <v>Non Urgent</v>
      </c>
      <c r="P26" s="7">
        <f>IFERROR(__xludf.DUMMYFUNCTION("""COMPUTED_VALUE"""),45692.39737899306)</f>
        <v>45692.39738</v>
      </c>
    </row>
    <row r="27">
      <c r="A27" s="4">
        <f>IFERROR(__xludf.DUMMYFUNCTION("""COMPUTED_VALUE"""),45691.621258287036)</f>
        <v>45691.62126</v>
      </c>
      <c r="B27" s="3" t="str">
        <f>IFERROR(__xludf.DUMMYFUNCTION("""COMPUTED_VALUE"""),"MOBBR0014")</f>
        <v>MOBBR0014</v>
      </c>
      <c r="C27" s="3" t="str">
        <f>IFERROR(__xludf.DUMMYFUNCTION("""COMPUTED_VALUE"""),"EJO")</f>
        <v>EJO</v>
      </c>
      <c r="D27" s="3" t="str">
        <f>IFERROR(__xludf.DUMMYFUNCTION("""COMPUTED_VALUE"""),"EJO/2024/12/161")</f>
        <v>EJO/2024/12/161</v>
      </c>
      <c r="E27" s="3" t="str">
        <f>IFERROR(__xludf.DUMMYFUNCTION("""COMPUTED_VALUE"""),"N2 Generator")</f>
        <v>N2 Generator</v>
      </c>
      <c r="F27" s="3" t="str">
        <f>IFERROR(__xludf.DUMMYFUNCTION("""COMPUTED_VALUE"""),"Male Connection")</f>
        <v>Male Connection</v>
      </c>
      <c r="G27" s="3" t="str">
        <f>IFERROR(__xludf.DUMMYFUNCTION("""COMPUTED_VALUE"""),"M6-MC-NPT4-316")</f>
        <v>M6-MC-NPT4-316</v>
      </c>
      <c r="H27" s="3" t="str">
        <f>IFERROR(__xludf.DUMMYFUNCTION("""COMPUTED_VALUE"""),"CIR-LOK")</f>
        <v>CIR-LOK</v>
      </c>
      <c r="I27" s="3">
        <f>IFERROR(__xludf.DUMMYFUNCTION("""COMPUTED_VALUE"""),6.0)</f>
        <v>6</v>
      </c>
      <c r="J27" s="3" t="str">
        <f>IFERROR(__xludf.DUMMYFUNCTION("""COMPUTED_VALUE"""),"Pcs")</f>
        <v>Pcs</v>
      </c>
      <c r="K27" s="5" t="str">
        <f>IFERROR(__xludf.DUMMYFUNCTION("""COMPUTED_VALUE"""),"https://www.hikelok.com/m6-mc-npt4-316-product/")</f>
        <v>https://www.hikelok.com/m6-mc-npt4-316-product/</v>
      </c>
      <c r="L27" s="3" t="str">
        <f>IFERROR(__xludf.DUMMYFUNCTION("""COMPUTED_VALUE"""),"-")</f>
        <v>-</v>
      </c>
      <c r="M27" s="3" t="str">
        <f>IFERROR(__xludf.DUMMYFUNCTION("""COMPUTED_VALUE"""),"Approve")</f>
        <v>Approve</v>
      </c>
      <c r="N27" s="3" t="str">
        <f>IFERROR(__xludf.DUMMYFUNCTION("""COMPUTED_VALUE"""),"Normal")</f>
        <v>Normal</v>
      </c>
      <c r="O27" s="3" t="str">
        <f>IFERROR(__xludf.DUMMYFUNCTION("""COMPUTED_VALUE"""),"Non Urgent")</f>
        <v>Non Urgent</v>
      </c>
      <c r="P27" s="7">
        <f>IFERROR(__xludf.DUMMYFUNCTION("""COMPUTED_VALUE"""),45692.39880653935)</f>
        <v>45692.39881</v>
      </c>
    </row>
    <row r="28">
      <c r="A28" s="4">
        <f>IFERROR(__xludf.DUMMYFUNCTION("""COMPUTED_VALUE"""),45691.63591788194)</f>
        <v>45691.63592</v>
      </c>
      <c r="B28" s="3" t="str">
        <f>IFERROR(__xludf.DUMMYFUNCTION("""COMPUTED_VALUE"""),"MOBBR0015")</f>
        <v>MOBBR0015</v>
      </c>
      <c r="C28" s="3" t="str">
        <f>IFERROR(__xludf.DUMMYFUNCTION("""COMPUTED_VALUE"""),"EJO")</f>
        <v>EJO</v>
      </c>
      <c r="D28" s="3" t="str">
        <f>IFERROR(__xludf.DUMMYFUNCTION("""COMPUTED_VALUE"""),"EJO/2024/12/161")</f>
        <v>EJO/2024/12/161</v>
      </c>
      <c r="E28" s="3" t="str">
        <f>IFERROR(__xludf.DUMMYFUNCTION("""COMPUTED_VALUE"""),"N2 Generator")</f>
        <v>N2 Generator</v>
      </c>
      <c r="F28" s="3" t="str">
        <f>IFERROR(__xludf.DUMMYFUNCTION("""COMPUTED_VALUE"""),"Elbow Male Connection")</f>
        <v>Elbow Male Connection</v>
      </c>
      <c r="G28" s="3" t="str">
        <f>IFERROR(__xludf.DUMMYFUNCTION("""COMPUTED_VALUE"""),"6MM x 1/4 Male Elbow Connector Tube OD 6 MM x 1/4 NPT Stainless Steel")</f>
        <v>6MM x 1/4 Male Elbow Connector Tube OD 6 MM x 1/4 NPT Stainless Steel</v>
      </c>
      <c r="H28" s="3" t="str">
        <f>IFERROR(__xludf.DUMMYFUNCTION("""COMPUTED_VALUE"""),"FitLok")</f>
        <v>FitLok</v>
      </c>
      <c r="I28" s="3">
        <f>IFERROR(__xludf.DUMMYFUNCTION("""COMPUTED_VALUE"""),6.0)</f>
        <v>6</v>
      </c>
      <c r="J28" s="3" t="str">
        <f>IFERROR(__xludf.DUMMYFUNCTION("""COMPUTED_VALUE"""),"Pcs")</f>
        <v>Pcs</v>
      </c>
      <c r="K28" s="5" t="str">
        <f>IFERROR(__xludf.DUMMYFUNCTION("""COMPUTED_VALUE"""),"https://www.tokopedia.com/pusatpneumatic/6mm-x-1-4-male-elbow-connector-tube-od-6-mm-x-1-4-npt-stainless-steel")</f>
        <v>https://www.tokopedia.com/pusatpneumatic/6mm-x-1-4-male-elbow-connector-tube-od-6-mm-x-1-4-npt-stainless-steel</v>
      </c>
      <c r="L28" s="3" t="str">
        <f>IFERROR(__xludf.DUMMYFUNCTION("""COMPUTED_VALUE"""),"-")</f>
        <v>-</v>
      </c>
      <c r="M28" s="3" t="str">
        <f>IFERROR(__xludf.DUMMYFUNCTION("""COMPUTED_VALUE"""),"Approve")</f>
        <v>Approve</v>
      </c>
      <c r="N28" s="3" t="str">
        <f>IFERROR(__xludf.DUMMYFUNCTION("""COMPUTED_VALUE"""),"Normal")</f>
        <v>Normal</v>
      </c>
      <c r="O28" s="3" t="str">
        <f>IFERROR(__xludf.DUMMYFUNCTION("""COMPUTED_VALUE"""),"Non Urgent")</f>
        <v>Non Urgent</v>
      </c>
      <c r="P28" s="7">
        <f>IFERROR(__xludf.DUMMYFUNCTION("""COMPUTED_VALUE"""),45692.398586180556)</f>
        <v>45692.39859</v>
      </c>
    </row>
    <row r="29">
      <c r="A29" s="4">
        <f>IFERROR(__xludf.DUMMYFUNCTION("""COMPUTED_VALUE"""),45691.657104432874)</f>
        <v>45691.6571</v>
      </c>
      <c r="B29" s="3" t="str">
        <f>IFERROR(__xludf.DUMMYFUNCTION("""COMPUTED_VALUE"""),"RIABR0007")</f>
        <v>RIABR0007</v>
      </c>
      <c r="C29" s="3" t="str">
        <f>IFERROR(__xludf.DUMMYFUNCTION("""COMPUTED_VALUE"""),"EJO")</f>
        <v>EJO</v>
      </c>
      <c r="D29" s="3" t="str">
        <f>IFERROR(__xludf.DUMMYFUNCTION("""COMPUTED_VALUE"""),"EJO/2024/12/138")</f>
        <v>EJO/2024/12/138</v>
      </c>
      <c r="E29" s="3" t="str">
        <f>IFERROR(__xludf.DUMMYFUNCTION("""COMPUTED_VALUE"""),"Cooling Water")</f>
        <v>Cooling Water</v>
      </c>
      <c r="F29" s="3" t="str">
        <f>IFERROR(__xludf.DUMMYFUNCTION("""COMPUTED_VALUE"""),"Solenoid Valve")</f>
        <v>Solenoid Valve</v>
      </c>
      <c r="G29" s="3" t="str">
        <f>IFERROR(__xludf.DUMMYFUNCTION("""COMPUTED_VALUE"""),"Brand yoshitake
Made in japan
Type DP-10
Voltase 110-220V, Size 1 inch
Press 0.05-1.0MPA
Fluid steam water oil.air
Max temp 180°©")</f>
        <v>Brand yoshitake
Made in japan
Type DP-10
Voltase 110-220V, Size 1 inch
Press 0.05-1.0MPA
Fluid steam water oil.air
Max temp 180°©</v>
      </c>
      <c r="H29" s="3" t="str">
        <f>IFERROR(__xludf.DUMMYFUNCTION("""COMPUTED_VALUE"""),"Yoshitake")</f>
        <v>Yoshitake</v>
      </c>
      <c r="I29" s="3">
        <f>IFERROR(__xludf.DUMMYFUNCTION("""COMPUTED_VALUE"""),3.0)</f>
        <v>3</v>
      </c>
      <c r="J29" s="3" t="str">
        <f>IFERROR(__xludf.DUMMYFUNCTION("""COMPUTED_VALUE"""),"Pcs")</f>
        <v>Pcs</v>
      </c>
      <c r="K29" s="5" t="str">
        <f>IFERROR(__xludf.DUMMYFUNCTION("""COMPUTED_VALUE"""),"https://www.tokopedia.com/valveshop95/solenoid-valve-steam-yoshitake-25a-dp10-ac110v-ac220v-drat-1-inch?extParam=ivf%3Dfalse%26keyword%3Dsolenoid+valve+1+inch&amp;src=topads")</f>
        <v>https://www.tokopedia.com/valveshop95/solenoid-valve-steam-yoshitake-25a-dp10-ac110v-ac220v-drat-1-inch?extParam=ivf%3Dfalse%26keyword%3Dsolenoid+valve+1+inch&amp;src=topads</v>
      </c>
      <c r="L29" s="3" t="str">
        <f>IFERROR(__xludf.DUMMYFUNCTION("""COMPUTED_VALUE"""),"SV Bocor")</f>
        <v>SV Bocor</v>
      </c>
      <c r="M29" s="3" t="str">
        <f>IFERROR(__xludf.DUMMYFUNCTION("""COMPUTED_VALUE"""),"Approve")</f>
        <v>Approve</v>
      </c>
      <c r="N29" s="3" t="str">
        <f>IFERROR(__xludf.DUMMYFUNCTION("""COMPUTED_VALUE"""),"Normal")</f>
        <v>Normal</v>
      </c>
      <c r="O29" s="3" t="str">
        <f>IFERROR(__xludf.DUMMYFUNCTION("""COMPUTED_VALUE"""),"Non Urgent")</f>
        <v>Non Urgent</v>
      </c>
      <c r="P29" s="7">
        <f>IFERROR(__xludf.DUMMYFUNCTION("""COMPUTED_VALUE"""),45692.42265736111)</f>
        <v>45692.42266</v>
      </c>
    </row>
    <row r="30">
      <c r="A30" s="4">
        <f>IFERROR(__xludf.DUMMYFUNCTION("""COMPUTED_VALUE"""),45691.94213246529)</f>
        <v>45691.94213</v>
      </c>
      <c r="B30" s="3" t="str">
        <f>IFERROR(__xludf.DUMMYFUNCTION("""COMPUTED_VALUE"""),"MRNBR0002")</f>
        <v>MRNBR0002</v>
      </c>
      <c r="C30" s="3" t="str">
        <f>IFERROR(__xludf.DUMMYFUNCTION("""COMPUTED_VALUE"""),"EJO")</f>
        <v>EJO</v>
      </c>
      <c r="D30" s="3" t="str">
        <f>IFERROR(__xludf.DUMMYFUNCTION("""COMPUTED_VALUE"""),"Ejo/2025/01/118")</f>
        <v>Ejo/2025/01/118</v>
      </c>
      <c r="E30" s="3" t="str">
        <f>IFERROR(__xludf.DUMMYFUNCTION("""COMPUTED_VALUE"""),"hot water")</f>
        <v>hot water</v>
      </c>
      <c r="F30" s="3" t="str">
        <f>IFERROR(__xludf.DUMMYFUNCTION("""COMPUTED_VALUE"""),"wafer check valve")</f>
        <v>wafer check valve</v>
      </c>
      <c r="G30" s="3" t="str">
        <f>IFERROR(__xludf.DUMMYFUNCTION("""COMPUTED_VALUE"""),"DN50")</f>
        <v>DN50</v>
      </c>
      <c r="H30" s="3" t="str">
        <f>IFERROR(__xludf.DUMMYFUNCTION("""COMPUTED_VALUE"""),"yumming valve")</f>
        <v>yumming valve</v>
      </c>
      <c r="I30" s="3">
        <f>IFERROR(__xludf.DUMMYFUNCTION("""COMPUTED_VALUE"""),2.0)</f>
        <v>2</v>
      </c>
      <c r="J30" s="3" t="str">
        <f>IFERROR(__xludf.DUMMYFUNCTION("""COMPUTED_VALUE"""),"pcs")</f>
        <v>pcs</v>
      </c>
      <c r="K30" s="5" t="str">
        <f>IFERROR(__xludf.DUMMYFUNCTION("""COMPUTED_VALUE"""),"http://www.ym-valves.com/products/check-valve/wafer-check-valve.html?gad_source=1&amp;gclid=CjwKCAiA74G9BhAEEiwA8kNfpaR5a7CEedeP0AynfYoOX9Px7-Ywgh2dQUILGPSU-R4473c5i1_NUxoC0AYQAvD_BwE")</f>
        <v>http://www.ym-valves.com/products/check-valve/wafer-check-valve.html?gad_source=1&amp;gclid=CjwKCAiA74G9BhAEEiwA8kNfpaR5a7CEedeP0AynfYoOX9Px7-Ywgh2dQUILGPSU-R4473c5i1_NUxoC0AYQAvD_BwE</v>
      </c>
      <c r="L30" s="3" t="str">
        <f>IFERROR(__xludf.DUMMYFUNCTION("""COMPUTED_VALUE"""),"hot water")</f>
        <v>hot water</v>
      </c>
      <c r="M30" s="3" t="str">
        <f>IFERROR(__xludf.DUMMYFUNCTION("""COMPUTED_VALUE"""),"Approve")</f>
        <v>Approve</v>
      </c>
      <c r="N30" s="3" t="str">
        <f>IFERROR(__xludf.DUMMYFUNCTION("""COMPUTED_VALUE"""),"Normal")</f>
        <v>Normal</v>
      </c>
      <c r="O30" s="3" t="str">
        <f>IFERROR(__xludf.DUMMYFUNCTION("""COMPUTED_VALUE"""),"Non Urgent")</f>
        <v>Non Urgent</v>
      </c>
      <c r="P30" s="7">
        <f>IFERROR(__xludf.DUMMYFUNCTION("""COMPUTED_VALUE"""),45694.63235770834)</f>
        <v>45694.63236</v>
      </c>
    </row>
    <row r="31">
      <c r="A31" s="4">
        <f>IFERROR(__xludf.DUMMYFUNCTION("""COMPUTED_VALUE"""),45692.57083173611)</f>
        <v>45692.57083</v>
      </c>
      <c r="B31" s="3" t="str">
        <f>IFERROR(__xludf.DUMMYFUNCTION("""COMPUTED_VALUE"""),"RIABR0008")</f>
        <v>RIABR0008</v>
      </c>
      <c r="C31" s="3" t="str">
        <f>IFERROR(__xludf.DUMMYFUNCTION("""COMPUTED_VALUE"""),"EJO")</f>
        <v>EJO</v>
      </c>
      <c r="D31" s="3" t="str">
        <f>IFERROR(__xludf.DUMMYFUNCTION("""COMPUTED_VALUE"""),"EJO/2025/01/34")</f>
        <v>EJO/2025/01/34</v>
      </c>
      <c r="E31" s="3" t="str">
        <f>IFERROR(__xludf.DUMMYFUNCTION("""COMPUTED_VALUE"""),"Hot Water")</f>
        <v>Hot Water</v>
      </c>
      <c r="F31" s="3" t="str">
        <f>IFERROR(__xludf.DUMMYFUNCTION("""COMPUTED_VALUE"""),"Filter Panel")</f>
        <v>Filter Panel</v>
      </c>
      <c r="G31" s="3" t="str">
        <f>IFERROR(__xludf.DUMMYFUNCTION("""COMPUTED_VALUE"""),"Filter Panel Size 4 Inch untuk ukuran fan 12 x 12")</f>
        <v>Filter Panel Size 4 Inch untuk ukuran fan 12 x 12</v>
      </c>
      <c r="H31" s="3" t="str">
        <f>IFERROR(__xludf.DUMMYFUNCTION("""COMPUTED_VALUE"""),"-")</f>
        <v>-</v>
      </c>
      <c r="I31" s="3">
        <f>IFERROR(__xludf.DUMMYFUNCTION("""COMPUTED_VALUE"""),2.0)</f>
        <v>2</v>
      </c>
      <c r="J31" s="3" t="str">
        <f>IFERROR(__xludf.DUMMYFUNCTION("""COMPUTED_VALUE"""),"Pcs")</f>
        <v>Pcs</v>
      </c>
      <c r="K31" s="5" t="str">
        <f>IFERROR(__xludf.DUMMYFUNCTION("""COMPUTED_VALUE"""),"https://www.tokopedia.com/lfi/filter-exhaust-fan-panel-4-inch-uk-12-cm?extParam=ivf%3Dfalse%26keyword%3Dexhaust+fan+panel%26search_id%3D20241226002341AD7B26CBBF4C2F0F7CLS%26src%3Dsearch")</f>
        <v>https://www.tokopedia.com/lfi/filter-exhaust-fan-panel-4-inch-uk-12-cm?extParam=ivf%3Dfalse%26keyword%3Dexhaust+fan+panel%26search_id%3D20241226002341AD7B26CBBF4C2F0F7CLS%26src%3Dsearch</v>
      </c>
      <c r="L31" s="3" t="str">
        <f>IFERROR(__xludf.DUMMYFUNCTION("""COMPUTED_VALUE"""),"EJO Improvement")</f>
        <v>EJO Improvement</v>
      </c>
      <c r="M31" s="3" t="str">
        <f>IFERROR(__xludf.DUMMYFUNCTION("""COMPUTED_VALUE"""),"Approve")</f>
        <v>Approve</v>
      </c>
      <c r="N31" s="3" t="str">
        <f>IFERROR(__xludf.DUMMYFUNCTION("""COMPUTED_VALUE"""),"Normal")</f>
        <v>Normal</v>
      </c>
      <c r="O31" s="3" t="str">
        <f>IFERROR(__xludf.DUMMYFUNCTION("""COMPUTED_VALUE"""),"Non Urgent")</f>
        <v>Non Urgent</v>
      </c>
      <c r="P31" s="7">
        <f>IFERROR(__xludf.DUMMYFUNCTION("""COMPUTED_VALUE"""),45694.744651712965)</f>
        <v>45694.74465</v>
      </c>
    </row>
    <row r="32">
      <c r="A32" s="4">
        <f>IFERROR(__xludf.DUMMYFUNCTION("""COMPUTED_VALUE"""),45692.575986041666)</f>
        <v>45692.57599</v>
      </c>
      <c r="B32" s="3" t="str">
        <f>IFERROR(__xludf.DUMMYFUNCTION("""COMPUTED_VALUE"""),"RIABR0009")</f>
        <v>RIABR0009</v>
      </c>
      <c r="C32" s="3" t="str">
        <f>IFERROR(__xludf.DUMMYFUNCTION("""COMPUTED_VALUE"""),"EJO")</f>
        <v>EJO</v>
      </c>
      <c r="D32" s="3" t="str">
        <f>IFERROR(__xludf.DUMMYFUNCTION("""COMPUTED_VALUE"""),"EJO/2024/08/58")</f>
        <v>EJO/2024/08/58</v>
      </c>
      <c r="E32" s="3" t="str">
        <f>IFERROR(__xludf.DUMMYFUNCTION("""COMPUTED_VALUE"""),"WWTP")</f>
        <v>WWTP</v>
      </c>
      <c r="F32" s="3" t="str">
        <f>IFERROR(__xludf.DUMMYFUNCTION("""COMPUTED_VALUE"""),"Pompa Transfer")</f>
        <v>Pompa Transfer</v>
      </c>
      <c r="G32" s="3" t="str">
        <f>IFERROR(__xludf.DUMMYFUNCTION("""COMPUTED_VALUE"""),"CM 3-3 A-R-A-E AVBE C1-A-A-N")</f>
        <v>CM 3-3 A-R-A-E AVBE C1-A-A-N</v>
      </c>
      <c r="H32" s="3" t="str">
        <f>IFERROR(__xludf.DUMMYFUNCTION("""COMPUTED_VALUE"""),"Grundfos")</f>
        <v>Grundfos</v>
      </c>
      <c r="I32" s="3">
        <f>IFERROR(__xludf.DUMMYFUNCTION("""COMPUTED_VALUE"""),2.0)</f>
        <v>2</v>
      </c>
      <c r="J32" s="3" t="str">
        <f>IFERROR(__xludf.DUMMYFUNCTION("""COMPUTED_VALUE"""),"Pcs")</f>
        <v>Pcs</v>
      </c>
      <c r="K32" s="5" t="str">
        <f>IFERROR(__xludf.DUMMYFUNCTION("""COMPUTED_VALUE"""),"https://drive.google.com/file/d/1YGQNPS9CHgtje6FGEN-yKJfMxP3K-eEh/view?usp=drive_link")</f>
        <v>https://drive.google.com/file/d/1YGQNPS9CHgtje6FGEN-yKJfMxP3K-eEh/view?usp=drive_link</v>
      </c>
      <c r="L32" s="3" t="str">
        <f>IFERROR(__xludf.DUMMYFUNCTION("""COMPUTED_VALUE"""),"Pompa Trasnfer A rusak, beli 2 buat spare")</f>
        <v>Pompa Trasnfer A rusak, beli 2 buat spare</v>
      </c>
      <c r="M32" s="3" t="str">
        <f>IFERROR(__xludf.DUMMYFUNCTION("""COMPUTED_VALUE"""),"Approve")</f>
        <v>Approve</v>
      </c>
      <c r="N32" s="3" t="str">
        <f>IFERROR(__xludf.DUMMYFUNCTION("""COMPUTED_VALUE"""),"Normal")</f>
        <v>Normal</v>
      </c>
      <c r="O32" s="3" t="str">
        <f>IFERROR(__xludf.DUMMYFUNCTION("""COMPUTED_VALUE"""),"Non Urgent")</f>
        <v>Non Urgent</v>
      </c>
      <c r="P32" s="7">
        <f>IFERROR(__xludf.DUMMYFUNCTION("""COMPUTED_VALUE"""),46202.91479916667)</f>
        <v>46202.9148</v>
      </c>
    </row>
    <row r="33">
      <c r="A33" s="4">
        <f>IFERROR(__xludf.DUMMYFUNCTION("""COMPUTED_VALUE"""),45692.68169960647)</f>
        <v>45692.6817</v>
      </c>
      <c r="B33" s="3" t="str">
        <f>IFERROR(__xludf.DUMMYFUNCTION("""COMPUTED_VALUE"""),"RIABR0011")</f>
        <v>RIABR0011</v>
      </c>
      <c r="C33" s="3" t="str">
        <f>IFERROR(__xludf.DUMMYFUNCTION("""COMPUTED_VALUE"""),"EJO")</f>
        <v>EJO</v>
      </c>
      <c r="D33" s="3" t="str">
        <f>IFERROR(__xludf.DUMMYFUNCTION("""COMPUTED_VALUE"""),"EJO/2024/12/153")</f>
        <v>EJO/2024/12/153</v>
      </c>
      <c r="E33" s="3" t="str">
        <f>IFERROR(__xludf.DUMMYFUNCTION("""COMPUTED_VALUE"""),"WWTP")</f>
        <v>WWTP</v>
      </c>
      <c r="F33" s="3" t="str">
        <f>IFERROR(__xludf.DUMMYFUNCTION("""COMPUTED_VALUE"""),"Level Switch")</f>
        <v>Level Switch</v>
      </c>
      <c r="G33" s="3" t="str">
        <f>IFERROR(__xludf.DUMMYFUNCTION("""COMPUTED_VALUE"""),"Sensor Level dan Control Unit Tangki Naocl. Merk Wingel ")</f>
        <v>Sensor Level dan Control Unit Tangki Naocl. Merk Wingel </v>
      </c>
      <c r="H33" s="3" t="str">
        <f>IFERROR(__xludf.DUMMYFUNCTION("""COMPUTED_VALUE"""),"Wingel")</f>
        <v>Wingel</v>
      </c>
      <c r="I33" s="3">
        <f>IFERROR(__xludf.DUMMYFUNCTION("""COMPUTED_VALUE"""),2.0)</f>
        <v>2</v>
      </c>
      <c r="J33" s="3" t="str">
        <f>IFERROR(__xludf.DUMMYFUNCTION("""COMPUTED_VALUE"""),"Set")</f>
        <v>Set</v>
      </c>
      <c r="K33" s="5" t="str">
        <f>IFERROR(__xludf.DUMMYFUNCTION("""COMPUTED_VALUE"""),"https://drive.google.com/file/d/1YE9To6RWOVeSyT_g1aFXGlp7-pF3EBto/view?usp=drivesdk")</f>
        <v>https://drive.google.com/file/d/1YE9To6RWOVeSyT_g1aFXGlp7-pF3EBto/view?usp=drivesdk</v>
      </c>
      <c r="L33" s="3" t="str">
        <f>IFERROR(__xludf.DUMMYFUNCTION("""COMPUTED_VALUE"""),"Level Switch Naocl dan SMBS perlu ganti.")</f>
        <v>Level Switch Naocl dan SMBS perlu ganti.</v>
      </c>
      <c r="M33" s="3" t="str">
        <f>IFERROR(__xludf.DUMMYFUNCTION("""COMPUTED_VALUE"""),"Approve")</f>
        <v>Approve</v>
      </c>
      <c r="N33" s="3" t="str">
        <f>IFERROR(__xludf.DUMMYFUNCTION("""COMPUTED_VALUE"""),"Normal")</f>
        <v>Normal</v>
      </c>
      <c r="O33" s="3" t="str">
        <f>IFERROR(__xludf.DUMMYFUNCTION("""COMPUTED_VALUE"""),"Non Urgent")</f>
        <v>Non Urgent</v>
      </c>
      <c r="P33" s="7">
        <f>IFERROR(__xludf.DUMMYFUNCTION("""COMPUTED_VALUE"""),45694.746460925926)</f>
        <v>45694.74646</v>
      </c>
    </row>
    <row r="34">
      <c r="A34" s="4">
        <f>IFERROR(__xludf.DUMMYFUNCTION("""COMPUTED_VALUE"""),45694.59800484953)</f>
        <v>45694.598</v>
      </c>
      <c r="B34" s="3" t="str">
        <f>IFERROR(__xludf.DUMMYFUNCTION("""COMPUTED_VALUE"""),"NDSBR0001")</f>
        <v>NDSBR0001</v>
      </c>
      <c r="C34" s="3" t="str">
        <f>IFERROR(__xludf.DUMMYFUNCTION("""COMPUTED_VALUE"""),"EJO")</f>
        <v>EJO</v>
      </c>
      <c r="D34" s="3" t="str">
        <f>IFERROR(__xludf.DUMMYFUNCTION("""COMPUTED_VALUE"""),"EJO/2025/01/68")</f>
        <v>EJO/2025/01/68</v>
      </c>
      <c r="E34" s="3" t="str">
        <f>IFERROR(__xludf.DUMMYFUNCTION("""COMPUTED_VALUE"""),"Filling")</f>
        <v>Filling</v>
      </c>
      <c r="F34" s="3" t="str">
        <f>IFERROR(__xludf.DUMMYFUNCTION("""COMPUTED_VALUE"""),"Clamp Ferrule")</f>
        <v>Clamp Ferrule</v>
      </c>
      <c r="G34" s="3" t="str">
        <f>IFERROR(__xludf.DUMMYFUNCTION("""COMPUTED_VALUE"""),"sanitary, ukuran 3/4 inch")</f>
        <v>sanitary, ukuran 3/4 inch</v>
      </c>
      <c r="H34" s="3" t="str">
        <f>IFERROR(__xludf.DUMMYFUNCTION("""COMPUTED_VALUE"""),"-")</f>
        <v>-</v>
      </c>
      <c r="I34" s="3">
        <f>IFERROR(__xludf.DUMMYFUNCTION("""COMPUTED_VALUE"""),10.0)</f>
        <v>10</v>
      </c>
      <c r="J34" s="3" t="str">
        <f>IFERROR(__xludf.DUMMYFUNCTION("""COMPUTED_VALUE"""),"Pcs")</f>
        <v>Pcs</v>
      </c>
      <c r="K34" s="5" t="str">
        <f>IFERROR(__xludf.DUMMYFUNCTION("""COMPUTED_VALUE"""),"https://www.tokopedia.com/cahabtek/clamp-ferrule-sanitary-3-4-inch")</f>
        <v>https://www.tokopedia.com/cahabtek/clamp-ferrule-sanitary-3-4-inch</v>
      </c>
      <c r="L34" s="3" t="str">
        <f>IFERROR(__xludf.DUMMYFUNCTION("""COMPUTED_VALUE"""),"-")</f>
        <v>-</v>
      </c>
      <c r="M34" s="3" t="str">
        <f>IFERROR(__xludf.DUMMYFUNCTION("""COMPUTED_VALUE"""),"Approve")</f>
        <v>Approve</v>
      </c>
      <c r="N34" s="3" t="str">
        <f>IFERROR(__xludf.DUMMYFUNCTION("""COMPUTED_VALUE"""),"Normal")</f>
        <v>Normal</v>
      </c>
      <c r="O34" s="3" t="str">
        <f>IFERROR(__xludf.DUMMYFUNCTION("""COMPUTED_VALUE"""),"Non Urgent")</f>
        <v>Non Urgent</v>
      </c>
      <c r="P34" s="7">
        <f>IFERROR(__xludf.DUMMYFUNCTION("""COMPUTED_VALUE"""),45720.66549532408)</f>
        <v>45720.6655</v>
      </c>
    </row>
    <row r="35">
      <c r="A35" s="4">
        <f>IFERROR(__xludf.DUMMYFUNCTION("""COMPUTED_VALUE"""),45695.55478181713)</f>
        <v>45695.55478</v>
      </c>
      <c r="B35" s="3" t="str">
        <f>IFERROR(__xludf.DUMMYFUNCTION("""COMPUTED_VALUE"""),"SFHBR0003")</f>
        <v>SFHBR0003</v>
      </c>
      <c r="C35" s="3" t="str">
        <f>IFERROR(__xludf.DUMMYFUNCTION("""COMPUTED_VALUE"""),"Consumable")</f>
        <v>Consumable</v>
      </c>
      <c r="D35" s="3" t="str">
        <f>IFERROR(__xludf.DUMMYFUNCTION("""COMPUTED_VALUE"""),"-")</f>
        <v>-</v>
      </c>
      <c r="E35" s="3" t="str">
        <f>IFERROR(__xludf.DUMMYFUNCTION("""COMPUTED_VALUE"""),"lantai 2")</f>
        <v>lantai 2</v>
      </c>
      <c r="F35" s="3" t="str">
        <f>IFERROR(__xludf.DUMMYFUNCTION("""COMPUTED_VALUE"""),"coumpond sandwich")</f>
        <v>coumpond sandwich</v>
      </c>
      <c r="G35" s="3" t="str">
        <f>IFERROR(__xludf.DUMMYFUNCTION("""COMPUTED_VALUE"""),"cuompond")</f>
        <v>cuompond</v>
      </c>
      <c r="H35" s="3" t="str">
        <f>IFERROR(__xludf.DUMMYFUNCTION("""COMPUTED_VALUE"""),"rubbing ")</f>
        <v>rubbing </v>
      </c>
      <c r="I35" s="3">
        <f>IFERROR(__xludf.DUMMYFUNCTION("""COMPUTED_VALUE"""),4.0)</f>
        <v>4</v>
      </c>
      <c r="J35" s="3" t="str">
        <f>IFERROR(__xludf.DUMMYFUNCTION("""COMPUTED_VALUE"""),"kg")</f>
        <v>kg</v>
      </c>
      <c r="K35" s="5" t="str">
        <f>IFERROR(__xludf.DUMMYFUNCTION("""COMPUTED_VALUE"""),"https://tokopedia.link/nPYHUFgOMQb")</f>
        <v>https://tokopedia.link/nPYHUFgOMQb</v>
      </c>
      <c r="L35" s="3" t="str">
        <f>IFERROR(__xludf.DUMMYFUNCTION("""COMPUTED_VALUE"""),"-")</f>
        <v>-</v>
      </c>
      <c r="M35" s="3" t="str">
        <f>IFERROR(__xludf.DUMMYFUNCTION("""COMPUTED_VALUE"""),"Approve")</f>
        <v>Approve</v>
      </c>
      <c r="N35" s="3" t="str">
        <f>IFERROR(__xludf.DUMMYFUNCTION("""COMPUTED_VALUE"""),"Normal")</f>
        <v>Normal</v>
      </c>
      <c r="O35" s="3" t="str">
        <f>IFERROR(__xludf.DUMMYFUNCTION("""COMPUTED_VALUE"""),"Non Urgent")</f>
        <v>Non Urgent</v>
      </c>
      <c r="P35" s="7">
        <f>IFERROR(__xludf.DUMMYFUNCTION("""COMPUTED_VALUE"""),45698.63344725694)</f>
        <v>45698.63345</v>
      </c>
    </row>
    <row r="36">
      <c r="A36" s="4">
        <f>IFERROR(__xludf.DUMMYFUNCTION("""COMPUTED_VALUE"""),45695.56057479166)</f>
        <v>45695.56057</v>
      </c>
      <c r="B36" s="3" t="str">
        <f>IFERROR(__xludf.DUMMYFUNCTION("""COMPUTED_VALUE"""),"SFHBR0004")</f>
        <v>SFHBR0004</v>
      </c>
      <c r="C36" s="3" t="str">
        <f>IFERROR(__xludf.DUMMYFUNCTION("""COMPUTED_VALUE"""),"Consumable")</f>
        <v>Consumable</v>
      </c>
      <c r="D36" s="3" t="str">
        <f>IFERROR(__xludf.DUMMYFUNCTION("""COMPUTED_VALUE"""),"-")</f>
        <v>-</v>
      </c>
      <c r="E36" s="3" t="str">
        <f>IFERROR(__xludf.DUMMYFUNCTION("""COMPUTED_VALUE"""),"lantai 2")</f>
        <v>lantai 2</v>
      </c>
      <c r="F36" s="3" t="str">
        <f>IFERROR(__xludf.DUMMYFUNCTION("""COMPUTED_VALUE"""),"semen putih")</f>
        <v>semen putih</v>
      </c>
      <c r="G36" s="3" t="str">
        <f>IFERROR(__xludf.DUMMYFUNCTION("""COMPUTED_VALUE"""),"dempul buat dinding")</f>
        <v>dempul buat dinding</v>
      </c>
      <c r="H36" s="3" t="str">
        <f>IFERROR(__xludf.DUMMYFUNCTION("""COMPUTED_VALUE"""),"tiga roda")</f>
        <v>tiga roda</v>
      </c>
      <c r="I36" s="3">
        <f>IFERROR(__xludf.DUMMYFUNCTION("""COMPUTED_VALUE"""),80.0)</f>
        <v>80</v>
      </c>
      <c r="J36" s="3" t="str">
        <f>IFERROR(__xludf.DUMMYFUNCTION("""COMPUTED_VALUE"""),"kg")</f>
        <v>kg</v>
      </c>
      <c r="K36" s="5" t="str">
        <f>IFERROR(__xludf.DUMMYFUNCTION("""COMPUTED_VALUE"""),"https://tokopedia.link/dObyhZVOMQb")</f>
        <v>https://tokopedia.link/dObyhZVOMQb</v>
      </c>
      <c r="L36" s="3" t="str">
        <f>IFERROR(__xludf.DUMMYFUNCTION("""COMPUTED_VALUE"""),"-")</f>
        <v>-</v>
      </c>
      <c r="M36" s="3" t="str">
        <f>IFERROR(__xludf.DUMMYFUNCTION("""COMPUTED_VALUE"""),"Approve")</f>
        <v>Approve</v>
      </c>
      <c r="N36" s="3" t="str">
        <f>IFERROR(__xludf.DUMMYFUNCTION("""COMPUTED_VALUE"""),"Normal")</f>
        <v>Normal</v>
      </c>
      <c r="O36" s="3" t="str">
        <f>IFERROR(__xludf.DUMMYFUNCTION("""COMPUTED_VALUE"""),"Non Urgent")</f>
        <v>Non Urgent</v>
      </c>
      <c r="P36" s="7">
        <f>IFERROR(__xludf.DUMMYFUNCTION("""COMPUTED_VALUE"""),45698.631758738426)</f>
        <v>45698.63176</v>
      </c>
    </row>
    <row r="37">
      <c r="A37" s="4">
        <f>IFERROR(__xludf.DUMMYFUNCTION("""COMPUTED_VALUE"""),45696.26774259259)</f>
        <v>45696.26774</v>
      </c>
      <c r="B37" s="3" t="str">
        <f>IFERROR(__xludf.DUMMYFUNCTION("""COMPUTED_VALUE"""),"RIABR0012")</f>
        <v>RIABR0012</v>
      </c>
      <c r="C37" s="3" t="str">
        <f>IFERROR(__xludf.DUMMYFUNCTION("""COMPUTED_VALUE"""),"EJO")</f>
        <v>EJO</v>
      </c>
      <c r="D37" s="3" t="str">
        <f>IFERROR(__xludf.DUMMYFUNCTION("""COMPUTED_VALUE"""),"EJO/2024/12/68")</f>
        <v>EJO/2024/12/68</v>
      </c>
      <c r="E37" s="3" t="str">
        <f>IFERROR(__xludf.DUMMYFUNCTION("""COMPUTED_VALUE"""),"Building Lt 4")</f>
        <v>Building Lt 4</v>
      </c>
      <c r="F37" s="3" t="str">
        <f>IFERROR(__xludf.DUMMYFUNCTION("""COMPUTED_VALUE"""),"Ballast")</f>
        <v>Ballast</v>
      </c>
      <c r="G37" s="3" t="str">
        <f>IFERROR(__xludf.DUMMYFUNCTION("""COMPUTED_VALUE"""),"Talled SMPS 300 TLD 12 volt Driver")</f>
        <v>Talled SMPS 300 TLD 12 volt Driver</v>
      </c>
      <c r="H37" s="3" t="str">
        <f>IFERROR(__xludf.DUMMYFUNCTION("""COMPUTED_VALUE"""),"Talled")</f>
        <v>Talled</v>
      </c>
      <c r="I37" s="3">
        <f>IFERROR(__xludf.DUMMYFUNCTION("""COMPUTED_VALUE"""),2.0)</f>
        <v>2</v>
      </c>
      <c r="J37" s="3" t="str">
        <f>IFERROR(__xludf.DUMMYFUNCTION("""COMPUTED_VALUE"""),"Pcs")</f>
        <v>Pcs</v>
      </c>
      <c r="K37" s="5" t="str">
        <f>IFERROR(__xludf.DUMMYFUNCTION("""COMPUTED_VALUE"""),"https://www.tokopedia.com/industrialgs/talled-smps-300-tld-12-volt-driver-led-waterproof-trafo-made-in-korea-1729968416309740548?extParam=ivf%3Dfalse%26keyword%3Dtalled+smps+300+tld+12%26search_id%3D20250207232458E5AF7B92904D6F00CUT4%26src%3Dsearch")</f>
        <v>https://www.tokopedia.com/industrialgs/talled-smps-300-tld-12-volt-driver-led-waterproof-trafo-made-in-korea-1729968416309740548?extParam=ivf%3Dfalse%26keyword%3Dtalled+smps+300+tld+12%26search_id%3D20250207232458E5AF7B92904D6F00CUT4%26src%3Dsearch</v>
      </c>
      <c r="L37" s="3" t="str">
        <f>IFERROR(__xludf.DUMMYFUNCTION("""COMPUTED_VALUE"""),"Ballast rusak")</f>
        <v>Ballast rusak</v>
      </c>
      <c r="M37" s="3" t="str">
        <f>IFERROR(__xludf.DUMMYFUNCTION("""COMPUTED_VALUE"""),"Approve")</f>
        <v>Approve</v>
      </c>
      <c r="N37" s="3" t="str">
        <f>IFERROR(__xludf.DUMMYFUNCTION("""COMPUTED_VALUE"""),"Normal")</f>
        <v>Normal</v>
      </c>
      <c r="O37" s="3" t="str">
        <f>IFERROR(__xludf.DUMMYFUNCTION("""COMPUTED_VALUE"""),"Non Urgent")</f>
        <v>Non Urgent</v>
      </c>
      <c r="P37" s="7">
        <f>IFERROR(__xludf.DUMMYFUNCTION("""COMPUTED_VALUE"""),45698.634394733795)</f>
        <v>45698.63439</v>
      </c>
    </row>
    <row r="38">
      <c r="A38" s="4">
        <f>IFERROR(__xludf.DUMMYFUNCTION("""COMPUTED_VALUE"""),45696.27971736111)</f>
        <v>45696.27972</v>
      </c>
      <c r="B38" s="3" t="str">
        <f>IFERROR(__xludf.DUMMYFUNCTION("""COMPUTED_VALUE"""),"RIABR0013")</f>
        <v>RIABR0013</v>
      </c>
      <c r="C38" s="3" t="str">
        <f>IFERROR(__xludf.DUMMYFUNCTION("""COMPUTED_VALUE"""),"EJO")</f>
        <v>EJO</v>
      </c>
      <c r="D38" s="3" t="str">
        <f>IFERROR(__xludf.DUMMYFUNCTION("""COMPUTED_VALUE"""),"EJO/2024/12/68")</f>
        <v>EJO/2024/12/68</v>
      </c>
      <c r="E38" s="3" t="str">
        <f>IFERROR(__xludf.DUMMYFUNCTION("""COMPUTED_VALUE"""),"Building Lt 4")</f>
        <v>Building Lt 4</v>
      </c>
      <c r="F38" s="3" t="str">
        <f>IFERROR(__xludf.DUMMYFUNCTION("""COMPUTED_VALUE"""),"Lampu LED")</f>
        <v>Lampu LED</v>
      </c>
      <c r="G38" s="3" t="str">
        <f>IFERROR(__xludf.DUMMYFUNCTION("""COMPUTED_VALUE"""),"SAMSUNG Lampu LED Modul 5730 SMD 12v DC 3 Mata 12 v volt Module")</f>
        <v>SAMSUNG Lampu LED Modul 5730 SMD 12v DC 3 Mata 12 v volt Module</v>
      </c>
      <c r="H38" s="3" t="str">
        <f>IFERROR(__xludf.DUMMYFUNCTION("""COMPUTED_VALUE"""),"Samsung")</f>
        <v>Samsung</v>
      </c>
      <c r="I38" s="3">
        <f>IFERROR(__xludf.DUMMYFUNCTION("""COMPUTED_VALUE"""),20.0)</f>
        <v>20</v>
      </c>
      <c r="J38" s="3" t="str">
        <f>IFERROR(__xludf.DUMMYFUNCTION("""COMPUTED_VALUE"""),"Pcs")</f>
        <v>Pcs</v>
      </c>
      <c r="K38" s="5" t="str">
        <f>IFERROR(__xludf.DUMMYFUNCTION("""COMPUTED_VALUE"""),"https://www.tokopedia.com/adn-official/samsung-lampu-led-modul-5730-smd-12v-dc-3-mata-12-v-volt-module-ori-putih?extParam=ivf%3Dfalse%26keyword%3Dlampu+led+12+volt+3+mata%26search_id%3D202502072340407D715104E2EFC91EFQIA%26src%3Dsearch")</f>
        <v>https://www.tokopedia.com/adn-official/samsung-lampu-led-modul-5730-smd-12v-dc-3-mata-12-v-volt-module-ori-putih?extParam=ivf%3Dfalse%26keyword%3Dlampu+led+12+volt+3+mata%26search_id%3D202502072340407D715104E2EFC91EFQIA%26src%3Dsearch</v>
      </c>
      <c r="L38" s="3" t="str">
        <f>IFERROR(__xludf.DUMMYFUNCTION("""COMPUTED_VALUE"""),"Lampu Buat Logo O Fonko")</f>
        <v>Lampu Buat Logo O Fonko</v>
      </c>
      <c r="M38" s="3" t="str">
        <f>IFERROR(__xludf.DUMMYFUNCTION("""COMPUTED_VALUE"""),"Approve")</f>
        <v>Approve</v>
      </c>
      <c r="N38" s="3" t="str">
        <f>IFERROR(__xludf.DUMMYFUNCTION("""COMPUTED_VALUE"""),"Normal")</f>
        <v>Normal</v>
      </c>
      <c r="O38" s="3" t="str">
        <f>IFERROR(__xludf.DUMMYFUNCTION("""COMPUTED_VALUE"""),"Non Urgent")</f>
        <v>Non Urgent</v>
      </c>
      <c r="P38" s="3">
        <f>IFERROR(__xludf.DUMMYFUNCTION("""COMPUTED_VALUE"""),45698.6346064699)</f>
        <v>45698.63461</v>
      </c>
    </row>
    <row r="39">
      <c r="A39" s="4">
        <f>IFERROR(__xludf.DUMMYFUNCTION("""COMPUTED_VALUE"""),45696.29381403935)</f>
        <v>45696.29381</v>
      </c>
      <c r="B39" s="3" t="str">
        <f>IFERROR(__xludf.DUMMYFUNCTION("""COMPUTED_VALUE"""),"RIABR0014")</f>
        <v>RIABR0014</v>
      </c>
      <c r="C39" s="3" t="str">
        <f>IFERROR(__xludf.DUMMYFUNCTION("""COMPUTED_VALUE"""),"EJO")</f>
        <v>EJO</v>
      </c>
      <c r="D39" s="3" t="str">
        <f>IFERROR(__xludf.DUMMYFUNCTION("""COMPUTED_VALUE"""),"EJO/2025/02/45")</f>
        <v>EJO/2025/02/45</v>
      </c>
      <c r="E39" s="3" t="str">
        <f>IFERROR(__xludf.DUMMYFUNCTION("""COMPUTED_VALUE"""),"WWTP")</f>
        <v>WWTP</v>
      </c>
      <c r="F39" s="3" t="str">
        <f>IFERROR(__xludf.DUMMYFUNCTION("""COMPUTED_VALUE"""),"Solenoid Valve")</f>
        <v>Solenoid Valve</v>
      </c>
      <c r="G39" s="3" t="str">
        <f>IFERROR(__xludf.DUMMYFUNCTION("""COMPUTED_VALUE"""),"solenoid valve emc 1 inch stainless 304 220 VAC")</f>
        <v>solenoid valve emc 1 inch stainless 304 220 VAC</v>
      </c>
      <c r="H39" s="3" t="str">
        <f>IFERROR(__xludf.DUMMYFUNCTION("""COMPUTED_VALUE"""),"EMC")</f>
        <v>EMC</v>
      </c>
      <c r="I39" s="3">
        <f>IFERROR(__xludf.DUMMYFUNCTION("""COMPUTED_VALUE"""),3.0)</f>
        <v>3</v>
      </c>
      <c r="J39" s="3" t="str">
        <f>IFERROR(__xludf.DUMMYFUNCTION("""COMPUTED_VALUE"""),"Pcs")</f>
        <v>Pcs</v>
      </c>
      <c r="K39" s="5" t="str">
        <f>IFERROR(__xludf.DUMMYFUNCTION("""COMPUTED_VALUE"""),"https://www.tokopedia.com/ciptajayateknik/solenoid-valve-emc-1-inch-stainless-304?extParam=ivf%3Dfalse%26keyword%3Dsolenoid+valve+1+inch%26search_id%3D20250208000026D9721EA3F54E2D2075HO%26src%3Dsearch")</f>
        <v>https://www.tokopedia.com/ciptajayateknik/solenoid-valve-emc-1-inch-stainless-304?extParam=ivf%3Dfalse%26keyword%3Dsolenoid+valve+1+inch%26search_id%3D20250208000026D9721EA3F54E2D2075HO%26src%3Dsearch</v>
      </c>
      <c r="L39" s="3" t="str">
        <f>IFERROR(__xludf.DUMMYFUNCTION("""COMPUTED_VALUE"""),"SV WWTP Bocor ada 2 pcs")</f>
        <v>SV WWTP Bocor ada 2 pcs</v>
      </c>
      <c r="M39" s="3" t="str">
        <f>IFERROR(__xludf.DUMMYFUNCTION("""COMPUTED_VALUE"""),"Approve")</f>
        <v>Approve</v>
      </c>
      <c r="N39" s="3" t="str">
        <f>IFERROR(__xludf.DUMMYFUNCTION("""COMPUTED_VALUE"""),"Normal")</f>
        <v>Normal</v>
      </c>
      <c r="O39" s="3" t="str">
        <f>IFERROR(__xludf.DUMMYFUNCTION("""COMPUTED_VALUE"""),"Non Urgent")</f>
        <v>Non Urgent</v>
      </c>
      <c r="P39" s="7">
        <f>IFERROR(__xludf.DUMMYFUNCTION("""COMPUTED_VALUE"""),45698.63570488426)</f>
        <v>45698.6357</v>
      </c>
    </row>
    <row r="40">
      <c r="A40" s="4">
        <f>IFERROR(__xludf.DUMMYFUNCTION("""COMPUTED_VALUE"""),45697.703081736116)</f>
        <v>45697.70308</v>
      </c>
      <c r="B40" s="3" t="str">
        <f>IFERROR(__xludf.DUMMYFUNCTION("""COMPUTED_VALUE"""),"INNBR0001")</f>
        <v>INNBR0001</v>
      </c>
      <c r="C40" s="3" t="str">
        <f>IFERROR(__xludf.DUMMYFUNCTION("""COMPUTED_VALUE"""),"Critical Part")</f>
        <v>Critical Part</v>
      </c>
      <c r="D40" s="3" t="str">
        <f>IFERROR(__xludf.DUMMYFUNCTION("""COMPUTED_VALUE"""),"-")</f>
        <v>-</v>
      </c>
      <c r="E40" s="3" t="str">
        <f>IFERROR(__xludf.DUMMYFUNCTION("""COMPUTED_VALUE"""),"Cartoning")</f>
        <v>Cartoning</v>
      </c>
      <c r="F40" s="3" t="str">
        <f>IFERROR(__xludf.DUMMYFUNCTION("""COMPUTED_VALUE"""),"Toothed belt 240 L 075")</f>
        <v>Toothed belt 240 L 075</v>
      </c>
      <c r="G40" s="3" t="str">
        <f>IFERROR(__xludf.DUMMYFUNCTION("""COMPUTED_VALUE"""),"Sesuai penawaran")</f>
        <v>Sesuai penawaran</v>
      </c>
      <c r="H40" s="3" t="str">
        <f>IFERROR(__xludf.DUMMYFUNCTION("""COMPUTED_VALUE"""),"NA")</f>
        <v>NA</v>
      </c>
      <c r="I40" s="3">
        <f>IFERROR(__xludf.DUMMYFUNCTION("""COMPUTED_VALUE"""),1.0)</f>
        <v>1</v>
      </c>
      <c r="J40" s="3" t="str">
        <f>IFERROR(__xludf.DUMMYFUNCTION("""COMPUTED_VALUE"""),"Pcs")</f>
        <v>Pcs</v>
      </c>
      <c r="K40" s="5" t="str">
        <f>IFERROR(__xludf.DUMMYFUNCTION("""COMPUTED_VALUE"""),"https://drive.google.com/drive/folders/1EKMzaK4ks98e51fyzunPQmus_nVke1w3?usp=drive_link")</f>
        <v>https://drive.google.com/drive/folders/1EKMzaK4ks98e51fyzunPQmus_nVke1w3?usp=drive_link</v>
      </c>
      <c r="L40" s="3" t="str">
        <f>IFERROR(__xludf.DUMMYFUNCTION("""COMPUTED_VALUE"""),"-")</f>
        <v>-</v>
      </c>
      <c r="M40" s="3" t="str">
        <f>IFERROR(__xludf.DUMMYFUNCTION("""COMPUTED_VALUE"""),"Approve")</f>
        <v>Approve</v>
      </c>
      <c r="N40" s="3" t="str">
        <f>IFERROR(__xludf.DUMMYFUNCTION("""COMPUTED_VALUE"""),"Normal")</f>
        <v>Normal</v>
      </c>
      <c r="O40" s="3" t="str">
        <f>IFERROR(__xludf.DUMMYFUNCTION("""COMPUTED_VALUE"""),"Non Urgent")</f>
        <v>Non Urgent</v>
      </c>
      <c r="P40" s="7">
        <f>IFERROR(__xludf.DUMMYFUNCTION("""COMPUTED_VALUE"""),45720.94721150463)</f>
        <v>45720.94721</v>
      </c>
    </row>
    <row r="41">
      <c r="A41" s="4">
        <f>IFERROR(__xludf.DUMMYFUNCTION("""COMPUTED_VALUE"""),45697.70315533565)</f>
        <v>45697.70316</v>
      </c>
      <c r="B41" s="3" t="str">
        <f>IFERROR(__xludf.DUMMYFUNCTION("""COMPUTED_VALUE"""),"INNBR0002")</f>
        <v>INNBR0002</v>
      </c>
      <c r="C41" s="3" t="str">
        <f>IFERROR(__xludf.DUMMYFUNCTION("""COMPUTED_VALUE"""),"Critical Part")</f>
        <v>Critical Part</v>
      </c>
      <c r="D41" s="3" t="str">
        <f>IFERROR(__xludf.DUMMYFUNCTION("""COMPUTED_VALUE"""),"-")</f>
        <v>-</v>
      </c>
      <c r="E41" s="3" t="str">
        <f>IFERROR(__xludf.DUMMYFUNCTION("""COMPUTED_VALUE"""),"Cartoning")</f>
        <v>Cartoning</v>
      </c>
      <c r="F41" s="3" t="str">
        <f>IFERROR(__xludf.DUMMYFUNCTION("""COMPUTED_VALUE"""),"Spring plate")</f>
        <v>Spring plate</v>
      </c>
      <c r="G41" s="3" t="str">
        <f>IFERROR(__xludf.DUMMYFUNCTION("""COMPUTED_VALUE"""),"Sesuai penawaran")</f>
        <v>Sesuai penawaran</v>
      </c>
      <c r="H41" s="3" t="str">
        <f>IFERROR(__xludf.DUMMYFUNCTION("""COMPUTED_VALUE"""),"GUK")</f>
        <v>GUK</v>
      </c>
      <c r="I41" s="3">
        <f>IFERROR(__xludf.DUMMYFUNCTION("""COMPUTED_VALUE"""),6.0)</f>
        <v>6</v>
      </c>
      <c r="J41" s="3" t="str">
        <f>IFERROR(__xludf.DUMMYFUNCTION("""COMPUTED_VALUE"""),"Pcs")</f>
        <v>Pcs</v>
      </c>
      <c r="K41" s="5" t="str">
        <f>IFERROR(__xludf.DUMMYFUNCTION("""COMPUTED_VALUE"""),"https://drive.google.com/drive/folders/1EKMzaK4ks98e51fyzunPQmus_nVke1w3?usp=drive_link")</f>
        <v>https://drive.google.com/drive/folders/1EKMzaK4ks98e51fyzunPQmus_nVke1w3?usp=drive_link</v>
      </c>
      <c r="L41" s="3" t="str">
        <f>IFERROR(__xludf.DUMMYFUNCTION("""COMPUTED_VALUE"""),"-")</f>
        <v>-</v>
      </c>
      <c r="M41" s="3" t="str">
        <f>IFERROR(__xludf.DUMMYFUNCTION("""COMPUTED_VALUE"""),"Approve")</f>
        <v>Approve</v>
      </c>
      <c r="N41" s="3" t="str">
        <f>IFERROR(__xludf.DUMMYFUNCTION("""COMPUTED_VALUE"""),"Normal")</f>
        <v>Normal</v>
      </c>
      <c r="O41" s="3" t="str">
        <f>IFERROR(__xludf.DUMMYFUNCTION("""COMPUTED_VALUE"""),"Non Urgent")</f>
        <v>Non Urgent</v>
      </c>
      <c r="P41" s="7">
        <f>IFERROR(__xludf.DUMMYFUNCTION("""COMPUTED_VALUE"""),45736.69699439815)</f>
        <v>45736.69699</v>
      </c>
    </row>
    <row r="42">
      <c r="A42" s="4">
        <f>IFERROR(__xludf.DUMMYFUNCTION("""COMPUTED_VALUE"""),45697.70315533565)</f>
        <v>45697.70316</v>
      </c>
      <c r="B42" s="3" t="str">
        <f>IFERROR(__xludf.DUMMYFUNCTION("""COMPUTED_VALUE"""),"INNBR0010")</f>
        <v>INNBR0010</v>
      </c>
      <c r="C42" s="3" t="str">
        <f>IFERROR(__xludf.DUMMYFUNCTION("""COMPUTED_VALUE"""),"Critical Part")</f>
        <v>Critical Part</v>
      </c>
      <c r="D42" s="3" t="str">
        <f>IFERROR(__xludf.DUMMYFUNCTION("""COMPUTED_VALUE"""),"-")</f>
        <v>-</v>
      </c>
      <c r="E42" s="3" t="str">
        <f>IFERROR(__xludf.DUMMYFUNCTION("""COMPUTED_VALUE"""),"Cartoning")</f>
        <v>Cartoning</v>
      </c>
      <c r="F42" s="3" t="str">
        <f>IFERROR(__xludf.DUMMYFUNCTION("""COMPUTED_VALUE"""),"Tension spring")</f>
        <v>Tension spring</v>
      </c>
      <c r="G42" s="3" t="str">
        <f>IFERROR(__xludf.DUMMYFUNCTION("""COMPUTED_VALUE"""),"Sesuai penawaran")</f>
        <v>Sesuai penawaran</v>
      </c>
      <c r="H42" s="3" t="str">
        <f>IFERROR(__xludf.DUMMYFUNCTION("""COMPUTED_VALUE"""),"GUK")</f>
        <v>GUK</v>
      </c>
      <c r="I42" s="3">
        <f>IFERROR(__xludf.DUMMYFUNCTION("""COMPUTED_VALUE"""),2.0)</f>
        <v>2</v>
      </c>
      <c r="J42" s="3" t="str">
        <f>IFERROR(__xludf.DUMMYFUNCTION("""COMPUTED_VALUE"""),"Pcs")</f>
        <v>Pcs</v>
      </c>
      <c r="K42" s="5" t="str">
        <f>IFERROR(__xludf.DUMMYFUNCTION("""COMPUTED_VALUE"""),"https://drive.google.com/drive/folders/1EKMzaK4ks98e51fyzunPQmus_nVke1w3?usp=drive_link")</f>
        <v>https://drive.google.com/drive/folders/1EKMzaK4ks98e51fyzunPQmus_nVke1w3?usp=drive_link</v>
      </c>
      <c r="L42" s="3" t="str">
        <f>IFERROR(__xludf.DUMMYFUNCTION("""COMPUTED_VALUE"""),"-")</f>
        <v>-</v>
      </c>
      <c r="M42" s="3" t="str">
        <f>IFERROR(__xludf.DUMMYFUNCTION("""COMPUTED_VALUE"""),"Approve")</f>
        <v>Approve</v>
      </c>
      <c r="N42" s="3" t="str">
        <f>IFERROR(__xludf.DUMMYFUNCTION("""COMPUTED_VALUE"""),"Normal")</f>
        <v>Normal</v>
      </c>
      <c r="O42" s="3" t="str">
        <f>IFERROR(__xludf.DUMMYFUNCTION("""COMPUTED_VALUE"""),"Non Urgent")</f>
        <v>Non Urgent</v>
      </c>
      <c r="P42" s="7">
        <f>IFERROR(__xludf.DUMMYFUNCTION("""COMPUTED_VALUE"""),45712.98077650463)</f>
        <v>45712.98078</v>
      </c>
    </row>
    <row r="43">
      <c r="A43" s="4">
        <f>IFERROR(__xludf.DUMMYFUNCTION("""COMPUTED_VALUE"""),45697.73605521991)</f>
        <v>45697.73606</v>
      </c>
      <c r="B43" s="3" t="str">
        <f>IFERROR(__xludf.DUMMYFUNCTION("""COMPUTED_VALUE"""),"INNBR0013")</f>
        <v>INNBR0013</v>
      </c>
      <c r="C43" s="3" t="str">
        <f>IFERROR(__xludf.DUMMYFUNCTION("""COMPUTED_VALUE"""),"Consumable")</f>
        <v>Consumable</v>
      </c>
      <c r="D43" s="3" t="str">
        <f>IFERROR(__xludf.DUMMYFUNCTION("""COMPUTED_VALUE"""),"-")</f>
        <v>-</v>
      </c>
      <c r="E43" s="3" t="str">
        <f>IFERROR(__xludf.DUMMYFUNCTION("""COMPUTED_VALUE"""),"Washing")</f>
        <v>Washing</v>
      </c>
      <c r="F43" s="3" t="str">
        <f>IFERROR(__xludf.DUMMYFUNCTION("""COMPUTED_VALUE"""),"Oil Seal TC 15x24x7, NOK")</f>
        <v>Oil Seal TC 15x24x7, NOK</v>
      </c>
      <c r="G43" s="3" t="str">
        <f>IFERROR(__xludf.DUMMYFUNCTION("""COMPUTED_VALUE"""),"-")</f>
        <v>-</v>
      </c>
      <c r="H43" s="3" t="str">
        <f>IFERROR(__xludf.DUMMYFUNCTION("""COMPUTED_VALUE"""),"NOK")</f>
        <v>NOK</v>
      </c>
      <c r="I43" s="3">
        <f>IFERROR(__xludf.DUMMYFUNCTION("""COMPUTED_VALUE"""),5.0)</f>
        <v>5</v>
      </c>
      <c r="J43" s="3" t="str">
        <f>IFERROR(__xludf.DUMMYFUNCTION("""COMPUTED_VALUE"""),"Pcs")</f>
        <v>Pcs</v>
      </c>
      <c r="K43" s="5" t="str">
        <f>IFERROR(__xludf.DUMMYFUNCTION("""COMPUTED_VALUE"""),"https://drive.google.com/drive/folders/1G3cIZcwv7Y3w7dzznNZKN0ruRpsHdvkI?usp=drive_link")</f>
        <v>https://drive.google.com/drive/folders/1G3cIZcwv7Y3w7dzznNZKN0ruRpsHdvkI?usp=drive_link</v>
      </c>
      <c r="L43" s="3" t="str">
        <f>IFERROR(__xludf.DUMMYFUNCTION("""COMPUTED_VALUE"""),"-")</f>
        <v>-</v>
      </c>
      <c r="M43" s="3" t="str">
        <f>IFERROR(__xludf.DUMMYFUNCTION("""COMPUTED_VALUE"""),"Approve")</f>
        <v>Approve</v>
      </c>
      <c r="N43" s="3" t="str">
        <f>IFERROR(__xludf.DUMMYFUNCTION("""COMPUTED_VALUE"""),"Normal")</f>
        <v>Normal</v>
      </c>
      <c r="O43" s="3" t="str">
        <f>IFERROR(__xludf.DUMMYFUNCTION("""COMPUTED_VALUE"""),"Non Urgent")</f>
        <v>Non Urgent</v>
      </c>
      <c r="P43" s="7">
        <f>IFERROR(__xludf.DUMMYFUNCTION("""COMPUTED_VALUE"""),45712.977379108794)</f>
        <v>45712.97738</v>
      </c>
    </row>
    <row r="44">
      <c r="A44" s="4">
        <f>IFERROR(__xludf.DUMMYFUNCTION("""COMPUTED_VALUE"""),45699.6596987037)</f>
        <v>45699.6597</v>
      </c>
      <c r="B44" s="3" t="str">
        <f>IFERROR(__xludf.DUMMYFUNCTION("""COMPUTED_VALUE"""),"SFHBR0006")</f>
        <v>SFHBR0006</v>
      </c>
      <c r="C44" s="3" t="str">
        <f>IFERROR(__xludf.DUMMYFUNCTION("""COMPUTED_VALUE"""),"Consumable")</f>
        <v>Consumable</v>
      </c>
      <c r="D44" s="3" t="str">
        <f>IFERROR(__xludf.DUMMYFUNCTION("""COMPUTED_VALUE"""),"-")</f>
        <v>-</v>
      </c>
      <c r="E44" s="3" t="str">
        <f>IFERROR(__xludf.DUMMYFUNCTION("""COMPUTED_VALUE"""),"lantai 2 ")</f>
        <v>lantai 2 </v>
      </c>
      <c r="F44" s="3" t="str">
        <f>IFERROR(__xludf.DUMMYFUNCTION("""COMPUTED_VALUE"""),"cat dulux buat flafon")</f>
        <v>cat dulux buat flafon</v>
      </c>
      <c r="G44" s="3" t="str">
        <f>IFERROR(__xludf.DUMMYFUNCTION("""COMPUTED_VALUE"""),"cat Dulux Catylac  putih 1501N flafon")</f>
        <v>cat Dulux Catylac  putih 1501N flafon</v>
      </c>
      <c r="H44" s="3" t="str">
        <f>IFERROR(__xludf.DUMMYFUNCTION("""COMPUTED_VALUE"""),"dulux")</f>
        <v>dulux</v>
      </c>
      <c r="I44" s="3">
        <f>IFERROR(__xludf.DUMMYFUNCTION("""COMPUTED_VALUE"""),5.0)</f>
        <v>5</v>
      </c>
      <c r="J44" s="3" t="str">
        <f>IFERROR(__xludf.DUMMYFUNCTION("""COMPUTED_VALUE"""),"Pel")</f>
        <v>Pel</v>
      </c>
      <c r="K44" s="5" t="str">
        <f>IFERROR(__xludf.DUMMYFUNCTION("""COMPUTED_VALUE"""),"https://www.tokopedia.com/toko-material-ol/cat-tembok-interior-dulux-catylac-putih-dan-warna-25kg-1730699744622773664?utm_source=salinlink&amp;utm_medium=share&amp;utm_campaign=pdp-kiluasz685fi-15961026197-0")</f>
        <v>https://www.tokopedia.com/toko-material-ol/cat-tembok-interior-dulux-catylac-putih-dan-warna-25kg-1730699744622773664?utm_source=salinlink&amp;utm_medium=share&amp;utm_campaign=pdp-kiluasz685fi-15961026197-0</v>
      </c>
      <c r="L44" s="3" t="str">
        <f>IFERROR(__xludf.DUMMYFUNCTION("""COMPUTED_VALUE"""),"-")</f>
        <v>-</v>
      </c>
      <c r="M44" s="3" t="str">
        <f>IFERROR(__xludf.DUMMYFUNCTION("""COMPUTED_VALUE"""),"Approve")</f>
        <v>Approve</v>
      </c>
      <c r="N44" s="3" t="str">
        <f>IFERROR(__xludf.DUMMYFUNCTION("""COMPUTED_VALUE"""),"Normal")</f>
        <v>Normal</v>
      </c>
      <c r="O44" s="3" t="str">
        <f>IFERROR(__xludf.DUMMYFUNCTION("""COMPUTED_VALUE"""),"Non Urgent")</f>
        <v>Non Urgent</v>
      </c>
      <c r="P44" s="7">
        <f>IFERROR(__xludf.DUMMYFUNCTION("""COMPUTED_VALUE"""),45700.64197207176)</f>
        <v>45700.64197</v>
      </c>
    </row>
    <row r="45">
      <c r="A45" s="4">
        <f>IFERROR(__xludf.DUMMYFUNCTION("""COMPUTED_VALUE"""),45702.09946612269)</f>
        <v>45702.09947</v>
      </c>
      <c r="B45" s="3" t="str">
        <f>IFERROR(__xludf.DUMMYFUNCTION("""COMPUTED_VALUE"""),"SFHBR0007")</f>
        <v>SFHBR0007</v>
      </c>
      <c r="C45" s="3" t="str">
        <f>IFERROR(__xludf.DUMMYFUNCTION("""COMPUTED_VALUE"""),"Consumable")</f>
        <v>Consumable</v>
      </c>
      <c r="D45" s="3" t="str">
        <f>IFERROR(__xludf.DUMMYFUNCTION("""COMPUTED_VALUE"""),"-")</f>
        <v>-</v>
      </c>
      <c r="E45" s="3" t="str">
        <f>IFERROR(__xludf.DUMMYFUNCTION("""COMPUTED_VALUE"""),"lantai 2")</f>
        <v>lantai 2</v>
      </c>
      <c r="F45" s="3" t="str">
        <f>IFERROR(__xludf.DUMMYFUNCTION("""COMPUTED_VALUE"""),"cat propan buat sandwich panel")</f>
        <v>cat propan buat sandwich panel</v>
      </c>
      <c r="G45" s="3" t="str">
        <f>IFERROR(__xludf.DUMMYFUNCTION("""COMPUTED_VALUE"""),"propan DR-2000 GLOOS BASE A + PASTA")</f>
        <v>propan DR-2000 GLOOS BASE A + PASTA</v>
      </c>
      <c r="H45" s="3" t="str">
        <f>IFERROR(__xludf.DUMMYFUNCTION("""COMPUTED_VALUE"""),"propan")</f>
        <v>propan</v>
      </c>
      <c r="I45" s="3">
        <f>IFERROR(__xludf.DUMMYFUNCTION("""COMPUTED_VALUE"""),3.0)</f>
        <v>3</v>
      </c>
      <c r="J45" s="3" t="str">
        <f>IFERROR(__xludf.DUMMYFUNCTION("""COMPUTED_VALUE"""),"pel")</f>
        <v>pel</v>
      </c>
      <c r="K45" s="3" t="str">
        <f>IFERROR(__xludf.DUMMYFUNCTION("""COMPUTED_VALUE"""),"propan durogloss spiders web 90YY73/040")</f>
        <v>propan durogloss spiders web 90YY73/040</v>
      </c>
      <c r="L45" s="3" t="str">
        <f>IFERROR(__xludf.DUMMYFUNCTION("""COMPUTED_VALUE"""),"-")</f>
        <v>-</v>
      </c>
      <c r="M45" s="3" t="str">
        <f>IFERROR(__xludf.DUMMYFUNCTION("""COMPUTED_VALUE"""),"Approve")</f>
        <v>Approve</v>
      </c>
      <c r="N45" s="3" t="str">
        <f>IFERROR(__xludf.DUMMYFUNCTION("""COMPUTED_VALUE"""),"Normal")</f>
        <v>Normal</v>
      </c>
      <c r="O45" s="3" t="str">
        <f>IFERROR(__xludf.DUMMYFUNCTION("""COMPUTED_VALUE"""),"Non Urgent")</f>
        <v>Non Urgent</v>
      </c>
      <c r="P45" s="7">
        <f>IFERROR(__xludf.DUMMYFUNCTION("""COMPUTED_VALUE"""),45706.6180833449)</f>
        <v>45706.61808</v>
      </c>
    </row>
    <row r="46">
      <c r="A46" s="4">
        <f>IFERROR(__xludf.DUMMYFUNCTION("""COMPUTED_VALUE"""),45705.505491006945)</f>
        <v>45705.50549</v>
      </c>
      <c r="B46" s="3" t="str">
        <f>IFERROR(__xludf.DUMMYFUNCTION("""COMPUTED_VALUE"""),"MOBBR0016")</f>
        <v>MOBBR0016</v>
      </c>
      <c r="C46" s="3" t="str">
        <f>IFERROR(__xludf.DUMMYFUNCTION("""COMPUTED_VALUE"""),"EJO")</f>
        <v>EJO</v>
      </c>
      <c r="D46" s="3" t="str">
        <f>IFERROR(__xludf.DUMMYFUNCTION("""COMPUTED_VALUE"""),"EJO/2025/02/127")</f>
        <v>EJO/2025/02/127</v>
      </c>
      <c r="E46" s="3" t="str">
        <f>IFERROR(__xludf.DUMMYFUNCTION("""COMPUTED_VALUE"""),"Plambing Building")</f>
        <v>Plambing Building</v>
      </c>
      <c r="F46" s="3" t="str">
        <f>IFERROR(__xludf.DUMMYFUNCTION("""COMPUTED_VALUE"""),"Pipa PVC")</f>
        <v>Pipa PVC</v>
      </c>
      <c r="G46" s="3" t="str">
        <f>IFERROR(__xludf.DUMMYFUNCTION("""COMPUTED_VALUE"""),"RUCIKA - Pipa PVC aw dia 2 1/2inch")</f>
        <v>RUCIKA - Pipa PVC aw dia 2 1/2inch</v>
      </c>
      <c r="H46" s="3" t="str">
        <f>IFERROR(__xludf.DUMMYFUNCTION("""COMPUTED_VALUE"""),"Rucika")</f>
        <v>Rucika</v>
      </c>
      <c r="I46" s="3">
        <f>IFERROR(__xludf.DUMMYFUNCTION("""COMPUTED_VALUE"""),6.0)</f>
        <v>6</v>
      </c>
      <c r="J46" s="3" t="str">
        <f>IFERROR(__xludf.DUMMYFUNCTION("""COMPUTED_VALUE"""),"Pcs")</f>
        <v>Pcs</v>
      </c>
      <c r="K46" s="5" t="str">
        <f>IFERROR(__xludf.DUMMYFUNCTION("""COMPUTED_VALUE"""),"https://shopee.co.id/PIPA-PVC-RUCIKA-2-1-2-inch-ABU-JIS-AW-VP-4-meter-i.139075405.7650982111")</f>
        <v>https://shopee.co.id/PIPA-PVC-RUCIKA-2-1-2-inch-ABU-JIS-AW-VP-4-meter-i.139075405.7650982111</v>
      </c>
      <c r="L46" s="3" t="str">
        <f>IFERROR(__xludf.DUMMYFUNCTION("""COMPUTED_VALUE"""),"Urgent Untuk penggantian piperack")</f>
        <v>Urgent Untuk penggantian piperack</v>
      </c>
      <c r="M46" s="3" t="str">
        <f>IFERROR(__xludf.DUMMYFUNCTION("""COMPUTED_VALUE"""),"Approve")</f>
        <v>Approve</v>
      </c>
      <c r="N46" s="3" t="str">
        <f>IFERROR(__xludf.DUMMYFUNCTION("""COMPUTED_VALUE"""),"Normal")</f>
        <v>Normal</v>
      </c>
      <c r="O46" s="3" t="str">
        <f>IFERROR(__xludf.DUMMYFUNCTION("""COMPUTED_VALUE"""),"Non Urgent")</f>
        <v>Non Urgent</v>
      </c>
      <c r="P46" s="7">
        <f>IFERROR(__xludf.DUMMYFUNCTION("""COMPUTED_VALUE"""),45706.611044317135)</f>
        <v>45706.61104</v>
      </c>
    </row>
    <row r="47">
      <c r="A47" s="4">
        <f>IFERROR(__xludf.DUMMYFUNCTION("""COMPUTED_VALUE"""),45705.50774033565)</f>
        <v>45705.50774</v>
      </c>
      <c r="B47" s="3" t="str">
        <f>IFERROR(__xludf.DUMMYFUNCTION("""COMPUTED_VALUE"""),"MOBBR0017")</f>
        <v>MOBBR0017</v>
      </c>
      <c r="C47" s="3" t="str">
        <f>IFERROR(__xludf.DUMMYFUNCTION("""COMPUTED_VALUE"""),"Consumable")</f>
        <v>Consumable</v>
      </c>
      <c r="D47" s="3" t="str">
        <f>IFERROR(__xludf.DUMMYFUNCTION("""COMPUTED_VALUE"""),"-")</f>
        <v>-</v>
      </c>
      <c r="E47" s="3" t="str">
        <f>IFERROR(__xludf.DUMMYFUNCTION("""COMPUTED_VALUE"""),"Plambing Building")</f>
        <v>Plambing Building</v>
      </c>
      <c r="F47" s="3" t="str">
        <f>IFERROR(__xludf.DUMMYFUNCTION("""COMPUTED_VALUE"""),"Pipa PVC")</f>
        <v>Pipa PVC</v>
      </c>
      <c r="G47" s="3" t="str">
        <f>IFERROR(__xludf.DUMMYFUNCTION("""COMPUTED_VALUE"""),"RUCIKA - Pipa PVC aw dia 1 1/4inch")</f>
        <v>RUCIKA - Pipa PVC aw dia 1 1/4inch</v>
      </c>
      <c r="H47" s="3" t="str">
        <f>IFERROR(__xludf.DUMMYFUNCTION("""COMPUTED_VALUE"""),"Rucika")</f>
        <v>Rucika</v>
      </c>
      <c r="I47" s="3">
        <f>IFERROR(__xludf.DUMMYFUNCTION("""COMPUTED_VALUE"""),6.0)</f>
        <v>6</v>
      </c>
      <c r="J47" s="3" t="str">
        <f>IFERROR(__xludf.DUMMYFUNCTION("""COMPUTED_VALUE"""),"Pcs")</f>
        <v>Pcs</v>
      </c>
      <c r="K47" s="5" t="str">
        <f>IFERROR(__xludf.DUMMYFUNCTION("""COMPUTED_VALUE"""),"https://www.tokopedia.com/jsmmartofficial/rucika-pipa-air-pvc-1-1-4-inch-abu-abu-aw")</f>
        <v>https://www.tokopedia.com/jsmmartofficial/rucika-pipa-air-pvc-1-1-4-inch-abu-abu-aw</v>
      </c>
      <c r="L47" s="3" t="str">
        <f>IFERROR(__xludf.DUMMYFUNCTION("""COMPUTED_VALUE"""),"Untuk penggantian FW di Canteen")</f>
        <v>Untuk penggantian FW di Canteen</v>
      </c>
      <c r="M47" s="3" t="str">
        <f>IFERROR(__xludf.DUMMYFUNCTION("""COMPUTED_VALUE"""),"Approve")</f>
        <v>Approve</v>
      </c>
      <c r="N47" s="3" t="str">
        <f>IFERROR(__xludf.DUMMYFUNCTION("""COMPUTED_VALUE"""),"Normal")</f>
        <v>Normal</v>
      </c>
      <c r="O47" s="3" t="str">
        <f>IFERROR(__xludf.DUMMYFUNCTION("""COMPUTED_VALUE"""),"Non Urgent")</f>
        <v>Non Urgent</v>
      </c>
      <c r="P47" s="7">
        <f>IFERROR(__xludf.DUMMYFUNCTION("""COMPUTED_VALUE"""),45706.61130819445)</f>
        <v>45706.61131</v>
      </c>
    </row>
    <row r="48">
      <c r="A48" s="4">
        <f>IFERROR(__xludf.DUMMYFUNCTION("""COMPUTED_VALUE"""),45707.43580172454)</f>
        <v>45707.4358</v>
      </c>
      <c r="B48" s="3" t="str">
        <f>IFERROR(__xludf.DUMMYFUNCTION("""COMPUTED_VALUE"""),"SFHBR0008")</f>
        <v>SFHBR0008</v>
      </c>
      <c r="C48" s="3" t="str">
        <f>IFERROR(__xludf.DUMMYFUNCTION("""COMPUTED_VALUE"""),"EJO")</f>
        <v>EJO</v>
      </c>
      <c r="D48" s="3" t="str">
        <f>IFERROR(__xludf.DUMMYFUNCTION("""COMPUTED_VALUE"""),"EJO/2025/02/108")</f>
        <v>EJO/2025/02/108</v>
      </c>
      <c r="E48" s="3" t="str">
        <f>IFERROR(__xludf.DUMMYFUNCTION("""COMPUTED_VALUE"""),"lantai 1")</f>
        <v>lantai 1</v>
      </c>
      <c r="F48" s="3" t="str">
        <f>IFERROR(__xludf.DUMMYFUNCTION("""COMPUTED_VALUE"""),"kawat wire mesh")</f>
        <v>kawat wire mesh</v>
      </c>
      <c r="G48" s="3" t="str">
        <f>IFERROR(__xludf.DUMMYFUNCTION("""COMPUTED_VALUE"""),"mesh 30 stanlis 304")</f>
        <v>mesh 30 stanlis 304</v>
      </c>
      <c r="H48" s="3" t="str">
        <f>IFERROR(__xludf.DUMMYFUNCTION("""COMPUTED_VALUE"""),"wire mesh ")</f>
        <v>wire mesh </v>
      </c>
      <c r="I48" s="3">
        <f>IFERROR(__xludf.DUMMYFUNCTION("""COMPUTED_VALUE"""),10.0)</f>
        <v>10</v>
      </c>
      <c r="J48" s="3" t="str">
        <f>IFERROR(__xludf.DUMMYFUNCTION("""COMPUTED_VALUE"""),"meter ")</f>
        <v>meter </v>
      </c>
      <c r="K48" s="5" t="str">
        <f>IFERROR(__xludf.DUMMYFUNCTION("""COMPUTED_VALUE"""),"https://tokopedia.link/99TlfcAw6Qb")</f>
        <v>https://tokopedia.link/99TlfcAw6Qb</v>
      </c>
      <c r="L48" s="3" t="str">
        <f>IFERROR(__xludf.DUMMYFUNCTION("""COMPUTED_VALUE"""),"-")</f>
        <v>-</v>
      </c>
      <c r="M48" s="3" t="str">
        <f>IFERROR(__xludf.DUMMYFUNCTION("""COMPUTED_VALUE"""),"Approve")</f>
        <v>Approve</v>
      </c>
      <c r="N48" s="3" t="str">
        <f>IFERROR(__xludf.DUMMYFUNCTION("""COMPUTED_VALUE"""),"Normal")</f>
        <v>Normal</v>
      </c>
      <c r="O48" s="3" t="str">
        <f>IFERROR(__xludf.DUMMYFUNCTION("""COMPUTED_VALUE"""),"Non Urgent")</f>
        <v>Non Urgent</v>
      </c>
      <c r="P48" s="7">
        <f>IFERROR(__xludf.DUMMYFUNCTION("""COMPUTED_VALUE"""),45707.52919917824)</f>
        <v>45707.5292</v>
      </c>
    </row>
    <row r="49">
      <c r="A49" s="4">
        <f>IFERROR(__xludf.DUMMYFUNCTION("""COMPUTED_VALUE"""),45708.63963178241)</f>
        <v>45708.63963</v>
      </c>
      <c r="B49" s="3" t="str">
        <f>IFERROR(__xludf.DUMMYFUNCTION("""COMPUTED_VALUE"""),"ANOBR0002")</f>
        <v>ANOBR0002</v>
      </c>
      <c r="C49" s="3" t="str">
        <f>IFERROR(__xludf.DUMMYFUNCTION("""COMPUTED_VALUE"""),"EJO")</f>
        <v>EJO</v>
      </c>
      <c r="D49" s="3" t="str">
        <f>IFERROR(__xludf.DUMMYFUNCTION("""COMPUTED_VALUE"""),"EJO/2025/02/62")</f>
        <v>EJO/2025/02/62</v>
      </c>
      <c r="E49" s="3" t="str">
        <f>IFERROR(__xludf.DUMMYFUNCTION("""COMPUTED_VALUE"""),"washing tunnel")</f>
        <v>washing tunnel</v>
      </c>
      <c r="F49" s="3" t="str">
        <f>IFERROR(__xludf.DUMMYFUNCTION("""COMPUTED_VALUE"""),"Baut pengunci Coupling")</f>
        <v>Baut pengunci Coupling</v>
      </c>
      <c r="G49" s="3" t="str">
        <f>IFERROR(__xludf.DUMMYFUNCTION("""COMPUTED_VALUE"""),"M4x4mm, pitch 0.7")</f>
        <v>M4x4mm, pitch 0.7</v>
      </c>
      <c r="H49" s="3" t="str">
        <f>IFERROR(__xludf.DUMMYFUNCTION("""COMPUTED_VALUE"""),"-")</f>
        <v>-</v>
      </c>
      <c r="I49" s="3">
        <f>IFERROR(__xludf.DUMMYFUNCTION("""COMPUTED_VALUE"""),100.0)</f>
        <v>100</v>
      </c>
      <c r="J49" s="3" t="str">
        <f>IFERROR(__xludf.DUMMYFUNCTION("""COMPUTED_VALUE"""),"Pcs")</f>
        <v>Pcs</v>
      </c>
      <c r="K49" s="5" t="str">
        <f>IFERROR(__xludf.DUMMYFUNCTION("""COMPUTED_VALUE"""),"https://tokopedia.link/TVtna2rC8Qb")</f>
        <v>https://tokopedia.link/TVtna2rC8Qb</v>
      </c>
      <c r="L49" s="3" t="str">
        <f>IFERROR(__xludf.DUMMYFUNCTION("""COMPUTED_VALUE"""),"untuk stock penggantian jika baut selek atau dol")</f>
        <v>untuk stock penggantian jika baut selek atau dol</v>
      </c>
      <c r="M49" s="3" t="str">
        <f>IFERROR(__xludf.DUMMYFUNCTION("""COMPUTED_VALUE"""),"Approve")</f>
        <v>Approve</v>
      </c>
      <c r="N49" s="3" t="str">
        <f>IFERROR(__xludf.DUMMYFUNCTION("""COMPUTED_VALUE"""),"Normal")</f>
        <v>Normal</v>
      </c>
      <c r="O49" s="3" t="str">
        <f>IFERROR(__xludf.DUMMYFUNCTION("""COMPUTED_VALUE"""),"Non Urgent")</f>
        <v>Non Urgent</v>
      </c>
      <c r="P49" s="7">
        <f>IFERROR(__xludf.DUMMYFUNCTION("""COMPUTED_VALUE"""),45729.6044209838)</f>
        <v>45729.60442</v>
      </c>
    </row>
    <row r="50">
      <c r="A50" s="4">
        <f>IFERROR(__xludf.DUMMYFUNCTION("""COMPUTED_VALUE"""),45708.64757615741)</f>
        <v>45708.64758</v>
      </c>
      <c r="B50" s="3" t="str">
        <f>IFERROR(__xludf.DUMMYFUNCTION("""COMPUTED_VALUE"""),"ROSBR0008")</f>
        <v>ROSBR0008</v>
      </c>
      <c r="C50" s="3" t="str">
        <f>IFERROR(__xludf.DUMMYFUNCTION("""COMPUTED_VALUE"""),"EJO")</f>
        <v>EJO</v>
      </c>
      <c r="D50" s="3" t="str">
        <f>IFERROR(__xludf.DUMMYFUNCTION("""COMPUTED_VALUE"""),"EJO/2025/02/115")</f>
        <v>EJO/2025/02/115</v>
      </c>
      <c r="E50" s="3" t="str">
        <f>IFERROR(__xludf.DUMMYFUNCTION("""COMPUTED_VALUE"""),"mixing Mv 60L")</f>
        <v>mixing Mv 60L</v>
      </c>
      <c r="F50" s="3" t="str">
        <f>IFERROR(__xludf.DUMMYFUNCTION("""COMPUTED_VALUE"""),"O-Ring")</f>
        <v>O-Ring</v>
      </c>
      <c r="G50" s="3" t="str">
        <f>IFERROR(__xludf.DUMMYFUNCTION("""COMPUTED_VALUE"""),"o-Ring viton 
material viton
ukuran 
ID : 64mm
OD : 69 mm
tebal : 2,5mm")</f>
        <v>o-Ring viton 
material viton
ukuran 
ID : 64mm
OD : 69 mm
tebal : 2,5mm</v>
      </c>
      <c r="H50" s="3" t="str">
        <f>IFERROR(__xludf.DUMMYFUNCTION("""COMPUTED_VALUE"""),"General")</f>
        <v>General</v>
      </c>
      <c r="I50" s="3">
        <f>IFERROR(__xludf.DUMMYFUNCTION("""COMPUTED_VALUE"""),10.0)</f>
        <v>10</v>
      </c>
      <c r="J50" s="3" t="str">
        <f>IFERROR(__xludf.DUMMYFUNCTION("""COMPUTED_VALUE"""),"pcs")</f>
        <v>pcs</v>
      </c>
      <c r="K50" s="3" t="str">
        <f>IFERROR(__xludf.DUMMYFUNCTION("""COMPUTED_VALUE"""),"-")</f>
        <v>-</v>
      </c>
      <c r="L50" s="3" t="str">
        <f>IFERROR(__xludf.DUMMYFUNCTION("""COMPUTED_VALUE"""),"-")</f>
        <v>-</v>
      </c>
      <c r="M50" s="3" t="str">
        <f>IFERROR(__xludf.DUMMYFUNCTION("""COMPUTED_VALUE"""),"Approve")</f>
        <v>Approve</v>
      </c>
      <c r="N50" s="3" t="str">
        <f>IFERROR(__xludf.DUMMYFUNCTION("""COMPUTED_VALUE"""),"Normal")</f>
        <v>Normal</v>
      </c>
      <c r="O50" s="3" t="str">
        <f>IFERROR(__xludf.DUMMYFUNCTION("""COMPUTED_VALUE"""),"Non Urgent")</f>
        <v>Non Urgent</v>
      </c>
      <c r="P50" s="7">
        <f>IFERROR(__xludf.DUMMYFUNCTION("""COMPUTED_VALUE"""),45712.96731136574)</f>
        <v>45712.96731</v>
      </c>
    </row>
    <row r="51">
      <c r="A51" s="4">
        <f>IFERROR(__xludf.DUMMYFUNCTION("""COMPUTED_VALUE"""),45708.65289321759)</f>
        <v>45708.65289</v>
      </c>
      <c r="B51" s="3" t="str">
        <f>IFERROR(__xludf.DUMMYFUNCTION("""COMPUTED_VALUE"""),"ANOBR0003")</f>
        <v>ANOBR0003</v>
      </c>
      <c r="C51" s="3" t="str">
        <f>IFERROR(__xludf.DUMMYFUNCTION("""COMPUTED_VALUE"""),"Consumable")</f>
        <v>Consumable</v>
      </c>
      <c r="D51" s="3" t="str">
        <f>IFERROR(__xludf.DUMMYFUNCTION("""COMPUTED_VALUE"""),"-")</f>
        <v>-</v>
      </c>
      <c r="E51" s="3" t="str">
        <f>IFERROR(__xludf.DUMMYFUNCTION("""COMPUTED_VALUE"""),"keperluan mesin las ")</f>
        <v>keperluan mesin las </v>
      </c>
      <c r="F51" s="3" t="str">
        <f>IFERROR(__xludf.DUMMYFUNCTION("""COMPUTED_VALUE"""),"Peralatan las argon, tungsten,keramik,collet,body collet")</f>
        <v>Peralatan las argon, tungsten,keramik,collet,body collet</v>
      </c>
      <c r="G51" s="3" t="str">
        <f>IFERROR(__xludf.DUMMYFUNCTION("""COMPUTED_VALUE"""),"-")</f>
        <v>-</v>
      </c>
      <c r="H51" s="3" t="str">
        <f>IFERROR(__xludf.DUMMYFUNCTION("""COMPUTED_VALUE"""),"-")</f>
        <v>-</v>
      </c>
      <c r="I51" s="3">
        <f>IFERROR(__xludf.DUMMYFUNCTION("""COMPUTED_VALUE"""),1.0)</f>
        <v>1</v>
      </c>
      <c r="J51" s="3" t="str">
        <f>IFERROR(__xludf.DUMMYFUNCTION("""COMPUTED_VALUE"""),"set")</f>
        <v>set</v>
      </c>
      <c r="K51" s="5" t="str">
        <f>IFERROR(__xludf.DUMMYFUNCTION("""COMPUTED_VALUE"""),"https://shopee.co.id/product/322184538/26855481658?gads_t_sig=VTJGc2RHVmtYMTlxTFVSVVRrdENkWVp3RFo3Mkw5czd4Z0hzdEF1WVFibGlnUHJLRWZqb3BIWDNvMVRDS2wyclk3WnRHdzNBVVJQZDhXRmpmWVBabXNZeGdLQ050VDZSejFIWHFaOXFFenVaZ2w0TCs3eVdrVkNsQVBVNERPUWY&amp;gad_source=1&amp;gclid=EA"&amp;"IaIQobChMIo_yureGCiQMVExqDAx3eLSi8EAQYBCABEgIjxPD_BwE")</f>
        <v>https://shopee.co.id/product/322184538/26855481658?gads_t_sig=VTJGc2RHVmtYMTlxTFVSVVRrdENkWVp3RFo3Mkw5czd4Z0hzdEF1WVFibGlnUHJLRWZqb3BIWDNvMVRDS2wyclk3WnRHdzNBVVJQZDhXRmpmWVBabXNZeGdLQ050VDZSejFIWHFaOXFFenVaZ2w0TCs3eVdrVkNsQVBVNERPUWY&amp;gad_source=1&amp;gclid=EAIaIQobChMIo_yureGCiQMVExqDAx3eLSi8EAQYBCABEgIjxPD_BwE</v>
      </c>
      <c r="L51" s="3" t="str">
        <f>IFERROR(__xludf.DUMMYFUNCTION("""COMPUTED_VALUE"""),"untuk keperluan pengelasan")</f>
        <v>untuk keperluan pengelasan</v>
      </c>
      <c r="M51" s="3" t="str">
        <f>IFERROR(__xludf.DUMMYFUNCTION("""COMPUTED_VALUE"""),"Approve")</f>
        <v>Approve</v>
      </c>
      <c r="N51" s="3" t="str">
        <f>IFERROR(__xludf.DUMMYFUNCTION("""COMPUTED_VALUE"""),"Normal")</f>
        <v>Normal</v>
      </c>
      <c r="O51" s="3" t="str">
        <f>IFERROR(__xludf.DUMMYFUNCTION("""COMPUTED_VALUE"""),"Non Urgent")</f>
        <v>Non Urgent</v>
      </c>
      <c r="P51" s="7">
        <f>IFERROR(__xludf.DUMMYFUNCTION("""COMPUTED_VALUE"""),45729.60480435185)</f>
        <v>45729.6048</v>
      </c>
    </row>
    <row r="52">
      <c r="A52" s="4">
        <f>IFERROR(__xludf.DUMMYFUNCTION("""COMPUTED_VALUE"""),45708.65408222222)</f>
        <v>45708.65408</v>
      </c>
      <c r="B52" s="3" t="str">
        <f>IFERROR(__xludf.DUMMYFUNCTION("""COMPUTED_VALUE"""),"ANOBR0004")</f>
        <v>ANOBR0004</v>
      </c>
      <c r="C52" s="3" t="str">
        <f>IFERROR(__xludf.DUMMYFUNCTION("""COMPUTED_VALUE"""),"Consumable")</f>
        <v>Consumable</v>
      </c>
      <c r="D52" s="3" t="str">
        <f>IFERROR(__xludf.DUMMYFUNCTION("""COMPUTED_VALUE"""),"-")</f>
        <v>-</v>
      </c>
      <c r="E52" s="3" t="str">
        <f>IFERROR(__xludf.DUMMYFUNCTION("""COMPUTED_VALUE"""),"mesin gerinda")</f>
        <v>mesin gerinda</v>
      </c>
      <c r="F52" s="3" t="str">
        <f>IFERROR(__xludf.DUMMYFUNCTION("""COMPUTED_VALUE"""),"Mata gerinda poles stainless")</f>
        <v>Mata gerinda poles stainless</v>
      </c>
      <c r="G52" s="3" t="str">
        <f>IFERROR(__xludf.DUMMYFUNCTION("""COMPUTED_VALUE"""),"-")</f>
        <v>-</v>
      </c>
      <c r="H52" s="3" t="str">
        <f>IFERROR(__xludf.DUMMYFUNCTION("""COMPUTED_VALUE"""),"-")</f>
        <v>-</v>
      </c>
      <c r="I52" s="3">
        <f>IFERROR(__xludf.DUMMYFUNCTION("""COMPUTED_VALUE"""),1.0)</f>
        <v>1</v>
      </c>
      <c r="J52" s="3" t="str">
        <f>IFERROR(__xludf.DUMMYFUNCTION("""COMPUTED_VALUE"""),"box")</f>
        <v>box</v>
      </c>
      <c r="K52" s="5" t="str">
        <f>IFERROR(__xludf.DUMMYFUNCTION("""COMPUTED_VALUE"""),"https://www.monotaro.id/s029279722.html")</f>
        <v>https://www.monotaro.id/s029279722.html</v>
      </c>
      <c r="L52" s="3" t="str">
        <f>IFERROR(__xludf.DUMMYFUNCTION("""COMPUTED_VALUE"""),"keperluan menggerinda")</f>
        <v>keperluan menggerinda</v>
      </c>
      <c r="M52" s="3" t="str">
        <f>IFERROR(__xludf.DUMMYFUNCTION("""COMPUTED_VALUE"""),"Approve")</f>
        <v>Approve</v>
      </c>
      <c r="N52" s="3" t="str">
        <f>IFERROR(__xludf.DUMMYFUNCTION("""COMPUTED_VALUE"""),"Normal")</f>
        <v>Normal</v>
      </c>
      <c r="O52" s="3" t="str">
        <f>IFERROR(__xludf.DUMMYFUNCTION("""COMPUTED_VALUE"""),"Non Urgent")</f>
        <v>Non Urgent</v>
      </c>
      <c r="P52" s="7">
        <f>IFERROR(__xludf.DUMMYFUNCTION("""COMPUTED_VALUE"""),45729.60547296296)</f>
        <v>45729.60547</v>
      </c>
    </row>
    <row r="53">
      <c r="A53" s="4">
        <f>IFERROR(__xludf.DUMMYFUNCTION("""COMPUTED_VALUE"""),45708.65895222222)</f>
        <v>45708.65895</v>
      </c>
      <c r="B53" s="3" t="str">
        <f>IFERROR(__xludf.DUMMYFUNCTION("""COMPUTED_VALUE"""),"ANOBR0005")</f>
        <v>ANOBR0005</v>
      </c>
      <c r="C53" s="3" t="str">
        <f>IFERROR(__xludf.DUMMYFUNCTION("""COMPUTED_VALUE"""),"Consumable")</f>
        <v>Consumable</v>
      </c>
      <c r="D53" s="3" t="str">
        <f>IFERROR(__xludf.DUMMYFUNCTION("""COMPUTED_VALUE"""),"-")</f>
        <v>-</v>
      </c>
      <c r="E53" s="3" t="str">
        <f>IFERROR(__xludf.DUMMYFUNCTION("""COMPUTED_VALUE"""),"mesin las")</f>
        <v>mesin las</v>
      </c>
      <c r="F53" s="3" t="str">
        <f>IFERROR(__xludf.DUMMYFUNCTION("""COMPUTED_VALUE"""),"Kaca kedok las hitam")</f>
        <v>Kaca kedok las hitam</v>
      </c>
      <c r="G53" s="3" t="str">
        <f>IFERROR(__xludf.DUMMYFUNCTION("""COMPUTED_VALUE"""),"LZ DIN10")</f>
        <v>LZ DIN10</v>
      </c>
      <c r="H53" s="3" t="str">
        <f>IFERROR(__xludf.DUMMYFUNCTION("""COMPUTED_VALUE"""),"-")</f>
        <v>-</v>
      </c>
      <c r="I53" s="3">
        <f>IFERROR(__xludf.DUMMYFUNCTION("""COMPUTED_VALUE"""),1.0)</f>
        <v>1</v>
      </c>
      <c r="J53" s="3" t="str">
        <f>IFERROR(__xludf.DUMMYFUNCTION("""COMPUTED_VALUE"""),"box")</f>
        <v>box</v>
      </c>
      <c r="K53" s="5" t="str">
        <f>IFERROR(__xludf.DUMMYFUNCTION("""COMPUTED_VALUE"""),"https://www.monotaro.id/s039285997.html")</f>
        <v>https://www.monotaro.id/s039285997.html</v>
      </c>
      <c r="L53" s="3" t="str">
        <f>IFERROR(__xludf.DUMMYFUNCTION("""COMPUTED_VALUE"""),"keperluan pengelasan")</f>
        <v>keperluan pengelasan</v>
      </c>
      <c r="M53" s="3" t="str">
        <f>IFERROR(__xludf.DUMMYFUNCTION("""COMPUTED_VALUE"""),"Approve")</f>
        <v>Approve</v>
      </c>
      <c r="N53" s="3" t="str">
        <f>IFERROR(__xludf.DUMMYFUNCTION("""COMPUTED_VALUE"""),"Normal")</f>
        <v>Normal</v>
      </c>
      <c r="O53" s="3" t="str">
        <f>IFERROR(__xludf.DUMMYFUNCTION("""COMPUTED_VALUE"""),"Non Urgent")</f>
        <v>Non Urgent</v>
      </c>
      <c r="P53" s="7">
        <f>IFERROR(__xludf.DUMMYFUNCTION("""COMPUTED_VALUE"""),45729.60574313658)</f>
        <v>45729.60574</v>
      </c>
    </row>
    <row r="54">
      <c r="A54" s="4">
        <f>IFERROR(__xludf.DUMMYFUNCTION("""COMPUTED_VALUE"""),45708.662424594906)</f>
        <v>45708.66242</v>
      </c>
      <c r="B54" s="3" t="str">
        <f>IFERROR(__xludf.DUMMYFUNCTION("""COMPUTED_VALUE"""),"ANOBR0006")</f>
        <v>ANOBR0006</v>
      </c>
      <c r="C54" s="3" t="str">
        <f>IFERROR(__xludf.DUMMYFUNCTION("""COMPUTED_VALUE"""),"Consumable")</f>
        <v>Consumable</v>
      </c>
      <c r="D54" s="3" t="str">
        <f>IFERROR(__xludf.DUMMYFUNCTION("""COMPUTED_VALUE"""),"-")</f>
        <v>-</v>
      </c>
      <c r="E54" s="3" t="str">
        <f>IFERROR(__xludf.DUMMYFUNCTION("""COMPUTED_VALUE"""),"mesin las")</f>
        <v>mesin las</v>
      </c>
      <c r="F54" s="3" t="str">
        <f>IFERROR(__xludf.DUMMYFUNCTION("""COMPUTED_VALUE"""),"kawat las argon stainless steel")</f>
        <v>kawat las argon stainless steel</v>
      </c>
      <c r="G54" s="3" t="str">
        <f>IFERROR(__xludf.DUMMYFUNCTION("""COMPUTED_VALUE"""),"kawat las ss 308 size 1.6")</f>
        <v>kawat las ss 308 size 1.6</v>
      </c>
      <c r="H54" s="3" t="str">
        <f>IFERROR(__xludf.DUMMYFUNCTION("""COMPUTED_VALUE"""),"-")</f>
        <v>-</v>
      </c>
      <c r="I54" s="3">
        <f>IFERROR(__xludf.DUMMYFUNCTION("""COMPUTED_VALUE"""),2.0)</f>
        <v>2</v>
      </c>
      <c r="J54" s="3" t="str">
        <f>IFERROR(__xludf.DUMMYFUNCTION("""COMPUTED_VALUE"""),"kg")</f>
        <v>kg</v>
      </c>
      <c r="K54" s="5" t="str">
        <f>IFERROR(__xludf.DUMMYFUNCTION("""COMPUTED_VALUE"""),"https://www.monotaro.id/s011234999.html")</f>
        <v>https://www.monotaro.id/s011234999.html</v>
      </c>
      <c r="L54" s="3" t="str">
        <f>IFERROR(__xludf.DUMMYFUNCTION("""COMPUTED_VALUE"""),"keperluan pengelasan")</f>
        <v>keperluan pengelasan</v>
      </c>
      <c r="M54" s="3" t="str">
        <f>IFERROR(__xludf.DUMMYFUNCTION("""COMPUTED_VALUE"""),"Approve")</f>
        <v>Approve</v>
      </c>
      <c r="N54" s="3" t="str">
        <f>IFERROR(__xludf.DUMMYFUNCTION("""COMPUTED_VALUE"""),"Normal")</f>
        <v>Normal</v>
      </c>
      <c r="O54" s="3" t="str">
        <f>IFERROR(__xludf.DUMMYFUNCTION("""COMPUTED_VALUE"""),"Non Urgent")</f>
        <v>Non Urgent</v>
      </c>
      <c r="P54" s="7">
        <f>IFERROR(__xludf.DUMMYFUNCTION("""COMPUTED_VALUE"""),45729.606332800926)</f>
        <v>45729.60633</v>
      </c>
    </row>
    <row r="55">
      <c r="A55" s="4">
        <f>IFERROR(__xludf.DUMMYFUNCTION("""COMPUTED_VALUE"""),45708.66446137732)</f>
        <v>45708.66446</v>
      </c>
      <c r="B55" s="3" t="str">
        <f>IFERROR(__xludf.DUMMYFUNCTION("""COMPUTED_VALUE"""),"ANOBR0007")</f>
        <v>ANOBR0007</v>
      </c>
      <c r="C55" s="3" t="str">
        <f>IFERROR(__xludf.DUMMYFUNCTION("""COMPUTED_VALUE"""),"Consumable")</f>
        <v>Consumable</v>
      </c>
      <c r="D55" s="3" t="str">
        <f>IFERROR(__xludf.DUMMYFUNCTION("""COMPUTED_VALUE"""),"-")</f>
        <v>-</v>
      </c>
      <c r="E55" s="3" t="str">
        <f>IFERROR(__xludf.DUMMYFUNCTION("""COMPUTED_VALUE"""),"mesin gerinda")</f>
        <v>mesin gerinda</v>
      </c>
      <c r="F55" s="3" t="str">
        <f>IFERROR(__xludf.DUMMYFUNCTION("""COMPUTED_VALUE"""),"facesield APD gerinda")</f>
        <v>facesield APD gerinda</v>
      </c>
      <c r="G55" s="3" t="str">
        <f>IFERROR(__xludf.DUMMYFUNCTION("""COMPUTED_VALUE"""),"-")</f>
        <v>-</v>
      </c>
      <c r="H55" s="3" t="str">
        <f>IFERROR(__xludf.DUMMYFUNCTION("""COMPUTED_VALUE"""),"-")</f>
        <v>-</v>
      </c>
      <c r="I55" s="3">
        <f>IFERROR(__xludf.DUMMYFUNCTION("""COMPUTED_VALUE"""),2.0)</f>
        <v>2</v>
      </c>
      <c r="J55" s="3" t="str">
        <f>IFERROR(__xludf.DUMMYFUNCTION("""COMPUTED_VALUE"""),"pcs")</f>
        <v>pcs</v>
      </c>
      <c r="K55" s="5" t="str">
        <f>IFERROR(__xludf.DUMMYFUNCTION("""COMPUTED_VALUE"""),"https://shopee.co.id/pelindung-wajah-Full-Face-Shield-Safety-Muka-APD-Gerinda-Visor-FACESHIELD-Safety-i.198818354.20980645147")</f>
        <v>https://shopee.co.id/pelindung-wajah-Full-Face-Shield-Safety-Muka-APD-Gerinda-Visor-FACESHIELD-Safety-i.198818354.20980645147</v>
      </c>
      <c r="L55" s="3" t="str">
        <f>IFERROR(__xludf.DUMMYFUNCTION("""COMPUTED_VALUE"""),"keperluan menggerinda")</f>
        <v>keperluan menggerinda</v>
      </c>
      <c r="M55" s="3" t="str">
        <f>IFERROR(__xludf.DUMMYFUNCTION("""COMPUTED_VALUE"""),"Approve")</f>
        <v>Approve</v>
      </c>
      <c r="N55" s="3" t="str">
        <f>IFERROR(__xludf.DUMMYFUNCTION("""COMPUTED_VALUE"""),"Normal")</f>
        <v>Normal</v>
      </c>
      <c r="O55" s="3" t="str">
        <f>IFERROR(__xludf.DUMMYFUNCTION("""COMPUTED_VALUE"""),"Non Urgent")</f>
        <v>Non Urgent</v>
      </c>
      <c r="P55" s="7">
        <f>IFERROR(__xludf.DUMMYFUNCTION("""COMPUTED_VALUE"""),45729.606636805554)</f>
        <v>45729.60664</v>
      </c>
    </row>
    <row r="56">
      <c r="A56" s="4">
        <f>IFERROR(__xludf.DUMMYFUNCTION("""COMPUTED_VALUE"""),45708.66570855324)</f>
        <v>45708.66571</v>
      </c>
      <c r="B56" s="3" t="str">
        <f>IFERROR(__xludf.DUMMYFUNCTION("""COMPUTED_VALUE"""),"ANOBR0008")</f>
        <v>ANOBR0008</v>
      </c>
      <c r="C56" s="3" t="str">
        <f>IFERROR(__xludf.DUMMYFUNCTION("""COMPUTED_VALUE"""),"Consumable")</f>
        <v>Consumable</v>
      </c>
      <c r="D56" s="3" t="str">
        <f>IFERROR(__xludf.DUMMYFUNCTION("""COMPUTED_VALUE"""),"-")</f>
        <v>-</v>
      </c>
      <c r="E56" s="3" t="str">
        <f>IFERROR(__xludf.DUMMYFUNCTION("""COMPUTED_VALUE"""),"mesin las")</f>
        <v>mesin las</v>
      </c>
      <c r="F56" s="3" t="str">
        <f>IFERROR(__xludf.DUMMYFUNCTION("""COMPUTED_VALUE"""),"Elektroda SS 308 Size 2,6x300mm")</f>
        <v>Elektroda SS 308 Size 2,6x300mm</v>
      </c>
      <c r="G56" s="3" t="str">
        <f>IFERROR(__xludf.DUMMYFUNCTION("""COMPUTED_VALUE"""),"-")</f>
        <v>-</v>
      </c>
      <c r="H56" s="3" t="str">
        <f>IFERROR(__xludf.DUMMYFUNCTION("""COMPUTED_VALUE"""),"-")</f>
        <v>-</v>
      </c>
      <c r="I56" s="3">
        <f>IFERROR(__xludf.DUMMYFUNCTION("""COMPUTED_VALUE"""),1.0)</f>
        <v>1</v>
      </c>
      <c r="J56" s="3" t="str">
        <f>IFERROR(__xludf.DUMMYFUNCTION("""COMPUTED_VALUE"""),"kg")</f>
        <v>kg</v>
      </c>
      <c r="K56" s="5" t="str">
        <f>IFERROR(__xludf.DUMMYFUNCTION("""COMPUTED_VALUE"""),"https://tokopedia.link/k8YszrwhLNb")</f>
        <v>https://tokopedia.link/k8YszrwhLNb</v>
      </c>
      <c r="L56" s="3" t="str">
        <f>IFERROR(__xludf.DUMMYFUNCTION("""COMPUTED_VALUE"""),"keperluan pengelasan")</f>
        <v>keperluan pengelasan</v>
      </c>
      <c r="M56" s="3" t="str">
        <f>IFERROR(__xludf.DUMMYFUNCTION("""COMPUTED_VALUE"""),"Approve")</f>
        <v>Approve</v>
      </c>
      <c r="N56" s="3" t="str">
        <f>IFERROR(__xludf.DUMMYFUNCTION("""COMPUTED_VALUE"""),"Normal")</f>
        <v>Normal</v>
      </c>
      <c r="O56" s="3" t="str">
        <f>IFERROR(__xludf.DUMMYFUNCTION("""COMPUTED_VALUE"""),"Non Urgent")</f>
        <v>Non Urgent</v>
      </c>
      <c r="P56" s="7">
        <f>IFERROR(__xludf.DUMMYFUNCTION("""COMPUTED_VALUE"""),45729.606855011574)</f>
        <v>45729.60686</v>
      </c>
    </row>
    <row r="57">
      <c r="A57" s="4">
        <f>IFERROR(__xludf.DUMMYFUNCTION("""COMPUTED_VALUE"""),45708.66689751158)</f>
        <v>45708.6669</v>
      </c>
      <c r="B57" s="3" t="str">
        <f>IFERROR(__xludf.DUMMYFUNCTION("""COMPUTED_VALUE"""),"ANOBR0009")</f>
        <v>ANOBR0009</v>
      </c>
      <c r="C57" s="3" t="str">
        <f>IFERROR(__xludf.DUMMYFUNCTION("""COMPUTED_VALUE"""),"Consumable")</f>
        <v>Consumable</v>
      </c>
      <c r="D57" s="3" t="str">
        <f>IFERROR(__xludf.DUMMYFUNCTION("""COMPUTED_VALUE"""),"-")</f>
        <v>-</v>
      </c>
      <c r="E57" s="3" t="str">
        <f>IFERROR(__xludf.DUMMYFUNCTION("""COMPUTED_VALUE"""),"mesin las")</f>
        <v>mesin las</v>
      </c>
      <c r="F57" s="3" t="str">
        <f>IFERROR(__xludf.DUMMYFUNCTION("""COMPUTED_VALUE"""),"kaca kedok las bening")</f>
        <v>kaca kedok las bening</v>
      </c>
      <c r="G57" s="3" t="str">
        <f>IFERROR(__xludf.DUMMYFUNCTION("""COMPUTED_VALUE"""),"-")</f>
        <v>-</v>
      </c>
      <c r="H57" s="3" t="str">
        <f>IFERROR(__xludf.DUMMYFUNCTION("""COMPUTED_VALUE"""),"-")</f>
        <v>-</v>
      </c>
      <c r="I57" s="3">
        <f>IFERROR(__xludf.DUMMYFUNCTION("""COMPUTED_VALUE"""),2.0)</f>
        <v>2</v>
      </c>
      <c r="J57" s="3" t="str">
        <f>IFERROR(__xludf.DUMMYFUNCTION("""COMPUTED_VALUE"""),"pcs")</f>
        <v>pcs</v>
      </c>
      <c r="K57" s="5" t="str">
        <f>IFERROR(__xludf.DUMMYFUNCTION("""COMPUTED_VALUE"""),"https://shopee.co.id/product/566750862/13033066823?gads_t_sig=VTJGc2RHVmtYMTlxTFVSVVRrdENkWVp3RFo3Mkw5czd4Z0hzdEF1WVFibGgrUmpiTWdoMHJJWjd4c2syNi8zaklya05yRnYzUmJpZWFBN3k2OXE1aGU1bzFVTzdVK2liMTJ2azBPeGZORm1ld3hJSFl0eFhqMGtTRmFIUFQ3YkU&amp;gad_source=1&amp;gclid=EA"&amp;"IaIQobChMIqcbNvuqUiQMVM6RmAh2B1xyXEAQYAiABEgJqp_D_BwE")</f>
        <v>https://shopee.co.id/product/566750862/13033066823?gads_t_sig=VTJGc2RHVmtYMTlxTFVSVVRrdENkWVp3RFo3Mkw5czd4Z0hzdEF1WVFibGgrUmpiTWdoMHJJWjd4c2syNi8zaklya05yRnYzUmJpZWFBN3k2OXE1aGU1bzFVTzdVK2liMTJ2azBPeGZORm1ld3hJSFl0eFhqMGtTRmFIUFQ3YkU&amp;gad_source=1&amp;gclid=EAIaIQobChMIqcbNvuqUiQMVM6RmAh2B1xyXEAQYAiABEgJqp_D_BwE</v>
      </c>
      <c r="L57" s="3" t="str">
        <f>IFERROR(__xludf.DUMMYFUNCTION("""COMPUTED_VALUE"""),"keperluan pengelasan")</f>
        <v>keperluan pengelasan</v>
      </c>
      <c r="M57" s="3" t="str">
        <f>IFERROR(__xludf.DUMMYFUNCTION("""COMPUTED_VALUE"""),"Approve")</f>
        <v>Approve</v>
      </c>
      <c r="N57" s="3" t="str">
        <f>IFERROR(__xludf.DUMMYFUNCTION("""COMPUTED_VALUE"""),"Normal")</f>
        <v>Normal</v>
      </c>
      <c r="O57" s="3" t="str">
        <f>IFERROR(__xludf.DUMMYFUNCTION("""COMPUTED_VALUE"""),"Non Urgent")</f>
        <v>Non Urgent</v>
      </c>
      <c r="P57" s="7">
        <f>IFERROR(__xludf.DUMMYFUNCTION("""COMPUTED_VALUE"""),45729.60709715278)</f>
        <v>45729.6071</v>
      </c>
    </row>
    <row r="58">
      <c r="A58" s="4">
        <f>IFERROR(__xludf.DUMMYFUNCTION("""COMPUTED_VALUE"""),45712.48573388889)</f>
        <v>45712.48573</v>
      </c>
      <c r="B58" s="3" t="str">
        <f>IFERROR(__xludf.DUMMYFUNCTION("""COMPUTED_VALUE"""),"RIABR0016")</f>
        <v>RIABR0016</v>
      </c>
      <c r="C58" s="3" t="str">
        <f>IFERROR(__xludf.DUMMYFUNCTION("""COMPUTED_VALUE"""),"EJO")</f>
        <v>EJO</v>
      </c>
      <c r="D58" s="3" t="str">
        <f>IFERROR(__xludf.DUMMYFUNCTION("""COMPUTED_VALUE"""),"EJO/2025/02/89")</f>
        <v>EJO/2025/02/89</v>
      </c>
      <c r="E58" s="3" t="str">
        <f>IFERROR(__xludf.DUMMYFUNCTION("""COMPUTED_VALUE"""),"HO")</f>
        <v>HO</v>
      </c>
      <c r="F58" s="3" t="str">
        <f>IFERROR(__xludf.DUMMYFUNCTION("""COMPUTED_VALUE"""),"Kabel Audio")</f>
        <v>Kabel Audio</v>
      </c>
      <c r="G58" s="3" t="str">
        <f>IFERROR(__xludf.DUMMYFUNCTION("""COMPUTED_VALUE"""),"8471 Belden Shielded")</f>
        <v>8471 Belden Shielded</v>
      </c>
      <c r="H58" s="3" t="str">
        <f>IFERROR(__xludf.DUMMYFUNCTION("""COMPUTED_VALUE"""),"Belden")</f>
        <v>Belden</v>
      </c>
      <c r="I58" s="3">
        <f>IFERROR(__xludf.DUMMYFUNCTION("""COMPUTED_VALUE"""),50.0)</f>
        <v>50</v>
      </c>
      <c r="J58" s="3" t="str">
        <f>IFERROR(__xludf.DUMMYFUNCTION("""COMPUTED_VALUE"""),"Mtr")</f>
        <v>Mtr</v>
      </c>
      <c r="K58" s="5" t="str">
        <f>IFERROR(__xludf.DUMMYFUNCTION("""COMPUTED_VALUE"""),"https://www.tokopedia.com/rizqula-berkah/potongan-8471-belden-1pair-unshielded-audio-sound-contro-cable-16awg?extParam=ivf%3Dfalse%26keyword%3Dkabel+audio+shielded&amp;src=topads")</f>
        <v>https://www.tokopedia.com/rizqula-berkah/potongan-8471-belden-1pair-unshielded-audio-sound-contro-cable-16awg?extParam=ivf%3Dfalse%26keyword%3Dkabel+audio+shielded&amp;src=topads</v>
      </c>
      <c r="L58" s="3" t="str">
        <f>IFERROR(__xludf.DUMMYFUNCTION("""COMPUTED_VALUE"""),"Buat EJO mindah mic pada peging ke meja arya. Butuh kabel audio 50 meter.")</f>
        <v>Buat EJO mindah mic pada peging ke meja arya. Butuh kabel audio 50 meter.</v>
      </c>
      <c r="M58" s="3" t="str">
        <f>IFERROR(__xludf.DUMMYFUNCTION("""COMPUTED_VALUE"""),"Approve")</f>
        <v>Approve</v>
      </c>
      <c r="N58" s="3" t="str">
        <f>IFERROR(__xludf.DUMMYFUNCTION("""COMPUTED_VALUE"""),"Normal")</f>
        <v>Normal</v>
      </c>
      <c r="O58" s="3" t="str">
        <f>IFERROR(__xludf.DUMMYFUNCTION("""COMPUTED_VALUE"""),"Non Urgent")</f>
        <v>Non Urgent</v>
      </c>
      <c r="P58" s="7">
        <f>IFERROR(__xludf.DUMMYFUNCTION("""COMPUTED_VALUE"""),45713.739413414354)</f>
        <v>45713.73941</v>
      </c>
    </row>
    <row r="59">
      <c r="A59" s="4">
        <f>IFERROR(__xludf.DUMMYFUNCTION("""COMPUTED_VALUE"""),45712.495239895834)</f>
        <v>45712.49524</v>
      </c>
      <c r="B59" s="3" t="str">
        <f>IFERROR(__xludf.DUMMYFUNCTION("""COMPUTED_VALUE"""),"RIABR0017")</f>
        <v>RIABR0017</v>
      </c>
      <c r="C59" s="3" t="str">
        <f>IFERROR(__xludf.DUMMYFUNCTION("""COMPUTED_VALUE"""),"EJO")</f>
        <v>EJO</v>
      </c>
      <c r="D59" s="3" t="str">
        <f>IFERROR(__xludf.DUMMYFUNCTION("""COMPUTED_VALUE"""),"EJO/2025/02/114")</f>
        <v>EJO/2025/02/114</v>
      </c>
      <c r="E59" s="3" t="str">
        <f>IFERROR(__xludf.DUMMYFUNCTION("""COMPUTED_VALUE"""),"Server")</f>
        <v>Server</v>
      </c>
      <c r="F59" s="3" t="str">
        <f>IFERROR(__xludf.DUMMYFUNCTION("""COMPUTED_VALUE"""),"Kabel Duct")</f>
        <v>Kabel Duct</v>
      </c>
      <c r="G59" s="3" t="str">
        <f>IFERROR(__xludf.DUMMYFUNCTION("""COMPUTED_VALUE"""),"Ukuran 65 x 65 Lubang")</f>
        <v>Ukuran 65 x 65 Lubang</v>
      </c>
      <c r="H59" s="3" t="str">
        <f>IFERROR(__xludf.DUMMYFUNCTION("""COMPUTED_VALUE"""),"-")</f>
        <v>-</v>
      </c>
      <c r="I59" s="3">
        <f>IFERROR(__xludf.DUMMYFUNCTION("""COMPUTED_VALUE"""),3.0)</f>
        <v>3</v>
      </c>
      <c r="J59" s="3" t="str">
        <f>IFERROR(__xludf.DUMMYFUNCTION("""COMPUTED_VALUE"""),"Btg")</f>
        <v>Btg</v>
      </c>
      <c r="K59" s="5" t="str">
        <f>IFERROR(__xludf.DUMMYFUNCTION("""COMPUTED_VALUE"""),"https://www.tokopedia.com/jasonleonardo/kabel-duct-65-x-65-abu-abu-lubang-pm?extParam=ivf%3Dfalse%26keyword%3Dkabel+duct+65+x+65&amp;src=topads")</f>
        <v>https://www.tokopedia.com/jasonleonardo/kabel-duct-65-x-65-abu-abu-lubang-pm?extParam=ivf%3Dfalse%26keyword%3Dkabel+duct+65+x+65&amp;src=topads</v>
      </c>
      <c r="L59" s="3" t="str">
        <f>IFERROR(__xludf.DUMMYFUNCTION("""COMPUTED_VALUE"""),"Digunakan untuk nutup kabel duct dibawah panel alarm system server, temuan 5r")</f>
        <v>Digunakan untuk nutup kabel duct dibawah panel alarm system server, temuan 5r</v>
      </c>
      <c r="M59" s="3" t="str">
        <f>IFERROR(__xludf.DUMMYFUNCTION("""COMPUTED_VALUE"""),"Approve")</f>
        <v>Approve</v>
      </c>
      <c r="N59" s="3" t="str">
        <f>IFERROR(__xludf.DUMMYFUNCTION("""COMPUTED_VALUE"""),"Normal")</f>
        <v>Normal</v>
      </c>
      <c r="O59" s="3" t="str">
        <f>IFERROR(__xludf.DUMMYFUNCTION("""COMPUTED_VALUE"""),"Non Urgent")</f>
        <v>Non Urgent</v>
      </c>
      <c r="P59" s="7">
        <f>IFERROR(__xludf.DUMMYFUNCTION("""COMPUTED_VALUE"""),45713.74001792824)</f>
        <v>45713.74002</v>
      </c>
    </row>
    <row r="60">
      <c r="A60" s="4">
        <f>IFERROR(__xludf.DUMMYFUNCTION("""COMPUTED_VALUE"""),45712.51840177083)</f>
        <v>45712.5184</v>
      </c>
      <c r="B60" s="3" t="str">
        <f>IFERROR(__xludf.DUMMYFUNCTION("""COMPUTED_VALUE"""),"RIABR0020")</f>
        <v>RIABR0020</v>
      </c>
      <c r="C60" s="3" t="str">
        <f>IFERROR(__xludf.DUMMYFUNCTION("""COMPUTED_VALUE"""),"EJO")</f>
        <v>EJO</v>
      </c>
      <c r="D60" s="3" t="str">
        <f>IFERROR(__xludf.DUMMYFUNCTION("""COMPUTED_VALUE"""),"EJO/2024/11/95")</f>
        <v>EJO/2024/11/95</v>
      </c>
      <c r="E60" s="3" t="str">
        <f>IFERROR(__xludf.DUMMYFUNCTION("""COMPUTED_VALUE"""),"Kantin")</f>
        <v>Kantin</v>
      </c>
      <c r="F60" s="3" t="str">
        <f>IFERROR(__xludf.DUMMYFUNCTION("""COMPUTED_VALUE"""),"Pengunci Lemari")</f>
        <v>Pengunci Lemari</v>
      </c>
      <c r="G60" s="3" t="str">
        <f>IFERROR(__xludf.DUMMYFUNCTION("""COMPUTED_VALUE"""),"Kunci Laci Lemari Loker Slide HUBEN Mekar HL-505
Diameter Silinder : 19 mm
Material Silinder : Zinc Alloy
Material Kerangka : Zinc Alloy")</f>
        <v>Kunci Laci Lemari Loker Slide HUBEN Mekar HL-505
Diameter Silinder : 19 mm
Material Silinder : Zinc Alloy
Material Kerangka : Zinc Alloy</v>
      </c>
      <c r="H60" s="3" t="str">
        <f>IFERROR(__xludf.DUMMYFUNCTION("""COMPUTED_VALUE"""),"Huben")</f>
        <v>Huben</v>
      </c>
      <c r="I60" s="3">
        <f>IFERROR(__xludf.DUMMYFUNCTION("""COMPUTED_VALUE"""),4.0)</f>
        <v>4</v>
      </c>
      <c r="J60" s="3" t="str">
        <f>IFERROR(__xludf.DUMMYFUNCTION("""COMPUTED_VALUE"""),"Pcs")</f>
        <v>Pcs</v>
      </c>
      <c r="K60" s="5" t="str">
        <f>IFERROR(__xludf.DUMMYFUNCTION("""COMPUTED_VALUE"""),"https://www.tokopedia.com/tokocatpaswarna/kunci-laci-lemari-loker-slide-huben-mekar-hl-505?extParam=ivf%3Dfalse%26keyword%3Dkunci+lemari+slide%26search_id%3D202502240507135A2B7C3ED7DFF42C7G63%26src%3Dsearch")</f>
        <v>https://www.tokopedia.com/tokocatpaswarna/kunci-laci-lemari-loker-slide-huben-mekar-hl-505?extParam=ivf%3Dfalse%26keyword%3Dkunci+lemari+slide%26search_id%3D202502240507135A2B7C3ED7DFF42C7G63%26src%3Dsearch</v>
      </c>
      <c r="L60" s="3" t="str">
        <f>IFERROR(__xludf.DUMMYFUNCTION("""COMPUTED_VALUE"""),"Untuk pengunci lemari kitchen set di pantry warehouse.")</f>
        <v>Untuk pengunci lemari kitchen set di pantry warehouse.</v>
      </c>
      <c r="M60" s="3" t="str">
        <f>IFERROR(__xludf.DUMMYFUNCTION("""COMPUTED_VALUE"""),"Approve")</f>
        <v>Approve</v>
      </c>
      <c r="N60" s="3" t="str">
        <f>IFERROR(__xludf.DUMMYFUNCTION("""COMPUTED_VALUE"""),"Normal")</f>
        <v>Normal</v>
      </c>
      <c r="O60" s="3" t="str">
        <f>IFERROR(__xludf.DUMMYFUNCTION("""COMPUTED_VALUE"""),"Non Urgent")</f>
        <v>Non Urgent</v>
      </c>
      <c r="P60" s="7">
        <f>IFERROR(__xludf.DUMMYFUNCTION("""COMPUTED_VALUE"""),45713.740587962966)</f>
        <v>45713.74059</v>
      </c>
    </row>
    <row r="61">
      <c r="A61" s="4">
        <f>IFERROR(__xludf.DUMMYFUNCTION("""COMPUTED_VALUE"""),45712.55976002315)</f>
        <v>45712.55976</v>
      </c>
      <c r="B61" s="3" t="str">
        <f>IFERROR(__xludf.DUMMYFUNCTION("""COMPUTED_VALUE"""),"ANOBR0010")</f>
        <v>ANOBR0010</v>
      </c>
      <c r="C61" s="3" t="str">
        <f>IFERROR(__xludf.DUMMYFUNCTION("""COMPUTED_VALUE"""),"EJO")</f>
        <v>EJO</v>
      </c>
      <c r="D61" s="3" t="str">
        <f>IFERROR(__xludf.DUMMYFUNCTION("""COMPUTED_VALUE"""),"EJO/2025/02/170")</f>
        <v>EJO/2025/02/170</v>
      </c>
      <c r="E61" s="3" t="str">
        <f>IFERROR(__xludf.DUMMYFUNCTION("""COMPUTED_VALUE"""),"Autoclave decontame")</f>
        <v>Autoclave decontame</v>
      </c>
      <c r="F61" s="3" t="str">
        <f>IFERROR(__xludf.DUMMYFUNCTION("""COMPUTED_VALUE"""),"oring seal")</f>
        <v>oring seal</v>
      </c>
      <c r="G61" s="3" t="str">
        <f>IFERROR(__xludf.DUMMYFUNCTION("""COMPUTED_VALUE"""),"silicon OD : 15, ID: 11, T: 1,7")</f>
        <v>silicon OD : 15, ID: 11, T: 1,7</v>
      </c>
      <c r="H61" s="3" t="str">
        <f>IFERROR(__xludf.DUMMYFUNCTION("""COMPUTED_VALUE"""),"-")</f>
        <v>-</v>
      </c>
      <c r="I61" s="3">
        <f>IFERROR(__xludf.DUMMYFUNCTION("""COMPUTED_VALUE"""),10.0)</f>
        <v>10</v>
      </c>
      <c r="J61" s="3" t="str">
        <f>IFERROR(__xludf.DUMMYFUNCTION("""COMPUTED_VALUE"""),"pcs")</f>
        <v>pcs</v>
      </c>
      <c r="K61" s="3" t="str">
        <f>IFERROR(__xludf.DUMMYFUNCTION("""COMPUTED_VALUE"""),"-")</f>
        <v>-</v>
      </c>
      <c r="L61" s="3" t="str">
        <f>IFERROR(__xludf.DUMMYFUNCTION("""COMPUTED_VALUE"""),"keperluan ganti part di autoclave decontam")</f>
        <v>keperluan ganti part di autoclave decontam</v>
      </c>
      <c r="M61" s="3" t="str">
        <f>IFERROR(__xludf.DUMMYFUNCTION("""COMPUTED_VALUE"""),"Approve")</f>
        <v>Approve</v>
      </c>
      <c r="N61" s="3" t="str">
        <f>IFERROR(__xludf.DUMMYFUNCTION("""COMPUTED_VALUE"""),"Normal")</f>
        <v>Normal</v>
      </c>
      <c r="O61" s="3" t="str">
        <f>IFERROR(__xludf.DUMMYFUNCTION("""COMPUTED_VALUE"""),"Non Urgent")</f>
        <v>Non Urgent</v>
      </c>
      <c r="P61" s="7">
        <f>IFERROR(__xludf.DUMMYFUNCTION("""COMPUTED_VALUE"""),45729.60929953704)</f>
        <v>45729.6093</v>
      </c>
    </row>
    <row r="62">
      <c r="A62" s="4">
        <f>IFERROR(__xludf.DUMMYFUNCTION("""COMPUTED_VALUE"""),45712.559842187504)</f>
        <v>45712.55984</v>
      </c>
      <c r="B62" s="3" t="str">
        <f>IFERROR(__xludf.DUMMYFUNCTION("""COMPUTED_VALUE"""),"ANOBR0011")</f>
        <v>ANOBR0011</v>
      </c>
      <c r="C62" s="3" t="str">
        <f>IFERROR(__xludf.DUMMYFUNCTION("""COMPUTED_VALUE"""),"EJO")</f>
        <v>EJO</v>
      </c>
      <c r="D62" s="3" t="str">
        <f>IFERROR(__xludf.DUMMYFUNCTION("""COMPUTED_VALUE"""),"EJO/2025/02/170")</f>
        <v>EJO/2025/02/170</v>
      </c>
      <c r="E62" s="3" t="str">
        <f>IFERROR(__xludf.DUMMYFUNCTION("""COMPUTED_VALUE"""),"Autoclave decontame")</f>
        <v>Autoclave decontame</v>
      </c>
      <c r="F62" s="3" t="str">
        <f>IFERROR(__xludf.DUMMYFUNCTION("""COMPUTED_VALUE"""),"oring seal")</f>
        <v>oring seal</v>
      </c>
      <c r="G62" s="3" t="str">
        <f>IFERROR(__xludf.DUMMYFUNCTION("""COMPUTED_VALUE"""),"EPDM OD: 15, ID: 9.5, T: 1.9 (Bentuk gepeng)")</f>
        <v>EPDM OD: 15, ID: 9.5, T: 1.9 (Bentuk gepeng)</v>
      </c>
      <c r="H62" s="3" t="str">
        <f>IFERROR(__xludf.DUMMYFUNCTION("""COMPUTED_VALUE"""),"-")</f>
        <v>-</v>
      </c>
      <c r="I62" s="3">
        <f>IFERROR(__xludf.DUMMYFUNCTION("""COMPUTED_VALUE"""),10.0)</f>
        <v>10</v>
      </c>
      <c r="J62" s="3" t="str">
        <f>IFERROR(__xludf.DUMMYFUNCTION("""COMPUTED_VALUE"""),"pcs")</f>
        <v>pcs</v>
      </c>
      <c r="K62" s="3" t="str">
        <f>IFERROR(__xludf.DUMMYFUNCTION("""COMPUTED_VALUE"""),"-")</f>
        <v>-</v>
      </c>
      <c r="L62" s="3" t="str">
        <f>IFERROR(__xludf.DUMMYFUNCTION("""COMPUTED_VALUE"""),"keperluan ganti part di autoclave decontam")</f>
        <v>keperluan ganti part di autoclave decontam</v>
      </c>
      <c r="M62" s="3" t="str">
        <f>IFERROR(__xludf.DUMMYFUNCTION("""COMPUTED_VALUE"""),"Approve")</f>
        <v>Approve</v>
      </c>
      <c r="N62" s="3" t="str">
        <f>IFERROR(__xludf.DUMMYFUNCTION("""COMPUTED_VALUE"""),"Normal")</f>
        <v>Normal</v>
      </c>
      <c r="O62" s="3" t="str">
        <f>IFERROR(__xludf.DUMMYFUNCTION("""COMPUTED_VALUE"""),"Non Urgent")</f>
        <v>Non Urgent</v>
      </c>
      <c r="P62" s="7">
        <f>IFERROR(__xludf.DUMMYFUNCTION("""COMPUTED_VALUE"""),45729.609588125)</f>
        <v>45729.60959</v>
      </c>
    </row>
    <row r="63">
      <c r="A63" s="4">
        <f>IFERROR(__xludf.DUMMYFUNCTION("""COMPUTED_VALUE"""),45712.58252472222)</f>
        <v>45712.58252</v>
      </c>
      <c r="B63" s="3" t="str">
        <f>IFERROR(__xludf.DUMMYFUNCTION("""COMPUTED_VALUE"""),"RIABR0022")</f>
        <v>RIABR0022</v>
      </c>
      <c r="C63" s="3" t="str">
        <f>IFERROR(__xludf.DUMMYFUNCTION("""COMPUTED_VALUE"""),"EJO")</f>
        <v>EJO</v>
      </c>
      <c r="D63" s="3" t="str">
        <f>IFERROR(__xludf.DUMMYFUNCTION("""COMPUTED_VALUE"""),"EJO/2025/02/126")</f>
        <v>EJO/2025/02/126</v>
      </c>
      <c r="E63" s="3" t="str">
        <f>IFERROR(__xludf.DUMMYFUNCTION("""COMPUTED_VALUE"""),"AHU E1-3")</f>
        <v>AHU E1-3</v>
      </c>
      <c r="F63" s="3" t="str">
        <f>IFERROR(__xludf.DUMMYFUNCTION("""COMPUTED_VALUE"""),"LCD Inverter")</f>
        <v>LCD Inverter</v>
      </c>
      <c r="G63" s="3" t="str">
        <f>IFERROR(__xludf.DUMMYFUNCTION("""COMPUTED_VALUE"""),"Control Panel LCP 102 Danfoss display inverter keypad")</f>
        <v>Control Panel LCP 102 Danfoss display inverter keypad</v>
      </c>
      <c r="H63" s="3" t="str">
        <f>IFERROR(__xludf.DUMMYFUNCTION("""COMPUTED_VALUE"""),"Danfoss")</f>
        <v>Danfoss</v>
      </c>
      <c r="I63" s="3">
        <f>IFERROR(__xludf.DUMMYFUNCTION("""COMPUTED_VALUE"""),1.0)</f>
        <v>1</v>
      </c>
      <c r="J63" s="3" t="str">
        <f>IFERROR(__xludf.DUMMYFUNCTION("""COMPUTED_VALUE"""),"Pcs")</f>
        <v>Pcs</v>
      </c>
      <c r="K63" s="5" t="str">
        <f>IFERROR(__xludf.DUMMYFUNCTION("""COMPUTED_VALUE"""),"https://www.tokopedia.com/zentama/control-panel-lcp-102-danfoss-display-inverter-kiped?extParam=ivf%3Dfalse%26keyword%3Dlcp+danfoss%26search_id%3D2025013023320395B43E7F03282537D7CP%26src%3Dsearch")</f>
        <v>https://www.tokopedia.com/zentama/control-panel-lcp-102-danfoss-display-inverter-kiped?extParam=ivf%3Dfalse%26keyword%3Dlcp+danfoss%26search_id%3D2025013023320395B43E7F03282537D7CP%26src%3Dsearch</v>
      </c>
      <c r="L63" s="3" t="str">
        <f>IFERROR(__xludf.DUMMYFUNCTION("""COMPUTED_VALUE"""),"LCD Inverter AHU Danfoss Vignet, ini buat gantinya")</f>
        <v>LCD Inverter AHU Danfoss Vignet, ini buat gantinya</v>
      </c>
      <c r="M63" s="3" t="str">
        <f>IFERROR(__xludf.DUMMYFUNCTION("""COMPUTED_VALUE"""),"Approve")</f>
        <v>Approve</v>
      </c>
      <c r="N63" s="3" t="str">
        <f>IFERROR(__xludf.DUMMYFUNCTION("""COMPUTED_VALUE"""),"Normal")</f>
        <v>Normal</v>
      </c>
      <c r="O63" s="3" t="str">
        <f>IFERROR(__xludf.DUMMYFUNCTION("""COMPUTED_VALUE"""),"Non Urgent")</f>
        <v>Non Urgent</v>
      </c>
      <c r="P63" s="7">
        <f>IFERROR(__xludf.DUMMYFUNCTION("""COMPUTED_VALUE"""),45713.74079418981)</f>
        <v>45713.74079</v>
      </c>
    </row>
    <row r="64">
      <c r="A64" s="4">
        <f>IFERROR(__xludf.DUMMYFUNCTION("""COMPUTED_VALUE"""),45713.3941837963)</f>
        <v>45713.39418</v>
      </c>
      <c r="B64" s="3" t="str">
        <f>IFERROR(__xludf.DUMMYFUNCTION("""COMPUTED_VALUE"""),"SHFBR0001")</f>
        <v>SHFBR0001</v>
      </c>
      <c r="C64" s="3" t="str">
        <f>IFERROR(__xludf.DUMMYFUNCTION("""COMPUTED_VALUE"""),"EJO")</f>
        <v>EJO</v>
      </c>
      <c r="D64" s="3" t="str">
        <f>IFERROR(__xludf.DUMMYFUNCTION("""COMPUTED_VALUE"""),"EJO/2024/12/158")</f>
        <v>EJO/2024/12/158</v>
      </c>
      <c r="E64" s="3" t="str">
        <f>IFERROR(__xludf.DUMMYFUNCTION("""COMPUTED_VALUE"""),"Tank Hot Water OSD")</f>
        <v>Tank Hot Water OSD</v>
      </c>
      <c r="F64" s="3" t="str">
        <f>IFERROR(__xludf.DUMMYFUNCTION("""COMPUTED_VALUE"""),"PIpa 1 Inch Aw")</f>
        <v>PIpa 1 Inch Aw</v>
      </c>
      <c r="G64" s="3" t="str">
        <f>IFERROR(__xludf.DUMMYFUNCTION("""COMPUTED_VALUE"""),"pipa PVC yang AW yang warna ABU ")</f>
        <v>pipa PVC yang AW yang warna ABU </v>
      </c>
      <c r="H64" s="3" t="str">
        <f>IFERROR(__xludf.DUMMYFUNCTION("""COMPUTED_VALUE"""),"Rucika")</f>
        <v>Rucika</v>
      </c>
      <c r="I64" s="3">
        <f>IFERROR(__xludf.DUMMYFUNCTION("""COMPUTED_VALUE"""),4.0)</f>
        <v>4</v>
      </c>
      <c r="J64" s="3" t="str">
        <f>IFERROR(__xludf.DUMMYFUNCTION("""COMPUTED_VALUE"""),"Btg")</f>
        <v>Btg</v>
      </c>
      <c r="K64" s="5" t="str">
        <f>IFERROR(__xludf.DUMMYFUNCTION("""COMPUTED_VALUE"""),"https://www.tokopedia.com/discovery/rekomendasi?recomProdId=13450055747&amp;utm_source=google&amp;utm_medium=cpc&amp;utm_campaign=0000-0000-gg-pmax-bend-voo-tcpa-act-ord-pg-id51pgce51-0000-alon-gshp&amp;utm_term=13450055747&amp;ref=googleshopping&amp;c=21543673600&amp;m=283064554&amp;gc"&amp;"lsrc=aw.ds&amp;gad_source=4")</f>
        <v>https://www.tokopedia.com/discovery/rekomendasi?recomProdId=13450055747&amp;utm_source=google&amp;utm_medium=cpc&amp;utm_campaign=0000-0000-gg-pmax-bend-voo-tcpa-act-ord-pg-id51pgce51-0000-alon-gshp&amp;utm_term=13450055747&amp;ref=googleshopping&amp;c=21543673600&amp;m=283064554&amp;gclsrc=aw.ds&amp;gad_source=4</v>
      </c>
      <c r="L64" s="3" t="str">
        <f>IFERROR(__xludf.DUMMYFUNCTION("""COMPUTED_VALUE"""),"Pipa PVC 1 Inch AW JIS yang warna ABU")</f>
        <v>Pipa PVC 1 Inch AW JIS yang warna ABU</v>
      </c>
      <c r="M64" s="3" t="str">
        <f>IFERROR(__xludf.DUMMYFUNCTION("""COMPUTED_VALUE"""),"Approve")</f>
        <v>Approve</v>
      </c>
      <c r="N64" s="3" t="str">
        <f>IFERROR(__xludf.DUMMYFUNCTION("""COMPUTED_VALUE"""),"Normal")</f>
        <v>Normal</v>
      </c>
      <c r="O64" s="3" t="str">
        <f>IFERROR(__xludf.DUMMYFUNCTION("""COMPUTED_VALUE"""),"Non Urgent")</f>
        <v>Non Urgent</v>
      </c>
      <c r="P64" s="7">
        <f>IFERROR(__xludf.DUMMYFUNCTION("""COMPUTED_VALUE"""),45742.86359487269)</f>
        <v>45742.86359</v>
      </c>
    </row>
    <row r="65">
      <c r="A65" s="4">
        <f>IFERROR(__xludf.DUMMYFUNCTION("""COMPUTED_VALUE"""),45713.3987574537)</f>
        <v>45713.39876</v>
      </c>
      <c r="B65" s="3" t="str">
        <f>IFERROR(__xludf.DUMMYFUNCTION("""COMPUTED_VALUE"""),"SHFBR0002")</f>
        <v>SHFBR0002</v>
      </c>
      <c r="C65" s="3" t="str">
        <f>IFERROR(__xludf.DUMMYFUNCTION("""COMPUTED_VALUE"""),"EJO")</f>
        <v>EJO</v>
      </c>
      <c r="D65" s="3" t="str">
        <f>IFERROR(__xludf.DUMMYFUNCTION("""COMPUTED_VALUE"""),"EJO/2024/12/158")</f>
        <v>EJO/2024/12/158</v>
      </c>
      <c r="E65" s="3" t="str">
        <f>IFERROR(__xludf.DUMMYFUNCTION("""COMPUTED_VALUE"""),"Tank Hot Water OSD")</f>
        <v>Tank Hot Water OSD</v>
      </c>
      <c r="F65" s="3" t="str">
        <f>IFERROR(__xludf.DUMMYFUNCTION("""COMPUTED_VALUE"""),"Gate Valve 2 Inch")</f>
        <v>Gate Valve 2 Inch</v>
      </c>
      <c r="G65" s="3" t="str">
        <f>IFERROR(__xludf.DUMMYFUNCTION("""COMPUTED_VALUE"""),"Gate Valve 2 Inch ")</f>
        <v>Gate Valve 2 Inch </v>
      </c>
      <c r="H65" s="3" t="str">
        <f>IFERROR(__xludf.DUMMYFUNCTION("""COMPUTED_VALUE"""),"Kitz")</f>
        <v>Kitz</v>
      </c>
      <c r="I65" s="3">
        <f>IFERROR(__xludf.DUMMYFUNCTION("""COMPUTED_VALUE"""),2.0)</f>
        <v>2</v>
      </c>
      <c r="J65" s="3" t="str">
        <f>IFERROR(__xludf.DUMMYFUNCTION("""COMPUTED_VALUE"""),"Pcs")</f>
        <v>Pcs</v>
      </c>
      <c r="K65" s="5" t="str">
        <f>IFERROR(__xludf.DUMMYFUNCTION("""COMPUTED_VALUE"""),"https://shopee.co.id/product/4401445/19973815449?gads_t_sig=VTJGc2RHVmtYMTlxTFVSVVRrdENkVEg0SDd3VWo1MDQyT052d3EvY1B4WlA0WStXZUtwcVc5OWY1ZjZJNmJOdFJubHlteVNIZ3MwMDE1T1BGdXozaERpaUc2ZG5oalBFSlp0RU82SmxDYmNIU0J4Vk9TNjlYejZSTnl1UHJyREk")</f>
        <v>https://shopee.co.id/product/4401445/19973815449?gads_t_sig=VTJGc2RHVmtYMTlxTFVSVVRrdENkVEg0SDd3VWo1MDQyT052d3EvY1B4WlA0WStXZUtwcVc5OWY1ZjZJNmJOdFJubHlteVNIZ3MwMDE1T1BGdXozaERpaUc2ZG5oalBFSlp0RU82SmxDYmNIU0J4Vk9TNjlYejZSTnl1UHJyREk</v>
      </c>
      <c r="L65" s="3" t="str">
        <f>IFERROR(__xludf.DUMMYFUNCTION("""COMPUTED_VALUE"""),"Gate Valve 2 Inch (kitz) untuk PVC")</f>
        <v>Gate Valve 2 Inch (kitz) untuk PVC</v>
      </c>
      <c r="M65" s="3" t="str">
        <f>IFERROR(__xludf.DUMMYFUNCTION("""COMPUTED_VALUE"""),"Approve")</f>
        <v>Approve</v>
      </c>
      <c r="N65" s="3" t="str">
        <f>IFERROR(__xludf.DUMMYFUNCTION("""COMPUTED_VALUE"""),"Normal")</f>
        <v>Normal</v>
      </c>
      <c r="O65" s="3" t="str">
        <f>IFERROR(__xludf.DUMMYFUNCTION("""COMPUTED_VALUE"""),"Non Urgent")</f>
        <v>Non Urgent</v>
      </c>
      <c r="P65" s="7">
        <f>IFERROR(__xludf.DUMMYFUNCTION("""COMPUTED_VALUE"""),45742.86382190972)</f>
        <v>45742.86382</v>
      </c>
    </row>
    <row r="66">
      <c r="A66" s="4">
        <f>IFERROR(__xludf.DUMMYFUNCTION("""COMPUTED_VALUE"""),45713.404929247685)</f>
        <v>45713.40493</v>
      </c>
      <c r="B66" s="3" t="str">
        <f>IFERROR(__xludf.DUMMYFUNCTION("""COMPUTED_VALUE"""),"SHFBR0003")</f>
        <v>SHFBR0003</v>
      </c>
      <c r="C66" s="3" t="str">
        <f>IFERROR(__xludf.DUMMYFUNCTION("""COMPUTED_VALUE"""),"EJO")</f>
        <v>EJO</v>
      </c>
      <c r="D66" s="3" t="str">
        <f>IFERROR(__xludf.DUMMYFUNCTION("""COMPUTED_VALUE"""),"EJO/2024/12/158")</f>
        <v>EJO/2024/12/158</v>
      </c>
      <c r="E66" s="3" t="str">
        <f>IFERROR(__xludf.DUMMYFUNCTION("""COMPUTED_VALUE"""),"Tank Hot Water OSD")</f>
        <v>Tank Hot Water OSD</v>
      </c>
      <c r="F66" s="3" t="str">
        <f>IFERROR(__xludf.DUMMYFUNCTION("""COMPUTED_VALUE"""),"Hanger Clam/kelm Gantungan  2 Inch ")</f>
        <v>Hanger Clam/kelm Gantungan  2 Inch </v>
      </c>
      <c r="G66" s="3" t="str">
        <f>IFERROR(__xludf.DUMMYFUNCTION("""COMPUTED_VALUE"""),"Hanger clam/ klem gantungan untuk klem dan support pipa PVC 2 inch ")</f>
        <v>Hanger clam/ klem gantungan untuk klem dan support pipa PVC 2 inch </v>
      </c>
      <c r="H66" s="3" t="str">
        <f>IFERROR(__xludf.DUMMYFUNCTION("""COMPUTED_VALUE"""),"-")</f>
        <v>-</v>
      </c>
      <c r="I66" s="3">
        <f>IFERROR(__xludf.DUMMYFUNCTION("""COMPUTED_VALUE"""),15.0)</f>
        <v>15</v>
      </c>
      <c r="J66" s="3" t="str">
        <f>IFERROR(__xludf.DUMMYFUNCTION("""COMPUTED_VALUE"""),"Pcs")</f>
        <v>Pcs</v>
      </c>
      <c r="K66" s="5" t="str">
        <f>IFERROR(__xludf.DUMMYFUNCTION("""COMPUTED_VALUE"""),"https://www.tokopedia.com/discovery/rekomendasi?recomProdId=863672718&amp;utm_source=google&amp;utm_medium=cpc&amp;utm_campaign=0000-0000-gg-pmax-bend-voo-tcpa-act-ord-pg-id51pgce51-0000-alon-gshp&amp;utm_term=863672718&amp;ref=googleshopping&amp;c=21543673600&amp;m=287358447&amp;gclsrc"&amp;"=aw.ds&amp;gad_source=4")</f>
        <v>https://www.tokopedia.com/discovery/rekomendasi?recomProdId=863672718&amp;utm_source=google&amp;utm_medium=cpc&amp;utm_campaign=0000-0000-gg-pmax-bend-voo-tcpa-act-ord-pg-id51pgce51-0000-alon-gshp&amp;utm_term=863672718&amp;ref=googleshopping&amp;c=21543673600&amp;m=287358447&amp;gclsrc=aw.ds&amp;gad_source=4</v>
      </c>
      <c r="L66" s="3" t="str">
        <f>IFERROR(__xludf.DUMMYFUNCTION("""COMPUTED_VALUE"""),"Klem gantungan/ hanger gantungan buat support pipa 2 inch ")</f>
        <v>Klem gantungan/ hanger gantungan buat support pipa 2 inch </v>
      </c>
      <c r="M66" s="3" t="str">
        <f>IFERROR(__xludf.DUMMYFUNCTION("""COMPUTED_VALUE"""),"Approve")</f>
        <v>Approve</v>
      </c>
      <c r="N66" s="3" t="str">
        <f>IFERROR(__xludf.DUMMYFUNCTION("""COMPUTED_VALUE"""),"Normal")</f>
        <v>Normal</v>
      </c>
      <c r="O66" s="3" t="str">
        <f>IFERROR(__xludf.DUMMYFUNCTION("""COMPUTED_VALUE"""),"Non Urgent")</f>
        <v>Non Urgent</v>
      </c>
      <c r="P66" s="7">
        <f>IFERROR(__xludf.DUMMYFUNCTION("""COMPUTED_VALUE"""),45742.86667283565)</f>
        <v>45742.86667</v>
      </c>
    </row>
    <row r="67">
      <c r="A67" s="4">
        <f>IFERROR(__xludf.DUMMYFUNCTION("""COMPUTED_VALUE"""),45713.40760268518)</f>
        <v>45713.4076</v>
      </c>
      <c r="B67" s="3" t="str">
        <f>IFERROR(__xludf.DUMMYFUNCTION("""COMPUTED_VALUE"""),"SHFBR0004")</f>
        <v>SHFBR0004</v>
      </c>
      <c r="C67" s="3" t="str">
        <f>IFERROR(__xludf.DUMMYFUNCTION("""COMPUTED_VALUE"""),"EJO")</f>
        <v>EJO</v>
      </c>
      <c r="D67" s="3" t="str">
        <f>IFERROR(__xludf.DUMMYFUNCTION("""COMPUTED_VALUE"""),"EJO/2024/12/158")</f>
        <v>EJO/2024/12/158</v>
      </c>
      <c r="E67" s="3" t="str">
        <f>IFERROR(__xludf.DUMMYFUNCTION("""COMPUTED_VALUE"""),"Tank Hot Water OSD")</f>
        <v>Tank Hot Water OSD</v>
      </c>
      <c r="F67" s="3" t="str">
        <f>IFERROR(__xludf.DUMMYFUNCTION("""COMPUTED_VALUE"""),"Socket pipa 2 inch ")</f>
        <v>Socket pipa 2 inch </v>
      </c>
      <c r="G67" s="3" t="str">
        <f>IFERROR(__xludf.DUMMYFUNCTION("""COMPUTED_VALUE"""),"Socket Pipa PVC 2 Inch AW JIS yang warna abu")</f>
        <v>Socket Pipa PVC 2 Inch AW JIS yang warna abu</v>
      </c>
      <c r="H67" s="3" t="str">
        <f>IFERROR(__xludf.DUMMYFUNCTION("""COMPUTED_VALUE"""),"Rucika")</f>
        <v>Rucika</v>
      </c>
      <c r="I67" s="3">
        <f>IFERROR(__xludf.DUMMYFUNCTION("""COMPUTED_VALUE"""),6.0)</f>
        <v>6</v>
      </c>
      <c r="J67" s="3" t="str">
        <f>IFERROR(__xludf.DUMMYFUNCTION("""COMPUTED_VALUE"""),"Pcs")</f>
        <v>Pcs</v>
      </c>
      <c r="K67" s="5" t="str">
        <f>IFERROR(__xludf.DUMMYFUNCTION("""COMPUTED_VALUE"""),"https://www.monotaro.id/items/s044354671.html?utm_source=google&amp;utm_medium=pla&amp;utm_campaign=1672206402&amp;utm_content=88187085595&amp;utm_term=readystock_cat_group_2_pricebrand_group_2&amp;gad_source=4&amp;gclid=Cj0KCQjwkN--BhDkARIsAD_mnIpf52KCxx5u1mGTdPld-wvL5e3dQsZ81K"&amp;"0kgAUXzWbwh-s2idQOjM8aAoR0EALw_wcB")</f>
        <v>https://www.monotaro.id/items/s044354671.html?utm_source=google&amp;utm_medium=pla&amp;utm_campaign=1672206402&amp;utm_content=88187085595&amp;utm_term=readystock_cat_group_2_pricebrand_group_2&amp;gad_source=4&amp;gclid=Cj0KCQjwkN--BhDkARIsAD_mnIpf52KCxx5u1mGTdPld-wvL5e3dQsZ81K0kgAUXzWbwh-s2idQOjM8aAoR0EALw_wcB</v>
      </c>
      <c r="L67" s="3" t="str">
        <f>IFERROR(__xludf.DUMMYFUNCTION("""COMPUTED_VALUE"""),"Socket Pipa PVC 2 Inch AW JIS yang warna abu")</f>
        <v>Socket Pipa PVC 2 Inch AW JIS yang warna abu</v>
      </c>
      <c r="M67" s="3" t="str">
        <f>IFERROR(__xludf.DUMMYFUNCTION("""COMPUTED_VALUE"""),"Approve")</f>
        <v>Approve</v>
      </c>
      <c r="N67" s="3" t="str">
        <f>IFERROR(__xludf.DUMMYFUNCTION("""COMPUTED_VALUE"""),"Normal")</f>
        <v>Normal</v>
      </c>
      <c r="O67" s="3" t="str">
        <f>IFERROR(__xludf.DUMMYFUNCTION("""COMPUTED_VALUE"""),"Non Urgent")</f>
        <v>Non Urgent</v>
      </c>
      <c r="P67" s="7">
        <f>IFERROR(__xludf.DUMMYFUNCTION("""COMPUTED_VALUE"""),45742.86690055556)</f>
        <v>45742.8669</v>
      </c>
    </row>
    <row r="68">
      <c r="A68" s="4">
        <f>IFERROR(__xludf.DUMMYFUNCTION("""COMPUTED_VALUE"""),45713.412935428234)</f>
        <v>45713.41294</v>
      </c>
      <c r="B68" s="3" t="str">
        <f>IFERROR(__xludf.DUMMYFUNCTION("""COMPUTED_VALUE"""),"SHFBR0006")</f>
        <v>SHFBR0006</v>
      </c>
      <c r="C68" s="3" t="str">
        <f>IFERROR(__xludf.DUMMYFUNCTION("""COMPUTED_VALUE"""),"EJO")</f>
        <v>EJO</v>
      </c>
      <c r="D68" s="3" t="str">
        <f>IFERROR(__xludf.DUMMYFUNCTION("""COMPUTED_VALUE"""),"EJO/2025/01/79")</f>
        <v>EJO/2025/01/79</v>
      </c>
      <c r="E68" s="3" t="str">
        <f>IFERROR(__xludf.DUMMYFUNCTION("""COMPUTED_VALUE"""),"Office QA")</f>
        <v>Office QA</v>
      </c>
      <c r="F68" s="3" t="str">
        <f>IFERROR(__xludf.DUMMYFUNCTION("""COMPUTED_VALUE"""),"KabelDuck Setengah lingkaran")</f>
        <v>KabelDuck Setengah lingkaran</v>
      </c>
      <c r="G68" s="3" t="str">
        <f>IFERROR(__xludf.DUMMYFUNCTION("""COMPUTED_VALUE"""),"Kabel Duck Setengah Lingkaran 50 X 15")</f>
        <v>Kabel Duck Setengah Lingkaran 50 X 15</v>
      </c>
      <c r="H68" s="3" t="str">
        <f>IFERROR(__xludf.DUMMYFUNCTION("""COMPUTED_VALUE"""),"-")</f>
        <v>-</v>
      </c>
      <c r="I68" s="3">
        <f>IFERROR(__xludf.DUMMYFUNCTION("""COMPUTED_VALUE"""),3.0)</f>
        <v>3</v>
      </c>
      <c r="J68" s="3" t="str">
        <f>IFERROR(__xludf.DUMMYFUNCTION("""COMPUTED_VALUE"""),"Pcs")</f>
        <v>Pcs</v>
      </c>
      <c r="K68" s="5" t="str">
        <f>IFERROR(__xludf.DUMMYFUNCTION("""COMPUTED_VALUE"""),"https://www.monotaro.id/items/s007558250.html?utm_source=google&amp;utm_medium=pla&amp;utm_campaign=1672206402&amp;utm_content=88187085595&amp;utm_term=readystock_cat_group_3_pricebrand_group_1&amp;gad_source=4&amp;gclid=Cj0KCQjwkN--BhDkARIsAD_mnIqkp0iZ2kIF7qbatQgTPpIGOjXgJs1tHK"&amp;"dj3XhgCUZifMuarwrjfBQaAuWSEALw_wcB")</f>
        <v>https://www.monotaro.id/items/s007558250.html?utm_source=google&amp;utm_medium=pla&amp;utm_campaign=1672206402&amp;utm_content=88187085595&amp;utm_term=readystock_cat_group_3_pricebrand_group_1&amp;gad_source=4&amp;gclid=Cj0KCQjwkN--BhDkARIsAD_mnIqkp0iZ2kIF7qbatQgTPpIGOjXgJs1tHKdj3XhgCUZifMuarwrjfBQaAuWSEALw_wcB</v>
      </c>
      <c r="L68" s="3" t="str">
        <f>IFERROR(__xludf.DUMMYFUNCTION("""COMPUTED_VALUE"""),"Kabel Duck Setengah Lingkaran dengan ukuran 50 x 15")</f>
        <v>Kabel Duck Setengah Lingkaran dengan ukuran 50 x 15</v>
      </c>
      <c r="M68" s="3" t="str">
        <f>IFERROR(__xludf.DUMMYFUNCTION("""COMPUTED_VALUE"""),"Approve")</f>
        <v>Approve</v>
      </c>
      <c r="N68" s="3" t="str">
        <f>IFERROR(__xludf.DUMMYFUNCTION("""COMPUTED_VALUE"""),"Normal")</f>
        <v>Normal</v>
      </c>
      <c r="O68" s="3" t="str">
        <f>IFERROR(__xludf.DUMMYFUNCTION("""COMPUTED_VALUE"""),"Non Urgent")</f>
        <v>Non Urgent</v>
      </c>
      <c r="P68" s="7">
        <f>IFERROR(__xludf.DUMMYFUNCTION("""COMPUTED_VALUE"""),45742.867269780094)</f>
        <v>45742.86727</v>
      </c>
    </row>
    <row r="69">
      <c r="A69" s="4">
        <f>IFERROR(__xludf.DUMMYFUNCTION("""COMPUTED_VALUE"""),45713.94654012731)</f>
        <v>45713.94654</v>
      </c>
      <c r="B69" s="3" t="str">
        <f>IFERROR(__xludf.DUMMYFUNCTION("""COMPUTED_VALUE"""),"MOBBR0019")</f>
        <v>MOBBR0019</v>
      </c>
      <c r="C69" s="3" t="str">
        <f>IFERROR(__xludf.DUMMYFUNCTION("""COMPUTED_VALUE"""),"Consumable")</f>
        <v>Consumable</v>
      </c>
      <c r="D69" s="3" t="str">
        <f>IFERROR(__xludf.DUMMYFUNCTION("""COMPUTED_VALUE"""),"-")</f>
        <v>-</v>
      </c>
      <c r="E69" s="3" t="str">
        <f>IFERROR(__xludf.DUMMYFUNCTION("""COMPUTED_VALUE"""),"AC")</f>
        <v>AC</v>
      </c>
      <c r="F69" s="3" t="str">
        <f>IFERROR(__xludf.DUMMYFUNCTION("""COMPUTED_VALUE"""),"Freon")</f>
        <v>Freon</v>
      </c>
      <c r="G69" s="3" t="str">
        <f>IFERROR(__xludf.DUMMYFUNCTION("""COMPUTED_VALUE""")," 407C 407 R407 USA")</f>
        <v> 407C 407 R407 USA</v>
      </c>
      <c r="H69" s="3" t="str">
        <f>IFERROR(__xludf.DUMMYFUNCTION("""COMPUTED_VALUE"""),"Dupont ")</f>
        <v>Dupont </v>
      </c>
      <c r="I69" s="3">
        <f>IFERROR(__xludf.DUMMYFUNCTION("""COMPUTED_VALUE"""),2.0)</f>
        <v>2</v>
      </c>
      <c r="J69" s="3" t="str">
        <f>IFERROR(__xludf.DUMMYFUNCTION("""COMPUTED_VALUE"""),"Pcs")</f>
        <v>Pcs</v>
      </c>
      <c r="K69" s="5" t="str">
        <f>IFERROR(__xludf.DUMMYFUNCTION("""COMPUTED_VALUE"""),"https://www.tokopedia.com/ggtekhnik/freon-dupont-suva-407c-407-r407-usa?extParam=ivf%3Dfalse%26keyword%3Dfreon+r407&amp;src=topads")</f>
        <v>https://www.tokopedia.com/ggtekhnik/freon-dupont-suva-407c-407-r407-usa?extParam=ivf%3Dfalse%26keyword%3Dfreon+r407&amp;src=topads</v>
      </c>
      <c r="L69" s="3" t="str">
        <f>IFERROR(__xludf.DUMMYFUNCTION("""COMPUTED_VALUE"""),"Pengantian Freon Baru")</f>
        <v>Pengantian Freon Baru</v>
      </c>
      <c r="M69" s="3" t="str">
        <f>IFERROR(__xludf.DUMMYFUNCTION("""COMPUTED_VALUE"""),"Approve")</f>
        <v>Approve</v>
      </c>
      <c r="N69" s="3" t="str">
        <f>IFERROR(__xludf.DUMMYFUNCTION("""COMPUTED_VALUE"""),"Normal")</f>
        <v>Normal</v>
      </c>
      <c r="O69" s="3" t="str">
        <f>IFERROR(__xludf.DUMMYFUNCTION("""COMPUTED_VALUE"""),"Non Urgent")</f>
        <v>Non Urgent</v>
      </c>
      <c r="P69" s="7">
        <f>IFERROR(__xludf.DUMMYFUNCTION("""COMPUTED_VALUE"""),45723.656232291665)</f>
        <v>45723.65623</v>
      </c>
    </row>
    <row r="70">
      <c r="A70" s="4">
        <f>IFERROR(__xludf.DUMMYFUNCTION("""COMPUTED_VALUE"""),45714.36542666667)</f>
        <v>45714.36543</v>
      </c>
      <c r="B70" s="3" t="str">
        <f>IFERROR(__xludf.DUMMYFUNCTION("""COMPUTED_VALUE"""),"MRNBR0003")</f>
        <v>MRNBR0003</v>
      </c>
      <c r="C70" s="3" t="str">
        <f>IFERROR(__xludf.DUMMYFUNCTION("""COMPUTED_VALUE"""),"EJO")</f>
        <v>EJO</v>
      </c>
      <c r="D70" s="3" t="str">
        <f>IFERROR(__xludf.DUMMYFUNCTION("""COMPUTED_VALUE"""),"EJO/2024/12/150")</f>
        <v>EJO/2024/12/150</v>
      </c>
      <c r="E70" s="3" t="str">
        <f>IFERROR(__xludf.DUMMYFUNCTION("""COMPUTED_VALUE"""),"Loker sepatu")</f>
        <v>Loker sepatu</v>
      </c>
      <c r="F70" s="3" t="str">
        <f>IFERROR(__xludf.DUMMYFUNCTION("""COMPUTED_VALUE"""),"ducting flexible")</f>
        <v>ducting flexible</v>
      </c>
      <c r="G70" s="3" t="str">
        <f>IFERROR(__xludf.DUMMYFUNCTION("""COMPUTED_VALUE"""),"4 inch")</f>
        <v>4 inch</v>
      </c>
      <c r="H70" s="3" t="str">
        <f>IFERROR(__xludf.DUMMYFUNCTION("""COMPUTED_VALUE"""),"NA")</f>
        <v>NA</v>
      </c>
      <c r="I70" s="3">
        <f>IFERROR(__xludf.DUMMYFUNCTION("""COMPUTED_VALUE"""),3.0)</f>
        <v>3</v>
      </c>
      <c r="J70" s="3" t="str">
        <f>IFERROR(__xludf.DUMMYFUNCTION("""COMPUTED_VALUE"""),"unit")</f>
        <v>unit</v>
      </c>
      <c r="K70" s="5" t="str">
        <f>IFERROR(__xludf.DUMMYFUNCTION("""COMPUTED_VALUE"""),"https://www.tokopedia.com/juragankithcen/flexible-ducting-4-in-pipa-aluminium-exhaust-4-inchi-selang-pembuangan?txsc=google&amp;utm_source=google&amp;utm_medium=cpc&amp;utm_campaign=0000-0000-gg-pmax-bend-voo-tros-act-ord-pg-id51pgce51-0000-alon-gshp&amp;utm_term=5689413"&amp;"304&amp;ref=googleshopping&amp;c=21627648432&amp;m=398720654&amp;gclsrc=aw.ds&amp;gad_source=1")</f>
        <v>https://www.tokopedia.com/juragankithcen/flexible-ducting-4-in-pipa-aluminium-exhaust-4-inchi-selang-pembuangan?txsc=google&amp;utm_source=google&amp;utm_medium=cpc&amp;utm_campaign=0000-0000-gg-pmax-bend-voo-tros-act-ord-pg-id51pgce51-0000-alon-gshp&amp;utm_term=5689413304&amp;ref=googleshopping&amp;c=21627648432&amp;m=398720654&amp;gclsrc=aw.ds&amp;gad_source=1</v>
      </c>
      <c r="L70" s="3" t="str">
        <f>IFERROR(__xludf.DUMMYFUNCTION("""COMPUTED_VALUE"""),"untuk loker sepatu eng")</f>
        <v>untuk loker sepatu eng</v>
      </c>
      <c r="M70" s="3" t="str">
        <f>IFERROR(__xludf.DUMMYFUNCTION("""COMPUTED_VALUE"""),"Approve")</f>
        <v>Approve</v>
      </c>
      <c r="N70" s="3" t="str">
        <f>IFERROR(__xludf.DUMMYFUNCTION("""COMPUTED_VALUE"""),"Normal")</f>
        <v>Normal</v>
      </c>
      <c r="O70" s="3" t="str">
        <f>IFERROR(__xludf.DUMMYFUNCTION("""COMPUTED_VALUE"""),"Non Urgent")</f>
        <v>Non Urgent</v>
      </c>
      <c r="P70" s="7">
        <f>IFERROR(__xludf.DUMMYFUNCTION("""COMPUTED_VALUE"""),45723.656038692134)</f>
        <v>45723.65604</v>
      </c>
    </row>
    <row r="71">
      <c r="A71" s="4">
        <f>IFERROR(__xludf.DUMMYFUNCTION("""COMPUTED_VALUE"""),45715.413608622686)</f>
        <v>45715.41361</v>
      </c>
      <c r="B71" s="3" t="str">
        <f>IFERROR(__xludf.DUMMYFUNCTION("""COMPUTED_VALUE"""),"ANOBR0012")</f>
        <v>ANOBR0012</v>
      </c>
      <c r="C71" s="3" t="str">
        <f>IFERROR(__xludf.DUMMYFUNCTION("""COMPUTED_VALUE"""),"Consumable")</f>
        <v>Consumable</v>
      </c>
      <c r="D71" s="3" t="str">
        <f>IFERROR(__xludf.DUMMYFUNCTION("""COMPUTED_VALUE"""),"-")</f>
        <v>-</v>
      </c>
      <c r="E71" s="3" t="str">
        <f>IFERROR(__xludf.DUMMYFUNCTION("""COMPUTED_VALUE"""),"Workshop")</f>
        <v>Workshop</v>
      </c>
      <c r="F71" s="3" t="str">
        <f>IFERROR(__xludf.DUMMYFUNCTION("""COMPUTED_VALUE"""),"Alat Tap dan Snei")</f>
        <v>Alat Tap dan Snei</v>
      </c>
      <c r="G71" s="3" t="str">
        <f>IFERROR(__xludf.DUMMYFUNCTION("""COMPUTED_VALUE"""),"M4x0.7")</f>
        <v>M4x0.7</v>
      </c>
      <c r="H71" s="3" t="str">
        <f>IFERROR(__xludf.DUMMYFUNCTION("""COMPUTED_VALUE"""),"-")</f>
        <v>-</v>
      </c>
      <c r="I71" s="3">
        <f>IFERROR(__xludf.DUMMYFUNCTION("""COMPUTED_VALUE"""),3.0)</f>
        <v>3</v>
      </c>
      <c r="J71" s="3" t="str">
        <f>IFERROR(__xludf.DUMMYFUNCTION("""COMPUTED_VALUE"""),"pcs")</f>
        <v>pcs</v>
      </c>
      <c r="K71" s="3" t="str">
        <f>IFERROR(__xludf.DUMMYFUNCTION("""COMPUTED_VALUE"""),"https://bnc.lt/a/key_live_abhHgIh1DQiuPxdBNg9EXepdDugwwkHr?channel=salinlink&amp;feature=share&amp;campaign=PDP-1pdy85pv675c-13209102039-0&amp;sdk=web2.63.0&amp;source=web-sdk&amp;data=eyIkb2dfdGl0bGUiOiJ8SE9UU0FMRXwgSEFORCBUQVAgTTQgWCAwLDcgVEFQIE0gNFgwLDcgVEFQIE0gNCBYIDAsNy"&amp;"BNTSBIU1MgQlVLQU4gVEFQIiwiJG9nX2Rlc2NyaXB0aW9uIjoiRGFyaSBBREVBVEFORzUyNSIsIiRvZ19pbWFnZV91cmwiOiJodHRwczovL2ltYWdlcy50b2tvcGVkaWEubmV0L2ltZy9jYWNoZS81MDAtc3F1YXJlL2hEam1rUS8yMDI0LzUvMy83NmQ2NjhlZi1hMTNiLTQ2MGItOTc3Zi1hYjI3N2NiZjg3YTEuanBnIiwiJGRlc2t0b3Bfd"&amp;"XJsIjoiaHR0cHM6Ly93d3cudG9rb3BlZGlhLmNvbS9hZGVhdGFuZzUyNS9ob3RzYWxlLWhhbmQtdGFwLW00LXgtMC03LXRhcC1tLTR4MC03LXRhcC1tLTQteC0wLTctbW0taHNzLWJ1a2FuLXRhcCIsIiRhbmRyb2lkX2RlZXBsaW5rX3BhdGgiOiJodHRwczovL3d3dy50b2tvcGVkaWEuY29tL2FkZWF0YW5nNTI1L2hvdHNhbGUtaGFuZC10"&amp;"YXAtbTQteC0wLTctdGFwLW0tNHgwLTctdGFwLW0tNC14LTAtNy1tbS1oc3MtYnVrYW4tdGFwIiwiJGlvc19kZWVwbGlua19wYXRoIjoiaHR0cHM6Ly93d3cudG9rb3BlZGlhLmNvbS9hZGVhdGFuZzUyNS9ob3RzYWxlLWhhbmQtdGFwLW00LXgtMC03LXRhcC1tLTR4MC03LXRhcC1tLTQteC0wLTctbW0taHNzLWJ1a2FuLXRhcCIsIiRhbmR"&amp;"yb2lkX3VybCI6Imh0dHBzOi8vd3d3LnRva29wZWRpYS5jb20vYWRlYXRhbmc1MjUvaG90c2FsZS1oYW5kLXRhcC1tNC14LTAtNy10YXAtbS00eDAtNy10YXAtbS00LXgtMC03LW1tLWhzcy1idWthbi10YXAiLCIkaW9zX3VybCI6Imh0dHBzOi8vd3d3LnRva29wZWRpYS5jb20vYWRlYXRhbmc1MjUvaG90c2FsZS1oYW5kLXRhcC1tNC14LT"&amp;"AtNy10YXAtbS00eDAtNy10YXAtbS00LXgtMC03LW1tLWhzcy1idWthbi10YXAiLCIkY2Fub25pY2FsX3VybCI6Imh0dHBzOi8vd3d3LnRva29wZWRpYS5jb20vYWRlYXRhbmc1MjUvaG90c2FsZS1oYW5kLXRhcC1tNC14LTAtNy10YXAtbS00eDAtNy10YXAtbS00LXgtMC03LW1tLWhzcy1idWthbi10YXAiLCIkb2dfdmlkZW8iOm51bGwsI"&amp;"iRvZ190eXBlIjoicHJvZHVjdCJ9")</f>
        <v>https://bnc.lt/a/key_live_abhHgIh1DQiuPxdBNg9EXepdDugwwkHr?channel=salinlink&amp;feature=share&amp;campaign=PDP-1pdy85pv675c-13209102039-0&amp;sdk=web2.63.0&amp;source=web-sdk&amp;data=eyIkb2dfdGl0bGUiOiJ8SE9UU0FMRXwgSEFORCBUQVAgTTQgWCAwLDcgVEFQIE0gNFgwLDcgVEFQIE0gNCBYIDAsNyBNTSBIU1MgQlVLQU4gVEFQIiwiJG9nX2Rlc2NyaXB0aW9uIjoiRGFyaSBBREVBVEFORzUyNSIsIiRvZ19pbWFnZV91cmwiOiJodHRwczovL2ltYWdlcy50b2tvcGVkaWEubmV0L2ltZy9jYWNoZS81MDAtc3F1YXJlL2hEam1rUS8yMDI0LzUvMy83NmQ2NjhlZi1hMTNiLTQ2MGItOTc3Zi1hYjI3N2NiZjg3YTEuanBnIiwiJGRlc2t0b3BfdXJsIjoiaHR0cHM6Ly93d3cudG9rb3BlZGlhLmNvbS9hZGVhdGFuZzUyNS9ob3RzYWxlLWhhbmQtdGFwLW00LXgtMC03LXRhcC1tLTR4MC03LXRhcC1tLTQteC0wLTctbW0taHNzLWJ1a2FuLXRhcCIsIiRhbmRyb2lkX2RlZXBsaW5rX3BhdGgiOiJodHRwczovL3d3dy50b2tvcGVkaWEuY29tL2FkZWF0YW5nNTI1L2hvdHNhbGUtaGFuZC10YXAtbTQteC0wLTctdGFwLW0tNHgwLTctdGFwLW0tNC14LTAtNy1tbS1oc3MtYnVrYW4tdGFwIiwiJGlvc19kZWVwbGlua19wYXRoIjoiaHR0cHM6Ly93d3cudG9rb3BlZGlhLmNvbS9hZGVhdGFuZzUyNS9ob3RzYWxlLWhhbmQtdGFwLW00LXgtMC03LXRhcC1tLTR4MC03LXRhcC1tLTQteC0wLTctbW0taHNzLWJ1a2FuLXRhcCIsIiRhbmRyb2lkX3VybCI6Imh0dHBzOi8vd3d3LnRva29wZWRpYS5jb20vYWRlYXRhbmc1MjUvaG90c2FsZS1oYW5kLXRhcC1tNC14LTAtNy10YXAtbS00eDAtNy10YXAtbS00LXgtMC03LW1tLWhzcy1idWthbi10YXAiLCIkaW9zX3VybCI6Imh0dHBzOi8vd3d3LnRva29wZWRpYS5jb20vYWRlYXRhbmc1MjUvaG90c2FsZS1oYW5kLXRhcC1tNC14LTAtNy10YXAtbS00eDAtNy10YXAtbS00LXgtMC03LW1tLWhzcy1idWthbi10YXAiLCIkY2Fub25pY2FsX3VybCI6Imh0dHBzOi8vd3d3LnRva29wZWRpYS5jb20vYWRlYXRhbmc1MjUvaG90c2FsZS1oYW5kLXRhcC1tNC14LTAtNy10YXAtbS00eDAtNy10YXAtbS00LXgtMC03LW1tLWhzcy1idWthbi10YXAiLCIkb2dfdmlkZW8iOm51bGwsIiRvZ190eXBlIjoicHJvZHVjdCJ9</v>
      </c>
      <c r="L71" s="3" t="str">
        <f>IFERROR(__xludf.DUMMYFUNCTION("""COMPUTED_VALUE"""),"Keperluan Tap dan snei")</f>
        <v>Keperluan Tap dan snei</v>
      </c>
      <c r="M71" s="3" t="str">
        <f>IFERROR(__xludf.DUMMYFUNCTION("""COMPUTED_VALUE"""),"Approve")</f>
        <v>Approve</v>
      </c>
      <c r="N71" s="3" t="str">
        <f>IFERROR(__xludf.DUMMYFUNCTION("""COMPUTED_VALUE"""),"Normal")</f>
        <v>Normal</v>
      </c>
      <c r="O71" s="3" t="str">
        <f>IFERROR(__xludf.DUMMYFUNCTION("""COMPUTED_VALUE"""),"Non Urgent")</f>
        <v>Non Urgent</v>
      </c>
      <c r="P71" s="7">
        <f>IFERROR(__xludf.DUMMYFUNCTION("""COMPUTED_VALUE"""),45730.61894465278)</f>
        <v>45730.61894</v>
      </c>
    </row>
    <row r="72">
      <c r="A72" s="4">
        <f>IFERROR(__xludf.DUMMYFUNCTION("""COMPUTED_VALUE"""),45715.41855144676)</f>
        <v>45715.41855</v>
      </c>
      <c r="B72" s="3" t="str">
        <f>IFERROR(__xludf.DUMMYFUNCTION("""COMPUTED_VALUE"""),"ANOBR0013")</f>
        <v>ANOBR0013</v>
      </c>
      <c r="C72" s="3" t="str">
        <f>IFERROR(__xludf.DUMMYFUNCTION("""COMPUTED_VALUE"""),"Consumable")</f>
        <v>Consumable</v>
      </c>
      <c r="D72" s="3" t="str">
        <f>IFERROR(__xludf.DUMMYFUNCTION("""COMPUTED_VALUE"""),"-")</f>
        <v>-</v>
      </c>
      <c r="E72" s="3" t="str">
        <f>IFERROR(__xludf.DUMMYFUNCTION("""COMPUTED_VALUE"""),"Workshop")</f>
        <v>Workshop</v>
      </c>
      <c r="F72" s="3" t="str">
        <f>IFERROR(__xludf.DUMMYFUNCTION("""COMPUTED_VALUE"""),"Alat Tap dan Snei")</f>
        <v>Alat Tap dan Snei</v>
      </c>
      <c r="G72" s="3" t="str">
        <f>IFERROR(__xludf.DUMMYFUNCTION("""COMPUTED_VALUE"""),"M3x0.5")</f>
        <v>M3x0.5</v>
      </c>
      <c r="H72" s="3" t="str">
        <f>IFERROR(__xludf.DUMMYFUNCTION("""COMPUTED_VALUE"""),"-")</f>
        <v>-</v>
      </c>
      <c r="I72" s="3">
        <f>IFERROR(__xludf.DUMMYFUNCTION("""COMPUTED_VALUE"""),3.0)</f>
        <v>3</v>
      </c>
      <c r="J72" s="3" t="str">
        <f>IFERROR(__xludf.DUMMYFUNCTION("""COMPUTED_VALUE"""),"pcs")</f>
        <v>pcs</v>
      </c>
      <c r="K72" s="3" t="str">
        <f>IFERROR(__xludf.DUMMYFUNCTION("""COMPUTED_VALUE"""),"https://bnc.lt/a/key_live_abhHgIh1DQiuPxdBNg9EXepdDugwwkHr?channel=salinlink&amp;feature=share&amp;campaign=PDP-8vj2d50lf2l6-12796259313-0&amp;sdk=web2.63.0&amp;source=web-sdk&amp;data=eyIkb2dfdGl0bGUiOiJIYW5kIFRhcCBTS0MgTTN4MC41IC8gU0tDIE1hdGEgVGFwIE0zeDAuIDUgKGlzaSAzcGNzKS"&amp;"IsIiRvZ19kZXNjcmlwdGlvbiI6IkRhcmkgUk1TIFRla25payIsIiRvZ19pbWFnZV91cmwiOiJodHRwczovL2ltYWdlcy50b2tvcGVkaWEubmV0L2ltZy9jYWNoZS81MDAtc3F1YXJlL1ZxYmNtTS8yMDI0LzIvMjQvMzcyMmQ4YzEtNWUxNS00ZTk3LWIyMzQtMTFlZGM4Mzg3ZGU2LmpwZyIsIiRkZXNrdG9wX3VybCI6Imh0dHBzOi8vd3d3L"&amp;"nRva29wZWRpYS5jb20vcmNidG9vbHMvaGFuZC10YXAtc2tjLW0zeDAtNS1za2MtbWF0YS10YXAtbTN4MC01LWlzaS0zcGNzIiwiJGFuZHJvaWRfZGVlcGxpbmtfcGF0aCI6Imh0dHBzOi8vd3d3LnRva29wZWRpYS5jb20vcmNidG9vbHMvaGFuZC10YXAtc2tjLW0zeDAtNS1za2MtbWF0YS10YXAtbTN4MC01LWlzaS0zcGNzIiwiJGlvc19k"&amp;"ZWVwbGlua19wYXRoIjoiaHR0cHM6Ly93d3cudG9rb3BlZGlhLmNvbS9yY2J0b29scy9oYW5kLXRhcC1za2MtbTN4MC01LXNrYy1tYXRhLXRhcC1tM3gwLTUtaXNpLTNwY3MiLCIkYW5kcm9pZF91cmwiOiJodHRwczovL3d3dy50b2tvcGVkaWEuY29tL3JjYnRvb2xzL2hhbmQtdGFwLXNrYy1tM3gwLTUtc2tjLW1hdGEtdGFwLW0zeDAtNS1"&amp;"pc2ktM3BjcyIsIiRpb3NfdXJsIjoiaHR0cHM6Ly93d3cudG9rb3BlZGlhLmNvbS9yY2J0b29scy9oYW5kLXRhcC1za2MtbTN4MC01LXNrYy1tYXRhLXRhcC1tM3gwLTUtaXNpLTNwY3MiLCIkY2Fub25pY2FsX3VybCI6Imh0dHBzOi8vd3d3LnRva29wZWRpYS5jb20vcmNidG9vbHMvaGFuZC10YXAtc2tjLW0zeDAtNS1za2MtbWF0YS10YX"&amp;"AtbTN4MC01LWlzaS0zcGNzP2V4dFBhcmFtPWl2ZiUzRGZhbHNlJTI2a2V5d29yZCUzRHRhcCttM3gwLjUmc3JjPXRvcGFkcyIsIiRvZ192aWRlbyI6bnVsbCwiJG9nX3R5cGUiOiJwcm9kdWN0In0%3D")</f>
        <v>https://bnc.lt/a/key_live_abhHgIh1DQiuPxdBNg9EXepdDugwwkHr?channel=salinlink&amp;feature=share&amp;campaign=PDP-8vj2d50lf2l6-12796259313-0&amp;sdk=web2.63.0&amp;source=web-sdk&amp;data=eyIkb2dfdGl0bGUiOiJIYW5kIFRhcCBTS0MgTTN4MC41IC8gU0tDIE1hdGEgVGFwIE0zeDAuIDUgKGlzaSAzcGNzKSIsIiRvZ19kZXNjcmlwdGlvbiI6IkRhcmkgUk1TIFRla25payIsIiRvZ19pbWFnZV91cmwiOiJodHRwczovL2ltYWdlcy50b2tvcGVkaWEubmV0L2ltZy9jYWNoZS81MDAtc3F1YXJlL1ZxYmNtTS8yMDI0LzIvMjQvMzcyMmQ4YzEtNWUxNS00ZTk3LWIyMzQtMTFlZGM4Mzg3ZGU2LmpwZyIsIiRkZXNrdG9wX3VybCI6Imh0dHBzOi8vd3d3LnRva29wZWRpYS5jb20vcmNidG9vbHMvaGFuZC10YXAtc2tjLW0zeDAtNS1za2MtbWF0YS10YXAtbTN4MC01LWlzaS0zcGNzIiwiJGFuZHJvaWRfZGVlcGxpbmtfcGF0aCI6Imh0dHBzOi8vd3d3LnRva29wZWRpYS5jb20vcmNidG9vbHMvaGFuZC10YXAtc2tjLW0zeDAtNS1za2MtbWF0YS10YXAtbTN4MC01LWlzaS0zcGNzIiwiJGlvc19kZWVwbGlua19wYXRoIjoiaHR0cHM6Ly93d3cudG9rb3BlZGlhLmNvbS9yY2J0b29scy9oYW5kLXRhcC1za2MtbTN4MC01LXNrYy1tYXRhLXRhcC1tM3gwLTUtaXNpLTNwY3MiLCIkYW5kcm9pZF91cmwiOiJodHRwczovL3d3dy50b2tvcGVkaWEuY29tL3JjYnRvb2xzL2hhbmQtdGFwLXNrYy1tM3gwLTUtc2tjLW1hdGEtdGFwLW0zeDAtNS1pc2ktM3BjcyIsIiRpb3NfdXJsIjoiaHR0cHM6Ly93d3cudG9rb3BlZGlhLmNvbS9yY2J0b29scy9oYW5kLXRhcC1za2MtbTN4MC01LXNrYy1tYXRhLXRhcC1tM3gwLTUtaXNpLTNwY3MiLCIkY2Fub25pY2FsX3VybCI6Imh0dHBzOi8vd3d3LnRva29wZWRpYS5jb20vcmNidG9vbHMvaGFuZC10YXAtc2tjLW0zeDAtNS1za2MtbWF0YS10YXAtbTN4MC01LWlzaS0zcGNzP2V4dFBhcmFtPWl2ZiUzRGZhbHNlJTI2a2V5d29yZCUzRHRhcCttM3gwLjUmc3JjPXRvcGFkcyIsIiRvZ192aWRlbyI6bnVsbCwiJG9nX3R5cGUiOiJwcm9kdWN0In0%3D</v>
      </c>
      <c r="L72" s="3" t="str">
        <f>IFERROR(__xludf.DUMMYFUNCTION("""COMPUTED_VALUE"""),"Keperluan Tap dan snei")</f>
        <v>Keperluan Tap dan snei</v>
      </c>
      <c r="M72" s="3" t="str">
        <f>IFERROR(__xludf.DUMMYFUNCTION("""COMPUTED_VALUE"""),"Approve")</f>
        <v>Approve</v>
      </c>
      <c r="N72" s="3" t="str">
        <f>IFERROR(__xludf.DUMMYFUNCTION("""COMPUTED_VALUE"""),"Normal")</f>
        <v>Normal</v>
      </c>
      <c r="O72" s="3" t="str">
        <f>IFERROR(__xludf.DUMMYFUNCTION("""COMPUTED_VALUE"""),"Non Urgent")</f>
        <v>Non Urgent</v>
      </c>
      <c r="P72" s="7">
        <f>IFERROR(__xludf.DUMMYFUNCTION("""COMPUTED_VALUE"""),45730.61958699074)</f>
        <v>45730.61959</v>
      </c>
    </row>
    <row r="73">
      <c r="A73" s="4">
        <f>IFERROR(__xludf.DUMMYFUNCTION("""COMPUTED_VALUE"""),45715.421505046295)</f>
        <v>45715.42151</v>
      </c>
      <c r="B73" s="3" t="str">
        <f>IFERROR(__xludf.DUMMYFUNCTION("""COMPUTED_VALUE"""),"ANOBR0014")</f>
        <v>ANOBR0014</v>
      </c>
      <c r="C73" s="3" t="str">
        <f>IFERROR(__xludf.DUMMYFUNCTION("""COMPUTED_VALUE"""),"Consumable")</f>
        <v>Consumable</v>
      </c>
      <c r="D73" s="3" t="str">
        <f>IFERROR(__xludf.DUMMYFUNCTION("""COMPUTED_VALUE"""),"-")</f>
        <v>-</v>
      </c>
      <c r="E73" s="3" t="str">
        <f>IFERROR(__xludf.DUMMYFUNCTION("""COMPUTED_VALUE"""),"Workshop")</f>
        <v>Workshop</v>
      </c>
      <c r="F73" s="3" t="str">
        <f>IFERROR(__xludf.DUMMYFUNCTION("""COMPUTED_VALUE"""),"Alat Tap dan Snei")</f>
        <v>Alat Tap dan Snei</v>
      </c>
      <c r="G73" s="3" t="str">
        <f>IFERROR(__xludf.DUMMYFUNCTION("""COMPUTED_VALUE"""),"M5x0.8")</f>
        <v>M5x0.8</v>
      </c>
      <c r="H73" s="3" t="str">
        <f>IFERROR(__xludf.DUMMYFUNCTION("""COMPUTED_VALUE"""),"-")</f>
        <v>-</v>
      </c>
      <c r="I73" s="3">
        <f>IFERROR(__xludf.DUMMYFUNCTION("""COMPUTED_VALUE"""),3.0)</f>
        <v>3</v>
      </c>
      <c r="J73" s="3" t="str">
        <f>IFERROR(__xludf.DUMMYFUNCTION("""COMPUTED_VALUE"""),"pcs")</f>
        <v>pcs</v>
      </c>
      <c r="K73" s="3" t="str">
        <f>IFERROR(__xludf.DUMMYFUNCTION("""COMPUTED_VALUE"""),"https://bnc.lt/a/key_live_abhHgIh1DQiuPxdBNg9EXepdDugwwkHr?channel=salinlink&amp;feature=share&amp;campaign=PDP-26c8sdgdamg7-12713092252-0&amp;sdk=web2.63.0&amp;source=web-sdk&amp;data=eyIkb2dfdGl0bGUiOiJIYW5kIFRhcCBNNXgwLjggU0tDIC8gSGFuZCBUYXAgSFNTIE1lcmsgU2tjIDFzZXQvaXNpID"&amp;"NwY3MiLCIkb2dfZGVzY3JpcHRpb24iOiJEYXJpIFJNUyBUZWtuaWsiLCIkb2dfaW1hZ2VfdXJsIjoiaHR0cHM6Ly9pbWFnZXMudG9rb3BlZGlhLm5ldC9pbWcvY2FjaGUvNTAwLXNxdWFyZS9WcWJjbU0vMjAyNC8yLzEwLzZmYjVkYjExLTFkM2UtNDMyNC1iMjAyLWMyNTI3YThkMWQ2YS5qcGciLCIkZGVza3RvcF91cmwiOiJodHRwczovL"&amp;"3d3dy50b2tvcGVkaWEuY29tL3JjYnRvb2xzL2hhbmQtdGFwLW01eDAtOC1za2MtaGFuZC10YXAtaHNzLW1lcmstc2tjLTFzZXQtaXNpLTNwY3MiLCIkYW5kcm9pZF9kZWVwbGlua19wYXRoIjoiaHR0cHM6Ly93d3cudG9rb3BlZGlhLmNvbS9yY2J0b29scy9oYW5kLXRhcC1tNXgwLTgtc2tjLWhhbmQtdGFwLWhzcy1tZXJrLXNrYy0xc2V0"&amp;"LWlzaS0zcGNzIiwiJGlvc19kZWVwbGlua19wYXRoIjoiaHR0cHM6Ly93d3cudG9rb3BlZGlhLmNvbS9yY2J0b29scy9oYW5kLXRhcC1tNXgwLTgtc2tjLWhhbmQtdGFwLWhzcy1tZXJrLXNrYy0xc2V0LWlzaS0zcGNzIiwiJGFuZHJvaWRfdXJsIjoiaHR0cHM6Ly93d3cudG9rb3BlZGlhLmNvbS9yY2J0b29scy9oYW5kLXRhcC1tNXgwLTg"&amp;"tc2tjLWhhbmQtdGFwLWhzcy1tZXJrLXNrYy0xc2V0LWlzaS0zcGNzIiwiJGlvc191cmwiOiJodHRwczovL3d3dy50b2tvcGVkaWEuY29tL3JjYnRvb2xzL2hhbmQtdGFwLW01eDAtOC1za2MtaGFuZC10YXAtaHNzLW1lcmstc2tjLTFzZXQtaXNpLTNwY3MiLCIkY2Fub25pY2FsX3VybCI6Imh0dHBzOi8vd3d3LnRva29wZWRpYS5jb20vcm"&amp;"NidG9vbHMvaGFuZC10YXAtbTV4MC04LXNrYy1oYW5kLXRhcC1oc3MtbWVyay1za2MtMXNldC1pc2ktM3Bjcz9leHRQYXJhbT1pdmYlM0RmYWxzZSUyNmtleXdvcmQlM0R0YXArbTV4MC44JnNyYz10b3BhZHMiLCIkb2dfdmlkZW8iOm51bGwsIiRvZ190eXBlIjoicHJvZHVjdCJ9")</f>
        <v>https://bnc.lt/a/key_live_abhHgIh1DQiuPxdBNg9EXepdDugwwkHr?channel=salinlink&amp;feature=share&amp;campaign=PDP-26c8sdgdamg7-12713092252-0&amp;sdk=web2.63.0&amp;source=web-sdk&amp;data=eyIkb2dfdGl0bGUiOiJIYW5kIFRhcCBNNXgwLjggU0tDIC8gSGFuZCBUYXAgSFNTIE1lcmsgU2tjIDFzZXQvaXNpIDNwY3MiLCIkb2dfZGVzY3JpcHRpb24iOiJEYXJpIFJNUyBUZWtuaWsiLCIkb2dfaW1hZ2VfdXJsIjoiaHR0cHM6Ly9pbWFnZXMudG9rb3BlZGlhLm5ldC9pbWcvY2FjaGUvNTAwLXNxdWFyZS9WcWJjbU0vMjAyNC8yLzEwLzZmYjVkYjExLTFkM2UtNDMyNC1iMjAyLWMyNTI3YThkMWQ2YS5qcGciLCIkZGVza3RvcF91cmwiOiJodHRwczovL3d3dy50b2tvcGVkaWEuY29tL3JjYnRvb2xzL2hhbmQtdGFwLW01eDAtOC1za2MtaGFuZC10YXAtaHNzLW1lcmstc2tjLTFzZXQtaXNpLTNwY3MiLCIkYW5kcm9pZF9kZWVwbGlua19wYXRoIjoiaHR0cHM6Ly93d3cudG9rb3BlZGlhLmNvbS9yY2J0b29scy9oYW5kLXRhcC1tNXgwLTgtc2tjLWhhbmQtdGFwLWhzcy1tZXJrLXNrYy0xc2V0LWlzaS0zcGNzIiwiJGlvc19kZWVwbGlua19wYXRoIjoiaHR0cHM6Ly93d3cudG9rb3BlZGlhLmNvbS9yY2J0b29scy9oYW5kLXRhcC1tNXgwLTgtc2tjLWhhbmQtdGFwLWhzcy1tZXJrLXNrYy0xc2V0LWlzaS0zcGNzIiwiJGFuZHJvaWRfdXJsIjoiaHR0cHM6Ly93d3cudG9rb3BlZGlhLmNvbS9yY2J0b29scy9oYW5kLXRhcC1tNXgwLTgtc2tjLWhhbmQtdGFwLWhzcy1tZXJrLXNrYy0xc2V0LWlzaS0zcGNzIiwiJGlvc191cmwiOiJodHRwczovL3d3dy50b2tvcGVkaWEuY29tL3JjYnRvb2xzL2hhbmQtdGFwLW01eDAtOC1za2MtaGFuZC10YXAtaHNzLW1lcmstc2tjLTFzZXQtaXNpLTNwY3MiLCIkY2Fub25pY2FsX3VybCI6Imh0dHBzOi8vd3d3LnRva29wZWRpYS5jb20vcmNidG9vbHMvaGFuZC10YXAtbTV4MC04LXNrYy1oYW5kLXRhcC1oc3MtbWVyay1za2MtMXNldC1pc2ktM3Bjcz9leHRQYXJhbT1pdmYlM0RmYWxzZSUyNmtleXdvcmQlM0R0YXArbTV4MC44JnNyYz10b3BhZHMiLCIkb2dfdmlkZW8iOm51bGwsIiRvZ190eXBlIjoicHJvZHVjdCJ9</v>
      </c>
      <c r="L73" s="3" t="str">
        <f>IFERROR(__xludf.DUMMYFUNCTION("""COMPUTED_VALUE"""),"Keperluan Tap dan snei")</f>
        <v>Keperluan Tap dan snei</v>
      </c>
      <c r="M73" s="3" t="str">
        <f>IFERROR(__xludf.DUMMYFUNCTION("""COMPUTED_VALUE"""),"Approve")</f>
        <v>Approve</v>
      </c>
      <c r="N73" s="3" t="str">
        <f>IFERROR(__xludf.DUMMYFUNCTION("""COMPUTED_VALUE"""),"Normal")</f>
        <v>Normal</v>
      </c>
      <c r="O73" s="3" t="str">
        <f>IFERROR(__xludf.DUMMYFUNCTION("""COMPUTED_VALUE"""),"Non Urgent")</f>
        <v>Non Urgent</v>
      </c>
      <c r="P73" s="7">
        <f>IFERROR(__xludf.DUMMYFUNCTION("""COMPUTED_VALUE"""),45730.62083486111)</f>
        <v>45730.62083</v>
      </c>
    </row>
    <row r="74">
      <c r="A74" s="4">
        <f>IFERROR(__xludf.DUMMYFUNCTION("""COMPUTED_VALUE"""),45715.43380225694)</f>
        <v>45715.4338</v>
      </c>
      <c r="B74" s="3" t="str">
        <f>IFERROR(__xludf.DUMMYFUNCTION("""COMPUTED_VALUE"""),"ANOBR0015")</f>
        <v>ANOBR0015</v>
      </c>
      <c r="C74" s="3" t="str">
        <f>IFERROR(__xludf.DUMMYFUNCTION("""COMPUTED_VALUE"""),"Consumable")</f>
        <v>Consumable</v>
      </c>
      <c r="D74" s="3" t="str">
        <f>IFERROR(__xludf.DUMMYFUNCTION("""COMPUTED_VALUE"""),"-")</f>
        <v>-</v>
      </c>
      <c r="E74" s="3" t="str">
        <f>IFERROR(__xludf.DUMMYFUNCTION("""COMPUTED_VALUE"""),"Workshop")</f>
        <v>Workshop</v>
      </c>
      <c r="F74" s="3" t="str">
        <f>IFERROR(__xludf.DUMMYFUNCTION("""COMPUTED_VALUE"""),"Alat Tap dan Snei")</f>
        <v>Alat Tap dan Snei</v>
      </c>
      <c r="G74" s="3" t="str">
        <f>IFERROR(__xludf.DUMMYFUNCTION("""COMPUTED_VALUE"""),"M6x1.0")</f>
        <v>M6x1.0</v>
      </c>
      <c r="H74" s="3" t="str">
        <f>IFERROR(__xludf.DUMMYFUNCTION("""COMPUTED_VALUE"""),"-")</f>
        <v>-</v>
      </c>
      <c r="I74" s="3">
        <f>IFERROR(__xludf.DUMMYFUNCTION("""COMPUTED_VALUE"""),3.0)</f>
        <v>3</v>
      </c>
      <c r="J74" s="3" t="str">
        <f>IFERROR(__xludf.DUMMYFUNCTION("""COMPUTED_VALUE"""),"pcs")</f>
        <v>pcs</v>
      </c>
      <c r="K74" s="3" t="str">
        <f>IFERROR(__xludf.DUMMYFUNCTION("""COMPUTED_VALUE"""),"https://bnc.lt/a/key_live_abhHgIh1DQiuPxdBNg9EXepdDugwwkHr?channel=salinlink&amp;feature=share&amp;campaign=PDP-2i7lwk8qq2o3-13171771298-0&amp;sdk=web2.63.0&amp;source=web-sdk&amp;data=eyIkb2dfdGl0bGUiOiJTS0MgT3JhbmdlIEhhbmQgVGFwIE02eDEuMCBNYXRhIEhhbmQgVGFwcyBTY3JldyBQZW1idW"&amp;"F0IERyYXQiLCIkb2dfZGVzY3JpcHRpb24iOiJEYXJpIFBULiBHTElTVEFHRU4iLCIkb2dfaW1hZ2VfdXJsIjoiaHR0cHM6Ly9pbWFnZXMudG9rb3BlZGlhLm5ldC9pbWcvY2FjaGUvNTAwLXNxdWFyZS9WcWJjbU0vMjAyNC81LzMxL2U5MTI5NzFiLTM2YjktNDlmYi1hZWUwLTAyZTcxZTEyNTY3Ny5qcGciLCIkZGVza3RvcF91cmwiOiJod"&amp;"HRwczovL3d3dy50b2tvcGVkaWEuY29tL2dsaXN0YWdlbnB0L3NrYy1vcmFuZ2UtaGFuZC10YXAtbTZ4MS0wLW1hdGEtaGFuZC10YXBzLXNjcmV3LXBlbWJ1YXQtZHJhdCIsIiRhbmRyb2lkX2RlZXBsaW5rX3BhdGgiOiJodHRwczovL3d3dy50b2tvcGVkaWEuY29tL2dsaXN0YWdlbnB0L3NrYy1vcmFuZ2UtaGFuZC10YXAtbTZ4MS0wLW1h"&amp;"dGEtaGFuZC10YXBzLXNjcmV3LXBlbWJ1YXQtZHJhdCIsIiRpb3NfZGVlcGxpbmtfcGF0aCI6Imh0dHBzOi8vd3d3LnRva29wZWRpYS5jb20vZ2xpc3RhZ2VucHQvc2tjLW9yYW5nZS1oYW5kLXRhcC1tNngxLTAtbWF0YS1oYW5kLXRhcHMtc2NyZXctcGVtYnVhdC1kcmF0IiwiJGFuZHJvaWRfdXJsIjoiaHR0cHM6Ly93d3cudG9rb3BlZGl"&amp;"hLmNvbS9nbGlzdGFnZW5wdC9za2Mtb3JhbmdlLWhhbmQtdGFwLW02eDEtMC1tYXRhLWhhbmQtdGFwcy1zY3Jldy1wZW1idWF0LWRyYXQiLCIkaW9zX3VybCI6Imh0dHBzOi8vd3d3LnRva29wZWRpYS5jb20vZ2xpc3RhZ2VucHQvc2tjLW9yYW5nZS1oYW5kLXRhcC1tNngxLTAtbWF0YS1oYW5kLXRhcHMtc2NyZXctcGVtYnVhdC1kcmF0Ii"&amp;"wiJGNhbm9uaWNhbF91cmwiOiJodHRwczovL3d3dy50b2tvcGVkaWEuY29tL2dsaXN0YWdlbnB0L3NrYy1vcmFuZ2UtaGFuZC10YXAtbTZ4MS0wLW1hdGEtaGFuZC10YXBzLXNjcmV3LXBlbWJ1YXQtZHJhdD9leHRQYXJhbT1pdmYlM0RmYWxzZSUyNmtleXdvcmQlM0RtNngxLjAlMjZzZWFyY2hfaWQlM0QyMDI1MDIyNzAzMjgxNDdBN0RGQ"&amp;"jc2QTA0MzE3MTE0TUFCJTI2c3JjJTNEc2VhcmNoIiwiJG9nX3ZpZGVvIjpudWxsLCIkb2dfdHlwZSI6InByb2R1Y3QifQ%3D%3D")</f>
        <v>https://bnc.lt/a/key_live_abhHgIh1DQiuPxdBNg9EXepdDugwwkHr?channel=salinlink&amp;feature=share&amp;campaign=PDP-2i7lwk8qq2o3-13171771298-0&amp;sdk=web2.63.0&amp;source=web-sdk&amp;data=eyIkb2dfdGl0bGUiOiJTS0MgT3JhbmdlIEhhbmQgVGFwIE02eDEuMCBNYXRhIEhhbmQgVGFwcyBTY3JldyBQZW1idWF0IERyYXQiLCIkb2dfZGVzY3JpcHRpb24iOiJEYXJpIFBULiBHTElTVEFHRU4iLCIkb2dfaW1hZ2VfdXJsIjoiaHR0cHM6Ly9pbWFnZXMudG9rb3BlZGlhLm5ldC9pbWcvY2FjaGUvNTAwLXNxdWFyZS9WcWJjbU0vMjAyNC81LzMxL2U5MTI5NzFiLTM2YjktNDlmYi1hZWUwLTAyZTcxZTEyNTY3Ny5qcGciLCIkZGVza3RvcF91cmwiOiJodHRwczovL3d3dy50b2tvcGVkaWEuY29tL2dsaXN0YWdlbnB0L3NrYy1vcmFuZ2UtaGFuZC10YXAtbTZ4MS0wLW1hdGEtaGFuZC10YXBzLXNjcmV3LXBlbWJ1YXQtZHJhdCIsIiRhbmRyb2lkX2RlZXBsaW5rX3BhdGgiOiJodHRwczovL3d3dy50b2tvcGVkaWEuY29tL2dsaXN0YWdlbnB0L3NrYy1vcmFuZ2UtaGFuZC10YXAtbTZ4MS0wLW1hdGEtaGFuZC10YXBzLXNjcmV3LXBlbWJ1YXQtZHJhdCIsIiRpb3NfZGVlcGxpbmtfcGF0aCI6Imh0dHBzOi8vd3d3LnRva29wZWRpYS5jb20vZ2xpc3RhZ2VucHQvc2tjLW9yYW5nZS1oYW5kLXRhcC1tNngxLTAtbWF0YS1oYW5kLXRhcHMtc2NyZXctcGVtYnVhdC1kcmF0IiwiJGFuZHJvaWRfdXJsIjoiaHR0cHM6Ly93d3cudG9rb3BlZGlhLmNvbS9nbGlzdGFnZW5wdC9za2Mtb3JhbmdlLWhhbmQtdGFwLW02eDEtMC1tYXRhLWhhbmQtdGFwcy1zY3Jldy1wZW1idWF0LWRyYXQiLCIkaW9zX3VybCI6Imh0dHBzOi8vd3d3LnRva29wZWRpYS5jb20vZ2xpc3RhZ2VucHQvc2tjLW9yYW5nZS1oYW5kLXRhcC1tNngxLTAtbWF0YS1oYW5kLXRhcHMtc2NyZXctcGVtYnVhdC1kcmF0IiwiJGNhbm9uaWNhbF91cmwiOiJodHRwczovL3d3dy50b2tvcGVkaWEuY29tL2dsaXN0YWdlbnB0L3NrYy1vcmFuZ2UtaGFuZC10YXAtbTZ4MS0wLW1hdGEtaGFuZC10YXBzLXNjcmV3LXBlbWJ1YXQtZHJhdD9leHRQYXJhbT1pdmYlM0RmYWxzZSUyNmtleXdvcmQlM0RtNngxLjAlMjZzZWFyY2hfaWQlM0QyMDI1MDIyNzAzMjgxNDdBN0RGQjc2QTA0MzE3MTE0TUFCJTI2c3JjJTNEc2VhcmNoIiwiJG9nX3ZpZGVvIjpudWxsLCIkb2dfdHlwZSI6InByb2R1Y3QifQ%3D%3D</v>
      </c>
      <c r="L74" s="3" t="str">
        <f>IFERROR(__xludf.DUMMYFUNCTION("""COMPUTED_VALUE"""),"Keperluan Tap dan snei")</f>
        <v>Keperluan Tap dan snei</v>
      </c>
      <c r="M74" s="3" t="str">
        <f>IFERROR(__xludf.DUMMYFUNCTION("""COMPUTED_VALUE"""),"Approve")</f>
        <v>Approve</v>
      </c>
      <c r="N74" s="3" t="str">
        <f>IFERROR(__xludf.DUMMYFUNCTION("""COMPUTED_VALUE"""),"Normal")</f>
        <v>Normal</v>
      </c>
      <c r="O74" s="3" t="str">
        <f>IFERROR(__xludf.DUMMYFUNCTION("""COMPUTED_VALUE"""),"Non Urgent")</f>
        <v>Non Urgent</v>
      </c>
      <c r="P74" s="7">
        <f>IFERROR(__xludf.DUMMYFUNCTION("""COMPUTED_VALUE"""),45730.62130640046)</f>
        <v>45730.62131</v>
      </c>
    </row>
    <row r="75">
      <c r="A75" s="4">
        <f>IFERROR(__xludf.DUMMYFUNCTION("""COMPUTED_VALUE"""),45715.43703217593)</f>
        <v>45715.43703</v>
      </c>
      <c r="B75" s="3" t="str">
        <f>IFERROR(__xludf.DUMMYFUNCTION("""COMPUTED_VALUE"""),"ANOBR0016")</f>
        <v>ANOBR0016</v>
      </c>
      <c r="C75" s="3" t="str">
        <f>IFERROR(__xludf.DUMMYFUNCTION("""COMPUTED_VALUE"""),"Consumable")</f>
        <v>Consumable</v>
      </c>
      <c r="D75" s="3" t="str">
        <f>IFERROR(__xludf.DUMMYFUNCTION("""COMPUTED_VALUE"""),"-")</f>
        <v>-</v>
      </c>
      <c r="E75" s="3" t="str">
        <f>IFERROR(__xludf.DUMMYFUNCTION("""COMPUTED_VALUE"""),"Workshop")</f>
        <v>Workshop</v>
      </c>
      <c r="F75" s="3" t="str">
        <f>IFERROR(__xludf.DUMMYFUNCTION("""COMPUTED_VALUE"""),"Alat Tap dan Snei")</f>
        <v>Alat Tap dan Snei</v>
      </c>
      <c r="G75" s="3" t="str">
        <f>IFERROR(__xludf.DUMMYFUNCTION("""COMPUTED_VALUE"""),"Stang Tap")</f>
        <v>Stang Tap</v>
      </c>
      <c r="H75" s="3" t="str">
        <f>IFERROR(__xludf.DUMMYFUNCTION("""COMPUTED_VALUE"""),"Tekiro")</f>
        <v>Tekiro</v>
      </c>
      <c r="I75" s="3">
        <f>IFERROR(__xludf.DUMMYFUNCTION("""COMPUTED_VALUE"""),1.0)</f>
        <v>1</v>
      </c>
      <c r="J75" s="3" t="str">
        <f>IFERROR(__xludf.DUMMYFUNCTION("""COMPUTED_VALUE"""),"pcs")</f>
        <v>pcs</v>
      </c>
      <c r="K75" s="3" t="str">
        <f>IFERROR(__xludf.DUMMYFUNCTION("""COMPUTED_VALUE"""),"https://bnc.lt/a/key_live_abhHgIh1DQiuPxdBNg9EXepdDugwwkHr?channel=salinlink&amp;feature=share&amp;campaign=PDP-8k6b33ikpws8-3214828453-0&amp;sdk=web2.63.0&amp;source=web-sdk&amp;data=eyIkb2dfdGl0bGUiOiJIQU5ETEUgR2FnYW5nIFRBUCBCQUxJSyBTdGFuZyBTY3JldyBFeHRyYWN0b3IgLSBURUtJUk8"&amp;"gTTEgTTEwIE0zIE0xMiAtIE0xLU0xMCIsIiRvZ19kZXNjcmlwdGlvbiI6IkRhcmkgTWFocnVtYWgiLCIkb2dfaW1hZ2VfdXJsIjoiaHR0cHM6Ly9pbWFnZXMudG9rb3BlZGlhLm5ldC9pbWcvbURjUUJ5LzIwMjQvOS8xMy84OTQ4OTM1YS05Mzk3LTQwYmEtOTMwNy1jYWM3NzJlNzliYTgucG5nIiwiJGRlc2t0b3BfdXJsIjoiaHR0cHM6Ly"&amp;"93d3cudG9rb3BlZGlhLmNvbS9tYWhydW1haC9oYW5kbGUtZ2FnYW5nLXRhcC1iYWxpay1zdGFuZy1zY3Jldy1leHRyYWN0b3ItdGVraXJvLW0xLW0xMC1tMy1tMTItbTEtbTEwIiwiJGFuZHJvaWRfZGVlcGxpbmtfcGF0aCI6Imh0dHBzOi8vd3d3LnRva29wZWRpYS5jb20vbWFocnVtYWgvaGFuZGxlLWdhZ2FuZy10YXAtYmFsaWstc3Rhb"&amp;"mctc2NyZXctZXh0cmFjdG9yLXRla2lyby1tMS1tMTAtbTMtbTEyLW0xLW0xMCIsIiRpb3NfZGVlcGxpbmtfcGF0aCI6Imh0dHBzOi8vd3d3LnRva29wZWRpYS5jb20vbWFocnVtYWgvaGFuZGxlLWdhZ2FuZy10YXAtYmFsaWstc3Rhbmctc2NyZXctZXh0cmFjdG9yLXRla2lyby1tMS1tMTAtbTMtbTEyLW0xLW0xMCIsIiRhbmRyb2lkX3Vy"&amp;"bCI6Imh0dHBzOi8vd3d3LnRva29wZWRpYS5jb20vbWFocnVtYWgvaGFuZGxlLWdhZ2FuZy10YXAtYmFsaWstc3Rhbmctc2NyZXctZXh0cmFjdG9yLXRla2lyby1tMS1tMTAtbTMtbTEyLW0xLW0xMCIsIiRpb3NfdXJsIjoiaHR0cHM6Ly93d3cudG9rb3BlZGlhLmNvbS9tYWhydW1haC9oYW5kbGUtZ2FnYW5nLXRhcC1iYWxpay1zdGFuZy1"&amp;"zY3Jldy1leHRyYWN0b3ItdGVraXJvLW0xLW0xMC1tMy1tMTItbTEtbTEwIiwiJGNhbm9uaWNhbF91cmwiOiJodHRwczovL3d3dy50b2tvcGVkaWEuY29tL21haHJ1bWFoL2hhbmRsZS1nYWdhbmctdGFwLWJhbGlrLXN0YW5nLXNjcmV3LWV4dHJhY3Rvci10ZWtpcm8tbTEtbTEwLW0zLW0xMi1tMS1tMTA%2FZXh0UGFyYW09aXZmJTNEZmFs"&amp;"c2UlMjZrZXl3b3JkJTNEc3RhbmcrdGFwJTI2c2VhcmNoX2lkJTNEMjAyNTAyMjcwMzMwMDVBQTlGMEQwMUIwODhDRjI0OVREVCUyNnNyYyUzRHNlYXJjaCIsIiRvZ192aWRlbyI6bnVsbCwiJG9nX3R5cGUiOiJwcm9kdWN0In0%3D")</f>
        <v>https://bnc.lt/a/key_live_abhHgIh1DQiuPxdBNg9EXepdDugwwkHr?channel=salinlink&amp;feature=share&amp;campaign=PDP-8k6b33ikpws8-3214828453-0&amp;sdk=web2.63.0&amp;source=web-sdk&amp;data=eyIkb2dfdGl0bGUiOiJIQU5ETEUgR2FnYW5nIFRBUCBCQUxJSyBTdGFuZyBTY3JldyBFeHRyYWN0b3IgLSBURUtJUk8gTTEgTTEwIE0zIE0xMiAtIE0xLU0xMCIsIiRvZ19kZXNjcmlwdGlvbiI6IkRhcmkgTWFocnVtYWgiLCIkb2dfaW1hZ2VfdXJsIjoiaHR0cHM6Ly9pbWFnZXMudG9rb3BlZGlhLm5ldC9pbWcvbURjUUJ5LzIwMjQvOS8xMy84OTQ4OTM1YS05Mzk3LTQwYmEtOTMwNy1jYWM3NzJlNzliYTgucG5nIiwiJGRlc2t0b3BfdXJsIjoiaHR0cHM6Ly93d3cudG9rb3BlZGlhLmNvbS9tYWhydW1haC9oYW5kbGUtZ2FnYW5nLXRhcC1iYWxpay1zdGFuZy1zY3Jldy1leHRyYWN0b3ItdGVraXJvLW0xLW0xMC1tMy1tMTItbTEtbTEwIiwiJGFuZHJvaWRfZGVlcGxpbmtfcGF0aCI6Imh0dHBzOi8vd3d3LnRva29wZWRpYS5jb20vbWFocnVtYWgvaGFuZGxlLWdhZ2FuZy10YXAtYmFsaWstc3Rhbmctc2NyZXctZXh0cmFjdG9yLXRla2lyby1tMS1tMTAtbTMtbTEyLW0xLW0xMCIsIiRpb3NfZGVlcGxpbmtfcGF0aCI6Imh0dHBzOi8vd3d3LnRva29wZWRpYS5jb20vbWFocnVtYWgvaGFuZGxlLWdhZ2FuZy10YXAtYmFsaWstc3Rhbmctc2NyZXctZXh0cmFjdG9yLXRla2lyby1tMS1tMTAtbTMtbTEyLW0xLW0xMCIsIiRhbmRyb2lkX3VybCI6Imh0dHBzOi8vd3d3LnRva29wZWRpYS5jb20vbWFocnVtYWgvaGFuZGxlLWdhZ2FuZy10YXAtYmFsaWstc3Rhbmctc2NyZXctZXh0cmFjdG9yLXRla2lyby1tMS1tMTAtbTMtbTEyLW0xLW0xMCIsIiRpb3NfdXJsIjoiaHR0cHM6Ly93d3cudG9rb3BlZGlhLmNvbS9tYWhydW1haC9oYW5kbGUtZ2FnYW5nLXRhcC1iYWxpay1zdGFuZy1zY3Jldy1leHRyYWN0b3ItdGVraXJvLW0xLW0xMC1tMy1tMTItbTEtbTEwIiwiJGNhbm9uaWNhbF91cmwiOiJodHRwczovL3d3dy50b2tvcGVkaWEuY29tL21haHJ1bWFoL2hhbmRsZS1nYWdhbmctdGFwLWJhbGlrLXN0YW5nLXNjcmV3LWV4dHJhY3Rvci10ZWtpcm8tbTEtbTEwLW0zLW0xMi1tMS1tMTA%2FZXh0UGFyYW09aXZmJTNEZmFsc2UlMjZrZXl3b3JkJTNEc3RhbmcrdGFwJTI2c2VhcmNoX2lkJTNEMjAyNTAyMjcwMzMwMDVBQTlGMEQwMUIwODhDRjI0OVREVCUyNnNyYyUzRHNlYXJjaCIsIiRvZ192aWRlbyI6bnVsbCwiJG9nX3R5cGUiOiJwcm9kdWN0In0%3D</v>
      </c>
      <c r="L75" s="3" t="str">
        <f>IFERROR(__xludf.DUMMYFUNCTION("""COMPUTED_VALUE"""),"Keperluan Tap dan snei")</f>
        <v>Keperluan Tap dan snei</v>
      </c>
      <c r="M75" s="3" t="str">
        <f>IFERROR(__xludf.DUMMYFUNCTION("""COMPUTED_VALUE"""),"Approve")</f>
        <v>Approve</v>
      </c>
      <c r="N75" s="3" t="str">
        <f>IFERROR(__xludf.DUMMYFUNCTION("""COMPUTED_VALUE"""),"Normal")</f>
        <v>Normal</v>
      </c>
      <c r="O75" s="3" t="str">
        <f>IFERROR(__xludf.DUMMYFUNCTION("""COMPUTED_VALUE"""),"Non Urgent")</f>
        <v>Non Urgent</v>
      </c>
      <c r="P75" s="7">
        <f>IFERROR(__xludf.DUMMYFUNCTION("""COMPUTED_VALUE"""),45730.621910173606)</f>
        <v>45730.62191</v>
      </c>
    </row>
    <row r="76">
      <c r="A76" s="4">
        <f>IFERROR(__xludf.DUMMYFUNCTION("""COMPUTED_VALUE"""),45715.47366626157)</f>
        <v>45715.47367</v>
      </c>
      <c r="B76" s="3" t="str">
        <f>IFERROR(__xludf.DUMMYFUNCTION("""COMPUTED_VALUE"""),"NDSBR0004")</f>
        <v>NDSBR0004</v>
      </c>
      <c r="C76" s="3" t="str">
        <f>IFERROR(__xludf.DUMMYFUNCTION("""COMPUTED_VALUE"""),"EJO")</f>
        <v>EJO</v>
      </c>
      <c r="D76" s="3" t="str">
        <f>IFERROR(__xludf.DUMMYFUNCTION("""COMPUTED_VALUE"""),"EJO/2024/08/27")</f>
        <v>EJO/2024/08/27</v>
      </c>
      <c r="E76" s="3" t="str">
        <f>IFERROR(__xludf.DUMMYFUNCTION("""COMPUTED_VALUE"""),"Vial Washing")</f>
        <v>Vial Washing</v>
      </c>
      <c r="F76" s="3" t="str">
        <f>IFERROR(__xludf.DUMMYFUNCTION("""COMPUTED_VALUE"""),"Baut L Tanam")</f>
        <v>Baut L Tanam</v>
      </c>
      <c r="G76" s="3" t="str">
        <f>IFERROR(__xludf.DUMMYFUNCTION("""COMPUTED_VALUE"""),"M 5x0,8x10")</f>
        <v>M 5x0,8x10</v>
      </c>
      <c r="H76" s="3" t="str">
        <f>IFERROR(__xludf.DUMMYFUNCTION("""COMPUTED_VALUE"""),"-")</f>
        <v>-</v>
      </c>
      <c r="I76" s="3">
        <f>IFERROR(__xludf.DUMMYFUNCTION("""COMPUTED_VALUE"""),100.0)</f>
        <v>100</v>
      </c>
      <c r="J76" s="3" t="str">
        <f>IFERROR(__xludf.DUMMYFUNCTION("""COMPUTED_VALUE"""),"Pcs")</f>
        <v>Pcs</v>
      </c>
      <c r="K76" s="5" t="str">
        <f>IFERROR(__xludf.DUMMYFUNCTION("""COMPUTED_VALUE"""),"https://www.tokopedia.com/bautfasterner/baut-l-tanam-stainless-m5-x-10-drat-0-8-ss-304-baut-l-tanam-m5x10-ss")</f>
        <v>https://www.tokopedia.com/bautfasterner/baut-l-tanam-stainless-m5-x-10-drat-0-8-ss-304-baut-l-tanam-m5x10-ss</v>
      </c>
      <c r="L76" s="3" t="str">
        <f>IFERROR(__xludf.DUMMYFUNCTION("""COMPUTED_VALUE"""),"-")</f>
        <v>-</v>
      </c>
      <c r="M76" s="3" t="str">
        <f>IFERROR(__xludf.DUMMYFUNCTION("""COMPUTED_VALUE"""),"Approve")</f>
        <v>Approve</v>
      </c>
      <c r="N76" s="3" t="str">
        <f>IFERROR(__xludf.DUMMYFUNCTION("""COMPUTED_VALUE"""),"Normal")</f>
        <v>Normal</v>
      </c>
      <c r="O76" s="3" t="str">
        <f>IFERROR(__xludf.DUMMYFUNCTION("""COMPUTED_VALUE"""),"Non Urgent")</f>
        <v>Non Urgent</v>
      </c>
      <c r="P76" s="7">
        <f>IFERROR(__xludf.DUMMYFUNCTION("""COMPUTED_VALUE"""),45720.674591284725)</f>
        <v>45720.67459</v>
      </c>
    </row>
    <row r="77">
      <c r="A77" s="4">
        <f>IFERROR(__xludf.DUMMYFUNCTION("""COMPUTED_VALUE"""),45715.48699853009)</f>
        <v>45715.487</v>
      </c>
      <c r="B77" s="3" t="str">
        <f>IFERROR(__xludf.DUMMYFUNCTION("""COMPUTED_VALUE"""),"INNBR0015")</f>
        <v>INNBR0015</v>
      </c>
      <c r="C77" s="3" t="str">
        <f>IFERROR(__xludf.DUMMYFUNCTION("""COMPUTED_VALUE"""),"Critical Part")</f>
        <v>Critical Part</v>
      </c>
      <c r="D77" s="3" t="str">
        <f>IFERROR(__xludf.DUMMYFUNCTION("""COMPUTED_VALUE"""),"-")</f>
        <v>-</v>
      </c>
      <c r="E77" s="3" t="str">
        <f>IFERROR(__xludf.DUMMYFUNCTION("""COMPUTED_VALUE"""),"Mixing (jaket heater cremophor)")</f>
        <v>Mixing (jaket heater cremophor)</v>
      </c>
      <c r="F77" s="3" t="str">
        <f>IFERROR(__xludf.DUMMYFUNCTION("""COMPUTED_VALUE"""),"HEATER JAKET (HEATING CABLE +THERMOSTAT) UK 1790 X 330MM 230V 2000W P.KABEL 5 METER")</f>
        <v>HEATER JAKET (HEATING CABLE +THERMOSTAT) UK 1790 X 330MM 230V 2000W P.KABEL 5 METER</v>
      </c>
      <c r="G77" s="3" t="str">
        <f>IFERROR(__xludf.DUMMYFUNCTION("""COMPUTED_VALUE"""),"Sesuai penawaran")</f>
        <v>Sesuai penawaran</v>
      </c>
      <c r="H77" s="3" t="str">
        <f>IFERROR(__xludf.DUMMYFUNCTION("""COMPUTED_VALUE"""),"USM (Custom)")</f>
        <v>USM (Custom)</v>
      </c>
      <c r="I77" s="3">
        <f>IFERROR(__xludf.DUMMYFUNCTION("""COMPUTED_VALUE"""),1.0)</f>
        <v>1</v>
      </c>
      <c r="J77" s="3" t="str">
        <f>IFERROR(__xludf.DUMMYFUNCTION("""COMPUTED_VALUE"""),"Unit")</f>
        <v>Unit</v>
      </c>
      <c r="K77" s="5" t="str">
        <f>IFERROR(__xludf.DUMMYFUNCTION("""COMPUTED_VALUE"""),"https://drive.google.com/file/d/1qzcQhvDISYnLlvisNE8FSMavU5MXw66w/view?usp=drive_link")</f>
        <v>https://drive.google.com/file/d/1qzcQhvDISYnLlvisNE8FSMavU5MXw66w/view?usp=drive_link</v>
      </c>
      <c r="L77" s="3" t="str">
        <f>IFERROR(__xludf.DUMMYFUNCTION("""COMPUTED_VALUE"""),"-")</f>
        <v>-</v>
      </c>
      <c r="M77" s="3" t="str">
        <f>IFERROR(__xludf.DUMMYFUNCTION("""COMPUTED_VALUE"""),"Approve")</f>
        <v>Approve</v>
      </c>
      <c r="N77" s="3" t="str">
        <f>IFERROR(__xludf.DUMMYFUNCTION("""COMPUTED_VALUE"""),"Normal")</f>
        <v>Normal</v>
      </c>
      <c r="O77" s="3" t="str">
        <f>IFERROR(__xludf.DUMMYFUNCTION("""COMPUTED_VALUE"""),"Non Urgent")</f>
        <v>Non Urgent</v>
      </c>
      <c r="P77" s="7">
        <f>IFERROR(__xludf.DUMMYFUNCTION("""COMPUTED_VALUE"""),45730.625915462966)</f>
        <v>45730.62592</v>
      </c>
    </row>
    <row r="78">
      <c r="A78" s="4">
        <f>IFERROR(__xludf.DUMMYFUNCTION("""COMPUTED_VALUE"""),45715.95977559027)</f>
        <v>45715.95978</v>
      </c>
      <c r="B78" s="3" t="str">
        <f>IFERROR(__xludf.DUMMYFUNCTION("""COMPUTED_VALUE"""),"AAABR0001")</f>
        <v>AAABR0001</v>
      </c>
      <c r="C78" s="3" t="str">
        <f>IFERROR(__xludf.DUMMYFUNCTION("""COMPUTED_VALUE"""),"Consumable")</f>
        <v>Consumable</v>
      </c>
      <c r="D78" s="3" t="str">
        <f>IFERROR(__xludf.DUMMYFUNCTION("""COMPUTED_VALUE"""),"NA")</f>
        <v>NA</v>
      </c>
      <c r="E78" s="3" t="str">
        <f>IFERROR(__xludf.DUMMYFUNCTION("""COMPUTED_VALUE"""),"Cartoning")</f>
        <v>Cartoning</v>
      </c>
      <c r="F78" s="3" t="str">
        <f>IFERROR(__xludf.DUMMYFUNCTION("""COMPUTED_VALUE"""),"Toothed Belt")</f>
        <v>Toothed Belt</v>
      </c>
      <c r="G78" s="3" t="str">
        <f>IFERROR(__xludf.DUMMYFUNCTION("""COMPUTED_VALUE"""),"390 ; L050 ; C261390050")</f>
        <v>390 ; L050 ; C261390050</v>
      </c>
      <c r="H78" s="3" t="str">
        <f>IFERROR(__xludf.DUMMYFUNCTION("""COMPUTED_VALUE"""),"Marchesini")</f>
        <v>Marchesini</v>
      </c>
      <c r="I78" s="3">
        <f>IFERROR(__xludf.DUMMYFUNCTION("""COMPUTED_VALUE"""),2.0)</f>
        <v>2</v>
      </c>
      <c r="J78" s="3" t="str">
        <f>IFERROR(__xludf.DUMMYFUNCTION("""COMPUTED_VALUE"""),"Pcs")</f>
        <v>Pcs</v>
      </c>
      <c r="K78" s="5" t="str">
        <f>IFERROR(__xludf.DUMMYFUNCTION("""COMPUTED_VALUE"""),"https://drive.google.com/file/d/1S99AibyP8-AQtLu-xgnHBMf2c8YPnk1h/view?usp=sharing")</f>
        <v>https://drive.google.com/file/d/1S99AibyP8-AQtLu-xgnHBMf2c8YPnk1h/view?usp=sharing</v>
      </c>
      <c r="L78" s="3" t="str">
        <f>IFERROR(__xludf.DUMMYFUNCTION("""COMPUTED_VALUE"""),"Needed Date : 27-Mar-25")</f>
        <v>Needed Date : 27-Mar-25</v>
      </c>
      <c r="M78" s="3" t="str">
        <f>IFERROR(__xludf.DUMMYFUNCTION("""COMPUTED_VALUE"""),"Approve")</f>
        <v>Approve</v>
      </c>
      <c r="N78" s="3" t="str">
        <f>IFERROR(__xludf.DUMMYFUNCTION("""COMPUTED_VALUE"""),"Normal")</f>
        <v>Normal</v>
      </c>
      <c r="O78" s="3" t="str">
        <f>IFERROR(__xludf.DUMMYFUNCTION("""COMPUTED_VALUE"""),"Non Urgent")</f>
        <v>Non Urgent</v>
      </c>
      <c r="P78" s="7">
        <f>IFERROR(__xludf.DUMMYFUNCTION("""COMPUTED_VALUE"""),45729.59594959491)</f>
        <v>45729.59595</v>
      </c>
    </row>
    <row r="79">
      <c r="A79" s="4">
        <f>IFERROR(__xludf.DUMMYFUNCTION("""COMPUTED_VALUE"""),45720.48712806713)</f>
        <v>45720.48713</v>
      </c>
      <c r="B79" s="3" t="str">
        <f>IFERROR(__xludf.DUMMYFUNCTION("""COMPUTED_VALUE"""),"SFHBR0011")</f>
        <v>SFHBR0011</v>
      </c>
      <c r="C79" s="3" t="str">
        <f>IFERROR(__xludf.DUMMYFUNCTION("""COMPUTED_VALUE"""),"EJO")</f>
        <v>EJO</v>
      </c>
      <c r="D79" s="3" t="str">
        <f>IFERROR(__xludf.DUMMYFUNCTION("""COMPUTED_VALUE"""),"EJO/2025/01/127")</f>
        <v>EJO/2025/01/127</v>
      </c>
      <c r="E79" s="3" t="str">
        <f>IFERROR(__xludf.DUMMYFUNCTION("""COMPUTED_VALUE"""),"lantai 1")</f>
        <v>lantai 1</v>
      </c>
      <c r="F79" s="3" t="str">
        <f>IFERROR(__xludf.DUMMYFUNCTION("""COMPUTED_VALUE"""),"cat batu alam")</f>
        <v>cat batu alam</v>
      </c>
      <c r="G79" s="3" t="str">
        <f>IFERROR(__xludf.DUMMYFUNCTION("""COMPUTED_VALUE"""),"pernis pelapis batu alam, Golden horse")</f>
        <v>pernis pelapis batu alam, Golden horse</v>
      </c>
      <c r="H79" s="3" t="str">
        <f>IFERROR(__xludf.DUMMYFUNCTION("""COMPUTED_VALUE"""),"stone coat")</f>
        <v>stone coat</v>
      </c>
      <c r="I79" s="3">
        <f>IFERROR(__xludf.DUMMYFUNCTION("""COMPUTED_VALUE"""),4.0)</f>
        <v>4</v>
      </c>
      <c r="J79" s="3" t="str">
        <f>IFERROR(__xludf.DUMMYFUNCTION("""COMPUTED_VALUE"""),"pel")</f>
        <v>pel</v>
      </c>
      <c r="K79" s="5" t="str">
        <f>IFERROR(__xludf.DUMMYFUNCTION("""COMPUTED_VALUE"""),"https://id.shp.ee/tygSdzm")</f>
        <v>https://id.shp.ee/tygSdzm</v>
      </c>
      <c r="L79" s="3" t="str">
        <f>IFERROR(__xludf.DUMMYFUNCTION("""COMPUTED_VALUE"""),"-")</f>
        <v>-</v>
      </c>
      <c r="M79" s="3" t="str">
        <f>IFERROR(__xludf.DUMMYFUNCTION("""COMPUTED_VALUE"""),"Approve")</f>
        <v>Approve</v>
      </c>
      <c r="N79" s="3" t="str">
        <f>IFERROR(__xludf.DUMMYFUNCTION("""COMPUTED_VALUE"""),"Normal")</f>
        <v>Normal</v>
      </c>
      <c r="O79" s="3" t="str">
        <f>IFERROR(__xludf.DUMMYFUNCTION("""COMPUTED_VALUE"""),"Non Urgent")</f>
        <v>Non Urgent</v>
      </c>
      <c r="P79" s="7">
        <f>IFERROR(__xludf.DUMMYFUNCTION("""COMPUTED_VALUE"""),45721.848569317124)</f>
        <v>45721.84857</v>
      </c>
    </row>
    <row r="80">
      <c r="A80" s="4">
        <f>IFERROR(__xludf.DUMMYFUNCTION("""COMPUTED_VALUE"""),45721.915733124995)</f>
        <v>45721.91573</v>
      </c>
      <c r="B80" s="3" t="str">
        <f>IFERROR(__xludf.DUMMYFUNCTION("""COMPUTED_VALUE"""),"RIABR0025")</f>
        <v>RIABR0025</v>
      </c>
      <c r="C80" s="3" t="str">
        <f>IFERROR(__xludf.DUMMYFUNCTION("""COMPUTED_VALUE"""),"Consumable")</f>
        <v>Consumable</v>
      </c>
      <c r="D80" s="3" t="str">
        <f>IFERROR(__xludf.DUMMYFUNCTION("""COMPUTED_VALUE"""),"-")</f>
        <v>-</v>
      </c>
      <c r="E80" s="3" t="str">
        <f>IFERROR(__xludf.DUMMYFUNCTION("""COMPUTED_VALUE"""),"Forklift")</f>
        <v>Forklift</v>
      </c>
      <c r="F80" s="3" t="str">
        <f>IFERROR(__xludf.DUMMYFUNCTION("""COMPUTED_VALUE"""),"Air Aki")</f>
        <v>Air Aki</v>
      </c>
      <c r="G80" s="3" t="str">
        <f>IFERROR(__xludf.DUMMYFUNCTION("""COMPUTED_VALUE"""),"Aquadest (Aqua Destilata) yaitu air yang dihasilkan dari satu kali proses destilasi/penyulingan, sering disebut air murni.
")</f>
        <v>Aquadest (Aqua Destilata) yaitu air yang dihasilkan dari satu kali proses destilasi/penyulingan, sering disebut air murni.
</v>
      </c>
      <c r="H80" s="3" t="str">
        <f>IFERROR(__xludf.DUMMYFUNCTION("""COMPUTED_VALUE"""),"Aquadest")</f>
        <v>Aquadest</v>
      </c>
      <c r="I80" s="3">
        <f>IFERROR(__xludf.DUMMYFUNCTION("""COMPUTED_VALUE"""),20.0)</f>
        <v>20</v>
      </c>
      <c r="J80" s="3" t="str">
        <f>IFERROR(__xludf.DUMMYFUNCTION("""COMPUTED_VALUE"""),"Ltr")</f>
        <v>Ltr</v>
      </c>
      <c r="K80" s="5" t="str">
        <f>IFERROR(__xludf.DUMMYFUNCTION("""COMPUTED_VALUE"""),"https://www.tokopedia.com/maximum/aquadest-akuades-aquades-air-suling-air-aki-radiator-20-liter?extParam=ivf%3Dfalse%26keyword%3Dair+aquades+aki&amp;src=topads")</f>
        <v>https://www.tokopedia.com/maximum/aquadest-akuades-aquades-air-suling-air-aki-radiator-20-liter?extParam=ivf%3Dfalse%26keyword%3Dair+aquades+aki&amp;src=topads</v>
      </c>
      <c r="L80" s="3" t="str">
        <f>IFERROR(__xludf.DUMMYFUNCTION("""COMPUTED_VALUE"""),"Buat isi air aki di forklift, rutinan tiap bulan estimasi 4 liter, buat stock dulu beli 1 jerigen")</f>
        <v>Buat isi air aki di forklift, rutinan tiap bulan estimasi 4 liter, buat stock dulu beli 1 jerigen</v>
      </c>
      <c r="M80" s="3" t="str">
        <f>IFERROR(__xludf.DUMMYFUNCTION("""COMPUTED_VALUE"""),"Approve")</f>
        <v>Approve</v>
      </c>
      <c r="N80" s="3" t="str">
        <f>IFERROR(__xludf.DUMMYFUNCTION("""COMPUTED_VALUE"""),"Normal")</f>
        <v>Normal</v>
      </c>
      <c r="O80" s="3" t="str">
        <f>IFERROR(__xludf.DUMMYFUNCTION("""COMPUTED_VALUE"""),"Non Urgent")</f>
        <v>Non Urgent</v>
      </c>
      <c r="P80" s="7">
        <f>IFERROR(__xludf.DUMMYFUNCTION("""COMPUTED_VALUE"""),45723.63340704861)</f>
        <v>45723.63341</v>
      </c>
    </row>
    <row r="81">
      <c r="A81" s="4">
        <f>IFERROR(__xludf.DUMMYFUNCTION("""COMPUTED_VALUE"""),45722.40214248843)</f>
        <v>45722.40214</v>
      </c>
      <c r="B81" s="3" t="str">
        <f>IFERROR(__xludf.DUMMYFUNCTION("""COMPUTED_VALUE"""),"SFHBR0012")</f>
        <v>SFHBR0012</v>
      </c>
      <c r="C81" s="3" t="str">
        <f>IFERROR(__xludf.DUMMYFUNCTION("""COMPUTED_VALUE"""),"EJO")</f>
        <v>EJO</v>
      </c>
      <c r="D81" s="3" t="str">
        <f>IFERROR(__xludf.DUMMYFUNCTION("""COMPUTED_VALUE"""),"EJO/2025/03/36")</f>
        <v>EJO/2025/03/36</v>
      </c>
      <c r="E81" s="3" t="str">
        <f>IFERROR(__xludf.DUMMYFUNCTION("""COMPUTED_VALUE"""),"lantai 1")</f>
        <v>lantai 1</v>
      </c>
      <c r="F81" s="3" t="str">
        <f>IFERROR(__xludf.DUMMYFUNCTION("""COMPUTED_VALUE"""),"hardener sanpolac")</f>
        <v>hardener sanpolac</v>
      </c>
      <c r="G81" s="3" t="str">
        <f>IFERROR(__xludf.DUMMYFUNCTION("""COMPUTED_VALUE"""),"obat dempul hardener")</f>
        <v>obat dempul hardener</v>
      </c>
      <c r="H81" s="3" t="str">
        <f>IFERROR(__xludf.DUMMYFUNCTION("""COMPUTED_VALUE"""),"obat dempul hardener")</f>
        <v>obat dempul hardener</v>
      </c>
      <c r="I81" s="3">
        <f>IFERROR(__xludf.DUMMYFUNCTION("""COMPUTED_VALUE"""),3.0)</f>
        <v>3</v>
      </c>
      <c r="J81" s="3" t="str">
        <f>IFERROR(__xludf.DUMMYFUNCTION("""COMPUTED_VALUE"""),"kg")</f>
        <v>kg</v>
      </c>
      <c r="K81" s="5" t="str">
        <f>IFERROR(__xludf.DUMMYFUNCTION("""COMPUTED_VALUE"""),"https://www.tokopedia.com/tb-calvin/obat-dempul-sanpolac-hardener?utm_source=salinlink&amp;utm_medium=share&amp;utm_campaign=pdp-qhtaqvu09ez2-3391862473-0")</f>
        <v>https://www.tokopedia.com/tb-calvin/obat-dempul-sanpolac-hardener?utm_source=salinlink&amp;utm_medium=share&amp;utm_campaign=pdp-qhtaqvu09ez2-3391862473-0</v>
      </c>
      <c r="L81" s="3" t="str">
        <f>IFERROR(__xludf.DUMMYFUNCTION("""COMPUTED_VALUE"""),"-")</f>
        <v>-</v>
      </c>
      <c r="M81" s="3" t="str">
        <f>IFERROR(__xludf.DUMMYFUNCTION("""COMPUTED_VALUE"""),"Approve")</f>
        <v>Approve</v>
      </c>
      <c r="N81" s="3" t="str">
        <f>IFERROR(__xludf.DUMMYFUNCTION("""COMPUTED_VALUE"""),"Normal")</f>
        <v>Normal</v>
      </c>
      <c r="O81" s="3" t="str">
        <f>IFERROR(__xludf.DUMMYFUNCTION("""COMPUTED_VALUE"""),"Non Urgent")</f>
        <v>Non Urgent</v>
      </c>
      <c r="P81" s="7">
        <f>IFERROR(__xludf.DUMMYFUNCTION("""COMPUTED_VALUE"""),45723.63493662037)</f>
        <v>45723.63494</v>
      </c>
    </row>
    <row r="82">
      <c r="A82" s="4">
        <f>IFERROR(__xludf.DUMMYFUNCTION("""COMPUTED_VALUE"""),45723.46938396991)</f>
        <v>45723.46938</v>
      </c>
      <c r="B82" s="3" t="str">
        <f>IFERROR(__xludf.DUMMYFUNCTION("""COMPUTED_VALUE"""),"SFHBR0013")</f>
        <v>SFHBR0013</v>
      </c>
      <c r="C82" s="3" t="str">
        <f>IFERROR(__xludf.DUMMYFUNCTION("""COMPUTED_VALUE"""),"Consumable")</f>
        <v>Consumable</v>
      </c>
      <c r="D82" s="3" t="str">
        <f>IFERROR(__xludf.DUMMYFUNCTION("""COMPUTED_VALUE"""),"-")</f>
        <v>-</v>
      </c>
      <c r="E82" s="3" t="str">
        <f>IFERROR(__xludf.DUMMYFUNCTION("""COMPUTED_VALUE"""),"FIP Luar")</f>
        <v>FIP Luar</v>
      </c>
      <c r="F82" s="3" t="str">
        <f>IFERROR(__xludf.DUMMYFUNCTION("""COMPUTED_VALUE"""),"Wearpack")</f>
        <v>Wearpack</v>
      </c>
      <c r="G82" s="3" t="str">
        <f>IFERROR(__xludf.DUMMYFUNCTION("""COMPUTED_VALUE"""),"Ukuran XL")</f>
        <v>Ukuran XL</v>
      </c>
      <c r="H82" s="3" t="str">
        <f>IFERROR(__xludf.DUMMYFUNCTION("""COMPUTED_VALUE"""),"MM Safety")</f>
        <v>MM Safety</v>
      </c>
      <c r="I82" s="3">
        <f>IFERROR(__xludf.DUMMYFUNCTION("""COMPUTED_VALUE"""),2.0)</f>
        <v>2</v>
      </c>
      <c r="J82" s="3" t="str">
        <f>IFERROR(__xludf.DUMMYFUNCTION("""COMPUTED_VALUE"""),"Pcs")</f>
        <v>Pcs</v>
      </c>
      <c r="K82" s="5" t="str">
        <f>IFERROR(__xludf.DUMMYFUNCTION("""COMPUTED_VALUE"""),"https://www.tokopedia.com/mmsafety/wearpack-safety-coverall-imj-baju-kerja-semi-cotton-biru-dongker-l?extParam=ivf%3Dfalse%26keyword%3Dwearpack+safety+coverall%26search_id%3D20250307042426570092C3363B14036ONG%26src%3Dsearch")</f>
        <v>https://www.tokopedia.com/mmsafety/wearpack-safety-coverall-imj-baju-kerja-semi-cotton-biru-dongker-l?extParam=ivf%3Dfalse%26keyword%3Dwearpack+safety+coverall%26search_id%3D20250307042426570092C3363B14036ONG%26src%3Dsearch</v>
      </c>
      <c r="L82" s="3" t="str">
        <f>IFERROR(__xludf.DUMMYFUNCTION("""COMPUTED_VALUE"""),"Menggantian baju wearpack luar yang sudah rusak")</f>
        <v>Menggantian baju wearpack luar yang sudah rusak</v>
      </c>
      <c r="M82" s="3" t="str">
        <f>IFERROR(__xludf.DUMMYFUNCTION("""COMPUTED_VALUE"""),"Approve")</f>
        <v>Approve</v>
      </c>
      <c r="N82" s="3" t="str">
        <f>IFERROR(__xludf.DUMMYFUNCTION("""COMPUTED_VALUE"""),"Normal")</f>
        <v>Normal</v>
      </c>
      <c r="O82" s="3" t="str">
        <f>IFERROR(__xludf.DUMMYFUNCTION("""COMPUTED_VALUE"""),"Non Urgent")</f>
        <v>Non Urgent</v>
      </c>
      <c r="P82" s="7">
        <f>IFERROR(__xludf.DUMMYFUNCTION("""COMPUTED_VALUE"""),45723.65679113426)</f>
        <v>45723.65679</v>
      </c>
    </row>
    <row r="83">
      <c r="A83" s="4">
        <f>IFERROR(__xludf.DUMMYFUNCTION("""COMPUTED_VALUE"""),45723.476641608795)</f>
        <v>45723.47664</v>
      </c>
      <c r="B83" s="3" t="str">
        <f>IFERROR(__xludf.DUMMYFUNCTION("""COMPUTED_VALUE"""),"SFHBR0014")</f>
        <v>SFHBR0014</v>
      </c>
      <c r="C83" s="3" t="str">
        <f>IFERROR(__xludf.DUMMYFUNCTION("""COMPUTED_VALUE"""),"Consumable")</f>
        <v>Consumable</v>
      </c>
      <c r="D83" s="3" t="str">
        <f>IFERROR(__xludf.DUMMYFUNCTION("""COMPUTED_VALUE"""),"-")</f>
        <v>-</v>
      </c>
      <c r="E83" s="3" t="str">
        <f>IFERROR(__xludf.DUMMYFUNCTION("""COMPUTED_VALUE"""),"FIP Luar")</f>
        <v>FIP Luar</v>
      </c>
      <c r="F83" s="3" t="str">
        <f>IFERROR(__xludf.DUMMYFUNCTION("""COMPUTED_VALUE"""),"Wearpack")</f>
        <v>Wearpack</v>
      </c>
      <c r="G83" s="3" t="str">
        <f>IFERROR(__xludf.DUMMYFUNCTION("""COMPUTED_VALUE"""),"Ukuran 2XL")</f>
        <v>Ukuran 2XL</v>
      </c>
      <c r="H83" s="3" t="str">
        <f>IFERROR(__xludf.DUMMYFUNCTION("""COMPUTED_VALUE"""),"MM Safety")</f>
        <v>MM Safety</v>
      </c>
      <c r="I83" s="3">
        <f>IFERROR(__xludf.DUMMYFUNCTION("""COMPUTED_VALUE"""),2.0)</f>
        <v>2</v>
      </c>
      <c r="J83" s="3" t="str">
        <f>IFERROR(__xludf.DUMMYFUNCTION("""COMPUTED_VALUE"""),"Pcs")</f>
        <v>Pcs</v>
      </c>
      <c r="K83" s="5" t="str">
        <f>IFERROR(__xludf.DUMMYFUNCTION("""COMPUTED_VALUE"""),"https://www.tokopedia.com/mmsafety/wearpack-safety-coverall-imj-baju-kerja-semi-cotton-biru-dongker-l?extParam=ivf%3Dfalse%26keyword%3Dwearpack+safety+coverall%26search_id%3D20250307042426570092C3363B14036ONG%26src%3Dsearch")</f>
        <v>https://www.tokopedia.com/mmsafety/wearpack-safety-coverall-imj-baju-kerja-semi-cotton-biru-dongker-l?extParam=ivf%3Dfalse%26keyword%3Dwearpack+safety+coverall%26search_id%3D20250307042426570092C3363B14036ONG%26src%3Dsearch</v>
      </c>
      <c r="L83" s="3" t="str">
        <f>IFERROR(__xludf.DUMMYFUNCTION("""COMPUTED_VALUE"""),"Menggantian baju wearpack luar yang sudah rusak")</f>
        <v>Menggantian baju wearpack luar yang sudah rusak</v>
      </c>
      <c r="M83" s="3" t="str">
        <f>IFERROR(__xludf.DUMMYFUNCTION("""COMPUTED_VALUE"""),"Approve")</f>
        <v>Approve</v>
      </c>
      <c r="N83" s="3" t="str">
        <f>IFERROR(__xludf.DUMMYFUNCTION("""COMPUTED_VALUE"""),"Normal")</f>
        <v>Normal</v>
      </c>
      <c r="O83" s="3" t="str">
        <f>IFERROR(__xludf.DUMMYFUNCTION("""COMPUTED_VALUE"""),"Non Urgent")</f>
        <v>Non Urgent</v>
      </c>
      <c r="P83" s="7">
        <f>IFERROR(__xludf.DUMMYFUNCTION("""COMPUTED_VALUE"""),45723.65702150463)</f>
        <v>45723.65702</v>
      </c>
    </row>
    <row r="84">
      <c r="A84" s="4">
        <f>IFERROR(__xludf.DUMMYFUNCTION("""COMPUTED_VALUE"""),45723.476641608795)</f>
        <v>45723.47664</v>
      </c>
      <c r="B84" s="3" t="str">
        <f>IFERROR(__xludf.DUMMYFUNCTION("""COMPUTED_VALUE"""),"SFHBR0015")</f>
        <v>SFHBR0015</v>
      </c>
      <c r="C84" s="3" t="str">
        <f>IFERROR(__xludf.DUMMYFUNCTION("""COMPUTED_VALUE"""),"Consumable")</f>
        <v>Consumable</v>
      </c>
      <c r="D84" s="3" t="str">
        <f>IFERROR(__xludf.DUMMYFUNCTION("""COMPUTED_VALUE"""),"-")</f>
        <v>-</v>
      </c>
      <c r="E84" s="3" t="str">
        <f>IFERROR(__xludf.DUMMYFUNCTION("""COMPUTED_VALUE"""),"FIP Luar")</f>
        <v>FIP Luar</v>
      </c>
      <c r="F84" s="3" t="str">
        <f>IFERROR(__xludf.DUMMYFUNCTION("""COMPUTED_VALUE"""),"Wearpack")</f>
        <v>Wearpack</v>
      </c>
      <c r="G84" s="3" t="str">
        <f>IFERROR(__xludf.DUMMYFUNCTION("""COMPUTED_VALUE"""),"Ukuran 3XL")</f>
        <v>Ukuran 3XL</v>
      </c>
      <c r="H84" s="3" t="str">
        <f>IFERROR(__xludf.DUMMYFUNCTION("""COMPUTED_VALUE"""),"MM Safety")</f>
        <v>MM Safety</v>
      </c>
      <c r="I84" s="3">
        <f>IFERROR(__xludf.DUMMYFUNCTION("""COMPUTED_VALUE"""),2.0)</f>
        <v>2</v>
      </c>
      <c r="J84" s="3" t="str">
        <f>IFERROR(__xludf.DUMMYFUNCTION("""COMPUTED_VALUE"""),"Pcs")</f>
        <v>Pcs</v>
      </c>
      <c r="K84" s="5" t="str">
        <f>IFERROR(__xludf.DUMMYFUNCTION("""COMPUTED_VALUE"""),"https://www.tokopedia.com/mmsafety/wearpack-safety-coverall-imj-baju-kerja-semi-cotton-biru-dongker-l?extParam=ivf%3Dfalse%26keyword%3Dwearpack+safety+coverall%26search_id%3D20250307042426570092C3363B14036ONG%26src%3Dsearch")</f>
        <v>https://www.tokopedia.com/mmsafety/wearpack-safety-coverall-imj-baju-kerja-semi-cotton-biru-dongker-l?extParam=ivf%3Dfalse%26keyword%3Dwearpack+safety+coverall%26search_id%3D20250307042426570092C3363B14036ONG%26src%3Dsearch</v>
      </c>
      <c r="L84" s="3" t="str">
        <f>IFERROR(__xludf.DUMMYFUNCTION("""COMPUTED_VALUE"""),"Menggantian baju wearpack luar yang sudah rusak")</f>
        <v>Menggantian baju wearpack luar yang sudah rusak</v>
      </c>
      <c r="M84" s="3" t="str">
        <f>IFERROR(__xludf.DUMMYFUNCTION("""COMPUTED_VALUE"""),"Approve")</f>
        <v>Approve</v>
      </c>
      <c r="N84" s="3" t="str">
        <f>IFERROR(__xludf.DUMMYFUNCTION("""COMPUTED_VALUE"""),"Normal")</f>
        <v>Normal</v>
      </c>
      <c r="O84" s="3" t="str">
        <f>IFERROR(__xludf.DUMMYFUNCTION("""COMPUTED_VALUE"""),"Non Urgent")</f>
        <v>Non Urgent</v>
      </c>
      <c r="P84" s="7">
        <f>IFERROR(__xludf.DUMMYFUNCTION("""COMPUTED_VALUE"""),45723.657242534726)</f>
        <v>45723.65724</v>
      </c>
    </row>
    <row r="85">
      <c r="A85" s="4">
        <f>IFERROR(__xludf.DUMMYFUNCTION("""COMPUTED_VALUE"""),45723.60668484954)</f>
        <v>45723.60668</v>
      </c>
      <c r="B85" s="3" t="str">
        <f>IFERROR(__xludf.DUMMYFUNCTION("""COMPUTED_VALUE"""),"ROSBR0009")</f>
        <v>ROSBR0009</v>
      </c>
      <c r="C85" s="3" t="str">
        <f>IFERROR(__xludf.DUMMYFUNCTION("""COMPUTED_VALUE"""),"EJO")</f>
        <v>EJO</v>
      </c>
      <c r="D85" s="3" t="str">
        <f>IFERROR(__xludf.DUMMYFUNCTION("""COMPUTED_VALUE"""),"EJO/2025/02/145")</f>
        <v>EJO/2025/02/145</v>
      </c>
      <c r="E85" s="3" t="str">
        <f>IFERROR(__xludf.DUMMYFUNCTION("""COMPUTED_VALUE"""),"isolator Dispensing (steril)")</f>
        <v>isolator Dispensing (steril)</v>
      </c>
      <c r="F85" s="3" t="str">
        <f>IFERROR(__xludf.DUMMYFUNCTION("""COMPUTED_VALUE"""),"Roda Tangki Limbah dispensing (steril)")</f>
        <v>Roda Tangki Limbah dispensing (steril)</v>
      </c>
      <c r="G85" s="3" t="str">
        <f>IFERROR(__xludf.DUMMYFUNCTION("""COMPUTED_VALUE"""),"Roda Tangki
Material roda : Polyurethane
Diameter : 50mm (2inch)
Tebal : 25mm")</f>
        <v>Roda Tangki
Material roda : Polyurethane
Diameter : 50mm (2inch)
Tebal : 25mm</v>
      </c>
      <c r="H85" s="3" t="str">
        <f>IFERROR(__xludf.DUMMYFUNCTION("""COMPUTED_VALUE"""),"General")</f>
        <v>General</v>
      </c>
      <c r="I85" s="3">
        <f>IFERROR(__xludf.DUMMYFUNCTION("""COMPUTED_VALUE"""),4.0)</f>
        <v>4</v>
      </c>
      <c r="J85" s="3" t="str">
        <f>IFERROR(__xludf.DUMMYFUNCTION("""COMPUTED_VALUE"""),"pcs")</f>
        <v>pcs</v>
      </c>
      <c r="K85" s="5" t="str">
        <f>IFERROR(__xludf.DUMMYFUNCTION("""COMPUTED_VALUE"""),"https://drive.google.com/drive/folders/1-2wcowGdh5idQxL6Dnn-oo4kRt3i0jx_?usp=drive_link")</f>
        <v>https://drive.google.com/drive/folders/1-2wcowGdh5idQxL6Dnn-oo4kRt3i0jx_?usp=drive_link</v>
      </c>
      <c r="L85" s="3" t="str">
        <f>IFERROR(__xludf.DUMMYFUNCTION("""COMPUTED_VALUE"""),"belikan Rodanya Saja ")</f>
        <v>belikan Rodanya Saja </v>
      </c>
      <c r="M85" s="3" t="str">
        <f>IFERROR(__xludf.DUMMYFUNCTION("""COMPUTED_VALUE"""),"Approve")</f>
        <v>Approve</v>
      </c>
      <c r="N85" s="3" t="str">
        <f>IFERROR(__xludf.DUMMYFUNCTION("""COMPUTED_VALUE"""),"Normal")</f>
        <v>Normal</v>
      </c>
      <c r="O85" s="3" t="str">
        <f>IFERROR(__xludf.DUMMYFUNCTION("""COMPUTED_VALUE"""),"Non Urgent")</f>
        <v>Non Urgent</v>
      </c>
      <c r="P85" s="7">
        <f>IFERROR(__xludf.DUMMYFUNCTION("""COMPUTED_VALUE"""),45729.47239177083)</f>
        <v>45729.47239</v>
      </c>
    </row>
    <row r="86">
      <c r="A86" s="4">
        <f>IFERROR(__xludf.DUMMYFUNCTION("""COMPUTED_VALUE"""),45724.564102418975)</f>
        <v>45724.5641</v>
      </c>
      <c r="B86" s="3" t="str">
        <f>IFERROR(__xludf.DUMMYFUNCTION("""COMPUTED_VALUE"""),"SFHBR0016")</f>
        <v>SFHBR0016</v>
      </c>
      <c r="C86" s="3" t="str">
        <f>IFERROR(__xludf.DUMMYFUNCTION("""COMPUTED_VALUE"""),"EJO")</f>
        <v>EJO</v>
      </c>
      <c r="D86" s="3" t="str">
        <f>IFERROR(__xludf.DUMMYFUNCTION("""COMPUTED_VALUE"""),"EJ0/EJO/03/17")</f>
        <v>EJ0/EJO/03/17</v>
      </c>
      <c r="E86" s="3" t="str">
        <f>IFERROR(__xludf.DUMMYFUNCTION("""COMPUTED_VALUE"""),"lantai 2")</f>
        <v>lantai 2</v>
      </c>
      <c r="F86" s="3" t="str">
        <f>IFERROR(__xludf.DUMMYFUNCTION("""COMPUTED_VALUE"""),"Door closer ")</f>
        <v>Door closer </v>
      </c>
      <c r="G86" s="3" t="str">
        <f>IFERROR(__xludf.DUMMYFUNCTION("""COMPUTED_VALUE"""),"Dorma TS 77 HO ( Hold Open ) Silver Penutup Pintu Otomatis")</f>
        <v>Dorma TS 77 HO ( Hold Open ) Silver Penutup Pintu Otomatis</v>
      </c>
      <c r="H86" s="3" t="str">
        <f>IFERROR(__xludf.DUMMYFUNCTION("""COMPUTED_VALUE"""),"DORMA")</f>
        <v>DORMA</v>
      </c>
      <c r="I86" s="3">
        <f>IFERROR(__xludf.DUMMYFUNCTION("""COMPUTED_VALUE"""),5.0)</f>
        <v>5</v>
      </c>
      <c r="J86" s="3" t="str">
        <f>IFERROR(__xludf.DUMMYFUNCTION("""COMPUTED_VALUE"""),"PCS")</f>
        <v>PCS</v>
      </c>
      <c r="K86" s="5" t="str">
        <f>IFERROR(__xludf.DUMMYFUNCTION("""COMPUTED_VALUE"""),"https://www.tokopedia.com/setiakunci/door-closer-dorma-ts-77-ho-hold-open-silver-penutup-pintu-otomatis?extParam=ivf%3Dfalse%26keyword%3Ddoor+closer+pintu+dorma%26search_id%3D20250308062625F44B441242A2AE1AEMIH%26src%3Dsearch")</f>
        <v>https://www.tokopedia.com/setiakunci/door-closer-dorma-ts-77-ho-hold-open-silver-penutup-pintu-otomatis?extParam=ivf%3Dfalse%26keyword%3Ddoor+closer+pintu+dorma%26search_id%3D20250308062625F44B441242A2AE1AEMIH%26src%3Dsearch</v>
      </c>
      <c r="L86" s="3" t="str">
        <f>IFERROR(__xludf.DUMMYFUNCTION("""COMPUTED_VALUE"""),"-")</f>
        <v>-</v>
      </c>
      <c r="M86" s="3" t="str">
        <f>IFERROR(__xludf.DUMMYFUNCTION("""COMPUTED_VALUE"""),"Approve")</f>
        <v>Approve</v>
      </c>
      <c r="N86" s="3" t="str">
        <f>IFERROR(__xludf.DUMMYFUNCTION("""COMPUTED_VALUE"""),"Normal")</f>
        <v>Normal</v>
      </c>
      <c r="O86" s="3" t="str">
        <f>IFERROR(__xludf.DUMMYFUNCTION("""COMPUTED_VALUE"""),"Non Urgent")</f>
        <v>Non Urgent</v>
      </c>
      <c r="P86" s="7">
        <f>IFERROR(__xludf.DUMMYFUNCTION("""COMPUTED_VALUE"""),45727.72762640046)</f>
        <v>45727.72763</v>
      </c>
    </row>
    <row r="87">
      <c r="A87" s="4">
        <f>IFERROR(__xludf.DUMMYFUNCTION("""COMPUTED_VALUE"""),45725.56726363426)</f>
        <v>45725.56726</v>
      </c>
      <c r="B87" s="3" t="str">
        <f>IFERROR(__xludf.DUMMYFUNCTION("""COMPUTED_VALUE"""),"ROSBR0011")</f>
        <v>ROSBR0011</v>
      </c>
      <c r="C87" s="3" t="str">
        <f>IFERROR(__xludf.DUMMYFUNCTION("""COMPUTED_VALUE"""),"EJO")</f>
        <v>EJO</v>
      </c>
      <c r="D87" s="3" t="str">
        <f>IFERROR(__xludf.DUMMYFUNCTION("""COMPUTED_VALUE"""),"EJO/2025/03/38")</f>
        <v>EJO/2025/03/38</v>
      </c>
      <c r="E87" s="3" t="str">
        <f>IFERROR(__xludf.DUMMYFUNCTION("""COMPUTED_VALUE"""),"Tunnel")</f>
        <v>Tunnel</v>
      </c>
      <c r="F87" s="3" t="str">
        <f>IFERROR(__xludf.DUMMYFUNCTION("""COMPUTED_VALUE"""),"Insulflex Insulasi Pipa")</f>
        <v>Insulflex Insulasi Pipa</v>
      </c>
      <c r="G87" s="3" t="str">
        <f>IFERROR(__xludf.DUMMYFUNCTION("""COMPUTED_VALUE"""),"belikan Insulflex
ukuran : 1 1/8inch x 3/8 inch
kebutuhan panjang : 10 meter")</f>
        <v>belikan Insulflex
ukuran : 1 1/8inch x 3/8 inch
kebutuhan panjang : 10 meter</v>
      </c>
      <c r="H87" s="3" t="str">
        <f>IFERROR(__xludf.DUMMYFUNCTION("""COMPUTED_VALUE"""),"Insulflex")</f>
        <v>Insulflex</v>
      </c>
      <c r="I87" s="3">
        <f>IFERROR(__xludf.DUMMYFUNCTION("""COMPUTED_VALUE"""),10.0)</f>
        <v>10</v>
      </c>
      <c r="J87" s="3" t="str">
        <f>IFERROR(__xludf.DUMMYFUNCTION("""COMPUTED_VALUE"""),"meter")</f>
        <v>meter</v>
      </c>
      <c r="K87" s="5" t="str">
        <f>IFERROR(__xludf.DUMMYFUNCTION("""COMPUTED_VALUE"""),"https://www.tokopedia.com/aksesoris-hvac/insulflex-insulasi-pipa-1-1-8-x-3-8-inch-panjang-1-82-m-tube-class-1?aff_unique_id=&amp;channel=others&amp;chain_key=")</f>
        <v>https://www.tokopedia.com/aksesoris-hvac/insulflex-insulasi-pipa-1-1-8-x-3-8-inch-panjang-1-82-m-tube-class-1?aff_unique_id=&amp;channel=others&amp;chain_key=</v>
      </c>
      <c r="L87" s="5" t="str">
        <f>IFERROR(__xludf.DUMMYFUNCTION("""COMPUTED_VALUE"""),"https://drive.google.com/drive/folders/1-A3PSFPOtNNj8ILj7DjSRukPtAKqxZlz?usp=drive_link")</f>
        <v>https://drive.google.com/drive/folders/1-A3PSFPOtNNj8ILj7DjSRukPtAKqxZlz?usp=drive_link</v>
      </c>
      <c r="M87" s="3" t="str">
        <f>IFERROR(__xludf.DUMMYFUNCTION("""COMPUTED_VALUE"""),"Approve")</f>
        <v>Approve</v>
      </c>
      <c r="N87" s="3" t="str">
        <f>IFERROR(__xludf.DUMMYFUNCTION("""COMPUTED_VALUE"""),"Normal")</f>
        <v>Normal</v>
      </c>
      <c r="O87" s="3" t="str">
        <f>IFERROR(__xludf.DUMMYFUNCTION("""COMPUTED_VALUE"""),"Non Urgent")</f>
        <v>Non Urgent</v>
      </c>
      <c r="P87" s="7">
        <f>IFERROR(__xludf.DUMMYFUNCTION("""COMPUTED_VALUE"""),45729.59346282408)</f>
        <v>45729.59346</v>
      </c>
    </row>
    <row r="88">
      <c r="A88" s="4">
        <f>IFERROR(__xludf.DUMMYFUNCTION("""COMPUTED_VALUE"""),45725.73334604166)</f>
        <v>45725.73335</v>
      </c>
      <c r="B88" s="3" t="str">
        <f>IFERROR(__xludf.DUMMYFUNCTION("""COMPUTED_VALUE"""),"ROSBR0012")</f>
        <v>ROSBR0012</v>
      </c>
      <c r="C88" s="3" t="str">
        <f>IFERROR(__xludf.DUMMYFUNCTION("""COMPUTED_VALUE"""),"EJO")</f>
        <v>EJO</v>
      </c>
      <c r="D88" s="3" t="str">
        <f>IFERROR(__xludf.DUMMYFUNCTION("""COMPUTED_VALUE"""),"EJO/2025/03/38")</f>
        <v>EJO/2025/03/38</v>
      </c>
      <c r="E88" s="3" t="str">
        <f>IFERROR(__xludf.DUMMYFUNCTION("""COMPUTED_VALUE"""),"Tunnel")</f>
        <v>Tunnel</v>
      </c>
      <c r="F88" s="3" t="str">
        <f>IFERROR(__xludf.DUMMYFUNCTION("""COMPUTED_VALUE"""),"Lem Perekat Superlon")</f>
        <v>Lem Perekat Superlon</v>
      </c>
      <c r="G88" s="3" t="str">
        <f>IFERROR(__xludf.DUMMYFUNCTION("""COMPUTED_VALUE"""),"Lem superlon 1 kaleng ")</f>
        <v>Lem superlon 1 kaleng </v>
      </c>
      <c r="H88" s="3" t="str">
        <f>IFERROR(__xludf.DUMMYFUNCTION("""COMPUTED_VALUE"""),"superlon ")</f>
        <v>superlon </v>
      </c>
      <c r="I88" s="3">
        <f>IFERROR(__xludf.DUMMYFUNCTION("""COMPUTED_VALUE"""),1.0)</f>
        <v>1</v>
      </c>
      <c r="J88" s="3" t="str">
        <f>IFERROR(__xludf.DUMMYFUNCTION("""COMPUTED_VALUE"""),"kaleng")</f>
        <v>kaleng</v>
      </c>
      <c r="K88" s="5" t="str">
        <f>IFERROR(__xludf.DUMMYFUNCTION("""COMPUTED_VALUE"""),"https://www.tokopedia.com/psrtrades/lem-perekat-superlon-adhesive-insulation-insulasi-pembungkus-pipa-glue?extParam=ivf%3Dfalse%26keyword%3Dlem+superlon%26search_id%3D20250309103729E7F72256397B2D24705W%26src%3Dsearch")</f>
        <v>https://www.tokopedia.com/psrtrades/lem-perekat-superlon-adhesive-insulation-insulasi-pembungkus-pipa-glue?extParam=ivf%3Dfalse%26keyword%3Dlem+superlon%26search_id%3D20250309103729E7F72256397B2D24705W%26src%3Dsearch</v>
      </c>
      <c r="L88" s="5" t="str">
        <f>IFERROR(__xludf.DUMMYFUNCTION("""COMPUTED_VALUE"""),"https://drive.google.com/file/d/18AS5uxV3U9XXOPn0spB9aLZ9qDY121mm/view?usp=drive_link")</f>
        <v>https://drive.google.com/file/d/18AS5uxV3U9XXOPn0spB9aLZ9qDY121mm/view?usp=drive_link</v>
      </c>
      <c r="M88" s="3" t="str">
        <f>IFERROR(__xludf.DUMMYFUNCTION("""COMPUTED_VALUE"""),"Approve")</f>
        <v>Approve</v>
      </c>
      <c r="N88" s="3" t="str">
        <f>IFERROR(__xludf.DUMMYFUNCTION("""COMPUTED_VALUE"""),"Normal")</f>
        <v>Normal</v>
      </c>
      <c r="O88" s="3" t="str">
        <f>IFERROR(__xludf.DUMMYFUNCTION("""COMPUTED_VALUE"""),"Non Urgent")</f>
        <v>Non Urgent</v>
      </c>
      <c r="P88" s="7">
        <f>IFERROR(__xludf.DUMMYFUNCTION("""COMPUTED_VALUE"""),45729.59383622685)</f>
        <v>45729.59384</v>
      </c>
    </row>
    <row r="89">
      <c r="A89" s="4">
        <f>IFERROR(__xludf.DUMMYFUNCTION("""COMPUTED_VALUE"""),45728.60810275463)</f>
        <v>45728.6081</v>
      </c>
      <c r="B89" s="3" t="str">
        <f>IFERROR(__xludf.DUMMYFUNCTION("""COMPUTED_VALUE"""),"ROSBR0013")</f>
        <v>ROSBR0013</v>
      </c>
      <c r="C89" s="3" t="str">
        <f>IFERROR(__xludf.DUMMYFUNCTION("""COMPUTED_VALUE"""),"EJO")</f>
        <v>EJO</v>
      </c>
      <c r="D89" s="3" t="str">
        <f>IFERROR(__xludf.DUMMYFUNCTION("""COMPUTED_VALUE"""),"EJO2025/03/91")</f>
        <v>EJO2025/03/91</v>
      </c>
      <c r="E89" s="3" t="str">
        <f>IFERROR(__xludf.DUMMYFUNCTION("""COMPUTED_VALUE"""),"Humidity Chamber ")</f>
        <v>Humidity Chamber </v>
      </c>
      <c r="F89" s="3" t="str">
        <f>IFERROR(__xludf.DUMMYFUNCTION("""COMPUTED_VALUE"""),"Drain Pan ")</f>
        <v>Drain Pan </v>
      </c>
      <c r="G89" s="3" t="str">
        <f>IFERROR(__xludf.DUMMYFUNCTION("""COMPUTED_VALUE"""),"- Machining Plate Mat'l SUS 304
- Proses Laser Cutting
- Profil Bending Tekuk
- Assembly Welding
- finishing")</f>
        <v>- Machining Plate Mat'l SUS 304
- Proses Laser Cutting
- Profil Bending Tekuk
- Assembly Welding
- finishing</v>
      </c>
      <c r="H89" s="3" t="str">
        <f>IFERROR(__xludf.DUMMYFUNCTION("""COMPUTED_VALUE"""),"General")</f>
        <v>General</v>
      </c>
      <c r="I89" s="3">
        <f>IFERROR(__xludf.DUMMYFUNCTION("""COMPUTED_VALUE"""),1.0)</f>
        <v>1</v>
      </c>
      <c r="J89" s="3" t="str">
        <f>IFERROR(__xludf.DUMMYFUNCTION("""COMPUTED_VALUE"""),"unit")</f>
        <v>unit</v>
      </c>
      <c r="K89" s="5" t="str">
        <f>IFERROR(__xludf.DUMMYFUNCTION("""COMPUTED_VALUE"""),"https://drive.google.com/file/d/1yxd-1i6_2rne2iILRP3vPMVsFFYUDvQl/view?usp=drive_link")</f>
        <v>https://drive.google.com/file/d/1yxd-1i6_2rne2iILRP3vPMVsFFYUDvQl/view?usp=drive_link</v>
      </c>
      <c r="L89" s="5" t="str">
        <f>IFERROR(__xludf.DUMMYFUNCTION("""COMPUTED_VALUE"""),"https://drive.google.com/file/d/1zvX3aaY0EYyftKdYeb0Wp3oypc_jlGGH/view?usp=drive_link")</f>
        <v>https://drive.google.com/file/d/1zvX3aaY0EYyftKdYeb0Wp3oypc_jlGGH/view?usp=drive_link</v>
      </c>
      <c r="M89" s="3" t="str">
        <f>IFERROR(__xludf.DUMMYFUNCTION("""COMPUTED_VALUE"""),"Approve")</f>
        <v>Approve</v>
      </c>
      <c r="N89" s="3" t="str">
        <f>IFERROR(__xludf.DUMMYFUNCTION("""COMPUTED_VALUE"""),"Normal")</f>
        <v>Normal</v>
      </c>
      <c r="O89" s="3" t="str">
        <f>IFERROR(__xludf.DUMMYFUNCTION("""COMPUTED_VALUE"""),"Non Urgent")</f>
        <v>Non Urgent</v>
      </c>
      <c r="P89" s="7">
        <f>IFERROR(__xludf.DUMMYFUNCTION("""COMPUTED_VALUE"""),45758.40102326389)</f>
        <v>45758.40102</v>
      </c>
    </row>
    <row r="90">
      <c r="A90" s="4">
        <f>IFERROR(__xludf.DUMMYFUNCTION("""COMPUTED_VALUE"""),45729.738412106475)</f>
        <v>45729.73841</v>
      </c>
      <c r="B90" s="3" t="str">
        <f>IFERROR(__xludf.DUMMYFUNCTION("""COMPUTED_VALUE"""),"NDSBR0007")</f>
        <v>NDSBR0007</v>
      </c>
      <c r="C90" s="3" t="str">
        <f>IFERROR(__xludf.DUMMYFUNCTION("""COMPUTED_VALUE"""),"EJO")</f>
        <v>EJO</v>
      </c>
      <c r="D90" s="3" t="str">
        <f>IFERROR(__xludf.DUMMYFUNCTION("""COMPUTED_VALUE"""),"EJO/2024/12/147")</f>
        <v>EJO/2024/12/147</v>
      </c>
      <c r="E90" s="3" t="str">
        <f>IFERROR(__xludf.DUMMYFUNCTION("""COMPUTED_VALUE"""),"Mixing Tank MV 200")</f>
        <v>Mixing Tank MV 200</v>
      </c>
      <c r="F90" s="3" t="str">
        <f>IFERROR(__xludf.DUMMYFUNCTION("""COMPUTED_VALUE"""),"Gasket Ferrule ")</f>
        <v>Gasket Ferrule </v>
      </c>
      <c r="G90" s="3" t="str">
        <f>IFERROR(__xludf.DUMMYFUNCTION("""COMPUTED_VALUE"""),"Material EPDM, 6""")</f>
        <v>Material EPDM, 6"</v>
      </c>
      <c r="H90" s="3" t="str">
        <f>IFERROR(__xludf.DUMMYFUNCTION("""COMPUTED_VALUE"""),"-")</f>
        <v>-</v>
      </c>
      <c r="I90" s="3">
        <f>IFERROR(__xludf.DUMMYFUNCTION("""COMPUTED_VALUE"""),4.0)</f>
        <v>4</v>
      </c>
      <c r="J90" s="3" t="str">
        <f>IFERROR(__xludf.DUMMYFUNCTION("""COMPUTED_VALUE"""),"Pcs")</f>
        <v>Pcs</v>
      </c>
      <c r="K90" s="5" t="str">
        <f>IFERROR(__xludf.DUMMYFUNCTION("""COMPUTED_VALUE"""),"https://www.google.com/search?sca_esv=53b09118edbda9fc&amp;rlz=1C1GCEA_enID1076ID1076&amp;sxsrf=AHTn8zr5oshrwPuVZ4GYerDABE855Pmegg:1740628146184&amp;q=gasket+ferrule+EPDM+6Inch&amp;udm=2&amp;fbs=ABzOT_CB5rTOeVClh44GCXZQydERP1BnZ_6U4iXdAZ_ZkT8a3yweG-ROKJaX8AZ4e4IzcHWttziSCpXz"&amp;"7Kk4unvbthF53f5zm-k1xtQ8Cs1ebCGDwGhGJiiASqBYq1w_9uOUzkHFllm2si9-ahMJTMQdEAiFQbyINXSh6GkB3Mr9fR7Exc5E8c51RwZOU9HzyF7XbDLzSYJ0wedcOqWn1gpH5jI5CiUChw&amp;sa=X&amp;ved=2ahUKEwj1l9uS-eKLAxV2TDABHbbnDBIQtKgLegQIEBAB&amp;biw=1366&amp;bih=611&amp;dpr=1")</f>
        <v>https://www.google.com/search?sca_esv=53b09118edbda9fc&amp;rlz=1C1GCEA_enID1076ID1076&amp;sxsrf=AHTn8zr5oshrwPuVZ4GYerDABE855Pmegg:1740628146184&amp;q=gasket+ferrule+EPDM+6Inch&amp;udm=2&amp;fbs=ABzOT_CB5rTOeVClh44GCXZQydERP1BnZ_6U4iXdAZ_ZkT8a3yweG-ROKJaX8AZ4e4IzcHWttziSCpXz7Kk4unvbthF53f5zm-k1xtQ8Cs1ebCGDwGhGJiiASqBYq1w_9uOUzkHFllm2si9-ahMJTMQdEAiFQbyINXSh6GkB3Mr9fR7Exc5E8c51RwZOU9HzyF7XbDLzSYJ0wedcOqWn1gpH5jI5CiUChw&amp;sa=X&amp;ved=2ahUKEwj1l9uS-eKLAxV2TDABHbbnDBIQtKgLegQIEBAB&amp;biw=1366&amp;bih=611&amp;dpr=1</v>
      </c>
      <c r="L90" s="3" t="str">
        <f>IFERROR(__xludf.DUMMYFUNCTION("""COMPUTED_VALUE"""),"-")</f>
        <v>-</v>
      </c>
      <c r="M90" s="3" t="str">
        <f>IFERROR(__xludf.DUMMYFUNCTION("""COMPUTED_VALUE"""),"Approve")</f>
        <v>Approve</v>
      </c>
      <c r="N90" s="3" t="str">
        <f>IFERROR(__xludf.DUMMYFUNCTION("""COMPUTED_VALUE"""),"Normal")</f>
        <v>Normal</v>
      </c>
      <c r="O90" s="3" t="str">
        <f>IFERROR(__xludf.DUMMYFUNCTION("""COMPUTED_VALUE"""),"Non Urgent")</f>
        <v>Non Urgent</v>
      </c>
      <c r="P90" s="7">
        <f>IFERROR(__xludf.DUMMYFUNCTION("""COMPUTED_VALUE"""),45736.69521481481)</f>
        <v>45736.69521</v>
      </c>
    </row>
    <row r="91">
      <c r="A91" s="4">
        <f>IFERROR(__xludf.DUMMYFUNCTION("""COMPUTED_VALUE"""),45729.738920752316)</f>
        <v>45729.73892</v>
      </c>
      <c r="B91" s="3" t="str">
        <f>IFERROR(__xludf.DUMMYFUNCTION("""COMPUTED_VALUE"""),"NDSBR0008")</f>
        <v>NDSBR0008</v>
      </c>
      <c r="C91" s="3" t="str">
        <f>IFERROR(__xludf.DUMMYFUNCTION("""COMPUTED_VALUE"""),"Consumable")</f>
        <v>Consumable</v>
      </c>
      <c r="D91" s="3" t="str">
        <f>IFERROR(__xludf.DUMMYFUNCTION("""COMPUTED_VALUE"""),"-")</f>
        <v>-</v>
      </c>
      <c r="E91" s="3" t="str">
        <f>IFERROR(__xludf.DUMMYFUNCTION("""COMPUTED_VALUE"""),"Tablet Press")</f>
        <v>Tablet Press</v>
      </c>
      <c r="F91" s="3" t="str">
        <f>IFERROR(__xludf.DUMMYFUNCTION("""COMPUTED_VALUE"""),"Mobilux EP 2")</f>
        <v>Mobilux EP 2</v>
      </c>
      <c r="G91" s="3" t="str">
        <f>IFERROR(__xludf.DUMMYFUNCTION("""COMPUTED_VALUE"""),"ISO VG 150")</f>
        <v>ISO VG 150</v>
      </c>
      <c r="H91" s="3" t="str">
        <f>IFERROR(__xludf.DUMMYFUNCTION("""COMPUTED_VALUE"""),"Mobil")</f>
        <v>Mobil</v>
      </c>
      <c r="I91" s="3">
        <f>IFERROR(__xludf.DUMMYFUNCTION("""COMPUTED_VALUE"""),1.0)</f>
        <v>1</v>
      </c>
      <c r="J91" s="3" t="str">
        <f>IFERROR(__xludf.DUMMYFUNCTION("""COMPUTED_VALUE"""),"Pcs")</f>
        <v>Pcs</v>
      </c>
      <c r="K91" s="5" t="str">
        <f>IFERROR(__xludf.DUMMYFUNCTION("""COMPUTED_VALUE"""),"https://www.tokopedia.com/lubricants/grease-mobilux-ep-2-lithium-grease-packing-original-mobil-pail-16kg?txsc=google&amp;utm_source=google&amp;utm_medium=cpc&amp;utm_campaign=0000-0000-gg-pmax-bend-voo-tcpa-act-ord-pg-id51pgce51-0000-alon-gshp&amp;utm_term=15824685200&amp;re"&amp;"f=googleshopping&amp;c=21543673600&amp;m=667148562&amp;gclsrc=aw.ds&amp;gad_source=1")</f>
        <v>https://www.tokopedia.com/lubricants/grease-mobilux-ep-2-lithium-grease-packing-original-mobil-pail-16kg?txsc=google&amp;utm_source=google&amp;utm_medium=cpc&amp;utm_campaign=0000-0000-gg-pmax-bend-voo-tcpa-act-ord-pg-id51pgce51-0000-alon-gshp&amp;utm_term=15824685200&amp;ref=googleshopping&amp;c=21543673600&amp;m=667148562&amp;gclsrc=aw.ds&amp;gad_source=1</v>
      </c>
      <c r="L91" s="3" t="str">
        <f>IFERROR(__xludf.DUMMYFUNCTION("""COMPUTED_VALUE"""),"-")</f>
        <v>-</v>
      </c>
      <c r="M91" s="3" t="str">
        <f>IFERROR(__xludf.DUMMYFUNCTION("""COMPUTED_VALUE"""),"Approve")</f>
        <v>Approve</v>
      </c>
      <c r="N91" s="3" t="str">
        <f>IFERROR(__xludf.DUMMYFUNCTION("""COMPUTED_VALUE"""),"Normal")</f>
        <v>Normal</v>
      </c>
      <c r="O91" s="3" t="str">
        <f>IFERROR(__xludf.DUMMYFUNCTION("""COMPUTED_VALUE"""),"Non Urgent")</f>
        <v>Non Urgent</v>
      </c>
      <c r="P91" s="7">
        <f>IFERROR(__xludf.DUMMYFUNCTION("""COMPUTED_VALUE"""),45736.69599613426)</f>
        <v>45736.696</v>
      </c>
    </row>
    <row r="92">
      <c r="A92" s="4">
        <f>IFERROR(__xludf.DUMMYFUNCTION("""COMPUTED_VALUE"""),45729.97713024306)</f>
        <v>45729.97713</v>
      </c>
      <c r="B92" s="3" t="str">
        <f>IFERROR(__xludf.DUMMYFUNCTION("""COMPUTED_VALUE"""),"MOBBR0021")</f>
        <v>MOBBR0021</v>
      </c>
      <c r="C92" s="3" t="str">
        <f>IFERROR(__xludf.DUMMYFUNCTION("""COMPUTED_VALUE"""),"Consumable")</f>
        <v>Consumable</v>
      </c>
      <c r="D92" s="3" t="str">
        <f>IFERROR(__xludf.DUMMYFUNCTION("""COMPUTED_VALUE"""),"-")</f>
        <v>-</v>
      </c>
      <c r="E92" s="3" t="str">
        <f>IFERROR(__xludf.DUMMYFUNCTION("""COMPUTED_VALUE"""),"Pneumatic Fitting")</f>
        <v>Pneumatic Fitting</v>
      </c>
      <c r="F92" s="3" t="str">
        <f>IFERROR(__xludf.DUMMYFUNCTION("""COMPUTED_VALUE"""),"Pneumatic Fitting")</f>
        <v>Pneumatic Fitting</v>
      </c>
      <c r="G92" s="3" t="str">
        <f>IFERROR(__xludf.DUMMYFUNCTION("""COMPUTED_VALUE"""),"QS-12-14 Festo Push In")</f>
        <v>QS-12-14 Festo Push In</v>
      </c>
      <c r="H92" s="3" t="str">
        <f>IFERROR(__xludf.DUMMYFUNCTION("""COMPUTED_VALUE"""),"EMC")</f>
        <v>EMC</v>
      </c>
      <c r="I92" s="3">
        <f>IFERROR(__xludf.DUMMYFUNCTION("""COMPUTED_VALUE"""),8.0)</f>
        <v>8</v>
      </c>
      <c r="J92" s="3" t="str">
        <f>IFERROR(__xludf.DUMMYFUNCTION("""COMPUTED_VALUE"""),"Pcs")</f>
        <v>Pcs</v>
      </c>
      <c r="K92" s="5" t="str">
        <f>IFERROR(__xludf.DUMMYFUNCTION("""COMPUTED_VALUE"""),"https://www.tokopedia.com/pneumatichardware/fitting-pneumatic-selang-14mm-x-12mm-reducer-connector-pg14-12-kk85")</f>
        <v>https://www.tokopedia.com/pneumatichardware/fitting-pneumatic-selang-14mm-x-12mm-reducer-connector-pg14-12-kk85</v>
      </c>
      <c r="L92" s="3" t="str">
        <f>IFERROR(__xludf.DUMMYFUNCTION("""COMPUTED_VALUE"""),"Stok Habis")</f>
        <v>Stok Habis</v>
      </c>
      <c r="M92" s="3" t="str">
        <f>IFERROR(__xludf.DUMMYFUNCTION("""COMPUTED_VALUE"""),"Approve")</f>
        <v>Approve</v>
      </c>
      <c r="N92" s="3" t="str">
        <f>IFERROR(__xludf.DUMMYFUNCTION("""COMPUTED_VALUE"""),"Normal")</f>
        <v>Normal</v>
      </c>
      <c r="O92" s="3" t="str">
        <f>IFERROR(__xludf.DUMMYFUNCTION("""COMPUTED_VALUE"""),"Non Urgent")</f>
        <v>Non Urgent</v>
      </c>
      <c r="P92" s="7">
        <f>IFERROR(__xludf.DUMMYFUNCTION("""COMPUTED_VALUE"""),45731.435133148145)</f>
        <v>45731.43513</v>
      </c>
    </row>
    <row r="93">
      <c r="A93" s="4">
        <f>IFERROR(__xludf.DUMMYFUNCTION("""COMPUTED_VALUE"""),45734.69094292824)</f>
        <v>45734.69094</v>
      </c>
      <c r="B93" s="3" t="str">
        <f>IFERROR(__xludf.DUMMYFUNCTION("""COMPUTED_VALUE"""),"RIABR0026")</f>
        <v>RIABR0026</v>
      </c>
      <c r="C93" s="3" t="str">
        <f>IFERROR(__xludf.DUMMYFUNCTION("""COMPUTED_VALUE"""),"EJO")</f>
        <v>EJO</v>
      </c>
      <c r="D93" s="3" t="str">
        <f>IFERROR(__xludf.DUMMYFUNCTION("""COMPUTED_VALUE"""),"EJO/2025/03/116")</f>
        <v>EJO/2025/03/116</v>
      </c>
      <c r="E93" s="3" t="str">
        <f>IFERROR(__xludf.DUMMYFUNCTION("""COMPUTED_VALUE"""),"Cooling Water")</f>
        <v>Cooling Water</v>
      </c>
      <c r="F93" s="3" t="str">
        <f>IFERROR(__xludf.DUMMYFUNCTION("""COMPUTED_VALUE"""),"Motorized")</f>
        <v>Motorized</v>
      </c>
      <c r="G93" s="3" t="str">
        <f>IFERROR(__xludf.DUMMYFUNCTION("""COMPUTED_VALUE"""),"Siemens Acvatix SKC62")</f>
        <v>Siemens Acvatix SKC62</v>
      </c>
      <c r="H93" s="3" t="str">
        <f>IFERROR(__xludf.DUMMYFUNCTION("""COMPUTED_VALUE"""),"Siemens")</f>
        <v>Siemens</v>
      </c>
      <c r="I93" s="3">
        <f>IFERROR(__xludf.DUMMYFUNCTION("""COMPUTED_VALUE"""),1.0)</f>
        <v>1</v>
      </c>
      <c r="J93" s="3" t="str">
        <f>IFERROR(__xludf.DUMMYFUNCTION("""COMPUTED_VALUE"""),"Set")</f>
        <v>Set</v>
      </c>
      <c r="K93" s="5" t="str">
        <f>IFERROR(__xludf.DUMMYFUNCTION("""COMPUTED_VALUE"""),"https://www.google.com/url?sa=i&amp;url=https%3A%2F%2Fhit.sbt.siemens.com%2FRWD%2Fapp.aspx%3Frc%3DNO%26lang%3Den%26module%3DCatalog%26action%3DShowProduct%26key%3DBPZ%3ASKC62&amp;psig=AOvVaw0QQilrq1urX21H_jPxokk1&amp;ust=1742376829543000&amp;source=images&amp;cd=vfe&amp;opi=8997"&amp;"8449&amp;ved=0CBQQjRxqFwoTCPCY2dSpk4wDFQAAAAAdAAAAABAE")</f>
        <v>https://www.google.com/url?sa=i&amp;url=https%3A%2F%2Fhit.sbt.siemens.com%2FRWD%2Fapp.aspx%3Frc%3DNO%26lang%3Den%26module%3DCatalog%26action%3DShowProduct%26key%3DBPZ%3ASKC62&amp;psig=AOvVaw0QQilrq1urX21H_jPxokk1&amp;ust=1742376829543000&amp;source=images&amp;cd=vfe&amp;opi=89978449&amp;ved=0CBQQjRxqFwoTCPCY2dSpk4wDFQAAAAAdAAAAABAE</v>
      </c>
      <c r="L93" s="3" t="str">
        <f>IFERROR(__xludf.DUMMYFUNCTION("""COMPUTED_VALUE"""),"Minta tolong dicarikan penawaran untuk motorized tersebut ke vendor siemens ya")</f>
        <v>Minta tolong dicarikan penawaran untuk motorized tersebut ke vendor siemens ya</v>
      </c>
      <c r="M93" s="3" t="str">
        <f>IFERROR(__xludf.DUMMYFUNCTION("""COMPUTED_VALUE"""),"Approve")</f>
        <v>Approve</v>
      </c>
      <c r="N93" s="3" t="str">
        <f>IFERROR(__xludf.DUMMYFUNCTION("""COMPUTED_VALUE"""),"Normal")</f>
        <v>Normal</v>
      </c>
      <c r="O93" s="3" t="str">
        <f>IFERROR(__xludf.DUMMYFUNCTION("""COMPUTED_VALUE"""),"Non Urgent")</f>
        <v>Non Urgent</v>
      </c>
      <c r="P93" s="7">
        <f>IFERROR(__xludf.DUMMYFUNCTION("""COMPUTED_VALUE"""),45736.4829415162)</f>
        <v>45736.48294</v>
      </c>
    </row>
    <row r="94">
      <c r="A94" s="4">
        <f>IFERROR(__xludf.DUMMYFUNCTION("""COMPUTED_VALUE"""),45735.66877271991)</f>
        <v>45735.66877</v>
      </c>
      <c r="B94" s="3" t="str">
        <f>IFERROR(__xludf.DUMMYFUNCTION("""COMPUTED_VALUE"""),"SFHBR0017")</f>
        <v>SFHBR0017</v>
      </c>
      <c r="C94" s="3" t="str">
        <f>IFERROR(__xludf.DUMMYFUNCTION("""COMPUTED_VALUE"""),"EJO")</f>
        <v>EJO</v>
      </c>
      <c r="D94" s="3" t="str">
        <f>IFERROR(__xludf.DUMMYFUNCTION("""COMPUTED_VALUE"""),"EJO/2025/01/86")</f>
        <v>EJO/2025/01/86</v>
      </c>
      <c r="E94" s="3" t="str">
        <f>IFERROR(__xludf.DUMMYFUNCTION("""COMPUTED_VALUE"""),"lantai 2")</f>
        <v>lantai 2</v>
      </c>
      <c r="F94" s="3" t="str">
        <f>IFERROR(__xludf.DUMMYFUNCTION("""COMPUTED_VALUE"""),"cat propan buat sandwich panel")</f>
        <v>cat propan buat sandwich panel</v>
      </c>
      <c r="G94" s="3" t="str">
        <f>IFERROR(__xludf.DUMMYFUNCTION("""COMPUTED_VALUE"""),"propan DR-2000 GLOOS BASE A + PASTA")</f>
        <v>propan DR-2000 GLOOS BASE A + PASTA</v>
      </c>
      <c r="H94" s="3" t="str">
        <f>IFERROR(__xludf.DUMMYFUNCTION("""COMPUTED_VALUE"""),"propan")</f>
        <v>propan</v>
      </c>
      <c r="I94" s="3">
        <f>IFERROR(__xludf.DUMMYFUNCTION("""COMPUTED_VALUE"""),3.0)</f>
        <v>3</v>
      </c>
      <c r="J94" s="3" t="str">
        <f>IFERROR(__xludf.DUMMYFUNCTION("""COMPUTED_VALUE"""),"pel")</f>
        <v>pel</v>
      </c>
      <c r="K94" s="3" t="str">
        <f>IFERROR(__xludf.DUMMYFUNCTION("""COMPUTED_VALUE"""),"propan durogloss spiders web 90YY73/040")</f>
        <v>propan durogloss spiders web 90YY73/040</v>
      </c>
      <c r="L94" s="3" t="str">
        <f>IFERROR(__xludf.DUMMYFUNCTION("""COMPUTED_VALUE"""),"-")</f>
        <v>-</v>
      </c>
      <c r="M94" s="3" t="str">
        <f>IFERROR(__xludf.DUMMYFUNCTION("""COMPUTED_VALUE"""),"Approve")</f>
        <v>Approve</v>
      </c>
      <c r="N94" s="3" t="str">
        <f>IFERROR(__xludf.DUMMYFUNCTION("""COMPUTED_VALUE"""),"Normal")</f>
        <v>Normal</v>
      </c>
      <c r="O94" s="3" t="str">
        <f>IFERROR(__xludf.DUMMYFUNCTION("""COMPUTED_VALUE"""),"Non Urgent")</f>
        <v>Non Urgent</v>
      </c>
      <c r="P94" s="7">
        <f>IFERROR(__xludf.DUMMYFUNCTION("""COMPUTED_VALUE"""),45742.863306666666)</f>
        <v>45742.86331</v>
      </c>
    </row>
    <row r="95">
      <c r="A95" s="4">
        <f>IFERROR(__xludf.DUMMYFUNCTION("""COMPUTED_VALUE"""),45735.6757028588)</f>
        <v>45735.6757</v>
      </c>
      <c r="B95" s="3" t="str">
        <f>IFERROR(__xludf.DUMMYFUNCTION("""COMPUTED_VALUE"""),"INNBR0016")</f>
        <v>INNBR0016</v>
      </c>
      <c r="C95" s="3" t="str">
        <f>IFERROR(__xludf.DUMMYFUNCTION("""COMPUTED_VALUE"""),"Critical Part")</f>
        <v>Critical Part</v>
      </c>
      <c r="D95" s="3" t="str">
        <f>IFERROR(__xludf.DUMMYFUNCTION("""COMPUTED_VALUE"""),"EJO/2024/12/139")</f>
        <v>EJO/2024/12/139</v>
      </c>
      <c r="E95" s="3" t="str">
        <f>IFERROR(__xludf.DUMMYFUNCTION("""COMPUTED_VALUE"""),"Filling")</f>
        <v>Filling</v>
      </c>
      <c r="F95" s="3" t="str">
        <f>IFERROR(__xludf.DUMMYFUNCTION("""COMPUTED_VALUE"""),"Oring silicone : 1.5 mm x 37.5 mm x 40.5 mm")</f>
        <v>Oring silicone : 1.5 mm x 37.5 mm x 40.5 mm</v>
      </c>
      <c r="G95" s="3" t="str">
        <f>IFERROR(__xludf.DUMMYFUNCTION("""COMPUTED_VALUE"""),"Sesuai penawaran")</f>
        <v>Sesuai penawaran</v>
      </c>
      <c r="H95" s="3" t="str">
        <f>IFERROR(__xludf.DUMMYFUNCTION("""COMPUTED_VALUE"""),"Trenade")</f>
        <v>Trenade</v>
      </c>
      <c r="I95" s="3">
        <f>IFERROR(__xludf.DUMMYFUNCTION("""COMPUTED_VALUE"""),10.0)</f>
        <v>10</v>
      </c>
      <c r="J95" s="3" t="str">
        <f>IFERROR(__xludf.DUMMYFUNCTION("""COMPUTED_VALUE"""),"pcs")</f>
        <v>pcs</v>
      </c>
      <c r="K95" s="5" t="str">
        <f>IFERROR(__xludf.DUMMYFUNCTION("""COMPUTED_VALUE"""),"https://drive.google.com/file/d/15G2zcdvsMiV-1FC3GBCvPHKUsg-AwMjH/view?usp=drive_link")</f>
        <v>https://drive.google.com/file/d/15G2zcdvsMiV-1FC3GBCvPHKUsg-AwMjH/view?usp=drive_link</v>
      </c>
      <c r="L95" s="3" t="str">
        <f>IFERROR(__xludf.DUMMYFUNCTION("""COMPUTED_VALUE"""),"untuk piston, stock sudah habis")</f>
        <v>untuk piston, stock sudah habis</v>
      </c>
      <c r="M95" s="3" t="str">
        <f>IFERROR(__xludf.DUMMYFUNCTION("""COMPUTED_VALUE"""),"Approve")</f>
        <v>Approve</v>
      </c>
      <c r="N95" s="3" t="str">
        <f>IFERROR(__xludf.DUMMYFUNCTION("""COMPUTED_VALUE"""),"Normal")</f>
        <v>Normal</v>
      </c>
      <c r="O95" s="3" t="str">
        <f>IFERROR(__xludf.DUMMYFUNCTION("""COMPUTED_VALUE"""),"Non Urgent")</f>
        <v>Non Urgent</v>
      </c>
      <c r="P95" s="7">
        <f>IFERROR(__xludf.DUMMYFUNCTION("""COMPUTED_VALUE"""),45736.69662336806)</f>
        <v>45736.69662</v>
      </c>
    </row>
    <row r="96">
      <c r="A96" s="4">
        <f>IFERROR(__xludf.DUMMYFUNCTION("""COMPUTED_VALUE"""),45737.07097291667)</f>
        <v>45737.07097</v>
      </c>
      <c r="B96" s="3" t="str">
        <f>IFERROR(__xludf.DUMMYFUNCTION("""COMPUTED_VALUE"""),"MRNBR0008")</f>
        <v>MRNBR0008</v>
      </c>
      <c r="C96" s="3" t="str">
        <f>IFERROR(__xludf.DUMMYFUNCTION("""COMPUTED_VALUE"""),"EJO")</f>
        <v>EJO</v>
      </c>
      <c r="D96" s="3" t="str">
        <f>IFERROR(__xludf.DUMMYFUNCTION("""COMPUTED_VALUE"""),"EJO/2024/08/79")</f>
        <v>EJO/2024/08/79</v>
      </c>
      <c r="E96" s="3" t="str">
        <f>IFERROR(__xludf.DUMMYFUNCTION("""COMPUTED_VALUE"""),"Cooling water")</f>
        <v>Cooling water</v>
      </c>
      <c r="F96" s="3" t="str">
        <f>IFERROR(__xludf.DUMMYFUNCTION("""COMPUTED_VALUE"""),"Motorize valve")</f>
        <v>Motorize valve</v>
      </c>
      <c r="G96" s="3" t="str">
        <f>IFERROR(__xludf.DUMMYFUNCTION("""COMPUTED_VALUE"""),"SKC62")</f>
        <v>SKC62</v>
      </c>
      <c r="H96" s="3" t="str">
        <f>IFERROR(__xludf.DUMMYFUNCTION("""COMPUTED_VALUE"""),"Siemens")</f>
        <v>Siemens</v>
      </c>
      <c r="I96" s="3">
        <f>IFERROR(__xludf.DUMMYFUNCTION("""COMPUTED_VALUE"""),1.0)</f>
        <v>1</v>
      </c>
      <c r="J96" s="3" t="str">
        <f>IFERROR(__xludf.DUMMYFUNCTION("""COMPUTED_VALUE"""),"unit")</f>
        <v>unit</v>
      </c>
      <c r="K96" s="5" t="str">
        <f>IFERROR(__xludf.DUMMYFUNCTION("""COMPUTED_VALUE"""),"https://ifs-store.com/siemens-skc62/")</f>
        <v>https://ifs-store.com/siemens-skc62/</v>
      </c>
      <c r="L96" s="3" t="str">
        <f>IFERROR(__xludf.DUMMYFUNCTION("""COMPUTED_VALUE"""),"Untuk cooling water")</f>
        <v>Untuk cooling water</v>
      </c>
      <c r="M96" s="3" t="str">
        <f>IFERROR(__xludf.DUMMYFUNCTION("""COMPUTED_VALUE"""),"Approve")</f>
        <v>Approve</v>
      </c>
      <c r="N96" s="3" t="str">
        <f>IFERROR(__xludf.DUMMYFUNCTION("""COMPUTED_VALUE"""),"Normal")</f>
        <v>Normal</v>
      </c>
      <c r="O96" s="3" t="str">
        <f>IFERROR(__xludf.DUMMYFUNCTION("""COMPUTED_VALUE"""),"Non Urgent")</f>
        <v>Non Urgent</v>
      </c>
      <c r="P96" s="7">
        <f>IFERROR(__xludf.DUMMYFUNCTION("""COMPUTED_VALUE"""),45742.861653761574)</f>
        <v>45742.86165</v>
      </c>
    </row>
    <row r="97">
      <c r="A97" s="4">
        <f>IFERROR(__xludf.DUMMYFUNCTION("""COMPUTED_VALUE"""),45737.56979324074)</f>
        <v>45737.56979</v>
      </c>
      <c r="B97" s="3" t="str">
        <f>IFERROR(__xludf.DUMMYFUNCTION("""COMPUTED_VALUE"""),"MOBBR0022")</f>
        <v>MOBBR0022</v>
      </c>
      <c r="C97" s="3" t="str">
        <f>IFERROR(__xludf.DUMMYFUNCTION("""COMPUTED_VALUE"""),"Consumable")</f>
        <v>Consumable</v>
      </c>
      <c r="D97" s="3" t="str">
        <f>IFERROR(__xludf.DUMMYFUNCTION("""COMPUTED_VALUE"""),"-")</f>
        <v>-</v>
      </c>
      <c r="E97" s="3" t="str">
        <f>IFERROR(__xludf.DUMMYFUNCTION("""COMPUTED_VALUE"""),"Panel WWTP")</f>
        <v>Panel WWTP</v>
      </c>
      <c r="F97" s="3" t="str">
        <f>IFERROR(__xludf.DUMMYFUNCTION("""COMPUTED_VALUE"""),"Pilot Lamp")</f>
        <v>Pilot Lamp</v>
      </c>
      <c r="G97" s="3" t="str">
        <f>IFERROR(__xludf.DUMMYFUNCTION("""COMPUTED_VALUE"""),"Merah 220VAC ")</f>
        <v>Merah 220VAC </v>
      </c>
      <c r="H97" s="3" t="str">
        <f>IFERROR(__xludf.DUMMYFUNCTION("""COMPUTED_VALUE"""),"Schneider")</f>
        <v>Schneider</v>
      </c>
      <c r="I97" s="3">
        <f>IFERROR(__xludf.DUMMYFUNCTION("""COMPUTED_VALUE"""),8.0)</f>
        <v>8</v>
      </c>
      <c r="J97" s="3" t="str">
        <f>IFERROR(__xludf.DUMMYFUNCTION("""COMPUTED_VALUE"""),"Pcs")</f>
        <v>Pcs</v>
      </c>
      <c r="K97" s="5" t="str">
        <f>IFERROR(__xludf.DUMMYFUNCTION("""COMPUTED_VALUE"""),"https://www.tokopedia.com/cbselectric/schneider-pilot-lamp-led-110v-ac-dc-xa2evbf1lc-pilot-lamp-22mm?aff_unique_id=&amp;channel=others&amp;chain_key=")</f>
        <v>https://www.tokopedia.com/cbselectric/schneider-pilot-lamp-led-110v-ac-dc-xa2evbf1lc-pilot-lamp-22mm?aff_unique_id=&amp;channel=others&amp;chain_key=</v>
      </c>
      <c r="L97" s="3" t="str">
        <f>IFERROR(__xludf.DUMMYFUNCTION("""COMPUTED_VALUE"""),"Stok Habis")</f>
        <v>Stok Habis</v>
      </c>
      <c r="M97" s="3" t="str">
        <f>IFERROR(__xludf.DUMMYFUNCTION("""COMPUTED_VALUE"""),"Approve")</f>
        <v>Approve</v>
      </c>
      <c r="N97" s="3" t="str">
        <f>IFERROR(__xludf.DUMMYFUNCTION("""COMPUTED_VALUE"""),"Normal")</f>
        <v>Normal</v>
      </c>
      <c r="O97" s="3" t="str">
        <f>IFERROR(__xludf.DUMMYFUNCTION("""COMPUTED_VALUE"""),"Non Urgent")</f>
        <v>Non Urgent</v>
      </c>
      <c r="P97" s="7">
        <f>IFERROR(__xludf.DUMMYFUNCTION("""COMPUTED_VALUE"""),45742.86123369213)</f>
        <v>45742.86123</v>
      </c>
    </row>
    <row r="98">
      <c r="A98" s="4">
        <f>IFERROR(__xludf.DUMMYFUNCTION("""COMPUTED_VALUE"""),45737.663434918984)</f>
        <v>45737.66343</v>
      </c>
      <c r="B98" s="3" t="str">
        <f>IFERROR(__xludf.DUMMYFUNCTION("""COMPUTED_VALUE"""),"SHFBR0008")</f>
        <v>SHFBR0008</v>
      </c>
      <c r="C98" s="3" t="str">
        <f>IFERROR(__xludf.DUMMYFUNCTION("""COMPUTED_VALUE"""),"EJO")</f>
        <v>EJO</v>
      </c>
      <c r="D98" s="3" t="str">
        <f>IFERROR(__xludf.DUMMYFUNCTION("""COMPUTED_VALUE"""),"EJO/2025/030153")</f>
        <v>EJO/2025/030153</v>
      </c>
      <c r="E98" s="3" t="str">
        <f>IFERROR(__xludf.DUMMYFUNCTION("""COMPUTED_VALUE"""),"Kapasitor FCU view Gallery")</f>
        <v>Kapasitor FCU view Gallery</v>
      </c>
      <c r="F98" s="3" t="str">
        <f>IFERROR(__xludf.DUMMYFUNCTION("""COMPUTED_VALUE"""),"Kapasitor  FCU View Gallery 40+2uF")</f>
        <v>Kapasitor  FCU View Gallery 40+2uF</v>
      </c>
      <c r="G98" s="3" t="str">
        <f>IFERROR(__xludf.DUMMYFUNCTION("""COMPUTED_VALUE"""),"Kapasitor 3PN15960-4 , B33335 40/85/21 40+2uF =/-5% 440 VAC  CBB65A-1 S2 BSH 50/60Hz")</f>
        <v>Kapasitor 3PN15960-4 , B33335 40/85/21 40+2uF =/-5% 440 VAC  CBB65A-1 S2 BSH 50/60Hz</v>
      </c>
      <c r="H98" s="3" t="str">
        <f>IFERROR(__xludf.DUMMYFUNCTION("""COMPUTED_VALUE"""),"Epcos")</f>
        <v>Epcos</v>
      </c>
      <c r="I98" s="3">
        <f>IFERROR(__xludf.DUMMYFUNCTION("""COMPUTED_VALUE"""),4.0)</f>
        <v>4</v>
      </c>
      <c r="J98" s="3" t="str">
        <f>IFERROR(__xludf.DUMMYFUNCTION("""COMPUTED_VALUE"""),"Pcs")</f>
        <v>Pcs</v>
      </c>
      <c r="K98" s="5" t="str">
        <f>IFERROR(__xludf.DUMMYFUNCTION("""COMPUTED_VALUE"""),"https://www.tokopedia.com/sinarabadiaircon/kapacitor-ac-40-2uf?aff_unique_id=&amp;channel=others&amp;chain_key=")</f>
        <v>https://www.tokopedia.com/sinarabadiaircon/kapacitor-ac-40-2uf?aff_unique_id=&amp;channel=others&amp;chain_key=</v>
      </c>
      <c r="L98" s="3" t="str">
        <f>IFERROR(__xludf.DUMMYFUNCTION("""COMPUTED_VALUE"""),"Kapasitor 3PN15960-4 , B33335 40/85/21 40+2uF =/-5% 440 VAC  CBB65A-1 S2 BSH 50/60Hz")</f>
        <v>Kapasitor 3PN15960-4 , B33335 40/85/21 40+2uF =/-5% 440 VAC  CBB65A-1 S2 BSH 50/60Hz</v>
      </c>
      <c r="M98" s="3" t="str">
        <f>IFERROR(__xludf.DUMMYFUNCTION("""COMPUTED_VALUE"""),"Approve")</f>
        <v>Approve</v>
      </c>
      <c r="N98" s="3" t="str">
        <f>IFERROR(__xludf.DUMMYFUNCTION("""COMPUTED_VALUE"""),"Normal")</f>
        <v>Normal</v>
      </c>
      <c r="O98" s="3" t="str">
        <f>IFERROR(__xludf.DUMMYFUNCTION("""COMPUTED_VALUE"""),"Non Urgent")</f>
        <v>Non Urgent</v>
      </c>
      <c r="P98" s="7">
        <f>IFERROR(__xludf.DUMMYFUNCTION("""COMPUTED_VALUE"""),45742.86758071759)</f>
        <v>45742.86758</v>
      </c>
    </row>
    <row r="99">
      <c r="A99" s="4">
        <f>IFERROR(__xludf.DUMMYFUNCTION("""COMPUTED_VALUE"""),45737.75088133102)</f>
        <v>45737.75088</v>
      </c>
      <c r="B99" s="3" t="str">
        <f>IFERROR(__xludf.DUMMYFUNCTION("""COMPUTED_VALUE"""),"MRNBR0009")</f>
        <v>MRNBR0009</v>
      </c>
      <c r="C99" s="3" t="str">
        <f>IFERROR(__xludf.DUMMYFUNCTION("""COMPUTED_VALUE"""),"EJO")</f>
        <v>EJO</v>
      </c>
      <c r="D99" s="3" t="str">
        <f>IFERROR(__xludf.DUMMYFUNCTION("""COMPUTED_VALUE"""),"EJO/2025/02/163")</f>
        <v>EJO/2025/02/163</v>
      </c>
      <c r="E99" s="3" t="str">
        <f>IFERROR(__xludf.DUMMYFUNCTION("""COMPUTED_VALUE"""),"Jet cleaner")</f>
        <v>Jet cleaner</v>
      </c>
      <c r="F99" s="3" t="str">
        <f>IFERROR(__xludf.DUMMYFUNCTION("""COMPUTED_VALUE"""),"Bearing")</f>
        <v>Bearing</v>
      </c>
      <c r="G99" s="3" t="str">
        <f>IFERROR(__xludf.DUMMYFUNCTION("""COMPUTED_VALUE"""),"629-zz")</f>
        <v>629-zz</v>
      </c>
      <c r="H99" s="3" t="str">
        <f>IFERROR(__xludf.DUMMYFUNCTION("""COMPUTED_VALUE"""),"SKF")</f>
        <v>SKF</v>
      </c>
      <c r="I99" s="3">
        <f>IFERROR(__xludf.DUMMYFUNCTION("""COMPUTED_VALUE"""),2.0)</f>
        <v>2</v>
      </c>
      <c r="J99" s="3" t="str">
        <f>IFERROR(__xludf.DUMMYFUNCTION("""COMPUTED_VALUE"""),"pcs")</f>
        <v>pcs</v>
      </c>
      <c r="K99" s="5" t="str">
        <f>IFERROR(__xludf.DUMMYFUNCTION("""COMPUTED_VALUE"""),"https://www.tokopedia.com/danielcahaya28/bearing-629-zz-tutup-besi-merk-skf-asli?aff_unique_id=&amp;channel=others&amp;chain_key=")</f>
        <v>https://www.tokopedia.com/danielcahaya28/bearing-629-zz-tutup-besi-merk-skf-asli?aff_unique_id=&amp;channel=others&amp;chain_key=</v>
      </c>
      <c r="L99" s="3" t="str">
        <f>IFERROR(__xludf.DUMMYFUNCTION("""COMPUTED_VALUE"""),"Untuk jet cleaner")</f>
        <v>Untuk jet cleaner</v>
      </c>
      <c r="M99" s="3" t="str">
        <f>IFERROR(__xludf.DUMMYFUNCTION("""COMPUTED_VALUE"""),"Approve")</f>
        <v>Approve</v>
      </c>
      <c r="N99" s="3" t="str">
        <f>IFERROR(__xludf.DUMMYFUNCTION("""COMPUTED_VALUE"""),"Normal")</f>
        <v>Normal</v>
      </c>
      <c r="O99" s="3" t="str">
        <f>IFERROR(__xludf.DUMMYFUNCTION("""COMPUTED_VALUE"""),"Non Urgent")</f>
        <v>Non Urgent</v>
      </c>
      <c r="P99" s="7">
        <f>IFERROR(__xludf.DUMMYFUNCTION("""COMPUTED_VALUE"""),45742.861811712966)</f>
        <v>45742.86181</v>
      </c>
    </row>
    <row r="100">
      <c r="A100" s="4">
        <f>IFERROR(__xludf.DUMMYFUNCTION("""COMPUTED_VALUE"""),45745.66352459491)</f>
        <v>45745.66352</v>
      </c>
      <c r="B100" s="3" t="str">
        <f>IFERROR(__xludf.DUMMYFUNCTION("""COMPUTED_VALUE"""),"RIABR0027")</f>
        <v>RIABR0027</v>
      </c>
      <c r="C100" s="3" t="str">
        <f>IFERROR(__xludf.DUMMYFUNCTION("""COMPUTED_VALUE"""),"Consumable")</f>
        <v>Consumable</v>
      </c>
      <c r="D100" s="3" t="str">
        <f>IFERROR(__xludf.DUMMYFUNCTION("""COMPUTED_VALUE"""),"-")</f>
        <v>-</v>
      </c>
      <c r="E100" s="3" t="str">
        <f>IFERROR(__xludf.DUMMYFUNCTION("""COMPUTED_VALUE"""),"CC API")</f>
        <v>CC API</v>
      </c>
      <c r="F100" s="3" t="str">
        <f>IFERROR(__xludf.DUMMYFUNCTION("""COMPUTED_VALUE"""),"Relay")</f>
        <v>Relay</v>
      </c>
      <c r="G100" s="3" t="str">
        <f>IFERROR(__xludf.DUMMYFUNCTION("""COMPUTED_VALUE"""),"Omron MKS2P 220VAC + Socket")</f>
        <v>Omron MKS2P 220VAC + Socket</v>
      </c>
      <c r="H100" s="3" t="str">
        <f>IFERROR(__xludf.DUMMYFUNCTION("""COMPUTED_VALUE"""),"Omron")</f>
        <v>Omron</v>
      </c>
      <c r="I100" s="3">
        <f>IFERROR(__xludf.DUMMYFUNCTION("""COMPUTED_VALUE"""),1.0)</f>
        <v>1</v>
      </c>
      <c r="J100" s="3" t="str">
        <f>IFERROR(__xludf.DUMMYFUNCTION("""COMPUTED_VALUE"""),"Set")</f>
        <v>Set</v>
      </c>
      <c r="K100" s="5" t="str">
        <f>IFERROR(__xludf.DUMMYFUNCTION("""COMPUTED_VALUE"""),"https://www.tokopedia.com/hasby-electrik/relay-omron-mks2p-soket-220-24-12-vdc-original-omron-12vdc-socket-b011d?extParam=ivf%3Dfalse%26keyword%3Domron+mks2p%26search_id%3D202503290853445470E0E48AAF541EBK14%26src%3Dsearch")</f>
        <v>https://www.tokopedia.com/hasby-electrik/relay-omron-mks2p-soket-220-24-12-vdc-original-omron-12vdc-socket-b011d?extParam=ivf%3Dfalse%26keyword%3Domron+mks2p%26search_id%3D202503290853445470E0E48AAF541EBK14%26src%3Dsearch</v>
      </c>
      <c r="L100" s="3" t="str">
        <f>IFERROR(__xludf.DUMMYFUNCTION("""COMPUTED_VALUE"""),"Ini pernah beli tapi tak cek di Re Order tidak muncul typenya. Tak buat di baru ya, dan tak buat consumable ya karena no ejo belum ada. ")</f>
        <v>Ini pernah beli tapi tak cek di Re Order tidak muncul typenya. Tak buat di baru ya, dan tak buat consumable ya karena no ejo belum ada. </v>
      </c>
      <c r="M100" s="3" t="str">
        <f>IFERROR(__xludf.DUMMYFUNCTION("""COMPUTED_VALUE"""),"Approve")</f>
        <v>Approve</v>
      </c>
      <c r="N100" s="3" t="str">
        <f>IFERROR(__xludf.DUMMYFUNCTION("""COMPUTED_VALUE"""),"Normal")</f>
        <v>Normal</v>
      </c>
      <c r="O100" s="3" t="str">
        <f>IFERROR(__xludf.DUMMYFUNCTION("""COMPUTED_VALUE"""),"Non Urgent")</f>
        <v>Non Urgent</v>
      </c>
      <c r="P100" s="7">
        <f>IFERROR(__xludf.DUMMYFUNCTION("""COMPUTED_VALUE"""),45755.369693437504)</f>
        <v>45755.36969</v>
      </c>
    </row>
    <row r="101">
      <c r="A101" s="4">
        <f>IFERROR(__xludf.DUMMYFUNCTION("""COMPUTED_VALUE"""),45755.95656618055)</f>
        <v>45755.95657</v>
      </c>
      <c r="B101" s="3" t="str">
        <f>IFERROR(__xludf.DUMMYFUNCTION("""COMPUTED_VALUE"""),"AAABR0002")</f>
        <v>AAABR0002</v>
      </c>
      <c r="C101" s="3" t="str">
        <f>IFERROR(__xludf.DUMMYFUNCTION("""COMPUTED_VALUE"""),"Critical Part")</f>
        <v>Critical Part</v>
      </c>
      <c r="D101" s="3" t="str">
        <f>IFERROR(__xludf.DUMMYFUNCTION("""COMPUTED_VALUE"""),"NA")</f>
        <v>NA</v>
      </c>
      <c r="E101" s="3" t="str">
        <f>IFERROR(__xludf.DUMMYFUNCTION("""COMPUTED_VALUE"""),"HPLC")</f>
        <v>HPLC</v>
      </c>
      <c r="F101" s="3" t="str">
        <f>IFERROR(__xludf.DUMMYFUNCTION("""COMPUTED_VALUE"""),"Filter Flag 2998")</f>
        <v>Filter Flag 2998</v>
      </c>
      <c r="G101" s="3" t="str">
        <f>IFERROR(__xludf.DUMMYFUNCTION("""COMPUTED_VALUE"""),"P/N 700003767 ; 2998 ; Classic")</f>
        <v>P/N 700003767 ; 2998 ; Classic</v>
      </c>
      <c r="H101" s="3" t="str">
        <f>IFERROR(__xludf.DUMMYFUNCTION("""COMPUTED_VALUE"""),"Waters")</f>
        <v>Waters</v>
      </c>
      <c r="I101" s="3">
        <f>IFERROR(__xludf.DUMMYFUNCTION("""COMPUTED_VALUE"""),2.0)</f>
        <v>2</v>
      </c>
      <c r="J101" s="3" t="str">
        <f>IFERROR(__xludf.DUMMYFUNCTION("""COMPUTED_VALUE"""),"Set")</f>
        <v>Set</v>
      </c>
      <c r="K101" s="5" t="str">
        <f>IFERROR(__xludf.DUMMYFUNCTION("""COMPUTED_VALUE"""),"https://drive.google.com/file/d/15wxOfezM1IIjxnSyYC0rywqKfxpYZIrg/view?usp=drive_link")</f>
        <v>https://drive.google.com/file/d/15wxOfezM1IIjxnSyYC0rywqKfxpYZIrg/view?usp=drive_link</v>
      </c>
      <c r="L101" s="3" t="str">
        <f>IFERROR(__xludf.DUMMYFUNCTION("""COMPUTED_VALUE"""),"Needed Date : 08-May-25")</f>
        <v>Needed Date : 08-May-25</v>
      </c>
      <c r="M101" s="3" t="str">
        <f>IFERROR(__xludf.DUMMYFUNCTION("""COMPUTED_VALUE"""),"Approve")</f>
        <v>Approve</v>
      </c>
      <c r="N101" s="3" t="str">
        <f>IFERROR(__xludf.DUMMYFUNCTION("""COMPUTED_VALUE"""),"Normal")</f>
        <v>Normal</v>
      </c>
      <c r="O101" s="3" t="str">
        <f>IFERROR(__xludf.DUMMYFUNCTION("""COMPUTED_VALUE"""),"Non Urgent")</f>
        <v>Non Urgent</v>
      </c>
      <c r="P101" s="7">
        <f>IFERROR(__xludf.DUMMYFUNCTION("""COMPUTED_VALUE"""),45758.39688677083)</f>
        <v>45758.39689</v>
      </c>
    </row>
    <row r="102">
      <c r="A102" s="4">
        <f>IFERROR(__xludf.DUMMYFUNCTION("""COMPUTED_VALUE"""),45756.227532453704)</f>
        <v>45756.22753</v>
      </c>
      <c r="B102" s="3" t="str">
        <f>IFERROR(__xludf.DUMMYFUNCTION("""COMPUTED_VALUE"""),"MFHBR0002")</f>
        <v>MFHBR0002</v>
      </c>
      <c r="C102" s="3" t="str">
        <f>IFERROR(__xludf.DUMMYFUNCTION("""COMPUTED_VALUE"""),"Critical Part")</f>
        <v>Critical Part</v>
      </c>
      <c r="D102" s="3" t="str">
        <f>IFERROR(__xludf.DUMMYFUNCTION("""COMPUTED_VALUE"""),"-")</f>
        <v>-</v>
      </c>
      <c r="E102" s="3" t="str">
        <f>IFERROR(__xludf.DUMMYFUNCTION("""COMPUTED_VALUE"""),"N2 Gen")</f>
        <v>N2 Gen</v>
      </c>
      <c r="F102" s="3" t="str">
        <f>IFERROR(__xludf.DUMMYFUNCTION("""COMPUTED_VALUE"""),"Booster Regulator")</f>
        <v>Booster Regulator</v>
      </c>
      <c r="G102" s="3" t="str">
        <f>IFERROR(__xludf.DUMMYFUNCTION("""COMPUTED_VALUE"""),"BVA40A-04GN")</f>
        <v>BVA40A-04GN</v>
      </c>
      <c r="H102" s="3" t="str">
        <f>IFERROR(__xludf.DUMMYFUNCTION("""COMPUTED_VALUE"""),"SMC")</f>
        <v>SMC</v>
      </c>
      <c r="I102" s="3">
        <f>IFERROR(__xludf.DUMMYFUNCTION("""COMPUTED_VALUE"""),1.0)</f>
        <v>1</v>
      </c>
      <c r="J102" s="3" t="str">
        <f>IFERROR(__xludf.DUMMYFUNCTION("""COMPUTED_VALUE"""),"Unt")</f>
        <v>Unt</v>
      </c>
      <c r="K102" s="3" t="str">
        <f>IFERROR(__xludf.DUMMYFUNCTION("""COMPUTED_VALUE"""),"Email Pak Kris")</f>
        <v>Email Pak Kris</v>
      </c>
      <c r="L102" s="3" t="str">
        <f>IFERROR(__xludf.DUMMYFUNCTION("""COMPUTED_VALUE"""),"-")</f>
        <v>-</v>
      </c>
      <c r="M102" s="3" t="str">
        <f>IFERROR(__xludf.DUMMYFUNCTION("""COMPUTED_VALUE"""),"Approve")</f>
        <v>Approve</v>
      </c>
      <c r="N102" s="3" t="str">
        <f>IFERROR(__xludf.DUMMYFUNCTION("""COMPUTED_VALUE"""),"Normal")</f>
        <v>Normal</v>
      </c>
      <c r="O102" s="3" t="str">
        <f>IFERROR(__xludf.DUMMYFUNCTION("""COMPUTED_VALUE"""),"Non Urgent")</f>
        <v>Non Urgent</v>
      </c>
      <c r="P102" s="7">
        <f>IFERROR(__xludf.DUMMYFUNCTION("""COMPUTED_VALUE"""),45756.244169328704)</f>
        <v>45756.24417</v>
      </c>
    </row>
    <row r="103">
      <c r="A103" s="4">
        <f>IFERROR(__xludf.DUMMYFUNCTION("""COMPUTED_VALUE"""),45756.2289671412)</f>
        <v>45756.22897</v>
      </c>
      <c r="B103" s="3" t="str">
        <f>IFERROR(__xludf.DUMMYFUNCTION("""COMPUTED_VALUE"""),"MFHBR0003")</f>
        <v>MFHBR0003</v>
      </c>
      <c r="C103" s="3" t="str">
        <f>IFERROR(__xludf.DUMMYFUNCTION("""COMPUTED_VALUE"""),"Critical Part")</f>
        <v>Critical Part</v>
      </c>
      <c r="D103" s="3" t="str">
        <f>IFERROR(__xludf.DUMMYFUNCTION("""COMPUTED_VALUE"""),"-")</f>
        <v>-</v>
      </c>
      <c r="E103" s="3" t="str">
        <f>IFERROR(__xludf.DUMMYFUNCTION("""COMPUTED_VALUE"""),"N2 Gen")</f>
        <v>N2 Gen</v>
      </c>
      <c r="F103" s="3" t="str">
        <f>IFERROR(__xludf.DUMMYFUNCTION("""COMPUTED_VALUE"""),"Air Tank")</f>
        <v>Air Tank</v>
      </c>
      <c r="G103" s="3" t="str">
        <f>IFERROR(__xludf.DUMMYFUNCTION("""COMPUTED_VALUE"""),"VBAT38A-RV-Q")</f>
        <v>VBAT38A-RV-Q</v>
      </c>
      <c r="H103" s="3" t="str">
        <f>IFERROR(__xludf.DUMMYFUNCTION("""COMPUTED_VALUE"""),"SMC")</f>
        <v>SMC</v>
      </c>
      <c r="I103" s="3">
        <f>IFERROR(__xludf.DUMMYFUNCTION("""COMPUTED_VALUE"""),1.0)</f>
        <v>1</v>
      </c>
      <c r="J103" s="3" t="str">
        <f>IFERROR(__xludf.DUMMYFUNCTION("""COMPUTED_VALUE"""),"Unt")</f>
        <v>Unt</v>
      </c>
      <c r="K103" s="3" t="str">
        <f>IFERROR(__xludf.DUMMYFUNCTION("""COMPUTED_VALUE"""),"Email Pak Kris")</f>
        <v>Email Pak Kris</v>
      </c>
      <c r="L103" s="3" t="str">
        <f>IFERROR(__xludf.DUMMYFUNCTION("""COMPUTED_VALUE"""),"-")</f>
        <v>-</v>
      </c>
      <c r="M103" s="3" t="str">
        <f>IFERROR(__xludf.DUMMYFUNCTION("""COMPUTED_VALUE"""),"Approve")</f>
        <v>Approve</v>
      </c>
      <c r="N103" s="3" t="str">
        <f>IFERROR(__xludf.DUMMYFUNCTION("""COMPUTED_VALUE"""),"Normal")</f>
        <v>Normal</v>
      </c>
      <c r="O103" s="3" t="str">
        <f>IFERROR(__xludf.DUMMYFUNCTION("""COMPUTED_VALUE"""),"Non Urgent")</f>
        <v>Non Urgent</v>
      </c>
      <c r="P103" s="7">
        <f>IFERROR(__xludf.DUMMYFUNCTION("""COMPUTED_VALUE"""),45756.24427163195)</f>
        <v>45756.24427</v>
      </c>
    </row>
    <row r="104">
      <c r="A104" s="4">
        <f>IFERROR(__xludf.DUMMYFUNCTION("""COMPUTED_VALUE"""),45756.22941479166)</f>
        <v>45756.22941</v>
      </c>
      <c r="B104" s="3" t="str">
        <f>IFERROR(__xludf.DUMMYFUNCTION("""COMPUTED_VALUE"""),"MFHBR0004")</f>
        <v>MFHBR0004</v>
      </c>
      <c r="C104" s="3" t="str">
        <f>IFERROR(__xludf.DUMMYFUNCTION("""COMPUTED_VALUE"""),"Critical Part")</f>
        <v>Critical Part</v>
      </c>
      <c r="D104" s="3" t="str">
        <f>IFERROR(__xludf.DUMMYFUNCTION("""COMPUTED_VALUE"""),"-")</f>
        <v>-</v>
      </c>
      <c r="E104" s="3" t="str">
        <f>IFERROR(__xludf.DUMMYFUNCTION("""COMPUTED_VALUE"""),"N2 Gen")</f>
        <v>N2 Gen</v>
      </c>
      <c r="F104" s="3" t="str">
        <f>IFERROR(__xludf.DUMMYFUNCTION("""COMPUTED_VALUE"""),"Air Filter")</f>
        <v>Air Filter</v>
      </c>
      <c r="G104" s="3" t="str">
        <f>IFERROR(__xludf.DUMMYFUNCTION("""COMPUTED_VALUE"""),"AM40-04BD-D")</f>
        <v>AM40-04BD-D</v>
      </c>
      <c r="H104" s="3" t="str">
        <f>IFERROR(__xludf.DUMMYFUNCTION("""COMPUTED_VALUE"""),"SMC")</f>
        <v>SMC</v>
      </c>
      <c r="I104" s="3">
        <f>IFERROR(__xludf.DUMMYFUNCTION("""COMPUTED_VALUE"""),1.0)</f>
        <v>1</v>
      </c>
      <c r="J104" s="3" t="str">
        <f>IFERROR(__xludf.DUMMYFUNCTION("""COMPUTED_VALUE"""),"Unt")</f>
        <v>Unt</v>
      </c>
      <c r="K104" s="3" t="str">
        <f>IFERROR(__xludf.DUMMYFUNCTION("""COMPUTED_VALUE"""),"Email Pak Kris")</f>
        <v>Email Pak Kris</v>
      </c>
      <c r="L104" s="3" t="str">
        <f>IFERROR(__xludf.DUMMYFUNCTION("""COMPUTED_VALUE"""),"-")</f>
        <v>-</v>
      </c>
      <c r="M104" s="3" t="str">
        <f>IFERROR(__xludf.DUMMYFUNCTION("""COMPUTED_VALUE"""),"Approve")</f>
        <v>Approve</v>
      </c>
      <c r="N104" s="3" t="str">
        <f>IFERROR(__xludf.DUMMYFUNCTION("""COMPUTED_VALUE"""),"Normal")</f>
        <v>Normal</v>
      </c>
      <c r="O104" s="3" t="str">
        <f>IFERROR(__xludf.DUMMYFUNCTION("""COMPUTED_VALUE"""),"Non Urgent")</f>
        <v>Non Urgent</v>
      </c>
      <c r="P104" s="7">
        <f>IFERROR(__xludf.DUMMYFUNCTION("""COMPUTED_VALUE"""),45756.244362129626)</f>
        <v>45756.24436</v>
      </c>
    </row>
    <row r="105">
      <c r="A105" s="4">
        <f>IFERROR(__xludf.DUMMYFUNCTION("""COMPUTED_VALUE"""),45756.233581215274)</f>
        <v>45756.23358</v>
      </c>
      <c r="B105" s="3" t="str">
        <f>IFERROR(__xludf.DUMMYFUNCTION("""COMPUTED_VALUE"""),"MFHBR0005")</f>
        <v>MFHBR0005</v>
      </c>
      <c r="C105" s="3" t="str">
        <f>IFERROR(__xludf.DUMMYFUNCTION("""COMPUTED_VALUE"""),"Critical Part")</f>
        <v>Critical Part</v>
      </c>
      <c r="D105" s="3" t="str">
        <f>IFERROR(__xludf.DUMMYFUNCTION("""COMPUTED_VALUE"""),"-")</f>
        <v>-</v>
      </c>
      <c r="E105" s="3" t="str">
        <f>IFERROR(__xludf.DUMMYFUNCTION("""COMPUTED_VALUE"""),"Mixer SMBS")</f>
        <v>Mixer SMBS</v>
      </c>
      <c r="F105" s="3" t="str">
        <f>IFERROR(__xludf.DUMMYFUNCTION("""COMPUTED_VALUE"""),"Kopling Adapter")</f>
        <v>Kopling Adapter</v>
      </c>
      <c r="G105" s="3" t="str">
        <f>IFERROR(__xludf.DUMMYFUNCTION("""COMPUTED_VALUE"""),"Shaft 30x100mm")</f>
        <v>Shaft 30x100mm</v>
      </c>
      <c r="H105" s="3" t="str">
        <f>IFERROR(__xludf.DUMMYFUNCTION("""COMPUTED_VALUE"""),"Custom")</f>
        <v>Custom</v>
      </c>
      <c r="I105" s="3">
        <f>IFERROR(__xludf.DUMMYFUNCTION("""COMPUTED_VALUE"""),1.0)</f>
        <v>1</v>
      </c>
      <c r="J105" s="3" t="str">
        <f>IFERROR(__xludf.DUMMYFUNCTION("""COMPUTED_VALUE"""),"Pc")</f>
        <v>Pc</v>
      </c>
      <c r="K105" s="3" t="str">
        <f>IFERROR(__xludf.DUMMYFUNCTION("""COMPUTED_VALUE"""),"WA Pak Kris")</f>
        <v>WA Pak Kris</v>
      </c>
      <c r="L105" s="3" t="str">
        <f>IFERROR(__xludf.DUMMYFUNCTION("""COMPUTED_VALUE"""),"P-19777-00")</f>
        <v>P-19777-00</v>
      </c>
      <c r="M105" s="3" t="str">
        <f>IFERROR(__xludf.DUMMYFUNCTION("""COMPUTED_VALUE"""),"Approve")</f>
        <v>Approve</v>
      </c>
      <c r="N105" s="3" t="str">
        <f>IFERROR(__xludf.DUMMYFUNCTION("""COMPUTED_VALUE"""),"Normal")</f>
        <v>Normal</v>
      </c>
      <c r="O105" s="3" t="str">
        <f>IFERROR(__xludf.DUMMYFUNCTION("""COMPUTED_VALUE"""),"Non Urgent")</f>
        <v>Non Urgent</v>
      </c>
      <c r="P105" s="7">
        <f>IFERROR(__xludf.DUMMYFUNCTION("""COMPUTED_VALUE"""),45756.24445508102)</f>
        <v>45756.24446</v>
      </c>
    </row>
    <row r="106">
      <c r="A106" s="4">
        <f>IFERROR(__xludf.DUMMYFUNCTION("""COMPUTED_VALUE"""),45756.62530702546)</f>
        <v>45756.62531</v>
      </c>
      <c r="B106" s="3" t="str">
        <f>IFERROR(__xludf.DUMMYFUNCTION("""COMPUTED_VALUE"""),"NDSBR0009")</f>
        <v>NDSBR0009</v>
      </c>
      <c r="C106" s="3" t="str">
        <f>IFERROR(__xludf.DUMMYFUNCTION("""COMPUTED_VALUE"""),"EJO")</f>
        <v>EJO</v>
      </c>
      <c r="D106" s="3" t="str">
        <f>IFERROR(__xludf.DUMMYFUNCTION("""COMPUTED_VALUE"""),"EJO/2025/04/02")</f>
        <v>EJO/2025/04/02</v>
      </c>
      <c r="E106" s="3" t="str">
        <f>IFERROR(__xludf.DUMMYFUNCTION("""COMPUTED_VALUE"""),"PC Newtronic")</f>
        <v>PC Newtronic</v>
      </c>
      <c r="F106" s="3" t="str">
        <f>IFERROR(__xludf.DUMMYFUNCTION("""COMPUTED_VALUE"""),"Hub Switch")</f>
        <v>Hub Switch</v>
      </c>
      <c r="G106" s="3" t="str">
        <f>IFERROR(__xludf.DUMMYFUNCTION("""COMPUTED_VALUE"""),"Linksys 24 port")</f>
        <v>Linksys 24 port</v>
      </c>
      <c r="H106" s="3" t="str">
        <f>IFERROR(__xludf.DUMMYFUNCTION("""COMPUTED_VALUE"""),"linksys")</f>
        <v>linksys</v>
      </c>
      <c r="I106" s="3">
        <f>IFERROR(__xludf.DUMMYFUNCTION("""COMPUTED_VALUE"""),1.0)</f>
        <v>1</v>
      </c>
      <c r="J106" s="3" t="str">
        <f>IFERROR(__xludf.DUMMYFUNCTION("""COMPUTED_VALUE"""),"Pcs")</f>
        <v>Pcs</v>
      </c>
      <c r="K106" s="5" t="str">
        <f>IFERROR(__xludf.DUMMYFUNCTION("""COMPUTED_VALUE"""),"https://drive.google.com/file/d/1MfEhLKT7TdaZMFerzojf_rYRPGsNRRcd/view?usp=drive_link")</f>
        <v>https://drive.google.com/file/d/1MfEhLKT7TdaZMFerzojf_rYRPGsNRRcd/view?usp=drive_link</v>
      </c>
      <c r="L106" s="3" t="str">
        <f>IFERROR(__xludf.DUMMYFUNCTION("""COMPUTED_VALUE"""),"Sudah ada penawaran di form Penawaran NDS")</f>
        <v>Sudah ada penawaran di form Penawaran NDS</v>
      </c>
      <c r="M106" s="3" t="str">
        <f>IFERROR(__xludf.DUMMYFUNCTION("""COMPUTED_VALUE"""),"Approve")</f>
        <v>Approve</v>
      </c>
      <c r="N106" s="3" t="str">
        <f>IFERROR(__xludf.DUMMYFUNCTION("""COMPUTED_VALUE"""),"Normal")</f>
        <v>Normal</v>
      </c>
      <c r="O106" s="3" t="str">
        <f>IFERROR(__xludf.DUMMYFUNCTION("""COMPUTED_VALUE"""),"Non Urgent")</f>
        <v>Non Urgent</v>
      </c>
      <c r="P106" s="7">
        <f>IFERROR(__xludf.DUMMYFUNCTION("""COMPUTED_VALUE"""),45758.39603800926)</f>
        <v>45758.39604</v>
      </c>
    </row>
    <row r="107">
      <c r="A107" s="4">
        <f>IFERROR(__xludf.DUMMYFUNCTION("""COMPUTED_VALUE"""),45758.646417303244)</f>
        <v>45758.64642</v>
      </c>
      <c r="B107" s="3" t="str">
        <f>IFERROR(__xludf.DUMMYFUNCTION("""COMPUTED_VALUE"""),"INNBR0017")</f>
        <v>INNBR0017</v>
      </c>
      <c r="C107" s="3" t="str">
        <f>IFERROR(__xludf.DUMMYFUNCTION("""COMPUTED_VALUE"""),"EJO")</f>
        <v>EJO</v>
      </c>
      <c r="D107" s="3" t="str">
        <f>IFERROR(__xludf.DUMMYFUNCTION("""COMPUTED_VALUE"""),"EJO/2025/03/123")</f>
        <v>EJO/2025/03/123</v>
      </c>
      <c r="E107" s="3" t="str">
        <f>IFERROR(__xludf.DUMMYFUNCTION("""COMPUTED_VALUE"""),"FD")</f>
        <v>FD</v>
      </c>
      <c r="F107" s="3" t="str">
        <f>IFERROR(__xludf.DUMMYFUNCTION("""COMPUTED_VALUE"""),"SIlica gel warna biru")</f>
        <v>SIlica gel warna biru</v>
      </c>
      <c r="G107" s="3" t="str">
        <f>IFERROR(__xludf.DUMMYFUNCTION("""COMPUTED_VALUE"""),"Sesuai penawaran")</f>
        <v>Sesuai penawaran</v>
      </c>
      <c r="H107" s="3" t="str">
        <f>IFERROR(__xludf.DUMMYFUNCTION("""COMPUTED_VALUE"""),"NA")</f>
        <v>NA</v>
      </c>
      <c r="I107" s="3">
        <f>IFERROR(__xludf.DUMMYFUNCTION("""COMPUTED_VALUE"""),5.0)</f>
        <v>5</v>
      </c>
      <c r="J107" s="3" t="str">
        <f>IFERROR(__xludf.DUMMYFUNCTION("""COMPUTED_VALUE"""),"Kg")</f>
        <v>Kg</v>
      </c>
      <c r="K107" s="5" t="str">
        <f>IFERROR(__xludf.DUMMYFUNCTION("""COMPUTED_VALUE"""),"https://drive.google.com/file/d/1ge0OyNx8rkOPvqels3k1KTNj13FQZEtS/view?usp=drive_link")</f>
        <v>https://drive.google.com/file/d/1ge0OyNx8rkOPvqels3k1KTNj13FQZEtS/view?usp=drive_link</v>
      </c>
      <c r="L107" s="3" t="str">
        <f>IFERROR(__xludf.DUMMYFUNCTION("""COMPUTED_VALUE"""),"Untuk filter FD karena sudah jenuh")</f>
        <v>Untuk filter FD karena sudah jenuh</v>
      </c>
      <c r="M107" s="3" t="str">
        <f>IFERROR(__xludf.DUMMYFUNCTION("""COMPUTED_VALUE"""),"Approve")</f>
        <v>Approve</v>
      </c>
      <c r="N107" s="3" t="str">
        <f>IFERROR(__xludf.DUMMYFUNCTION("""COMPUTED_VALUE"""),"Normal")</f>
        <v>Normal</v>
      </c>
      <c r="O107" s="3" t="str">
        <f>IFERROR(__xludf.DUMMYFUNCTION("""COMPUTED_VALUE"""),"Non Urgent")</f>
        <v>Non Urgent</v>
      </c>
      <c r="P107" s="7">
        <f>IFERROR(__xludf.DUMMYFUNCTION("""COMPUTED_VALUE"""),45759.674540949076)</f>
        <v>45759.67454</v>
      </c>
    </row>
    <row r="108">
      <c r="A108" s="4">
        <f>IFERROR(__xludf.DUMMYFUNCTION("""COMPUTED_VALUE"""),45758.70000528935)</f>
        <v>45758.70001</v>
      </c>
      <c r="B108" s="3" t="str">
        <f>IFERROR(__xludf.DUMMYFUNCTION("""COMPUTED_VALUE"""),"INNBR0018")</f>
        <v>INNBR0018</v>
      </c>
      <c r="C108" s="3" t="str">
        <f>IFERROR(__xludf.DUMMYFUNCTION("""COMPUTED_VALUE"""),"Critical Part")</f>
        <v>Critical Part</v>
      </c>
      <c r="D108" s="3" t="str">
        <f>IFERROR(__xludf.DUMMYFUNCTION("""COMPUTED_VALUE"""),"-")</f>
        <v>-</v>
      </c>
      <c r="E108" s="3" t="str">
        <f>IFERROR(__xludf.DUMMYFUNCTION("""COMPUTED_VALUE"""),"FD")</f>
        <v>FD</v>
      </c>
      <c r="F108" s="3" t="str">
        <f>IFERROR(__xludf.DUMMYFUNCTION("""COMPUTED_VALUE"""),"FV96 EB50-00667 SAUNDERS_1""BW,ER,S/FC,M-VUE_S1 SG025SY0404ERNLRNYN--M2E2010")</f>
        <v>FV96 EB50-00667 SAUNDERS_1"BW,ER,S/FC,M-VUE_S1 SG025SY0404ERNLRNYN--M2E2010</v>
      </c>
      <c r="G108" s="3" t="str">
        <f>IFERROR(__xludf.DUMMYFUNCTION("""COMPUTED_VALUE"""),"Sesuai penawaran")</f>
        <v>Sesuai penawaran</v>
      </c>
      <c r="H108" s="3" t="str">
        <f>IFERROR(__xludf.DUMMYFUNCTION("""COMPUTED_VALUE"""),"Saunder")</f>
        <v>Saunder</v>
      </c>
      <c r="I108" s="3">
        <f>IFERROR(__xludf.DUMMYFUNCTION("""COMPUTED_VALUE"""),3.0)</f>
        <v>3</v>
      </c>
      <c r="J108" s="3" t="str">
        <f>IFERROR(__xludf.DUMMYFUNCTION("""COMPUTED_VALUE"""),"unit")</f>
        <v>unit</v>
      </c>
      <c r="K108" s="5" t="str">
        <f>IFERROR(__xludf.DUMMYFUNCTION("""COMPUTED_VALUE"""),"https://drive.google.com/file/d/1h-xgAxAhBWxdF7CUqP9Kd2QIpSqOxRci/view?usp=sharing")</f>
        <v>https://drive.google.com/file/d/1h-xgAxAhBWxdF7CUqP9Kd2QIpSqOxRci/view?usp=sharing</v>
      </c>
      <c r="L108" s="3" t="str">
        <f>IFERROR(__xludf.DUMMYFUNCTION("""COMPUTED_VALUE"""),"Untuk FD")</f>
        <v>Untuk FD</v>
      </c>
      <c r="M108" s="3" t="str">
        <f>IFERROR(__xludf.DUMMYFUNCTION("""COMPUTED_VALUE"""),"Approve")</f>
        <v>Approve</v>
      </c>
      <c r="N108" s="3" t="str">
        <f>IFERROR(__xludf.DUMMYFUNCTION("""COMPUTED_VALUE"""),"Normal")</f>
        <v>Normal</v>
      </c>
      <c r="O108" s="3" t="str">
        <f>IFERROR(__xludf.DUMMYFUNCTION("""COMPUTED_VALUE"""),"Non Urgent")</f>
        <v>Non Urgent</v>
      </c>
      <c r="P108" s="7">
        <f>IFERROR(__xludf.DUMMYFUNCTION("""COMPUTED_VALUE"""),45767.816168703706)</f>
        <v>45767.81617</v>
      </c>
    </row>
    <row r="109">
      <c r="A109" s="4">
        <f>IFERROR(__xludf.DUMMYFUNCTION("""COMPUTED_VALUE"""),45758.70003252315)</f>
        <v>45758.70003</v>
      </c>
      <c r="B109" s="3" t="str">
        <f>IFERROR(__xludf.DUMMYFUNCTION("""COMPUTED_VALUE"""),"INNBR0019")</f>
        <v>INNBR0019</v>
      </c>
      <c r="C109" s="3" t="str">
        <f>IFERROR(__xludf.DUMMYFUNCTION("""COMPUTED_VALUE"""),"Critical Part")</f>
        <v>Critical Part</v>
      </c>
      <c r="D109" s="3" t="str">
        <f>IFERROR(__xludf.DUMMYFUNCTION("""COMPUTED_VALUE"""),"-")</f>
        <v>-</v>
      </c>
      <c r="E109" s="3" t="str">
        <f>IFERROR(__xludf.DUMMYFUNCTION("""COMPUTED_VALUE"""),"FD")</f>
        <v>FD</v>
      </c>
      <c r="F109" s="3" t="str">
        <f>IFERROR(__xludf.DUMMYFUNCTION("""COMPUTED_VALUE"""),"FV30 EB50-00668 SAUNDERS_1.5""BW,ER,S/FC,M-VUE_S1 SG040SY0606ERNLRNYN--M2E2010")</f>
        <v>FV30 EB50-00668 SAUNDERS_1.5"BW,ER,S/FC,M-VUE_S1 SG040SY0606ERNLRNYN--M2E2010</v>
      </c>
      <c r="G109" s="3" t="str">
        <f>IFERROR(__xludf.DUMMYFUNCTION("""COMPUTED_VALUE"""),"Sesuai penawaran")</f>
        <v>Sesuai penawaran</v>
      </c>
      <c r="H109" s="3" t="str">
        <f>IFERROR(__xludf.DUMMYFUNCTION("""COMPUTED_VALUE"""),"Saunder")</f>
        <v>Saunder</v>
      </c>
      <c r="I109" s="3">
        <f>IFERROR(__xludf.DUMMYFUNCTION("""COMPUTED_VALUE"""),1.0)</f>
        <v>1</v>
      </c>
      <c r="J109" s="3" t="str">
        <f>IFERROR(__xludf.DUMMYFUNCTION("""COMPUTED_VALUE"""),"unit")</f>
        <v>unit</v>
      </c>
      <c r="K109" s="5" t="str">
        <f>IFERROR(__xludf.DUMMYFUNCTION("""COMPUTED_VALUE"""),"https://drive.google.com/file/d/1h-xgAxAhBWxdF7CUqP9Kd2QIpSqOxRci/view?usp=sharing")</f>
        <v>https://drive.google.com/file/d/1h-xgAxAhBWxdF7CUqP9Kd2QIpSqOxRci/view?usp=sharing</v>
      </c>
      <c r="L109" s="3" t="str">
        <f>IFERROR(__xludf.DUMMYFUNCTION("""COMPUTED_VALUE"""),"Untuk FD")</f>
        <v>Untuk FD</v>
      </c>
      <c r="M109" s="3" t="str">
        <f>IFERROR(__xludf.DUMMYFUNCTION("""COMPUTED_VALUE"""),"Approve")</f>
        <v>Approve</v>
      </c>
      <c r="N109" s="3" t="str">
        <f>IFERROR(__xludf.DUMMYFUNCTION("""COMPUTED_VALUE"""),"Normal")</f>
        <v>Normal</v>
      </c>
      <c r="O109" s="3" t="str">
        <f>IFERROR(__xludf.DUMMYFUNCTION("""COMPUTED_VALUE"""),"Non Urgent")</f>
        <v>Non Urgent</v>
      </c>
      <c r="P109" s="7">
        <f>IFERROR(__xludf.DUMMYFUNCTION("""COMPUTED_VALUE"""),45767.816472199076)</f>
        <v>45767.81647</v>
      </c>
    </row>
    <row r="110">
      <c r="A110" s="4">
        <f>IFERROR(__xludf.DUMMYFUNCTION("""COMPUTED_VALUE"""),45758.70003252315)</f>
        <v>45758.70003</v>
      </c>
      <c r="B110" s="3" t="str">
        <f>IFERROR(__xludf.DUMMYFUNCTION("""COMPUTED_VALUE"""),"INNBR0020")</f>
        <v>INNBR0020</v>
      </c>
      <c r="C110" s="3" t="str">
        <f>IFERROR(__xludf.DUMMYFUNCTION("""COMPUTED_VALUE"""),"Critical Part")</f>
        <v>Critical Part</v>
      </c>
      <c r="D110" s="3" t="str">
        <f>IFERROR(__xludf.DUMMYFUNCTION("""COMPUTED_VALUE"""),"-")</f>
        <v>-</v>
      </c>
      <c r="E110" s="3" t="str">
        <f>IFERROR(__xludf.DUMMYFUNCTION("""COMPUTED_VALUE"""),"FD")</f>
        <v>FD</v>
      </c>
      <c r="F110" s="3" t="str">
        <f>IFERROR(__xludf.DUMMYFUNCTION("""COMPUTED_VALUE"""),"FV88 EB50-00678 SAUNDERS_0.5""BW/08,ER,S/FC,M-VUE_S1 SG008SY0202ERNLRNYN--M2E2010")</f>
        <v>FV88 EB50-00678 SAUNDERS_0.5"BW/08,ER,S/FC,M-VUE_S1 SG008SY0202ERNLRNYN--M2E2010</v>
      </c>
      <c r="G110" s="3" t="str">
        <f>IFERROR(__xludf.DUMMYFUNCTION("""COMPUTED_VALUE"""),"Sesuai penawaran")</f>
        <v>Sesuai penawaran</v>
      </c>
      <c r="H110" s="3" t="str">
        <f>IFERROR(__xludf.DUMMYFUNCTION("""COMPUTED_VALUE"""),"Saunder")</f>
        <v>Saunder</v>
      </c>
      <c r="I110" s="3">
        <f>IFERROR(__xludf.DUMMYFUNCTION("""COMPUTED_VALUE"""),1.0)</f>
        <v>1</v>
      </c>
      <c r="J110" s="3" t="str">
        <f>IFERROR(__xludf.DUMMYFUNCTION("""COMPUTED_VALUE"""),"unit")</f>
        <v>unit</v>
      </c>
      <c r="K110" s="5" t="str">
        <f>IFERROR(__xludf.DUMMYFUNCTION("""COMPUTED_VALUE"""),"https://drive.google.com/file/d/1h-xgAxAhBWxdF7CUqP9Kd2QIpSqOxRci/view?usp=sharing")</f>
        <v>https://drive.google.com/file/d/1h-xgAxAhBWxdF7CUqP9Kd2QIpSqOxRci/view?usp=sharing</v>
      </c>
      <c r="L110" s="3" t="str">
        <f>IFERROR(__xludf.DUMMYFUNCTION("""COMPUTED_VALUE"""),"Untuk FD")</f>
        <v>Untuk FD</v>
      </c>
      <c r="M110" s="3" t="str">
        <f>IFERROR(__xludf.DUMMYFUNCTION("""COMPUTED_VALUE"""),"Approve")</f>
        <v>Approve</v>
      </c>
      <c r="N110" s="3" t="str">
        <f>IFERROR(__xludf.DUMMYFUNCTION("""COMPUTED_VALUE"""),"Normal")</f>
        <v>Normal</v>
      </c>
      <c r="O110" s="3" t="str">
        <f>IFERROR(__xludf.DUMMYFUNCTION("""COMPUTED_VALUE"""),"Non Urgent")</f>
        <v>Non Urgent</v>
      </c>
      <c r="P110" s="7">
        <f>IFERROR(__xludf.DUMMYFUNCTION("""COMPUTED_VALUE"""),45767.81667936343)</f>
        <v>45767.81668</v>
      </c>
    </row>
    <row r="111">
      <c r="A111" s="4">
        <f>IFERROR(__xludf.DUMMYFUNCTION("""COMPUTED_VALUE"""),45758.860312916666)</f>
        <v>45758.86031</v>
      </c>
      <c r="B111" s="3" t="str">
        <f>IFERROR(__xludf.DUMMYFUNCTION("""COMPUTED_VALUE"""),"SFHBR0018")</f>
        <v>SFHBR0018</v>
      </c>
      <c r="C111" s="3" t="str">
        <f>IFERROR(__xludf.DUMMYFUNCTION("""COMPUTED_VALUE"""),"EJO")</f>
        <v>EJO</v>
      </c>
      <c r="D111" s="3" t="str">
        <f>IFERROR(__xludf.DUMMYFUNCTION("""COMPUTED_VALUE"""),"EJO/2025/04/20")</f>
        <v>EJO/2025/04/20</v>
      </c>
      <c r="E111" s="3" t="str">
        <f>IFERROR(__xludf.DUMMYFUNCTION("""COMPUTED_VALUE"""),"lantai 2")</f>
        <v>lantai 2</v>
      </c>
      <c r="F111" s="3" t="str">
        <f>IFERROR(__xludf.DUMMYFUNCTION("""COMPUTED_VALUE"""),"tangga portable lipat multifungsi")</f>
        <v>tangga portable lipat multifungsi</v>
      </c>
      <c r="G111" s="3" t="str">
        <f>IFERROR(__xludf.DUMMYFUNCTION("""COMPUTED_VALUE"""),"8 layer merah,220 cm")</f>
        <v>8 layer merah,220 cm</v>
      </c>
      <c r="H111" s="3" t="str">
        <f>IFERROR(__xludf.DUMMYFUNCTION("""COMPUTED_VALUE"""),"reaim")</f>
        <v>reaim</v>
      </c>
      <c r="I111" s="3">
        <f>IFERROR(__xludf.DUMMYFUNCTION("""COMPUTED_VALUE"""),2.0)</f>
        <v>2</v>
      </c>
      <c r="J111" s="3" t="str">
        <f>IFERROR(__xludf.DUMMYFUNCTION("""COMPUTED_VALUE"""),"pcs")</f>
        <v>pcs</v>
      </c>
      <c r="K111" s="5" t="str">
        <f>IFERROR(__xludf.DUMMYFUNCTION("""COMPUTED_VALUE"""),"https://www.tokopedia.com/reaim-indonesia/reaim-tangga-lipat-aluminium-besi-6-8-step-holder-household-ladder-serbaguna-murah-besi-rak-kasar-dan-tahan-lama-untuk-keperluan-rumah-dan-industri-1730232197126588123?utm_source=salinlink&amp;utm_medium=share&amp;utm_cam"&amp;"paign=pdp-uamli9ogqc6y-100023713036--10000")</f>
        <v>https://www.tokopedia.com/reaim-indonesia/reaim-tangga-lipat-aluminium-besi-6-8-step-holder-household-ladder-serbaguna-murah-besi-rak-kasar-dan-tahan-lama-untuk-keperluan-rumah-dan-industri-1730232197126588123?utm_source=salinlink&amp;utm_medium=share&amp;utm_campaign=pdp-uamli9ogqc6y-100023713036--10000</v>
      </c>
      <c r="L111" s="3" t="str">
        <f>IFERROR(__xludf.DUMMYFUNCTION("""COMPUTED_VALUE"""),"-")</f>
        <v>-</v>
      </c>
      <c r="M111" s="3" t="str">
        <f>IFERROR(__xludf.DUMMYFUNCTION("""COMPUTED_VALUE"""),"Approve")</f>
        <v>Approve</v>
      </c>
      <c r="N111" s="3" t="str">
        <f>IFERROR(__xludf.DUMMYFUNCTION("""COMPUTED_VALUE"""),"Normal")</f>
        <v>Normal</v>
      </c>
      <c r="O111" s="3" t="str">
        <f>IFERROR(__xludf.DUMMYFUNCTION("""COMPUTED_VALUE"""),"Non Urgent")</f>
        <v>Non Urgent</v>
      </c>
      <c r="P111" s="7">
        <f>IFERROR(__xludf.DUMMYFUNCTION("""COMPUTED_VALUE"""),45761.60336145833)</f>
        <v>45761.60336</v>
      </c>
    </row>
    <row r="112">
      <c r="A112" s="4">
        <f>IFERROR(__xludf.DUMMYFUNCTION("""COMPUTED_VALUE"""),45761.65786895834)</f>
        <v>45761.65787</v>
      </c>
      <c r="B112" s="3" t="str">
        <f>IFERROR(__xludf.DUMMYFUNCTION("""COMPUTED_VALUE"""),"INNBR0021")</f>
        <v>INNBR0021</v>
      </c>
      <c r="C112" s="3" t="str">
        <f>IFERROR(__xludf.DUMMYFUNCTION("""COMPUTED_VALUE"""),"Consumable")</f>
        <v>Consumable</v>
      </c>
      <c r="D112" s="3" t="str">
        <f>IFERROR(__xludf.DUMMYFUNCTION("""COMPUTED_VALUE"""),"-")</f>
        <v>-</v>
      </c>
      <c r="E112" s="3" t="str">
        <f>IFERROR(__xludf.DUMMYFUNCTION("""COMPUTED_VALUE"""),"Cartoning")</f>
        <v>Cartoning</v>
      </c>
      <c r="F112" s="3" t="str">
        <f>IFERROR(__xludf.DUMMYFUNCTION("""COMPUTED_VALUE"""),"Roller Gripper Cartoning Uk dia. 13x 6x6")</f>
        <v>Roller Gripper Cartoning Uk dia. 13x 6x6</v>
      </c>
      <c r="G112" s="3" t="str">
        <f>IFERROR(__xludf.DUMMYFUNCTION("""COMPUTED_VALUE"""),"Sesuai penawaran")</f>
        <v>Sesuai penawaran</v>
      </c>
      <c r="H112" s="3" t="str">
        <f>IFERROR(__xludf.DUMMYFUNCTION("""COMPUTED_VALUE"""),"Custom Agru")</f>
        <v>Custom Agru</v>
      </c>
      <c r="I112" s="3">
        <f>IFERROR(__xludf.DUMMYFUNCTION("""COMPUTED_VALUE"""),30.0)</f>
        <v>30</v>
      </c>
      <c r="J112" s="3" t="str">
        <f>IFERROR(__xludf.DUMMYFUNCTION("""COMPUTED_VALUE"""),"pcs")</f>
        <v>pcs</v>
      </c>
      <c r="K112" s="5" t="str">
        <f>IFERROR(__xludf.DUMMYFUNCTION("""COMPUTED_VALUE"""),"https://drive.google.com/file/d/1kgbqBlC2uJ08Hd4uLrwk1ZDOLyU-aMya/view?usp=drive_link")</f>
        <v>https://drive.google.com/file/d/1kgbqBlC2uJ08Hd4uLrwk1ZDOLyU-aMya/view?usp=drive_link</v>
      </c>
      <c r="L112" s="3" t="str">
        <f>IFERROR(__xludf.DUMMYFUNCTION("""COMPUTED_VALUE"""),"Untuk roller gripper")</f>
        <v>Untuk roller gripper</v>
      </c>
      <c r="M112" s="3" t="str">
        <f>IFERROR(__xludf.DUMMYFUNCTION("""COMPUTED_VALUE"""),"Approve")</f>
        <v>Approve</v>
      </c>
      <c r="N112" s="3" t="str">
        <f>IFERROR(__xludf.DUMMYFUNCTION("""COMPUTED_VALUE"""),"Normal")</f>
        <v>Normal</v>
      </c>
      <c r="O112" s="3" t="str">
        <f>IFERROR(__xludf.DUMMYFUNCTION("""COMPUTED_VALUE"""),"Non Urgent")</f>
        <v>Non Urgent</v>
      </c>
      <c r="P112" s="7">
        <f>IFERROR(__xludf.DUMMYFUNCTION("""COMPUTED_VALUE"""),45764.33531983796)</f>
        <v>45764.33532</v>
      </c>
    </row>
    <row r="113">
      <c r="A113" s="4">
        <f>IFERROR(__xludf.DUMMYFUNCTION("""COMPUTED_VALUE"""),45761.670253634264)</f>
        <v>45761.67025</v>
      </c>
      <c r="B113" s="3" t="str">
        <f>IFERROR(__xludf.DUMMYFUNCTION("""COMPUTED_VALUE"""),"ROSBR0014")</f>
        <v>ROSBR0014</v>
      </c>
      <c r="C113" s="3" t="str">
        <f>IFERROR(__xludf.DUMMYFUNCTION("""COMPUTED_VALUE"""),"EJO")</f>
        <v>EJO</v>
      </c>
      <c r="D113" s="3" t="str">
        <f>IFERROR(__xludf.DUMMYFUNCTION("""COMPUTED_VALUE"""),"EJO2025/01/159")</f>
        <v>EJO2025/01/159</v>
      </c>
      <c r="E113" s="3" t="str">
        <f>IFERROR(__xludf.DUMMYFUNCTION("""COMPUTED_VALUE"""),"Dispensing OSD")</f>
        <v>Dispensing OSD</v>
      </c>
      <c r="F113" s="3" t="str">
        <f>IFERROR(__xludf.DUMMYFUNCTION("""COMPUTED_VALUE"""),"Tutup Lubang Transfer Isolator OSD Uk Ø110x 45 mm")</f>
        <v>Tutup Lubang Transfer Isolator OSD Uk Ø110x 45 mm</v>
      </c>
      <c r="G113" s="3" t="str">
        <f>IFERROR(__xludf.DUMMYFUNCTION("""COMPUTED_VALUE"""),"-Uk Ø110x 45 mm
-Machining As Mat'l Teflon
-proses bubut
-profil tutup
-handle
-Finising ")</f>
        <v>-Uk Ø110x 45 mm
-Machining As Mat'l Teflon
-proses bubut
-profil tutup
-handle
-Finising </v>
      </c>
      <c r="H113" s="3" t="str">
        <f>IFERROR(__xludf.DUMMYFUNCTION("""COMPUTED_VALUE"""),"General")</f>
        <v>General</v>
      </c>
      <c r="I113" s="3">
        <f>IFERROR(__xludf.DUMMYFUNCTION("""COMPUTED_VALUE"""),1.0)</f>
        <v>1</v>
      </c>
      <c r="J113" s="3" t="str">
        <f>IFERROR(__xludf.DUMMYFUNCTION("""COMPUTED_VALUE"""),"unit")</f>
        <v>unit</v>
      </c>
      <c r="K113" s="5" t="str">
        <f>IFERROR(__xludf.DUMMYFUNCTION("""COMPUTED_VALUE"""),"https://drive.google.com/file/d/172a7DJgYoSW-72fqeCHtdOcBDU0paDra/view?usp=drive_link")</f>
        <v>https://drive.google.com/file/d/172a7DJgYoSW-72fqeCHtdOcBDU0paDra/view?usp=drive_link</v>
      </c>
      <c r="L113" s="5" t="str">
        <f>IFERROR(__xludf.DUMMYFUNCTION("""COMPUTED_VALUE"""),"https://drive.google.com/file/d/1zX71gXWLC2qaHB-gE-N3bKzJQi3egWDw/view?usp=drive_link")</f>
        <v>https://drive.google.com/file/d/1zX71gXWLC2qaHB-gE-N3bKzJQi3egWDw/view?usp=drive_link</v>
      </c>
      <c r="M113" s="3" t="str">
        <f>IFERROR(__xludf.DUMMYFUNCTION("""COMPUTED_VALUE"""),"Approve")</f>
        <v>Approve</v>
      </c>
      <c r="N113" s="3" t="str">
        <f>IFERROR(__xludf.DUMMYFUNCTION("""COMPUTED_VALUE"""),"Normal")</f>
        <v>Normal</v>
      </c>
      <c r="O113" s="3" t="str">
        <f>IFERROR(__xludf.DUMMYFUNCTION("""COMPUTED_VALUE"""),"Non Urgent")</f>
        <v>Non Urgent</v>
      </c>
      <c r="P113" s="7">
        <f>IFERROR(__xludf.DUMMYFUNCTION("""COMPUTED_VALUE"""),45762.57318890047)</f>
        <v>45762.57319</v>
      </c>
    </row>
    <row r="114">
      <c r="A114" s="4">
        <f>IFERROR(__xludf.DUMMYFUNCTION("""COMPUTED_VALUE"""),45762.69746584491)</f>
        <v>45762.69747</v>
      </c>
      <c r="B114" s="3" t="str">
        <f>IFERROR(__xludf.DUMMYFUNCTION("""COMPUTED_VALUE"""),"MOBBR0024")</f>
        <v>MOBBR0024</v>
      </c>
      <c r="C114" s="3" t="str">
        <f>IFERROR(__xludf.DUMMYFUNCTION("""COMPUTED_VALUE"""),"EJO")</f>
        <v>EJO</v>
      </c>
      <c r="D114" s="3" t="str">
        <f>IFERROR(__xludf.DUMMYFUNCTION("""COMPUTED_VALUE"""),"EJO/2024/12/155")</f>
        <v>EJO/2024/12/155</v>
      </c>
      <c r="E114" s="3" t="str">
        <f>IFERROR(__xludf.DUMMYFUNCTION("""COMPUTED_VALUE"""),"AHU B1-2")</f>
        <v>AHU B1-2</v>
      </c>
      <c r="F114" s="3" t="str">
        <f>IFERROR(__xludf.DUMMYFUNCTION("""COMPUTED_VALUE"""),"Valve Hot Water")</f>
        <v>Valve Hot Water</v>
      </c>
      <c r="G114" s="3" t="str">
        <f>IFERROR(__xludf.DUMMYFUNCTION("""COMPUTED_VALUE"""),"VXG44.32-16/C 32MM KV16")</f>
        <v>VXG44.32-16/C 32MM KV16</v>
      </c>
      <c r="H114" s="3" t="str">
        <f>IFERROR(__xludf.DUMMYFUNCTION("""COMPUTED_VALUE"""),"Siemens")</f>
        <v>Siemens</v>
      </c>
      <c r="I114" s="3">
        <f>IFERROR(__xludf.DUMMYFUNCTION("""COMPUTED_VALUE"""),2.0)</f>
        <v>2</v>
      </c>
      <c r="J114" s="3" t="str">
        <f>IFERROR(__xludf.DUMMYFUNCTION("""COMPUTED_VALUE"""),"Pcs")</f>
        <v>Pcs</v>
      </c>
      <c r="K114" s="5" t="str">
        <f>IFERROR(__xludf.DUMMYFUNCTION("""COMPUTED_VALUE"""),"https://www.mkwheatingcontrols.co.uk/siemens-vxg443216c-32mm-kv16-p-2047.html")</f>
        <v>https://www.mkwheatingcontrols.co.uk/siemens-vxg443216c-32mm-kv16-p-2047.html</v>
      </c>
      <c r="L114" s="3" t="str">
        <f>IFERROR(__xludf.DUMMYFUNCTION("""COMPUTED_VALUE"""),"-")</f>
        <v>-</v>
      </c>
      <c r="M114" s="3" t="str">
        <f>IFERROR(__xludf.DUMMYFUNCTION("""COMPUTED_VALUE"""),"Approve")</f>
        <v>Approve</v>
      </c>
      <c r="N114" s="3" t="str">
        <f>IFERROR(__xludf.DUMMYFUNCTION("""COMPUTED_VALUE"""),"Normal")</f>
        <v>Normal</v>
      </c>
      <c r="O114" s="3" t="str">
        <f>IFERROR(__xludf.DUMMYFUNCTION("""COMPUTED_VALUE"""),"Non Urgent")</f>
        <v>Non Urgent</v>
      </c>
      <c r="P114" s="7">
        <f>IFERROR(__xludf.DUMMYFUNCTION("""COMPUTED_VALUE"""),45768.63492677083)</f>
        <v>45768.63493</v>
      </c>
    </row>
    <row r="115">
      <c r="A115" s="4">
        <f>IFERROR(__xludf.DUMMYFUNCTION("""COMPUTED_VALUE"""),45763.64667299769)</f>
        <v>45763.64667</v>
      </c>
      <c r="B115" s="3" t="str">
        <f>IFERROR(__xludf.DUMMYFUNCTION("""COMPUTED_VALUE"""),"RIABR0028")</f>
        <v>RIABR0028</v>
      </c>
      <c r="C115" s="3" t="str">
        <f>IFERROR(__xludf.DUMMYFUNCTION("""COMPUTED_VALUE"""),"EJO")</f>
        <v>EJO</v>
      </c>
      <c r="D115" s="3" t="str">
        <f>IFERROR(__xludf.DUMMYFUNCTION("""COMPUTED_VALUE"""),"EJO/2025/03/150")</f>
        <v>EJO/2025/03/150</v>
      </c>
      <c r="E115" s="3" t="str">
        <f>IFERROR(__xludf.DUMMYFUNCTION("""COMPUTED_VALUE"""),"WWTP")</f>
        <v>WWTP</v>
      </c>
      <c r="F115" s="3" t="str">
        <f>IFERROR(__xludf.DUMMYFUNCTION("""COMPUTED_VALUE"""),"Pilot Lamp")</f>
        <v>Pilot Lamp</v>
      </c>
      <c r="G115" s="3" t="str">
        <f>IFERROR(__xludf.DUMMYFUNCTION("""COMPUTED_VALUE"""),"Pilot Lamp LED 22MM AD22-22DS / AD2222DS Merah, 220 VAC")</f>
        <v>Pilot Lamp LED 22MM AD22-22DS / AD2222DS Merah, 220 VAC</v>
      </c>
      <c r="H115" s="3" t="str">
        <f>IFERROR(__xludf.DUMMYFUNCTION("""COMPUTED_VALUE"""),"Fort")</f>
        <v>Fort</v>
      </c>
      <c r="I115" s="3">
        <f>IFERROR(__xludf.DUMMYFUNCTION("""COMPUTED_VALUE"""),7.0)</f>
        <v>7</v>
      </c>
      <c r="J115" s="3" t="str">
        <f>IFERROR(__xludf.DUMMYFUNCTION("""COMPUTED_VALUE"""),"Pcs")</f>
        <v>Pcs</v>
      </c>
      <c r="K115" s="5" t="str">
        <f>IFERROR(__xludf.DUMMYFUNCTION("""COMPUTED_VALUE"""),"https://www.tokopedia.com/aaelec/pilot-lamp-led-22mm-ad22-22ds-ad2222ds-merah-hijau-kuning-fort?extParam=ivf%3Dfalse%26keyword%3Dpilot+lamp%26search_id%3D20250416082733D76E940B3684A30DBNOS%26src%3Dsearch")</f>
        <v>https://www.tokopedia.com/aaelec/pilot-lamp-led-22mm-ad22-22ds-ad2222ds-merah-hijau-kuning-fort?extParam=ivf%3Dfalse%26keyword%3Dpilot+lamp%26search_id%3D20250416082733D76E940B3684A30DBNOS%26src%3Dsearch</v>
      </c>
      <c r="L115" s="3" t="str">
        <f>IFERROR(__xludf.DUMMYFUNCTION("""COMPUTED_VALUE"""),"Untuk menggantikan pilot lamp wwtp yang rusak")</f>
        <v>Untuk menggantikan pilot lamp wwtp yang rusak</v>
      </c>
      <c r="M115" s="3" t="str">
        <f>IFERROR(__xludf.DUMMYFUNCTION("""COMPUTED_VALUE"""),"Approve")</f>
        <v>Approve</v>
      </c>
      <c r="N115" s="3" t="str">
        <f>IFERROR(__xludf.DUMMYFUNCTION("""COMPUTED_VALUE"""),"Normal")</f>
        <v>Normal</v>
      </c>
      <c r="O115" s="3" t="str">
        <f>IFERROR(__xludf.DUMMYFUNCTION("""COMPUTED_VALUE"""),"Non Urgent")</f>
        <v>Non Urgent</v>
      </c>
      <c r="P115" s="7">
        <f>IFERROR(__xludf.DUMMYFUNCTION("""COMPUTED_VALUE"""),45768.64092104167)</f>
        <v>45768.64092</v>
      </c>
    </row>
    <row r="116">
      <c r="A116" s="4">
        <f>IFERROR(__xludf.DUMMYFUNCTION("""COMPUTED_VALUE"""),45763.67696354167)</f>
        <v>45763.67696</v>
      </c>
      <c r="B116" s="3" t="str">
        <f>IFERROR(__xludf.DUMMYFUNCTION("""COMPUTED_VALUE"""),"RIABR0031")</f>
        <v>RIABR0031</v>
      </c>
      <c r="C116" s="3" t="str">
        <f>IFERROR(__xludf.DUMMYFUNCTION("""COMPUTED_VALUE"""),"EJO")</f>
        <v>EJO</v>
      </c>
      <c r="D116" s="3" t="str">
        <f>IFERROR(__xludf.DUMMYFUNCTION("""COMPUTED_VALUE"""),"EJO/2025/01/15")</f>
        <v>EJO/2025/01/15</v>
      </c>
      <c r="E116" s="3" t="str">
        <f>IFERROR(__xludf.DUMMYFUNCTION("""COMPUTED_VALUE"""),"PSG")</f>
        <v>PSG</v>
      </c>
      <c r="F116" s="3" t="str">
        <f>IFERROR(__xludf.DUMMYFUNCTION("""COMPUTED_VALUE"""),"Strainer")</f>
        <v>Strainer</v>
      </c>
      <c r="G116" s="3" t="str">
        <f>IFERROR(__xludf.DUMMYFUNCTION("""COMPUTED_VALUE"""),"y strainer 1/2"" inch kitz kuningan asli kitz drat class 150")</f>
        <v>y strainer 1/2" inch kitz kuningan asli kitz drat class 150</v>
      </c>
      <c r="H116" s="3" t="str">
        <f>IFERROR(__xludf.DUMMYFUNCTION("""COMPUTED_VALUE"""),"Kitz")</f>
        <v>Kitz</v>
      </c>
      <c r="I116" s="3">
        <f>IFERROR(__xludf.DUMMYFUNCTION("""COMPUTED_VALUE"""),1.0)</f>
        <v>1</v>
      </c>
      <c r="J116" s="3" t="str">
        <f>IFERROR(__xludf.DUMMYFUNCTION("""COMPUTED_VALUE"""),"Pcs")</f>
        <v>Pcs</v>
      </c>
      <c r="K116" s="5" t="str">
        <f>IFERROR(__xludf.DUMMYFUNCTION("""COMPUTED_VALUE"""),"https://www.tokopedia.com/jejakjajanan/y-strainer-1-2-inch-kitz-kuningan-asli-kitz-drat-class-150")</f>
        <v>https://www.tokopedia.com/jejakjajanan/y-strainer-1-2-inch-kitz-kuningan-asli-kitz-drat-class-150</v>
      </c>
      <c r="L116" s="3" t="str">
        <f>IFERROR(__xludf.DUMMYFUNCTION("""COMPUTED_VALUE"""),"Untuk ganti di PSG mainline kondensat")</f>
        <v>Untuk ganti di PSG mainline kondensat</v>
      </c>
      <c r="M116" s="3" t="str">
        <f>IFERROR(__xludf.DUMMYFUNCTION("""COMPUTED_VALUE"""),"Approve")</f>
        <v>Approve</v>
      </c>
      <c r="N116" s="3" t="str">
        <f>IFERROR(__xludf.DUMMYFUNCTION("""COMPUTED_VALUE"""),"Normal")</f>
        <v>Normal</v>
      </c>
      <c r="O116" s="3" t="str">
        <f>IFERROR(__xludf.DUMMYFUNCTION("""COMPUTED_VALUE"""),"Non Urgent")</f>
        <v>Non Urgent</v>
      </c>
      <c r="P116" s="7">
        <f>IFERROR(__xludf.DUMMYFUNCTION("""COMPUTED_VALUE"""),45768.64304427084)</f>
        <v>45768.64304</v>
      </c>
    </row>
    <row r="117">
      <c r="A117" s="4">
        <f>IFERROR(__xludf.DUMMYFUNCTION("""COMPUTED_VALUE"""),45763.69852430555)</f>
        <v>45763.69852</v>
      </c>
      <c r="B117" s="3" t="str">
        <f>IFERROR(__xludf.DUMMYFUNCTION("""COMPUTED_VALUE"""),"ROSBR0015")</f>
        <v>ROSBR0015</v>
      </c>
      <c r="C117" s="3" t="str">
        <f>IFERROR(__xludf.DUMMYFUNCTION("""COMPUTED_VALUE"""),"Consumable")</f>
        <v>Consumable</v>
      </c>
      <c r="D117" s="3" t="str">
        <f>IFERROR(__xludf.DUMMYFUNCTION("""COMPUTED_VALUE"""),"NA")</f>
        <v>NA</v>
      </c>
      <c r="E117" s="3" t="str">
        <f>IFERROR(__xludf.DUMMYFUNCTION("""COMPUTED_VALUE"""),"Coating")</f>
        <v>Coating</v>
      </c>
      <c r="F117" s="3" t="str">
        <f>IFERROR(__xludf.DUMMYFUNCTION("""COMPUTED_VALUE"""),"Oli Gear Box mesin Coating")</f>
        <v>Oli Gear Box mesin Coating</v>
      </c>
      <c r="G117" s="3" t="str">
        <f>IFERROR(__xludf.DUMMYFUNCTION("""COMPUTED_VALUE"""),"Oli Gear box
staroil 
type : 320")</f>
        <v>Oli Gear box
staroil 
type : 320</v>
      </c>
      <c r="H117" s="3" t="str">
        <f>IFERROR(__xludf.DUMMYFUNCTION("""COMPUTED_VALUE"""),"Bachem")</f>
        <v>Bachem</v>
      </c>
      <c r="I117" s="3">
        <f>IFERROR(__xludf.DUMMYFUNCTION("""COMPUTED_VALUE"""),1.0)</f>
        <v>1</v>
      </c>
      <c r="J117" s="3" t="str">
        <f>IFERROR(__xludf.DUMMYFUNCTION("""COMPUTED_VALUE"""),"drum")</f>
        <v>drum</v>
      </c>
      <c r="K117" s="3" t="str">
        <f>IFERROR(__xludf.DUMMYFUNCTION("""COMPUTED_VALUE"""),"NA")</f>
        <v>NA</v>
      </c>
      <c r="L117" s="5" t="str">
        <f>IFERROR(__xludf.DUMMYFUNCTION("""COMPUTED_VALUE"""),"https://drive.google.com/file/d/1pyoXgrmIyQzxMU7kl8iv74J_bwXThuF5/view?usp=drive_link")</f>
        <v>https://drive.google.com/file/d/1pyoXgrmIyQzxMU7kl8iv74J_bwXThuF5/view?usp=drive_link</v>
      </c>
      <c r="M117" s="3" t="str">
        <f>IFERROR(__xludf.DUMMYFUNCTION("""COMPUTED_VALUE"""),"Approve")</f>
        <v>Approve</v>
      </c>
      <c r="N117" s="3" t="str">
        <f>IFERROR(__xludf.DUMMYFUNCTION("""COMPUTED_VALUE"""),"Normal")</f>
        <v>Normal</v>
      </c>
      <c r="O117" s="3" t="str">
        <f>IFERROR(__xludf.DUMMYFUNCTION("""COMPUTED_VALUE"""),"Non Urgent")</f>
        <v>Non Urgent</v>
      </c>
      <c r="P117" s="7">
        <f>IFERROR(__xludf.DUMMYFUNCTION("""COMPUTED_VALUE"""),45767.80936196759)</f>
        <v>45767.80936</v>
      </c>
    </row>
    <row r="118">
      <c r="A118" s="4">
        <f>IFERROR(__xludf.DUMMYFUNCTION("""COMPUTED_VALUE"""),45764.47120278935)</f>
        <v>45764.4712</v>
      </c>
      <c r="B118" s="3" t="str">
        <f>IFERROR(__xludf.DUMMYFUNCTION("""COMPUTED_VALUE"""),"SFHBR0019")</f>
        <v>SFHBR0019</v>
      </c>
      <c r="C118" s="3" t="str">
        <f>IFERROR(__xludf.DUMMYFUNCTION("""COMPUTED_VALUE"""),"Consumable")</f>
        <v>Consumable</v>
      </c>
      <c r="D118" s="3" t="str">
        <f>IFERROR(__xludf.DUMMYFUNCTION("""COMPUTED_VALUE"""),"-")</f>
        <v>-</v>
      </c>
      <c r="E118" s="3" t="str">
        <f>IFERROR(__xludf.DUMMYFUNCTION("""COMPUTED_VALUE"""),"lantai 2")</f>
        <v>lantai 2</v>
      </c>
      <c r="F118" s="3" t="str">
        <f>IFERROR(__xludf.DUMMYFUNCTION("""COMPUTED_VALUE"""),"cat dulux ambiance ")</f>
        <v>cat dulux ambiance </v>
      </c>
      <c r="G118" s="3" t="str">
        <f>IFERROR(__xludf.DUMMYFUNCTION("""COMPUTED_VALUE"""),"BASE T914A, 5247629/314030005")</f>
        <v>BASE T914A, 5247629/314030005</v>
      </c>
      <c r="H118" s="3" t="str">
        <f>IFERROR(__xludf.DUMMYFUNCTION("""COMPUTED_VALUE"""),"DULUX 2")</f>
        <v>DULUX 2</v>
      </c>
      <c r="I118" s="3">
        <f>IFERROR(__xludf.DUMMYFUNCTION("""COMPUTED_VALUE"""),2.0)</f>
        <v>2</v>
      </c>
      <c r="J118" s="3" t="str">
        <f>IFERROR(__xludf.DUMMYFUNCTION("""COMPUTED_VALUE"""),"PEL")</f>
        <v>PEL</v>
      </c>
      <c r="K118" s="3" t="str">
        <f>IFERROR(__xludf.DUMMYFUNCTION("""COMPUTED_VALUE"""),"dulux ambiance BASE T914A")</f>
        <v>dulux ambiance BASE T914A</v>
      </c>
      <c r="L118" s="3" t="str">
        <f>IFERROR(__xludf.DUMMYFUNCTION("""COMPUTED_VALUE"""),"-")</f>
        <v>-</v>
      </c>
      <c r="M118" s="3" t="str">
        <f>IFERROR(__xludf.DUMMYFUNCTION("""COMPUTED_VALUE"""),"Approve")</f>
        <v>Approve</v>
      </c>
      <c r="N118" s="3" t="str">
        <f>IFERROR(__xludf.DUMMYFUNCTION("""COMPUTED_VALUE"""),"Normal")</f>
        <v>Normal</v>
      </c>
      <c r="O118" s="3" t="str">
        <f>IFERROR(__xludf.DUMMYFUNCTION("""COMPUTED_VALUE"""),"Non Urgent")</f>
        <v>Non Urgent</v>
      </c>
      <c r="P118" s="7">
        <f>IFERROR(__xludf.DUMMYFUNCTION("""COMPUTED_VALUE"""),45768.64438978009)</f>
        <v>45768.64439</v>
      </c>
    </row>
    <row r="119">
      <c r="A119" s="4">
        <f>IFERROR(__xludf.DUMMYFUNCTION("""COMPUTED_VALUE"""),45764.480452800926)</f>
        <v>45764.48045</v>
      </c>
      <c r="B119" s="3" t="str">
        <f>IFERROR(__xludf.DUMMYFUNCTION("""COMPUTED_VALUE"""),"SFHBR0020")</f>
        <v>SFHBR0020</v>
      </c>
      <c r="C119" s="3" t="str">
        <f>IFERROR(__xludf.DUMMYFUNCTION("""COMPUTED_VALUE"""),"Consumable")</f>
        <v>Consumable</v>
      </c>
      <c r="D119" s="3" t="str">
        <f>IFERROR(__xludf.DUMMYFUNCTION("""COMPUTED_VALUE"""),"-")</f>
        <v>-</v>
      </c>
      <c r="E119" s="3" t="str">
        <f>IFERROR(__xludf.DUMMYFUNCTION("""COMPUTED_VALUE"""),"lantai 2")</f>
        <v>lantai 2</v>
      </c>
      <c r="F119" s="3" t="str">
        <f>IFERROR(__xludf.DUMMYFUNCTION("""COMPUTED_VALUE"""),"cat ftalit")</f>
        <v>cat ftalit</v>
      </c>
      <c r="G119" s="3" t="str">
        <f>IFERROR(__xludf.DUMMYFUNCTION("""COMPUTED_VALUE"""),"banana yellow 115-444")</f>
        <v>banana yellow 115-444</v>
      </c>
      <c r="H119" s="3" t="str">
        <f>IFERROR(__xludf.DUMMYFUNCTION("""COMPUTED_VALUE"""),"FTALIT")</f>
        <v>FTALIT</v>
      </c>
      <c r="I119" s="3">
        <f>IFERROR(__xludf.DUMMYFUNCTION("""COMPUTED_VALUE"""),2.0)</f>
        <v>2</v>
      </c>
      <c r="J119" s="3" t="str">
        <f>IFERROR(__xludf.DUMMYFUNCTION("""COMPUTED_VALUE"""),"PEL")</f>
        <v>PEL</v>
      </c>
      <c r="K119" s="5" t="str">
        <f>IFERROR(__xludf.DUMMYFUNCTION("""COMPUTED_VALUE"""),"https://www.tokopedia.com/sangseker/ftalit-444-banana-yellow-1kg-cat-kayu-dan-besi-ftalit-115-444-1kg-2c631?utm_source=salinlink&amp;utm_medium=share&amp;utm_campaign=pdp-nutgbjwxlhd2-14175807648-0")</f>
        <v>https://www.tokopedia.com/sangseker/ftalit-444-banana-yellow-1kg-cat-kayu-dan-besi-ftalit-115-444-1kg-2c631?utm_source=salinlink&amp;utm_medium=share&amp;utm_campaign=pdp-nutgbjwxlhd2-14175807648-0</v>
      </c>
      <c r="L119" s="3" t="str">
        <f>IFERROR(__xludf.DUMMYFUNCTION("""COMPUTED_VALUE"""),"-")</f>
        <v>-</v>
      </c>
      <c r="M119" s="3" t="str">
        <f>IFERROR(__xludf.DUMMYFUNCTION("""COMPUTED_VALUE"""),"Approve")</f>
        <v>Approve</v>
      </c>
      <c r="N119" s="3" t="str">
        <f>IFERROR(__xludf.DUMMYFUNCTION("""COMPUTED_VALUE"""),"Normal")</f>
        <v>Normal</v>
      </c>
      <c r="O119" s="3" t="str">
        <f>IFERROR(__xludf.DUMMYFUNCTION("""COMPUTED_VALUE"""),"Non Urgent")</f>
        <v>Non Urgent</v>
      </c>
      <c r="P119" s="7">
        <f>IFERROR(__xludf.DUMMYFUNCTION("""COMPUTED_VALUE"""),45768.644616273144)</f>
        <v>45768.64462</v>
      </c>
    </row>
    <row r="120">
      <c r="A120" s="4">
        <f>IFERROR(__xludf.DUMMYFUNCTION("""COMPUTED_VALUE"""),45764.90774019676)</f>
        <v>45764.90774</v>
      </c>
      <c r="B120" s="3" t="str">
        <f>IFERROR(__xludf.DUMMYFUNCTION("""COMPUTED_VALUE"""),"ANOBR0017")</f>
        <v>ANOBR0017</v>
      </c>
      <c r="C120" s="3" t="str">
        <f>IFERROR(__xludf.DUMMYFUNCTION("""COMPUTED_VALUE"""),"EJO")</f>
        <v>EJO</v>
      </c>
      <c r="D120" s="3" t="str">
        <f>IFERROR(__xludf.DUMMYFUNCTION("""COMPUTED_VALUE"""),"EJO/2025/03/88")</f>
        <v>EJO/2025/03/88</v>
      </c>
      <c r="E120" s="3" t="str">
        <f>IFERROR(__xludf.DUMMYFUNCTION("""COMPUTED_VALUE"""),"BSC")</f>
        <v>BSC</v>
      </c>
      <c r="F120" s="3" t="str">
        <f>IFERROR(__xludf.DUMMYFUNCTION("""COMPUTED_VALUE"""),"shock konektor ")</f>
        <v>shock konektor </v>
      </c>
      <c r="G120" s="3" t="str">
        <f>IFERROR(__xludf.DUMMYFUNCTION("""COMPUTED_VALUE"""),"shock konektor double drat dalam 3/8 x 3/8")</f>
        <v>shock konektor double drat dalam 3/8 x 3/8</v>
      </c>
      <c r="H120" s="3" t="str">
        <f>IFERROR(__xludf.DUMMYFUNCTION("""COMPUTED_VALUE"""),"-")</f>
        <v>-</v>
      </c>
      <c r="I120" s="3">
        <f>IFERROR(__xludf.DUMMYFUNCTION("""COMPUTED_VALUE"""),10.0)</f>
        <v>10</v>
      </c>
      <c r="J120" s="3" t="str">
        <f>IFERROR(__xludf.DUMMYFUNCTION("""COMPUTED_VALUE"""),"pcs")</f>
        <v>pcs</v>
      </c>
      <c r="K120" s="5" t="str">
        <f>IFERROR(__xludf.DUMMYFUNCTION("""COMPUTED_VALUE"""),"https://shopee.co.id/Dobel-Sok-Drat-Dalam-3-8-x-3-8-Kuningan-Sock-Drat-Dalam-Kuningan-3-8-Double-Nepel-Drat-Dalam-i.393420297.19784526044")</f>
        <v>https://shopee.co.id/Dobel-Sok-Drat-Dalam-3-8-x-3-8-Kuningan-Sock-Drat-Dalam-Kuningan-3-8-Double-Nepel-Drat-Dalam-i.393420297.19784526044</v>
      </c>
      <c r="L120" s="3" t="str">
        <f>IFERROR(__xludf.DUMMYFUNCTION("""COMPUTED_VALUE"""),"keperluan perbaiakn spray gun bsc")</f>
        <v>keperluan perbaiakn spray gun bsc</v>
      </c>
      <c r="M120" s="3" t="str">
        <f>IFERROR(__xludf.DUMMYFUNCTION("""COMPUTED_VALUE"""),"Approve")</f>
        <v>Approve</v>
      </c>
      <c r="N120" s="3" t="str">
        <f>IFERROR(__xludf.DUMMYFUNCTION("""COMPUTED_VALUE"""),"Normal")</f>
        <v>Normal</v>
      </c>
      <c r="O120" s="3" t="str">
        <f>IFERROR(__xludf.DUMMYFUNCTION("""COMPUTED_VALUE"""),"Non Urgent")</f>
        <v>Non Urgent</v>
      </c>
      <c r="P120" s="7">
        <f>IFERROR(__xludf.DUMMYFUNCTION("""COMPUTED_VALUE"""),45767.82124428241)</f>
        <v>45767.82124</v>
      </c>
    </row>
    <row r="121">
      <c r="A121" s="4">
        <f>IFERROR(__xludf.DUMMYFUNCTION("""COMPUTED_VALUE"""),45766.413044097215)</f>
        <v>45766.41304</v>
      </c>
      <c r="B121" s="3" t="str">
        <f>IFERROR(__xludf.DUMMYFUNCTION("""COMPUTED_VALUE"""),"RIABR0032")</f>
        <v>RIABR0032</v>
      </c>
      <c r="C121" s="3" t="str">
        <f>IFERROR(__xludf.DUMMYFUNCTION("""COMPUTED_VALUE"""),"Consumable")</f>
        <v>Consumable</v>
      </c>
      <c r="D121" s="3" t="str">
        <f>IFERROR(__xludf.DUMMYFUNCTION("""COMPUTED_VALUE"""),"-")</f>
        <v>-</v>
      </c>
      <c r="E121" s="3" t="str">
        <f>IFERROR(__xludf.DUMMYFUNCTION("""COMPUTED_VALUE"""),"Grinda Bosch")</f>
        <v>Grinda Bosch</v>
      </c>
      <c r="F121" s="3" t="str">
        <f>IFERROR(__xludf.DUMMYFUNCTION("""COMPUTED_VALUE"""),"Carbon Brush")</f>
        <v>Carbon Brush</v>
      </c>
      <c r="G121" s="3" t="str">
        <f>IFERROR(__xludf.DUMMYFUNCTION("""COMPUTED_VALUE"""),"Bosch CB A86 Arang Sepul Bostel Mesin Gerinda GWS 060")</f>
        <v>Bosch CB A86 Arang Sepul Bostel Mesin Gerinda GWS 060</v>
      </c>
      <c r="H121" s="3" t="str">
        <f>IFERROR(__xludf.DUMMYFUNCTION("""COMPUTED_VALUE"""),"Bosch")</f>
        <v>Bosch</v>
      </c>
      <c r="I121" s="3">
        <f>IFERROR(__xludf.DUMMYFUNCTION("""COMPUTED_VALUE"""),2.0)</f>
        <v>2</v>
      </c>
      <c r="J121" s="3" t="str">
        <f>IFERROR(__xludf.DUMMYFUNCTION("""COMPUTED_VALUE"""),"Set")</f>
        <v>Set</v>
      </c>
      <c r="K121" s="5" t="str">
        <f>IFERROR(__xludf.DUMMYFUNCTION("""COMPUTED_VALUE"""),"https://www.tokopedia.com/archive-tokohteknik/bosch-cb-a86-arang-sepul-bostel-mesin-gerinda-gws-060-6100-5100-8100?extParam=ivf%3Dfalse%26keyword%3Darang+bosch+gws+060&amp;src=topads")</f>
        <v>https://www.tokopedia.com/archive-tokohteknik/bosch-cb-a86-arang-sepul-bostel-mesin-gerinda-gws-060-6100-5100-8100?extParam=ivf%3Dfalse%26keyword%3Darang+bosch+gws+060&amp;src=topads</v>
      </c>
      <c r="L121" s="3" t="str">
        <f>IFERROR(__xludf.DUMMYFUNCTION("""COMPUTED_VALUE"""),"Carbon Brush buat grinda yang ada label ENG FIP, beli 2 set buat spare, 1 set 2 pasang")</f>
        <v>Carbon Brush buat grinda yang ada label ENG FIP, beli 2 set buat spare, 1 set 2 pasang</v>
      </c>
      <c r="M121" s="3" t="str">
        <f>IFERROR(__xludf.DUMMYFUNCTION("""COMPUTED_VALUE"""),"Approve")</f>
        <v>Approve</v>
      </c>
      <c r="N121" s="3" t="str">
        <f>IFERROR(__xludf.DUMMYFUNCTION("""COMPUTED_VALUE"""),"Normal")</f>
        <v>Normal</v>
      </c>
      <c r="O121" s="3" t="str">
        <f>IFERROR(__xludf.DUMMYFUNCTION("""COMPUTED_VALUE"""),"Non Urgent")</f>
        <v>Non Urgent</v>
      </c>
      <c r="P121" s="7">
        <f>IFERROR(__xludf.DUMMYFUNCTION("""COMPUTED_VALUE"""),45768.64480206018)</f>
        <v>45768.6448</v>
      </c>
    </row>
    <row r="122">
      <c r="A122" s="4">
        <f>IFERROR(__xludf.DUMMYFUNCTION("""COMPUTED_VALUE"""),45767.48714099538)</f>
        <v>45767.48714</v>
      </c>
      <c r="B122" s="3" t="str">
        <f>IFERROR(__xludf.DUMMYFUNCTION("""COMPUTED_VALUE"""),"INNBR0022")</f>
        <v>INNBR0022</v>
      </c>
      <c r="C122" s="3" t="str">
        <f>IFERROR(__xludf.DUMMYFUNCTION("""COMPUTED_VALUE"""),"Consumable")</f>
        <v>Consumable</v>
      </c>
      <c r="D122" s="3" t="str">
        <f>IFERROR(__xludf.DUMMYFUNCTION("""COMPUTED_VALUE"""),"-")</f>
        <v>-</v>
      </c>
      <c r="E122" s="3" t="str">
        <f>IFERROR(__xludf.DUMMYFUNCTION("""COMPUTED_VALUE"""),"PC PMS")</f>
        <v>PC PMS</v>
      </c>
      <c r="F122" s="3" t="str">
        <f>IFERROR(__xludf.DUMMYFUNCTION("""COMPUTED_VALUE"""),"USB Extender")</f>
        <v>USB Extender</v>
      </c>
      <c r="G122" s="3" t="str">
        <f>IFERROR(__xludf.DUMMYFUNCTION("""COMPUTED_VALUE"""),"Link toped")</f>
        <v>Link toped</v>
      </c>
      <c r="H122" s="3"/>
      <c r="I122" s="3">
        <f>IFERROR(__xludf.DUMMYFUNCTION("""COMPUTED_VALUE"""),2.0)</f>
        <v>2</v>
      </c>
      <c r="J122" s="3" t="str">
        <f>IFERROR(__xludf.DUMMYFUNCTION("""COMPUTED_VALUE"""),"Unit")</f>
        <v>Unit</v>
      </c>
      <c r="K122" s="5" t="str">
        <f>IFERROR(__xludf.DUMMYFUNCTION("""COMPUTED_VALUE"""),"https://www.tokopedia.com/sinshe-tekno/usb-hub-vention-4-port-usb-3-0-2-0-high-speed-power-adapter-otg-chm-2-0-0-5m?utm_campaign=PDP-giuytjx86cja-1207886887-0&amp;utm_source=salinlink&amp;utm_medium=share")</f>
        <v>https://www.tokopedia.com/sinshe-tekno/usb-hub-vention-4-port-usb-3-0-2-0-high-speed-power-adapter-otg-chm-2-0-0-5m?utm_campaign=PDP-giuytjx86cja-1207886887-0&amp;utm_source=salinlink&amp;utm_medium=share</v>
      </c>
      <c r="L122" s="3" t="str">
        <f>IFERROR(__xludf.DUMMYFUNCTION("""COMPUTED_VALUE"""),"Untuk USB PC PMS")</f>
        <v>Untuk USB PC PMS</v>
      </c>
      <c r="M122" s="3" t="str">
        <f>IFERROR(__xludf.DUMMYFUNCTION("""COMPUTED_VALUE"""),"Approve")</f>
        <v>Approve</v>
      </c>
      <c r="N122" s="3" t="str">
        <f>IFERROR(__xludf.DUMMYFUNCTION("""COMPUTED_VALUE"""),"Normal")</f>
        <v>Normal</v>
      </c>
      <c r="O122" s="3" t="str">
        <f>IFERROR(__xludf.DUMMYFUNCTION("""COMPUTED_VALUE"""),"Non Urgent")</f>
        <v>Non Urgent</v>
      </c>
      <c r="P122" s="7">
        <f>IFERROR(__xludf.DUMMYFUNCTION("""COMPUTED_VALUE"""),45767.814616006945)</f>
        <v>45767.81462</v>
      </c>
    </row>
    <row r="123">
      <c r="A123" s="4">
        <f>IFERROR(__xludf.DUMMYFUNCTION("""COMPUTED_VALUE"""),45768.411197951384)</f>
        <v>45768.4112</v>
      </c>
      <c r="B123" s="3" t="str">
        <f>IFERROR(__xludf.DUMMYFUNCTION("""COMPUTED_VALUE"""),"ROSBR0016")</f>
        <v>ROSBR0016</v>
      </c>
      <c r="C123" s="3" t="str">
        <f>IFERROR(__xludf.DUMMYFUNCTION("""COMPUTED_VALUE"""),"EJO")</f>
        <v>EJO</v>
      </c>
      <c r="D123" s="3" t="str">
        <f>IFERROR(__xludf.DUMMYFUNCTION("""COMPUTED_VALUE"""),"EJO/2025/04/77")</f>
        <v>EJO/2025/04/77</v>
      </c>
      <c r="E123" s="3" t="str">
        <f>IFERROR(__xludf.DUMMYFUNCTION("""COMPUTED_VALUE"""),"WIHC ")</f>
        <v>WIHC </v>
      </c>
      <c r="F123" s="3" t="str">
        <f>IFERROR(__xludf.DUMMYFUNCTION("""COMPUTED_VALUE"""),"Drain Pan WIHC ")</f>
        <v>Drain Pan WIHC </v>
      </c>
      <c r="G123" s="3" t="str">
        <f>IFERROR(__xludf.DUMMYFUNCTION("""COMPUTED_VALUE"""),"- Machining Plate Mat'l SUS 304
- Proses Laser Cutting
- Profil Bending Tekuk
- Assembly Welding
- finishing")</f>
        <v>- Machining Plate Mat'l SUS 304
- Proses Laser Cutting
- Profil Bending Tekuk
- Assembly Welding
- finishing</v>
      </c>
      <c r="H123" s="3" t="str">
        <f>IFERROR(__xludf.DUMMYFUNCTION("""COMPUTED_VALUE"""),"General")</f>
        <v>General</v>
      </c>
      <c r="I123" s="3">
        <f>IFERROR(__xludf.DUMMYFUNCTION("""COMPUTED_VALUE"""),2.0)</f>
        <v>2</v>
      </c>
      <c r="J123" s="3" t="str">
        <f>IFERROR(__xludf.DUMMYFUNCTION("""COMPUTED_VALUE"""),"unit")</f>
        <v>unit</v>
      </c>
      <c r="K123" s="5" t="str">
        <f>IFERROR(__xludf.DUMMYFUNCTION("""COMPUTED_VALUE"""),"https://drive.google.com/file/d/1QSZ3V00IWsdOeba0ypcmV6z7L1vX0D6R/view?usp=drive_link")</f>
        <v>https://drive.google.com/file/d/1QSZ3V00IWsdOeba0ypcmV6z7L1vX0D6R/view?usp=drive_link</v>
      </c>
      <c r="L123" s="5" t="str">
        <f>IFERROR(__xludf.DUMMYFUNCTION("""COMPUTED_VALUE"""),"https://drive.google.com/file/d/1QSZ3V00IWsdOeba0ypcmV6z7L1vX0D6R/view?usp=drive_link")</f>
        <v>https://drive.google.com/file/d/1QSZ3V00IWsdOeba0ypcmV6z7L1vX0D6R/view?usp=drive_link</v>
      </c>
      <c r="M123" s="3" t="str">
        <f>IFERROR(__xludf.DUMMYFUNCTION("""COMPUTED_VALUE"""),"Approve")</f>
        <v>Approve</v>
      </c>
      <c r="N123" s="3" t="str">
        <f>IFERROR(__xludf.DUMMYFUNCTION("""COMPUTED_VALUE"""),"Normal")</f>
        <v>Normal</v>
      </c>
      <c r="O123" s="3" t="str">
        <f>IFERROR(__xludf.DUMMYFUNCTION("""COMPUTED_VALUE"""),"Non Urgent")</f>
        <v>Non Urgent</v>
      </c>
      <c r="P123" s="7">
        <f>IFERROR(__xludf.DUMMYFUNCTION("""COMPUTED_VALUE"""),45783.46629136574)</f>
        <v>45783.46629</v>
      </c>
    </row>
    <row r="124">
      <c r="A124" s="4">
        <f>IFERROR(__xludf.DUMMYFUNCTION("""COMPUTED_VALUE"""),45771.34415167825)</f>
        <v>45771.34415</v>
      </c>
      <c r="B124" s="3" t="str">
        <f>IFERROR(__xludf.DUMMYFUNCTION("""COMPUTED_VALUE"""),"INNBR0024")</f>
        <v>INNBR0024</v>
      </c>
      <c r="C124" s="3" t="str">
        <f>IFERROR(__xludf.DUMMYFUNCTION("""COMPUTED_VALUE"""),"Consumable")</f>
        <v>Consumable</v>
      </c>
      <c r="D124" s="3" t="str">
        <f>IFERROR(__xludf.DUMMYFUNCTION("""COMPUTED_VALUE"""),"-")</f>
        <v>-</v>
      </c>
      <c r="E124" s="3" t="str">
        <f>IFERROR(__xludf.DUMMYFUNCTION("""COMPUTED_VALUE"""),"HE Washbay")</f>
        <v>HE Washbay</v>
      </c>
      <c r="F124" s="3" t="str">
        <f>IFERROR(__xludf.DUMMYFUNCTION("""COMPUTED_VALUE"""),"Tubing M6 Blue Festo")</f>
        <v>Tubing M6 Blue Festo</v>
      </c>
      <c r="G124" s="3" t="str">
        <f>IFERROR(__xludf.DUMMYFUNCTION("""COMPUTED_VALUE"""),"Warna biru")</f>
        <v>Warna biru</v>
      </c>
      <c r="H124" s="3" t="str">
        <f>IFERROR(__xludf.DUMMYFUNCTION("""COMPUTED_VALUE"""),"Festo")</f>
        <v>Festo</v>
      </c>
      <c r="I124" s="3">
        <f>IFERROR(__xludf.DUMMYFUNCTION("""COMPUTED_VALUE"""),30.0)</f>
        <v>30</v>
      </c>
      <c r="J124" s="3" t="str">
        <f>IFERROR(__xludf.DUMMYFUNCTION("""COMPUTED_VALUE"""),"meter")</f>
        <v>meter</v>
      </c>
      <c r="K124" s="3" t="str">
        <f>IFERROR(__xludf.DUMMYFUNCTION("""COMPUTED_VALUE"""),"-")</f>
        <v>-</v>
      </c>
      <c r="L124" s="3" t="str">
        <f>IFERROR(__xludf.DUMMYFUNCTION("""COMPUTED_VALUE"""),"HE Washbay")</f>
        <v>HE Washbay</v>
      </c>
      <c r="M124" s="3" t="str">
        <f>IFERROR(__xludf.DUMMYFUNCTION("""COMPUTED_VALUE"""),"Approve")</f>
        <v>Approve</v>
      </c>
      <c r="N124" s="3" t="str">
        <f>IFERROR(__xludf.DUMMYFUNCTION("""COMPUTED_VALUE"""),"Normal")</f>
        <v>Normal</v>
      </c>
      <c r="O124" s="3" t="str">
        <f>IFERROR(__xludf.DUMMYFUNCTION("""COMPUTED_VALUE"""),"Non Urgent")</f>
        <v>Non Urgent</v>
      </c>
      <c r="P124" s="7">
        <f>IFERROR(__xludf.DUMMYFUNCTION("""COMPUTED_VALUE"""),45772.645222245366)</f>
        <v>45772.64522</v>
      </c>
    </row>
    <row r="125">
      <c r="A125" s="4">
        <f>IFERROR(__xludf.DUMMYFUNCTION("""COMPUTED_VALUE"""),45772.73327802083)</f>
        <v>45772.73328</v>
      </c>
      <c r="B125" s="3" t="str">
        <f>IFERROR(__xludf.DUMMYFUNCTION("""COMPUTED_VALUE"""),"NDSBR0011")</f>
        <v>NDSBR0011</v>
      </c>
      <c r="C125" s="3" t="str">
        <f>IFERROR(__xludf.DUMMYFUNCTION("""COMPUTED_VALUE"""),"Consumable")</f>
        <v>Consumable</v>
      </c>
      <c r="D125" s="3" t="str">
        <f>IFERROR(__xludf.DUMMYFUNCTION("""COMPUTED_VALUE"""),"-")</f>
        <v>-</v>
      </c>
      <c r="E125" s="3" t="str">
        <f>IFERROR(__xludf.DUMMYFUNCTION("""COMPUTED_VALUE"""),"Toolbox Hijau")</f>
        <v>Toolbox Hijau</v>
      </c>
      <c r="F125" s="3" t="str">
        <f>IFERROR(__xludf.DUMMYFUNCTION("""COMPUTED_VALUE"""),"Screw Driver ")</f>
        <v>Screw Driver </v>
      </c>
      <c r="G125" s="3" t="str">
        <f>IFERROR(__xludf.DUMMYFUNCTION("""COMPUTED_VALUE"""),"Krisbow 6x100mm")</f>
        <v>Krisbow 6x100mm</v>
      </c>
      <c r="H125" s="3" t="str">
        <f>IFERROR(__xludf.DUMMYFUNCTION("""COMPUTED_VALUE"""),"Krisbow")</f>
        <v>Krisbow</v>
      </c>
      <c r="I125" s="3">
        <f>IFERROR(__xludf.DUMMYFUNCTION("""COMPUTED_VALUE"""),1.0)</f>
        <v>1</v>
      </c>
      <c r="J125" s="3" t="str">
        <f>IFERROR(__xludf.DUMMYFUNCTION("""COMPUTED_VALUE"""),"Pcs")</f>
        <v>Pcs</v>
      </c>
      <c r="K125" s="5" t="str">
        <f>IFERROR(__xludf.DUMMYFUNCTION("""COMPUTED_VALUE"""),"https://www.tokopedia.com/mabateknik/obeng-listrik-electrician-screwdriver-pz-6x100mm-krisbow-kw0100765")</f>
        <v>https://www.tokopedia.com/mabateknik/obeng-listrik-electrician-screwdriver-pz-6x100mm-krisbow-kw0100765</v>
      </c>
      <c r="L125" s="3" t="str">
        <f>IFERROR(__xludf.DUMMYFUNCTION("""COMPUTED_VALUE"""),"Obeng sebelumnya ujung nya sudah rusak")</f>
        <v>Obeng sebelumnya ujung nya sudah rusak</v>
      </c>
      <c r="M125" s="3" t="str">
        <f>IFERROR(__xludf.DUMMYFUNCTION("""COMPUTED_VALUE"""),"Approve")</f>
        <v>Approve</v>
      </c>
      <c r="N125" s="3" t="str">
        <f>IFERROR(__xludf.DUMMYFUNCTION("""COMPUTED_VALUE"""),"Normal")</f>
        <v>Normal</v>
      </c>
      <c r="O125" s="3" t="str">
        <f>IFERROR(__xludf.DUMMYFUNCTION("""COMPUTED_VALUE"""),"Non Urgent")</f>
        <v>Non Urgent</v>
      </c>
      <c r="P125" s="7">
        <f>IFERROR(__xludf.DUMMYFUNCTION("""COMPUTED_VALUE"""),45783.497857696755)</f>
        <v>45783.49786</v>
      </c>
    </row>
    <row r="126">
      <c r="A126" s="4">
        <f>IFERROR(__xludf.DUMMYFUNCTION("""COMPUTED_VALUE"""),45775.51172054398)</f>
        <v>45775.51172</v>
      </c>
      <c r="B126" s="3" t="str">
        <f>IFERROR(__xludf.DUMMYFUNCTION("""COMPUTED_VALUE"""),"RIABR0034")</f>
        <v>RIABR0034</v>
      </c>
      <c r="C126" s="3" t="str">
        <f>IFERROR(__xludf.DUMMYFUNCTION("""COMPUTED_VALUE"""),"EJO")</f>
        <v>EJO</v>
      </c>
      <c r="D126" s="3" t="str">
        <f>IFERROR(__xludf.DUMMYFUNCTION("""COMPUTED_VALUE"""),"EJO/2025/05/01")</f>
        <v>EJO/2025/05/01</v>
      </c>
      <c r="E126" s="3" t="str">
        <f>IFERROR(__xludf.DUMMYFUNCTION("""COMPUTED_VALUE"""),"WWTP")</f>
        <v>WWTP</v>
      </c>
      <c r="F126" s="3" t="str">
        <f>IFERROR(__xludf.DUMMYFUNCTION("""COMPUTED_VALUE"""),"Solenoid Valve")</f>
        <v>Solenoid Valve</v>
      </c>
      <c r="G126" s="3" t="str">
        <f>IFERROR(__xludf.DUMMYFUNCTION("""COMPUTED_VALUE"""),"Solenoid 2/2 way normally open atau NO bahan kuningan bisa dipakai buat angin , oli , air
Port size : 1 inch
Effective area : 25mm
Operating temperature range : -5 - 85°C
2 /2 way Normally Open
Operating pressure : 0 - 9kgf
Voltase ada AC220V")</f>
        <v>Solenoid 2/2 way normally open atau NO bahan kuningan bisa dipakai buat angin , oli , air
Port size : 1 inch
Effective area : 25mm
Operating temperature range : -5 - 85°C
2 /2 way Normally Open
Operating pressure : 0 - 9kgf
Voltase ada AC220V</v>
      </c>
      <c r="H126" s="3" t="str">
        <f>IFERROR(__xludf.DUMMYFUNCTION("""COMPUTED_VALUE"""),"Airodk")</f>
        <v>Airodk</v>
      </c>
      <c r="I126" s="3">
        <f>IFERROR(__xludf.DUMMYFUNCTION("""COMPUTED_VALUE"""),1.0)</f>
        <v>1</v>
      </c>
      <c r="J126" s="3" t="str">
        <f>IFERROR(__xludf.DUMMYFUNCTION("""COMPUTED_VALUE"""),"Pcs")</f>
        <v>Pcs</v>
      </c>
      <c r="K126" s="5" t="str">
        <f>IFERROR(__xludf.DUMMYFUNCTION("""COMPUTED_VALUE"""),"https://www.tokopedia.com/rjpneumatic/solenoid-valve-kuningan-2-2-way-normally-open-no-2k250-25-1-inch?extParam=ivf%3Dfalse%26keyword%3Dsolenoid+valve+1+inch+normally+open%26search_id%3D20250428051047974731B8B0DFF82DASKT%26src%3Dsearch")</f>
        <v>https://www.tokopedia.com/rjpneumatic/solenoid-valve-kuningan-2-2-way-normally-open-no-2k250-25-1-inch?extParam=ivf%3Dfalse%26keyword%3Dsolenoid+valve+1+inch+normally+open%26search_id%3D20250428051047974731B8B0DFF82DASKT%26src%3Dsearch</v>
      </c>
      <c r="L126" s="3" t="str">
        <f>IFERROR(__xludf.DUMMYFUNCTION("""COMPUTED_VALUE"""),"Ini untuk ORP WWTP yang ke CFM, size dratnya 1 inch dan ini normally open ya, Di note NO ya karena yang sebelumnya NC, ganti ke NO ya")</f>
        <v>Ini untuk ORP WWTP yang ke CFM, size dratnya 1 inch dan ini normally open ya, Di note NO ya karena yang sebelumnya NC, ganti ke NO ya</v>
      </c>
      <c r="M126" s="3" t="str">
        <f>IFERROR(__xludf.DUMMYFUNCTION("""COMPUTED_VALUE"""),"Approve")</f>
        <v>Approve</v>
      </c>
      <c r="N126" s="3" t="str">
        <f>IFERROR(__xludf.DUMMYFUNCTION("""COMPUTED_VALUE"""),"Normal")</f>
        <v>Normal</v>
      </c>
      <c r="O126" s="3" t="str">
        <f>IFERROR(__xludf.DUMMYFUNCTION("""COMPUTED_VALUE"""),"Non Urgent")</f>
        <v>Non Urgent</v>
      </c>
      <c r="P126" s="7">
        <f>IFERROR(__xludf.DUMMYFUNCTION("""COMPUTED_VALUE"""),46202.9208541088)</f>
        <v>46202.92085</v>
      </c>
    </row>
    <row r="127">
      <c r="A127" s="4">
        <f>IFERROR(__xludf.DUMMYFUNCTION("""COMPUTED_VALUE"""),45775.81077163194)</f>
        <v>45775.81077</v>
      </c>
      <c r="B127" s="3" t="str">
        <f>IFERROR(__xludf.DUMMYFUNCTION("""COMPUTED_VALUE"""),"INNBR0025")</f>
        <v>INNBR0025</v>
      </c>
      <c r="C127" s="3" t="str">
        <f>IFERROR(__xludf.DUMMYFUNCTION("""COMPUTED_VALUE"""),"Critical Part")</f>
        <v>Critical Part</v>
      </c>
      <c r="D127" s="3" t="str">
        <f>IFERROR(__xludf.DUMMYFUNCTION("""COMPUTED_VALUE"""),"-")</f>
        <v>-</v>
      </c>
      <c r="E127" s="3" t="str">
        <f>IFERROR(__xludf.DUMMYFUNCTION("""COMPUTED_VALUE"""),"Capping")</f>
        <v>Capping</v>
      </c>
      <c r="F127" s="3" t="str">
        <f>IFERROR(__xludf.DUMMYFUNCTION("""COMPUTED_VALUE"""),"Spring Tekan Steel Dia. 2.5mm, OD 15.5mm, Panjang 71.3mm")</f>
        <v>Spring Tekan Steel Dia. 2.5mm, OD 15.5mm, Panjang 71.3mm</v>
      </c>
      <c r="G127" s="3" t="str">
        <f>IFERROR(__xludf.DUMMYFUNCTION("""COMPUTED_VALUE"""),"Sesuai penawaran")</f>
        <v>Sesuai penawaran</v>
      </c>
      <c r="H127" s="3" t="str">
        <f>IFERROR(__xludf.DUMMYFUNCTION("""COMPUTED_VALUE"""),"Custom")</f>
        <v>Custom</v>
      </c>
      <c r="I127" s="3">
        <f>IFERROR(__xludf.DUMMYFUNCTION("""COMPUTED_VALUE"""),10.0)</f>
        <v>10</v>
      </c>
      <c r="J127" s="3" t="str">
        <f>IFERROR(__xludf.DUMMYFUNCTION("""COMPUTED_VALUE"""),"pcs")</f>
        <v>pcs</v>
      </c>
      <c r="K127" s="5" t="str">
        <f>IFERROR(__xludf.DUMMYFUNCTION("""COMPUTED_VALUE"""),"https://drive.google.com/file/d/11iSifyr3VaNC-bhW66h7oKBSKoARNagt/view?usp=drive_link")</f>
        <v>https://drive.google.com/file/d/11iSifyr3VaNC-bhW66h7oKBSKoARNagt/view?usp=drive_link</v>
      </c>
      <c r="L127" s="3" t="str">
        <f>IFERROR(__xludf.DUMMYFUNCTION("""COMPUTED_VALUE"""),"Base plate capping( sudah mulai berkurang panjangnya)")</f>
        <v>Base plate capping( sudah mulai berkurang panjangnya)</v>
      </c>
      <c r="M127" s="3" t="str">
        <f>IFERROR(__xludf.DUMMYFUNCTION("""COMPUTED_VALUE"""),"Approve")</f>
        <v>Approve</v>
      </c>
      <c r="N127" s="3" t="str">
        <f>IFERROR(__xludf.DUMMYFUNCTION("""COMPUTED_VALUE"""),"Normal")</f>
        <v>Normal</v>
      </c>
      <c r="O127" s="3" t="str">
        <f>IFERROR(__xludf.DUMMYFUNCTION("""COMPUTED_VALUE"""),"Non Urgent")</f>
        <v>Non Urgent</v>
      </c>
      <c r="P127" s="7">
        <f>IFERROR(__xludf.DUMMYFUNCTION("""COMPUTED_VALUE"""),45783.44004829861)</f>
        <v>45783.44005</v>
      </c>
    </row>
    <row r="128">
      <c r="A128" s="4">
        <f>IFERROR(__xludf.DUMMYFUNCTION("""COMPUTED_VALUE"""),45776.64317130787)</f>
        <v>45776.64317</v>
      </c>
      <c r="B128" s="3" t="str">
        <f>IFERROR(__xludf.DUMMYFUNCTION("""COMPUTED_VALUE"""),"INNBR0026")</f>
        <v>INNBR0026</v>
      </c>
      <c r="C128" s="3" t="str">
        <f>IFERROR(__xludf.DUMMYFUNCTION("""COMPUTED_VALUE"""),"EJO")</f>
        <v>EJO</v>
      </c>
      <c r="D128" s="3" t="str">
        <f>IFERROR(__xludf.DUMMYFUNCTION("""COMPUTED_VALUE"""),"EJO/2025/04/91")</f>
        <v>EJO/2025/04/91</v>
      </c>
      <c r="E128" s="3" t="str">
        <f>IFERROR(__xludf.DUMMYFUNCTION("""COMPUTED_VALUE"""),"Melting Point")</f>
        <v>Melting Point</v>
      </c>
      <c r="F128" s="3" t="str">
        <f>IFERROR(__xludf.DUMMYFUNCTION("""COMPUTED_VALUE"""),"051974/Membrane keyboard M-565")</f>
        <v>051974/Membrane keyboard M-565</v>
      </c>
      <c r="G128" s="3" t="str">
        <f>IFERROR(__xludf.DUMMYFUNCTION("""COMPUTED_VALUE"""),"Sesuai penawaran")</f>
        <v>Sesuai penawaran</v>
      </c>
      <c r="H128" s="3" t="str">
        <f>IFERROR(__xludf.DUMMYFUNCTION("""COMPUTED_VALUE"""),"Buchi")</f>
        <v>Buchi</v>
      </c>
      <c r="I128" s="3">
        <f>IFERROR(__xludf.DUMMYFUNCTION("""COMPUTED_VALUE"""),1.0)</f>
        <v>1</v>
      </c>
      <c r="J128" s="3" t="str">
        <f>IFERROR(__xludf.DUMMYFUNCTION("""COMPUTED_VALUE"""),"pcs")</f>
        <v>pcs</v>
      </c>
      <c r="K128" s="5" t="str">
        <f>IFERROR(__xludf.DUMMYFUNCTION("""COMPUTED_VALUE"""),"https://drive.google.com/file/d/1aHdQP5TGXIj0ZCcAUYbhgnZ6TqbZRjqb/view?usp=drive_link")</f>
        <v>https://drive.google.com/file/d/1aHdQP5TGXIj0ZCcAUYbhgnZ6TqbZRjqb/view?usp=drive_link</v>
      </c>
      <c r="L128" s="3" t="str">
        <f>IFERROR(__xludf.DUMMYFUNCTION("""COMPUTED_VALUE"""),"Untuk pengganti keypad melting point")</f>
        <v>Untuk pengganti keypad melting point</v>
      </c>
      <c r="M128" s="3" t="str">
        <f>IFERROR(__xludf.DUMMYFUNCTION("""COMPUTED_VALUE"""),"Approve")</f>
        <v>Approve</v>
      </c>
      <c r="N128" s="3" t="str">
        <f>IFERROR(__xludf.DUMMYFUNCTION("""COMPUTED_VALUE"""),"Normal")</f>
        <v>Normal</v>
      </c>
      <c r="O128" s="3" t="str">
        <f>IFERROR(__xludf.DUMMYFUNCTION("""COMPUTED_VALUE"""),"Non Urgent")</f>
        <v>Non Urgent</v>
      </c>
      <c r="P128" s="7">
        <f>IFERROR(__xludf.DUMMYFUNCTION("""COMPUTED_VALUE"""),45783.44339021991)</f>
        <v>45783.44339</v>
      </c>
    </row>
    <row r="129">
      <c r="A129" s="4">
        <f>IFERROR(__xludf.DUMMYFUNCTION("""COMPUTED_VALUE"""),45776.644754270834)</f>
        <v>45776.64475</v>
      </c>
      <c r="B129" s="3" t="str">
        <f>IFERROR(__xludf.DUMMYFUNCTION("""COMPUTED_VALUE"""),"INNBR0027")</f>
        <v>INNBR0027</v>
      </c>
      <c r="C129" s="3" t="str">
        <f>IFERROR(__xludf.DUMMYFUNCTION("""COMPUTED_VALUE"""),"EJO")</f>
        <v>EJO</v>
      </c>
      <c r="D129" s="3" t="str">
        <f>IFERROR(__xludf.DUMMYFUNCTION("""COMPUTED_VALUE"""),"EJO/2025/04/91")</f>
        <v>EJO/2025/04/91</v>
      </c>
      <c r="E129" s="3" t="str">
        <f>IFERROR(__xludf.DUMMYFUNCTION("""COMPUTED_VALUE"""),"Melting Point")</f>
        <v>Melting Point</v>
      </c>
      <c r="F129" s="3" t="str">
        <f>IFERROR(__xludf.DUMMYFUNCTION("""COMPUTED_VALUE"""),"11CSN12331/CARE Repair M-565")</f>
        <v>11CSN12331/CARE Repair M-565</v>
      </c>
      <c r="G129" s="3" t="str">
        <f>IFERROR(__xludf.DUMMYFUNCTION("""COMPUTED_VALUE"""),"Sesuai penawaran")</f>
        <v>Sesuai penawaran</v>
      </c>
      <c r="H129" s="3" t="str">
        <f>IFERROR(__xludf.DUMMYFUNCTION("""COMPUTED_VALUE"""),"Buchi")</f>
        <v>Buchi</v>
      </c>
      <c r="I129" s="3">
        <f>IFERROR(__xludf.DUMMYFUNCTION("""COMPUTED_VALUE"""),1.0)</f>
        <v>1</v>
      </c>
      <c r="J129" s="3" t="str">
        <f>IFERROR(__xludf.DUMMYFUNCTION("""COMPUTED_VALUE"""),"pcs")</f>
        <v>pcs</v>
      </c>
      <c r="K129" s="5" t="str">
        <f>IFERROR(__xludf.DUMMYFUNCTION("""COMPUTED_VALUE"""),"https://drive.google.com/file/d/1aHdQP5TGXIj0ZCcAUYbhgnZ6TqbZRjqb/view?usp=drive_link")</f>
        <v>https://drive.google.com/file/d/1aHdQP5TGXIj0ZCcAUYbhgnZ6TqbZRjqb/view?usp=drive_link</v>
      </c>
      <c r="L129" s="3" t="str">
        <f>IFERROR(__xludf.DUMMYFUNCTION("""COMPUTED_VALUE"""),"Untuk jasa penggantian dll")</f>
        <v>Untuk jasa penggantian dll</v>
      </c>
      <c r="M129" s="3" t="str">
        <f>IFERROR(__xludf.DUMMYFUNCTION("""COMPUTED_VALUE"""),"Approve")</f>
        <v>Approve</v>
      </c>
      <c r="N129" s="3" t="str">
        <f>IFERROR(__xludf.DUMMYFUNCTION("""COMPUTED_VALUE"""),"Normal")</f>
        <v>Normal</v>
      </c>
      <c r="O129" s="3" t="str">
        <f>IFERROR(__xludf.DUMMYFUNCTION("""COMPUTED_VALUE"""),"Non Urgent")</f>
        <v>Non Urgent</v>
      </c>
      <c r="P129" s="7">
        <f>IFERROR(__xludf.DUMMYFUNCTION("""COMPUTED_VALUE"""),45783.44615675926)</f>
        <v>45783.44616</v>
      </c>
    </row>
    <row r="130">
      <c r="A130" s="4">
        <f>IFERROR(__xludf.DUMMYFUNCTION("""COMPUTED_VALUE"""),45776.66439168982)</f>
        <v>45776.66439</v>
      </c>
      <c r="B130" s="3" t="str">
        <f>IFERROR(__xludf.DUMMYFUNCTION("""COMPUTED_VALUE"""),"RIABR0035")</f>
        <v>RIABR0035</v>
      </c>
      <c r="C130" s="3" t="str">
        <f>IFERROR(__xludf.DUMMYFUNCTION("""COMPUTED_VALUE"""),"EJO")</f>
        <v>EJO</v>
      </c>
      <c r="D130" s="3" t="str">
        <f>IFERROR(__xludf.DUMMYFUNCTION("""COMPUTED_VALUE"""),"EJO/2025/05/05")</f>
        <v>EJO/2025/05/05</v>
      </c>
      <c r="E130" s="3" t="str">
        <f>IFERROR(__xludf.DUMMYFUNCTION("""COMPUTED_VALUE"""),"Alarm System")</f>
        <v>Alarm System</v>
      </c>
      <c r="F130" s="3" t="str">
        <f>IFERROR(__xludf.DUMMYFUNCTION("""COMPUTED_VALUE"""),"Socket Relay")</f>
        <v>Socket Relay</v>
      </c>
      <c r="G130" s="3" t="str">
        <f>IFERROR(__xludf.DUMMYFUNCTION("""COMPUTED_VALUE"""),"Socket Relay For Omron MY4")</f>
        <v>Socket Relay For Omron MY4</v>
      </c>
      <c r="H130" s="3" t="str">
        <f>IFERROR(__xludf.DUMMYFUNCTION("""COMPUTED_VALUE"""),"Lokal")</f>
        <v>Lokal</v>
      </c>
      <c r="I130" s="3">
        <f>IFERROR(__xludf.DUMMYFUNCTION("""COMPUTED_VALUE"""),1.0)</f>
        <v>1</v>
      </c>
      <c r="J130" s="3" t="str">
        <f>IFERROR(__xludf.DUMMYFUNCTION("""COMPUTED_VALUE"""),"Pack")</f>
        <v>Pack</v>
      </c>
      <c r="K130" s="5" t="str">
        <f>IFERROR(__xludf.DUMMYFUNCTION("""COMPUTED_VALUE"""),"https://www.tokopedia.com/rekomendasi/485993699")</f>
        <v>https://www.tokopedia.com/rekomendasi/485993699</v>
      </c>
      <c r="L130" s="3" t="str">
        <f>IFERROR(__xludf.DUMMYFUNCTION("""COMPUTED_VALUE"""),"Buat alarm system HC baru stability, BOD 1,3,5, Refrigerator Micro")</f>
        <v>Buat alarm system HC baru stability, BOD 1,3,5, Refrigerator Micro</v>
      </c>
      <c r="M130" s="3" t="str">
        <f>IFERROR(__xludf.DUMMYFUNCTION("""COMPUTED_VALUE"""),"Approve")</f>
        <v>Approve</v>
      </c>
      <c r="N130" s="3" t="str">
        <f>IFERROR(__xludf.DUMMYFUNCTION("""COMPUTED_VALUE"""),"Normal")</f>
        <v>Normal</v>
      </c>
      <c r="O130" s="3" t="str">
        <f>IFERROR(__xludf.DUMMYFUNCTION("""COMPUTED_VALUE"""),"Non Urgent")</f>
        <v>Non Urgent</v>
      </c>
      <c r="P130" s="7">
        <f>IFERROR(__xludf.DUMMYFUNCTION("""COMPUTED_VALUE"""),45783.66992230324)</f>
        <v>45783.66992</v>
      </c>
    </row>
    <row r="131">
      <c r="A131" s="4">
        <f>IFERROR(__xludf.DUMMYFUNCTION("""COMPUTED_VALUE"""),45777.39889085648)</f>
        <v>45777.39889</v>
      </c>
      <c r="B131" s="3" t="str">
        <f>IFERROR(__xludf.DUMMYFUNCTION("""COMPUTED_VALUE"""),"MOBBR0026")</f>
        <v>MOBBR0026</v>
      </c>
      <c r="C131" s="3" t="str">
        <f>IFERROR(__xludf.DUMMYFUNCTION("""COMPUTED_VALUE"""),"Consumable")</f>
        <v>Consumable</v>
      </c>
      <c r="D131" s="3" t="str">
        <f>IFERROR(__xludf.DUMMYFUNCTION("""COMPUTED_VALUE"""),"-")</f>
        <v>-</v>
      </c>
      <c r="E131" s="3" t="str">
        <f>IFERROR(__xludf.DUMMYFUNCTION("""COMPUTED_VALUE"""),"Pintu FGRM")</f>
        <v>Pintu FGRM</v>
      </c>
      <c r="F131" s="3" t="str">
        <f>IFERROR(__xludf.DUMMYFUNCTION("""COMPUTED_VALUE"""),"Bearing ")</f>
        <v>Bearing </v>
      </c>
      <c r="G131" s="3" t="str">
        <f>IFERROR(__xludf.DUMMYFUNCTION("""COMPUTED_VALUE"""),"6203")</f>
        <v>6203</v>
      </c>
      <c r="H131" s="3" t="str">
        <f>IFERROR(__xludf.DUMMYFUNCTION("""COMPUTED_VALUE"""),"Koyo")</f>
        <v>Koyo</v>
      </c>
      <c r="I131" s="3">
        <f>IFERROR(__xludf.DUMMYFUNCTION("""COMPUTED_VALUE"""),10.0)</f>
        <v>10</v>
      </c>
      <c r="J131" s="3" t="str">
        <f>IFERROR(__xludf.DUMMYFUNCTION("""COMPUTED_VALUE"""),"Pcs")</f>
        <v>Pcs</v>
      </c>
      <c r="K131" s="5" t="str">
        <f>IFERROR(__xludf.DUMMYFUNCTION("""COMPUTED_VALUE"""),"https://www.monotaro.id/items/s034534816.html")</f>
        <v>https://www.monotaro.id/items/s034534816.html</v>
      </c>
      <c r="L131" s="3" t="str">
        <f>IFERROR(__xludf.DUMMYFUNCTION("""COMPUTED_VALUE"""),"Untuk Penggantian Pintu FGRM 6 PCS, Urgent sudah oblak berpotensi anjlok")</f>
        <v>Untuk Penggantian Pintu FGRM 6 PCS, Urgent sudah oblak berpotensi anjlok</v>
      </c>
      <c r="M131" s="3" t="str">
        <f>IFERROR(__xludf.DUMMYFUNCTION("""COMPUTED_VALUE"""),"Approve")</f>
        <v>Approve</v>
      </c>
      <c r="N131" s="3" t="str">
        <f>IFERROR(__xludf.DUMMYFUNCTION("""COMPUTED_VALUE"""),"Normal")</f>
        <v>Normal</v>
      </c>
      <c r="O131" s="3" t="str">
        <f>IFERROR(__xludf.DUMMYFUNCTION("""COMPUTED_VALUE"""),"Non Urgent")</f>
        <v>Non Urgent</v>
      </c>
      <c r="P131" s="7">
        <f>IFERROR(__xludf.DUMMYFUNCTION("""COMPUTED_VALUE"""),45783.6687480324)</f>
        <v>45783.66875</v>
      </c>
    </row>
    <row r="132">
      <c r="A132" s="4">
        <f>IFERROR(__xludf.DUMMYFUNCTION("""COMPUTED_VALUE"""),45782.41305237268)</f>
        <v>45782.41305</v>
      </c>
      <c r="B132" s="3" t="str">
        <f>IFERROR(__xludf.DUMMYFUNCTION("""COMPUTED_VALUE"""),"MOBBR0027")</f>
        <v>MOBBR0027</v>
      </c>
      <c r="C132" s="3" t="str">
        <f>IFERROR(__xludf.DUMMYFUNCTION("""COMPUTED_VALUE"""),"Consumable")</f>
        <v>Consumable</v>
      </c>
      <c r="D132" s="3" t="str">
        <f>IFERROR(__xludf.DUMMYFUNCTION("""COMPUTED_VALUE"""),"-")</f>
        <v>-</v>
      </c>
      <c r="E132" s="3" t="str">
        <f>IFERROR(__xludf.DUMMYFUNCTION("""COMPUTED_VALUE"""),"Plumbing")</f>
        <v>Plumbing</v>
      </c>
      <c r="F132" s="3" t="str">
        <f>IFERROR(__xludf.DUMMYFUNCTION("""COMPUTED_VALUE"""),"Pipa PVC AW Abu")</f>
        <v>Pipa PVC AW Abu</v>
      </c>
      <c r="G132" s="3" t="str">
        <f>IFERROR(__xludf.DUMMYFUNCTION("""COMPUTED_VALUE"""),"1 1/4"" PVC ABU2")</f>
        <v>1 1/4" PVC ABU2</v>
      </c>
      <c r="H132" s="3" t="str">
        <f>IFERROR(__xludf.DUMMYFUNCTION("""COMPUTED_VALUE"""),"Rucika")</f>
        <v>Rucika</v>
      </c>
      <c r="I132" s="3">
        <f>IFERROR(__xludf.DUMMYFUNCTION("""COMPUTED_VALUE"""),10.0)</f>
        <v>10</v>
      </c>
      <c r="J132" s="3" t="str">
        <f>IFERROR(__xludf.DUMMYFUNCTION("""COMPUTED_VALUE"""),"Pcs")</f>
        <v>Pcs</v>
      </c>
      <c r="K132" s="5" t="str">
        <f>IFERROR(__xludf.DUMMYFUNCTION("""COMPUTED_VALUE"""),"https://www.tokopedia.com/crystalsupplier/pipa-pvc-rucika-1-1-4-inch-abu-jis-aw-vp-pralon-jis-aw-4-meter?utm_source=google&amp;utm_medium=organic&amp;utm_campaign=pdp")</f>
        <v>https://www.tokopedia.com/crystalsupplier/pipa-pvc-rucika-1-1-4-inch-abu-jis-aw-vp-pralon-jis-aw-4-meter?utm_source=google&amp;utm_medium=organic&amp;utm_campaign=pdp</v>
      </c>
      <c r="L132" s="3" t="str">
        <f>IFERROR(__xludf.DUMMYFUNCTION("""COMPUTED_VALUE"""),"Sering dipakai")</f>
        <v>Sering dipakai</v>
      </c>
      <c r="M132" s="3" t="str">
        <f>IFERROR(__xludf.DUMMYFUNCTION("""COMPUTED_VALUE"""),"Approve")</f>
        <v>Approve</v>
      </c>
      <c r="N132" s="3" t="str">
        <f>IFERROR(__xludf.DUMMYFUNCTION("""COMPUTED_VALUE"""),"Normal")</f>
        <v>Normal</v>
      </c>
      <c r="O132" s="3" t="str">
        <f>IFERROR(__xludf.DUMMYFUNCTION("""COMPUTED_VALUE"""),"Non Urgent")</f>
        <v>Non Urgent</v>
      </c>
      <c r="P132" s="7">
        <f>IFERROR(__xludf.DUMMYFUNCTION("""COMPUTED_VALUE"""),45783.66897273148)</f>
        <v>45783.66897</v>
      </c>
    </row>
    <row r="133">
      <c r="A133" s="4">
        <f>IFERROR(__xludf.DUMMYFUNCTION("""COMPUTED_VALUE"""),45783.449764398145)</f>
        <v>45783.44976</v>
      </c>
      <c r="B133" s="3" t="str">
        <f>IFERROR(__xludf.DUMMYFUNCTION("""COMPUTED_VALUE"""),"NDSBR0012")</f>
        <v>NDSBR0012</v>
      </c>
      <c r="C133" s="3" t="str">
        <f>IFERROR(__xludf.DUMMYFUNCTION("""COMPUTED_VALUE"""),"EJO")</f>
        <v>EJO</v>
      </c>
      <c r="D133" s="3" t="str">
        <f>IFERROR(__xludf.DUMMYFUNCTION("""COMPUTED_VALUE"""),"EJO/2025/03/121")</f>
        <v>EJO/2025/03/121</v>
      </c>
      <c r="E133" s="3" t="str">
        <f>IFERROR(__xludf.DUMMYFUNCTION("""COMPUTED_VALUE"""),"Washing Lance")</f>
        <v>Washing Lance</v>
      </c>
      <c r="F133" s="3" t="str">
        <f>IFERROR(__xludf.DUMMYFUNCTION("""COMPUTED_VALUE"""),"As Washing Lance")</f>
        <v>As Washing Lance</v>
      </c>
      <c r="G133" s="3" t="str">
        <f>IFERROR(__xludf.DUMMYFUNCTION("""COMPUTED_VALUE"""),"bahan Sanitary ")</f>
        <v>bahan Sanitary </v>
      </c>
      <c r="H133" s="3" t="str">
        <f>IFERROR(__xludf.DUMMYFUNCTION("""COMPUTED_VALUE"""),"-")</f>
        <v>-</v>
      </c>
      <c r="I133" s="3">
        <f>IFERROR(__xludf.DUMMYFUNCTION("""COMPUTED_VALUE"""),1.0)</f>
        <v>1</v>
      </c>
      <c r="J133" s="3" t="str">
        <f>IFERROR(__xludf.DUMMYFUNCTION("""COMPUTED_VALUE"""),"PCS")</f>
        <v>PCS</v>
      </c>
      <c r="K133" s="3"/>
      <c r="L133" s="3" t="str">
        <f>IFERROR(__xludf.DUMMYFUNCTION("""COMPUTED_VALUE"""),"-FU KE PAK MUN")</f>
        <v>-FU KE PAK MUN</v>
      </c>
      <c r="M133" s="3" t="str">
        <f>IFERROR(__xludf.DUMMYFUNCTION("""COMPUTED_VALUE"""),"Approve")</f>
        <v>Approve</v>
      </c>
      <c r="N133" s="3" t="str">
        <f>IFERROR(__xludf.DUMMYFUNCTION("""COMPUTED_VALUE"""),"Normal")</f>
        <v>Normal</v>
      </c>
      <c r="O133" s="3" t="str">
        <f>IFERROR(__xludf.DUMMYFUNCTION("""COMPUTED_VALUE"""),"Non Urgent")</f>
        <v>Non Urgent</v>
      </c>
      <c r="P133" s="7">
        <f>IFERROR(__xludf.DUMMYFUNCTION("""COMPUTED_VALUE"""),45783.4984759375)</f>
        <v>45783.49848</v>
      </c>
    </row>
    <row r="134">
      <c r="A134" s="4">
        <f>IFERROR(__xludf.DUMMYFUNCTION("""COMPUTED_VALUE"""),45783.450214930555)</f>
        <v>45783.45021</v>
      </c>
      <c r="B134" s="3" t="str">
        <f>IFERROR(__xludf.DUMMYFUNCTION("""COMPUTED_VALUE"""),"MOBBR0028")</f>
        <v>MOBBR0028</v>
      </c>
      <c r="C134" s="3" t="str">
        <f>IFERROR(__xludf.DUMMYFUNCTION("""COMPUTED_VALUE"""),"Critical Part")</f>
        <v>Critical Part</v>
      </c>
      <c r="D134" s="3" t="str">
        <f>IFERROR(__xludf.DUMMYFUNCTION("""COMPUTED_VALUE"""),"-")</f>
        <v>-</v>
      </c>
      <c r="E134" s="3" t="str">
        <f>IFERROR(__xludf.DUMMYFUNCTION("""COMPUTED_VALUE"""),"AHU")</f>
        <v>AHU</v>
      </c>
      <c r="F134" s="3" t="str">
        <f>IFERROR(__xludf.DUMMYFUNCTION("""COMPUTED_VALUE"""),"Bushing VAV AHU")</f>
        <v>Bushing VAV AHU</v>
      </c>
      <c r="G134" s="3" t="str">
        <f>IFERROR(__xludf.DUMMYFUNCTION("""COMPUTED_VALUE"""),"Bushing VAV Uk Ø 24x 26")</f>
        <v>Bushing VAV Uk Ø 24x 26</v>
      </c>
      <c r="H134" s="3" t="str">
        <f>IFERROR(__xludf.DUMMYFUNCTION("""COMPUTED_VALUE"""),"Agru Farma Tecnology")</f>
        <v>Agru Farma Tecnology</v>
      </c>
      <c r="I134" s="3">
        <f>IFERROR(__xludf.DUMMYFUNCTION("""COMPUTED_VALUE"""),5.0)</f>
        <v>5</v>
      </c>
      <c r="J134" s="3" t="str">
        <f>IFERROR(__xludf.DUMMYFUNCTION("""COMPUTED_VALUE"""),"Pcs")</f>
        <v>Pcs</v>
      </c>
      <c r="K134" s="5" t="str">
        <f>IFERROR(__xludf.DUMMYFUNCTION("""COMPUTED_VALUE"""),"https://drive.google.com/file/d/1SYjvfNOWAPg_xcL3NzgIVMbv0htMKo6x/view?usp=sharing")</f>
        <v>https://drive.google.com/file/d/1SYjvfNOWAPg_xcL3NzgIVMbv0htMKo6x/view?usp=sharing</v>
      </c>
      <c r="L134" s="3" t="str">
        <f>IFERROR(__xludf.DUMMYFUNCTION("""COMPUTED_VALUE"""),"Re Order B1-2")</f>
        <v>Re Order B1-2</v>
      </c>
      <c r="M134" s="3" t="str">
        <f>IFERROR(__xludf.DUMMYFUNCTION("""COMPUTED_VALUE"""),"Approve")</f>
        <v>Approve</v>
      </c>
      <c r="N134" s="3" t="str">
        <f>IFERROR(__xludf.DUMMYFUNCTION("""COMPUTED_VALUE"""),"Normal")</f>
        <v>Normal</v>
      </c>
      <c r="O134" s="3" t="str">
        <f>IFERROR(__xludf.DUMMYFUNCTION("""COMPUTED_VALUE"""),"Non Urgent")</f>
        <v>Non Urgent</v>
      </c>
      <c r="P134" s="7">
        <f>IFERROR(__xludf.DUMMYFUNCTION("""COMPUTED_VALUE"""),45811.77692429398)</f>
        <v>45811.77692</v>
      </c>
    </row>
    <row r="135">
      <c r="A135" s="4">
        <f>IFERROR(__xludf.DUMMYFUNCTION("""COMPUTED_VALUE"""),45783.69197359953)</f>
        <v>45783.69197</v>
      </c>
      <c r="B135" s="3" t="str">
        <f>IFERROR(__xludf.DUMMYFUNCTION("""COMPUTED_VALUE"""),"ROSBR0017")</f>
        <v>ROSBR0017</v>
      </c>
      <c r="C135" s="3" t="str">
        <f>IFERROR(__xludf.DUMMYFUNCTION("""COMPUTED_VALUE"""),"EJO")</f>
        <v>EJO</v>
      </c>
      <c r="D135" s="3" t="str">
        <f>IFERROR(__xludf.DUMMYFUNCTION("""COMPUTED_VALUE"""),"EJO/2025/05/61")</f>
        <v>EJO/2025/05/61</v>
      </c>
      <c r="E135" s="3" t="str">
        <f>IFERROR(__xludf.DUMMYFUNCTION("""COMPUTED_VALUE"""),"EDM")</f>
        <v>EDM</v>
      </c>
      <c r="F135" s="3" t="str">
        <f>IFERROR(__xludf.DUMMYFUNCTION("""COMPUTED_VALUE"""),"Exhaust Fan EDM")</f>
        <v>Exhaust Fan EDM</v>
      </c>
      <c r="G135" s="3" t="str">
        <f>IFERROR(__xludf.DUMMYFUNCTION("""COMPUTED_VALUE"""),"Ebmpast 
type 4414M
24v-DC 225mA 5,4W
18-24Dc
Ukuran 
P 12cm
L 12cm
T 3,8cm")</f>
        <v>Ebmpast 
type 4414M
24v-DC 225mA 5,4W
18-24Dc
Ukuran 
P 12cm
L 12cm
T 3,8cm</v>
      </c>
      <c r="H135" s="3" t="str">
        <f>IFERROR(__xludf.DUMMYFUNCTION("""COMPUTED_VALUE"""),"Ebmpast")</f>
        <v>Ebmpast</v>
      </c>
      <c r="I135" s="3">
        <f>IFERROR(__xludf.DUMMYFUNCTION("""COMPUTED_VALUE"""),1.0)</f>
        <v>1</v>
      </c>
      <c r="J135" s="3" t="str">
        <f>IFERROR(__xludf.DUMMYFUNCTION("""COMPUTED_VALUE"""),"unit")</f>
        <v>unit</v>
      </c>
      <c r="K135" s="3" t="str">
        <f>IFERROR(__xludf.DUMMYFUNCTION("""COMPUTED_VALUE"""),"-")</f>
        <v>-</v>
      </c>
      <c r="L135" s="5" t="str">
        <f>IFERROR(__xludf.DUMMYFUNCTION("""COMPUTED_VALUE"""),"https://drive.google.com/drive/folders/1LjcBip1EcXqyARhwgKyaLyPiPVevLoEt?usp=drive_link")</f>
        <v>https://drive.google.com/drive/folders/1LjcBip1EcXqyARhwgKyaLyPiPVevLoEt?usp=drive_link</v>
      </c>
      <c r="M135" s="3" t="str">
        <f>IFERROR(__xludf.DUMMYFUNCTION("""COMPUTED_VALUE"""),"Approve")</f>
        <v>Approve</v>
      </c>
      <c r="N135" s="3" t="str">
        <f>IFERROR(__xludf.DUMMYFUNCTION("""COMPUTED_VALUE"""),"Normal")</f>
        <v>Normal</v>
      </c>
      <c r="O135" s="3" t="str">
        <f>IFERROR(__xludf.DUMMYFUNCTION("""COMPUTED_VALUE"""),"Non Urgent")</f>
        <v>Non Urgent</v>
      </c>
      <c r="P135" s="7">
        <f>IFERROR(__xludf.DUMMYFUNCTION("""COMPUTED_VALUE"""),45790.49407353009)</f>
        <v>45790.49407</v>
      </c>
    </row>
    <row r="136">
      <c r="A136" s="4">
        <f>IFERROR(__xludf.DUMMYFUNCTION("""COMPUTED_VALUE"""),45783.82176195602)</f>
        <v>45783.82176</v>
      </c>
      <c r="B136" s="3" t="str">
        <f>IFERROR(__xludf.DUMMYFUNCTION("""COMPUTED_VALUE"""),"RIABR0036")</f>
        <v>RIABR0036</v>
      </c>
      <c r="C136" s="3" t="str">
        <f>IFERROR(__xludf.DUMMYFUNCTION("""COMPUTED_VALUE"""),"Consumable")</f>
        <v>Consumable</v>
      </c>
      <c r="D136" s="3" t="str">
        <f>IFERROR(__xludf.DUMMYFUNCTION("""COMPUTED_VALUE"""),"-")</f>
        <v>-</v>
      </c>
      <c r="E136" s="3" t="str">
        <f>IFERROR(__xludf.DUMMYFUNCTION("""COMPUTED_VALUE"""),"PWG")</f>
        <v>PWG</v>
      </c>
      <c r="F136" s="3" t="str">
        <f>IFERROR(__xludf.DUMMYFUNCTION("""COMPUTED_VALUE"""),"Chlorine Test")</f>
        <v>Chlorine Test</v>
      </c>
      <c r="G136" s="3" t="str">
        <f>IFERROR(__xludf.DUMMYFUNCTION("""COMPUTED_VALUE"""),"Chlorine Test Kit Merck 1.14978.0001 600 test")</f>
        <v>Chlorine Test Kit Merck 1.14978.0001 600 test</v>
      </c>
      <c r="H136" s="3" t="str">
        <f>IFERROR(__xludf.DUMMYFUNCTION("""COMPUTED_VALUE"""),"Supelco")</f>
        <v>Supelco</v>
      </c>
      <c r="I136" s="3">
        <f>IFERROR(__xludf.DUMMYFUNCTION("""COMPUTED_VALUE"""),1.0)</f>
        <v>1</v>
      </c>
      <c r="J136" s="3" t="str">
        <f>IFERROR(__xludf.DUMMYFUNCTION("""COMPUTED_VALUE"""),"Set")</f>
        <v>Set</v>
      </c>
      <c r="K136" s="5" t="str">
        <f>IFERROR(__xludf.DUMMYFUNCTION("""COMPUTED_VALUE"""),"https://www.tokopedia.com/verticalglobal/chlorine-test-kit-merck-1-14978-0001-600-test")</f>
        <v>https://www.tokopedia.com/verticalglobal/chlorine-test-kit-merck-1-14978-0001-600-test</v>
      </c>
      <c r="L136" s="3" t="str">
        <f>IFERROR(__xludf.DUMMYFUNCTION("""COMPUTED_VALUE"""),"Ini buat cek klorin, saya samakan merk dan type seperti punya CFM")</f>
        <v>Ini buat cek klorin, saya samakan merk dan type seperti punya CFM</v>
      </c>
      <c r="M136" s="3" t="str">
        <f>IFERROR(__xludf.DUMMYFUNCTION("""COMPUTED_VALUE"""),"Approve")</f>
        <v>Approve</v>
      </c>
      <c r="N136" s="3" t="str">
        <f>IFERROR(__xludf.DUMMYFUNCTION("""COMPUTED_VALUE"""),"Normal")</f>
        <v>Normal</v>
      </c>
      <c r="O136" s="3" t="str">
        <f>IFERROR(__xludf.DUMMYFUNCTION("""COMPUTED_VALUE"""),"Non Urgent")</f>
        <v>Non Urgent</v>
      </c>
      <c r="P136" s="7">
        <f>IFERROR(__xludf.DUMMYFUNCTION("""COMPUTED_VALUE"""),45790.42971976852)</f>
        <v>45790.42972</v>
      </c>
    </row>
    <row r="137">
      <c r="A137" s="4">
        <f>IFERROR(__xludf.DUMMYFUNCTION("""COMPUTED_VALUE"""),45784.04874211805)</f>
        <v>45784.04874</v>
      </c>
      <c r="B137" s="3" t="str">
        <f>IFERROR(__xludf.DUMMYFUNCTION("""COMPUTED_VALUE"""),"SFHBR0021")</f>
        <v>SFHBR0021</v>
      </c>
      <c r="C137" s="3" t="str">
        <f>IFERROR(__xludf.DUMMYFUNCTION("""COMPUTED_VALUE"""),"EJO")</f>
        <v>EJO</v>
      </c>
      <c r="D137" s="3" t="str">
        <f>IFERROR(__xludf.DUMMYFUNCTION("""COMPUTED_VALUE"""),"EJO/2025/04/105")</f>
        <v>EJO/2025/04/105</v>
      </c>
      <c r="E137" s="3" t="str">
        <f>IFERROR(__xludf.DUMMYFUNCTION("""COMPUTED_VALUE"""),"lantai 1")</f>
        <v>lantai 1</v>
      </c>
      <c r="F137" s="3" t="str">
        <f>IFERROR(__xludf.DUMMYFUNCTION("""COMPUTED_VALUE"""),"flowcrete PU finishing lantai")</f>
        <v>flowcrete PU finishing lantai</v>
      </c>
      <c r="G137" s="3" t="str">
        <f>IFERROR(__xludf.DUMMYFUNCTION("""COMPUTED_VALUE"""),"Flowfresh MF (3-4mm) warna light grey, Flowseal UV satin 2mm")</f>
        <v>Flowfresh MF (3-4mm) warna light grey, Flowseal UV satin 2mm</v>
      </c>
      <c r="H137" s="3" t="str">
        <f>IFERROR(__xludf.DUMMYFUNCTION("""COMPUTED_VALUE"""),"flowcrete")</f>
        <v>flowcrete</v>
      </c>
      <c r="I137" s="3">
        <f>IFERROR(__xludf.DUMMYFUNCTION("""COMPUTED_VALUE"""),2.0)</f>
        <v>2</v>
      </c>
      <c r="J137" s="3" t="str">
        <f>IFERROR(__xludf.DUMMYFUNCTION("""COMPUTED_VALUE"""),"PEL")</f>
        <v>PEL</v>
      </c>
      <c r="K137" s="3" t="str">
        <f>IFERROR(__xludf.DUMMYFUNCTION("""COMPUTED_VALUE"""),"flowcrete Flowfresh MF (3-4mm) warna light grey, Flowseal UV satin 2mm")</f>
        <v>flowcrete Flowfresh MF (3-4mm) warna light grey, Flowseal UV satin 2mm</v>
      </c>
      <c r="L137" s="3" t="str">
        <f>IFERROR(__xludf.DUMMYFUNCTION("""COMPUTED_VALUE"""),"-")</f>
        <v>-</v>
      </c>
      <c r="M137" s="3" t="str">
        <f>IFERROR(__xludf.DUMMYFUNCTION("""COMPUTED_VALUE"""),"Approve")</f>
        <v>Approve</v>
      </c>
      <c r="N137" s="3" t="str">
        <f>IFERROR(__xludf.DUMMYFUNCTION("""COMPUTED_VALUE"""),"Normal")</f>
        <v>Normal</v>
      </c>
      <c r="O137" s="3" t="str">
        <f>IFERROR(__xludf.DUMMYFUNCTION("""COMPUTED_VALUE"""),"Non Urgent")</f>
        <v>Non Urgent</v>
      </c>
      <c r="P137" s="7">
        <f>IFERROR(__xludf.DUMMYFUNCTION("""COMPUTED_VALUE"""),45790.431431018515)</f>
        <v>45790.43143</v>
      </c>
    </row>
    <row r="138">
      <c r="A138" s="4">
        <f>IFERROR(__xludf.DUMMYFUNCTION("""COMPUTED_VALUE"""),45784.93199204861)</f>
        <v>45784.93199</v>
      </c>
      <c r="B138" s="3" t="str">
        <f>IFERROR(__xludf.DUMMYFUNCTION("""COMPUTED_VALUE"""),"RIABR0037")</f>
        <v>RIABR0037</v>
      </c>
      <c r="C138" s="3" t="str">
        <f>IFERROR(__xludf.DUMMYFUNCTION("""COMPUTED_VALUE"""),"EJO")</f>
        <v>EJO</v>
      </c>
      <c r="D138" s="3" t="str">
        <f>IFERROR(__xludf.DUMMYFUNCTION("""COMPUTED_VALUE"""),"EJO/2025/05/08")</f>
        <v>EJO/2025/05/08</v>
      </c>
      <c r="E138" s="3" t="str">
        <f>IFERROR(__xludf.DUMMYFUNCTION("""COMPUTED_VALUE"""),"PSG")</f>
        <v>PSG</v>
      </c>
      <c r="F138" s="3" t="str">
        <f>IFERROR(__xludf.DUMMYFUNCTION("""COMPUTED_VALUE"""),"Level Switch")</f>
        <v>Level Switch</v>
      </c>
      <c r="G138" s="3" t="str">
        <f>IFERROR(__xludf.DUMMYFUNCTION("""COMPUTED_VALUE"""),"Level Switch
ERV 1/8”; STERIS-AUSTAR")</f>
        <v>Level Switch
ERV 1/8”; STERIS-AUSTAR</v>
      </c>
      <c r="H138" s="3" t="str">
        <f>IFERROR(__xludf.DUMMYFUNCTION("""COMPUTED_VALUE"""),"Austar")</f>
        <v>Austar</v>
      </c>
      <c r="I138" s="3">
        <f>IFERROR(__xludf.DUMMYFUNCTION("""COMPUTED_VALUE"""),1.0)</f>
        <v>1</v>
      </c>
      <c r="J138" s="3" t="str">
        <f>IFERROR(__xludf.DUMMYFUNCTION("""COMPUTED_VALUE"""),"Pcs")</f>
        <v>Pcs</v>
      </c>
      <c r="K138" s="3" t="str">
        <f>IFERROR(__xludf.DUMMYFUNCTION("""COMPUTED_VALUE"""),"BNP-FONKO-AR-SP74-05-25.pdf")</f>
        <v>BNP-FONKO-AR-SP74-05-25.pdf</v>
      </c>
      <c r="L138" s="3" t="str">
        <f>IFERROR(__xludf.DUMMYFUNCTION("""COMPUTED_VALUE"""),"Buat ganti level switchnya WFIG, sementara Bypass dulu")</f>
        <v>Buat ganti level switchnya WFIG, sementara Bypass dulu</v>
      </c>
      <c r="M138" s="3" t="str">
        <f>IFERROR(__xludf.DUMMYFUNCTION("""COMPUTED_VALUE"""),"Approve")</f>
        <v>Approve</v>
      </c>
      <c r="N138" s="3" t="str">
        <f>IFERROR(__xludf.DUMMYFUNCTION("""COMPUTED_VALUE"""),"Normal")</f>
        <v>Normal</v>
      </c>
      <c r="O138" s="3" t="str">
        <f>IFERROR(__xludf.DUMMYFUNCTION("""COMPUTED_VALUE"""),"Non Urgent")</f>
        <v>Non Urgent</v>
      </c>
      <c r="P138" s="7">
        <f>IFERROR(__xludf.DUMMYFUNCTION("""COMPUTED_VALUE"""),45790.429960277776)</f>
        <v>45790.42996</v>
      </c>
    </row>
    <row r="139">
      <c r="A139" s="4">
        <f>IFERROR(__xludf.DUMMYFUNCTION("""COMPUTED_VALUE"""),45784.93544966435)</f>
        <v>45784.93545</v>
      </c>
      <c r="B139" s="3" t="str">
        <f>IFERROR(__xludf.DUMMYFUNCTION("""COMPUTED_VALUE"""),"RIABR0038")</f>
        <v>RIABR0038</v>
      </c>
      <c r="C139" s="3" t="str">
        <f>IFERROR(__xludf.DUMMYFUNCTION("""COMPUTED_VALUE"""),"EJO")</f>
        <v>EJO</v>
      </c>
      <c r="D139" s="3" t="str">
        <f>IFERROR(__xludf.DUMMYFUNCTION("""COMPUTED_VALUE"""),"EJO/2025/04/90")</f>
        <v>EJO/2025/04/90</v>
      </c>
      <c r="E139" s="3" t="str">
        <f>IFERROR(__xludf.DUMMYFUNCTION("""COMPUTED_VALUE"""),"Alarm System")</f>
        <v>Alarm System</v>
      </c>
      <c r="F139" s="3" t="str">
        <f>IFERROR(__xludf.DUMMYFUNCTION("""COMPUTED_VALUE"""),"Kunci Panel")</f>
        <v>Kunci Panel</v>
      </c>
      <c r="G139" s="3" t="str">
        <f>IFERROR(__xludf.DUMMYFUNCTION("""COMPUTED_VALUE"""),"KUNCI CAMLOCK / KUNCI LOKER CANTOL
TIPE : HL 103
MERK HUBEN
DIAMETER : 19 mm
Panjang : 20 mm")</f>
        <v>KUNCI CAMLOCK / KUNCI LOKER CANTOL
TIPE : HL 103
MERK HUBEN
DIAMETER : 19 mm
Panjang : 20 mm</v>
      </c>
      <c r="H139" s="3" t="str">
        <f>IFERROR(__xludf.DUMMYFUNCTION("""COMPUTED_VALUE"""),"Huben")</f>
        <v>Huben</v>
      </c>
      <c r="I139" s="3">
        <f>IFERROR(__xludf.DUMMYFUNCTION("""COMPUTED_VALUE"""),5.0)</f>
        <v>5</v>
      </c>
      <c r="J139" s="3" t="str">
        <f>IFERROR(__xludf.DUMMYFUNCTION("""COMPUTED_VALUE"""),"Pcs")</f>
        <v>Pcs</v>
      </c>
      <c r="K139" s="5" t="str">
        <f>IFERROR(__xludf.DUMMYFUNCTION("""COMPUTED_VALUE"""),"https://www.tokopedia.com/jb89/kunci-camlock-20-25-30-mm-merk-huben-kunci-laci-lemari-loker-kayu-besi-2-2-5-3-cm-kunci-kabinet-kotak-box-panel-listrik-kait-gait-cantol-tipe-hl-103-20-mm-c40e4?extParam=ivf%3Dfalse%26keyword%3Dhuben+kunci+panel+20+mm%26sear"&amp;"ch_id%3D20250507152508557646733D0C6C367WYO%26src%3Dsearch&amp;t_id=1746631514348&amp;t_st=1&amp;t_pp=search_result&amp;t_efo=search_pure_goods_card&amp;t_ef=goods_search&amp;t_sm=&amp;t_spt=search_result")</f>
        <v>https://www.tokopedia.com/jb89/kunci-camlock-20-25-30-mm-merk-huben-kunci-laci-lemari-loker-kayu-besi-2-2-5-3-cm-kunci-kabinet-kotak-box-panel-listrik-kait-gait-cantol-tipe-hl-103-20-mm-c40e4?extParam=ivf%3Dfalse%26keyword%3Dhuben+kunci+panel+20+mm%26search_id%3D20250507152508557646733D0C6C367WYO%26src%3Dsearch&amp;t_id=1746631514348&amp;t_st=1&amp;t_pp=search_result&amp;t_efo=search_pure_goods_card&amp;t_ef=goods_search&amp;t_sm=&amp;t_spt=search_result</v>
      </c>
      <c r="L139" s="3" t="str">
        <f>IFERROR(__xludf.DUMMYFUNCTION("""COMPUTED_VALUE"""),"Buat ganti kunci panel outdoor pintu emergency")</f>
        <v>Buat ganti kunci panel outdoor pintu emergency</v>
      </c>
      <c r="M139" s="3" t="str">
        <f>IFERROR(__xludf.DUMMYFUNCTION("""COMPUTED_VALUE"""),"Approve")</f>
        <v>Approve</v>
      </c>
      <c r="N139" s="3" t="str">
        <f>IFERROR(__xludf.DUMMYFUNCTION("""COMPUTED_VALUE"""),"Normal")</f>
        <v>Normal</v>
      </c>
      <c r="O139" s="3" t="str">
        <f>IFERROR(__xludf.DUMMYFUNCTION("""COMPUTED_VALUE"""),"Non Urgent")</f>
        <v>Non Urgent</v>
      </c>
      <c r="P139" s="7">
        <f>IFERROR(__xludf.DUMMYFUNCTION("""COMPUTED_VALUE"""),45790.43097876158)</f>
        <v>45790.43098</v>
      </c>
    </row>
    <row r="140">
      <c r="A140" s="4">
        <f>IFERROR(__xludf.DUMMYFUNCTION("""COMPUTED_VALUE"""),45786.650359768515)</f>
        <v>45786.65036</v>
      </c>
      <c r="B140" s="3" t="str">
        <f>IFERROR(__xludf.DUMMYFUNCTION("""COMPUTED_VALUE"""),"SFHBR0022")</f>
        <v>SFHBR0022</v>
      </c>
      <c r="C140" s="3" t="str">
        <f>IFERROR(__xludf.DUMMYFUNCTION("""COMPUTED_VALUE"""),"EJO")</f>
        <v>EJO</v>
      </c>
      <c r="D140" s="3" t="str">
        <f>IFERROR(__xludf.DUMMYFUNCTION("""COMPUTED_VALUE"""),"EJO/2025/05/64")</f>
        <v>EJO/2025/05/64</v>
      </c>
      <c r="E140" s="3" t="str">
        <f>IFERROR(__xludf.DUMMYFUNCTION("""COMPUTED_VALUE"""),"lantai 2")</f>
        <v>lantai 2</v>
      </c>
      <c r="F140" s="3" t="str">
        <f>IFERROR(__xludf.DUMMYFUNCTION("""COMPUTED_VALUE"""),"Paint remover / perontok cat")</f>
        <v>Paint remover / perontok cat</v>
      </c>
      <c r="G140" s="3" t="str">
        <f>IFERROR(__xludf.DUMMYFUNCTION("""COMPUTED_VALUE"""),"paint remover penghilang / perontok cat")</f>
        <v>paint remover penghilang / perontok cat</v>
      </c>
      <c r="H140" s="3" t="str">
        <f>IFERROR(__xludf.DUMMYFUNCTION("""COMPUTED_VALUE"""),"paint remover ")</f>
        <v>paint remover </v>
      </c>
      <c r="I140" s="3">
        <f>IFERROR(__xludf.DUMMYFUNCTION("""COMPUTED_VALUE"""),60.0)</f>
        <v>60</v>
      </c>
      <c r="J140" s="3" t="str">
        <f>IFERROR(__xludf.DUMMYFUNCTION("""COMPUTED_VALUE"""),"kg")</f>
        <v>kg</v>
      </c>
      <c r="K140" s="5" t="str">
        <f>IFERROR(__xludf.DUMMYFUNCTION("""COMPUTED_VALUE"""),"https://www.tokopedia.com/harikokimia/paint-remover-penghilang-cat-mobil-perontok-cat-kemasan-20kg?utm_source=salinlink&amp;utm_medium=share&amp;utm_campaign=pdp-e8sc3ynissrh-15004203283-0")</f>
        <v>https://www.tokopedia.com/harikokimia/paint-remover-penghilang-cat-mobil-perontok-cat-kemasan-20kg?utm_source=salinlink&amp;utm_medium=share&amp;utm_campaign=pdp-e8sc3ynissrh-15004203283-0</v>
      </c>
      <c r="L140" s="3" t="str">
        <f>IFERROR(__xludf.DUMMYFUNCTION("""COMPUTED_VALUE"""),"-")</f>
        <v>-</v>
      </c>
      <c r="M140" s="3" t="str">
        <f>IFERROR(__xludf.DUMMYFUNCTION("""COMPUTED_VALUE"""),"Approve")</f>
        <v>Approve</v>
      </c>
      <c r="N140" s="3" t="str">
        <f>IFERROR(__xludf.DUMMYFUNCTION("""COMPUTED_VALUE"""),"Normal")</f>
        <v>Normal</v>
      </c>
      <c r="O140" s="3" t="str">
        <f>IFERROR(__xludf.DUMMYFUNCTION("""COMPUTED_VALUE"""),"Non Urgent")</f>
        <v>Non Urgent</v>
      </c>
      <c r="P140" s="7">
        <f>IFERROR(__xludf.DUMMYFUNCTION("""COMPUTED_VALUE"""),45790.43159771991)</f>
        <v>45790.4316</v>
      </c>
    </row>
    <row r="141">
      <c r="A141" s="4">
        <f>IFERROR(__xludf.DUMMYFUNCTION("""COMPUTED_VALUE"""),45791.40675410879)</f>
        <v>45791.40675</v>
      </c>
      <c r="B141" s="3" t="str">
        <f>IFERROR(__xludf.DUMMYFUNCTION("""COMPUTED_VALUE"""),"AAABR0003")</f>
        <v>AAABR0003</v>
      </c>
      <c r="C141" s="3" t="str">
        <f>IFERROR(__xludf.DUMMYFUNCTION("""COMPUTED_VALUE"""),"Consumable")</f>
        <v>Consumable</v>
      </c>
      <c r="D141" s="3" t="str">
        <f>IFERROR(__xludf.DUMMYFUNCTION("""COMPUTED_VALUE"""),"NA")</f>
        <v>NA</v>
      </c>
      <c r="E141" s="3" t="str">
        <f>IFERROR(__xludf.DUMMYFUNCTION("""COMPUTED_VALUE"""),"General")</f>
        <v>General</v>
      </c>
      <c r="F141" s="3" t="str">
        <f>IFERROR(__xludf.DUMMYFUNCTION("""COMPUTED_VALUE"""),"Kunci Inggris ")</f>
        <v>Kunci Inggris </v>
      </c>
      <c r="G141" s="3" t="str">
        <f>IFERROR(__xludf.DUMMYFUNCTION("""COMPUTED_VALUE"""),"KW0101965 ; soft grip ; Size 12"" ; 300 mm")</f>
        <v>KW0101965 ; soft grip ; Size 12" ; 300 mm</v>
      </c>
      <c r="H141" s="3" t="str">
        <f>IFERROR(__xludf.DUMMYFUNCTION("""COMPUTED_VALUE"""),"Krisbow")</f>
        <v>Krisbow</v>
      </c>
      <c r="I141" s="3">
        <f>IFERROR(__xludf.DUMMYFUNCTION("""COMPUTED_VALUE"""),1.0)</f>
        <v>1</v>
      </c>
      <c r="J141" s="3" t="str">
        <f>IFERROR(__xludf.DUMMYFUNCTION("""COMPUTED_VALUE"""),"Unit")</f>
        <v>Unit</v>
      </c>
      <c r="K141" s="5" t="str">
        <f>IFERROR(__xludf.DUMMYFUNCTION("""COMPUTED_VALUE"""),"https://www.monotaro.id/items/s013197759.html?utm_source=google&amp;utm_medium=pla&amp;utm_campaign=1672206402&amp;utm_content=88187085595&amp;utm_term=readystock_cat_group_2_pricebrand_group_1&amp;gad_source=1&amp;gad_campaignid=1672206402&amp;gbraid=0AAAAADJU9-_4YL-FoRX2sApOYXQXIH"&amp;"x7a&amp;gclid=CjwKCAjw24vBBhABEiwANFG7yyMHCffHKkXN0NCT2ptIDKAgsaA9RhZxfpTwKt3Zib8l3aweHWGfbBoCARQQAvD_BwE")</f>
        <v>https://www.monotaro.id/items/s013197759.html?utm_source=google&amp;utm_medium=pla&amp;utm_campaign=1672206402&amp;utm_content=88187085595&amp;utm_term=readystock_cat_group_2_pricebrand_group_1&amp;gad_source=1&amp;gad_campaignid=1672206402&amp;gbraid=0AAAAADJU9-_4YL-FoRX2sApOYXQXIHx7a&amp;gclid=CjwKCAjw24vBBhABEiwANFG7yyMHCffHKkXN0NCT2ptIDKAgsaA9RhZxfpTwKt3Zib8l3aweHWGfbBoCARQQAvD_BwE</v>
      </c>
      <c r="L141" s="3" t="str">
        <f>IFERROR(__xludf.DUMMYFUNCTION("""COMPUTED_VALUE"""),"Needed Date : 14-Jun-25")</f>
        <v>Needed Date : 14-Jun-25</v>
      </c>
      <c r="M141" s="3" t="str">
        <f>IFERROR(__xludf.DUMMYFUNCTION("""COMPUTED_VALUE"""),"Approve")</f>
        <v>Approve</v>
      </c>
      <c r="N141" s="3" t="str">
        <f>IFERROR(__xludf.DUMMYFUNCTION("""COMPUTED_VALUE"""),"Normal")</f>
        <v>Normal</v>
      </c>
      <c r="O141" s="3" t="str">
        <f>IFERROR(__xludf.DUMMYFUNCTION("""COMPUTED_VALUE"""),"Non Urgent")</f>
        <v>Non Urgent</v>
      </c>
      <c r="P141" s="7">
        <f>IFERROR(__xludf.DUMMYFUNCTION("""COMPUTED_VALUE"""),45810.7142632176)</f>
        <v>45810.71426</v>
      </c>
    </row>
    <row r="142">
      <c r="A142" s="4">
        <f>IFERROR(__xludf.DUMMYFUNCTION("""COMPUTED_VALUE"""),45791.40853461806)</f>
        <v>45791.40853</v>
      </c>
      <c r="B142" s="3" t="str">
        <f>IFERROR(__xludf.DUMMYFUNCTION("""COMPUTED_VALUE"""),"AAABR0004")</f>
        <v>AAABR0004</v>
      </c>
      <c r="C142" s="3" t="str">
        <f>IFERROR(__xludf.DUMMYFUNCTION("""COMPUTED_VALUE"""),"Consumable")</f>
        <v>Consumable</v>
      </c>
      <c r="D142" s="3" t="str">
        <f>IFERROR(__xludf.DUMMYFUNCTION("""COMPUTED_VALUE"""),"NA")</f>
        <v>NA</v>
      </c>
      <c r="E142" s="3" t="str">
        <f>IFERROR(__xludf.DUMMYFUNCTION("""COMPUTED_VALUE"""),"General")</f>
        <v>General</v>
      </c>
      <c r="F142" s="3" t="str">
        <f>IFERROR(__xludf.DUMMYFUNCTION("""COMPUTED_VALUE"""),"Kunci Pipa")</f>
        <v>Kunci Pipa</v>
      </c>
      <c r="G142" s="3" t="str">
        <f>IFERROR(__xludf.DUMMYFUNCTION("""COMPUTED_VALUE"""),"size 14"" ; KW0100366")</f>
        <v>size 14" ; KW0100366</v>
      </c>
      <c r="H142" s="3" t="str">
        <f>IFERROR(__xludf.DUMMYFUNCTION("""COMPUTED_VALUE"""),"Krisbow")</f>
        <v>Krisbow</v>
      </c>
      <c r="I142" s="3">
        <f>IFERROR(__xludf.DUMMYFUNCTION("""COMPUTED_VALUE"""),1.0)</f>
        <v>1</v>
      </c>
      <c r="J142" s="3" t="str">
        <f>IFERROR(__xludf.DUMMYFUNCTION("""COMPUTED_VALUE"""),"Unit")</f>
        <v>Unit</v>
      </c>
      <c r="K142" s="5" t="str">
        <f>IFERROR(__xludf.DUMMYFUNCTION("""COMPUTED_VALUE"""),"https://www.monotaro.id/items/s013203092.html?utm_source=google&amp;utm_medium=pla&amp;utm_campaign=1672206402&amp;utm_content=88187085595&amp;utm_term=readystock_cat_group_2_pricebrand_group_1&amp;gad_source=1&amp;gad_campaignid=1672206402&amp;gbraid=0AAAAADJU9-_4YL-FoRX2sApOYXQXIH"&amp;"x7a&amp;gclid=CjwKCAjw24vBBhABEiwANFG7yybbRo4EY7tu_6HvQh2h44P-Il_1II5cUSUppR6YIAXTRCeu9qZiQhoC3g4QAvD_BwE")</f>
        <v>https://www.monotaro.id/items/s013203092.html?utm_source=google&amp;utm_medium=pla&amp;utm_campaign=1672206402&amp;utm_content=88187085595&amp;utm_term=readystock_cat_group_2_pricebrand_group_1&amp;gad_source=1&amp;gad_campaignid=1672206402&amp;gbraid=0AAAAADJU9-_4YL-FoRX2sApOYXQXIHx7a&amp;gclid=CjwKCAjw24vBBhABEiwANFG7yybbRo4EY7tu_6HvQh2h44P-Il_1II5cUSUppR6YIAXTRCeu9qZiQhoC3g4QAvD_BwE</v>
      </c>
      <c r="L142" s="3" t="str">
        <f>IFERROR(__xludf.DUMMYFUNCTION("""COMPUTED_VALUE"""),"Needed Date : 14-Jun-25")</f>
        <v>Needed Date : 14-Jun-25</v>
      </c>
      <c r="M142" s="3" t="str">
        <f>IFERROR(__xludf.DUMMYFUNCTION("""COMPUTED_VALUE"""),"Approve")</f>
        <v>Approve</v>
      </c>
      <c r="N142" s="3" t="str">
        <f>IFERROR(__xludf.DUMMYFUNCTION("""COMPUTED_VALUE"""),"Normal")</f>
        <v>Normal</v>
      </c>
      <c r="O142" s="3" t="str">
        <f>IFERROR(__xludf.DUMMYFUNCTION("""COMPUTED_VALUE"""),"Non Urgent")</f>
        <v>Non Urgent</v>
      </c>
      <c r="P142" s="7">
        <f>IFERROR(__xludf.DUMMYFUNCTION("""COMPUTED_VALUE"""),45810.71450598379)</f>
        <v>45810.71451</v>
      </c>
    </row>
    <row r="143">
      <c r="A143" s="4">
        <f>IFERROR(__xludf.DUMMYFUNCTION("""COMPUTED_VALUE"""),45791.80735679398)</f>
        <v>45791.80736</v>
      </c>
      <c r="B143" s="3" t="str">
        <f>IFERROR(__xludf.DUMMYFUNCTION("""COMPUTED_VALUE"""),"MRNBR0015")</f>
        <v>MRNBR0015</v>
      </c>
      <c r="C143" s="3" t="str">
        <f>IFERROR(__xludf.DUMMYFUNCTION("""COMPUTED_VALUE"""),"EJO")</f>
        <v>EJO</v>
      </c>
      <c r="D143" s="3" t="str">
        <f>IFERROR(__xludf.DUMMYFUNCTION("""COMPUTED_VALUE"""),"EJO/2024/12/150")</f>
        <v>EJO/2024/12/150</v>
      </c>
      <c r="E143" s="3" t="str">
        <f>IFERROR(__xludf.DUMMYFUNCTION("""COMPUTED_VALUE"""),"Loker sepatu")</f>
        <v>Loker sepatu</v>
      </c>
      <c r="F143" s="3" t="str">
        <f>IFERROR(__xludf.DUMMYFUNCTION("""COMPUTED_VALUE"""),"Flexuble duct")</f>
        <v>Flexuble duct</v>
      </c>
      <c r="G143" s="3" t="str">
        <f>IFERROR(__xludf.DUMMYFUNCTION("""COMPUTED_VALUE"""),"4 inch @ 5meter ")</f>
        <v>4 inch @ 5meter </v>
      </c>
      <c r="H143" s="3" t="str">
        <f>IFERROR(__xludf.DUMMYFUNCTION("""COMPUTED_VALUE"""),"NA")</f>
        <v>NA</v>
      </c>
      <c r="I143" s="3">
        <f>IFERROR(__xludf.DUMMYFUNCTION("""COMPUTED_VALUE"""),3.0)</f>
        <v>3</v>
      </c>
      <c r="J143" s="3" t="str">
        <f>IFERROR(__xludf.DUMMYFUNCTION("""COMPUTED_VALUE"""),"pcs")</f>
        <v>pcs</v>
      </c>
      <c r="K143" s="5" t="str">
        <f>IFERROR(__xludf.DUMMYFUNCTION("""COMPUTED_VALUE"""),"https://www.tokopedia.com/cianjursanitary/flexible-ducting-4-in-5-meter-free-klem-2-pc-pipa-exhaust-aluminium-fleksibel-pembuangan-ventilasi-ac-cooker-hood-mesin-pengering-loundry-roasting-kopi?aff_unique_id=&amp;channel=others&amp;chain_key=")</f>
        <v>https://www.tokopedia.com/cianjursanitary/flexible-ducting-4-in-5-meter-free-klem-2-pc-pipa-exhaust-aluminium-fleksibel-pembuangan-ventilasi-ac-cooker-hood-mesin-pengering-loundry-roasting-kopi?aff_unique_id=&amp;channel=others&amp;chain_key=</v>
      </c>
      <c r="L143" s="3" t="str">
        <f>IFERROR(__xludf.DUMMYFUNCTION("""COMPUTED_VALUE"""),"untuk loker sepatu eng")</f>
        <v>untuk loker sepatu eng</v>
      </c>
      <c r="M143" s="3" t="str">
        <f>IFERROR(__xludf.DUMMYFUNCTION("""COMPUTED_VALUE"""),"Approve")</f>
        <v>Approve</v>
      </c>
      <c r="N143" s="3" t="str">
        <f>IFERROR(__xludf.DUMMYFUNCTION("""COMPUTED_VALUE"""),"Normal")</f>
        <v>Normal</v>
      </c>
      <c r="O143" s="3" t="str">
        <f>IFERROR(__xludf.DUMMYFUNCTION("""COMPUTED_VALUE"""),"Non Urgent")</f>
        <v>Non Urgent</v>
      </c>
      <c r="P143" s="7">
        <f>IFERROR(__xludf.DUMMYFUNCTION("""COMPUTED_VALUE"""),45798.48416762731)</f>
        <v>45798.48417</v>
      </c>
    </row>
    <row r="144">
      <c r="A144" s="4">
        <f>IFERROR(__xludf.DUMMYFUNCTION("""COMPUTED_VALUE"""),45791.808722118054)</f>
        <v>45791.80872</v>
      </c>
      <c r="B144" s="3" t="str">
        <f>IFERROR(__xludf.DUMMYFUNCTION("""COMPUTED_VALUE"""),"MRNBR0016")</f>
        <v>MRNBR0016</v>
      </c>
      <c r="C144" s="3" t="str">
        <f>IFERROR(__xludf.DUMMYFUNCTION("""COMPUTED_VALUE"""),"EJO")</f>
        <v>EJO</v>
      </c>
      <c r="D144" s="3" t="str">
        <f>IFERROR(__xludf.DUMMYFUNCTION("""COMPUTED_VALUE"""),"EJO/2024/12/150")</f>
        <v>EJO/2024/12/150</v>
      </c>
      <c r="E144" s="3" t="str">
        <f>IFERROR(__xludf.DUMMYFUNCTION("""COMPUTED_VALUE"""),"Loker sepatu")</f>
        <v>Loker sepatu</v>
      </c>
      <c r="F144" s="3" t="str">
        <f>IFERROR(__xludf.DUMMYFUNCTION("""COMPUTED_VALUE"""),"louver 4 inch")</f>
        <v>louver 4 inch</v>
      </c>
      <c r="G144" s="3" t="str">
        <f>IFERROR(__xludf.DUMMYFUNCTION("""COMPUTED_VALUE"""),"4 inch")</f>
        <v>4 inch</v>
      </c>
      <c r="H144" s="3" t="str">
        <f>IFERROR(__xludf.DUMMYFUNCTION("""COMPUTED_VALUE"""),"NA")</f>
        <v>NA</v>
      </c>
      <c r="I144" s="3">
        <f>IFERROR(__xludf.DUMMYFUNCTION("""COMPUTED_VALUE"""),3.0)</f>
        <v>3</v>
      </c>
      <c r="J144" s="3" t="str">
        <f>IFERROR(__xludf.DUMMYFUNCTION("""COMPUTED_VALUE"""),"pcs")</f>
        <v>pcs</v>
      </c>
      <c r="K144" s="5" t="str">
        <f>IFERROR(__xludf.DUMMYFUNCTION("""COMPUTED_VALUE"""),"https://www.tokopedia.com/latifshop/penutup-flexible-ducting-4-in-grill-bulat-pipa-exhaust-cerobong-ac?aff_unique_id=&amp;channel=others&amp;chain_key=")</f>
        <v>https://www.tokopedia.com/latifshop/penutup-flexible-ducting-4-in-grill-bulat-pipa-exhaust-cerobong-ac?aff_unique_id=&amp;channel=others&amp;chain_key=</v>
      </c>
      <c r="L144" s="3" t="str">
        <f>IFERROR(__xludf.DUMMYFUNCTION("""COMPUTED_VALUE"""),"untuk loker sepatu eng")</f>
        <v>untuk loker sepatu eng</v>
      </c>
      <c r="M144" s="3" t="str">
        <f>IFERROR(__xludf.DUMMYFUNCTION("""COMPUTED_VALUE"""),"Approve")</f>
        <v>Approve</v>
      </c>
      <c r="N144" s="3" t="str">
        <f>IFERROR(__xludf.DUMMYFUNCTION("""COMPUTED_VALUE"""),"Normal")</f>
        <v>Normal</v>
      </c>
      <c r="O144" s="3" t="str">
        <f>IFERROR(__xludf.DUMMYFUNCTION("""COMPUTED_VALUE"""),"Non Urgent")</f>
        <v>Non Urgent</v>
      </c>
      <c r="P144" s="7">
        <f>IFERROR(__xludf.DUMMYFUNCTION("""COMPUTED_VALUE"""),45798.48394266204)</f>
        <v>45798.48394</v>
      </c>
    </row>
    <row r="145">
      <c r="A145" s="4">
        <f>IFERROR(__xludf.DUMMYFUNCTION("""COMPUTED_VALUE"""),45792.37696704861)</f>
        <v>45792.37697</v>
      </c>
      <c r="B145" s="3" t="str">
        <f>IFERROR(__xludf.DUMMYFUNCTION("""COMPUTED_VALUE"""),"ANOBR0020")</f>
        <v>ANOBR0020</v>
      </c>
      <c r="C145" s="3" t="str">
        <f>IFERROR(__xludf.DUMMYFUNCTION("""COMPUTED_VALUE"""),"EJO")</f>
        <v>EJO</v>
      </c>
      <c r="D145" s="3" t="str">
        <f>IFERROR(__xludf.DUMMYFUNCTION("""COMPUTED_VALUE"""),"EJO/2025/02/64")</f>
        <v>EJO/2025/02/64</v>
      </c>
      <c r="E145" s="3" t="str">
        <f>IFERROR(__xludf.DUMMYFUNCTION("""COMPUTED_VALUE"""),"Panel Crabs")</f>
        <v>Panel Crabs</v>
      </c>
      <c r="F145" s="3" t="str">
        <f>IFERROR(__xludf.DUMMYFUNCTION("""COMPUTED_VALUE"""),"Handle pintu panel")</f>
        <v>Handle pintu panel</v>
      </c>
      <c r="G145" s="3" t="str">
        <f>IFERROR(__xludf.DUMMYFUNCTION("""COMPUTED_VALUE"""),"Merk eta")</f>
        <v>Merk eta</v>
      </c>
      <c r="H145" s="3" t="str">
        <f>IFERROR(__xludf.DUMMYFUNCTION("""COMPUTED_VALUE"""),"Eta")</f>
        <v>Eta</v>
      </c>
      <c r="I145" s="3">
        <f>IFERROR(__xludf.DUMMYFUNCTION("""COMPUTED_VALUE"""),5.0)</f>
        <v>5</v>
      </c>
      <c r="J145" s="3" t="str">
        <f>IFERROR(__xludf.DUMMYFUNCTION("""COMPUTED_VALUE"""),"Pcs")</f>
        <v>Pcs</v>
      </c>
      <c r="K145" s="5" t="str">
        <f>IFERROR(__xludf.DUMMYFUNCTION("""COMPUTED_VALUE"""),"https://drive.google.com/drive/folders/1j9UNRTv1p0bTJ6AYr7-b7ZBTqcrEgUTN")</f>
        <v>https://drive.google.com/drive/folders/1j9UNRTv1p0bTJ6AYr7-b7ZBTqcrEgUTN</v>
      </c>
      <c r="L145" s="3" t="str">
        <f>IFERROR(__xludf.DUMMYFUNCTION("""COMPUTED_VALUE"""),"Keperluan untuk mengganti handle pintu panel Crabs yang sudah rusak")</f>
        <v>Keperluan untuk mengganti handle pintu panel Crabs yang sudah rusak</v>
      </c>
      <c r="M145" s="3" t="str">
        <f>IFERROR(__xludf.DUMMYFUNCTION("""COMPUTED_VALUE"""),"Approve")</f>
        <v>Approve</v>
      </c>
      <c r="N145" s="3" t="str">
        <f>IFERROR(__xludf.DUMMYFUNCTION("""COMPUTED_VALUE"""),"Normal")</f>
        <v>Normal</v>
      </c>
      <c r="O145" s="3" t="str">
        <f>IFERROR(__xludf.DUMMYFUNCTION("""COMPUTED_VALUE"""),"Non Urgent")</f>
        <v>Non Urgent</v>
      </c>
      <c r="P145" s="7">
        <f>IFERROR(__xludf.DUMMYFUNCTION("""COMPUTED_VALUE"""),45812.568157291666)</f>
        <v>45812.56816</v>
      </c>
    </row>
    <row r="146">
      <c r="A146" s="4">
        <f>IFERROR(__xludf.DUMMYFUNCTION("""COMPUTED_VALUE"""),45792.39749200231)</f>
        <v>45792.39749</v>
      </c>
      <c r="B146" s="3" t="str">
        <f>IFERROR(__xludf.DUMMYFUNCTION("""COMPUTED_VALUE"""),"ANOBR0019")</f>
        <v>ANOBR0019</v>
      </c>
      <c r="C146" s="3" t="str">
        <f>IFERROR(__xludf.DUMMYFUNCTION("""COMPUTED_VALUE"""),"EJO")</f>
        <v>EJO</v>
      </c>
      <c r="D146" s="3" t="str">
        <f>IFERROR(__xludf.DUMMYFUNCTION("""COMPUTED_VALUE"""),"EJO/2025/05/89")</f>
        <v>EJO/2025/05/89</v>
      </c>
      <c r="E146" s="3" t="str">
        <f>IFERROR(__xludf.DUMMYFUNCTION("""COMPUTED_VALUE"""),"Conveyor system B packhall")</f>
        <v>Conveyor system B packhall</v>
      </c>
      <c r="F146" s="3" t="str">
        <f>IFERROR(__xludf.DUMMYFUNCTION("""COMPUTED_VALUE"""),"speed control")</f>
        <v>speed control</v>
      </c>
      <c r="G146" s="3" t="str">
        <f>IFERROR(__xludf.DUMMYFUNCTION("""COMPUTED_VALUE"""),"merk houle 220V, 90W")</f>
        <v>merk houle 220V, 90W</v>
      </c>
      <c r="H146" s="3" t="str">
        <f>IFERROR(__xludf.DUMMYFUNCTION("""COMPUTED_VALUE"""),"HOULE")</f>
        <v>HOULE</v>
      </c>
      <c r="I146" s="3">
        <f>IFERROR(__xludf.DUMMYFUNCTION("""COMPUTED_VALUE"""),2.0)</f>
        <v>2</v>
      </c>
      <c r="J146" s="3" t="str">
        <f>IFERROR(__xludf.DUMMYFUNCTION("""COMPUTED_VALUE"""),"unit")</f>
        <v>unit</v>
      </c>
      <c r="K146" s="5" t="str">
        <f>IFERROR(__xludf.DUMMYFUNCTION("""COMPUTED_VALUE"""),"https://tk.tokopedia.com/ZSh5hft6E/")</f>
        <v>https://tk.tokopedia.com/ZSh5hft6E/</v>
      </c>
      <c r="L146" s="3" t="str">
        <f>IFERROR(__xludf.DUMMYFUNCTION("""COMPUTED_VALUE"""),"keperluan untuk mengganti speed control di conveyor B packhall")</f>
        <v>keperluan untuk mengganti speed control di conveyor B packhall</v>
      </c>
      <c r="M146" s="3" t="str">
        <f>IFERROR(__xludf.DUMMYFUNCTION("""COMPUTED_VALUE"""),"Approve")</f>
        <v>Approve</v>
      </c>
      <c r="N146" s="3" t="str">
        <f>IFERROR(__xludf.DUMMYFUNCTION("""COMPUTED_VALUE"""),"Normal")</f>
        <v>Normal</v>
      </c>
      <c r="O146" s="3" t="str">
        <f>IFERROR(__xludf.DUMMYFUNCTION("""COMPUTED_VALUE"""),"Non Urgent")</f>
        <v>Non Urgent</v>
      </c>
      <c r="P146" s="7">
        <f>IFERROR(__xludf.DUMMYFUNCTION("""COMPUTED_VALUE"""),45790.494627175925)</f>
        <v>45790.49463</v>
      </c>
    </row>
    <row r="147">
      <c r="A147" s="4">
        <f>IFERROR(__xludf.DUMMYFUNCTION("""COMPUTED_VALUE"""),45792.89215216435)</f>
        <v>45792.89215</v>
      </c>
      <c r="B147" s="3" t="str">
        <f>IFERROR(__xludf.DUMMYFUNCTION("""COMPUTED_VALUE"""),"NDSBR0013")</f>
        <v>NDSBR0013</v>
      </c>
      <c r="C147" s="3" t="str">
        <f>IFERROR(__xludf.DUMMYFUNCTION("""COMPUTED_VALUE"""),"Consumable")</f>
        <v>Consumable</v>
      </c>
      <c r="D147" s="3" t="str">
        <f>IFERROR(__xludf.DUMMYFUNCTION("""COMPUTED_VALUE"""),"-")</f>
        <v>-</v>
      </c>
      <c r="E147" s="3" t="str">
        <f>IFERROR(__xludf.DUMMYFUNCTION("""COMPUTED_VALUE"""),"Filling")</f>
        <v>Filling</v>
      </c>
      <c r="F147" s="3" t="str">
        <f>IFERROR(__xludf.DUMMYFUNCTION("""COMPUTED_VALUE"""),"Stop Kontak")</f>
        <v>Stop Kontak</v>
      </c>
      <c r="G147" s="3" t="str">
        <f>IFERROR(__xludf.DUMMYFUNCTION("""COMPUTED_VALUE"""),"yang ada tutupnya")</f>
        <v>yang ada tutupnya</v>
      </c>
      <c r="H147" s="3" t="str">
        <f>IFERROR(__xludf.DUMMYFUNCTION("""COMPUTED_VALUE"""),"Borco")</f>
        <v>Borco</v>
      </c>
      <c r="I147" s="3">
        <f>IFERROR(__xludf.DUMMYFUNCTION("""COMPUTED_VALUE"""),5.0)</f>
        <v>5</v>
      </c>
      <c r="J147" s="3" t="str">
        <f>IFERROR(__xludf.DUMMYFUNCTION("""COMPUTED_VALUE"""),"PCS")</f>
        <v>PCS</v>
      </c>
      <c r="K147" s="5" t="str">
        <f>IFERROR(__xludf.DUMMYFUNCTION("""COMPUTED_VALUE"""),"https://www.tokopedia.com/discovery/rekomendasi?recomProdId=614235611&amp;utm_source=google&amp;utm_medium=cpc&amp;utm_campaign=0000-0000-gg-pmax-bend-voo-tcpa-act-ord-pg-id51pgce51-0000-alon-gshp&amp;utm_term=614235611&amp;ref=googleshopping&amp;c=21543673600&amp;m=282743202&amp;gclsrc"&amp;"=aw.ds&amp;gad_source=1")</f>
        <v>https://www.tokopedia.com/discovery/rekomendasi?recomProdId=614235611&amp;utm_source=google&amp;utm_medium=cpc&amp;utm_campaign=0000-0000-gg-pmax-bend-voo-tcpa-act-ord-pg-id51pgce51-0000-alon-gshp&amp;utm_term=614235611&amp;ref=googleshopping&amp;c=21543673600&amp;m=282743202&amp;gclsrc=aw.ds&amp;gad_source=1</v>
      </c>
      <c r="L147" s="3" t="str">
        <f>IFERROR(__xludf.DUMMYFUNCTION("""COMPUTED_VALUE"""),"-")</f>
        <v>-</v>
      </c>
      <c r="M147" s="3" t="str">
        <f>IFERROR(__xludf.DUMMYFUNCTION("""COMPUTED_VALUE"""),"Approve")</f>
        <v>Approve</v>
      </c>
      <c r="N147" s="3" t="str">
        <f>IFERROR(__xludf.DUMMYFUNCTION("""COMPUTED_VALUE"""),"Normal")</f>
        <v>Normal</v>
      </c>
      <c r="O147" s="3" t="str">
        <f>IFERROR(__xludf.DUMMYFUNCTION("""COMPUTED_VALUE"""),"Non Urgent")</f>
        <v>Non Urgent</v>
      </c>
      <c r="P147" s="7">
        <f>IFERROR(__xludf.DUMMYFUNCTION("""COMPUTED_VALUE"""),45812.56945247685)</f>
        <v>45812.56945</v>
      </c>
    </row>
    <row r="148">
      <c r="A148" s="4">
        <f>IFERROR(__xludf.DUMMYFUNCTION("""COMPUTED_VALUE"""),45793.61515288195)</f>
        <v>45793.61515</v>
      </c>
      <c r="B148" s="3" t="str">
        <f>IFERROR(__xludf.DUMMYFUNCTION("""COMPUTED_VALUE"""),"RIABR0040")</f>
        <v>RIABR0040</v>
      </c>
      <c r="C148" s="3" t="str">
        <f>IFERROR(__xludf.DUMMYFUNCTION("""COMPUTED_VALUE"""),"Consumable")</f>
        <v>Consumable</v>
      </c>
      <c r="D148" s="3" t="str">
        <f>IFERROR(__xludf.DUMMYFUNCTION("""COMPUTED_VALUE"""),"-")</f>
        <v>-</v>
      </c>
      <c r="E148" s="3" t="str">
        <f>IFERROR(__xludf.DUMMYFUNCTION("""COMPUTED_VALUE"""),"PWG")</f>
        <v>PWG</v>
      </c>
      <c r="F148" s="3" t="str">
        <f>IFERROR(__xludf.DUMMYFUNCTION("""COMPUTED_VALUE"""),"Counter")</f>
        <v>Counter</v>
      </c>
      <c r="G148" s="3" t="str">
        <f>IFERROR(__xludf.DUMMYFUNCTION("""COMPUTED_VALUE"""),"COUNTER/TIMER DIGITAL AUTONICS CT6S-1P4-220VAC")</f>
        <v>COUNTER/TIMER DIGITAL AUTONICS CT6S-1P4-220VAC</v>
      </c>
      <c r="H148" s="3" t="str">
        <f>IFERROR(__xludf.DUMMYFUNCTION("""COMPUTED_VALUE"""),"Autonics")</f>
        <v>Autonics</v>
      </c>
      <c r="I148" s="3">
        <f>IFERROR(__xludf.DUMMYFUNCTION("""COMPUTED_VALUE"""),1.0)</f>
        <v>1</v>
      </c>
      <c r="J148" s="3" t="str">
        <f>IFERROR(__xludf.DUMMYFUNCTION("""COMPUTED_VALUE"""),"Pcs")</f>
        <v>Pcs</v>
      </c>
      <c r="K148" s="5" t="str">
        <f>IFERROR(__xludf.DUMMYFUNCTION("""COMPUTED_VALUE"""),"https://www.tokopedia.com/magnaautomation/counter-timer-digital-autonics-ct6s-1p4-220vac?extParam=ivf%3Dfalse%26keyword%3Dcounter+autonics&amp;src=topads")</f>
        <v>https://www.tokopedia.com/magnaautomation/counter-timer-digital-autonics-ct6s-1p4-220vac?extParam=ivf%3Dfalse%26keyword%3Dcounter+autonics&amp;src=topads</v>
      </c>
      <c r="L148" s="3" t="str">
        <f>IFERROR(__xludf.DUMMYFUNCTION("""COMPUTED_VALUE"""),"Buat cek PWG on beberapa kali selama 1 hari, tk buat min stok yah ")</f>
        <v>Buat cek PWG on beberapa kali selama 1 hari, tk buat min stok yah </v>
      </c>
      <c r="M148" s="3" t="str">
        <f>IFERROR(__xludf.DUMMYFUNCTION("""COMPUTED_VALUE"""),"Approve")</f>
        <v>Approve</v>
      </c>
      <c r="N148" s="3" t="str">
        <f>IFERROR(__xludf.DUMMYFUNCTION("""COMPUTED_VALUE"""),"Normal")</f>
        <v>Normal</v>
      </c>
      <c r="O148" s="3" t="str">
        <f>IFERROR(__xludf.DUMMYFUNCTION("""COMPUTED_VALUE"""),"Non Urgent")</f>
        <v>Non Urgent</v>
      </c>
      <c r="P148" s="7">
        <f>IFERROR(__xludf.DUMMYFUNCTION("""COMPUTED_VALUE"""),45798.476873402775)</f>
        <v>45798.47687</v>
      </c>
    </row>
    <row r="149">
      <c r="A149" s="4">
        <f>IFERROR(__xludf.DUMMYFUNCTION("""COMPUTED_VALUE"""),45797.66488145833)</f>
        <v>45797.66488</v>
      </c>
      <c r="B149" s="3" t="str">
        <f>IFERROR(__xludf.DUMMYFUNCTION("""COMPUTED_VALUE"""),"INNBR0028")</f>
        <v>INNBR0028</v>
      </c>
      <c r="C149" s="3" t="str">
        <f>IFERROR(__xludf.DUMMYFUNCTION("""COMPUTED_VALUE"""),"EJO")</f>
        <v>EJO</v>
      </c>
      <c r="D149" s="3" t="str">
        <f>IFERROR(__xludf.DUMMYFUNCTION("""COMPUTED_VALUE"""),"EJO/2025/05/99")</f>
        <v>EJO/2025/05/99</v>
      </c>
      <c r="E149" s="3" t="str">
        <f>IFERROR(__xludf.DUMMYFUNCTION("""COMPUTED_VALUE"""),"Part Filling")</f>
        <v>Part Filling</v>
      </c>
      <c r="F149" s="3" t="str">
        <f>IFERROR(__xludf.DUMMYFUNCTION("""COMPUTED_VALUE"""),"Spare Actuator For type 654 size DN10- DN20 seat size MG10")</f>
        <v>Spare Actuator For type 654 size DN10- DN20 seat size MG10</v>
      </c>
      <c r="G149" s="3" t="str">
        <f>IFERROR(__xludf.DUMMYFUNCTION("""COMPUTED_VALUE"""),"Sesuai penawaran")</f>
        <v>Sesuai penawaran</v>
      </c>
      <c r="H149" s="3" t="str">
        <f>IFERROR(__xludf.DUMMYFUNCTION("""COMPUTED_VALUE"""),"Gemu")</f>
        <v>Gemu</v>
      </c>
      <c r="I149" s="3">
        <f>IFERROR(__xludf.DUMMYFUNCTION("""COMPUTED_VALUE"""),2.0)</f>
        <v>2</v>
      </c>
      <c r="J149" s="3" t="str">
        <f>IFERROR(__xludf.DUMMYFUNCTION("""COMPUTED_VALUE"""),"pcs")</f>
        <v>pcs</v>
      </c>
      <c r="K149" s="5" t="str">
        <f>IFERROR(__xludf.DUMMYFUNCTION("""COMPUTED_VALUE"""),"https://drive.google.com/file/d/1kGDj03EvrPoekh4YS-Tsi0eLllX8GG8U/view?usp=drive_link")</f>
        <v>https://drive.google.com/file/d/1kGDj03EvrPoekh4YS-Tsi0eLllX8GG8U/view?usp=drive_link</v>
      </c>
      <c r="L149" s="3" t="str">
        <f>IFERROR(__xludf.DUMMYFUNCTION("""COMPUTED_VALUE"""),"handle awalnya plastic di ganti yg stanles agar lebih awet")</f>
        <v>handle awalnya plastic di ganti yg stanles agar lebih awet</v>
      </c>
      <c r="M149" s="3" t="str">
        <f>IFERROR(__xludf.DUMMYFUNCTION("""COMPUTED_VALUE"""),"Approve")</f>
        <v>Approve</v>
      </c>
      <c r="N149" s="3" t="str">
        <f>IFERROR(__xludf.DUMMYFUNCTION("""COMPUTED_VALUE"""),"Normal")</f>
        <v>Normal</v>
      </c>
      <c r="O149" s="3" t="str">
        <f>IFERROR(__xludf.DUMMYFUNCTION("""COMPUTED_VALUE"""),"Non Urgent")</f>
        <v>Non Urgent</v>
      </c>
      <c r="P149" s="7">
        <f>IFERROR(__xludf.DUMMYFUNCTION("""COMPUTED_VALUE"""),45812.560652395834)</f>
        <v>45812.56065</v>
      </c>
    </row>
    <row r="150">
      <c r="A150" s="4">
        <f>IFERROR(__xludf.DUMMYFUNCTION("""COMPUTED_VALUE"""),45800.70543971065)</f>
        <v>45800.70544</v>
      </c>
      <c r="B150" s="3" t="str">
        <f>IFERROR(__xludf.DUMMYFUNCTION("""COMPUTED_VALUE"""),"ROSBR0018")</f>
        <v>ROSBR0018</v>
      </c>
      <c r="C150" s="3" t="str">
        <f>IFERROR(__xludf.DUMMYFUNCTION("""COMPUTED_VALUE"""),"Consumable")</f>
        <v>Consumable</v>
      </c>
      <c r="D150" s="3" t="str">
        <f>IFERROR(__xludf.DUMMYFUNCTION("""COMPUTED_VALUE"""),"NA")</f>
        <v>NA</v>
      </c>
      <c r="E150" s="3" t="str">
        <f>IFERROR(__xludf.DUMMYFUNCTION("""COMPUTED_VALUE"""),"Sartocheck")</f>
        <v>Sartocheck</v>
      </c>
      <c r="F150" s="3" t="str">
        <f>IFERROR(__xludf.DUMMYFUNCTION("""COMPUTED_VALUE"""),"Fuse Kaca")</f>
        <v>Fuse Kaca</v>
      </c>
      <c r="G150" s="3" t="str">
        <f>IFERROR(__xludf.DUMMYFUNCTION("""COMPUTED_VALUE"""),"fuse kaca 1.5A 250V kecil 5x20mm")</f>
        <v>fuse kaca 1.5A 250V kecil 5x20mm</v>
      </c>
      <c r="H150" s="3" t="str">
        <f>IFERROR(__xludf.DUMMYFUNCTION("""COMPUTED_VALUE"""),"General")</f>
        <v>General</v>
      </c>
      <c r="I150" s="3">
        <f>IFERROR(__xludf.DUMMYFUNCTION("""COMPUTED_VALUE"""),20.0)</f>
        <v>20</v>
      </c>
      <c r="J150" s="3" t="str">
        <f>IFERROR(__xludf.DUMMYFUNCTION("""COMPUTED_VALUE"""),"Pcs")</f>
        <v>Pcs</v>
      </c>
      <c r="K150" s="5" t="str">
        <f>IFERROR(__xludf.DUMMYFUNCTION("""COMPUTED_VALUE"""),"https://www.tokopedia.com/snapshot_product?dtl_id=4553598138&amp;order_id=2113893208")</f>
        <v>https://www.tokopedia.com/snapshot_product?dtl_id=4553598138&amp;order_id=2113893208</v>
      </c>
      <c r="L150" s="3" t="str">
        <f>IFERROR(__xludf.DUMMYFUNCTION("""COMPUTED_VALUE"""),"-")</f>
        <v>-</v>
      </c>
      <c r="M150" s="3" t="str">
        <f>IFERROR(__xludf.DUMMYFUNCTION("""COMPUTED_VALUE"""),"Approve")</f>
        <v>Approve</v>
      </c>
      <c r="N150" s="3" t="str">
        <f>IFERROR(__xludf.DUMMYFUNCTION("""COMPUTED_VALUE"""),"Normal")</f>
        <v>Normal</v>
      </c>
      <c r="O150" s="3" t="str">
        <f>IFERROR(__xludf.DUMMYFUNCTION("""COMPUTED_VALUE"""),"Non Urgent")</f>
        <v>Non Urgent</v>
      </c>
      <c r="P150" s="7">
        <f>IFERROR(__xludf.DUMMYFUNCTION("""COMPUTED_VALUE"""),45825.37776420139)</f>
        <v>45825.37776</v>
      </c>
    </row>
    <row r="151">
      <c r="A151" s="4">
        <f>IFERROR(__xludf.DUMMYFUNCTION("""COMPUTED_VALUE"""),45800.884606562504)</f>
        <v>45800.88461</v>
      </c>
      <c r="B151" s="3" t="str">
        <f>IFERROR(__xludf.DUMMYFUNCTION("""COMPUTED_VALUE"""),"ROSBR0019")</f>
        <v>ROSBR0019</v>
      </c>
      <c r="C151" s="3" t="str">
        <f>IFERROR(__xludf.DUMMYFUNCTION("""COMPUTED_VALUE"""),"Consumable")</f>
        <v>Consumable</v>
      </c>
      <c r="D151" s="3" t="str">
        <f>IFERROR(__xludf.DUMMYFUNCTION("""COMPUTED_VALUE"""),"NA")</f>
        <v>NA</v>
      </c>
      <c r="E151" s="3" t="str">
        <f>IFERROR(__xludf.DUMMYFUNCTION("""COMPUTED_VALUE"""),"Dustcollector Coating")</f>
        <v>Dustcollector Coating</v>
      </c>
      <c r="F151" s="3" t="str">
        <f>IFERROR(__xludf.DUMMYFUNCTION("""COMPUTED_VALUE"""),"Cover filter masker 3M")</f>
        <v>Cover filter masker 3M</v>
      </c>
      <c r="G151" s="3" t="str">
        <f>IFERROR(__xludf.DUMMYFUNCTION("""COMPUTED_VALUE"""),"Filter Cover Masker / 5N11 Filter Cover 3M 501")</f>
        <v>Filter Cover Masker / 5N11 Filter Cover 3M 501</v>
      </c>
      <c r="H151" s="3" t="str">
        <f>IFERROR(__xludf.DUMMYFUNCTION("""COMPUTED_VALUE"""),"3M")</f>
        <v>3M</v>
      </c>
      <c r="I151" s="3">
        <f>IFERROR(__xludf.DUMMYFUNCTION("""COMPUTED_VALUE"""),10.0)</f>
        <v>10</v>
      </c>
      <c r="J151" s="3" t="str">
        <f>IFERROR(__xludf.DUMMYFUNCTION("""COMPUTED_VALUE"""),"pcs")</f>
        <v>pcs</v>
      </c>
      <c r="K151" s="5" t="str">
        <f>IFERROR(__xludf.DUMMYFUNCTION("""COMPUTED_VALUE"""),"https://www.tokopedia.com/verticalstore/filter-cover-masker-5n11-filter-cover-3m-501?extParam=ivf%3Dfalse%26keyword%3Dfilter+cover+masker+%2F+5n11+filter+cover+3m+501%26search_id%3D20250523141235D198A66FA6C3F7184N2Y%26src%3Dsearch&amp;t_id=1748009589076&amp;t_st="&amp;"1&amp;t_pp=search_result&amp;t_efo=search_pure_goods_card&amp;t_ef=goods_search&amp;t_sm=&amp;t_spt=search_result")</f>
        <v>https://www.tokopedia.com/verticalstore/filter-cover-masker-5n11-filter-cover-3m-501?extParam=ivf%3Dfalse%26keyword%3Dfilter+cover+masker+%2F+5n11+filter+cover+3m+501%26search_id%3D20250523141235D198A66FA6C3F7184N2Y%26src%3Dsearch&amp;t_id=1748009589076&amp;t_st=1&amp;t_pp=search_result&amp;t_efo=search_pure_goods_card&amp;t_ef=goods_search&amp;t_sm=&amp;t_spt=search_result</v>
      </c>
      <c r="L151" s="3" t="str">
        <f>IFERROR(__xludf.DUMMYFUNCTION("""COMPUTED_VALUE"""),"cover prefilter pada Masker 3M 6800")</f>
        <v>cover prefilter pada Masker 3M 6800</v>
      </c>
      <c r="M151" s="3" t="str">
        <f>IFERROR(__xludf.DUMMYFUNCTION("""COMPUTED_VALUE"""),"Approve")</f>
        <v>Approve</v>
      </c>
      <c r="N151" s="3" t="str">
        <f>IFERROR(__xludf.DUMMYFUNCTION("""COMPUTED_VALUE"""),"Normal")</f>
        <v>Normal</v>
      </c>
      <c r="O151" s="3" t="str">
        <f>IFERROR(__xludf.DUMMYFUNCTION("""COMPUTED_VALUE"""),"Non Urgent")</f>
        <v>Non Urgent</v>
      </c>
      <c r="P151" s="7">
        <f>IFERROR(__xludf.DUMMYFUNCTION("""COMPUTED_VALUE"""),45825.40835431713)</f>
        <v>45825.40835</v>
      </c>
    </row>
    <row r="152">
      <c r="A152" s="4">
        <f>IFERROR(__xludf.DUMMYFUNCTION("""COMPUTED_VALUE"""),45800.890040370374)</f>
        <v>45800.89004</v>
      </c>
      <c r="B152" s="3" t="str">
        <f>IFERROR(__xludf.DUMMYFUNCTION("""COMPUTED_VALUE"""),"ROSBR0020")</f>
        <v>ROSBR0020</v>
      </c>
      <c r="C152" s="3" t="str">
        <f>IFERROR(__xludf.DUMMYFUNCTION("""COMPUTED_VALUE"""),"Consumable")</f>
        <v>Consumable</v>
      </c>
      <c r="D152" s="3" t="str">
        <f>IFERROR(__xludf.DUMMYFUNCTION("""COMPUTED_VALUE"""),"NA")</f>
        <v>NA</v>
      </c>
      <c r="E152" s="3" t="str">
        <f>IFERROR(__xludf.DUMMYFUNCTION("""COMPUTED_VALUE"""),"Duscollector Coating")</f>
        <v>Duscollector Coating</v>
      </c>
      <c r="F152" s="3" t="str">
        <f>IFERROR(__xludf.DUMMYFUNCTION("""COMPUTED_VALUE"""),"Prefilter 5N11 N95")</f>
        <v>Prefilter 5N11 N95</v>
      </c>
      <c r="G152" s="3" t="str">
        <f>IFERROR(__xludf.DUMMYFUNCTION("""COMPUTED_VALUE"""),"3M partikel filter 5N11")</f>
        <v>3M partikel filter 5N11</v>
      </c>
      <c r="H152" s="3" t="str">
        <f>IFERROR(__xludf.DUMMYFUNCTION("""COMPUTED_VALUE"""),"3M")</f>
        <v>3M</v>
      </c>
      <c r="I152" s="3">
        <f>IFERROR(__xludf.DUMMYFUNCTION("""COMPUTED_VALUE"""),2.0)</f>
        <v>2</v>
      </c>
      <c r="J152" s="3" t="str">
        <f>IFERROR(__xludf.DUMMYFUNCTION("""COMPUTED_VALUE"""),"Box")</f>
        <v>Box</v>
      </c>
      <c r="K152" s="5" t="str">
        <f>IFERROR(__xludf.DUMMYFUNCTION("""COMPUTED_VALUE"""),"https://www.tokopedia.com/anandito1207/3m-partikel-filter-5n11?extParam=ivf%3Dfalse%26keyword%3Dfilter+5n11+3m%26search_id%3D20250523141807D3AA820E99B7C7102QRC%26src%3Dsearch&amp;t_id=1748009589076&amp;t_st=2&amp;t_pp=search_result&amp;t_efo=search_pure_goods_card&amp;t_ef=g"&amp;"oods_search&amp;t_sm=&amp;t_spt=search_result")</f>
        <v>https://www.tokopedia.com/anandito1207/3m-partikel-filter-5n11?extParam=ivf%3Dfalse%26keyword%3Dfilter+5n11+3m%26search_id%3D20250523141807D3AA820E99B7C7102QRC%26src%3Dsearch&amp;t_id=1748009589076&amp;t_st=2&amp;t_pp=search_result&amp;t_efo=search_pure_goods_card&amp;t_ef=goods_search&amp;t_sm=&amp;t_spt=search_result</v>
      </c>
      <c r="L152" s="3" t="str">
        <f>IFERROR(__xludf.DUMMYFUNCTION("""COMPUTED_VALUE"""),"Prefilter 5N11 merk 3M")</f>
        <v>Prefilter 5N11 merk 3M</v>
      </c>
      <c r="M152" s="3" t="str">
        <f>IFERROR(__xludf.DUMMYFUNCTION("""COMPUTED_VALUE"""),"Approve")</f>
        <v>Approve</v>
      </c>
      <c r="N152" s="3" t="str">
        <f>IFERROR(__xludf.DUMMYFUNCTION("""COMPUTED_VALUE"""),"Normal")</f>
        <v>Normal</v>
      </c>
      <c r="O152" s="3" t="str">
        <f>IFERROR(__xludf.DUMMYFUNCTION("""COMPUTED_VALUE"""),"Non Urgent")</f>
        <v>Non Urgent</v>
      </c>
      <c r="P152" s="7">
        <f>IFERROR(__xludf.DUMMYFUNCTION("""COMPUTED_VALUE"""),45825.40945291666)</f>
        <v>45825.40945</v>
      </c>
    </row>
    <row r="153">
      <c r="A153" s="4">
        <f>IFERROR(__xludf.DUMMYFUNCTION("""COMPUTED_VALUE"""),45800.89524377314)</f>
        <v>45800.89524</v>
      </c>
      <c r="B153" s="3" t="str">
        <f>IFERROR(__xludf.DUMMYFUNCTION("""COMPUTED_VALUE"""),"ROSBR0021")</f>
        <v>ROSBR0021</v>
      </c>
      <c r="C153" s="3" t="str">
        <f>IFERROR(__xludf.DUMMYFUNCTION("""COMPUTED_VALUE"""),"Consumable")</f>
        <v>Consumable</v>
      </c>
      <c r="D153" s="3" t="str">
        <f>IFERROR(__xludf.DUMMYFUNCTION("""COMPUTED_VALUE"""),"NA")</f>
        <v>NA</v>
      </c>
      <c r="E153" s="3" t="str">
        <f>IFERROR(__xludf.DUMMYFUNCTION("""COMPUTED_VALUE"""),"Duscollector Coating")</f>
        <v>Duscollector Coating</v>
      </c>
      <c r="F153" s="3" t="str">
        <f>IFERROR(__xludf.DUMMYFUNCTION("""COMPUTED_VALUE"""),"3M 6006 Catridge")</f>
        <v>3M 6006 Catridge</v>
      </c>
      <c r="G153" s="3" t="str">
        <f>IFERROR(__xludf.DUMMYFUNCTION("""COMPUTED_VALUE"""),"3M 6006 Multi Acid Gas Organic Vapor Cartridge")</f>
        <v>3M 6006 Multi Acid Gas Organic Vapor Cartridge</v>
      </c>
      <c r="H153" s="3" t="str">
        <f>IFERROR(__xludf.DUMMYFUNCTION("""COMPUTED_VALUE"""),"3M")</f>
        <v>3M</v>
      </c>
      <c r="I153" s="3">
        <f>IFERROR(__xludf.DUMMYFUNCTION("""COMPUTED_VALUE"""),6.0)</f>
        <v>6</v>
      </c>
      <c r="J153" s="3" t="str">
        <f>IFERROR(__xludf.DUMMYFUNCTION("""COMPUTED_VALUE"""),"set")</f>
        <v>set</v>
      </c>
      <c r="K153" s="5" t="str">
        <f>IFERROR(__xludf.DUMMYFUNCTION("""COMPUTED_VALUE"""),"https://www.tokopedia.com/3m/3m-6006-multi-acid-gas-organic-vapor-cartridge-1-bag-isi-2-pcs-1731256986403374100?extParam=ivf%3Dfalse%26keyword%3D3m+6006%26search_id%3D2025052314224576F53CB73EA595211H8E%26src%3Dsearch")</f>
        <v>https://www.tokopedia.com/3m/3m-6006-multi-acid-gas-organic-vapor-cartridge-1-bag-isi-2-pcs-1731256986403374100?extParam=ivf%3Dfalse%26keyword%3D3m+6006%26search_id%3D2025052314224576F53CB73EA595211H8E%26src%3Dsearch</v>
      </c>
      <c r="L153" s="3" t="str">
        <f>IFERROR(__xludf.DUMMYFUNCTION("""COMPUTED_VALUE"""),"-")</f>
        <v>-</v>
      </c>
      <c r="M153" s="3" t="str">
        <f>IFERROR(__xludf.DUMMYFUNCTION("""COMPUTED_VALUE"""),"Approve")</f>
        <v>Approve</v>
      </c>
      <c r="N153" s="3" t="str">
        <f>IFERROR(__xludf.DUMMYFUNCTION("""COMPUTED_VALUE"""),"Normal")</f>
        <v>Normal</v>
      </c>
      <c r="O153" s="3" t="str">
        <f>IFERROR(__xludf.DUMMYFUNCTION("""COMPUTED_VALUE"""),"Non Urgent")</f>
        <v>Non Urgent</v>
      </c>
      <c r="P153" s="7">
        <f>IFERROR(__xludf.DUMMYFUNCTION("""COMPUTED_VALUE"""),45825.41087251157)</f>
        <v>45825.41087</v>
      </c>
    </row>
    <row r="154">
      <c r="A154" s="4">
        <f>IFERROR(__xludf.DUMMYFUNCTION("""COMPUTED_VALUE"""),45800.90225410879)</f>
        <v>45800.90225</v>
      </c>
      <c r="B154" s="3" t="str">
        <f>IFERROR(__xludf.DUMMYFUNCTION("""COMPUTED_VALUE"""),"ROSBR0022")</f>
        <v>ROSBR0022</v>
      </c>
      <c r="C154" s="3" t="str">
        <f>IFERROR(__xludf.DUMMYFUNCTION("""COMPUTED_VALUE"""),"Consumable")</f>
        <v>Consumable</v>
      </c>
      <c r="D154" s="3" t="str">
        <f>IFERROR(__xludf.DUMMYFUNCTION("""COMPUTED_VALUE"""),"NA")</f>
        <v>NA</v>
      </c>
      <c r="E154" s="3" t="str">
        <f>IFERROR(__xludf.DUMMYFUNCTION("""COMPUTED_VALUE"""),"Duscollector Coating")</f>
        <v>Duscollector Coating</v>
      </c>
      <c r="F154" s="3" t="str">
        <f>IFERROR(__xludf.DUMMYFUNCTION("""COMPUTED_VALUE"""),"Masker 3M Full Facepiece")</f>
        <v>Masker 3M Full Facepiece</v>
      </c>
      <c r="G154" s="3" t="str">
        <f>IFERROR(__xludf.DUMMYFUNCTION("""COMPUTED_VALUE"""),"Reusable Masker Respirator 6800
size M")</f>
        <v>Reusable Masker Respirator 6800
size M</v>
      </c>
      <c r="H154" s="3" t="str">
        <f>IFERROR(__xludf.DUMMYFUNCTION("""COMPUTED_VALUE"""),"3M")</f>
        <v>3M</v>
      </c>
      <c r="I154" s="3">
        <f>IFERROR(__xludf.DUMMYFUNCTION("""COMPUTED_VALUE"""),2.0)</f>
        <v>2</v>
      </c>
      <c r="J154" s="3" t="str">
        <f>IFERROR(__xludf.DUMMYFUNCTION("""COMPUTED_VALUE"""),"set")</f>
        <v>set</v>
      </c>
      <c r="K154" s="5" t="str">
        <f>IFERROR(__xludf.DUMMYFUNCTION("""COMPUTED_VALUE"""),"https://www.tokopedia.com/h2k/masker-3m-full-facepiece-reusable-masker-respirator-6800-6800-m?extParam=ivf%3Dfalse%26keyword%3Dmasker+3m+6800+full+respirator%26search_id%3D202505231435147BF68B8DB2D5560D62H0%26src%3Dsearch")</f>
        <v>https://www.tokopedia.com/h2k/masker-3m-full-facepiece-reusable-masker-respirator-6800-6800-m?extParam=ivf%3Dfalse%26keyword%3Dmasker+3m+6800+full+respirator%26search_id%3D202505231435147BF68B8DB2D5560D62H0%26src%3Dsearch</v>
      </c>
      <c r="L154" s="3" t="str">
        <f>IFERROR(__xludf.DUMMYFUNCTION("""COMPUTED_VALUE"""),"-")</f>
        <v>-</v>
      </c>
      <c r="M154" s="3" t="str">
        <f>IFERROR(__xludf.DUMMYFUNCTION("""COMPUTED_VALUE"""),"Approve")</f>
        <v>Approve</v>
      </c>
      <c r="N154" s="3" t="str">
        <f>IFERROR(__xludf.DUMMYFUNCTION("""COMPUTED_VALUE"""),"Normal")</f>
        <v>Normal</v>
      </c>
      <c r="O154" s="3" t="str">
        <f>IFERROR(__xludf.DUMMYFUNCTION("""COMPUTED_VALUE"""),"Non Urgent")</f>
        <v>Non Urgent</v>
      </c>
      <c r="P154" s="7">
        <f>IFERROR(__xludf.DUMMYFUNCTION("""COMPUTED_VALUE"""),45825.412661759256)</f>
        <v>45825.41266</v>
      </c>
    </row>
    <row r="155">
      <c r="A155" s="4">
        <f>IFERROR(__xludf.DUMMYFUNCTION("""COMPUTED_VALUE"""),45801.68770369212)</f>
        <v>45801.6877</v>
      </c>
      <c r="B155" s="3" t="str">
        <f>IFERROR(__xludf.DUMMYFUNCTION("""COMPUTED_VALUE"""),"AAABR0005")</f>
        <v>AAABR0005</v>
      </c>
      <c r="C155" s="3" t="str">
        <f>IFERROR(__xludf.DUMMYFUNCTION("""COMPUTED_VALUE"""),"Consumable")</f>
        <v>Consumable</v>
      </c>
      <c r="D155" s="3" t="str">
        <f>IFERROR(__xludf.DUMMYFUNCTION("""COMPUTED_VALUE"""),"NA")</f>
        <v>NA</v>
      </c>
      <c r="E155" s="3" t="str">
        <f>IFERROR(__xludf.DUMMYFUNCTION("""COMPUTED_VALUE"""),"Meja Goodman")</f>
        <v>Meja Goodman</v>
      </c>
      <c r="F155" s="3" t="str">
        <f>IFERROR(__xludf.DUMMYFUNCTION("""COMPUTED_VALUE"""),"mini connector (Stecker)")</f>
        <v>mini connector (Stecker)</v>
      </c>
      <c r="G155" s="3" t="str">
        <f>IFERROR(__xludf.DUMMYFUNCTION("""COMPUTED_VALUE"""),"Male + Female connector ; GST1813S ; 250V ; 20A")</f>
        <v>Male + Female connector ; GST1813S ; 250V ; 20A</v>
      </c>
      <c r="H155" s="3" t="str">
        <f>IFERROR(__xludf.DUMMYFUNCTION("""COMPUTED_VALUE"""),"Wieland")</f>
        <v>Wieland</v>
      </c>
      <c r="I155" s="3">
        <f>IFERROR(__xludf.DUMMYFUNCTION("""COMPUTED_VALUE"""),5.0)</f>
        <v>5</v>
      </c>
      <c r="J155" s="3" t="str">
        <f>IFERROR(__xludf.DUMMYFUNCTION("""COMPUTED_VALUE"""),"Set")</f>
        <v>Set</v>
      </c>
      <c r="K155" s="5" t="str">
        <f>IFERROR(__xludf.DUMMYFUNCTION("""COMPUTED_VALUE"""),"https://www.google.com/search?q=+GST1813S+20+A&amp;sca_esv=55be52598c2605ca&amp;rlz=1C1GCEA_enID973ID973&amp;udm=2&amp;biw=1093&amp;bih=497&amp;ei=EJExaJWZB7Ov4-EPisWviA0&amp;ved=0ahUKEwiV4fCd5buNAxWz1zgGHYriC9EQ4dUDCBE&amp;uact=5&amp;oq=+GST1813S+20+A&amp;gs_lp=EgNpbWciDiBHU1QxODEzUyAyMCBBSJwQ"&amp;"ULAFWN4HcAF4AJABAJgBeKAB3AGqAQMyLjG4AQPIAQD4AQGYAgCgAgCYAwCIBgGSBwCgB4cBsgcAuAcA&amp;sclient=img")</f>
        <v>https://www.google.com/search?q=+GST1813S+20+A&amp;sca_esv=55be52598c2605ca&amp;rlz=1C1GCEA_enID973ID973&amp;udm=2&amp;biw=1093&amp;bih=497&amp;ei=EJExaJWZB7Ov4-EPisWviA0&amp;ved=0ahUKEwiV4fCd5buNAxWz1zgGHYriC9EQ4dUDCBE&amp;uact=5&amp;oq=+GST1813S+20+A&amp;gs_lp=EgNpbWciDiBHU1QxODEzUyAyMCBBSJwQULAFWN4HcAF4AJABAJgBeKAB3AGqAQMyLjG4AQPIAQD4AQGYAgCgAgCYAwCIBgGSBwCgB4cBsgcAuAcA&amp;sclient=img</v>
      </c>
      <c r="L155" s="3" t="str">
        <f>IFERROR(__xludf.DUMMYFUNCTION("""COMPUTED_VALUE"""),"Needed Date : 24 Jun 25")</f>
        <v>Needed Date : 24 Jun 25</v>
      </c>
      <c r="M155" s="3" t="str">
        <f>IFERROR(__xludf.DUMMYFUNCTION("""COMPUTED_VALUE"""),"Approve")</f>
        <v>Approve</v>
      </c>
      <c r="N155" s="3" t="str">
        <f>IFERROR(__xludf.DUMMYFUNCTION("""COMPUTED_VALUE"""),"Normal")</f>
        <v>Normal</v>
      </c>
      <c r="O155" s="3" t="str">
        <f>IFERROR(__xludf.DUMMYFUNCTION("""COMPUTED_VALUE"""),"Non Urgent")</f>
        <v>Non Urgent</v>
      </c>
      <c r="P155" s="7">
        <f>IFERROR(__xludf.DUMMYFUNCTION("""COMPUTED_VALUE"""),45810.71553498843)</f>
        <v>45810.71553</v>
      </c>
    </row>
    <row r="156">
      <c r="A156" s="4">
        <f>IFERROR(__xludf.DUMMYFUNCTION("""COMPUTED_VALUE"""),45802.54709849537)</f>
        <v>45802.5471</v>
      </c>
      <c r="B156" s="3" t="str">
        <f>IFERROR(__xludf.DUMMYFUNCTION("""COMPUTED_VALUE"""),"MFHBR0006")</f>
        <v>MFHBR0006</v>
      </c>
      <c r="C156" s="3" t="str">
        <f>IFERROR(__xludf.DUMMYFUNCTION("""COMPUTED_VALUE"""),"Critical Part")</f>
        <v>Critical Part</v>
      </c>
      <c r="D156" s="3" t="str">
        <f>IFERROR(__xludf.DUMMYFUNCTION("""COMPUTED_VALUE"""),"-")</f>
        <v>-</v>
      </c>
      <c r="E156" s="3" t="str">
        <f>IFERROR(__xludf.DUMMYFUNCTION("""COMPUTED_VALUE"""),"Pompa")</f>
        <v>Pompa</v>
      </c>
      <c r="F156" s="3" t="str">
        <f>IFERROR(__xludf.DUMMYFUNCTION("""COMPUTED_VALUE"""),"Pompa Grundfoss")</f>
        <v>Pompa Grundfoss</v>
      </c>
      <c r="G156" s="3" t="str">
        <f>IFERROR(__xludf.DUMMYFUNCTION("""COMPUTED_VALUE"""),"CR 32-3 A-F-A-E-HQQE 3x400D 50 HZ")</f>
        <v>CR 32-3 A-F-A-E-HQQE 3x400D 50 HZ</v>
      </c>
      <c r="H156" s="3" t="str">
        <f>IFERROR(__xludf.DUMMYFUNCTION("""COMPUTED_VALUE"""),"Grundfoss")</f>
        <v>Grundfoss</v>
      </c>
      <c r="I156" s="3">
        <f>IFERROR(__xludf.DUMMYFUNCTION("""COMPUTED_VALUE"""),1.0)</f>
        <v>1</v>
      </c>
      <c r="J156" s="3" t="str">
        <f>IFERROR(__xludf.DUMMYFUNCTION("""COMPUTED_VALUE"""),"Unt")</f>
        <v>Unt</v>
      </c>
      <c r="K156" s="3" t="str">
        <f>IFERROR(__xludf.DUMMYFUNCTION("""COMPUTED_VALUE"""),"Email Pak Joko")</f>
        <v>Email Pak Joko</v>
      </c>
      <c r="L156" s="3" t="str">
        <f>IFERROR(__xludf.DUMMYFUNCTION("""COMPUTED_VALUE"""),"PR 121702361")</f>
        <v>PR 121702361</v>
      </c>
      <c r="M156" s="3" t="str">
        <f>IFERROR(__xludf.DUMMYFUNCTION("""COMPUTED_VALUE"""),"Approve")</f>
        <v>Approve</v>
      </c>
      <c r="N156" s="3" t="str">
        <f>IFERROR(__xludf.DUMMYFUNCTION("""COMPUTED_VALUE"""),"Normal")</f>
        <v>Normal</v>
      </c>
      <c r="O156" s="3" t="str">
        <f>IFERROR(__xludf.DUMMYFUNCTION("""COMPUTED_VALUE"""),"Non Urgent")</f>
        <v>Non Urgent</v>
      </c>
      <c r="P156" s="7">
        <f>IFERROR(__xludf.DUMMYFUNCTION("""COMPUTED_VALUE"""),45802.672326458334)</f>
        <v>45802.67233</v>
      </c>
    </row>
    <row r="157">
      <c r="A157" s="4">
        <f>IFERROR(__xludf.DUMMYFUNCTION("""COMPUTED_VALUE"""),45804.027452222224)</f>
        <v>45804.02745</v>
      </c>
      <c r="B157" s="3" t="str">
        <f>IFERROR(__xludf.DUMMYFUNCTION("""COMPUTED_VALUE"""),"INNBR0029")</f>
        <v>INNBR0029</v>
      </c>
      <c r="C157" s="3" t="str">
        <f>IFERROR(__xludf.DUMMYFUNCTION("""COMPUTED_VALUE"""),"Critical Part")</f>
        <v>Critical Part</v>
      </c>
      <c r="D157" s="3" t="str">
        <f>IFERROR(__xludf.DUMMYFUNCTION("""COMPUTED_VALUE"""),"-")</f>
        <v>-</v>
      </c>
      <c r="E157" s="3" t="str">
        <f>IFERROR(__xludf.DUMMYFUNCTION("""COMPUTED_VALUE"""),"FD")</f>
        <v>FD</v>
      </c>
      <c r="F157" s="3" t="str">
        <f>IFERROR(__xludf.DUMMYFUNCTION("""COMPUTED_VALUE"""),"PNOZ X2.1 24VAC/DC 2n/o")</f>
        <v>PNOZ X2.1 24VAC/DC 2n/o</v>
      </c>
      <c r="G157" s="3" t="str">
        <f>IFERROR(__xludf.DUMMYFUNCTION("""COMPUTED_VALUE"""),"Sesuai penawaran")</f>
        <v>Sesuai penawaran</v>
      </c>
      <c r="H157" s="3" t="str">
        <f>IFERROR(__xludf.DUMMYFUNCTION("""COMPUTED_VALUE"""),"pilz")</f>
        <v>pilz</v>
      </c>
      <c r="I157" s="3">
        <f>IFERROR(__xludf.DUMMYFUNCTION("""COMPUTED_VALUE"""),2.0)</f>
        <v>2</v>
      </c>
      <c r="J157" s="3" t="str">
        <f>IFERROR(__xludf.DUMMYFUNCTION("""COMPUTED_VALUE"""),"pcs")</f>
        <v>pcs</v>
      </c>
      <c r="K157" s="5" t="str">
        <f>IFERROR(__xludf.DUMMYFUNCTION("""COMPUTED_VALUE"""),"https://drive.google.com/file/d/1HvzfTC4qFTLU-v_oKvx0ME7360_1ThHh/view?usp=drive_link")</f>
        <v>https://drive.google.com/file/d/1HvzfTC4qFTLU-v_oKvx0ME7360_1ThHh/view?usp=drive_link</v>
      </c>
      <c r="L157" s="3" t="str">
        <f>IFERROR(__xludf.DUMMYFUNCTION("""COMPUTED_VALUE"""),"Untuk penggantian safety relay SR5 karena sudah mulai rusak")</f>
        <v>Untuk penggantian safety relay SR5 karena sudah mulai rusak</v>
      </c>
      <c r="M157" s="3" t="str">
        <f>IFERROR(__xludf.DUMMYFUNCTION("""COMPUTED_VALUE"""),"Approve")</f>
        <v>Approve</v>
      </c>
      <c r="N157" s="3" t="str">
        <f>IFERROR(__xludf.DUMMYFUNCTION("""COMPUTED_VALUE"""),"Normal")</f>
        <v>Normal</v>
      </c>
      <c r="O157" s="3" t="str">
        <f>IFERROR(__xludf.DUMMYFUNCTION("""COMPUTED_VALUE"""),"Non Urgent")</f>
        <v>Non Urgent</v>
      </c>
      <c r="P157" s="7">
        <f>IFERROR(__xludf.DUMMYFUNCTION("""COMPUTED_VALUE"""),45810.71872621527)</f>
        <v>45810.71873</v>
      </c>
    </row>
    <row r="158">
      <c r="A158" s="4">
        <f>IFERROR(__xludf.DUMMYFUNCTION("""COMPUTED_VALUE"""),45804.48412032408)</f>
        <v>45804.48412</v>
      </c>
      <c r="B158" s="3" t="str">
        <f>IFERROR(__xludf.DUMMYFUNCTION("""COMPUTED_VALUE"""),"AAABR0006")</f>
        <v>AAABR0006</v>
      </c>
      <c r="C158" s="3" t="str">
        <f>IFERROR(__xludf.DUMMYFUNCTION("""COMPUTED_VALUE"""),"Critical Part")</f>
        <v>Critical Part</v>
      </c>
      <c r="D158" s="3" t="str">
        <f>IFERROR(__xludf.DUMMYFUNCTION("""COMPUTED_VALUE"""),"NA")</f>
        <v>NA</v>
      </c>
      <c r="E158" s="3" t="str">
        <f>IFERROR(__xludf.DUMMYFUNCTION("""COMPUTED_VALUE"""),"Freeze dryer")</f>
        <v>Freeze dryer</v>
      </c>
      <c r="F158" s="3" t="str">
        <f>IFERROR(__xludf.DUMMYFUNCTION("""COMPUTED_VALUE"""),"Compressor frequency converter 2")</f>
        <v>Compressor frequency converter 2</v>
      </c>
      <c r="G158" s="3" t="str">
        <f>IFERROR(__xludf.DUMMYFUNCTION("""COMPUTED_VALUE"""),"ATV71HD22N4Z ; ATV71 22kW; 150% overload;240w x 420h x 236d; heating 717w")</f>
        <v>ATV71HD22N4Z ; ATV71 22kW; 150% overload;240w x 420h x 236d; heating 717w</v>
      </c>
      <c r="H158" s="3" t="str">
        <f>IFERROR(__xludf.DUMMYFUNCTION("""COMPUTED_VALUE"""),"SCHNEIDER")</f>
        <v>SCHNEIDER</v>
      </c>
      <c r="I158" s="3">
        <f>IFERROR(__xludf.DUMMYFUNCTION("""COMPUTED_VALUE"""),1.0)</f>
        <v>1</v>
      </c>
      <c r="J158" s="3" t="str">
        <f>IFERROR(__xludf.DUMMYFUNCTION("""COMPUTED_VALUE"""),"Unit")</f>
        <v>Unit</v>
      </c>
      <c r="K158" s="3" t="str">
        <f>IFERROR(__xludf.DUMMYFUNCTION("""COMPUTED_VALUE"""),"NA")</f>
        <v>NA</v>
      </c>
      <c r="L158" s="3" t="str">
        <f>IFERROR(__xludf.DUMMYFUNCTION("""COMPUTED_VALUE"""),"Needed Date : 27-Jun-25")</f>
        <v>Needed Date : 27-Jun-25</v>
      </c>
      <c r="M158" s="3" t="str">
        <f>IFERROR(__xludf.DUMMYFUNCTION("""COMPUTED_VALUE"""),"Approve")</f>
        <v>Approve</v>
      </c>
      <c r="N158" s="3" t="str">
        <f>IFERROR(__xludf.DUMMYFUNCTION("""COMPUTED_VALUE"""),"Normal")</f>
        <v>Normal</v>
      </c>
      <c r="O158" s="3" t="str">
        <f>IFERROR(__xludf.DUMMYFUNCTION("""COMPUTED_VALUE"""),"Non Urgent")</f>
        <v>Non Urgent</v>
      </c>
      <c r="P158" s="7">
        <f>IFERROR(__xludf.DUMMYFUNCTION("""COMPUTED_VALUE"""),45810.71957075231)</f>
        <v>45810.71957</v>
      </c>
    </row>
    <row r="159">
      <c r="A159" s="4">
        <f>IFERROR(__xludf.DUMMYFUNCTION("""COMPUTED_VALUE"""),45804.48683061342)</f>
        <v>45804.48683</v>
      </c>
      <c r="B159" s="3" t="str">
        <f>IFERROR(__xludf.DUMMYFUNCTION("""COMPUTED_VALUE"""),"AAABR0007")</f>
        <v>AAABR0007</v>
      </c>
      <c r="C159" s="3" t="str">
        <f>IFERROR(__xludf.DUMMYFUNCTION("""COMPUTED_VALUE"""),"Critical Part")</f>
        <v>Critical Part</v>
      </c>
      <c r="D159" s="3" t="str">
        <f>IFERROR(__xludf.DUMMYFUNCTION("""COMPUTED_VALUE"""),"NA")</f>
        <v>NA</v>
      </c>
      <c r="E159" s="3" t="str">
        <f>IFERROR(__xludf.DUMMYFUNCTION("""COMPUTED_VALUE"""),"Freeze dryer")</f>
        <v>Freeze dryer</v>
      </c>
      <c r="F159" s="3" t="str">
        <f>IFERROR(__xludf.DUMMYFUNCTION("""COMPUTED_VALUE"""),"Main valve closed pressure switch")</f>
        <v>Main valve closed pressure switch</v>
      </c>
      <c r="G159" s="3" t="str">
        <f>IFERROR(__xludf.DUMMYFUNCTION("""COMPUTED_VALUE"""),"IPN-350 ; Setting Range：30~350bar，retry precision±1%，back pressure 5~8bar，IP65，with
APM-14")</f>
        <v>IPN-350 ; Setting Range：30~350bar，retry precision±1%，back pressure 5~8bar，IP65，with
APM-14</v>
      </c>
      <c r="H159" s="3" t="str">
        <f>IFERROR(__xludf.DUMMYFUNCTION("""COMPUTED_VALUE"""),"ISO")</f>
        <v>ISO</v>
      </c>
      <c r="I159" s="3">
        <f>IFERROR(__xludf.DUMMYFUNCTION("""COMPUTED_VALUE"""),1.0)</f>
        <v>1</v>
      </c>
      <c r="J159" s="3" t="str">
        <f>IFERROR(__xludf.DUMMYFUNCTION("""COMPUTED_VALUE"""),"Pcs")</f>
        <v>Pcs</v>
      </c>
      <c r="K159" s="3" t="str">
        <f>IFERROR(__xludf.DUMMYFUNCTION("""COMPUTED_VALUE"""),"NA")</f>
        <v>NA</v>
      </c>
      <c r="L159" s="3" t="str">
        <f>IFERROR(__xludf.DUMMYFUNCTION("""COMPUTED_VALUE"""),"Needed Date : 27-Jun-25")</f>
        <v>Needed Date : 27-Jun-25</v>
      </c>
      <c r="M159" s="3" t="str">
        <f>IFERROR(__xludf.DUMMYFUNCTION("""COMPUTED_VALUE"""),"Approve")</f>
        <v>Approve</v>
      </c>
      <c r="N159" s="3" t="str">
        <f>IFERROR(__xludf.DUMMYFUNCTION("""COMPUTED_VALUE"""),"Normal")</f>
        <v>Normal</v>
      </c>
      <c r="O159" s="3" t="str">
        <f>IFERROR(__xludf.DUMMYFUNCTION("""COMPUTED_VALUE"""),"Non Urgent")</f>
        <v>Non Urgent</v>
      </c>
      <c r="P159" s="7">
        <f>IFERROR(__xludf.DUMMYFUNCTION("""COMPUTED_VALUE"""),45810.72004814815)</f>
        <v>45810.72005</v>
      </c>
    </row>
    <row r="160">
      <c r="A160" s="4">
        <f>IFERROR(__xludf.DUMMYFUNCTION("""COMPUTED_VALUE"""),45804.49090712963)</f>
        <v>45804.49091</v>
      </c>
      <c r="B160" s="3" t="str">
        <f>IFERROR(__xludf.DUMMYFUNCTION("""COMPUTED_VALUE"""),"AAABR0009")</f>
        <v>AAABR0009</v>
      </c>
      <c r="C160" s="3" t="str">
        <f>IFERROR(__xludf.DUMMYFUNCTION("""COMPUTED_VALUE"""),"Critical Part")</f>
        <v>Critical Part</v>
      </c>
      <c r="D160" s="3" t="str">
        <f>IFERROR(__xludf.DUMMYFUNCTION("""COMPUTED_VALUE"""),"NA")</f>
        <v>NA</v>
      </c>
      <c r="E160" s="3" t="str">
        <f>IFERROR(__xludf.DUMMYFUNCTION("""COMPUTED_VALUE"""),"Freeze dryer")</f>
        <v>Freeze dryer</v>
      </c>
      <c r="F160" s="3" t="str">
        <f>IFERROR(__xludf.DUMMYFUNCTION("""COMPUTED_VALUE"""),"Shelf ram position sensor")</f>
        <v>Shelf ram position sensor</v>
      </c>
      <c r="G160" s="3" t="str">
        <f>IFERROR(__xludf.DUMMYFUNCTION("""COMPUTED_VALUE"""),"GHMXXXXMD601A0 ; accuracy:0.02%,power supply:DC24V,output signal:4-20mA")</f>
        <v>GHMXXXXMD601A0 ; accuracy:0.02%,power supply:DC24V,output signal:4-20mA</v>
      </c>
      <c r="H160" s="3" t="str">
        <f>IFERROR(__xludf.DUMMYFUNCTION("""COMPUTED_VALUE"""),"MTS")</f>
        <v>MTS</v>
      </c>
      <c r="I160" s="3">
        <f>IFERROR(__xludf.DUMMYFUNCTION("""COMPUTED_VALUE"""),1.0)</f>
        <v>1</v>
      </c>
      <c r="J160" s="3" t="str">
        <f>IFERROR(__xludf.DUMMYFUNCTION("""COMPUTED_VALUE"""),"Unit")</f>
        <v>Unit</v>
      </c>
      <c r="K160" s="3" t="str">
        <f>IFERROR(__xludf.DUMMYFUNCTION("""COMPUTED_VALUE"""),"NA")</f>
        <v>NA</v>
      </c>
      <c r="L160" s="3" t="str">
        <f>IFERROR(__xludf.DUMMYFUNCTION("""COMPUTED_VALUE"""),"Needed Date : 27-Jun-25")</f>
        <v>Needed Date : 27-Jun-25</v>
      </c>
      <c r="M160" s="3" t="str">
        <f>IFERROR(__xludf.DUMMYFUNCTION("""COMPUTED_VALUE"""),"Approve")</f>
        <v>Approve</v>
      </c>
      <c r="N160" s="3" t="str">
        <f>IFERROR(__xludf.DUMMYFUNCTION("""COMPUTED_VALUE"""),"Normal")</f>
        <v>Normal</v>
      </c>
      <c r="O160" s="3" t="str">
        <f>IFERROR(__xludf.DUMMYFUNCTION("""COMPUTED_VALUE"""),"Non Urgent")</f>
        <v>Non Urgent</v>
      </c>
      <c r="P160" s="7">
        <f>IFERROR(__xludf.DUMMYFUNCTION("""COMPUTED_VALUE"""),45812.556468043986)</f>
        <v>45812.55647</v>
      </c>
    </row>
    <row r="161">
      <c r="A161" s="4">
        <f>IFERROR(__xludf.DUMMYFUNCTION("""COMPUTED_VALUE"""),45804.492898495366)</f>
        <v>45804.4929</v>
      </c>
      <c r="B161" s="3" t="str">
        <f>IFERROR(__xludf.DUMMYFUNCTION("""COMPUTED_VALUE"""),"AAABR0010")</f>
        <v>AAABR0010</v>
      </c>
      <c r="C161" s="3" t="str">
        <f>IFERROR(__xludf.DUMMYFUNCTION("""COMPUTED_VALUE"""),"Critical Part")</f>
        <v>Critical Part</v>
      </c>
      <c r="D161" s="3" t="str">
        <f>IFERROR(__xludf.DUMMYFUNCTION("""COMPUTED_VALUE"""),"NA")</f>
        <v>NA</v>
      </c>
      <c r="E161" s="3" t="str">
        <f>IFERROR(__xludf.DUMMYFUNCTION("""COMPUTED_VALUE"""),"Freeze dryer")</f>
        <v>Freeze dryer</v>
      </c>
      <c r="F161" s="3" t="str">
        <f>IFERROR(__xludf.DUMMYFUNCTION("""COMPUTED_VALUE"""),"EDV 1 + SV 204")</f>
        <v>EDV 1 + SV 204</v>
      </c>
      <c r="G161" s="3" t="str">
        <f>IFERROR(__xludf.DUMMYFUNCTION("""COMPUTED_VALUE"""),"Electrically-controlled directional valve ; CRD02NCAMP3 ; Max:210Bar,16L/min;24V DC;Normal Close")</f>
        <v>Electrically-controlled directional valve ; CRD02NCAMP3 ; Max:210Bar,16L/min;24V DC;Normal Close</v>
      </c>
      <c r="H161" s="3" t="str">
        <f>IFERROR(__xludf.DUMMYFUNCTION("""COMPUTED_VALUE"""),"ARON")</f>
        <v>ARON</v>
      </c>
      <c r="I161" s="3">
        <f>IFERROR(__xludf.DUMMYFUNCTION("""COMPUTED_VALUE"""),2.0)</f>
        <v>2</v>
      </c>
      <c r="J161" s="3" t="str">
        <f>IFERROR(__xludf.DUMMYFUNCTION("""COMPUTED_VALUE"""),"Set")</f>
        <v>Set</v>
      </c>
      <c r="K161" s="3" t="str">
        <f>IFERROR(__xludf.DUMMYFUNCTION("""COMPUTED_VALUE"""),"NA")</f>
        <v>NA</v>
      </c>
      <c r="L161" s="3" t="str">
        <f>IFERROR(__xludf.DUMMYFUNCTION("""COMPUTED_VALUE"""),"Needed Date : 27-Jun-25")</f>
        <v>Needed Date : 27-Jun-25</v>
      </c>
      <c r="M161" s="3" t="str">
        <f>IFERROR(__xludf.DUMMYFUNCTION("""COMPUTED_VALUE"""),"Approve")</f>
        <v>Approve</v>
      </c>
      <c r="N161" s="3" t="str">
        <f>IFERROR(__xludf.DUMMYFUNCTION("""COMPUTED_VALUE"""),"Normal")</f>
        <v>Normal</v>
      </c>
      <c r="O161" s="3" t="str">
        <f>IFERROR(__xludf.DUMMYFUNCTION("""COMPUTED_VALUE"""),"Non Urgent")</f>
        <v>Non Urgent</v>
      </c>
      <c r="P161" s="7">
        <f>IFERROR(__xludf.DUMMYFUNCTION("""COMPUTED_VALUE"""),45812.55717461805)</f>
        <v>45812.55717</v>
      </c>
    </row>
    <row r="162">
      <c r="A162" s="4">
        <f>IFERROR(__xludf.DUMMYFUNCTION("""COMPUTED_VALUE"""),45804.49534081019)</f>
        <v>45804.49534</v>
      </c>
      <c r="B162" s="3" t="str">
        <f>IFERROR(__xludf.DUMMYFUNCTION("""COMPUTED_VALUE"""),"AAABR0011")</f>
        <v>AAABR0011</v>
      </c>
      <c r="C162" s="3" t="str">
        <f>IFERROR(__xludf.DUMMYFUNCTION("""COMPUTED_VALUE"""),"Critical Part")</f>
        <v>Critical Part</v>
      </c>
      <c r="D162" s="3" t="str">
        <f>IFERROR(__xludf.DUMMYFUNCTION("""COMPUTED_VALUE"""),"NA")</f>
        <v>NA</v>
      </c>
      <c r="E162" s="3" t="str">
        <f>IFERROR(__xludf.DUMMYFUNCTION("""COMPUTED_VALUE"""),"Freeze dryer")</f>
        <v>Freeze dryer</v>
      </c>
      <c r="F162" s="3" t="str">
        <f>IFERROR(__xludf.DUMMYFUNCTION("""COMPUTED_VALUE"""),"EDV 2 + SV 205")</f>
        <v>EDV 2 + SV 205</v>
      </c>
      <c r="G162" s="3" t="str">
        <f>IFERROR(__xludf.DUMMYFUNCTION("""COMPUTED_VALUE"""),"Electrically-controlled directional valve ; CRD02NCAMP3 ; Max:210Bar,16L/min;24V DC;Normal Close")</f>
        <v>Electrically-controlled directional valve ; CRD02NCAMP3 ; Max:210Bar,16L/min;24V DC;Normal Close</v>
      </c>
      <c r="H162" s="3" t="str">
        <f>IFERROR(__xludf.DUMMYFUNCTION("""COMPUTED_VALUE"""),"ARON")</f>
        <v>ARON</v>
      </c>
      <c r="I162" s="3">
        <f>IFERROR(__xludf.DUMMYFUNCTION("""COMPUTED_VALUE"""),2.0)</f>
        <v>2</v>
      </c>
      <c r="J162" s="3" t="str">
        <f>IFERROR(__xludf.DUMMYFUNCTION("""COMPUTED_VALUE"""),"Set")</f>
        <v>Set</v>
      </c>
      <c r="K162" s="3" t="str">
        <f>IFERROR(__xludf.DUMMYFUNCTION("""COMPUTED_VALUE"""),"NA")</f>
        <v>NA</v>
      </c>
      <c r="L162" s="3" t="str">
        <f>IFERROR(__xludf.DUMMYFUNCTION("""COMPUTED_VALUE"""),"Needed Date : 27-Jun-25")</f>
        <v>Needed Date : 27-Jun-25</v>
      </c>
      <c r="M162" s="3" t="str">
        <f>IFERROR(__xludf.DUMMYFUNCTION("""COMPUTED_VALUE"""),"Approve")</f>
        <v>Approve</v>
      </c>
      <c r="N162" s="3" t="str">
        <f>IFERROR(__xludf.DUMMYFUNCTION("""COMPUTED_VALUE"""),"Normal")</f>
        <v>Normal</v>
      </c>
      <c r="O162" s="3" t="str">
        <f>IFERROR(__xludf.DUMMYFUNCTION("""COMPUTED_VALUE"""),"Non Urgent")</f>
        <v>Non Urgent</v>
      </c>
      <c r="P162" s="7">
        <f>IFERROR(__xludf.DUMMYFUNCTION("""COMPUTED_VALUE"""),45812.55777142361)</f>
        <v>45812.55777</v>
      </c>
    </row>
    <row r="163">
      <c r="A163" s="4">
        <f>IFERROR(__xludf.DUMMYFUNCTION("""COMPUTED_VALUE"""),45810.97351447916)</f>
        <v>45810.97351</v>
      </c>
      <c r="B163" s="3" t="str">
        <f>IFERROR(__xludf.DUMMYFUNCTION("""COMPUTED_VALUE"""),"NDSBR0014")</f>
        <v>NDSBR0014</v>
      </c>
      <c r="C163" s="3" t="str">
        <f>IFERROR(__xludf.DUMMYFUNCTION("""COMPUTED_VALUE"""),"EJO")</f>
        <v>EJO</v>
      </c>
      <c r="D163" s="3" t="str">
        <f>IFERROR(__xludf.DUMMYFUNCTION("""COMPUTED_VALUE"""),"EJO/2025/05/130")</f>
        <v>EJO/2025/05/130</v>
      </c>
      <c r="E163" s="3" t="str">
        <f>IFERROR(__xludf.DUMMYFUNCTION("""COMPUTED_VALUE"""),"S&amp;D")</f>
        <v>S&amp;D</v>
      </c>
      <c r="F163" s="3" t="str">
        <f>IFERROR(__xludf.DUMMYFUNCTION("""COMPUTED_VALUE"""),"Magnehelic Dwyer")</f>
        <v>Magnehelic Dwyer</v>
      </c>
      <c r="G163" s="3" t="str">
        <f>IFERROR(__xludf.DUMMYFUNCTION("""COMPUTED_VALUE"""),"-")</f>
        <v>-</v>
      </c>
      <c r="H163" s="3" t="str">
        <f>IFERROR(__xludf.DUMMYFUNCTION("""COMPUTED_VALUE"""),"Dwyer")</f>
        <v>Dwyer</v>
      </c>
      <c r="I163" s="3">
        <f>IFERROR(__xludf.DUMMYFUNCTION("""COMPUTED_VALUE"""),3.0)</f>
        <v>3</v>
      </c>
      <c r="J163" s="3" t="str">
        <f>IFERROR(__xludf.DUMMYFUNCTION("""COMPUTED_VALUE"""),"PCS")</f>
        <v>PCS</v>
      </c>
      <c r="K163" s="5" t="str">
        <f>IFERROR(__xludf.DUMMYFUNCTION("""COMPUTED_VALUE"""),"https://drive.google.com/file/d/16NwXgqI1VK6m8g-HqsBf6riXewdw3PWP/view?usp=drive_link")</f>
        <v>https://drive.google.com/file/d/16NwXgqI1VK6m8g-HqsBf6riXewdw3PWP/view?usp=drive_link</v>
      </c>
      <c r="L163" s="3" t="str">
        <f>IFERROR(__xludf.DUMMYFUNCTION("""COMPUTED_VALUE"""),"Penawaran hanya 1 pcs, tolong beliin 3 ya dhil")</f>
        <v>Penawaran hanya 1 pcs, tolong beliin 3 ya dhil</v>
      </c>
      <c r="M163" s="3" t="str">
        <f>IFERROR(__xludf.DUMMYFUNCTION("""COMPUTED_VALUE"""),"Approve")</f>
        <v>Approve</v>
      </c>
      <c r="N163" s="3" t="str">
        <f>IFERROR(__xludf.DUMMYFUNCTION("""COMPUTED_VALUE"""),"Normal")</f>
        <v>Normal</v>
      </c>
      <c r="O163" s="3" t="str">
        <f>IFERROR(__xludf.DUMMYFUNCTION("""COMPUTED_VALUE"""),"Non Urgent")</f>
        <v>Non Urgent</v>
      </c>
      <c r="P163" s="7">
        <f>IFERROR(__xludf.DUMMYFUNCTION("""COMPUTED_VALUE"""),45812.56986137731)</f>
        <v>45812.56986</v>
      </c>
    </row>
    <row r="164">
      <c r="A164" s="4">
        <f>IFERROR(__xludf.DUMMYFUNCTION("""COMPUTED_VALUE"""),45813.44401478009)</f>
        <v>45813.44401</v>
      </c>
      <c r="B164" s="3" t="str">
        <f>IFERROR(__xludf.DUMMYFUNCTION("""COMPUTED_VALUE"""),"RIABR0041")</f>
        <v>RIABR0041</v>
      </c>
      <c r="C164" s="3" t="str">
        <f>IFERROR(__xludf.DUMMYFUNCTION("""COMPUTED_VALUE"""),"EJO")</f>
        <v>EJO</v>
      </c>
      <c r="D164" s="3" t="str">
        <f>IFERROR(__xludf.DUMMYFUNCTION("""COMPUTED_VALUE"""),"EJO/2025/05/03")</f>
        <v>EJO/2025/05/03</v>
      </c>
      <c r="E164" s="3" t="str">
        <f>IFERROR(__xludf.DUMMYFUNCTION("""COMPUTED_VALUE"""),"PSG")</f>
        <v>PSG</v>
      </c>
      <c r="F164" s="3" t="str">
        <f>IFERROR(__xludf.DUMMYFUNCTION("""COMPUTED_VALUE"""),"Wheel Sensor")</f>
        <v>Wheel Sensor</v>
      </c>
      <c r="G164" s="3" t="str">
        <f>IFERROR(__xludf.DUMMYFUNCTION("""COMPUTED_VALUE"""),"Burkert Spare Parts Paddle Wheel Sensor Type SET08")</f>
        <v>Burkert Spare Parts Paddle Wheel Sensor Type SET08</v>
      </c>
      <c r="H164" s="3" t="str">
        <f>IFERROR(__xludf.DUMMYFUNCTION("""COMPUTED_VALUE"""),"Burket")</f>
        <v>Burket</v>
      </c>
      <c r="I164" s="3">
        <f>IFERROR(__xludf.DUMMYFUNCTION("""COMPUTED_VALUE"""),1.0)</f>
        <v>1</v>
      </c>
      <c r="J164" s="3" t="str">
        <f>IFERROR(__xludf.DUMMYFUNCTION("""COMPUTED_VALUE"""),"Pcs")</f>
        <v>Pcs</v>
      </c>
      <c r="K164" s="5" t="str">
        <f>IFERROR(__xludf.DUMMYFUNCTION("""COMPUTED_VALUE"""),"https://drive.google.com/file/d/1m9WH1JTnYit8zQ7OCd7__4f-JdGKklLk/view?usp=drive_link")</f>
        <v>https://drive.google.com/file/d/1m9WH1JTnYit8zQ7OCd7__4f-JdGKklLk/view?usp=drive_link</v>
      </c>
      <c r="L164" s="3" t="str">
        <f>IFERROR(__xludf.DUMMYFUNCTION("""COMPUTED_VALUE"""),"Buat baling - baling flow meter PSG")</f>
        <v>Buat baling - baling flow meter PSG</v>
      </c>
      <c r="M164" s="3" t="str">
        <f>IFERROR(__xludf.DUMMYFUNCTION("""COMPUTED_VALUE"""),"Approve")</f>
        <v>Approve</v>
      </c>
      <c r="N164" s="3" t="str">
        <f>IFERROR(__xludf.DUMMYFUNCTION("""COMPUTED_VALUE"""),"Normal")</f>
        <v>Normal</v>
      </c>
      <c r="O164" s="3" t="str">
        <f>IFERROR(__xludf.DUMMYFUNCTION("""COMPUTED_VALUE"""),"Non Urgent")</f>
        <v>Non Urgent</v>
      </c>
      <c r="P164" s="7">
        <f>IFERROR(__xludf.DUMMYFUNCTION("""COMPUTED_VALUE"""),45818.36859510417)</f>
        <v>45818.3686</v>
      </c>
    </row>
    <row r="165">
      <c r="A165" s="4">
        <f>IFERROR(__xludf.DUMMYFUNCTION("""COMPUTED_VALUE"""),45816.04569962963)</f>
        <v>45816.0457</v>
      </c>
      <c r="B165" s="3" t="str">
        <f>IFERROR(__xludf.DUMMYFUNCTION("""COMPUTED_VALUE"""),"MRNBR0018")</f>
        <v>MRNBR0018</v>
      </c>
      <c r="C165" s="3" t="str">
        <f>IFERROR(__xludf.DUMMYFUNCTION("""COMPUTED_VALUE"""),"EJO")</f>
        <v>EJO</v>
      </c>
      <c r="D165" s="3" t="str">
        <f>IFERROR(__xludf.DUMMYFUNCTION("""COMPUTED_VALUE"""),"EJO/2025/06/53")</f>
        <v>EJO/2025/06/53</v>
      </c>
      <c r="E165" s="3" t="str">
        <f>IFERROR(__xludf.DUMMYFUNCTION("""COMPUTED_VALUE"""),"Deep frezzer API")</f>
        <v>Deep frezzer API</v>
      </c>
      <c r="F165" s="3" t="str">
        <f>IFERROR(__xludf.DUMMYFUNCTION("""COMPUTED_VALUE"""),"Dimmer heater")</f>
        <v>Dimmer heater</v>
      </c>
      <c r="G165" s="3" t="str">
        <f>IFERROR(__xludf.DUMMYFUNCTION("""COMPUTED_VALUE"""),"Dimmer heater 4000watt")</f>
        <v>Dimmer heater 4000watt</v>
      </c>
      <c r="H165" s="3" t="str">
        <f>IFERROR(__xludf.DUMMYFUNCTION("""COMPUTED_VALUE"""),"NA")</f>
        <v>NA</v>
      </c>
      <c r="I165" s="3">
        <f>IFERROR(__xludf.DUMMYFUNCTION("""COMPUTED_VALUE"""),2.0)</f>
        <v>2</v>
      </c>
      <c r="J165" s="3" t="str">
        <f>IFERROR(__xludf.DUMMYFUNCTION("""COMPUTED_VALUE"""),"pcs")</f>
        <v>pcs</v>
      </c>
      <c r="K165" s="5" t="str">
        <f>IFERROR(__xludf.DUMMYFUNCTION("""COMPUTED_VALUE"""),"https://www.tokopedia.com/dw-store/digital-motor-speed-controller-dimmer-lampu-suhu-heater-ac-220v-4000w?extParam=ivf%3Dfalse%26keyword%3Ddimmer+ac+220v%26search_id%3D2025060718012963923F49E524131AAFM0%26src%3Dsearch&amp;t_id=1749319320813&amp;t_st=8&amp;t_pp=search_"&amp;"result&amp;t_efo=search_pure_goods_card&amp;t_ef=goods_search&amp;t_sm=&amp;t_spt=search_result")</f>
        <v>https://www.tokopedia.com/dw-store/digital-motor-speed-controller-dimmer-lampu-suhu-heater-ac-220v-4000w?extParam=ivf%3Dfalse%26keyword%3Ddimmer+ac+220v%26search_id%3D2025060718012963923F49E524131AAFM0%26src%3Dsearch&amp;t_id=1749319320813&amp;t_st=8&amp;t_pp=search_result&amp;t_efo=search_pure_goods_card&amp;t_ef=goods_search&amp;t_sm=&amp;t_spt=search_result</v>
      </c>
      <c r="L165" s="3" t="str">
        <f>IFERROR(__xludf.DUMMYFUNCTION("""COMPUTED_VALUE"""),"untuk heater deep frezzer")</f>
        <v>untuk heater deep frezzer</v>
      </c>
      <c r="M165" s="3" t="str">
        <f>IFERROR(__xludf.DUMMYFUNCTION("""COMPUTED_VALUE"""),"Approve")</f>
        <v>Approve</v>
      </c>
      <c r="N165" s="3" t="str">
        <f>IFERROR(__xludf.DUMMYFUNCTION("""COMPUTED_VALUE"""),"Normal")</f>
        <v>Normal</v>
      </c>
      <c r="O165" s="3" t="str">
        <f>IFERROR(__xludf.DUMMYFUNCTION("""COMPUTED_VALUE"""),"Non Urgent")</f>
        <v>Non Urgent</v>
      </c>
      <c r="P165" s="7">
        <f>IFERROR(__xludf.DUMMYFUNCTION("""COMPUTED_VALUE"""),45818.36825929398)</f>
        <v>45818.36826</v>
      </c>
    </row>
    <row r="166">
      <c r="A166" s="4">
        <f>IFERROR(__xludf.DUMMYFUNCTION("""COMPUTED_VALUE"""),45816.68609575232)</f>
        <v>45816.6861</v>
      </c>
      <c r="B166" s="3" t="str">
        <f>IFERROR(__xludf.DUMMYFUNCTION("""COMPUTED_VALUE"""),"RIABR0042")</f>
        <v>RIABR0042</v>
      </c>
      <c r="C166" s="3" t="str">
        <f>IFERROR(__xludf.DUMMYFUNCTION("""COMPUTED_VALUE"""),"Consumable")</f>
        <v>Consumable</v>
      </c>
      <c r="D166" s="3" t="str">
        <f>IFERROR(__xludf.DUMMYFUNCTION("""COMPUTED_VALUE"""),"-")</f>
        <v>-</v>
      </c>
      <c r="E166" s="3" t="str">
        <f>IFERROR(__xludf.DUMMYFUNCTION("""COMPUTED_VALUE"""),"Equipmon")</f>
        <v>Equipmon</v>
      </c>
      <c r="F166" s="3" t="str">
        <f>IFERROR(__xludf.DUMMYFUNCTION("""COMPUTED_VALUE"""),"Thermal Paste")</f>
        <v>Thermal Paste</v>
      </c>
      <c r="G166" s="3" t="str">
        <f>IFERROR(__xludf.DUMMYFUNCTION("""COMPUTED_VALUE"""),"Cooler Master Thermal Paste - HIGH PERFORMANCE")</f>
        <v>Cooler Master Thermal Paste - HIGH PERFORMANCE</v>
      </c>
      <c r="H166" s="3" t="str">
        <f>IFERROR(__xludf.DUMMYFUNCTION("""COMPUTED_VALUE"""),"Cooling Master")</f>
        <v>Cooling Master</v>
      </c>
      <c r="I166" s="3">
        <f>IFERROR(__xludf.DUMMYFUNCTION("""COMPUTED_VALUE"""),5.0)</f>
        <v>5</v>
      </c>
      <c r="J166" s="3" t="str">
        <f>IFERROR(__xludf.DUMMYFUNCTION("""COMPUTED_VALUE"""),"Pcs")</f>
        <v>Pcs</v>
      </c>
      <c r="K166" s="5" t="str">
        <f>IFERROR(__xludf.DUMMYFUNCTION("""COMPUTED_VALUE"""),"https://www.tokopedia.com/toko-expert-komputer/cooler-master-thermal-paste-high-performance?extParam=ivf%3Dfalse%26keyword%3Dthermal+paste+tube&amp;src=topads&amp;t_id=1749374650747&amp;t_st=4&amp;t_pp=search_result&amp;t_efo=search_pure_goods_card&amp;t_ef=goods_search&amp;t_sm=&amp;t_"&amp;"spt=search_result")</f>
        <v>https://www.tokopedia.com/toko-expert-komputer/cooler-master-thermal-paste-high-performance?extParam=ivf%3Dfalse%26keyword%3Dthermal+paste+tube&amp;src=topads&amp;t_id=1749374650747&amp;t_st=4&amp;t_pp=search_result&amp;t_efo=search_pure_goods_card&amp;t_ef=goods_search&amp;t_sm=&amp;t_spt=search_result</v>
      </c>
      <c r="L166" s="3" t="str">
        <f>IFERROR(__xludf.DUMMYFUNCTION("""COMPUTED_VALUE"""),"Belikan buat sensor chiller pipe rack")</f>
        <v>Belikan buat sensor chiller pipe rack</v>
      </c>
      <c r="M166" s="3" t="str">
        <f>IFERROR(__xludf.DUMMYFUNCTION("""COMPUTED_VALUE"""),"Approve")</f>
        <v>Approve</v>
      </c>
      <c r="N166" s="3" t="str">
        <f>IFERROR(__xludf.DUMMYFUNCTION("""COMPUTED_VALUE"""),"Normal")</f>
        <v>Normal</v>
      </c>
      <c r="O166" s="3" t="str">
        <f>IFERROR(__xludf.DUMMYFUNCTION("""COMPUTED_VALUE"""),"Non Urgent")</f>
        <v>Non Urgent</v>
      </c>
      <c r="P166" s="7">
        <f>IFERROR(__xludf.DUMMYFUNCTION("""COMPUTED_VALUE"""),45818.37553630787)</f>
        <v>45818.37554</v>
      </c>
    </row>
    <row r="167">
      <c r="A167" s="4">
        <f>IFERROR(__xludf.DUMMYFUNCTION("""COMPUTED_VALUE"""),45817.416896932875)</f>
        <v>45817.4169</v>
      </c>
      <c r="B167" s="3" t="str">
        <f>IFERROR(__xludf.DUMMYFUNCTION("""COMPUTED_VALUE"""),"MOBBR0029")</f>
        <v>MOBBR0029</v>
      </c>
      <c r="C167" s="3" t="str">
        <f>IFERROR(__xludf.DUMMYFUNCTION("""COMPUTED_VALUE"""),"EJO")</f>
        <v>EJO</v>
      </c>
      <c r="D167" s="3" t="str">
        <f>IFERROR(__xludf.DUMMYFUNCTION("""COMPUTED_VALUE"""),"-")</f>
        <v>-</v>
      </c>
      <c r="E167" s="3" t="str">
        <f>IFERROR(__xludf.DUMMYFUNCTION("""COMPUTED_VALUE"""),"HE Mixing")</f>
        <v>HE Mixing</v>
      </c>
      <c r="F167" s="3" t="str">
        <f>IFERROR(__xludf.DUMMYFUNCTION("""COMPUTED_VALUE"""),"Pressure Gauge")</f>
        <v>Pressure Gauge</v>
      </c>
      <c r="G167" s="3" t="str">
        <f>IFERROR(__xludf.DUMMYFUNCTION("""COMPUTED_VALUE"""),"Wika 0-6Bar, Drat 1/2 Inch")</f>
        <v>Wika 0-6Bar, Drat 1/2 Inch</v>
      </c>
      <c r="H167" s="3" t="str">
        <f>IFERROR(__xludf.DUMMYFUNCTION("""COMPUTED_VALUE"""),"Wika")</f>
        <v>Wika</v>
      </c>
      <c r="I167" s="3">
        <f>IFERROR(__xludf.DUMMYFUNCTION("""COMPUTED_VALUE"""),2.0)</f>
        <v>2</v>
      </c>
      <c r="J167" s="3" t="str">
        <f>IFERROR(__xludf.DUMMYFUNCTION("""COMPUTED_VALUE"""),"Pcs")</f>
        <v>Pcs</v>
      </c>
      <c r="K167" s="5" t="str">
        <f>IFERROR(__xludf.DUMMYFUNCTION("""COMPUTED_VALUE"""),"https://shopee.co.id/product/587909295/22385719147?gads_t_sig=VTJGc2RHVmtYMTlxTFVSVVRrdENkWVp3RFo3Mkw5czd4Z0hzdEF1WVFibkZLSi9SWDlWYnpqdzJKdURPM1FwMFhJT1g5bVB1QUhURi9zVlc2N1FhUjc1Q1FjUWF0VEQ3RU1BdjRGcENJWSs4RE1nQzFRSVE0MWUzRXNmZC9iNlM")</f>
        <v>https://shopee.co.id/product/587909295/22385719147?gads_t_sig=VTJGc2RHVmtYMTlxTFVSVVRrdENkWVp3RFo3Mkw5czd4Z0hzdEF1WVFibkZLSi9SWDlWYnpqdzJKdURPM1FwMFhJT1g5bVB1QUhURi9zVlc2N1FhUjc1Q1FjUWF0VEQ3RU1BdjRGcENJWSs4RE1nQzFRSVE0MWUzRXNmZC9iNlM</v>
      </c>
      <c r="L167" s="3" t="str">
        <f>IFERROR(__xludf.DUMMYFUNCTION("""COMPUTED_VALUE"""),"Pembacaan Supply dan Return Chiller HE Mixing")</f>
        <v>Pembacaan Supply dan Return Chiller HE Mixing</v>
      </c>
      <c r="M167" s="3" t="str">
        <f>IFERROR(__xludf.DUMMYFUNCTION("""COMPUTED_VALUE"""),"Approve")</f>
        <v>Approve</v>
      </c>
      <c r="N167" s="3" t="str">
        <f>IFERROR(__xludf.DUMMYFUNCTION("""COMPUTED_VALUE"""),"Normal")</f>
        <v>Normal</v>
      </c>
      <c r="O167" s="3" t="str">
        <f>IFERROR(__xludf.DUMMYFUNCTION("""COMPUTED_VALUE"""),"Non Urgent")</f>
        <v>Non Urgent</v>
      </c>
      <c r="P167" s="7">
        <f>IFERROR(__xludf.DUMMYFUNCTION("""COMPUTED_VALUE"""),45818.37040135417)</f>
        <v>45818.3704</v>
      </c>
    </row>
    <row r="168">
      <c r="A168" s="4">
        <f>IFERROR(__xludf.DUMMYFUNCTION("""COMPUTED_VALUE"""),45821.08799895833)</f>
        <v>45821.088</v>
      </c>
      <c r="B168" s="3" t="str">
        <f>IFERROR(__xludf.DUMMYFUNCTION("""COMPUTED_VALUE"""),"ROSBR0023")</f>
        <v>ROSBR0023</v>
      </c>
      <c r="C168" s="3" t="str">
        <f>IFERROR(__xludf.DUMMYFUNCTION("""COMPUTED_VALUE"""),"EJO")</f>
        <v>EJO</v>
      </c>
      <c r="D168" s="3" t="str">
        <f>IFERROR(__xludf.DUMMYFUNCTION("""COMPUTED_VALUE"""),"EJO/2025/05/09")</f>
        <v>EJO/2025/05/09</v>
      </c>
      <c r="E168" s="3" t="str">
        <f>IFERROR(__xludf.DUMMYFUNCTION("""COMPUTED_VALUE"""),"Capping")</f>
        <v>Capping</v>
      </c>
      <c r="F168" s="3" t="str">
        <f>IFERROR(__xludf.DUMMYFUNCTION("""COMPUTED_VALUE"""),"Kunci rak lemari Capping ")</f>
        <v>Kunci rak lemari Capping </v>
      </c>
      <c r="G168" s="3" t="str">
        <f>IFERROR(__xludf.DUMMYFUNCTION("""COMPUTED_VALUE"""),"Ukuran 
Panjang : 110mm
lebar : 35mm
material Stainlees")</f>
        <v>Ukuran 
Panjang : 110mm
lebar : 35mm
material Stainlees</v>
      </c>
      <c r="H168" s="3" t="str">
        <f>IFERROR(__xludf.DUMMYFUNCTION("""COMPUTED_VALUE"""),"Universal ")</f>
        <v>Universal </v>
      </c>
      <c r="I168" s="3">
        <f>IFERROR(__xludf.DUMMYFUNCTION("""COMPUTED_VALUE"""),1.0)</f>
        <v>1</v>
      </c>
      <c r="J168" s="3" t="str">
        <f>IFERROR(__xludf.DUMMYFUNCTION("""COMPUTED_VALUE"""),"Set")</f>
        <v>Set</v>
      </c>
      <c r="K168" s="5" t="str">
        <f>IFERROR(__xludf.DUMMYFUNCTION("""COMPUTED_VALUE"""),"https://id.shp.ee/GekNx87")</f>
        <v>https://id.shp.ee/GekNx87</v>
      </c>
      <c r="L168" s="3" t="str">
        <f>IFERROR(__xludf.DUMMYFUNCTION("""COMPUTED_VALUE"""),"handle lemari rak capping ")</f>
        <v>handle lemari rak capping </v>
      </c>
      <c r="M168" s="3" t="str">
        <f>IFERROR(__xludf.DUMMYFUNCTION("""COMPUTED_VALUE"""),"Approve")</f>
        <v>Approve</v>
      </c>
      <c r="N168" s="3" t="str">
        <f>IFERROR(__xludf.DUMMYFUNCTION("""COMPUTED_VALUE"""),"Normal")</f>
        <v>Normal</v>
      </c>
      <c r="O168" s="3" t="str">
        <f>IFERROR(__xludf.DUMMYFUNCTION("""COMPUTED_VALUE"""),"Non Urgent")</f>
        <v>Non Urgent</v>
      </c>
      <c r="P168" s="7">
        <f>IFERROR(__xludf.DUMMYFUNCTION("""COMPUTED_VALUE"""),45825.41304974537)</f>
        <v>45825.41305</v>
      </c>
    </row>
    <row r="169">
      <c r="A169" s="4">
        <f>IFERROR(__xludf.DUMMYFUNCTION("""COMPUTED_VALUE"""),45821.08799895833)</f>
        <v>45821.088</v>
      </c>
      <c r="B169" s="3" t="str">
        <f>IFERROR(__xludf.DUMMYFUNCTION("""COMPUTED_VALUE"""),"ROSBR0025")</f>
        <v>ROSBR0025</v>
      </c>
      <c r="C169" s="3" t="str">
        <f>IFERROR(__xludf.DUMMYFUNCTION("""COMPUTED_VALUE"""),"Consumable")</f>
        <v>Consumable</v>
      </c>
      <c r="D169" s="3" t="str">
        <f>IFERROR(__xludf.DUMMYFUNCTION("""COMPUTED_VALUE"""),"NA")</f>
        <v>NA</v>
      </c>
      <c r="E169" s="3" t="str">
        <f>IFERROR(__xludf.DUMMYFUNCTION("""COMPUTED_VALUE"""),"Capping")</f>
        <v>Capping</v>
      </c>
      <c r="F169" s="3" t="str">
        <f>IFERROR(__xludf.DUMMYFUNCTION("""COMPUTED_VALUE"""),"Lock Nut Capping Uk M10x 0.75 x 15")</f>
        <v>Lock Nut Capping Uk M10x 0.75 x 15</v>
      </c>
      <c r="G169" s="3" t="str">
        <f>IFERROR(__xludf.DUMMYFUNCTION("""COMPUTED_VALUE"""),"-Lock Nut Capping Uk M10x 0.75 x 15
-Proses Bubut
-Profil Ulir M10x 0.75
-Insert Nylon Stopper")</f>
        <v>-Lock Nut Capping Uk M10x 0.75 x 15
-Proses Bubut
-Profil Ulir M10x 0.75
-Insert Nylon Stopper</v>
      </c>
      <c r="H169" s="3" t="str">
        <f>IFERROR(__xludf.DUMMYFUNCTION("""COMPUTED_VALUE"""),"General")</f>
        <v>General</v>
      </c>
      <c r="I169" s="3">
        <f>IFERROR(__xludf.DUMMYFUNCTION("""COMPUTED_VALUE"""),5.0)</f>
        <v>5</v>
      </c>
      <c r="J169" s="3" t="str">
        <f>IFERROR(__xludf.DUMMYFUNCTION("""COMPUTED_VALUE"""),"pcs")</f>
        <v>pcs</v>
      </c>
      <c r="K169" s="5" t="str">
        <f>IFERROR(__xludf.DUMMYFUNCTION("""COMPUTED_VALUE"""),"https://drive.google.com/drive/folders/1e1hU1KNZhTLjnhqKwXRs5lc5JJguLcXg?usp=sharing")</f>
        <v>https://drive.google.com/drive/folders/1e1hU1KNZhTLjnhqKwXRs5lc5JJguLcXg?usp=sharing</v>
      </c>
      <c r="L169" s="3" t="str">
        <f>IFERROR(__xludf.DUMMYFUNCTION("""COMPUTED_VALUE"""),"lock nut buat capping ")</f>
        <v>lock nut buat capping </v>
      </c>
      <c r="M169" s="3" t="str">
        <f>IFERROR(__xludf.DUMMYFUNCTION("""COMPUTED_VALUE"""),"Approve")</f>
        <v>Approve</v>
      </c>
      <c r="N169" s="3" t="str">
        <f>IFERROR(__xludf.DUMMYFUNCTION("""COMPUTED_VALUE"""),"Normal")</f>
        <v>Normal</v>
      </c>
      <c r="O169" s="3" t="str">
        <f>IFERROR(__xludf.DUMMYFUNCTION("""COMPUTED_VALUE"""),"Non Urgent")</f>
        <v>Non Urgent</v>
      </c>
      <c r="P169" s="7">
        <f>IFERROR(__xludf.DUMMYFUNCTION("""COMPUTED_VALUE"""),45825.414304247686)</f>
        <v>45825.4143</v>
      </c>
    </row>
    <row r="170">
      <c r="A170" s="4">
        <f>IFERROR(__xludf.DUMMYFUNCTION("""COMPUTED_VALUE"""),45827.330814050925)</f>
        <v>45827.33081</v>
      </c>
      <c r="B170" s="3" t="str">
        <f>IFERROR(__xludf.DUMMYFUNCTION("""COMPUTED_VALUE"""),"RIABR0043")</f>
        <v>RIABR0043</v>
      </c>
      <c r="C170" s="3" t="str">
        <f>IFERROR(__xludf.DUMMYFUNCTION("""COMPUTED_VALUE"""),"Consumable")</f>
        <v>Consumable</v>
      </c>
      <c r="D170" s="3" t="str">
        <f>IFERROR(__xludf.DUMMYFUNCTION("""COMPUTED_VALUE"""),"-")</f>
        <v>-</v>
      </c>
      <c r="E170" s="3" t="str">
        <f>IFERROR(__xludf.DUMMYFUNCTION("""COMPUTED_VALUE"""),"WWTP")</f>
        <v>WWTP</v>
      </c>
      <c r="F170" s="3" t="str">
        <f>IFERROR(__xludf.DUMMYFUNCTION("""COMPUTED_VALUE"""),"Sepatu Boots")</f>
        <v>Sepatu Boots</v>
      </c>
      <c r="G170" s="3" t="str">
        <f>IFERROR(__xludf.DUMMYFUNCTION("""COMPUTED_VALUE"""),"AP Boots Safety S5 BLACK - Sepatu Boot PVC Shoes Karet - Size 42, 43, 44")</f>
        <v>AP Boots Safety S5 BLACK - Sepatu Boot PVC Shoes Karet - Size 42, 43, 44</v>
      </c>
      <c r="H170" s="3" t="str">
        <f>IFERROR(__xludf.DUMMYFUNCTION("""COMPUTED_VALUE"""),"AP Boots")</f>
        <v>AP Boots</v>
      </c>
      <c r="I170" s="3">
        <f>IFERROR(__xludf.DUMMYFUNCTION("""COMPUTED_VALUE"""),3.0)</f>
        <v>3</v>
      </c>
      <c r="J170" s="3" t="str">
        <f>IFERROR(__xludf.DUMMYFUNCTION("""COMPUTED_VALUE"""),"Pair")</f>
        <v>Pair</v>
      </c>
      <c r="K170" s="5" t="str">
        <f>IFERROR(__xludf.DUMMYFUNCTION("""COMPUTED_VALUE"""),"https://www.tokopedia.com/apbootsofficial/ap-boots-safety-s5-black-sepatu-boot-pvc-39?extParam=src%3Dshop%26whid%3D11618574&amp;aff_unique_id=&amp;channel=others&amp;chain_key=")</f>
        <v>https://www.tokopedia.com/apbootsofficial/ap-boots-safety-s5-black-sepatu-boot-pvc-39?extParam=src%3Dshop%26whid%3D11618574&amp;aff_unique_id=&amp;channel=others&amp;chain_key=</v>
      </c>
      <c r="L170" s="3" t="str">
        <f>IFERROR(__xludf.DUMMYFUNCTION("""COMPUTED_VALUE"""),"Buat di WWTP ")</f>
        <v>Buat di WWTP </v>
      </c>
      <c r="M170" s="3" t="str">
        <f>IFERROR(__xludf.DUMMYFUNCTION("""COMPUTED_VALUE"""),"Approve")</f>
        <v>Approve</v>
      </c>
      <c r="N170" s="3" t="str">
        <f>IFERROR(__xludf.DUMMYFUNCTION("""COMPUTED_VALUE"""),"Normal")</f>
        <v>Normal</v>
      </c>
      <c r="O170" s="3" t="str">
        <f>IFERROR(__xludf.DUMMYFUNCTION("""COMPUTED_VALUE"""),"Non Urgent")</f>
        <v>Non Urgent</v>
      </c>
      <c r="P170" s="7">
        <f>IFERROR(__xludf.DUMMYFUNCTION("""COMPUTED_VALUE"""),45838.873655752315)</f>
        <v>45838.87366</v>
      </c>
    </row>
    <row r="171">
      <c r="A171" s="4">
        <f>IFERROR(__xludf.DUMMYFUNCTION("""COMPUTED_VALUE"""),45831.9722804051)</f>
        <v>45831.97228</v>
      </c>
      <c r="B171" s="3" t="str">
        <f>IFERROR(__xludf.DUMMYFUNCTION("""COMPUTED_VALUE"""),"INNBR0030")</f>
        <v>INNBR0030</v>
      </c>
      <c r="C171" s="3" t="str">
        <f>IFERROR(__xludf.DUMMYFUNCTION("""COMPUTED_VALUE"""),"EJO")</f>
        <v>EJO</v>
      </c>
      <c r="D171" s="3" t="str">
        <f>IFERROR(__xludf.DUMMYFUNCTION("""COMPUTED_VALUE"""),"EJO/2025/06/156")</f>
        <v>EJO/2025/06/156</v>
      </c>
      <c r="E171" s="3" t="str">
        <f>IFERROR(__xludf.DUMMYFUNCTION("""COMPUTED_VALUE"""),"Capping")</f>
        <v>Capping</v>
      </c>
      <c r="F171" s="3" t="str">
        <f>IFERROR(__xludf.DUMMYFUNCTION("""COMPUTED_VALUE""")," format part guide starwheel 6R")</f>
        <v> format part guide starwheel 6R</v>
      </c>
      <c r="G171" s="3" t="str">
        <f>IFERROR(__xludf.DUMMYFUNCTION("""COMPUTED_VALUE"""),"-")</f>
        <v>-</v>
      </c>
      <c r="H171" s="3" t="str">
        <f>IFERROR(__xludf.DUMMYFUNCTION("""COMPUTED_VALUE"""),"Custom")</f>
        <v>Custom</v>
      </c>
      <c r="I171" s="3">
        <f>IFERROR(__xludf.DUMMYFUNCTION("""COMPUTED_VALUE"""),1.0)</f>
        <v>1</v>
      </c>
      <c r="J171" s="3" t="str">
        <f>IFERROR(__xludf.DUMMYFUNCTION("""COMPUTED_VALUE"""),"pcs")</f>
        <v>pcs</v>
      </c>
      <c r="K171" s="5" t="str">
        <f>IFERROR(__xludf.DUMMYFUNCTION("""COMPUTED_VALUE"""),"https://drive.google.com/file/d/18q3lO3GjNDc-1O75CbNV--fuIooVPqSg/view?usp=drive_link")</f>
        <v>https://drive.google.com/file/d/18q3lO3GjNDc-1O75CbNV--fuIooVPqSg/view?usp=drive_link</v>
      </c>
      <c r="L171" s="3" t="str">
        <f>IFERROR(__xludf.DUMMYFUNCTION("""COMPUTED_VALUE"""),"photo format part")</f>
        <v>photo format part</v>
      </c>
      <c r="M171" s="3" t="str">
        <f>IFERROR(__xludf.DUMMYFUNCTION("""COMPUTED_VALUE"""),"Approve")</f>
        <v>Approve</v>
      </c>
      <c r="N171" s="3" t="str">
        <f>IFERROR(__xludf.DUMMYFUNCTION("""COMPUTED_VALUE"""),"Normal")</f>
        <v>Normal</v>
      </c>
      <c r="O171" s="3" t="str">
        <f>IFERROR(__xludf.DUMMYFUNCTION("""COMPUTED_VALUE"""),"Non Urgent")</f>
        <v>Non Urgent</v>
      </c>
      <c r="P171" s="7">
        <f>IFERROR(__xludf.DUMMYFUNCTION("""COMPUTED_VALUE"""),45887.48685988426)</f>
        <v>45887.48686</v>
      </c>
    </row>
    <row r="172">
      <c r="A172" s="4">
        <f>IFERROR(__xludf.DUMMYFUNCTION("""COMPUTED_VALUE"""),45831.973374062494)</f>
        <v>45831.97337</v>
      </c>
      <c r="B172" s="3" t="str">
        <f>IFERROR(__xludf.DUMMYFUNCTION("""COMPUTED_VALUE"""),"INNBR0031")</f>
        <v>INNBR0031</v>
      </c>
      <c r="C172" s="3" t="str">
        <f>IFERROR(__xludf.DUMMYFUNCTION("""COMPUTED_VALUE"""),"EJO")</f>
        <v>EJO</v>
      </c>
      <c r="D172" s="3" t="str">
        <f>IFERROR(__xludf.DUMMYFUNCTION("""COMPUTED_VALUE"""),"EJO/2025/06/156")</f>
        <v>EJO/2025/06/156</v>
      </c>
      <c r="E172" s="3" t="str">
        <f>IFERROR(__xludf.DUMMYFUNCTION("""COMPUTED_VALUE"""),"Capping")</f>
        <v>Capping</v>
      </c>
      <c r="F172" s="3" t="str">
        <f>IFERROR(__xludf.DUMMYFUNCTION("""COMPUTED_VALUE""")," format part guide starwheel 10R")</f>
        <v> format part guide starwheel 10R</v>
      </c>
      <c r="G172" s="3" t="str">
        <f>IFERROR(__xludf.DUMMYFUNCTION("""COMPUTED_VALUE"""),"-")</f>
        <v>-</v>
      </c>
      <c r="H172" s="3" t="str">
        <f>IFERROR(__xludf.DUMMYFUNCTION("""COMPUTED_VALUE"""),"Custom")</f>
        <v>Custom</v>
      </c>
      <c r="I172" s="3">
        <f>IFERROR(__xludf.DUMMYFUNCTION("""COMPUTED_VALUE"""),1.0)</f>
        <v>1</v>
      </c>
      <c r="J172" s="3" t="str">
        <f>IFERROR(__xludf.DUMMYFUNCTION("""COMPUTED_VALUE"""),"pcs")</f>
        <v>pcs</v>
      </c>
      <c r="K172" s="5" t="str">
        <f>IFERROR(__xludf.DUMMYFUNCTION("""COMPUTED_VALUE"""),"https://drive.google.com/file/d/18q3lO3GjNDc-1O75CbNV--fuIooVPqSg/view?usp=drive_link")</f>
        <v>https://drive.google.com/file/d/18q3lO3GjNDc-1O75CbNV--fuIooVPqSg/view?usp=drive_link</v>
      </c>
      <c r="L172" s="3" t="str">
        <f>IFERROR(__xludf.DUMMYFUNCTION("""COMPUTED_VALUE"""),"photo format part")</f>
        <v>photo format part</v>
      </c>
      <c r="M172" s="3" t="str">
        <f>IFERROR(__xludf.DUMMYFUNCTION("""COMPUTED_VALUE"""),"Approve")</f>
        <v>Approve</v>
      </c>
      <c r="N172" s="3" t="str">
        <f>IFERROR(__xludf.DUMMYFUNCTION("""COMPUTED_VALUE"""),"Normal")</f>
        <v>Normal</v>
      </c>
      <c r="O172" s="3" t="str">
        <f>IFERROR(__xludf.DUMMYFUNCTION("""COMPUTED_VALUE"""),"Non Urgent")</f>
        <v>Non Urgent</v>
      </c>
      <c r="P172" s="7">
        <f>IFERROR(__xludf.DUMMYFUNCTION("""COMPUTED_VALUE"""),45888.661927002315)</f>
        <v>45888.66193</v>
      </c>
    </row>
    <row r="173">
      <c r="A173" s="4">
        <f>IFERROR(__xludf.DUMMYFUNCTION("""COMPUTED_VALUE"""),45833.119915601856)</f>
        <v>45833.11992</v>
      </c>
      <c r="B173" s="3" t="str">
        <f>IFERROR(__xludf.DUMMYFUNCTION("""COMPUTED_VALUE"""),"MRNBR0019")</f>
        <v>MRNBR0019</v>
      </c>
      <c r="C173" s="3" t="str">
        <f>IFERROR(__xludf.DUMMYFUNCTION("""COMPUTED_VALUE"""),"EJO")</f>
        <v>EJO</v>
      </c>
      <c r="D173" s="3" t="str">
        <f>IFERROR(__xludf.DUMMYFUNCTION("""COMPUTED_VALUE"""),"EJO/2025/06/159")</f>
        <v>EJO/2025/06/159</v>
      </c>
      <c r="E173" s="3" t="str">
        <f>IFERROR(__xludf.DUMMYFUNCTION("""COMPUTED_VALUE"""),"Proyektor")</f>
        <v>Proyektor</v>
      </c>
      <c r="F173" s="3" t="str">
        <f>IFERROR(__xludf.DUMMYFUNCTION("""COMPUTED_VALUE"""),"Unp 100")</f>
        <v>Unp 100</v>
      </c>
      <c r="G173" s="3" t="str">
        <f>IFERROR(__xludf.DUMMYFUNCTION("""COMPUTED_VALUE"""),"100x50x3mm")</f>
        <v>100x50x3mm</v>
      </c>
      <c r="H173" s="3" t="str">
        <f>IFERROR(__xludf.DUMMYFUNCTION("""COMPUTED_VALUE"""),"krakatau steel")</f>
        <v>krakatau steel</v>
      </c>
      <c r="I173" s="3">
        <f>IFERROR(__xludf.DUMMYFUNCTION("""COMPUTED_VALUE"""),6.0)</f>
        <v>6</v>
      </c>
      <c r="J173" s="3" t="str">
        <f>IFERROR(__xludf.DUMMYFUNCTION("""COMPUTED_VALUE"""),"btg")</f>
        <v>btg</v>
      </c>
      <c r="K173" s="5" t="str">
        <f>IFERROR(__xludf.DUMMYFUNCTION("""COMPUTED_VALUE"""),"https://www.tokopedia.com/rianbaja/besi-unp-100-x-50-berat-36kg-unp-100-d1786?aff_unique_id=&amp;channel=others&amp;chain_key=")</f>
        <v>https://www.tokopedia.com/rianbaja/besi-unp-100-x-50-berat-36kg-unp-100-d1786?aff_unique_id=&amp;channel=others&amp;chain_key=</v>
      </c>
      <c r="L173" s="3" t="str">
        <f>IFERROR(__xludf.DUMMYFUNCTION("""COMPUTED_VALUE"""),"untuk proyektor")</f>
        <v>untuk proyektor</v>
      </c>
      <c r="M173" s="3" t="str">
        <f>IFERROR(__xludf.DUMMYFUNCTION("""COMPUTED_VALUE"""),"Approve")</f>
        <v>Approve</v>
      </c>
      <c r="N173" s="3" t="str">
        <f>IFERROR(__xludf.DUMMYFUNCTION("""COMPUTED_VALUE"""),"Normal")</f>
        <v>Normal</v>
      </c>
      <c r="O173" s="3" t="str">
        <f>IFERROR(__xludf.DUMMYFUNCTION("""COMPUTED_VALUE"""),"Non Urgent")</f>
        <v>Non Urgent</v>
      </c>
      <c r="P173" s="7">
        <f>IFERROR(__xludf.DUMMYFUNCTION("""COMPUTED_VALUE"""),45838.873350532405)</f>
        <v>45838.87335</v>
      </c>
    </row>
    <row r="174">
      <c r="A174" s="4">
        <f>IFERROR(__xludf.DUMMYFUNCTION("""COMPUTED_VALUE"""),45833.12308788195)</f>
        <v>45833.12309</v>
      </c>
      <c r="B174" s="3" t="str">
        <f>IFERROR(__xludf.DUMMYFUNCTION("""COMPUTED_VALUE"""),"MRNBR0020")</f>
        <v>MRNBR0020</v>
      </c>
      <c r="C174" s="3" t="str">
        <f>IFERROR(__xludf.DUMMYFUNCTION("""COMPUTED_VALUE"""),"EJO")</f>
        <v>EJO</v>
      </c>
      <c r="D174" s="3" t="str">
        <f>IFERROR(__xludf.DUMMYFUNCTION("""COMPUTED_VALUE"""),"EJO/2025/06/160")</f>
        <v>EJO/2025/06/160</v>
      </c>
      <c r="E174" s="3" t="str">
        <f>IFERROR(__xludf.DUMMYFUNCTION("""COMPUTED_VALUE"""),"Proyektor")</f>
        <v>Proyektor</v>
      </c>
      <c r="F174" s="3" t="str">
        <f>IFERROR(__xludf.DUMMYFUNCTION("""COMPUTED_VALUE"""),"Plat strip")</f>
        <v>Plat strip</v>
      </c>
      <c r="G174" s="3" t="str">
        <f>IFERROR(__xludf.DUMMYFUNCTION("""COMPUTED_VALUE"""),"50mm x 6m x 5mm")</f>
        <v>50mm x 6m x 5mm</v>
      </c>
      <c r="H174" s="3" t="str">
        <f>IFERROR(__xludf.DUMMYFUNCTION("""COMPUTED_VALUE"""),"krakatau steel")</f>
        <v>krakatau steel</v>
      </c>
      <c r="I174" s="3">
        <f>IFERROR(__xludf.DUMMYFUNCTION("""COMPUTED_VALUE"""),1.0)</f>
        <v>1</v>
      </c>
      <c r="J174" s="3" t="str">
        <f>IFERROR(__xludf.DUMMYFUNCTION("""COMPUTED_VALUE"""),"byg")</f>
        <v>byg</v>
      </c>
      <c r="K174" s="5" t="str">
        <f>IFERROR(__xludf.DUMMYFUNCTION("""COMPUTED_VALUE"""),"https://www.tokopedia.com/besibetonjakarta/plat-strip-50mm-x-6mm-x-6m-full?extParam=ivf%3Dfalse%26keyword%3Dplate+strip+50mm+x+6mm%26search_id%3D2025062419583937BC2F75BF1BCF288DMN%26src%3Dsearch&amp;t_id=1750795129116&amp;t_st=2&amp;t_pp=search_result&amp;t_efo=search_pu"&amp;"re_goods_card&amp;t_ef=goods_search&amp;t_sm=&amp;t_spt=search_result")</f>
        <v>https://www.tokopedia.com/besibetonjakarta/plat-strip-50mm-x-6mm-x-6m-full?extParam=ivf%3Dfalse%26keyword%3Dplate+strip+50mm+x+6mm%26search_id%3D2025062419583937BC2F75BF1BCF288DMN%26src%3Dsearch&amp;t_id=1750795129116&amp;t_st=2&amp;t_pp=search_result&amp;t_efo=search_pure_goods_card&amp;t_ef=goods_search&amp;t_sm=&amp;t_spt=search_result</v>
      </c>
      <c r="L174" s="3" t="str">
        <f>IFERROR(__xludf.DUMMYFUNCTION("""COMPUTED_VALUE"""),"untuk proyektor")</f>
        <v>untuk proyektor</v>
      </c>
      <c r="M174" s="3" t="str">
        <f>IFERROR(__xludf.DUMMYFUNCTION("""COMPUTED_VALUE"""),"Approve")</f>
        <v>Approve</v>
      </c>
      <c r="N174" s="3" t="str">
        <f>IFERROR(__xludf.DUMMYFUNCTION("""COMPUTED_VALUE"""),"Normal")</f>
        <v>Normal</v>
      </c>
      <c r="O174" s="3" t="str">
        <f>IFERROR(__xludf.DUMMYFUNCTION("""COMPUTED_VALUE"""),"Non Urgent")</f>
        <v>Non Urgent</v>
      </c>
      <c r="P174" s="7">
        <f>IFERROR(__xludf.DUMMYFUNCTION("""COMPUTED_VALUE"""),45838.87296759259)</f>
        <v>45838.87297</v>
      </c>
    </row>
    <row r="175">
      <c r="A175" s="4">
        <f>IFERROR(__xludf.DUMMYFUNCTION("""COMPUTED_VALUE"""),45833.12646987268)</f>
        <v>45833.12647</v>
      </c>
      <c r="B175" s="3" t="str">
        <f>IFERROR(__xludf.DUMMYFUNCTION("""COMPUTED_VALUE"""),"MRNBR0021")</f>
        <v>MRNBR0021</v>
      </c>
      <c r="C175" s="3" t="str">
        <f>IFERROR(__xludf.DUMMYFUNCTION("""COMPUTED_VALUE"""),"EJO")</f>
        <v>EJO</v>
      </c>
      <c r="D175" s="3" t="str">
        <f>IFERROR(__xludf.DUMMYFUNCTION("""COMPUTED_VALUE"""),"EJO/2025/06/160")</f>
        <v>EJO/2025/06/160</v>
      </c>
      <c r="E175" s="3" t="str">
        <f>IFERROR(__xludf.DUMMYFUNCTION("""COMPUTED_VALUE"""),"Proyektor")</f>
        <v>Proyektor</v>
      </c>
      <c r="F175" s="3" t="str">
        <f>IFERROR(__xludf.DUMMYFUNCTION("""COMPUTED_VALUE"""),"long drat ")</f>
        <v>long drat </v>
      </c>
      <c r="G175" s="3" t="str">
        <f>IFERROR(__xludf.DUMMYFUNCTION("""COMPUTED_VALUE"""),"M14")</f>
        <v>M14</v>
      </c>
      <c r="H175" s="3" t="str">
        <f>IFERROR(__xludf.DUMMYFUNCTION("""COMPUTED_VALUE"""),"krakatau steel")</f>
        <v>krakatau steel</v>
      </c>
      <c r="I175" s="3">
        <f>IFERROR(__xludf.DUMMYFUNCTION("""COMPUTED_VALUE"""),2.0)</f>
        <v>2</v>
      </c>
      <c r="J175" s="3" t="str">
        <f>IFERROR(__xludf.DUMMYFUNCTION("""COMPUTED_VALUE"""),"pcs")</f>
        <v>pcs</v>
      </c>
      <c r="K175" s="5" t="str">
        <f>IFERROR(__xludf.DUMMYFUNCTION("""COMPUTED_VALUE"""),"https://www.tokopedia.com/papabolt/asdrat-hitam-stud-bolt-fulldrat-m14-x-1-meter-long-drat-14mm?extParam=ivf%3Dfalse%26keyword%3Dmur+baut+m14+x+1mtr%26search_id%3D20250624200610577BCC914F9E5522D1VU%26src%3Dsearch&amp;t_id=1750795524866&amp;t_st=2&amp;t_pp=search_resu"&amp;"lt&amp;t_efo=search_pure_goods_card&amp;t_ef=goods_search&amp;t_sm=&amp;t_spt=search_result")</f>
        <v>https://www.tokopedia.com/papabolt/asdrat-hitam-stud-bolt-fulldrat-m14-x-1-meter-long-drat-14mm?extParam=ivf%3Dfalse%26keyword%3Dmur+baut+m14+x+1mtr%26search_id%3D20250624200610577BCC914F9E5522D1VU%26src%3Dsearch&amp;t_id=1750795524866&amp;t_st=2&amp;t_pp=search_result&amp;t_efo=search_pure_goods_card&amp;t_ef=goods_search&amp;t_sm=&amp;t_spt=search_result</v>
      </c>
      <c r="L175" s="3" t="str">
        <f>IFERROR(__xludf.DUMMYFUNCTION("""COMPUTED_VALUE"""),"untuk proyektor")</f>
        <v>untuk proyektor</v>
      </c>
      <c r="M175" s="3" t="str">
        <f>IFERROR(__xludf.DUMMYFUNCTION("""COMPUTED_VALUE"""),"Approve")</f>
        <v>Approve</v>
      </c>
      <c r="N175" s="3" t="str">
        <f>IFERROR(__xludf.DUMMYFUNCTION("""COMPUTED_VALUE"""),"Normal")</f>
        <v>Normal</v>
      </c>
      <c r="O175" s="3" t="str">
        <f>IFERROR(__xludf.DUMMYFUNCTION("""COMPUTED_VALUE"""),"Non Urgent")</f>
        <v>Non Urgent</v>
      </c>
      <c r="P175" s="7">
        <f>IFERROR(__xludf.DUMMYFUNCTION("""COMPUTED_VALUE"""),45838.872517384254)</f>
        <v>45838.87252</v>
      </c>
    </row>
    <row r="176">
      <c r="A176" s="4">
        <f>IFERROR(__xludf.DUMMYFUNCTION("""COMPUTED_VALUE"""),45833.13043015046)</f>
        <v>45833.13043</v>
      </c>
      <c r="B176" s="3" t="str">
        <f>IFERROR(__xludf.DUMMYFUNCTION("""COMPUTED_VALUE"""),"MRNBR0022")</f>
        <v>MRNBR0022</v>
      </c>
      <c r="C176" s="3" t="str">
        <f>IFERROR(__xludf.DUMMYFUNCTION("""COMPUTED_VALUE"""),"EJO")</f>
        <v>EJO</v>
      </c>
      <c r="D176" s="3" t="str">
        <f>IFERROR(__xludf.DUMMYFUNCTION("""COMPUTED_VALUE"""),"EJO/2025/06/160")</f>
        <v>EJO/2025/06/160</v>
      </c>
      <c r="E176" s="3" t="str">
        <f>IFERROR(__xludf.DUMMYFUNCTION("""COMPUTED_VALUE"""),"Proyektor")</f>
        <v>Proyektor</v>
      </c>
      <c r="F176" s="3" t="str">
        <f>IFERROR(__xludf.DUMMYFUNCTION("""COMPUTED_VALUE"""),"Mur")</f>
        <v>Mur</v>
      </c>
      <c r="G176" s="3" t="str">
        <f>IFERROR(__xludf.DUMMYFUNCTION("""COMPUTED_VALUE"""),"M14")</f>
        <v>M14</v>
      </c>
      <c r="H176" s="3" t="str">
        <f>IFERROR(__xludf.DUMMYFUNCTION("""COMPUTED_VALUE"""),"krakatau steel")</f>
        <v>krakatau steel</v>
      </c>
      <c r="I176" s="3">
        <f>IFERROR(__xludf.DUMMYFUNCTION("""COMPUTED_VALUE"""),10.0)</f>
        <v>10</v>
      </c>
      <c r="J176" s="3" t="str">
        <f>IFERROR(__xludf.DUMMYFUNCTION("""COMPUTED_VALUE"""),"pcs")</f>
        <v>pcs</v>
      </c>
      <c r="K176" s="5" t="str">
        <f>IFERROR(__xludf.DUMMYFUNCTION("""COMPUTED_VALUE"""),"https://www.tokopedia.com/sumberbautsunter/m14-x-2-00-mur-baja-8-8-hitam-nut-only-hexagon-high-tensile-kunci-22?extParam=ivf%3Dfalse%26keyword%3Dmur+m14%26search_id%3D20250624200834320722549D17510566QD%26src%3Dsearch&amp;t_id=1750795524866&amp;t_st=3&amp;t_pp=search_"&amp;"result&amp;t_efo=search_pure_goods_card&amp;t_ef=goods_search&amp;t_sm=&amp;t_spt=search_result")</f>
        <v>https://www.tokopedia.com/sumberbautsunter/m14-x-2-00-mur-baja-8-8-hitam-nut-only-hexagon-high-tensile-kunci-22?extParam=ivf%3Dfalse%26keyword%3Dmur+m14%26search_id%3D20250624200834320722549D17510566QD%26src%3Dsearch&amp;t_id=1750795524866&amp;t_st=3&amp;t_pp=search_result&amp;t_efo=search_pure_goods_card&amp;t_ef=goods_search&amp;t_sm=&amp;t_spt=search_result</v>
      </c>
      <c r="L176" s="3" t="str">
        <f>IFERROR(__xludf.DUMMYFUNCTION("""COMPUTED_VALUE"""),"untuk proyektor")</f>
        <v>untuk proyektor</v>
      </c>
      <c r="M176" s="3" t="str">
        <f>IFERROR(__xludf.DUMMYFUNCTION("""COMPUTED_VALUE"""),"Approve")</f>
        <v>Approve</v>
      </c>
      <c r="N176" s="3" t="str">
        <f>IFERROR(__xludf.DUMMYFUNCTION("""COMPUTED_VALUE"""),"Normal")</f>
        <v>Normal</v>
      </c>
      <c r="O176" s="3" t="str">
        <f>IFERROR(__xludf.DUMMYFUNCTION("""COMPUTED_VALUE"""),"Non Urgent")</f>
        <v>Non Urgent</v>
      </c>
      <c r="P176" s="7">
        <f>IFERROR(__xludf.DUMMYFUNCTION("""COMPUTED_VALUE"""),45838.872181666666)</f>
        <v>45838.87218</v>
      </c>
    </row>
    <row r="177">
      <c r="A177" s="4">
        <f>IFERROR(__xludf.DUMMYFUNCTION("""COMPUTED_VALUE"""),45833.13531938658)</f>
        <v>45833.13532</v>
      </c>
      <c r="B177" s="3" t="str">
        <f>IFERROR(__xludf.DUMMYFUNCTION("""COMPUTED_VALUE"""),"MRNBR0023")</f>
        <v>MRNBR0023</v>
      </c>
      <c r="C177" s="3" t="str">
        <f>IFERROR(__xludf.DUMMYFUNCTION("""COMPUTED_VALUE"""),"EJO")</f>
        <v>EJO</v>
      </c>
      <c r="D177" s="3" t="str">
        <f>IFERROR(__xludf.DUMMYFUNCTION("""COMPUTED_VALUE"""),"EJO/2025/06/162")</f>
        <v>EJO/2025/06/162</v>
      </c>
      <c r="E177" s="3" t="str">
        <f>IFERROR(__xludf.DUMMYFUNCTION("""COMPUTED_VALUE"""),"wwtp")</f>
        <v>wwtp</v>
      </c>
      <c r="F177" s="3" t="str">
        <f>IFERROR(__xludf.DUMMYFUNCTION("""COMPUTED_VALUE"""),"valve")</f>
        <v>valve</v>
      </c>
      <c r="G177" s="3" t="str">
        <f>IFERROR(__xludf.DUMMYFUNCTION("""COMPUTED_VALUE"""),"1 inch")</f>
        <v>1 inch</v>
      </c>
      <c r="H177" s="3" t="str">
        <f>IFERROR(__xludf.DUMMYFUNCTION("""COMPUTED_VALUE"""),"onda")</f>
        <v>onda</v>
      </c>
      <c r="I177" s="3">
        <f>IFERROR(__xludf.DUMMYFUNCTION("""COMPUTED_VALUE"""),4.0)</f>
        <v>4</v>
      </c>
      <c r="J177" s="3" t="str">
        <f>IFERROR(__xludf.DUMMYFUNCTION("""COMPUTED_VALUE"""),"pcs")</f>
        <v>pcs</v>
      </c>
      <c r="K177" s="5" t="str">
        <f>IFERROR(__xludf.DUMMYFUNCTION("""COMPUTED_VALUE"""),"https://www.tokopedia.com/cakratools-1/ball-valve-pvc-gagang-stainless-stop-kran-air-tebal-1-2-3-4-1-1-2-4861c?extParam=ivf%3Dfalse%26keyword%3Dstop+kran+1+inch%26search_id%3D2025062420154013F9896DF61279185ZXS%26src%3Dsearch&amp;t_id=1750795524866&amp;t_st=4&amp;t_pp"&amp;"=search_result&amp;t_efo=search_pure_goods_card&amp;t_ef=goods_search&amp;t_sm=&amp;t_spt=search_result")</f>
        <v>https://www.tokopedia.com/cakratools-1/ball-valve-pvc-gagang-stainless-stop-kran-air-tebal-1-2-3-4-1-1-2-4861c?extParam=ivf%3Dfalse%26keyword%3Dstop+kran+1+inch%26search_id%3D2025062420154013F9896DF61279185ZXS%26src%3Dsearch&amp;t_id=1750795524866&amp;t_st=4&amp;t_pp=search_result&amp;t_efo=search_pure_goods_card&amp;t_ef=goods_search&amp;t_sm=&amp;t_spt=search_result</v>
      </c>
      <c r="L177" s="3" t="str">
        <f>IFERROR(__xludf.DUMMYFUNCTION("""COMPUTED_VALUE"""),"wwtp")</f>
        <v>wwtp</v>
      </c>
      <c r="M177" s="3" t="str">
        <f>IFERROR(__xludf.DUMMYFUNCTION("""COMPUTED_VALUE"""),"Approve")</f>
        <v>Approve</v>
      </c>
      <c r="N177" s="3" t="str">
        <f>IFERROR(__xludf.DUMMYFUNCTION("""COMPUTED_VALUE"""),"Normal")</f>
        <v>Normal</v>
      </c>
      <c r="O177" s="3" t="str">
        <f>IFERROR(__xludf.DUMMYFUNCTION("""COMPUTED_VALUE"""),"Non Urgent")</f>
        <v>Non Urgent</v>
      </c>
      <c r="P177" s="7">
        <f>IFERROR(__xludf.DUMMYFUNCTION("""COMPUTED_VALUE"""),45838.871833564815)</f>
        <v>45838.87183</v>
      </c>
    </row>
    <row r="178">
      <c r="A178" s="4">
        <f>IFERROR(__xludf.DUMMYFUNCTION("""COMPUTED_VALUE"""),45834.89338793982)</f>
        <v>45834.89339</v>
      </c>
      <c r="B178" s="3" t="str">
        <f>IFERROR(__xludf.DUMMYFUNCTION("""COMPUTED_VALUE"""),"MFHBR0007")</f>
        <v>MFHBR0007</v>
      </c>
      <c r="C178" s="3" t="str">
        <f>IFERROR(__xludf.DUMMYFUNCTION("""COMPUTED_VALUE"""),"Critical Part")</f>
        <v>Critical Part</v>
      </c>
      <c r="D178" s="3" t="str">
        <f>IFERROR(__xludf.DUMMYFUNCTION("""COMPUTED_VALUE"""),"-")</f>
        <v>-</v>
      </c>
      <c r="E178" s="3" t="str">
        <f>IFERROR(__xludf.DUMMYFUNCTION("""COMPUTED_VALUE"""),"PW")</f>
        <v>PW</v>
      </c>
      <c r="F178" s="3" t="str">
        <f>IFERROR(__xludf.DUMMYFUNCTION("""COMPUTED_VALUE"""),"Valve")</f>
        <v>Valve</v>
      </c>
      <c r="G178" s="3" t="str">
        <f>IFERROR(__xludf.DUMMYFUNCTION("""COMPUTED_VALUE"""),"Valve P600M 04-02 U5 41 5317 1240000Z01AZ0300N1N1075 - Valve P600M 04-02 U5 41 5317 1240000Z01AZ0300N1N1075")</f>
        <v>Valve P600M 04-02 U5 41 5317 1240000Z01AZ0300N1N1075 - Valve P600M 04-02 U5 41 5317 1240000Z01AZ0300N1N1075</v>
      </c>
      <c r="H178" s="3" t="str">
        <f>IFERROR(__xludf.DUMMYFUNCTION("""COMPUTED_VALUE"""),"Gemu")</f>
        <v>Gemu</v>
      </c>
      <c r="I178" s="3">
        <f>IFERROR(__xludf.DUMMYFUNCTION("""COMPUTED_VALUE"""),2.0)</f>
        <v>2</v>
      </c>
      <c r="J178" s="3" t="str">
        <f>IFERROR(__xludf.DUMMYFUNCTION("""COMPUTED_VALUE"""),"Pcs")</f>
        <v>Pcs</v>
      </c>
      <c r="K178" s="3" t="str">
        <f>IFERROR(__xludf.DUMMYFUNCTION("""COMPUTED_VALUE"""),"Email Mas Ken")</f>
        <v>Email Mas Ken</v>
      </c>
      <c r="L178" s="3" t="str">
        <f>IFERROR(__xludf.DUMMYFUNCTION("""COMPUTED_VALUE"""),"2382 121702848")</f>
        <v>2382 121702848</v>
      </c>
      <c r="M178" s="3" t="str">
        <f>IFERROR(__xludf.DUMMYFUNCTION("""COMPUTED_VALUE"""),"Approve")</f>
        <v>Approve</v>
      </c>
      <c r="N178" s="3" t="str">
        <f>IFERROR(__xludf.DUMMYFUNCTION("""COMPUTED_VALUE"""),"Normal")</f>
        <v>Normal</v>
      </c>
      <c r="O178" s="3" t="str">
        <f>IFERROR(__xludf.DUMMYFUNCTION("""COMPUTED_VALUE"""),"Non Urgent")</f>
        <v>Non Urgent</v>
      </c>
      <c r="P178" s="7">
        <f>IFERROR(__xludf.DUMMYFUNCTION("""COMPUTED_VALUE"""),45838.64436701389)</f>
        <v>45838.64437</v>
      </c>
    </row>
    <row r="179">
      <c r="A179" s="4">
        <f>IFERROR(__xludf.DUMMYFUNCTION("""COMPUTED_VALUE"""),45834.89406777777)</f>
        <v>45834.89407</v>
      </c>
      <c r="B179" s="3" t="str">
        <f>IFERROR(__xludf.DUMMYFUNCTION("""COMPUTED_VALUE"""),"MFHBR0008")</f>
        <v>MFHBR0008</v>
      </c>
      <c r="C179" s="3" t="str">
        <f>IFERROR(__xludf.DUMMYFUNCTION("""COMPUTED_VALUE"""),"Critical Part")</f>
        <v>Critical Part</v>
      </c>
      <c r="D179" s="3" t="str">
        <f>IFERROR(__xludf.DUMMYFUNCTION("""COMPUTED_VALUE"""),"-")</f>
        <v>-</v>
      </c>
      <c r="E179" s="3" t="str">
        <f>IFERROR(__xludf.DUMMYFUNCTION("""COMPUTED_VALUE"""),"Piping")</f>
        <v>Piping</v>
      </c>
      <c r="F179" s="3" t="str">
        <f>IFERROR(__xludf.DUMMYFUNCTION("""COMPUTED_VALUE"""),"-")</f>
        <v>-</v>
      </c>
      <c r="G179" s="3" t="str">
        <f>IFERROR(__xludf.DUMMYFUNCTION("""COMPUTED_VALUE"""),"Penggantian Pipa")</f>
        <v>Penggantian Pipa</v>
      </c>
      <c r="H179" s="3" t="str">
        <f>IFERROR(__xludf.DUMMYFUNCTION("""COMPUTED_VALUE"""),"-")</f>
        <v>-</v>
      </c>
      <c r="I179" s="3">
        <f>IFERROR(__xludf.DUMMYFUNCTION("""COMPUTED_VALUE"""),1.0)</f>
        <v>1</v>
      </c>
      <c r="J179" s="3" t="str">
        <f>IFERROR(__xludf.DUMMYFUNCTION("""COMPUTED_VALUE"""),"Lot")</f>
        <v>Lot</v>
      </c>
      <c r="K179" s="3" t="str">
        <f>IFERROR(__xludf.DUMMYFUNCTION("""COMPUTED_VALUE"""),"Email mas ken")</f>
        <v>Email mas ken</v>
      </c>
      <c r="L179" s="3" t="str">
        <f>IFERROR(__xludf.DUMMYFUNCTION("""COMPUTED_VALUE"""),"2269 121702710")</f>
        <v>2269 121702710</v>
      </c>
      <c r="M179" s="3" t="str">
        <f>IFERROR(__xludf.DUMMYFUNCTION("""COMPUTED_VALUE"""),"Approve")</f>
        <v>Approve</v>
      </c>
      <c r="N179" s="3" t="str">
        <f>IFERROR(__xludf.DUMMYFUNCTION("""COMPUTED_VALUE"""),"Normal")</f>
        <v>Normal</v>
      </c>
      <c r="O179" s="3" t="str">
        <f>IFERROR(__xludf.DUMMYFUNCTION("""COMPUTED_VALUE"""),"Non Urgent")</f>
        <v>Non Urgent</v>
      </c>
      <c r="P179" s="7">
        <f>IFERROR(__xludf.DUMMYFUNCTION("""COMPUTED_VALUE"""),45838.64453153935)</f>
        <v>45838.64453</v>
      </c>
    </row>
    <row r="180">
      <c r="A180" s="4">
        <f>IFERROR(__xludf.DUMMYFUNCTION("""COMPUTED_VALUE"""),45835.57681784722)</f>
        <v>45835.57682</v>
      </c>
      <c r="B180" s="3" t="str">
        <f>IFERROR(__xludf.DUMMYFUNCTION("""COMPUTED_VALUE"""),"MOBBR0030")</f>
        <v>MOBBR0030</v>
      </c>
      <c r="C180" s="3" t="str">
        <f>IFERROR(__xludf.DUMMYFUNCTION("""COMPUTED_VALUE"""),"Consumable")</f>
        <v>Consumable</v>
      </c>
      <c r="D180" s="3" t="str">
        <f>IFERROR(__xludf.DUMMYFUNCTION("""COMPUTED_VALUE"""),"-")</f>
        <v>-</v>
      </c>
      <c r="E180" s="3" t="str">
        <f>IFERROR(__xludf.DUMMYFUNCTION("""COMPUTED_VALUE"""),"AHU")</f>
        <v>AHU</v>
      </c>
      <c r="F180" s="3" t="str">
        <f>IFERROR(__xludf.DUMMYFUNCTION("""COMPUTED_VALUE"""),"Valve Drain Chiller AHU")</f>
        <v>Valve Drain Chiller AHU</v>
      </c>
      <c r="G180" s="3" t="str">
        <f>IFERROR(__xludf.DUMMYFUNCTION("""COMPUTED_VALUE"""),"Kitz 1/2"" ")</f>
        <v>Kitz 1/2" </v>
      </c>
      <c r="H180" s="3" t="str">
        <f>IFERROR(__xludf.DUMMYFUNCTION("""COMPUTED_VALUE"""),"Kitz")</f>
        <v>Kitz</v>
      </c>
      <c r="I180" s="3">
        <f>IFERROR(__xludf.DUMMYFUNCTION("""COMPUTED_VALUE"""),2.0)</f>
        <v>2</v>
      </c>
      <c r="J180" s="3" t="str">
        <f>IFERROR(__xludf.DUMMYFUNCTION("""COMPUTED_VALUE"""),"Pcs")</f>
        <v>Pcs</v>
      </c>
      <c r="K180" s="5" t="str">
        <f>IFERROR(__xludf.DUMMYFUNCTION("""COMPUTED_VALUE"""),"https://www.blibli.com/p/gate-valve-kitz-kuningan-1-2-inch/ps--TOB-70786-00834")</f>
        <v>https://www.blibli.com/p/gate-valve-kitz-kuningan-1-2-inch/ps--TOB-70786-00834</v>
      </c>
      <c r="L180" s="3" t="str">
        <f>IFERROR(__xludf.DUMMYFUNCTION("""COMPUTED_VALUE"""),"AHU FA BC perlu diganti")</f>
        <v>AHU FA BC perlu diganti</v>
      </c>
      <c r="M180" s="3" t="str">
        <f>IFERROR(__xludf.DUMMYFUNCTION("""COMPUTED_VALUE"""),"Approve")</f>
        <v>Approve</v>
      </c>
      <c r="N180" s="3" t="str">
        <f>IFERROR(__xludf.DUMMYFUNCTION("""COMPUTED_VALUE"""),"Normal")</f>
        <v>Normal</v>
      </c>
      <c r="O180" s="3" t="str">
        <f>IFERROR(__xludf.DUMMYFUNCTION("""COMPUTED_VALUE"""),"Non Urgent")</f>
        <v>Non Urgent</v>
      </c>
      <c r="P180" s="7">
        <f>IFERROR(__xludf.DUMMYFUNCTION("""COMPUTED_VALUE"""),45838.8739583912)</f>
        <v>45838.87396</v>
      </c>
    </row>
    <row r="181">
      <c r="A181" s="4">
        <f>IFERROR(__xludf.DUMMYFUNCTION("""COMPUTED_VALUE"""),45840.65523291666)</f>
        <v>45840.65523</v>
      </c>
      <c r="B181" s="3" t="str">
        <f>IFERROR(__xludf.DUMMYFUNCTION("""COMPUTED_VALUE"""),"INNBR0033")</f>
        <v>INNBR0033</v>
      </c>
      <c r="C181" s="3" t="str">
        <f>IFERROR(__xludf.DUMMYFUNCTION("""COMPUTED_VALUE"""),"EJO")</f>
        <v>EJO</v>
      </c>
      <c r="D181" s="3" t="str">
        <f>IFERROR(__xludf.DUMMYFUNCTION("""COMPUTED_VALUE"""),"EJO/2025/06/93")</f>
        <v>EJO/2025/06/93</v>
      </c>
      <c r="E181" s="3" t="str">
        <f>IFERROR(__xludf.DUMMYFUNCTION("""COMPUTED_VALUE"""),"Autoclave Service")</f>
        <v>Autoclave Service</v>
      </c>
      <c r="F181" s="3" t="str">
        <f>IFERROR(__xludf.DUMMYFUNCTION("""COMPUTED_VALUE"""),"Proximity sensor E2A-SO8KS02-M5-B1")</f>
        <v>Proximity sensor E2A-SO8KS02-M5-B1</v>
      </c>
      <c r="G181" s="3" t="str">
        <f>IFERROR(__xludf.DUMMYFUNCTION("""COMPUTED_VALUE"""),"-")</f>
        <v>-</v>
      </c>
      <c r="H181" s="3" t="str">
        <f>IFERROR(__xludf.DUMMYFUNCTION("""COMPUTED_VALUE"""),"Omron")</f>
        <v>Omron</v>
      </c>
      <c r="I181" s="3">
        <f>IFERROR(__xludf.DUMMYFUNCTION("""COMPUTED_VALUE"""),2.0)</f>
        <v>2</v>
      </c>
      <c r="J181" s="3" t="str">
        <f>IFERROR(__xludf.DUMMYFUNCTION("""COMPUTED_VALUE"""),"pcs")</f>
        <v>pcs</v>
      </c>
      <c r="K181" s="3" t="str">
        <f>IFERROR(__xludf.DUMMYFUNCTION("""COMPUTED_VALUE"""),"-")</f>
        <v>-</v>
      </c>
      <c r="L181" s="3" t="str">
        <f>IFERROR(__xludf.DUMMYFUNCTION("""COMPUTED_VALUE"""),"Sensor Pneumatik valve PO7")</f>
        <v>Sensor Pneumatik valve PO7</v>
      </c>
      <c r="M181" s="3" t="str">
        <f>IFERROR(__xludf.DUMMYFUNCTION("""COMPUTED_VALUE"""),"Approve")</f>
        <v>Approve</v>
      </c>
      <c r="N181" s="3" t="str">
        <f>IFERROR(__xludf.DUMMYFUNCTION("""COMPUTED_VALUE"""),"Normal")</f>
        <v>Normal</v>
      </c>
      <c r="O181" s="3" t="str">
        <f>IFERROR(__xludf.DUMMYFUNCTION("""COMPUTED_VALUE"""),"Non Urgent")</f>
        <v>Non Urgent</v>
      </c>
      <c r="P181" s="7">
        <f>IFERROR(__xludf.DUMMYFUNCTION("""COMPUTED_VALUE"""),45888.66289111111)</f>
        <v>45888.66289</v>
      </c>
    </row>
    <row r="182">
      <c r="A182" s="4">
        <f>IFERROR(__xludf.DUMMYFUNCTION("""COMPUTED_VALUE"""),45841.40641902778)</f>
        <v>45841.40642</v>
      </c>
      <c r="B182" s="3" t="str">
        <f>IFERROR(__xludf.DUMMYFUNCTION("""COMPUTED_VALUE"""),"ANOBR0023")</f>
        <v>ANOBR0023</v>
      </c>
      <c r="C182" s="3" t="str">
        <f>IFERROR(__xludf.DUMMYFUNCTION("""COMPUTED_VALUE"""),"Consumable")</f>
        <v>Consumable</v>
      </c>
      <c r="D182" s="3" t="str">
        <f>IFERROR(__xludf.DUMMYFUNCTION("""COMPUTED_VALUE"""),"-")</f>
        <v>-</v>
      </c>
      <c r="E182" s="3" t="str">
        <f>IFERROR(__xludf.DUMMYFUNCTION("""COMPUTED_VALUE"""),"mesin las ")</f>
        <v>mesin las </v>
      </c>
      <c r="F182" s="3" t="str">
        <f>IFERROR(__xludf.DUMMYFUNCTION("""COMPUTED_VALUE"""),"elektroda ss 2.0 mm")</f>
        <v>elektroda ss 2.0 mm</v>
      </c>
      <c r="G182" s="3" t="str">
        <f>IFERROR(__xludf.DUMMYFUNCTION("""COMPUTED_VALUE"""),"elektroda ss 308,  2.0 mm")</f>
        <v>elektroda ss 308,  2.0 mm</v>
      </c>
      <c r="H182" s="3" t="str">
        <f>IFERROR(__xludf.DUMMYFUNCTION("""COMPUTED_VALUE"""),"nkko steel")</f>
        <v>nkko steel</v>
      </c>
      <c r="I182" s="3">
        <f>IFERROR(__xludf.DUMMYFUNCTION("""COMPUTED_VALUE"""),2.0)</f>
        <v>2</v>
      </c>
      <c r="J182" s="3" t="str">
        <f>IFERROR(__xludf.DUMMYFUNCTION("""COMPUTED_VALUE"""),"box")</f>
        <v>box</v>
      </c>
      <c r="K182" s="5" t="str">
        <f>IFERROR(__xludf.DUMMYFUNCTION("""COMPUTED_VALUE"""),"https://shopee.co.id/product/80262663/11669226864?gads_t_sig=VTJGc2RHVmtYMTlxTFVSVVRrdENkVzBLS2xuUGZzMlQ5NjlFWklmRkZjU1AvZHNQSXkwMzhhRTZYL2w5YUhCc2NVc3ZCd0JVTXoxWFNmZFo2cEZRVXl3aWhJWUgxMXZTMk5TR2QvV29FQ093K2xhYmhrY2FianF5bzNzRDhmdTE&amp;gad_source=1&amp;gad_campa"&amp;"ignid=22178753687&amp;gbraid=0AAAAADPpU83KnXLm_7hZs26_YvFWH7d_f&amp;gclid=CjwKCAjwsZPDBhBWEiwADuO6y3G5GRDYqSk1QpSAg_Uqa-ZqbaIV54eVLdbNN5k5HcQqkpuNMSMVPBoCfnwQAvD_BwE")</f>
        <v>https://shopee.co.id/product/80262663/11669226864?gads_t_sig=VTJGc2RHVmtYMTlxTFVSVVRrdENkVzBLS2xuUGZzMlQ5NjlFWklmRkZjU1AvZHNQSXkwMzhhRTZYL2w5YUhCc2NVc3ZCd0JVTXoxWFNmZFo2cEZRVXl3aWhJWUgxMXZTMk5TR2QvV29FQ093K2xhYmhrY2FianF5bzNzRDhmdTE&amp;gad_source=1&amp;gad_campaignid=22178753687&amp;gbraid=0AAAAADPpU83KnXLm_7hZs26_YvFWH7d_f&amp;gclid=CjwKCAjwsZPDBhBWEiwADuO6y3G5GRDYqSk1QpSAg_Uqa-ZqbaIV54eVLdbNN5k5HcQqkpuNMSMVPBoCfnwQAvD_BwE</v>
      </c>
      <c r="L182" s="3" t="str">
        <f>IFERROR(__xludf.DUMMYFUNCTION("""COMPUTED_VALUE"""),"untuk stock proses pengelasan")</f>
        <v>untuk stock proses pengelasan</v>
      </c>
      <c r="M182" s="3" t="str">
        <f>IFERROR(__xludf.DUMMYFUNCTION("""COMPUTED_VALUE"""),"Approve")</f>
        <v>Approve</v>
      </c>
      <c r="N182" s="3" t="str">
        <f>IFERROR(__xludf.DUMMYFUNCTION("""COMPUTED_VALUE"""),"Normal")</f>
        <v>Normal</v>
      </c>
      <c r="O182" s="3" t="str">
        <f>IFERROR(__xludf.DUMMYFUNCTION("""COMPUTED_VALUE"""),"Non Urgent")</f>
        <v>Non Urgent</v>
      </c>
      <c r="P182" s="7">
        <f>IFERROR(__xludf.DUMMYFUNCTION("""COMPUTED_VALUE"""),45849.85099144676)</f>
        <v>45849.85099</v>
      </c>
    </row>
    <row r="183">
      <c r="A183" s="4">
        <f>IFERROR(__xludf.DUMMYFUNCTION("""COMPUTED_VALUE"""),45842.86099738426)</f>
        <v>45842.861</v>
      </c>
      <c r="B183" s="3" t="str">
        <f>IFERROR(__xludf.DUMMYFUNCTION("""COMPUTED_VALUE"""),"AAABR0012")</f>
        <v>AAABR0012</v>
      </c>
      <c r="C183" s="3" t="str">
        <f>IFERROR(__xludf.DUMMYFUNCTION("""COMPUTED_VALUE"""),"EJO")</f>
        <v>EJO</v>
      </c>
      <c r="D183" s="3" t="str">
        <f>IFERROR(__xludf.DUMMYFUNCTION("""COMPUTED_VALUE"""),"EJO/2025/07/35")</f>
        <v>EJO/2025/07/35</v>
      </c>
      <c r="E183" s="3" t="str">
        <f>IFERROR(__xludf.DUMMYFUNCTION("""COMPUTED_VALUE"""),"Washing")</f>
        <v>Washing</v>
      </c>
      <c r="F183" s="3" t="str">
        <f>IFERROR(__xludf.DUMMYFUNCTION("""COMPUTED_VALUE"""),"EMERGENCY MODULE")</f>
        <v>EMERGENCY MODULE</v>
      </c>
      <c r="G183" s="3" t="str">
        <f>IFERROR(__xludf.DUMMYFUNCTION("""COMPUTED_VALUE"""),"Security and emergency relay PNOZX3 24V ACDC")</f>
        <v>Security and emergency relay PNOZX3 24V ACDC</v>
      </c>
      <c r="H183" s="3" t="str">
        <f>IFERROR(__xludf.DUMMYFUNCTION("""COMPUTED_VALUE"""),"PILZ")</f>
        <v>PILZ</v>
      </c>
      <c r="I183" s="3">
        <f>IFERROR(__xludf.DUMMYFUNCTION("""COMPUTED_VALUE"""),2.0)</f>
        <v>2</v>
      </c>
      <c r="J183" s="3" t="str">
        <f>IFERROR(__xludf.DUMMYFUNCTION("""COMPUTED_VALUE"""),"Set")</f>
        <v>Set</v>
      </c>
      <c r="K183" s="3" t="str">
        <f>IFERROR(__xludf.DUMMYFUNCTION("""COMPUTED_VALUE"""),"NA")</f>
        <v>NA</v>
      </c>
      <c r="L183" s="3" t="str">
        <f>IFERROR(__xludf.DUMMYFUNCTION("""COMPUTED_VALUE"""),"Needed Date : 04 Aug 25")</f>
        <v>Needed Date : 04 Aug 25</v>
      </c>
      <c r="M183" s="3" t="str">
        <f>IFERROR(__xludf.DUMMYFUNCTION("""COMPUTED_VALUE"""),"Approve")</f>
        <v>Approve</v>
      </c>
      <c r="N183" s="3" t="str">
        <f>IFERROR(__xludf.DUMMYFUNCTION("""COMPUTED_VALUE"""),"Normal")</f>
        <v>Normal</v>
      </c>
      <c r="O183" s="3" t="str">
        <f>IFERROR(__xludf.DUMMYFUNCTION("""COMPUTED_VALUE"""),"Non Urgent")</f>
        <v>Non Urgent</v>
      </c>
      <c r="P183" s="7">
        <f>IFERROR(__xludf.DUMMYFUNCTION("""COMPUTED_VALUE"""),45887.45912699074)</f>
        <v>45887.45913</v>
      </c>
    </row>
    <row r="184">
      <c r="A184" s="4">
        <f>IFERROR(__xludf.DUMMYFUNCTION("""COMPUTED_VALUE"""),45842.86194228009)</f>
        <v>45842.86194</v>
      </c>
      <c r="B184" s="3" t="str">
        <f>IFERROR(__xludf.DUMMYFUNCTION("""COMPUTED_VALUE"""),"AAABR0013")</f>
        <v>AAABR0013</v>
      </c>
      <c r="C184" s="3" t="str">
        <f>IFERROR(__xludf.DUMMYFUNCTION("""COMPUTED_VALUE"""),"EJO")</f>
        <v>EJO</v>
      </c>
      <c r="D184" s="3" t="str">
        <f>IFERROR(__xludf.DUMMYFUNCTION("""COMPUTED_VALUE"""),"EJO/2025/07/35")</f>
        <v>EJO/2025/07/35</v>
      </c>
      <c r="E184" s="3" t="str">
        <f>IFERROR(__xludf.DUMMYFUNCTION("""COMPUTED_VALUE"""),"Washing")</f>
        <v>Washing</v>
      </c>
      <c r="F184" s="3" t="str">
        <f>IFERROR(__xludf.DUMMYFUNCTION("""COMPUTED_VALUE"""),"EMERGENCY STOP BUTTON")</f>
        <v>EMERGENCY STOP BUTTON</v>
      </c>
      <c r="G184" s="3" t="str">
        <f>IFERROR(__xludf.DUMMYFUNCTION("""COMPUTED_VALUE"""),"Emergency stop push button M22-PV ; Fixing adapter for button type M22-A ; Contact N.C.  M22-CK01
")</f>
        <v>Emergency stop push button M22-PV ; Fixing adapter for button type M22-A ; Contact N.C.  M22-CK01
</v>
      </c>
      <c r="H184" s="3" t="str">
        <f>IFERROR(__xludf.DUMMYFUNCTION("""COMPUTED_VALUE"""),"Moeller
")</f>
        <v>Moeller
</v>
      </c>
      <c r="I184" s="3">
        <f>IFERROR(__xludf.DUMMYFUNCTION("""COMPUTED_VALUE"""),1.0)</f>
        <v>1</v>
      </c>
      <c r="J184" s="3" t="str">
        <f>IFERROR(__xludf.DUMMYFUNCTION("""COMPUTED_VALUE"""),"Set")</f>
        <v>Set</v>
      </c>
      <c r="K184" s="3" t="str">
        <f>IFERROR(__xludf.DUMMYFUNCTION("""COMPUTED_VALUE"""),"NA")</f>
        <v>NA</v>
      </c>
      <c r="L184" s="3" t="str">
        <f>IFERROR(__xludf.DUMMYFUNCTION("""COMPUTED_VALUE"""),"Needed Date : 04 Aug 25")</f>
        <v>Needed Date : 04 Aug 25</v>
      </c>
      <c r="M184" s="3" t="str">
        <f>IFERROR(__xludf.DUMMYFUNCTION("""COMPUTED_VALUE"""),"Approve")</f>
        <v>Approve</v>
      </c>
      <c r="N184" s="3" t="str">
        <f>IFERROR(__xludf.DUMMYFUNCTION("""COMPUTED_VALUE"""),"Normal")</f>
        <v>Normal</v>
      </c>
      <c r="O184" s="3" t="str">
        <f>IFERROR(__xludf.DUMMYFUNCTION("""COMPUTED_VALUE"""),"Non Urgent")</f>
        <v>Non Urgent</v>
      </c>
      <c r="P184" s="7">
        <f>IFERROR(__xludf.DUMMYFUNCTION("""COMPUTED_VALUE"""),45887.459516296294)</f>
        <v>45887.45952</v>
      </c>
    </row>
    <row r="185">
      <c r="A185" s="4">
        <f>IFERROR(__xludf.DUMMYFUNCTION("""COMPUTED_VALUE"""),45846.66374609953)</f>
        <v>45846.66375</v>
      </c>
      <c r="B185" s="3" t="str">
        <f>IFERROR(__xludf.DUMMYFUNCTION("""COMPUTED_VALUE"""),"ANOBR0024")</f>
        <v>ANOBR0024</v>
      </c>
      <c r="C185" s="3" t="str">
        <f>IFERROR(__xludf.DUMMYFUNCTION("""COMPUTED_VALUE"""),"Consumable")</f>
        <v>Consumable</v>
      </c>
      <c r="D185" s="3" t="str">
        <f>IFERROR(__xludf.DUMMYFUNCTION("""COMPUTED_VALUE"""),"-")</f>
        <v>-</v>
      </c>
      <c r="E185" s="3" t="str">
        <f>IFERROR(__xludf.DUMMYFUNCTION("""COMPUTED_VALUE"""),"Blistering")</f>
        <v>Blistering</v>
      </c>
      <c r="F185" s="3" t="str">
        <f>IFERROR(__xludf.DUMMYFUNCTION("""COMPUTED_VALUE"""),"Rod And Bearing")</f>
        <v>Rod And Bearing</v>
      </c>
      <c r="G185" s="3" t="str">
        <f>IFERROR(__xludf.DUMMYFUNCTION("""COMPUTED_VALUE"""),"Rod and bearing POS10LA  ulir kanan")</f>
        <v>Rod and bearing POS10LA  ulir kanan</v>
      </c>
      <c r="H185" s="3" t="str">
        <f>IFERROR(__xludf.DUMMYFUNCTION("""COMPUTED_VALUE"""),"-")</f>
        <v>-</v>
      </c>
      <c r="I185" s="3">
        <f>IFERROR(__xludf.DUMMYFUNCTION("""COMPUTED_VALUE"""),1.0)</f>
        <v>1</v>
      </c>
      <c r="J185" s="3" t="str">
        <f>IFERROR(__xludf.DUMMYFUNCTION("""COMPUTED_VALUE"""),"Pcs")</f>
        <v>Pcs</v>
      </c>
      <c r="K185" s="5" t="str">
        <f>IFERROR(__xludf.DUMMYFUNCTION("""COMPUTED_VALUE"""),"https://www.tokopedia.com/tngindustrial/pos-10-pos10-rod-end-bearing-d6e4")</f>
        <v>https://www.tokopedia.com/tngindustrial/pos-10-pos10-rod-end-bearing-d6e4</v>
      </c>
      <c r="L185" s="3" t="str">
        <f>IFERROR(__xludf.DUMMYFUNCTION("""COMPUTED_VALUE"""),"untuk stock penggantian jika ada problem")</f>
        <v>untuk stock penggantian jika ada problem</v>
      </c>
      <c r="M185" s="3" t="str">
        <f>IFERROR(__xludf.DUMMYFUNCTION("""COMPUTED_VALUE"""),"Approve")</f>
        <v>Approve</v>
      </c>
      <c r="N185" s="3" t="str">
        <f>IFERROR(__xludf.DUMMYFUNCTION("""COMPUTED_VALUE"""),"Normal")</f>
        <v>Normal</v>
      </c>
      <c r="O185" s="3" t="str">
        <f>IFERROR(__xludf.DUMMYFUNCTION("""COMPUTED_VALUE"""),"Non Urgent")</f>
        <v>Non Urgent</v>
      </c>
      <c r="P185" s="7">
        <f>IFERROR(__xludf.DUMMYFUNCTION("""COMPUTED_VALUE"""),45849.8530499537)</f>
        <v>45849.85305</v>
      </c>
    </row>
    <row r="186">
      <c r="A186" s="4">
        <f>IFERROR(__xludf.DUMMYFUNCTION("""COMPUTED_VALUE"""),45846.666147662036)</f>
        <v>45846.66615</v>
      </c>
      <c r="B186" s="3" t="str">
        <f>IFERROR(__xludf.DUMMYFUNCTION("""COMPUTED_VALUE"""),"ANOBR0025")</f>
        <v>ANOBR0025</v>
      </c>
      <c r="C186" s="3" t="str">
        <f>IFERROR(__xludf.DUMMYFUNCTION("""COMPUTED_VALUE"""),"Consumable")</f>
        <v>Consumable</v>
      </c>
      <c r="D186" s="3" t="str">
        <f>IFERROR(__xludf.DUMMYFUNCTION("""COMPUTED_VALUE"""),"-")</f>
        <v>-</v>
      </c>
      <c r="E186" s="3" t="str">
        <f>IFERROR(__xludf.DUMMYFUNCTION("""COMPUTED_VALUE"""),"Blistering")</f>
        <v>Blistering</v>
      </c>
      <c r="F186" s="3" t="str">
        <f>IFERROR(__xludf.DUMMYFUNCTION("""COMPUTED_VALUE"""),"Rod And Bearing")</f>
        <v>Rod And Bearing</v>
      </c>
      <c r="G186" s="3" t="str">
        <f>IFERROR(__xludf.DUMMYFUNCTION("""COMPUTED_VALUE"""),"Rod and bearing POS10LA  ulir kiri")</f>
        <v>Rod and bearing POS10LA  ulir kiri</v>
      </c>
      <c r="H186" s="3" t="str">
        <f>IFERROR(__xludf.DUMMYFUNCTION("""COMPUTED_VALUE"""),"-")</f>
        <v>-</v>
      </c>
      <c r="I186" s="3">
        <f>IFERROR(__xludf.DUMMYFUNCTION("""COMPUTED_VALUE"""),1.0)</f>
        <v>1</v>
      </c>
      <c r="J186" s="3" t="str">
        <f>IFERROR(__xludf.DUMMYFUNCTION("""COMPUTED_VALUE"""),"Pcs")</f>
        <v>Pcs</v>
      </c>
      <c r="K186" s="5" t="str">
        <f>IFERROR(__xludf.DUMMYFUNCTION("""COMPUTED_VALUE"""),"https://www.tokopedia.com/tngindustrial/pos-10-pos10-rod-end-bearing-d6e4")</f>
        <v>https://www.tokopedia.com/tngindustrial/pos-10-pos10-rod-end-bearing-d6e4</v>
      </c>
      <c r="L186" s="3" t="str">
        <f>IFERROR(__xludf.DUMMYFUNCTION("""COMPUTED_VALUE"""),"untuk stock penggantian jika ada problem")</f>
        <v>untuk stock penggantian jika ada problem</v>
      </c>
      <c r="M186" s="3" t="str">
        <f>IFERROR(__xludf.DUMMYFUNCTION("""COMPUTED_VALUE"""),"Approve")</f>
        <v>Approve</v>
      </c>
      <c r="N186" s="3" t="str">
        <f>IFERROR(__xludf.DUMMYFUNCTION("""COMPUTED_VALUE"""),"Normal")</f>
        <v>Normal</v>
      </c>
      <c r="O186" s="3" t="str">
        <f>IFERROR(__xludf.DUMMYFUNCTION("""COMPUTED_VALUE"""),"Non Urgent")</f>
        <v>Non Urgent</v>
      </c>
      <c r="P186" s="7">
        <f>IFERROR(__xludf.DUMMYFUNCTION("""COMPUTED_VALUE"""),45849.8534712963)</f>
        <v>45849.85347</v>
      </c>
    </row>
    <row r="187">
      <c r="A187" s="4">
        <f>IFERROR(__xludf.DUMMYFUNCTION("""COMPUTED_VALUE"""),45848.135704988425)</f>
        <v>45848.1357</v>
      </c>
      <c r="B187" s="3" t="str">
        <f>IFERROR(__xludf.DUMMYFUNCTION("""COMPUTED_VALUE"""),"INNBR0034")</f>
        <v>INNBR0034</v>
      </c>
      <c r="C187" s="3" t="str">
        <f>IFERROR(__xludf.DUMMYFUNCTION("""COMPUTED_VALUE"""),"EJO")</f>
        <v>EJO</v>
      </c>
      <c r="D187" s="3" t="str">
        <f>IFERROR(__xludf.DUMMYFUNCTION("""COMPUTED_VALUE"""),"EJO/2025/07/60")</f>
        <v>EJO/2025/07/60</v>
      </c>
      <c r="E187" s="3" t="str">
        <f>IFERROR(__xludf.DUMMYFUNCTION("""COMPUTED_VALUE"""),"Labeling")</f>
        <v>Labeling</v>
      </c>
      <c r="F187" s="3" t="str">
        <f>IFERROR(__xludf.DUMMYFUNCTION("""COMPUTED_VALUE"""),"Amplifier - BF3RX Autonic")</f>
        <v>Amplifier - BF3RX Autonic</v>
      </c>
      <c r="G187" s="3" t="str">
        <f>IFERROR(__xludf.DUMMYFUNCTION("""COMPUTED_VALUE"""),"Sesuai penawaran")</f>
        <v>Sesuai penawaran</v>
      </c>
      <c r="H187" s="3" t="str">
        <f>IFERROR(__xludf.DUMMYFUNCTION("""COMPUTED_VALUE"""),"Autonic")</f>
        <v>Autonic</v>
      </c>
      <c r="I187" s="3">
        <f>IFERROR(__xludf.DUMMYFUNCTION("""COMPUTED_VALUE"""),2.0)</f>
        <v>2</v>
      </c>
      <c r="J187" s="3" t="str">
        <f>IFERROR(__xludf.DUMMYFUNCTION("""COMPUTED_VALUE"""),"pcs")</f>
        <v>pcs</v>
      </c>
      <c r="K187" s="5" t="str">
        <f>IFERROR(__xludf.DUMMYFUNCTION("""COMPUTED_VALUE"""),"https://drive.google.com/file/d/1595nqTfGnZ3sgnxhGWvcEEMdxSHhKn4Q/view?usp=drive_link")</f>
        <v>https://drive.google.com/file/d/1595nqTfGnZ3sgnxhGWvcEEMdxSHhKn4Q/view?usp=drive_link</v>
      </c>
      <c r="L187" s="3" t="str">
        <f>IFERROR(__xludf.DUMMYFUNCTION("""COMPUTED_VALUE"""),"Untuk sensor vial")</f>
        <v>Untuk sensor vial</v>
      </c>
      <c r="M187" s="3" t="str">
        <f>IFERROR(__xludf.DUMMYFUNCTION("""COMPUTED_VALUE"""),"Approve")</f>
        <v>Approve</v>
      </c>
      <c r="N187" s="3" t="str">
        <f>IFERROR(__xludf.DUMMYFUNCTION("""COMPUTED_VALUE"""),"Normal")</f>
        <v>Normal</v>
      </c>
      <c r="O187" s="3" t="str">
        <f>IFERROR(__xludf.DUMMYFUNCTION("""COMPUTED_VALUE"""),"Non Urgent")</f>
        <v>Non Urgent</v>
      </c>
      <c r="P187" s="7">
        <f>IFERROR(__xludf.DUMMYFUNCTION("""COMPUTED_VALUE"""),45888.663274907405)</f>
        <v>45888.66327</v>
      </c>
    </row>
    <row r="188">
      <c r="A188" s="4">
        <f>IFERROR(__xludf.DUMMYFUNCTION("""COMPUTED_VALUE"""),45848.13584340278)</f>
        <v>45848.13584</v>
      </c>
      <c r="B188" s="3" t="str">
        <f>IFERROR(__xludf.DUMMYFUNCTION("""COMPUTED_VALUE"""),"INNBR0035")</f>
        <v>INNBR0035</v>
      </c>
      <c r="C188" s="3" t="str">
        <f>IFERROR(__xludf.DUMMYFUNCTION("""COMPUTED_VALUE"""),"EJO")</f>
        <v>EJO</v>
      </c>
      <c r="D188" s="3" t="str">
        <f>IFERROR(__xludf.DUMMYFUNCTION("""COMPUTED_VALUE"""),"EJO/2025/07/60")</f>
        <v>EJO/2025/07/60</v>
      </c>
      <c r="E188" s="3" t="str">
        <f>IFERROR(__xludf.DUMMYFUNCTION("""COMPUTED_VALUE"""),"Labeling")</f>
        <v>Labeling</v>
      </c>
      <c r="F188" s="3" t="str">
        <f>IFERROR(__xludf.DUMMYFUNCTION("""COMPUTED_VALUE"""),"Fiber optic - FD-620-10 Autonic")</f>
        <v>Fiber optic - FD-620-10 Autonic</v>
      </c>
      <c r="G188" s="3" t="str">
        <f>IFERROR(__xludf.DUMMYFUNCTION("""COMPUTED_VALUE"""),"Sesuai penawaran")</f>
        <v>Sesuai penawaran</v>
      </c>
      <c r="H188" s="3" t="str">
        <f>IFERROR(__xludf.DUMMYFUNCTION("""COMPUTED_VALUE"""),"Autonic")</f>
        <v>Autonic</v>
      </c>
      <c r="I188" s="3">
        <f>IFERROR(__xludf.DUMMYFUNCTION("""COMPUTED_VALUE"""),2.0)</f>
        <v>2</v>
      </c>
      <c r="J188" s="3" t="str">
        <f>IFERROR(__xludf.DUMMYFUNCTION("""COMPUTED_VALUE"""),"pcs")</f>
        <v>pcs</v>
      </c>
      <c r="K188" s="5" t="str">
        <f>IFERROR(__xludf.DUMMYFUNCTION("""COMPUTED_VALUE"""),"https://drive.google.com/file/d/1595nqTfGnZ3sgnxhGWvcEEMdxSHhKn4Q/view?usp=drive_link")</f>
        <v>https://drive.google.com/file/d/1595nqTfGnZ3sgnxhGWvcEEMdxSHhKn4Q/view?usp=drive_link</v>
      </c>
      <c r="L188" s="3" t="str">
        <f>IFERROR(__xludf.DUMMYFUNCTION("""COMPUTED_VALUE"""),"Untuk sensor vial")</f>
        <v>Untuk sensor vial</v>
      </c>
      <c r="M188" s="3" t="str">
        <f>IFERROR(__xludf.DUMMYFUNCTION("""COMPUTED_VALUE"""),"Approve")</f>
        <v>Approve</v>
      </c>
      <c r="N188" s="3" t="str">
        <f>IFERROR(__xludf.DUMMYFUNCTION("""COMPUTED_VALUE"""),"Normal")</f>
        <v>Normal</v>
      </c>
      <c r="O188" s="3" t="str">
        <f>IFERROR(__xludf.DUMMYFUNCTION("""COMPUTED_VALUE"""),"Non Urgent")</f>
        <v>Non Urgent</v>
      </c>
      <c r="P188" s="7">
        <f>IFERROR(__xludf.DUMMYFUNCTION("""COMPUTED_VALUE"""),45888.663505000004)</f>
        <v>45888.66351</v>
      </c>
    </row>
    <row r="189">
      <c r="A189" s="4">
        <f>IFERROR(__xludf.DUMMYFUNCTION("""COMPUTED_VALUE"""),45852.67276260417)</f>
        <v>45852.67276</v>
      </c>
      <c r="B189" s="3" t="str">
        <f>IFERROR(__xludf.DUMMYFUNCTION("""COMPUTED_VALUE"""),"RIABR0044")</f>
        <v>RIABR0044</v>
      </c>
      <c r="C189" s="3" t="str">
        <f>IFERROR(__xludf.DUMMYFUNCTION("""COMPUTED_VALUE"""),"Consumable")</f>
        <v>Consumable</v>
      </c>
      <c r="D189" s="3" t="str">
        <f>IFERROR(__xludf.DUMMYFUNCTION("""COMPUTED_VALUE"""),"-")</f>
        <v>-</v>
      </c>
      <c r="E189" s="3" t="str">
        <f>IFERROR(__xludf.DUMMYFUNCTION("""COMPUTED_VALUE"""),"Alarm System")</f>
        <v>Alarm System</v>
      </c>
      <c r="F189" s="3" t="str">
        <f>IFERROR(__xludf.DUMMYFUNCTION("""COMPUTED_VALUE"""),"Sensor PT 100 ")</f>
        <v>Sensor PT 100 </v>
      </c>
      <c r="G189" s="3" t="str">
        <f>IFERROR(__xludf.DUMMYFUNCTION("""COMPUTED_VALUE"""),"AUTONICS Thermocouple TW-N(PT100) - 6.4 150mm 1.5M PT1/8")</f>
        <v>AUTONICS Thermocouple TW-N(PT100) - 6.4 150mm 1.5M PT1/8</v>
      </c>
      <c r="H189" s="3" t="str">
        <f>IFERROR(__xludf.DUMMYFUNCTION("""COMPUTED_VALUE"""),"Autonics")</f>
        <v>Autonics</v>
      </c>
      <c r="I189" s="3">
        <f>IFERROR(__xludf.DUMMYFUNCTION("""COMPUTED_VALUE"""),6.0)</f>
        <v>6</v>
      </c>
      <c r="J189" s="3" t="str">
        <f>IFERROR(__xludf.DUMMYFUNCTION("""COMPUTED_VALUE"""),"Pcs")</f>
        <v>Pcs</v>
      </c>
      <c r="K189" s="5" t="str">
        <f>IFERROR(__xludf.DUMMYFUNCTION("""COMPUTED_VALUE"""),"https://www.tokopedia.com/ptsahabatmitra/autonics-thermocouple-tw-n-pt100-6-4-150mm-1-5m-pt1-8?utm_source=google&amp;utm_medium=organic&amp;utm_campaign=pdp")</f>
        <v>https://www.tokopedia.com/ptsahabatmitra/autonics-thermocouple-tw-n-pt100-6-4-150mm-1-5m-pt1-8?utm_source=google&amp;utm_medium=organic&amp;utm_campaign=pdp</v>
      </c>
      <c r="L189" s="3" t="str">
        <f>IFERROR(__xludf.DUMMYFUNCTION("""COMPUTED_VALUE"""),"Alarm untuk API, Raw Material, Intermediate1 &amp; 2 OSD, Beli yang 2 kabel 100 meteran ya")</f>
        <v>Alarm untuk API, Raw Material, Intermediate1 &amp; 2 OSD, Beli yang 2 kabel 100 meteran ya</v>
      </c>
      <c r="M189" s="3" t="str">
        <f>IFERROR(__xludf.DUMMYFUNCTION("""COMPUTED_VALUE"""),"Approve")</f>
        <v>Approve</v>
      </c>
      <c r="N189" s="3" t="str">
        <f>IFERROR(__xludf.DUMMYFUNCTION("""COMPUTED_VALUE"""),"Normal")</f>
        <v>Normal</v>
      </c>
      <c r="O189" s="3" t="str">
        <f>IFERROR(__xludf.DUMMYFUNCTION("""COMPUTED_VALUE"""),"Non Urgent")</f>
        <v>Non Urgent</v>
      </c>
      <c r="P189" s="7">
        <f>IFERROR(__xludf.DUMMYFUNCTION("""COMPUTED_VALUE"""),45854.615418263886)</f>
        <v>45854.61542</v>
      </c>
    </row>
    <row r="190">
      <c r="A190" s="4">
        <f>IFERROR(__xludf.DUMMYFUNCTION("""COMPUTED_VALUE"""),45853.41180569445)</f>
        <v>45853.41181</v>
      </c>
      <c r="B190" s="3" t="str">
        <f>IFERROR(__xludf.DUMMYFUNCTION("""COMPUTED_VALUE"""),"INNBR0036")</f>
        <v>INNBR0036</v>
      </c>
      <c r="C190" s="3" t="str">
        <f>IFERROR(__xludf.DUMMYFUNCTION("""COMPUTED_VALUE"""),"EJO")</f>
        <v>EJO</v>
      </c>
      <c r="D190" s="3" t="str">
        <f>IFERROR(__xludf.DUMMYFUNCTION("""COMPUTED_VALUE"""),"EJO/2025/07/60")</f>
        <v>EJO/2025/07/60</v>
      </c>
      <c r="E190" s="3" t="str">
        <f>IFERROR(__xludf.DUMMYFUNCTION("""COMPUTED_VALUE"""),"Labeling")</f>
        <v>Labeling</v>
      </c>
      <c r="F190" s="3" t="str">
        <f>IFERROR(__xludf.DUMMYFUNCTION("""COMPUTED_VALUE"""),"Fork Sensor WF2-40B410")</f>
        <v>Fork Sensor WF2-40B410</v>
      </c>
      <c r="G190" s="3" t="str">
        <f>IFERROR(__xludf.DUMMYFUNCTION("""COMPUTED_VALUE"""),"Sesuai penawaran")</f>
        <v>Sesuai penawaran</v>
      </c>
      <c r="H190" s="3" t="str">
        <f>IFERROR(__xludf.DUMMYFUNCTION("""COMPUTED_VALUE"""),"SIck")</f>
        <v>SIck</v>
      </c>
      <c r="I190" s="3">
        <f>IFERROR(__xludf.DUMMYFUNCTION("""COMPUTED_VALUE"""),2.0)</f>
        <v>2</v>
      </c>
      <c r="J190" s="3" t="str">
        <f>IFERROR(__xludf.DUMMYFUNCTION("""COMPUTED_VALUE"""),"pcs")</f>
        <v>pcs</v>
      </c>
      <c r="K190" s="5" t="str">
        <f>IFERROR(__xludf.DUMMYFUNCTION("""COMPUTED_VALUE"""),"https://drive.google.com/file/d/18wo9hmuOIwH8ngUFir2QDrKYwHuVnjUB/view?usp=drive_link")</f>
        <v>https://drive.google.com/file/d/18wo9hmuOIwH8ngUFir2QDrKYwHuVnjUB/view?usp=drive_link</v>
      </c>
      <c r="L190" s="3" t="str">
        <f>IFERROR(__xludf.DUMMYFUNCTION("""COMPUTED_VALUE"""),"Untuk sensor label dan counting di OCR")</f>
        <v>Untuk sensor label dan counting di OCR</v>
      </c>
      <c r="M190" s="3" t="str">
        <f>IFERROR(__xludf.DUMMYFUNCTION("""COMPUTED_VALUE"""),"Approve")</f>
        <v>Approve</v>
      </c>
      <c r="N190" s="3" t="str">
        <f>IFERROR(__xludf.DUMMYFUNCTION("""COMPUTED_VALUE"""),"Normal")</f>
        <v>Normal</v>
      </c>
      <c r="O190" s="3" t="str">
        <f>IFERROR(__xludf.DUMMYFUNCTION("""COMPUTED_VALUE"""),"Non Urgent")</f>
        <v>Non Urgent</v>
      </c>
      <c r="P190" s="7">
        <f>IFERROR(__xludf.DUMMYFUNCTION("""COMPUTED_VALUE"""),45888.66408174769)</f>
        <v>45888.66408</v>
      </c>
    </row>
    <row r="191">
      <c r="A191" s="4">
        <f>IFERROR(__xludf.DUMMYFUNCTION("""COMPUTED_VALUE"""),45853.412138182866)</f>
        <v>45853.41214</v>
      </c>
      <c r="B191" s="3" t="str">
        <f>IFERROR(__xludf.DUMMYFUNCTION("""COMPUTED_VALUE"""),"INNBR0037")</f>
        <v>INNBR0037</v>
      </c>
      <c r="C191" s="3" t="str">
        <f>IFERROR(__xludf.DUMMYFUNCTION("""COMPUTED_VALUE"""),"EJO")</f>
        <v>EJO</v>
      </c>
      <c r="D191" s="3" t="str">
        <f>IFERROR(__xludf.DUMMYFUNCTION("""COMPUTED_VALUE"""),"EJO/2025/07/60")</f>
        <v>EJO/2025/07/60</v>
      </c>
      <c r="E191" s="3" t="str">
        <f>IFERROR(__xludf.DUMMYFUNCTION("""COMPUTED_VALUE"""),"Labeling")</f>
        <v>Labeling</v>
      </c>
      <c r="F191" s="3" t="str">
        <f>IFERROR(__xludf.DUMMYFUNCTION("""COMPUTED_VALUE"""),"Female connector, M8, 4-pin, straight, A-coded, 2 m YF8U14-020VA3XLEAX")</f>
        <v>Female connector, M8, 4-pin, straight, A-coded, 2 m YF8U14-020VA3XLEAX</v>
      </c>
      <c r="G191" s="3" t="str">
        <f>IFERROR(__xludf.DUMMYFUNCTION("""COMPUTED_VALUE"""),"Sesuai penawaran")</f>
        <v>Sesuai penawaran</v>
      </c>
      <c r="H191" s="3" t="str">
        <f>IFERROR(__xludf.DUMMYFUNCTION("""COMPUTED_VALUE"""),"SIck")</f>
        <v>SIck</v>
      </c>
      <c r="I191" s="3">
        <f>IFERROR(__xludf.DUMMYFUNCTION("""COMPUTED_VALUE"""),2.0)</f>
        <v>2</v>
      </c>
      <c r="J191" s="3" t="str">
        <f>IFERROR(__xludf.DUMMYFUNCTION("""COMPUTED_VALUE"""),"pcs")</f>
        <v>pcs</v>
      </c>
      <c r="K191" s="5" t="str">
        <f>IFERROR(__xludf.DUMMYFUNCTION("""COMPUTED_VALUE"""),"https://drive.google.com/file/d/18wo9hmuOIwH8ngUFir2QDrKYwHuVnjUB/view?usp=drive_link")</f>
        <v>https://drive.google.com/file/d/18wo9hmuOIwH8ngUFir2QDrKYwHuVnjUB/view?usp=drive_link</v>
      </c>
      <c r="L191" s="3" t="str">
        <f>IFERROR(__xludf.DUMMYFUNCTION("""COMPUTED_VALUE"""),"Untuk sensor label dan counting di OCR")</f>
        <v>Untuk sensor label dan counting di OCR</v>
      </c>
      <c r="M191" s="3" t="str">
        <f>IFERROR(__xludf.DUMMYFUNCTION("""COMPUTED_VALUE"""),"Approve")</f>
        <v>Approve</v>
      </c>
      <c r="N191" s="3" t="str">
        <f>IFERROR(__xludf.DUMMYFUNCTION("""COMPUTED_VALUE"""),"Normal")</f>
        <v>Normal</v>
      </c>
      <c r="O191" s="3" t="str">
        <f>IFERROR(__xludf.DUMMYFUNCTION("""COMPUTED_VALUE"""),"Non Urgent")</f>
        <v>Non Urgent</v>
      </c>
      <c r="P191" s="7">
        <f>IFERROR(__xludf.DUMMYFUNCTION("""COMPUTED_VALUE"""),45888.66452697916)</f>
        <v>45888.66453</v>
      </c>
    </row>
    <row r="192">
      <c r="A192" s="4">
        <f>IFERROR(__xludf.DUMMYFUNCTION("""COMPUTED_VALUE"""),45853.657723599536)</f>
        <v>45853.65772</v>
      </c>
      <c r="B192" s="3" t="str">
        <f>IFERROR(__xludf.DUMMYFUNCTION("""COMPUTED_VALUE"""),"RIABR0046")</f>
        <v>RIABR0046</v>
      </c>
      <c r="C192" s="3" t="str">
        <f>IFERROR(__xludf.DUMMYFUNCTION("""COMPUTED_VALUE"""),"Consumable")</f>
        <v>Consumable</v>
      </c>
      <c r="D192" s="3" t="str">
        <f>IFERROR(__xludf.DUMMYFUNCTION("""COMPUTED_VALUE"""),"-")</f>
        <v>-</v>
      </c>
      <c r="E192" s="3" t="str">
        <f>IFERROR(__xludf.DUMMYFUNCTION("""COMPUTED_VALUE"""),"Water System")</f>
        <v>Water System</v>
      </c>
      <c r="F192" s="3" t="str">
        <f>IFERROR(__xludf.DUMMYFUNCTION("""COMPUTED_VALUE"""),"Chemical NaOH")</f>
        <v>Chemical NaOH</v>
      </c>
      <c r="G192" s="3" t="str">
        <f>IFERROR(__xludf.DUMMYFUNCTION("""COMPUTED_VALUE"""),"Natrium Hidroksida (NaOH)")</f>
        <v>Natrium Hidroksida (NaOH)</v>
      </c>
      <c r="H192" s="3" t="str">
        <f>IFERROR(__xludf.DUMMYFUNCTION("""COMPUTED_VALUE"""),"-")</f>
        <v>-</v>
      </c>
      <c r="I192" s="3">
        <f>IFERROR(__xludf.DUMMYFUNCTION("""COMPUTED_VALUE"""),1.0)</f>
        <v>1</v>
      </c>
      <c r="J192" s="3" t="str">
        <f>IFERROR(__xludf.DUMMYFUNCTION("""COMPUTED_VALUE"""),"Sak")</f>
        <v>Sak</v>
      </c>
      <c r="K192" s="5" t="str">
        <f>IFERROR(__xludf.DUMMYFUNCTION("""COMPUTED_VALUE"""),"https://www.google.com/url?sa=i&amp;url=https%3A%2F%2Fwww.coolboxdelta.com%2Fproduct%2Fcaustic-soda-flakes-naoh-ex-lokal-soda-api-p1186934.aspx&amp;psig=AOvVaw3II2GQwqK0bgkkfbcMTixR&amp;ust=1752655595485000&amp;source=images&amp;cd=vfe&amp;opi=89978449&amp;ved=0CBUQjRxqFwoTCOjDhIW9v"&amp;"o4DFQAAAAAdAAAAABAE")</f>
        <v>https://www.google.com/url?sa=i&amp;url=https%3A%2F%2Fwww.coolboxdelta.com%2Fproduct%2Fcaustic-soda-flakes-naoh-ex-lokal-soda-api-p1186934.aspx&amp;psig=AOvVaw3II2GQwqK0bgkkfbcMTixR&amp;ust=1752655595485000&amp;source=images&amp;cd=vfe&amp;opi=89978449&amp;ved=0CBUQjRxqFwoTCOjDhIW9vo4DFQAAAAAdAAAAABAE</v>
      </c>
      <c r="L192" s="3" t="str">
        <f>IFERROR(__xludf.DUMMYFUNCTION("""COMPUTED_VALUE"""),"Buat Water System PWG")</f>
        <v>Buat Water System PWG</v>
      </c>
      <c r="M192" s="3" t="str">
        <f>IFERROR(__xludf.DUMMYFUNCTION("""COMPUTED_VALUE"""),"Approve")</f>
        <v>Approve</v>
      </c>
      <c r="N192" s="3" t="str">
        <f>IFERROR(__xludf.DUMMYFUNCTION("""COMPUTED_VALUE"""),"Normal")</f>
        <v>Normal</v>
      </c>
      <c r="O192" s="3" t="str">
        <f>IFERROR(__xludf.DUMMYFUNCTION("""COMPUTED_VALUE"""),"Non Urgent")</f>
        <v>Non Urgent</v>
      </c>
      <c r="P192" s="7">
        <f>IFERROR(__xludf.DUMMYFUNCTION("""COMPUTED_VALUE"""),45854.61661390046)</f>
        <v>45854.61661</v>
      </c>
    </row>
    <row r="193">
      <c r="A193" s="4">
        <f>IFERROR(__xludf.DUMMYFUNCTION("""COMPUTED_VALUE"""),45854.582451585644)</f>
        <v>45854.58245</v>
      </c>
      <c r="B193" s="3" t="str">
        <f>IFERROR(__xludf.DUMMYFUNCTION("""COMPUTED_VALUE"""),"MRNBR0030")</f>
        <v>MRNBR0030</v>
      </c>
      <c r="C193" s="3" t="str">
        <f>IFERROR(__xludf.DUMMYFUNCTION("""COMPUTED_VALUE"""),"EJO")</f>
        <v>EJO</v>
      </c>
      <c r="D193" s="3" t="str">
        <f>IFERROR(__xludf.DUMMYFUNCTION("""COMPUTED_VALUE"""),"Ejo/2025/07/154")</f>
        <v>Ejo/2025/07/154</v>
      </c>
      <c r="E193" s="3" t="str">
        <f>IFERROR(__xludf.DUMMYFUNCTION("""COMPUTED_VALUE"""),"Pintu Extension")</f>
        <v>Pintu Extension</v>
      </c>
      <c r="F193" s="3" t="str">
        <f>IFERROR(__xludf.DUMMYFUNCTION("""COMPUTED_VALUE"""),"UNP 100")</f>
        <v>UNP 100</v>
      </c>
      <c r="G193" s="3" t="str">
        <f>IFERROR(__xludf.DUMMYFUNCTION("""COMPUTED_VALUE"""),"100x50x3mm")</f>
        <v>100x50x3mm</v>
      </c>
      <c r="H193" s="3" t="str">
        <f>IFERROR(__xludf.DUMMYFUNCTION("""COMPUTED_VALUE"""),"krakatau steel")</f>
        <v>krakatau steel</v>
      </c>
      <c r="I193" s="3">
        <f>IFERROR(__xludf.DUMMYFUNCTION("""COMPUTED_VALUE"""),2.0)</f>
        <v>2</v>
      </c>
      <c r="J193" s="3" t="str">
        <f>IFERROR(__xludf.DUMMYFUNCTION("""COMPUTED_VALUE"""),"btg")</f>
        <v>btg</v>
      </c>
      <c r="K193" s="5" t="str">
        <f>IFERROR(__xludf.DUMMYFUNCTION("""COMPUTED_VALUE"""),"https://www.tokopedia.com/rianbaja/besi-unp-100-x-50-berat-36kg-unp-100-d1786?aff_unique_id=&amp;channel=others&amp;chain_key=")</f>
        <v>https://www.tokopedia.com/rianbaja/besi-unp-100-x-50-berat-36kg-unp-100-d1786?aff_unique_id=&amp;channel=others&amp;chain_key=</v>
      </c>
      <c r="L193" s="3" t="str">
        <f>IFERROR(__xludf.DUMMYFUNCTION("""COMPUTED_VALUE"""),"untuk pintu extension")</f>
        <v>untuk pintu extension</v>
      </c>
      <c r="M193" s="3" t="str">
        <f>IFERROR(__xludf.DUMMYFUNCTION("""COMPUTED_VALUE"""),"Approve")</f>
        <v>Approve</v>
      </c>
      <c r="N193" s="3" t="str">
        <f>IFERROR(__xludf.DUMMYFUNCTION("""COMPUTED_VALUE"""),"Normal")</f>
        <v>Normal</v>
      </c>
      <c r="O193" s="3" t="str">
        <f>IFERROR(__xludf.DUMMYFUNCTION("""COMPUTED_VALUE"""),"Non Urgent")</f>
        <v>Non Urgent</v>
      </c>
      <c r="P193" s="7">
        <f>IFERROR(__xludf.DUMMYFUNCTION("""COMPUTED_VALUE"""),45855.456590173606)</f>
        <v>45855.45659</v>
      </c>
    </row>
    <row r="194">
      <c r="A194" s="4">
        <f>IFERROR(__xludf.DUMMYFUNCTION("""COMPUTED_VALUE"""),45854.58495675925)</f>
        <v>45854.58496</v>
      </c>
      <c r="B194" s="3" t="str">
        <f>IFERROR(__xludf.DUMMYFUNCTION("""COMPUTED_VALUE"""),"MRNBR0031")</f>
        <v>MRNBR0031</v>
      </c>
      <c r="C194" s="3" t="str">
        <f>IFERROR(__xludf.DUMMYFUNCTION("""COMPUTED_VALUE"""),"EJO")</f>
        <v>EJO</v>
      </c>
      <c r="D194" s="3" t="str">
        <f>IFERROR(__xludf.DUMMYFUNCTION("""COMPUTED_VALUE"""),"Ejo/2025/07/155")</f>
        <v>Ejo/2025/07/155</v>
      </c>
      <c r="E194" s="3" t="str">
        <f>IFERROR(__xludf.DUMMYFUNCTION("""COMPUTED_VALUE"""),"Pintu Extension")</f>
        <v>Pintu Extension</v>
      </c>
      <c r="F194" s="3" t="str">
        <f>IFERROR(__xludf.DUMMYFUNCTION("""COMPUTED_VALUE"""),"GRC")</f>
        <v>GRC</v>
      </c>
      <c r="G194" s="3" t="str">
        <f>IFERROR(__xludf.DUMMYFUNCTION("""COMPUTED_VALUE"""),"9mm")</f>
        <v>9mm</v>
      </c>
      <c r="H194" s="3" t="str">
        <f>IFERROR(__xludf.DUMMYFUNCTION("""COMPUTED_VALUE"""),"elephant")</f>
        <v>elephant</v>
      </c>
      <c r="I194" s="3">
        <f>IFERROR(__xludf.DUMMYFUNCTION("""COMPUTED_VALUE"""),3.0)</f>
        <v>3</v>
      </c>
      <c r="J194" s="3" t="str">
        <f>IFERROR(__xludf.DUMMYFUNCTION("""COMPUTED_VALUE"""),"lbr")</f>
        <v>lbr</v>
      </c>
      <c r="K194" s="5" t="str">
        <f>IFERROR(__xludf.DUMMYFUNCTION("""COMPUTED_VALUE"""),"https://www.tokopedia.com/sulawesiutamapersada/elephant-gyspum-papan-gypsum-elephant-9mm?extParam=ivf%3Dfalse%26keyword%3Dgypsum+elephant%26search_id%3D20250716070526496E05E1AEA0A92DEMLN%26src%3Dsearch")</f>
        <v>https://www.tokopedia.com/sulawesiutamapersada/elephant-gyspum-papan-gypsum-elephant-9mm?extParam=ivf%3Dfalse%26keyword%3Dgypsum+elephant%26search_id%3D20250716070526496E05E1AEA0A92DEMLN%26src%3Dsearch</v>
      </c>
      <c r="L194" s="3" t="str">
        <f>IFERROR(__xludf.DUMMYFUNCTION("""COMPUTED_VALUE"""),"untuk pintu extension")</f>
        <v>untuk pintu extension</v>
      </c>
      <c r="M194" s="3" t="str">
        <f>IFERROR(__xludf.DUMMYFUNCTION("""COMPUTED_VALUE"""),"Approve")</f>
        <v>Approve</v>
      </c>
      <c r="N194" s="3" t="str">
        <f>IFERROR(__xludf.DUMMYFUNCTION("""COMPUTED_VALUE"""),"Normal")</f>
        <v>Normal</v>
      </c>
      <c r="O194" s="3" t="str">
        <f>IFERROR(__xludf.DUMMYFUNCTION("""COMPUTED_VALUE"""),"Non Urgent")</f>
        <v>Non Urgent</v>
      </c>
      <c r="P194" s="7">
        <f>IFERROR(__xludf.DUMMYFUNCTION("""COMPUTED_VALUE"""),45855.45691332176)</f>
        <v>45855.45691</v>
      </c>
    </row>
    <row r="195">
      <c r="A195" s="4">
        <f>IFERROR(__xludf.DUMMYFUNCTION("""COMPUTED_VALUE"""),45854.60868311342)</f>
        <v>45854.60868</v>
      </c>
      <c r="B195" s="3" t="str">
        <f>IFERROR(__xludf.DUMMYFUNCTION("""COMPUTED_VALUE"""),"MRNBR0032")</f>
        <v>MRNBR0032</v>
      </c>
      <c r="C195" s="3" t="str">
        <f>IFERROR(__xludf.DUMMYFUNCTION("""COMPUTED_VALUE"""),"EJO")</f>
        <v>EJO</v>
      </c>
      <c r="D195" s="3" t="str">
        <f>IFERROR(__xludf.DUMMYFUNCTION("""COMPUTED_VALUE"""),"Ejo/2025/07/156")</f>
        <v>Ejo/2025/07/156</v>
      </c>
      <c r="E195" s="3" t="str">
        <f>IFERROR(__xludf.DUMMYFUNCTION("""COMPUTED_VALUE"""),"Pintu Extension")</f>
        <v>Pintu Extension</v>
      </c>
      <c r="F195" s="3" t="str">
        <f>IFERROR(__xludf.DUMMYFUNCTION("""COMPUTED_VALUE"""),"engsel")</f>
        <v>engsel</v>
      </c>
      <c r="G195" s="3" t="str">
        <f>IFERROR(__xludf.DUMMYFUNCTION("""COMPUTED_VALUE"""),"Dekson Concealed hinge - D40")</f>
        <v>Dekson Concealed hinge - D40</v>
      </c>
      <c r="H195" s="3" t="str">
        <f>IFERROR(__xludf.DUMMYFUNCTION("""COMPUTED_VALUE"""),"dekson")</f>
        <v>dekson</v>
      </c>
      <c r="I195" s="3">
        <f>IFERROR(__xludf.DUMMYFUNCTION("""COMPUTED_VALUE"""),3.0)</f>
        <v>3</v>
      </c>
      <c r="J195" s="3" t="str">
        <f>IFERROR(__xludf.DUMMYFUNCTION("""COMPUTED_VALUE"""),"pcs")</f>
        <v>pcs</v>
      </c>
      <c r="K195" s="5" t="str">
        <f>IFERROR(__xludf.DUMMYFUNCTION("""COMPUTED_VALUE"""),"https://www.tokopedia.com/royalkeys/engsel-tanam-pintu-dekkson-d40-d80-d120-na-dekson-concealed-hinge-d40?extParam=ivf%3Dfalse%26keyword%3Dengsel+tanam+pintu%26search_id%3D20250716072822432ACA3A1E345E1544RI%26src%3Dsearch&amp;t_id=1752650910822&amp;t_st=1&amp;t_pp=se"&amp;"arch_result&amp;t_efo=search_pure_goods_card&amp;t_ef=goods_search&amp;t_sm=&amp;t_spt=search_result")</f>
        <v>https://www.tokopedia.com/royalkeys/engsel-tanam-pintu-dekkson-d40-d80-d120-na-dekson-concealed-hinge-d40?extParam=ivf%3Dfalse%26keyword%3Dengsel+tanam+pintu%26search_id%3D20250716072822432ACA3A1E345E1544RI%26src%3Dsearch&amp;t_id=1752650910822&amp;t_st=1&amp;t_pp=search_result&amp;t_efo=search_pure_goods_card&amp;t_ef=goods_search&amp;t_sm=&amp;t_spt=search_result</v>
      </c>
      <c r="L195" s="3" t="str">
        <f>IFERROR(__xludf.DUMMYFUNCTION("""COMPUTED_VALUE"""),"untuk pintu extension")</f>
        <v>untuk pintu extension</v>
      </c>
      <c r="M195" s="3" t="str">
        <f>IFERROR(__xludf.DUMMYFUNCTION("""COMPUTED_VALUE"""),"Approve")</f>
        <v>Approve</v>
      </c>
      <c r="N195" s="3" t="str">
        <f>IFERROR(__xludf.DUMMYFUNCTION("""COMPUTED_VALUE"""),"Normal")</f>
        <v>Normal</v>
      </c>
      <c r="O195" s="3" t="str">
        <f>IFERROR(__xludf.DUMMYFUNCTION("""COMPUTED_VALUE"""),"Non Urgent")</f>
        <v>Non Urgent</v>
      </c>
      <c r="P195" s="7">
        <f>IFERROR(__xludf.DUMMYFUNCTION("""COMPUTED_VALUE"""),45855.456749282406)</f>
        <v>45855.45675</v>
      </c>
    </row>
    <row r="196">
      <c r="A196" s="4">
        <f>IFERROR(__xludf.DUMMYFUNCTION("""COMPUTED_VALUE"""),45854.661876724545)</f>
        <v>45854.66188</v>
      </c>
      <c r="B196" s="3" t="str">
        <f>IFERROR(__xludf.DUMMYFUNCTION("""COMPUTED_VALUE"""),"MRNBR0033")</f>
        <v>MRNBR0033</v>
      </c>
      <c r="C196" s="3" t="str">
        <f>IFERROR(__xludf.DUMMYFUNCTION("""COMPUTED_VALUE"""),"EJO")</f>
        <v>EJO</v>
      </c>
      <c r="D196" s="3" t="str">
        <f>IFERROR(__xludf.DUMMYFUNCTION("""COMPUTED_VALUE"""),"Ejo/2025/07/157")</f>
        <v>Ejo/2025/07/157</v>
      </c>
      <c r="E196" s="3" t="str">
        <f>IFERROR(__xludf.DUMMYFUNCTION("""COMPUTED_VALUE"""),"Pintu Extension")</f>
        <v>Pintu Extension</v>
      </c>
      <c r="F196" s="3" t="str">
        <f>IFERROR(__xludf.DUMMYFUNCTION("""COMPUTED_VALUE"""),"CNP 100")</f>
        <v>CNP 100</v>
      </c>
      <c r="G196" s="3" t="str">
        <f>IFERROR(__xludf.DUMMYFUNCTION("""COMPUTED_VALUE"""),"100x50x2mm")</f>
        <v>100x50x2mm</v>
      </c>
      <c r="H196" s="3" t="str">
        <f>IFERROR(__xludf.DUMMYFUNCTION("""COMPUTED_VALUE"""),"krakatau steel")</f>
        <v>krakatau steel</v>
      </c>
      <c r="I196" s="3">
        <f>IFERROR(__xludf.DUMMYFUNCTION("""COMPUTED_VALUE"""),2.0)</f>
        <v>2</v>
      </c>
      <c r="J196" s="3" t="str">
        <f>IFERROR(__xludf.DUMMYFUNCTION("""COMPUTED_VALUE"""),"btg")</f>
        <v>btg</v>
      </c>
      <c r="K196" s="5" t="str">
        <f>IFERROR(__xludf.DUMMYFUNCTION("""COMPUTED_VALUE"""),"https://www.tokopedia.com/besibetonjakarta/cnp-100-x-2-0mm-x-6m?extParam=ivf%3Dfalse%26keyword%3Dcnp+100%26search_id%3D2025071607431701386BD6D8E09119A2JT%26src%3Dsearch&amp;t_id=1752650910822&amp;t_st=2&amp;t_pp=search_result&amp;t_efo=search_pure_goods_card&amp;t_ef=goods_s"&amp;"earch&amp;t_sm=&amp;t_spt=search_result")</f>
        <v>https://www.tokopedia.com/besibetonjakarta/cnp-100-x-2-0mm-x-6m?extParam=ivf%3Dfalse%26keyword%3Dcnp+100%26search_id%3D2025071607431701386BD6D8E09119A2JT%26src%3Dsearch&amp;t_id=1752650910822&amp;t_st=2&amp;t_pp=search_result&amp;t_efo=search_pure_goods_card&amp;t_ef=goods_search&amp;t_sm=&amp;t_spt=search_result</v>
      </c>
      <c r="L196" s="3" t="str">
        <f>IFERROR(__xludf.DUMMYFUNCTION("""COMPUTED_VALUE"""),"untuk pintu extension")</f>
        <v>untuk pintu extension</v>
      </c>
      <c r="M196" s="3" t="str">
        <f>IFERROR(__xludf.DUMMYFUNCTION("""COMPUTED_VALUE"""),"Approve")</f>
        <v>Approve</v>
      </c>
      <c r="N196" s="3" t="str">
        <f>IFERROR(__xludf.DUMMYFUNCTION("""COMPUTED_VALUE"""),"Normal")</f>
        <v>Normal</v>
      </c>
      <c r="O196" s="3" t="str">
        <f>IFERROR(__xludf.DUMMYFUNCTION("""COMPUTED_VALUE"""),"Non Urgent")</f>
        <v>Non Urgent</v>
      </c>
      <c r="P196" s="7">
        <f>IFERROR(__xludf.DUMMYFUNCTION("""COMPUTED_VALUE"""),45855.47259462963)</f>
        <v>45855.47259</v>
      </c>
    </row>
    <row r="197">
      <c r="A197" s="4">
        <f>IFERROR(__xludf.DUMMYFUNCTION("""COMPUTED_VALUE"""),45854.661876724545)</f>
        <v>45854.66188</v>
      </c>
      <c r="B197" s="3" t="str">
        <f>IFERROR(__xludf.DUMMYFUNCTION("""COMPUTED_VALUE"""),"MRNBR0034")</f>
        <v>MRNBR0034</v>
      </c>
      <c r="C197" s="3" t="str">
        <f>IFERROR(__xludf.DUMMYFUNCTION("""COMPUTED_VALUE"""),"EJO")</f>
        <v>EJO</v>
      </c>
      <c r="D197" s="3" t="str">
        <f>IFERROR(__xludf.DUMMYFUNCTION("""COMPUTED_VALUE"""),"Ejo/2025/07/158")</f>
        <v>Ejo/2025/07/158</v>
      </c>
      <c r="E197" s="3" t="str">
        <f>IFERROR(__xludf.DUMMYFUNCTION("""COMPUTED_VALUE"""),"Pintu Extension")</f>
        <v>Pintu Extension</v>
      </c>
      <c r="F197" s="3" t="str">
        <f>IFERROR(__xludf.DUMMYFUNCTION("""COMPUTED_VALUE"""),"Kawat lass")</f>
        <v>Kawat lass</v>
      </c>
      <c r="G197" s="3" t="str">
        <f>IFERROR(__xludf.DUMMYFUNCTION("""COMPUTED_VALUE"""),"kawat las rb 2mm")</f>
        <v>kawat las rb 2mm</v>
      </c>
      <c r="H197" s="3" t="str">
        <f>IFERROR(__xludf.DUMMYFUNCTION("""COMPUTED_VALUE"""),"kobelko")</f>
        <v>kobelko</v>
      </c>
      <c r="I197" s="3">
        <f>IFERROR(__xludf.DUMMYFUNCTION("""COMPUTED_VALUE"""),1.0)</f>
        <v>1</v>
      </c>
      <c r="J197" s="3" t="str">
        <f>IFERROR(__xludf.DUMMYFUNCTION("""COMPUTED_VALUE"""),"kg")</f>
        <v>kg</v>
      </c>
      <c r="K197" s="5" t="str">
        <f>IFERROR(__xludf.DUMMYFUNCTION("""COMPUTED_VALUE"""),"https://www.tokopedia.com/perkakassmart-indo/kobelco-kawat-las-rb26-2mm-per-2kg-kobe-steel-familiarc-welding-electrode-rb-26-2-0-mm-aws-6013-kobesteel?extParam=ivf%3Dfalse%26keyword%3Dkawat+las+rb+2.0%26search_id%3D202507160832238D3BBA7425E7C9134RFX%26src"&amp;"%3Dsearch&amp;t_id=1752650910822&amp;t_st=3&amp;t_pp=search_result&amp;t_efo=search_pure_goods_card&amp;t_ef=goods_search&amp;t_sm=&amp;t_spt=search_result")</f>
        <v>https://www.tokopedia.com/perkakassmart-indo/kobelco-kawat-las-rb26-2mm-per-2kg-kobe-steel-familiarc-welding-electrode-rb-26-2-0-mm-aws-6013-kobesteel?extParam=ivf%3Dfalse%26keyword%3Dkawat+las+rb+2.0%26search_id%3D202507160832238D3BBA7425E7C9134RFX%26src%3Dsearch&amp;t_id=1752650910822&amp;t_st=3&amp;t_pp=search_result&amp;t_efo=search_pure_goods_card&amp;t_ef=goods_search&amp;t_sm=&amp;t_spt=search_result</v>
      </c>
      <c r="L197" s="3" t="str">
        <f>IFERROR(__xludf.DUMMYFUNCTION("""COMPUTED_VALUE"""),"untuk pintu extension")</f>
        <v>untuk pintu extension</v>
      </c>
      <c r="M197" s="3" t="str">
        <f>IFERROR(__xludf.DUMMYFUNCTION("""COMPUTED_VALUE"""),"Approve")</f>
        <v>Approve</v>
      </c>
      <c r="N197" s="3" t="str">
        <f>IFERROR(__xludf.DUMMYFUNCTION("""COMPUTED_VALUE"""),"Normal")</f>
        <v>Normal</v>
      </c>
      <c r="O197" s="3" t="str">
        <f>IFERROR(__xludf.DUMMYFUNCTION("""COMPUTED_VALUE"""),"Non Urgent")</f>
        <v>Non Urgent</v>
      </c>
      <c r="P197" s="7">
        <f>IFERROR(__xludf.DUMMYFUNCTION("""COMPUTED_VALUE"""),45855.47291819444)</f>
        <v>45855.47292</v>
      </c>
    </row>
    <row r="198">
      <c r="A198" s="4">
        <f>IFERROR(__xludf.DUMMYFUNCTION("""COMPUTED_VALUE"""),45854.711982719906)</f>
        <v>45854.71198</v>
      </c>
      <c r="B198" s="3" t="str">
        <f>IFERROR(__xludf.DUMMYFUNCTION("""COMPUTED_VALUE"""),"SFHBR0024")</f>
        <v>SFHBR0024</v>
      </c>
      <c r="C198" s="3" t="str">
        <f>IFERROR(__xludf.DUMMYFUNCTION("""COMPUTED_VALUE"""),"EJO")</f>
        <v>EJO</v>
      </c>
      <c r="D198" s="3" t="str">
        <f>IFERROR(__xludf.DUMMYFUNCTION("""COMPUTED_VALUE"""),"EJO/2025/06/159")</f>
        <v>EJO/2025/06/159</v>
      </c>
      <c r="E198" s="3" t="str">
        <f>IFERROR(__xludf.DUMMYFUNCTION("""COMPUTED_VALUE"""),"lantai 2")</f>
        <v>lantai 2</v>
      </c>
      <c r="F198" s="3" t="str">
        <f>IFERROR(__xludf.DUMMYFUNCTION("""COMPUTED_VALUE"""),"holo staniless mirror 304")</f>
        <v>holo staniless mirror 304</v>
      </c>
      <c r="G198" s="3" t="str">
        <f>IFERROR(__xludf.DUMMYFUNCTION("""COMPUTED_VALUE"""),"holo stanilees mirror 304 40x40x1,5x3 mtr")</f>
        <v>holo stanilees mirror 304 40x40x1,5x3 mtr</v>
      </c>
      <c r="H198" s="3" t="str">
        <f>IFERROR(__xludf.DUMMYFUNCTION("""COMPUTED_VALUE"""),"jbs staniless")</f>
        <v>jbs staniless</v>
      </c>
      <c r="I198" s="3">
        <f>IFERROR(__xludf.DUMMYFUNCTION("""COMPUTED_VALUE"""),3.0)</f>
        <v>3</v>
      </c>
      <c r="J198" s="3" t="str">
        <f>IFERROR(__xludf.DUMMYFUNCTION("""COMPUTED_VALUE"""),"btg")</f>
        <v>btg</v>
      </c>
      <c r="K198" s="5" t="str">
        <f>IFERROR(__xludf.DUMMYFUNCTION("""COMPUTED_VALUE"""),"https://www.tokopedia.com/jbsstainless/holo-stainless-steel-mirror-sus-304-40x40x1-5mmx3-mtr?utm_source=salinlink&amp;utm_medium=share&amp;utm_campaign=PDP-19222668-2093038838-160725-RKdhUE")</f>
        <v>https://www.tokopedia.com/jbsstainless/holo-stainless-steel-mirror-sus-304-40x40x1-5mmx3-mtr?utm_source=salinlink&amp;utm_medium=share&amp;utm_campaign=PDP-19222668-2093038838-160725-RKdhUE</v>
      </c>
      <c r="L198" s="3" t="str">
        <f>IFERROR(__xludf.DUMMYFUNCTION("""COMPUTED_VALUE"""),"-")</f>
        <v>-</v>
      </c>
      <c r="M198" s="3" t="str">
        <f>IFERROR(__xludf.DUMMYFUNCTION("""COMPUTED_VALUE"""),"Approve")</f>
        <v>Approve</v>
      </c>
      <c r="N198" s="3" t="str">
        <f>IFERROR(__xludf.DUMMYFUNCTION("""COMPUTED_VALUE"""),"Normal")</f>
        <v>Normal</v>
      </c>
      <c r="O198" s="3" t="str">
        <f>IFERROR(__xludf.DUMMYFUNCTION("""COMPUTED_VALUE"""),"Non Urgent")</f>
        <v>Non Urgent</v>
      </c>
      <c r="P198" s="7">
        <f>IFERROR(__xludf.DUMMYFUNCTION("""COMPUTED_VALUE"""),45855.471348541665)</f>
        <v>45855.47135</v>
      </c>
    </row>
    <row r="199">
      <c r="A199" s="4">
        <f>IFERROR(__xludf.DUMMYFUNCTION("""COMPUTED_VALUE"""),45854.722886331016)</f>
        <v>45854.72289</v>
      </c>
      <c r="B199" s="3" t="str">
        <f>IFERROR(__xludf.DUMMYFUNCTION("""COMPUTED_VALUE"""),"SFHBR0025")</f>
        <v>SFHBR0025</v>
      </c>
      <c r="C199" s="3" t="str">
        <f>IFERROR(__xludf.DUMMYFUNCTION("""COMPUTED_VALUE"""),"EJO")</f>
        <v>EJO</v>
      </c>
      <c r="D199" s="3" t="str">
        <f>IFERROR(__xludf.DUMMYFUNCTION("""COMPUTED_VALUE"""),"EJO/2025/06/159")</f>
        <v>EJO/2025/06/159</v>
      </c>
      <c r="E199" s="3" t="str">
        <f>IFERROR(__xludf.DUMMYFUNCTION("""COMPUTED_VALUE"""),"lantai 2")</f>
        <v>lantai 2</v>
      </c>
      <c r="F199" s="3" t="str">
        <f>IFERROR(__xludf.DUMMYFUNCTION("""COMPUTED_VALUE"""),"Besi siku staniles 304")</f>
        <v>Besi siku staniles 304</v>
      </c>
      <c r="G199" s="3" t="str">
        <f>IFERROR(__xludf.DUMMYFUNCTION("""COMPUTED_VALUE"""),"Besi siku stainless 304 30x30 tebal 3mm panjang 6 mtr")</f>
        <v>Besi siku stainless 304 30x30 tebal 3mm panjang 6 mtr</v>
      </c>
      <c r="H199" s="3" t="str">
        <f>IFERROR(__xludf.DUMMYFUNCTION("""COMPUTED_VALUE"""),"besi")</f>
        <v>besi</v>
      </c>
      <c r="I199" s="3">
        <f>IFERROR(__xludf.DUMMYFUNCTION("""COMPUTED_VALUE"""),2.0)</f>
        <v>2</v>
      </c>
      <c r="J199" s="3" t="str">
        <f>IFERROR(__xludf.DUMMYFUNCTION("""COMPUTED_VALUE"""),"btg")</f>
        <v>btg</v>
      </c>
      <c r="K199" s="5" t="str">
        <f>IFERROR(__xludf.DUMMYFUNCTION("""COMPUTED_VALUE"""),"https://www.tokopedia.com/futurateknik/siku-stainless-ss304-30-x-30-tebal-3mm-panjang-6meter-1731439103670061030?utm_source=salinlink&amp;utm_medium=share&amp;utm_campaign=PDP-19222668-100481284480-160725-RKdhUE")</f>
        <v>https://www.tokopedia.com/futurateknik/siku-stainless-ss304-30-x-30-tebal-3mm-panjang-6meter-1731439103670061030?utm_source=salinlink&amp;utm_medium=share&amp;utm_campaign=PDP-19222668-100481284480-160725-RKdhUE</v>
      </c>
      <c r="L199" s="3" t="str">
        <f>IFERROR(__xludf.DUMMYFUNCTION("""COMPUTED_VALUE"""),"-")</f>
        <v>-</v>
      </c>
      <c r="M199" s="3" t="str">
        <f>IFERROR(__xludf.DUMMYFUNCTION("""COMPUTED_VALUE"""),"Approve")</f>
        <v>Approve</v>
      </c>
      <c r="N199" s="3" t="str">
        <f>IFERROR(__xludf.DUMMYFUNCTION("""COMPUTED_VALUE"""),"Normal")</f>
        <v>Normal</v>
      </c>
      <c r="O199" s="3" t="str">
        <f>IFERROR(__xludf.DUMMYFUNCTION("""COMPUTED_VALUE"""),"Non Urgent")</f>
        <v>Non Urgent</v>
      </c>
      <c r="P199" s="7">
        <f>IFERROR(__xludf.DUMMYFUNCTION("""COMPUTED_VALUE"""),45855.471737534725)</f>
        <v>45855.47174</v>
      </c>
    </row>
    <row r="200">
      <c r="A200" s="4">
        <f>IFERROR(__xludf.DUMMYFUNCTION("""COMPUTED_VALUE"""),45854.7257002662)</f>
        <v>45854.7257</v>
      </c>
      <c r="B200" s="3" t="str">
        <f>IFERROR(__xludf.DUMMYFUNCTION("""COMPUTED_VALUE"""),"SFHBR0026")</f>
        <v>SFHBR0026</v>
      </c>
      <c r="C200" s="3" t="str">
        <f>IFERROR(__xludf.DUMMYFUNCTION("""COMPUTED_VALUE"""),"EJO")</f>
        <v>EJO</v>
      </c>
      <c r="D200" s="3" t="str">
        <f>IFERROR(__xludf.DUMMYFUNCTION("""COMPUTED_VALUE"""),"EJO/2025/06/159")</f>
        <v>EJO/2025/06/159</v>
      </c>
      <c r="E200" s="3" t="str">
        <f>IFERROR(__xludf.DUMMYFUNCTION("""COMPUTED_VALUE"""),"lantai 2")</f>
        <v>lantai 2</v>
      </c>
      <c r="F200" s="3" t="str">
        <f>IFERROR(__xludf.DUMMYFUNCTION("""COMPUTED_VALUE"""),"Expanded metal besi ")</f>
        <v>Expanded metal besi </v>
      </c>
      <c r="G200" s="3" t="str">
        <f>IFERROR(__xludf.DUMMYFUNCTION("""COMPUTED_VALUE"""),"Expanded metal besi tipe 3035 UK 120x240cm-tebal 3mm")</f>
        <v>Expanded metal besi tipe 3035 UK 120x240cm-tebal 3mm</v>
      </c>
      <c r="H200" s="3" t="str">
        <f>IFERROR(__xludf.DUMMYFUNCTION("""COMPUTED_VALUE"""),"expanded")</f>
        <v>expanded</v>
      </c>
      <c r="I200" s="3">
        <f>IFERROR(__xludf.DUMMYFUNCTION("""COMPUTED_VALUE"""),1.0)</f>
        <v>1</v>
      </c>
      <c r="J200" s="3" t="str">
        <f>IFERROR(__xludf.DUMMYFUNCTION("""COMPUTED_VALUE"""),"lembar")</f>
        <v>lembar</v>
      </c>
      <c r="K200" s="5" t="str">
        <f>IFERROR(__xludf.DUMMYFUNCTION("""COMPUTED_VALUE"""),"https://www.tokopedia.com/agasperforated/expanded-metal-besi-tipe-3035-uk-120x240cm-tebal-3mm-1729843510168749373?utm_source=salinlink&amp;utm_medium=share&amp;utm_campaign=PDP-19222668-4261606302-160725-RKdhUE")</f>
        <v>https://www.tokopedia.com/agasperforated/expanded-metal-besi-tipe-3035-uk-120x240cm-tebal-3mm-1729843510168749373?utm_source=salinlink&amp;utm_medium=share&amp;utm_campaign=PDP-19222668-4261606302-160725-RKdhUE</v>
      </c>
      <c r="L200" s="3" t="str">
        <f>IFERROR(__xludf.DUMMYFUNCTION("""COMPUTED_VALUE"""),"-")</f>
        <v>-</v>
      </c>
      <c r="M200" s="3" t="str">
        <f>IFERROR(__xludf.DUMMYFUNCTION("""COMPUTED_VALUE"""),"Approve")</f>
        <v>Approve</v>
      </c>
      <c r="N200" s="3" t="str">
        <f>IFERROR(__xludf.DUMMYFUNCTION("""COMPUTED_VALUE"""),"Normal")</f>
        <v>Normal</v>
      </c>
      <c r="O200" s="3" t="str">
        <f>IFERROR(__xludf.DUMMYFUNCTION("""COMPUTED_VALUE"""),"Non Urgent")</f>
        <v>Non Urgent</v>
      </c>
      <c r="P200" s="7">
        <f>IFERROR(__xludf.DUMMYFUNCTION("""COMPUTED_VALUE"""),45855.47207337963)</f>
        <v>45855.47207</v>
      </c>
    </row>
    <row r="201">
      <c r="A201" s="4">
        <f>IFERROR(__xludf.DUMMYFUNCTION("""COMPUTED_VALUE"""),45856.946698657404)</f>
        <v>45856.9467</v>
      </c>
      <c r="B201" s="3" t="str">
        <f>IFERROR(__xludf.DUMMYFUNCTION("""COMPUTED_VALUE"""),"SFHBR0027")</f>
        <v>SFHBR0027</v>
      </c>
      <c r="C201" s="3" t="str">
        <f>IFERROR(__xludf.DUMMYFUNCTION("""COMPUTED_VALUE"""),"Consumable")</f>
        <v>Consumable</v>
      </c>
      <c r="D201" s="3" t="str">
        <f>IFERROR(__xludf.DUMMYFUNCTION("""COMPUTED_VALUE"""),"-")</f>
        <v>-</v>
      </c>
      <c r="E201" s="3" t="str">
        <f>IFERROR(__xludf.DUMMYFUNCTION("""COMPUTED_VALUE"""),"lantai 2")</f>
        <v>lantai 2</v>
      </c>
      <c r="F201" s="3" t="str">
        <f>IFERROR(__xludf.DUMMYFUNCTION("""COMPUTED_VALUE"""),"nachi mata bor besi")</f>
        <v>nachi mata bor besi</v>
      </c>
      <c r="G201" s="3" t="str">
        <f>IFERROR(__xludf.DUMMYFUNCTION("""COMPUTED_VALUE"""),"nachi mata bor besi HSS 1set ")</f>
        <v>nachi mata bor besi HSS 1set </v>
      </c>
      <c r="H201" s="3" t="str">
        <f>IFERROR(__xludf.DUMMYFUNCTION("""COMPUTED_VALUE"""),"Nachi")</f>
        <v>Nachi</v>
      </c>
      <c r="I201" s="3">
        <f>IFERROR(__xludf.DUMMYFUNCTION("""COMPUTED_VALUE"""),1.0)</f>
        <v>1</v>
      </c>
      <c r="J201" s="3" t="str">
        <f>IFERROR(__xludf.DUMMYFUNCTION("""COMPUTED_VALUE"""),"set")</f>
        <v>set</v>
      </c>
      <c r="K201" s="5" t="str">
        <f>IFERROR(__xludf.DUMMYFUNCTION("""COMPUTED_VALUE"""),"https://tk.tokopedia.com/ZSB7hs9np/")</f>
        <v>https://tk.tokopedia.com/ZSB7hs9np/</v>
      </c>
      <c r="L201" s="3" t="str">
        <f>IFERROR(__xludf.DUMMYFUNCTION("""COMPUTED_VALUE"""),"-")</f>
        <v>-</v>
      </c>
      <c r="M201" s="3" t="str">
        <f>IFERROR(__xludf.DUMMYFUNCTION("""COMPUTED_VALUE"""),"Approve")</f>
        <v>Approve</v>
      </c>
      <c r="N201" s="3" t="str">
        <f>IFERROR(__xludf.DUMMYFUNCTION("""COMPUTED_VALUE"""),"Normal")</f>
        <v>Normal</v>
      </c>
      <c r="O201" s="3" t="str">
        <f>IFERROR(__xludf.DUMMYFUNCTION("""COMPUTED_VALUE"""),"Non Urgent")</f>
        <v>Non Urgent</v>
      </c>
      <c r="P201" s="7">
        <f>IFERROR(__xludf.DUMMYFUNCTION("""COMPUTED_VALUE"""),45860.84815597222)</f>
        <v>45860.84816</v>
      </c>
    </row>
    <row r="202">
      <c r="A202" s="4">
        <f>IFERROR(__xludf.DUMMYFUNCTION("""COMPUTED_VALUE"""),45860.91860982639)</f>
        <v>45860.91861</v>
      </c>
      <c r="B202" s="3" t="str">
        <f>IFERROR(__xludf.DUMMYFUNCTION("""COMPUTED_VALUE"""),"RIABR0047")</f>
        <v>RIABR0047</v>
      </c>
      <c r="C202" s="3" t="str">
        <f>IFERROR(__xludf.DUMMYFUNCTION("""COMPUTED_VALUE"""),"EJO")</f>
        <v>EJO</v>
      </c>
      <c r="D202" s="3" t="str">
        <f>IFERROR(__xludf.DUMMYFUNCTION("""COMPUTED_VALUE"""),"EJO/2025/07/153")</f>
        <v>EJO/2025/07/153</v>
      </c>
      <c r="E202" s="3" t="str">
        <f>IFERROR(__xludf.DUMMYFUNCTION("""COMPUTED_VALUE"""),"WWTP")</f>
        <v>WWTP</v>
      </c>
      <c r="F202" s="3" t="str">
        <f>IFERROR(__xludf.DUMMYFUNCTION("""COMPUTED_VALUE"""),"Pilot Lamp")</f>
        <v>Pilot Lamp</v>
      </c>
      <c r="G202" s="3" t="str">
        <f>IFERROR(__xludf.DUMMYFUNCTION("""COMPUTED_VALUE"""),"Pilot Lamp LED 22MM AD22-22DS / AD2222DS Merah Kuning Hijau, 220 VAC")</f>
        <v>Pilot Lamp LED 22MM AD22-22DS / AD2222DS Merah Kuning Hijau, 220 VAC</v>
      </c>
      <c r="H202" s="3" t="str">
        <f>IFERROR(__xludf.DUMMYFUNCTION("""COMPUTED_VALUE"""),"Fort")</f>
        <v>Fort</v>
      </c>
      <c r="I202" s="3">
        <f>IFERROR(__xludf.DUMMYFUNCTION("""COMPUTED_VALUE"""),3.0)</f>
        <v>3</v>
      </c>
      <c r="J202" s="3" t="str">
        <f>IFERROR(__xludf.DUMMYFUNCTION("""COMPUTED_VALUE"""),"Pcs")</f>
        <v>Pcs</v>
      </c>
      <c r="K202" s="5" t="str">
        <f>IFERROR(__xludf.DUMMYFUNCTION("""COMPUTED_VALUE"""),"https://www.tokopedia.com/aaelec/pilot-lamp-led-22mm-ad22-22ds-ad2222ds-merah-hijau-kuning-fort?extParam=ivf%3Dfalse%26keyword%3Dpilot+lamp+220+v%26search_id%3D20250722150116496E05E1AEA0A9031JW6%26src%3Dsearch&amp;t_id=1753196486907&amp;t_st=1&amp;t_pp=search_result&amp;"&amp;"t_efo=search_pure_goods_card&amp;t_ef=goods_search&amp;t_sm=&amp;t_spt=search_result")</f>
        <v>https://www.tokopedia.com/aaelec/pilot-lamp-led-22mm-ad22-22ds-ad2222ds-merah-hijau-kuning-fort?extParam=ivf%3Dfalse%26keyword%3Dpilot+lamp+220+v%26search_id%3D20250722150116496E05E1AEA0A9031JW6%26src%3Dsearch&amp;t_id=1753196486907&amp;t_st=1&amp;t_pp=search_result&amp;t_efo=search_pure_goods_card&amp;t_ef=goods_search&amp;t_sm=&amp;t_spt=search_result</v>
      </c>
      <c r="L202" s="3" t="str">
        <f>IFERROR(__xludf.DUMMYFUNCTION("""COMPUTED_VALUE"""),"Warna MERAH KUNING HIJAU ya")</f>
        <v>Warna MERAH KUNING HIJAU ya</v>
      </c>
      <c r="M202" s="3" t="str">
        <f>IFERROR(__xludf.DUMMYFUNCTION("""COMPUTED_VALUE"""),"Approve")</f>
        <v>Approve</v>
      </c>
      <c r="N202" s="3" t="str">
        <f>IFERROR(__xludf.DUMMYFUNCTION("""COMPUTED_VALUE"""),"Normal")</f>
        <v>Normal</v>
      </c>
      <c r="O202" s="3" t="str">
        <f>IFERROR(__xludf.DUMMYFUNCTION("""COMPUTED_VALUE"""),"Non Urgent")</f>
        <v>Non Urgent</v>
      </c>
      <c r="P202" s="7">
        <f>IFERROR(__xludf.DUMMYFUNCTION("""COMPUTED_VALUE"""),45867.45584334491)</f>
        <v>45867.45584</v>
      </c>
    </row>
    <row r="203">
      <c r="A203" s="4">
        <f>IFERROR(__xludf.DUMMYFUNCTION("""COMPUTED_VALUE"""),45861.66406931713)</f>
        <v>45861.66407</v>
      </c>
      <c r="B203" s="3" t="str">
        <f>IFERROR(__xludf.DUMMYFUNCTION("""COMPUTED_VALUE"""),"INNBR0039")</f>
        <v>INNBR0039</v>
      </c>
      <c r="C203" s="3" t="str">
        <f>IFERROR(__xludf.DUMMYFUNCTION("""COMPUTED_VALUE"""),"EJO")</f>
        <v>EJO</v>
      </c>
      <c r="D203" s="3" t="str">
        <f>IFERROR(__xludf.DUMMYFUNCTION("""COMPUTED_VALUE"""),"EJO/2025/07/170")</f>
        <v>EJO/2025/07/170</v>
      </c>
      <c r="E203" s="3" t="str">
        <f>IFERROR(__xludf.DUMMYFUNCTION("""COMPUTED_VALUE"""),"GC")</f>
        <v>GC</v>
      </c>
      <c r="F203" s="3" t="str">
        <f>IFERROR(__xludf.DUMMYFUNCTION("""COMPUTED_VALUE"""),"HTR/Sensor for FID/TCD/NPD/SSL p/n: G1530-67950")</f>
        <v>HTR/Sensor for FID/TCD/NPD/SSL p/n: G1530-67950</v>
      </c>
      <c r="G203" s="3" t="str">
        <f>IFERROR(__xludf.DUMMYFUNCTION("""COMPUTED_VALUE"""),"Sesuai penawaran")</f>
        <v>Sesuai penawaran</v>
      </c>
      <c r="H203" s="3" t="str">
        <f>IFERROR(__xludf.DUMMYFUNCTION("""COMPUTED_VALUE"""),"GC")</f>
        <v>GC</v>
      </c>
      <c r="I203" s="3">
        <f>IFERROR(__xludf.DUMMYFUNCTION("""COMPUTED_VALUE"""),1.0)</f>
        <v>1</v>
      </c>
      <c r="J203" s="3" t="str">
        <f>IFERROR(__xludf.DUMMYFUNCTION("""COMPUTED_VALUE"""),"Unit")</f>
        <v>Unit</v>
      </c>
      <c r="K203" s="5" t="str">
        <f>IFERROR(__xludf.DUMMYFUNCTION("""COMPUTED_VALUE"""),"https://drive.google.com/file/d/127Rng8nh31Kwgdl5jNkROyeyqTaYG605/view?usp=drive_link")</f>
        <v>https://drive.google.com/file/d/127Rng8nh31Kwgdl5jNkROyeyqTaYG605/view?usp=drive_link</v>
      </c>
      <c r="L203" s="3" t="str">
        <f>IFERROR(__xludf.DUMMYFUNCTION("""COMPUTED_VALUE"""),"Untuk sensor dan heater FID ( untuk semetara di pinjamkan oleh vendor)")</f>
        <v>Untuk sensor dan heater FID ( untuk semetara di pinjamkan oleh vendor)</v>
      </c>
      <c r="M203" s="3" t="str">
        <f>IFERROR(__xludf.DUMMYFUNCTION("""COMPUTED_VALUE"""),"Approve")</f>
        <v>Approve</v>
      </c>
      <c r="N203" s="3" t="str">
        <f>IFERROR(__xludf.DUMMYFUNCTION("""COMPUTED_VALUE"""),"Normal")</f>
        <v>Normal</v>
      </c>
      <c r="O203" s="3" t="str">
        <f>IFERROR(__xludf.DUMMYFUNCTION("""COMPUTED_VALUE"""),"Non Urgent")</f>
        <v>Non Urgent</v>
      </c>
      <c r="P203" s="7">
        <f>IFERROR(__xludf.DUMMYFUNCTION("""COMPUTED_VALUE"""),45895.11904909722)</f>
        <v>45895.11905</v>
      </c>
    </row>
    <row r="204">
      <c r="A204" s="4">
        <f>IFERROR(__xludf.DUMMYFUNCTION("""COMPUTED_VALUE"""),45862.840181064814)</f>
        <v>45862.84018</v>
      </c>
      <c r="B204" s="3" t="str">
        <f>IFERROR(__xludf.DUMMYFUNCTION("""COMPUTED_VALUE"""),"ANOBR0026")</f>
        <v>ANOBR0026</v>
      </c>
      <c r="C204" s="3" t="str">
        <f>IFERROR(__xludf.DUMMYFUNCTION("""COMPUTED_VALUE"""),"EJO")</f>
        <v>EJO</v>
      </c>
      <c r="D204" s="3" t="str">
        <f>IFERROR(__xludf.DUMMYFUNCTION("""COMPUTED_VALUE"""),"EJO/2025/05/156")</f>
        <v>EJO/2025/05/156</v>
      </c>
      <c r="E204" s="3" t="str">
        <f>IFERROR(__xludf.DUMMYFUNCTION("""COMPUTED_VALUE"""),"trolley pollybotle")</f>
        <v>trolley pollybotle</v>
      </c>
      <c r="F204" s="3" t="str">
        <f>IFERROR(__xludf.DUMMYFUNCTION("""COMPUTED_VALUE"""),"pilox warna stainless")</f>
        <v>pilox warna stainless</v>
      </c>
      <c r="G204" s="3" t="str">
        <f>IFERROR(__xludf.DUMMYFUNCTION("""COMPUTED_VALUE"""),"pilox warna stainless")</f>
        <v>pilox warna stainless</v>
      </c>
      <c r="H204" s="3" t="str">
        <f>IFERROR(__xludf.DUMMYFUNCTION("""COMPUTED_VALUE"""),"-")</f>
        <v>-</v>
      </c>
      <c r="I204" s="3">
        <f>IFERROR(__xludf.DUMMYFUNCTION("""COMPUTED_VALUE"""),1.0)</f>
        <v>1</v>
      </c>
      <c r="J204" s="3" t="str">
        <f>IFERROR(__xludf.DUMMYFUNCTION("""COMPUTED_VALUE"""),"Pcs")</f>
        <v>Pcs</v>
      </c>
      <c r="K204" s="5" t="str">
        <f>IFERROR(__xludf.DUMMYFUNCTION("""COMPUTED_VALUE"""),"https://www.tokopedia.com/tokomitraaneka/cat-semprot-chrome-stainless-360ml-spray-paint-anti-karat-warna-stainless?aff_unique_id=&amp;channel=others&amp;chain_key=")</f>
        <v>https://www.tokopedia.com/tokomitraaneka/cat-semprot-chrome-stainless-360ml-spray-paint-anti-karat-warna-stainless?aff_unique_id=&amp;channel=others&amp;chain_key=</v>
      </c>
      <c r="L204" s="3" t="str">
        <f>IFERROR(__xludf.DUMMYFUNCTION("""COMPUTED_VALUE"""),"untuk keperluan cat body trolley pollybottle")</f>
        <v>untuk keperluan cat body trolley pollybottle</v>
      </c>
      <c r="M204" s="3" t="str">
        <f>IFERROR(__xludf.DUMMYFUNCTION("""COMPUTED_VALUE"""),"Approve")</f>
        <v>Approve</v>
      </c>
      <c r="N204" s="3" t="str">
        <f>IFERROR(__xludf.DUMMYFUNCTION("""COMPUTED_VALUE"""),"Normal")</f>
        <v>Normal</v>
      </c>
      <c r="O204" s="3" t="str">
        <f>IFERROR(__xludf.DUMMYFUNCTION("""COMPUTED_VALUE"""),"Non Urgent")</f>
        <v>Non Urgent</v>
      </c>
      <c r="P204" s="7">
        <f>IFERROR(__xludf.DUMMYFUNCTION("""COMPUTED_VALUE"""),45887.46930736111)</f>
        <v>45887.46931</v>
      </c>
    </row>
    <row r="205">
      <c r="A205" s="4">
        <f>IFERROR(__xludf.DUMMYFUNCTION("""COMPUTED_VALUE"""),45865.62745817129)</f>
        <v>45865.62746</v>
      </c>
      <c r="B205" s="3" t="str">
        <f>IFERROR(__xludf.DUMMYFUNCTION("""COMPUTED_VALUE"""),"MFHBR0009")</f>
        <v>MFHBR0009</v>
      </c>
      <c r="C205" s="3" t="str">
        <f>IFERROR(__xludf.DUMMYFUNCTION("""COMPUTED_VALUE"""),"Critical Part")</f>
        <v>Critical Part</v>
      </c>
      <c r="D205" s="3" t="str">
        <f>IFERROR(__xludf.DUMMYFUNCTION("""COMPUTED_VALUE"""),"-")</f>
        <v>-</v>
      </c>
      <c r="E205" s="3" t="str">
        <f>IFERROR(__xludf.DUMMYFUNCTION("""COMPUTED_VALUE"""),"Autoclave")</f>
        <v>Autoclave</v>
      </c>
      <c r="F205" s="3" t="str">
        <f>IFERROR(__xludf.DUMMYFUNCTION("""COMPUTED_VALUE"""),"HMI Siemens")</f>
        <v>HMI Siemens</v>
      </c>
      <c r="G205" s="3" t="str">
        <f>IFERROR(__xludf.DUMMYFUNCTION("""COMPUTED_VALUE"""),"KIT REPLACEMENT Siemens PC577C/Proface/B&amp;R WITH IPC277EE (KIT MEDIUM)")</f>
        <v>KIT REPLACEMENT Siemens PC577C/Proface/B&amp;R WITH IPC277EE (KIT MEDIUM)</v>
      </c>
      <c r="H205" s="3" t="str">
        <f>IFERROR(__xludf.DUMMYFUNCTION("""COMPUTED_VALUE"""),"Siemens")</f>
        <v>Siemens</v>
      </c>
      <c r="I205" s="3">
        <f>IFERROR(__xludf.DUMMYFUNCTION("""COMPUTED_VALUE"""),1.0)</f>
        <v>1</v>
      </c>
      <c r="J205" s="3" t="str">
        <f>IFERROR(__xludf.DUMMYFUNCTION("""COMPUTED_VALUE"""),"Unit")</f>
        <v>Unit</v>
      </c>
      <c r="K205" s="3" t="str">
        <f>IFERROR(__xludf.DUMMYFUNCTION("""COMPUTED_VALUE"""),"Email Pak Kris")</f>
        <v>Email Pak Kris</v>
      </c>
      <c r="L205" s="3" t="str">
        <f>IFERROR(__xludf.DUMMYFUNCTION("""COMPUTED_VALUE"""),"2342 121702798")</f>
        <v>2342 121702798</v>
      </c>
      <c r="M205" s="3" t="str">
        <f>IFERROR(__xludf.DUMMYFUNCTION("""COMPUTED_VALUE"""),"Approve")</f>
        <v>Approve</v>
      </c>
      <c r="N205" s="3" t="str">
        <f>IFERROR(__xludf.DUMMYFUNCTION("""COMPUTED_VALUE"""),"Normal")</f>
        <v>Normal</v>
      </c>
      <c r="O205" s="3" t="str">
        <f>IFERROR(__xludf.DUMMYFUNCTION("""COMPUTED_VALUE"""),"Non Urgent")</f>
        <v>Non Urgent</v>
      </c>
      <c r="P205" s="7">
        <f>IFERROR(__xludf.DUMMYFUNCTION("""COMPUTED_VALUE"""),45865.9292187963)</f>
        <v>45865.92922</v>
      </c>
    </row>
    <row r="206">
      <c r="A206" s="4">
        <f>IFERROR(__xludf.DUMMYFUNCTION("""COMPUTED_VALUE"""),45865.6284737037)</f>
        <v>45865.62847</v>
      </c>
      <c r="B206" s="3" t="str">
        <f>IFERROR(__xludf.DUMMYFUNCTION("""COMPUTED_VALUE"""),"MFHBR0010")</f>
        <v>MFHBR0010</v>
      </c>
      <c r="C206" s="3" t="str">
        <f>IFERROR(__xludf.DUMMYFUNCTION("""COMPUTED_VALUE"""),"Critical Part")</f>
        <v>Critical Part</v>
      </c>
      <c r="D206" s="3" t="str">
        <f>IFERROR(__xludf.DUMMYFUNCTION("""COMPUTED_VALUE"""),"-")</f>
        <v>-</v>
      </c>
      <c r="E206" s="3" t="str">
        <f>IFERROR(__xludf.DUMMYFUNCTION("""COMPUTED_VALUE"""),"Building")</f>
        <v>Building</v>
      </c>
      <c r="F206" s="3" t="str">
        <f>IFERROR(__xludf.DUMMYFUNCTION("""COMPUTED_VALUE"""),"Epoxy")</f>
        <v>Epoxy</v>
      </c>
      <c r="G206" s="3" t="str">
        <f>IFERROR(__xludf.DUMMYFUNCTION("""COMPUTED_VALUE"""),"Epoxy Area FD dan Koridor")</f>
        <v>Epoxy Area FD dan Koridor</v>
      </c>
      <c r="H206" s="3" t="str">
        <f>IFERROR(__xludf.DUMMYFUNCTION("""COMPUTED_VALUE"""),"-")</f>
        <v>-</v>
      </c>
      <c r="I206" s="3">
        <f>IFERROR(__xludf.DUMMYFUNCTION("""COMPUTED_VALUE"""),1.0)</f>
        <v>1</v>
      </c>
      <c r="J206" s="3" t="str">
        <f>IFERROR(__xludf.DUMMYFUNCTION("""COMPUTED_VALUE"""),"Lot")</f>
        <v>Lot</v>
      </c>
      <c r="K206" s="3" t="str">
        <f>IFERROR(__xludf.DUMMYFUNCTION("""COMPUTED_VALUE"""),"Email mas Ken")</f>
        <v>Email mas Ken</v>
      </c>
      <c r="L206" s="3" t="str">
        <f>IFERROR(__xludf.DUMMYFUNCTION("""COMPUTED_VALUE"""),"2564 121702983")</f>
        <v>2564 121702983</v>
      </c>
      <c r="M206" s="3" t="str">
        <f>IFERROR(__xludf.DUMMYFUNCTION("""COMPUTED_VALUE"""),"Approve")</f>
        <v>Approve</v>
      </c>
      <c r="N206" s="3" t="str">
        <f>IFERROR(__xludf.DUMMYFUNCTION("""COMPUTED_VALUE"""),"Normal")</f>
        <v>Normal</v>
      </c>
      <c r="O206" s="3" t="str">
        <f>IFERROR(__xludf.DUMMYFUNCTION("""COMPUTED_VALUE"""),"Non Urgent")</f>
        <v>Non Urgent</v>
      </c>
      <c r="P206" s="7">
        <f>IFERROR(__xludf.DUMMYFUNCTION("""COMPUTED_VALUE"""),45865.92931760417)</f>
        <v>45865.92932</v>
      </c>
    </row>
    <row r="207">
      <c r="A207" s="4">
        <f>IFERROR(__xludf.DUMMYFUNCTION("""COMPUTED_VALUE"""),45865.63765895833)</f>
        <v>45865.63766</v>
      </c>
      <c r="B207" s="3" t="str">
        <f>IFERROR(__xludf.DUMMYFUNCTION("""COMPUTED_VALUE"""),"MRNBR0035")</f>
        <v>MRNBR0035</v>
      </c>
      <c r="C207" s="3" t="str">
        <f>IFERROR(__xludf.DUMMYFUNCTION("""COMPUTED_VALUE"""),"EJO")</f>
        <v>EJO</v>
      </c>
      <c r="D207" s="3" t="str">
        <f>IFERROR(__xludf.DUMMYFUNCTION("""COMPUTED_VALUE"""),"EJO/2025/07/42")</f>
        <v>EJO/2025/07/42</v>
      </c>
      <c r="E207" s="3" t="str">
        <f>IFERROR(__xludf.DUMMYFUNCTION("""COMPUTED_VALUE"""),"Ruang GC lab")</f>
        <v>Ruang GC lab</v>
      </c>
      <c r="F207" s="3" t="str">
        <f>IFERROR(__xludf.DUMMYFUNCTION("""COMPUTED_VALUE"""),"solenoid valve 1/4 inch")</f>
        <v>solenoid valve 1/4 inch</v>
      </c>
      <c r="G207" s="3" t="str">
        <f>IFERROR(__xludf.DUMMYFUNCTION("""COMPUTED_VALUE"""),"Solenoid 2 way EMC 2V025-08 1/4 inch")</f>
        <v>Solenoid 2 way EMC 2V025-08 1/4 inch</v>
      </c>
      <c r="H207" s="3" t="str">
        <f>IFERROR(__xludf.DUMMYFUNCTION("""COMPUTED_VALUE"""),"EMC")</f>
        <v>EMC</v>
      </c>
      <c r="I207" s="3">
        <f>IFERROR(__xludf.DUMMYFUNCTION("""COMPUTED_VALUE"""),2.0)</f>
        <v>2</v>
      </c>
      <c r="J207" s="3" t="str">
        <f>IFERROR(__xludf.DUMMYFUNCTION("""COMPUTED_VALUE"""),"pcs")</f>
        <v>pcs</v>
      </c>
      <c r="K207" s="5" t="str">
        <f>IFERROR(__xludf.DUMMYFUNCTION("""COMPUTED_VALUE"""),"https://www.tokopedia.com/hydraulicpneumaticpower/solenoid-2-way-emc-2v025-08?extParam=ivf%3Dfalse%26keyword%3Dsolenoid+smc+2way%26search_id%3D2025072706554834ED066DF378EF066HKR%26src%3Dsearch&amp;t_id=1753599329818&amp;t_st=4&amp;t_pp=search_result&amp;t_efo=search_pure"&amp;"_goods_card&amp;t_ef=goods_search&amp;t_sm=&amp;t_spt=search_result")</f>
        <v>https://www.tokopedia.com/hydraulicpneumaticpower/solenoid-2-way-emc-2v025-08?extParam=ivf%3Dfalse%26keyword%3Dsolenoid+smc+2way%26search_id%3D2025072706554834ED066DF378EF066HKR%26src%3Dsearch&amp;t_id=1753599329818&amp;t_st=4&amp;t_pp=search_result&amp;t_efo=search_pure_goods_card&amp;t_ef=goods_search&amp;t_sm=&amp;t_spt=search_result</v>
      </c>
      <c r="L207" s="3" t="str">
        <f>IFERROR(__xludf.DUMMYFUNCTION("""COMPUTED_VALUE"""),"untuk GC lab")</f>
        <v>untuk GC lab</v>
      </c>
      <c r="M207" s="3" t="str">
        <f>IFERROR(__xludf.DUMMYFUNCTION("""COMPUTED_VALUE"""),"Approve")</f>
        <v>Approve</v>
      </c>
      <c r="N207" s="3" t="str">
        <f>IFERROR(__xludf.DUMMYFUNCTION("""COMPUTED_VALUE"""),"Normal")</f>
        <v>Normal</v>
      </c>
      <c r="O207" s="3" t="str">
        <f>IFERROR(__xludf.DUMMYFUNCTION("""COMPUTED_VALUE"""),"Non Urgent")</f>
        <v>Non Urgent</v>
      </c>
      <c r="P207" s="7">
        <f>IFERROR(__xludf.DUMMYFUNCTION("""COMPUTED_VALUE"""),45867.45658614583)</f>
        <v>45867.45659</v>
      </c>
    </row>
    <row r="208">
      <c r="A208" s="4">
        <f>IFERROR(__xludf.DUMMYFUNCTION("""COMPUTED_VALUE"""),45871.05889086806)</f>
        <v>45871.05889</v>
      </c>
      <c r="B208" s="3" t="str">
        <f>IFERROR(__xludf.DUMMYFUNCTION("""COMPUTED_VALUE"""),"SFHBR0028")</f>
        <v>SFHBR0028</v>
      </c>
      <c r="C208" s="3" t="str">
        <f>IFERROR(__xludf.DUMMYFUNCTION("""COMPUTED_VALUE"""),"Consumable")</f>
        <v>Consumable</v>
      </c>
      <c r="D208" s="3" t="str">
        <f>IFERROR(__xludf.DUMMYFUNCTION("""COMPUTED_VALUE"""),"-")</f>
        <v>-</v>
      </c>
      <c r="E208" s="3" t="str">
        <f>IFERROR(__xludf.DUMMYFUNCTION("""COMPUTED_VALUE"""),"lantai 2")</f>
        <v>lantai 2</v>
      </c>
      <c r="F208" s="3" t="str">
        <f>IFERROR(__xludf.DUMMYFUNCTION("""COMPUTED_VALUE"""),"cat dulux water shield")</f>
        <v>cat dulux water shield</v>
      </c>
      <c r="G208" s="3" t="str">
        <f>IFERROR(__xludf.DUMMYFUNCTION("""COMPUTED_VALUE"""),"Base T918A")</f>
        <v>Base T918A</v>
      </c>
      <c r="H208" s="3" t="str">
        <f>IFERROR(__xludf.DUMMYFUNCTION("""COMPUTED_VALUE"""),"DULUX ")</f>
        <v>DULUX </v>
      </c>
      <c r="I208" s="3">
        <f>IFERROR(__xludf.DUMMYFUNCTION("""COMPUTED_VALUE"""),2.0)</f>
        <v>2</v>
      </c>
      <c r="J208" s="3" t="str">
        <f>IFERROR(__xludf.DUMMYFUNCTION("""COMPUTED_VALUE"""),"pel")</f>
        <v>pel</v>
      </c>
      <c r="K208" s="5" t="str">
        <f>IFERROR(__xludf.DUMMYFUNCTION("""COMPUTED_VALUE"""),"https://tokopedia.link/Sc8UgwJmDVb")</f>
        <v>https://tokopedia.link/Sc8UgwJmDVb</v>
      </c>
      <c r="L208" s="3" t="str">
        <f>IFERROR(__xludf.DUMMYFUNCTION("""COMPUTED_VALUE"""),"-")</f>
        <v>-</v>
      </c>
      <c r="M208" s="3" t="str">
        <f>IFERROR(__xludf.DUMMYFUNCTION("""COMPUTED_VALUE"""),"Approve")</f>
        <v>Approve</v>
      </c>
      <c r="N208" s="3" t="str">
        <f>IFERROR(__xludf.DUMMYFUNCTION("""COMPUTED_VALUE"""),"Normal")</f>
        <v>Normal</v>
      </c>
      <c r="O208" s="3" t="str">
        <f>IFERROR(__xludf.DUMMYFUNCTION("""COMPUTED_VALUE"""),"Non Urgent")</f>
        <v>Non Urgent</v>
      </c>
      <c r="P208" s="7">
        <f>IFERROR(__xludf.DUMMYFUNCTION("""COMPUTED_VALUE"""),45880.36066633102)</f>
        <v>45880.36067</v>
      </c>
    </row>
    <row r="209">
      <c r="A209" s="4">
        <f>IFERROR(__xludf.DUMMYFUNCTION("""COMPUTED_VALUE"""),45873.44341615741)</f>
        <v>45873.44342</v>
      </c>
      <c r="B209" s="3" t="str">
        <f>IFERROR(__xludf.DUMMYFUNCTION("""COMPUTED_VALUE"""),"MRNBR0036")</f>
        <v>MRNBR0036</v>
      </c>
      <c r="C209" s="3" t="str">
        <f>IFERROR(__xludf.DUMMYFUNCTION("""COMPUTED_VALUE"""),"EJO")</f>
        <v>EJO</v>
      </c>
      <c r="D209" s="3" t="str">
        <f>IFERROR(__xludf.DUMMYFUNCTION("""COMPUTED_VALUE"""),"EJO/2025/08/58")</f>
        <v>EJO/2025/08/58</v>
      </c>
      <c r="E209" s="3" t="str">
        <f>IFERROR(__xludf.DUMMYFUNCTION("""COMPUTED_VALUE"""),"PW SIKD")</f>
        <v>PW SIKD</v>
      </c>
      <c r="F209" s="3" t="str">
        <f>IFERROR(__xludf.DUMMYFUNCTION("""COMPUTED_VALUE"""),"Gasket Tanki silicon")</f>
        <v>Gasket Tanki silicon</v>
      </c>
      <c r="G209" s="3" t="str">
        <f>IFERROR(__xludf.DUMMYFUNCTION("""COMPUTED_VALUE"""),"diameter 42cm lebar 2,5cm type profile")</f>
        <v>diameter 42cm lebar 2,5cm type profile</v>
      </c>
      <c r="H209" s="3" t="str">
        <f>IFERROR(__xludf.DUMMYFUNCTION("""COMPUTED_VALUE"""),"NA")</f>
        <v>NA</v>
      </c>
      <c r="I209" s="3">
        <f>IFERROR(__xludf.DUMMYFUNCTION("""COMPUTED_VALUE"""),2.0)</f>
        <v>2</v>
      </c>
      <c r="J209" s="3" t="str">
        <f>IFERROR(__xludf.DUMMYFUNCTION("""COMPUTED_VALUE"""),"pcs")</f>
        <v>pcs</v>
      </c>
      <c r="K209" s="3" t="str">
        <f>IFERROR(__xludf.DUMMYFUNCTION("""COMPUTED_VALUE"""),"Harisa ,aku gak ada kontaknya")</f>
        <v>Harisa ,aku gak ada kontaknya</v>
      </c>
      <c r="L209" s="3" t="str">
        <f>IFERROR(__xludf.DUMMYFUNCTION("""COMPUTED_VALUE"""),"minta tolong survey harisa atau vendor gasket yang lain")</f>
        <v>minta tolong survey harisa atau vendor gasket yang lain</v>
      </c>
      <c r="M209" s="3" t="str">
        <f>IFERROR(__xludf.DUMMYFUNCTION("""COMPUTED_VALUE"""),"Approve")</f>
        <v>Approve</v>
      </c>
      <c r="N209" s="3" t="str">
        <f>IFERROR(__xludf.DUMMYFUNCTION("""COMPUTED_VALUE"""),"Normal")</f>
        <v>Normal</v>
      </c>
      <c r="O209" s="3" t="str">
        <f>IFERROR(__xludf.DUMMYFUNCTION("""COMPUTED_VALUE"""),"Non Urgent")</f>
        <v>Non Urgent</v>
      </c>
      <c r="P209" s="7">
        <f>IFERROR(__xludf.DUMMYFUNCTION("""COMPUTED_VALUE"""),45880.36175173611)</f>
        <v>45880.36175</v>
      </c>
    </row>
    <row r="210">
      <c r="A210" s="4">
        <f>IFERROR(__xludf.DUMMYFUNCTION("""COMPUTED_VALUE"""),45874.41374378472)</f>
        <v>45874.41374</v>
      </c>
      <c r="B210" s="3" t="str">
        <f>IFERROR(__xludf.DUMMYFUNCTION("""COMPUTED_VALUE"""),"ANOBR0027")</f>
        <v>ANOBR0027</v>
      </c>
      <c r="C210" s="3" t="str">
        <f>IFERROR(__xludf.DUMMYFUNCTION("""COMPUTED_VALUE"""),"Consumable")</f>
        <v>Consumable</v>
      </c>
      <c r="D210" s="3" t="str">
        <f>IFERROR(__xludf.DUMMYFUNCTION("""COMPUTED_VALUE"""),"-")</f>
        <v>-</v>
      </c>
      <c r="E210" s="3" t="str">
        <f>IFERROR(__xludf.DUMMYFUNCTION("""COMPUTED_VALUE"""),"Instrumen BSC")</f>
        <v>Instrumen BSC</v>
      </c>
      <c r="F210" s="3" t="str">
        <f>IFERROR(__xludf.DUMMYFUNCTION("""COMPUTED_VALUE"""),"Akrilik 3 mm")</f>
        <v>Akrilik 3 mm</v>
      </c>
      <c r="G210" s="3" t="str">
        <f>IFERROR(__xludf.DUMMYFUNCTION("""COMPUTED_VALUE"""),"akrilik tebal 3 mm 120 cm x 120 cm")</f>
        <v>akrilik tebal 3 mm 120 cm x 120 cm</v>
      </c>
      <c r="H210" s="3" t="str">
        <f>IFERROR(__xludf.DUMMYFUNCTION("""COMPUTED_VALUE"""),"-")</f>
        <v>-</v>
      </c>
      <c r="I210" s="3">
        <f>IFERROR(__xludf.DUMMYFUNCTION("""COMPUTED_VALUE"""),1.0)</f>
        <v>1</v>
      </c>
      <c r="J210" s="3" t="str">
        <f>IFERROR(__xludf.DUMMYFUNCTION("""COMPUTED_VALUE"""),"lembar")</f>
        <v>lembar</v>
      </c>
      <c r="K210" s="3" t="str">
        <f>IFERROR(__xludf.DUMMYFUNCTION("""COMPUTED_VALUE"""),"-")</f>
        <v>-</v>
      </c>
      <c r="L210" s="3" t="str">
        <f>IFERROR(__xludf.DUMMYFUNCTION("""COMPUTED_VALUE"""),"untuk keperluan membuat pintu cover timbangan analitical balance")</f>
        <v>untuk keperluan membuat pintu cover timbangan analitical balance</v>
      </c>
      <c r="M210" s="3" t="str">
        <f>IFERROR(__xludf.DUMMYFUNCTION("""COMPUTED_VALUE"""),"Approve")</f>
        <v>Approve</v>
      </c>
      <c r="N210" s="3" t="str">
        <f>IFERROR(__xludf.DUMMYFUNCTION("""COMPUTED_VALUE"""),"Normal")</f>
        <v>Normal</v>
      </c>
      <c r="O210" s="3" t="str">
        <f>IFERROR(__xludf.DUMMYFUNCTION("""COMPUTED_VALUE"""),"Non Urgent")</f>
        <v>Non Urgent</v>
      </c>
      <c r="P210" s="7">
        <f>IFERROR(__xludf.DUMMYFUNCTION("""COMPUTED_VALUE"""),45887.469635925925)</f>
        <v>45887.46964</v>
      </c>
    </row>
    <row r="211">
      <c r="A211" s="4">
        <f>IFERROR(__xludf.DUMMYFUNCTION("""COMPUTED_VALUE"""),45875.442428726856)</f>
        <v>45875.44243</v>
      </c>
      <c r="B211" s="3" t="str">
        <f>IFERROR(__xludf.DUMMYFUNCTION("""COMPUTED_VALUE"""),"ROSBR0028")</f>
        <v>ROSBR0028</v>
      </c>
      <c r="C211" s="3" t="str">
        <f>IFERROR(__xludf.DUMMYFUNCTION("""COMPUTED_VALUE"""),"Consumable")</f>
        <v>Consumable</v>
      </c>
      <c r="D211" s="3" t="str">
        <f>IFERROR(__xludf.DUMMYFUNCTION("""COMPUTED_VALUE"""),"NA ")</f>
        <v>NA </v>
      </c>
      <c r="E211" s="3" t="str">
        <f>IFERROR(__xludf.DUMMYFUNCTION("""COMPUTED_VALUE"""),"Preparasi Autoclave Lab mikro ")</f>
        <v>Preparasi Autoclave Lab mikro </v>
      </c>
      <c r="F211" s="3" t="str">
        <f>IFERROR(__xludf.DUMMYFUNCTION("""COMPUTED_VALUE"""),"Oring Dop pintu preparasi autoclave lab Mikro ")</f>
        <v>Oring Dop pintu preparasi autoclave lab Mikro </v>
      </c>
      <c r="G211" s="3" t="str">
        <f>IFERROR(__xludf.DUMMYFUNCTION("""COMPUTED_VALUE"""),"Material EPDM 
OD 28,20mm
ID 20,80mm
Tebal 3,7mm ")</f>
        <v>Material EPDM 
OD 28,20mm
ID 20,80mm
Tebal 3,7mm </v>
      </c>
      <c r="H211" s="3" t="str">
        <f>IFERROR(__xludf.DUMMYFUNCTION("""COMPUTED_VALUE"""),"Lokal ")</f>
        <v>Lokal </v>
      </c>
      <c r="I211" s="3">
        <f>IFERROR(__xludf.DUMMYFUNCTION("""COMPUTED_VALUE"""),10.0)</f>
        <v>10</v>
      </c>
      <c r="J211" s="3" t="str">
        <f>IFERROR(__xludf.DUMMYFUNCTION("""COMPUTED_VALUE"""),"Pcs")</f>
        <v>Pcs</v>
      </c>
      <c r="K211" s="3" t="str">
        <f>IFERROR(__xludf.DUMMYFUNCTION("""COMPUTED_VALUE"""),"-")</f>
        <v>-</v>
      </c>
      <c r="L211" s="3" t="str">
        <f>IFERROR(__xludf.DUMMYFUNCTION("""COMPUTED_VALUE"""),"Oring dop pintu autoclave Preparasi lab mikro ")</f>
        <v>Oring dop pintu autoclave Preparasi lab mikro </v>
      </c>
      <c r="M211" s="3" t="str">
        <f>IFERROR(__xludf.DUMMYFUNCTION("""COMPUTED_VALUE"""),"Approve")</f>
        <v>Approve</v>
      </c>
      <c r="N211" s="3" t="str">
        <f>IFERROR(__xludf.DUMMYFUNCTION("""COMPUTED_VALUE"""),"Normal")</f>
        <v>Normal</v>
      </c>
      <c r="O211" s="3" t="str">
        <f>IFERROR(__xludf.DUMMYFUNCTION("""COMPUTED_VALUE"""),"Non Urgent")</f>
        <v>Non Urgent</v>
      </c>
      <c r="P211" s="7">
        <f>IFERROR(__xludf.DUMMYFUNCTION("""COMPUTED_VALUE"""),45930.21111959491)</f>
        <v>45930.21112</v>
      </c>
    </row>
    <row r="212">
      <c r="A212" s="4">
        <f>IFERROR(__xludf.DUMMYFUNCTION("""COMPUTED_VALUE"""),45875.45508028936)</f>
        <v>45875.45508</v>
      </c>
      <c r="B212" s="3" t="str">
        <f>IFERROR(__xludf.DUMMYFUNCTION("""COMPUTED_VALUE"""),"ROSBR0029")</f>
        <v>ROSBR0029</v>
      </c>
      <c r="C212" s="3" t="str">
        <f>IFERROR(__xludf.DUMMYFUNCTION("""COMPUTED_VALUE"""),"Consumable")</f>
        <v>Consumable</v>
      </c>
      <c r="D212" s="3" t="str">
        <f>IFERROR(__xludf.DUMMYFUNCTION("""COMPUTED_VALUE"""),"NA")</f>
        <v>NA</v>
      </c>
      <c r="E212" s="3" t="str">
        <f>IFERROR(__xludf.DUMMYFUNCTION("""COMPUTED_VALUE"""),"Preparasi Autoclave Lab Mikro 
")</f>
        <v>Preparasi Autoclave Lab Mikro 
</v>
      </c>
      <c r="F212" s="3" t="str">
        <f>IFERROR(__xludf.DUMMYFUNCTION("""COMPUTED_VALUE"""),"Oring Dop pintu preparasi autoclave lab Mikro ")</f>
        <v>Oring Dop pintu preparasi autoclave lab Mikro </v>
      </c>
      <c r="G212" s="3" t="str">
        <f>IFERROR(__xludf.DUMMYFUNCTION("""COMPUTED_VALUE"""),"Material EPDM 
OD 76,80mm
ID 69,70mm 
Tebal 3.50mm ")</f>
        <v>Material EPDM 
OD 76,80mm
ID 69,70mm 
Tebal 3.50mm </v>
      </c>
      <c r="H212" s="3" t="str">
        <f>IFERROR(__xludf.DUMMYFUNCTION("""COMPUTED_VALUE"""),"lokal ")</f>
        <v>lokal </v>
      </c>
      <c r="I212" s="3">
        <f>IFERROR(__xludf.DUMMYFUNCTION("""COMPUTED_VALUE"""),5.0)</f>
        <v>5</v>
      </c>
      <c r="J212" s="3" t="str">
        <f>IFERROR(__xludf.DUMMYFUNCTION("""COMPUTED_VALUE"""),"pcs")</f>
        <v>pcs</v>
      </c>
      <c r="K212" s="3" t="str">
        <f>IFERROR(__xludf.DUMMYFUNCTION("""COMPUTED_VALUE"""),"-")</f>
        <v>-</v>
      </c>
      <c r="L212" s="3" t="str">
        <f>IFERROR(__xludf.DUMMYFUNCTION("""COMPUTED_VALUE"""),"Oring dop pintu autoclave Preparasi lab mikro ")</f>
        <v>Oring dop pintu autoclave Preparasi lab mikro </v>
      </c>
      <c r="M212" s="3" t="str">
        <f>IFERROR(__xludf.DUMMYFUNCTION("""COMPUTED_VALUE"""),"Approve")</f>
        <v>Approve</v>
      </c>
      <c r="N212" s="3" t="str">
        <f>IFERROR(__xludf.DUMMYFUNCTION("""COMPUTED_VALUE"""),"Normal")</f>
        <v>Normal</v>
      </c>
      <c r="O212" s="3" t="str">
        <f>IFERROR(__xludf.DUMMYFUNCTION("""COMPUTED_VALUE"""),"Non Urgent")</f>
        <v>Non Urgent</v>
      </c>
      <c r="P212" s="7">
        <f>IFERROR(__xludf.DUMMYFUNCTION("""COMPUTED_VALUE"""),45895.12172943287)</f>
        <v>45895.12173</v>
      </c>
    </row>
    <row r="213">
      <c r="A213" s="4">
        <f>IFERROR(__xludf.DUMMYFUNCTION("""COMPUTED_VALUE"""),45875.47010125)</f>
        <v>45875.4701</v>
      </c>
      <c r="B213" s="3" t="str">
        <f>IFERROR(__xludf.DUMMYFUNCTION("""COMPUTED_VALUE"""),"ROSBR0030")</f>
        <v>ROSBR0030</v>
      </c>
      <c r="C213" s="3" t="str">
        <f>IFERROR(__xludf.DUMMYFUNCTION("""COMPUTED_VALUE"""),"Consumable")</f>
        <v>Consumable</v>
      </c>
      <c r="D213" s="3" t="str">
        <f>IFERROR(__xludf.DUMMYFUNCTION("""COMPUTED_VALUE"""),"NA")</f>
        <v>NA</v>
      </c>
      <c r="E213" s="3" t="str">
        <f>IFERROR(__xludf.DUMMYFUNCTION("""COMPUTED_VALUE"""),"Compressor FD ")</f>
        <v>Compressor FD </v>
      </c>
      <c r="F213" s="3" t="str">
        <f>IFERROR(__xludf.DUMMYFUNCTION("""COMPUTED_VALUE"""),"Baut terminal kompressor ")</f>
        <v>Baut terminal kompressor </v>
      </c>
      <c r="G213" s="3" t="str">
        <f>IFERROR(__xludf.DUMMYFUNCTION("""COMPUTED_VALUE"""),"Baut Hexagonal M10
Material Tembaga 
Pitch 1.5mm
Diameter nominal  : 10mm
Panjang baut 20mm
panjang total : 26.80mm 
ukuran kepala : 17mm
tinggi kepala : 6.4mm")</f>
        <v>Baut Hexagonal M10
Material Tembaga 
Pitch 1.5mm
Diameter nominal  : 10mm
Panjang baut 20mm
panjang total : 26.80mm 
ukuran kepala : 17mm
tinggi kepala : 6.4mm</v>
      </c>
      <c r="H213" s="3" t="str">
        <f>IFERROR(__xludf.DUMMYFUNCTION("""COMPUTED_VALUE"""),"Lokal ")</f>
        <v>Lokal </v>
      </c>
      <c r="I213" s="3">
        <f>IFERROR(__xludf.DUMMYFUNCTION("""COMPUTED_VALUE"""),20.0)</f>
        <v>20</v>
      </c>
      <c r="J213" s="3" t="str">
        <f>IFERROR(__xludf.DUMMYFUNCTION("""COMPUTED_VALUE"""),"pcs")</f>
        <v>pcs</v>
      </c>
      <c r="K213" s="3" t="str">
        <f>IFERROR(__xludf.DUMMYFUNCTION("""COMPUTED_VALUE"""),"-")</f>
        <v>-</v>
      </c>
      <c r="L213" s="3" t="str">
        <f>IFERROR(__xludf.DUMMYFUNCTION("""COMPUTED_VALUE"""),"Baut Hexagonal buat teriminal kompressor FD ")</f>
        <v>Baut Hexagonal buat teriminal kompressor FD </v>
      </c>
      <c r="M213" s="3" t="str">
        <f>IFERROR(__xludf.DUMMYFUNCTION("""COMPUTED_VALUE"""),"Approve")</f>
        <v>Approve</v>
      </c>
      <c r="N213" s="3" t="str">
        <f>IFERROR(__xludf.DUMMYFUNCTION("""COMPUTED_VALUE"""),"Normal")</f>
        <v>Normal</v>
      </c>
      <c r="O213" s="3" t="str">
        <f>IFERROR(__xludf.DUMMYFUNCTION("""COMPUTED_VALUE"""),"Non Urgent")</f>
        <v>Non Urgent</v>
      </c>
      <c r="P213" s="7">
        <f>IFERROR(__xludf.DUMMYFUNCTION("""COMPUTED_VALUE"""),45895.12536355324)</f>
        <v>45895.12536</v>
      </c>
    </row>
    <row r="214">
      <c r="A214" s="4">
        <f>IFERROR(__xludf.DUMMYFUNCTION("""COMPUTED_VALUE"""),45876.670065509265)</f>
        <v>45876.67007</v>
      </c>
      <c r="B214" s="3" t="str">
        <f>IFERROR(__xludf.DUMMYFUNCTION("""COMPUTED_VALUE"""),"AAABR0014")</f>
        <v>AAABR0014</v>
      </c>
      <c r="C214" s="3" t="str">
        <f>IFERROR(__xludf.DUMMYFUNCTION("""COMPUTED_VALUE"""),"EJO")</f>
        <v>EJO</v>
      </c>
      <c r="D214" s="3" t="str">
        <f>IFERROR(__xludf.DUMMYFUNCTION("""COMPUTED_VALUE"""),"EJO/2025/08/103")</f>
        <v>EJO/2025/08/103</v>
      </c>
      <c r="E214" s="3" t="str">
        <f>IFERROR(__xludf.DUMMYFUNCTION("""COMPUTED_VALUE"""),"EDM")</f>
        <v>EDM</v>
      </c>
      <c r="F214" s="3" t="str">
        <f>IFERROR(__xludf.DUMMYFUNCTION("""COMPUTED_VALUE"""),"P.W. SPRAYING VALVE ACTUATOR")</f>
        <v>P.W. SPRAYING VALVE ACTUATOR</v>
      </c>
      <c r="G214" s="3" t="str">
        <f>IFERROR(__xludf.DUMMYFUNCTION("""COMPUTED_VALUE"""),"Valve CL 1/8"" 3 ways 2 positions, N.C ; CL-302A
")</f>
        <v>Valve CL 1/8" 3 ways 2 positions, N.C ; CL-302A
</v>
      </c>
      <c r="H214" s="3" t="str">
        <f>IFERROR(__xludf.DUMMYFUNCTION("""COMPUTED_VALUE"""),"Univer")</f>
        <v>Univer</v>
      </c>
      <c r="I214" s="3">
        <f>IFERROR(__xludf.DUMMYFUNCTION("""COMPUTED_VALUE"""),3.0)</f>
        <v>3</v>
      </c>
      <c r="J214" s="3" t="str">
        <f>IFERROR(__xludf.DUMMYFUNCTION("""COMPUTED_VALUE"""),"Set")</f>
        <v>Set</v>
      </c>
      <c r="K214" s="3" t="str">
        <f>IFERROR(__xludf.DUMMYFUNCTION("""COMPUTED_VALUE"""),"NA")</f>
        <v>NA</v>
      </c>
      <c r="L214" s="3" t="str">
        <f>IFERROR(__xludf.DUMMYFUNCTION("""COMPUTED_VALUE"""),"Needed date : 07 Sep 25")</f>
        <v>Needed date : 07 Sep 25</v>
      </c>
      <c r="M214" s="3" t="str">
        <f>IFERROR(__xludf.DUMMYFUNCTION("""COMPUTED_VALUE"""),"Approve")</f>
        <v>Approve</v>
      </c>
      <c r="N214" s="3" t="str">
        <f>IFERROR(__xludf.DUMMYFUNCTION("""COMPUTED_VALUE"""),"Normal")</f>
        <v>Normal</v>
      </c>
      <c r="O214" s="3" t="str">
        <f>IFERROR(__xludf.DUMMYFUNCTION("""COMPUTED_VALUE"""),"Non Urgent")</f>
        <v>Non Urgent</v>
      </c>
      <c r="P214" s="7">
        <f>IFERROR(__xludf.DUMMYFUNCTION("""COMPUTED_VALUE"""),45887.46028659723)</f>
        <v>45887.46029</v>
      </c>
    </row>
    <row r="215">
      <c r="A215" s="4">
        <f>IFERROR(__xludf.DUMMYFUNCTION("""COMPUTED_VALUE"""),45876.672597164354)</f>
        <v>45876.6726</v>
      </c>
      <c r="B215" s="3" t="str">
        <f>IFERROR(__xludf.DUMMYFUNCTION("""COMPUTED_VALUE"""),"AAABR0015")</f>
        <v>AAABR0015</v>
      </c>
      <c r="C215" s="3" t="str">
        <f>IFERROR(__xludf.DUMMYFUNCTION("""COMPUTED_VALUE"""),"EJO")</f>
        <v>EJO</v>
      </c>
      <c r="D215" s="3" t="str">
        <f>IFERROR(__xludf.DUMMYFUNCTION("""COMPUTED_VALUE"""),"EJO/2025/08/103")</f>
        <v>EJO/2025/08/103</v>
      </c>
      <c r="E215" s="3" t="str">
        <f>IFERROR(__xludf.DUMMYFUNCTION("""COMPUTED_VALUE"""),"EDM")</f>
        <v>EDM</v>
      </c>
      <c r="F215" s="3" t="str">
        <f>IFERROR(__xludf.DUMMYFUNCTION("""COMPUTED_VALUE"""),"P.W. SPRAYING VALVE ACTUATOR")</f>
        <v>P.W. SPRAYING VALVE ACTUATOR</v>
      </c>
      <c r="G215" s="3" t="str">
        <f>IFERROR(__xludf.DUMMYFUNCTION("""COMPUTED_VALUE"""),"Coil U1 3,5W 24VDC ; DA-0051
")</f>
        <v>Coil U1 3,5W 24VDC ; DA-0051
</v>
      </c>
      <c r="H215" s="3" t="str">
        <f>IFERROR(__xludf.DUMMYFUNCTION("""COMPUTED_VALUE"""),"Univer")</f>
        <v>Univer</v>
      </c>
      <c r="I215" s="3">
        <f>IFERROR(__xludf.DUMMYFUNCTION("""COMPUTED_VALUE"""),3.0)</f>
        <v>3</v>
      </c>
      <c r="J215" s="3" t="str">
        <f>IFERROR(__xludf.DUMMYFUNCTION("""COMPUTED_VALUE"""),"Ser")</f>
        <v>Ser</v>
      </c>
      <c r="K215" s="3" t="str">
        <f>IFERROR(__xludf.DUMMYFUNCTION("""COMPUTED_VALUE"""),"NA")</f>
        <v>NA</v>
      </c>
      <c r="L215" s="3" t="str">
        <f>IFERROR(__xludf.DUMMYFUNCTION("""COMPUTED_VALUE"""),"Needed date : 07 Sep 25")</f>
        <v>Needed date : 07 Sep 25</v>
      </c>
      <c r="M215" s="3" t="str">
        <f>IFERROR(__xludf.DUMMYFUNCTION("""COMPUTED_VALUE"""),"Approve")</f>
        <v>Approve</v>
      </c>
      <c r="N215" s="3" t="str">
        <f>IFERROR(__xludf.DUMMYFUNCTION("""COMPUTED_VALUE"""),"Normal")</f>
        <v>Normal</v>
      </c>
      <c r="O215" s="3" t="str">
        <f>IFERROR(__xludf.DUMMYFUNCTION("""COMPUTED_VALUE"""),"Non Urgent")</f>
        <v>Non Urgent</v>
      </c>
      <c r="P215" s="7">
        <f>IFERROR(__xludf.DUMMYFUNCTION("""COMPUTED_VALUE"""),45887.46056759259)</f>
        <v>45887.46057</v>
      </c>
    </row>
    <row r="216">
      <c r="A216" s="4">
        <f>IFERROR(__xludf.DUMMYFUNCTION("""COMPUTED_VALUE"""),45882.236768981486)</f>
        <v>45882.23677</v>
      </c>
      <c r="B216" s="3" t="str">
        <f>IFERROR(__xludf.DUMMYFUNCTION("""COMPUTED_VALUE"""),"ROSBR0031")</f>
        <v>ROSBR0031</v>
      </c>
      <c r="C216" s="3" t="str">
        <f>IFERROR(__xludf.DUMMYFUNCTION("""COMPUTED_VALUE"""),"EJO")</f>
        <v>EJO</v>
      </c>
      <c r="D216" s="3" t="str">
        <f>IFERROR(__xludf.DUMMYFUNCTION("""COMPUTED_VALUE"""),"EJO/2025/08/114")</f>
        <v>EJO/2025/08/114</v>
      </c>
      <c r="E216" s="3" t="str">
        <f>IFERROR(__xludf.DUMMYFUNCTION("""COMPUTED_VALUE"""),"Panel Coating ")</f>
        <v>Panel Coating </v>
      </c>
      <c r="F216" s="3" t="str">
        <f>IFERROR(__xludf.DUMMYFUNCTION("""COMPUTED_VALUE"""),"Cooling fan ")</f>
        <v>Cooling fan </v>
      </c>
      <c r="G216" s="3" t="str">
        <f>IFERROR(__xludf.DUMMYFUNCTION("""COMPUTED_VALUE"""),"Cooling fan 
Merk KAKU
type KA1725HA2
220-240vac
50/60Hz 
 0.20-0.17A
dimensi 170x50mm")</f>
        <v>Cooling fan 
Merk KAKU
type KA1725HA2
220-240vac
50/60Hz 
 0.20-0.17A
dimensi 170x50mm</v>
      </c>
      <c r="H216" s="3" t="str">
        <f>IFERROR(__xludf.DUMMYFUNCTION("""COMPUTED_VALUE"""),"KAKU")</f>
        <v>KAKU</v>
      </c>
      <c r="I216" s="3">
        <f>IFERROR(__xludf.DUMMYFUNCTION("""COMPUTED_VALUE"""),1.0)</f>
        <v>1</v>
      </c>
      <c r="J216" s="3" t="str">
        <f>IFERROR(__xludf.DUMMYFUNCTION("""COMPUTED_VALUE"""),"Set")</f>
        <v>Set</v>
      </c>
      <c r="K216" s="5" t="str">
        <f>IFERROR(__xludf.DUMMYFUNCTION("""COMPUTED_VALUE"""),"https://shopee.co.id/Kaku-Ka1725Ha2-Fan-Kaku-Ka1725Ha2-Ball-Bearing-i.1524555400.41606998175?xptdk=04553a51-d4c6-4fed-94f6-5a1dd37959c2")</f>
        <v>https://shopee.co.id/Kaku-Ka1725Ha2-Fan-Kaku-Ka1725Ha2-Ball-Bearing-i.1524555400.41606998175?xptdk=04553a51-d4c6-4fed-94f6-5a1dd37959c2</v>
      </c>
      <c r="L216" s="3" t="str">
        <f>IFERROR(__xludf.DUMMYFUNCTION("""COMPUTED_VALUE"""),"Cooling fan buat panel mesin coating ")</f>
        <v>Cooling fan buat panel mesin coating </v>
      </c>
      <c r="M216" s="3" t="str">
        <f>IFERROR(__xludf.DUMMYFUNCTION("""COMPUTED_VALUE"""),"Approve")</f>
        <v>Approve</v>
      </c>
      <c r="N216" s="3" t="str">
        <f>IFERROR(__xludf.DUMMYFUNCTION("""COMPUTED_VALUE"""),"Normal")</f>
        <v>Normal</v>
      </c>
      <c r="O216" s="3" t="str">
        <f>IFERROR(__xludf.DUMMYFUNCTION("""COMPUTED_VALUE"""),"Non Urgent")</f>
        <v>Non Urgent</v>
      </c>
      <c r="P216" s="7">
        <f>IFERROR(__xludf.DUMMYFUNCTION("""COMPUTED_VALUE"""),45895.12248414352)</f>
        <v>45895.12248</v>
      </c>
    </row>
    <row r="217">
      <c r="A217" s="4">
        <f>IFERROR(__xludf.DUMMYFUNCTION("""COMPUTED_VALUE"""),45882.389632708335)</f>
        <v>45882.38963</v>
      </c>
      <c r="B217" s="3" t="str">
        <f>IFERROR(__xludf.DUMMYFUNCTION("""COMPUTED_VALUE"""),"INNBR0040")</f>
        <v>INNBR0040</v>
      </c>
      <c r="C217" s="3" t="str">
        <f>IFERROR(__xludf.DUMMYFUNCTION("""COMPUTED_VALUE"""),"Critical Part")</f>
        <v>Critical Part</v>
      </c>
      <c r="D217" s="3" t="str">
        <f>IFERROR(__xludf.DUMMYFUNCTION("""COMPUTED_VALUE"""),"-")</f>
        <v>-</v>
      </c>
      <c r="E217" s="3" t="str">
        <f>IFERROR(__xludf.DUMMYFUNCTION("""COMPUTED_VALUE"""),"Filling")</f>
        <v>Filling</v>
      </c>
      <c r="F217" s="3" t="str">
        <f>IFERROR(__xludf.DUMMYFUNCTION("""COMPUTED_VALUE"""),"Spare Membrane diaphragm MA8 PTFE/EPDM SED")</f>
        <v>Spare Membrane diaphragm MA8 PTFE/EPDM SED</v>
      </c>
      <c r="G217" s="3" t="str">
        <f>IFERROR(__xludf.DUMMYFUNCTION("""COMPUTED_VALUE"""),"Sesuai penawaran")</f>
        <v>Sesuai penawaran</v>
      </c>
      <c r="H217" s="3" t="str">
        <f>IFERROR(__xludf.DUMMYFUNCTION("""COMPUTED_VALUE"""),"Filing")</f>
        <v>Filing</v>
      </c>
      <c r="I217" s="3">
        <f>IFERROR(__xludf.DUMMYFUNCTION("""COMPUTED_VALUE"""),4.0)</f>
        <v>4</v>
      </c>
      <c r="J217" s="3" t="str">
        <f>IFERROR(__xludf.DUMMYFUNCTION("""COMPUTED_VALUE"""),"Pcs")</f>
        <v>Pcs</v>
      </c>
      <c r="K217" s="5" t="str">
        <f>IFERROR(__xludf.DUMMYFUNCTION("""COMPUTED_VALUE"""),"https://drive.google.com/file/d/1c4GQT33CgbLa-GF_OX0w_b6sQB3WcTgt/view?usp=drive_link")</f>
        <v>https://drive.google.com/file/d/1c4GQT33CgbLa-GF_OX0w_b6sQB3WcTgt/view?usp=drive_link</v>
      </c>
      <c r="L217" s="3" t="str">
        <f>IFERROR(__xludf.DUMMYFUNCTION("""COMPUTED_VALUE"""),"Untuk buffer tank filling")</f>
        <v>Untuk buffer tank filling</v>
      </c>
      <c r="M217" s="3" t="str">
        <f>IFERROR(__xludf.DUMMYFUNCTION("""COMPUTED_VALUE"""),"Approve")</f>
        <v>Approve</v>
      </c>
      <c r="N217" s="3" t="str">
        <f>IFERROR(__xludf.DUMMYFUNCTION("""COMPUTED_VALUE"""),"Normal")</f>
        <v>Normal</v>
      </c>
      <c r="O217" s="3" t="str">
        <f>IFERROR(__xludf.DUMMYFUNCTION("""COMPUTED_VALUE"""),"Non Urgent")</f>
        <v>Non Urgent</v>
      </c>
      <c r="P217" s="7">
        <f>IFERROR(__xludf.DUMMYFUNCTION("""COMPUTED_VALUE"""),45895.11931875)</f>
        <v>45895.11932</v>
      </c>
    </row>
    <row r="218">
      <c r="A218" s="4">
        <f>IFERROR(__xludf.DUMMYFUNCTION("""COMPUTED_VALUE"""),45883.968983831015)</f>
        <v>45883.96898</v>
      </c>
      <c r="B218" s="3" t="str">
        <f>IFERROR(__xludf.DUMMYFUNCTION("""COMPUTED_VALUE"""),"RIABR0048")</f>
        <v>RIABR0048</v>
      </c>
      <c r="C218" s="3" t="str">
        <f>IFERROR(__xludf.DUMMYFUNCTION("""COMPUTED_VALUE"""),"EJO")</f>
        <v>EJO</v>
      </c>
      <c r="D218" s="3" t="str">
        <f>IFERROR(__xludf.DUMMYFUNCTION("""COMPUTED_VALUE"""),"EJO/2025/08/152")</f>
        <v>EJO/2025/08/152</v>
      </c>
      <c r="E218" s="3" t="str">
        <f>IFERROR(__xludf.DUMMYFUNCTION("""COMPUTED_VALUE"""),"Granulasi")</f>
        <v>Granulasi</v>
      </c>
      <c r="F218" s="3" t="str">
        <f>IFERROR(__xludf.DUMMYFUNCTION("""COMPUTED_VALUE"""),"Kabel Program")</f>
        <v>Kabel Program</v>
      </c>
      <c r="G218" s="3" t="str">
        <f>IFERROR(__xludf.DUMMYFUNCTION("""COMPUTED_VALUE"""),"K-Adp-Usb Programmer Pepperl+Fuchs")</f>
        <v>K-Adp-Usb Programmer Pepperl+Fuchs</v>
      </c>
      <c r="H218" s="3" t="str">
        <f>IFERROR(__xludf.DUMMYFUNCTION("""COMPUTED_VALUE"""),"Pepperl+Fuchs")</f>
        <v>Pepperl+Fuchs</v>
      </c>
      <c r="I218" s="3">
        <f>IFERROR(__xludf.DUMMYFUNCTION("""COMPUTED_VALUE"""),1.0)</f>
        <v>1</v>
      </c>
      <c r="J218" s="3" t="str">
        <f>IFERROR(__xludf.DUMMYFUNCTION("""COMPUTED_VALUE"""),"Pcs")</f>
        <v>Pcs</v>
      </c>
      <c r="K218" s="5" t="str">
        <f>IFERROR(__xludf.DUMMYFUNCTION("""COMPUTED_VALUE"""),"https://www.tokopedia.com/mitra-autopedia/k-adp-usb-programmer-pepperl-fuchs?t_id=1755187951766&amp;t_st=3&amp;t_pp=cart&amp;t_efo=cart&amp;t_ef=&amp;t_sm=&amp;t_spt=cart")</f>
        <v>https://www.tokopedia.com/mitra-autopedia/k-adp-usb-programmer-pepperl-fuchs?t_id=1755187951766&amp;t_st=3&amp;t_pp=cart&amp;t_efo=cart&amp;t_ef=&amp;t_sm=&amp;t_spt=cart</v>
      </c>
      <c r="L218" s="3" t="str">
        <f>IFERROR(__xludf.DUMMYFUNCTION("""COMPUTED_VALUE"""),"Untuk kabel adjust sensor temperature mesin granulasi. ")</f>
        <v>Untuk kabel adjust sensor temperature mesin granulasi. </v>
      </c>
      <c r="M218" s="3" t="str">
        <f>IFERROR(__xludf.DUMMYFUNCTION("""COMPUTED_VALUE"""),"Approve")</f>
        <v>Approve</v>
      </c>
      <c r="N218" s="3" t="str">
        <f>IFERROR(__xludf.DUMMYFUNCTION("""COMPUTED_VALUE"""),"Normal")</f>
        <v>Normal</v>
      </c>
      <c r="O218" s="3" t="str">
        <f>IFERROR(__xludf.DUMMYFUNCTION("""COMPUTED_VALUE"""),"Non Urgent")</f>
        <v>Non Urgent</v>
      </c>
      <c r="P218" s="7">
        <f>IFERROR(__xludf.DUMMYFUNCTION("""COMPUTED_VALUE"""),45887.41728648148)</f>
        <v>45887.41729</v>
      </c>
    </row>
    <row r="219">
      <c r="A219" s="4">
        <f>IFERROR(__xludf.DUMMYFUNCTION("""COMPUTED_VALUE"""),45883.97457641204)</f>
        <v>45883.97458</v>
      </c>
      <c r="B219" s="3" t="str">
        <f>IFERROR(__xludf.DUMMYFUNCTION("""COMPUTED_VALUE"""),"RIABR0049")</f>
        <v>RIABR0049</v>
      </c>
      <c r="C219" s="3" t="str">
        <f>IFERROR(__xludf.DUMMYFUNCTION("""COMPUTED_VALUE"""),"Consumable")</f>
        <v>Consumable</v>
      </c>
      <c r="D219" s="3" t="str">
        <f>IFERROR(__xludf.DUMMYFUNCTION("""COMPUTED_VALUE"""),"-")</f>
        <v>-</v>
      </c>
      <c r="E219" s="3" t="str">
        <f>IFERROR(__xludf.DUMMYFUNCTION("""COMPUTED_VALUE"""),"PSG")</f>
        <v>PSG</v>
      </c>
      <c r="F219" s="3" t="str">
        <f>IFERROR(__xludf.DUMMYFUNCTION("""COMPUTED_VALUE"""),"Sarung Tangan")</f>
        <v>Sarung Tangan</v>
      </c>
      <c r="G219" s="3" t="str">
        <f>IFERROR(__xludf.DUMMYFUNCTION("""COMPUTED_VALUE"""),"Castong Heat Resistant Glove ABY 5T - Sarung Tangan Tahan Panas 500 C - ABY5T-34. The main material for the palm is para aramid felt and reinforced with para aramid twill. Resisting temperature of 500 deg.C for 30 - 40 seconds. With the para aramid twill "&amp;"reinforced, the service life prolongs more than two times")</f>
        <v>Castong Heat Resistant Glove ABY 5T - Sarung Tangan Tahan Panas 500 C - ABY5T-34. The main material for the palm is para aramid felt and reinforced with para aramid twill. Resisting temperature of 500 deg.C for 30 - 40 seconds. With the para aramid twill reinforced, the service life prolongs more than two times</v>
      </c>
      <c r="H219" s="3" t="str">
        <f>IFERROR(__xludf.DUMMYFUNCTION("""COMPUTED_VALUE"""),"Castong")</f>
        <v>Castong</v>
      </c>
      <c r="I219" s="3">
        <f>IFERROR(__xludf.DUMMYFUNCTION("""COMPUTED_VALUE"""),3.0)</f>
        <v>3</v>
      </c>
      <c r="J219" s="3" t="str">
        <f>IFERROR(__xludf.DUMMYFUNCTION("""COMPUTED_VALUE"""),"Pair")</f>
        <v>Pair</v>
      </c>
      <c r="K219" s="5" t="str">
        <f>IFERROR(__xludf.DUMMYFUNCTION("""COMPUTED_VALUE"""),"https://www.tokopedia.com/safetyfirstjkt/castong-heat-resistant-glove-aby-5t-sarung-tangan-tahan-panas-500-c-aby5t-34?extParam=ivf%3Dfalse%26keyword%3Dsarung+tangan+tahan+panas%26search_id%3D2025081416192611B9842E0A271F206M3E%26src%3Dsearch&amp;t_id=175518795"&amp;"1766&amp;t_st=6&amp;t_pp=search_result&amp;t_efo=search_pure_goods_card&amp;t_ef=goods_search&amp;t_sm=&amp;t_spt=search_result")</f>
        <v>https://www.tokopedia.com/safetyfirstjkt/castong-heat-resistant-glove-aby-5t-sarung-tangan-tahan-panas-500-c-aby5t-34?extParam=ivf%3Dfalse%26keyword%3Dsarung+tangan+tahan+panas%26search_id%3D2025081416192611B9842E0A271F206M3E%26src%3Dsearch&amp;t_id=1755187951766&amp;t_st=6&amp;t_pp=search_result&amp;t_efo=search_pure_goods_card&amp;t_ef=goods_search&amp;t_sm=&amp;t_spt=search_result</v>
      </c>
      <c r="L219" s="3" t="str">
        <f>IFERROR(__xludf.DUMMYFUNCTION("""COMPUTED_VALUE"""),"Untuk sarung tangan tahan panas buat PSG WFIG")</f>
        <v>Untuk sarung tangan tahan panas buat PSG WFIG</v>
      </c>
      <c r="M219" s="3" t="str">
        <f>IFERROR(__xludf.DUMMYFUNCTION("""COMPUTED_VALUE"""),"Approve")</f>
        <v>Approve</v>
      </c>
      <c r="N219" s="3" t="str">
        <f>IFERROR(__xludf.DUMMYFUNCTION("""COMPUTED_VALUE"""),"Normal")</f>
        <v>Normal</v>
      </c>
      <c r="O219" s="3" t="str">
        <f>IFERROR(__xludf.DUMMYFUNCTION("""COMPUTED_VALUE"""),"Non Urgent")</f>
        <v>Non Urgent</v>
      </c>
      <c r="P219" s="7">
        <f>IFERROR(__xludf.DUMMYFUNCTION("""COMPUTED_VALUE"""),45887.417522407406)</f>
        <v>45887.41752</v>
      </c>
    </row>
    <row r="220">
      <c r="A220" s="4">
        <f>IFERROR(__xludf.DUMMYFUNCTION("""COMPUTED_VALUE"""),45884.82297146991)</f>
        <v>45884.82297</v>
      </c>
      <c r="B220" s="3" t="str">
        <f>IFERROR(__xludf.DUMMYFUNCTION("""COMPUTED_VALUE"""),"MRNBR0037")</f>
        <v>MRNBR0037</v>
      </c>
      <c r="C220" s="3" t="str">
        <f>IFERROR(__xludf.DUMMYFUNCTION("""COMPUTED_VALUE"""),"EJO")</f>
        <v>EJO</v>
      </c>
      <c r="D220" s="3" t="str">
        <f>IFERROR(__xludf.DUMMYFUNCTION("""COMPUTED_VALUE"""),"EJO/2025/08/113")</f>
        <v>EJO/2025/08/113</v>
      </c>
      <c r="E220" s="3" t="str">
        <f>IFERROR(__xludf.DUMMYFUNCTION("""COMPUTED_VALUE"""),"Pintu gowning sampling")</f>
        <v>Pintu gowning sampling</v>
      </c>
      <c r="F220" s="3" t="str">
        <f>IFERROR(__xludf.DUMMYFUNCTION("""COMPUTED_VALUE"""),"Slot door")</f>
        <v>Slot door</v>
      </c>
      <c r="G220" s="3" t="str">
        <f>IFERROR(__xludf.DUMMYFUNCTION("""COMPUTED_VALUE"""),"electric dropbolt lock kunci pintu door access 5 kabel delay")</f>
        <v>electric dropbolt lock kunci pintu door access 5 kabel delay</v>
      </c>
      <c r="H220" s="3" t="str">
        <f>IFERROR(__xludf.DUMMYFUNCTION("""COMPUTED_VALUE"""),"NA")</f>
        <v>NA</v>
      </c>
      <c r="I220" s="3">
        <f>IFERROR(__xludf.DUMMYFUNCTION("""COMPUTED_VALUE"""),2.0)</f>
        <v>2</v>
      </c>
      <c r="J220" s="3" t="str">
        <f>IFERROR(__xludf.DUMMYFUNCTION("""COMPUTED_VALUE"""),"pcs")</f>
        <v>pcs</v>
      </c>
      <c r="K220" s="5" t="str">
        <f>IFERROR(__xludf.DUMMYFUNCTION("""COMPUTED_VALUE"""),"https://www.tokopedia.com/acesories038/electric-dropbolt-lock-kunci-pintu-door-access-5-kabel-delay")</f>
        <v>https://www.tokopedia.com/acesories038/electric-dropbolt-lock-kunci-pintu-door-access-5-kabel-delay</v>
      </c>
      <c r="L220" s="3" t="str">
        <f>IFERROR(__xludf.DUMMYFUNCTION("""COMPUTED_VALUE"""),"pintu sandwich sampling")</f>
        <v>pintu sandwich sampling</v>
      </c>
      <c r="M220" s="3" t="str">
        <f>IFERROR(__xludf.DUMMYFUNCTION("""COMPUTED_VALUE"""),"Approve")</f>
        <v>Approve</v>
      </c>
      <c r="N220" s="3" t="str">
        <f>IFERROR(__xludf.DUMMYFUNCTION("""COMPUTED_VALUE"""),"Normal")</f>
        <v>Normal</v>
      </c>
      <c r="O220" s="3" t="str">
        <f>IFERROR(__xludf.DUMMYFUNCTION("""COMPUTED_VALUE"""),"Non Urgent")</f>
        <v>Non Urgent</v>
      </c>
      <c r="P220" s="7">
        <f>IFERROR(__xludf.DUMMYFUNCTION("""COMPUTED_VALUE"""),45887.4590919676)</f>
        <v>45887.45909</v>
      </c>
    </row>
    <row r="221">
      <c r="A221" s="4">
        <f>IFERROR(__xludf.DUMMYFUNCTION("""COMPUTED_VALUE"""),45884.88693613426)</f>
        <v>45884.88694</v>
      </c>
      <c r="B221" s="3" t="str">
        <f>IFERROR(__xludf.DUMMYFUNCTION("""COMPUTED_VALUE"""),"MRNBR0039")</f>
        <v>MRNBR0039</v>
      </c>
      <c r="C221" s="3" t="str">
        <f>IFERROR(__xludf.DUMMYFUNCTION("""COMPUTED_VALUE"""),"EJO")</f>
        <v>EJO</v>
      </c>
      <c r="D221" s="3" t="str">
        <f>IFERROR(__xludf.DUMMYFUNCTION("""COMPUTED_VALUE"""),"EJO/2025/08/165")</f>
        <v>EJO/2025/08/165</v>
      </c>
      <c r="E221" s="3" t="str">
        <f>IFERROR(__xludf.DUMMYFUNCTION("""COMPUTED_VALUE"""),"AHU D1-1")</f>
        <v>AHU D1-1</v>
      </c>
      <c r="F221" s="3" t="str">
        <f>IFERROR(__xludf.DUMMYFUNCTION("""COMPUTED_VALUE"""),"Sensor flow")</f>
        <v>Sensor flow</v>
      </c>
      <c r="G221" s="3" t="str">
        <f>IFERROR(__xludf.DUMMYFUNCTION("""COMPUTED_VALUE"""),"Sensor flow MFS-R-500")</f>
        <v>Sensor flow MFS-R-500</v>
      </c>
      <c r="H221" s="3" t="str">
        <f>IFERROR(__xludf.DUMMYFUNCTION("""COMPUTED_VALUE"""),"Micatrone")</f>
        <v>Micatrone</v>
      </c>
      <c r="I221" s="3">
        <f>IFERROR(__xludf.DUMMYFUNCTION("""COMPUTED_VALUE"""),2.0)</f>
        <v>2</v>
      </c>
      <c r="J221" s="3" t="str">
        <f>IFERROR(__xludf.DUMMYFUNCTION("""COMPUTED_VALUE"""),"pcs")</f>
        <v>pcs</v>
      </c>
      <c r="K221" s="5" t="str">
        <f>IFERROR(__xludf.DUMMYFUNCTION("""COMPUTED_VALUE"""),"https://en.micatrone.se/produktor/mfs")</f>
        <v>https://en.micatrone.se/produktor/mfs</v>
      </c>
      <c r="L221" s="3" t="str">
        <f>IFERROR(__xludf.DUMMYFUNCTION("""COMPUTED_VALUE"""),"Rusak tidak terbaca")</f>
        <v>Rusak tidak terbaca</v>
      </c>
      <c r="M221" s="3" t="str">
        <f>IFERROR(__xludf.DUMMYFUNCTION("""COMPUTED_VALUE"""),"Approve")</f>
        <v>Approve</v>
      </c>
      <c r="N221" s="3" t="str">
        <f>IFERROR(__xludf.DUMMYFUNCTION("""COMPUTED_VALUE"""),"Normal")</f>
        <v>Normal</v>
      </c>
      <c r="O221" s="3" t="str">
        <f>IFERROR(__xludf.DUMMYFUNCTION("""COMPUTED_VALUE"""),"Non Urgent")</f>
        <v>Non Urgent</v>
      </c>
      <c r="P221" s="7">
        <f>IFERROR(__xludf.DUMMYFUNCTION("""COMPUTED_VALUE"""),45887.60134153935)</f>
        <v>45887.60134</v>
      </c>
    </row>
    <row r="222">
      <c r="A222" s="4">
        <f>IFERROR(__xludf.DUMMYFUNCTION("""COMPUTED_VALUE"""),45884.99784077546)</f>
        <v>45884.99784</v>
      </c>
      <c r="B222" s="3" t="str">
        <f>IFERROR(__xludf.DUMMYFUNCTION("""COMPUTED_VALUE"""),"MRNBR0041")</f>
        <v>MRNBR0041</v>
      </c>
      <c r="C222" s="3" t="str">
        <f>IFERROR(__xludf.DUMMYFUNCTION("""COMPUTED_VALUE"""),"EJO")</f>
        <v>EJO</v>
      </c>
      <c r="D222" s="3" t="str">
        <f>IFERROR(__xludf.DUMMYFUNCTION("""COMPUTED_VALUE"""),"EJO/2025/03/153")</f>
        <v>EJO/2025/03/153</v>
      </c>
      <c r="E222" s="3" t="str">
        <f>IFERROR(__xludf.DUMMYFUNCTION("""COMPUTED_VALUE"""),"AHU OSD")</f>
        <v>AHU OSD</v>
      </c>
      <c r="F222" s="3" t="str">
        <f>IFERROR(__xludf.DUMMYFUNCTION("""COMPUTED_VALUE"""),"Prefilter M-MNF")</f>
        <v>Prefilter M-MNF</v>
      </c>
      <c r="G222" s="3" t="str">
        <f>IFERROR(__xludf.DUMMYFUNCTION("""COMPUTED_VALUE"""),"595x595x46")</f>
        <v>595x595x46</v>
      </c>
      <c r="H222" s="3" t="str">
        <f>IFERROR(__xludf.DUMMYFUNCTION("""COMPUTED_VALUE"""),"Mayair")</f>
        <v>Mayair</v>
      </c>
      <c r="I222" s="3">
        <f>IFERROR(__xludf.DUMMYFUNCTION("""COMPUTED_VALUE"""),18.0)</f>
        <v>18</v>
      </c>
      <c r="J222" s="3" t="str">
        <f>IFERROR(__xludf.DUMMYFUNCTION("""COMPUTED_VALUE"""),"pcs")</f>
        <v>pcs</v>
      </c>
      <c r="K222" s="5" t="str">
        <f>IFERROR(__xludf.DUMMYFUNCTION("""COMPUTED_VALUE"""),"https://mayair.com.my/product/primary-filter-m-mnf/")</f>
        <v>https://mayair.com.my/product/primary-filter-m-mnf/</v>
      </c>
      <c r="L222" s="3" t="str">
        <f>IFERROR(__xludf.DUMMYFUNCTION("""COMPUTED_VALUE"""),"untuk AHU OSD E1-1")</f>
        <v>untuk AHU OSD E1-1</v>
      </c>
      <c r="M222" s="3" t="str">
        <f>IFERROR(__xludf.DUMMYFUNCTION("""COMPUTED_VALUE"""),"Approve")</f>
        <v>Approve</v>
      </c>
      <c r="N222" s="3" t="str">
        <f>IFERROR(__xludf.DUMMYFUNCTION("""COMPUTED_VALUE"""),"Normal")</f>
        <v>Normal</v>
      </c>
      <c r="O222" s="3" t="str">
        <f>IFERROR(__xludf.DUMMYFUNCTION("""COMPUTED_VALUE"""),"Non Urgent")</f>
        <v>Non Urgent</v>
      </c>
      <c r="P222" s="7">
        <f>IFERROR(__xludf.DUMMYFUNCTION("""COMPUTED_VALUE"""),45887.462874363424)</f>
        <v>45887.46287</v>
      </c>
    </row>
    <row r="223">
      <c r="A223" s="4">
        <f>IFERROR(__xludf.DUMMYFUNCTION("""COMPUTED_VALUE"""),45884.99798289352)</f>
        <v>45884.99798</v>
      </c>
      <c r="B223" s="3" t="str">
        <f>IFERROR(__xludf.DUMMYFUNCTION("""COMPUTED_VALUE"""),"MRNBR0042")</f>
        <v>MRNBR0042</v>
      </c>
      <c r="C223" s="3" t="str">
        <f>IFERROR(__xludf.DUMMYFUNCTION("""COMPUTED_VALUE"""),"EJO")</f>
        <v>EJO</v>
      </c>
      <c r="D223" s="3" t="str">
        <f>IFERROR(__xludf.DUMMYFUNCTION("""COMPUTED_VALUE"""),"EJO/2025/03/153")</f>
        <v>EJO/2025/03/153</v>
      </c>
      <c r="E223" s="3" t="str">
        <f>IFERROR(__xludf.DUMMYFUNCTION("""COMPUTED_VALUE"""),"AHU OSD")</f>
        <v>AHU OSD</v>
      </c>
      <c r="F223" s="3" t="str">
        <f>IFERROR(__xludf.DUMMYFUNCTION("""COMPUTED_VALUE"""),"Prefilter M-MNF")</f>
        <v>Prefilter M-MNF</v>
      </c>
      <c r="G223" s="3" t="str">
        <f>IFERROR(__xludf.DUMMYFUNCTION("""COMPUTED_VALUE"""),"290x595x46")</f>
        <v>290x595x46</v>
      </c>
      <c r="H223" s="3" t="str">
        <f>IFERROR(__xludf.DUMMYFUNCTION("""COMPUTED_VALUE"""),"Mayair")</f>
        <v>Mayair</v>
      </c>
      <c r="I223" s="3">
        <f>IFERROR(__xludf.DUMMYFUNCTION("""COMPUTED_VALUE"""),6.0)</f>
        <v>6</v>
      </c>
      <c r="J223" s="3" t="str">
        <f>IFERROR(__xludf.DUMMYFUNCTION("""COMPUTED_VALUE"""),"pcs")</f>
        <v>pcs</v>
      </c>
      <c r="K223" s="5" t="str">
        <f>IFERROR(__xludf.DUMMYFUNCTION("""COMPUTED_VALUE"""),"https://mayair.com.my/product/primary-filter-m-mnf/")</f>
        <v>https://mayair.com.my/product/primary-filter-m-mnf/</v>
      </c>
      <c r="L223" s="3" t="str">
        <f>IFERROR(__xludf.DUMMYFUNCTION("""COMPUTED_VALUE"""),"untuk AHU OSD E1-1")</f>
        <v>untuk AHU OSD E1-1</v>
      </c>
      <c r="M223" s="3" t="str">
        <f>IFERROR(__xludf.DUMMYFUNCTION("""COMPUTED_VALUE"""),"Approve")</f>
        <v>Approve</v>
      </c>
      <c r="N223" s="3" t="str">
        <f>IFERROR(__xludf.DUMMYFUNCTION("""COMPUTED_VALUE"""),"Normal")</f>
        <v>Normal</v>
      </c>
      <c r="O223" s="3" t="str">
        <f>IFERROR(__xludf.DUMMYFUNCTION("""COMPUTED_VALUE"""),"Non Urgent")</f>
        <v>Non Urgent</v>
      </c>
      <c r="P223" s="7">
        <f>IFERROR(__xludf.DUMMYFUNCTION("""COMPUTED_VALUE"""),45887.46336033565)</f>
        <v>45887.46336</v>
      </c>
    </row>
    <row r="224">
      <c r="A224" s="4">
        <f>IFERROR(__xludf.DUMMYFUNCTION("""COMPUTED_VALUE"""),45884.99798289352)</f>
        <v>45884.99798</v>
      </c>
      <c r="B224" s="3" t="str">
        <f>IFERROR(__xludf.DUMMYFUNCTION("""COMPUTED_VALUE"""),"MRNBR0043")</f>
        <v>MRNBR0043</v>
      </c>
      <c r="C224" s="3" t="str">
        <f>IFERROR(__xludf.DUMMYFUNCTION("""COMPUTED_VALUE"""),"EJO")</f>
        <v>EJO</v>
      </c>
      <c r="D224" s="3" t="str">
        <f>IFERROR(__xludf.DUMMYFUNCTION("""COMPUTED_VALUE"""),"EJO/2025/03/153")</f>
        <v>EJO/2025/03/153</v>
      </c>
      <c r="E224" s="3" t="str">
        <f>IFERROR(__xludf.DUMMYFUNCTION("""COMPUTED_VALUE"""),"AHU OSD")</f>
        <v>AHU OSD</v>
      </c>
      <c r="F224" s="3" t="str">
        <f>IFERROR(__xludf.DUMMYFUNCTION("""COMPUTED_VALUE"""),"Prefilter M-MNF")</f>
        <v>Prefilter M-MNF</v>
      </c>
      <c r="G224" s="3" t="str">
        <f>IFERROR(__xludf.DUMMYFUNCTION("""COMPUTED_VALUE"""),"493x493x46")</f>
        <v>493x493x46</v>
      </c>
      <c r="H224" s="3" t="str">
        <f>IFERROR(__xludf.DUMMYFUNCTION("""COMPUTED_VALUE"""),"Mayair")</f>
        <v>Mayair</v>
      </c>
      <c r="I224" s="3">
        <f>IFERROR(__xludf.DUMMYFUNCTION("""COMPUTED_VALUE"""),6.0)</f>
        <v>6</v>
      </c>
      <c r="J224" s="3" t="str">
        <f>IFERROR(__xludf.DUMMYFUNCTION("""COMPUTED_VALUE"""),"pcs")</f>
        <v>pcs</v>
      </c>
      <c r="K224" s="5" t="str">
        <f>IFERROR(__xludf.DUMMYFUNCTION("""COMPUTED_VALUE"""),"https://mayair.com.my/product/primary-filter-m-mnf/")</f>
        <v>https://mayair.com.my/product/primary-filter-m-mnf/</v>
      </c>
      <c r="L224" s="3" t="str">
        <f>IFERROR(__xludf.DUMMYFUNCTION("""COMPUTED_VALUE"""),"untuk AHU OSD E1-2")</f>
        <v>untuk AHU OSD E1-2</v>
      </c>
      <c r="M224" s="3" t="str">
        <f>IFERROR(__xludf.DUMMYFUNCTION("""COMPUTED_VALUE"""),"Approve")</f>
        <v>Approve</v>
      </c>
      <c r="N224" s="3" t="str">
        <f>IFERROR(__xludf.DUMMYFUNCTION("""COMPUTED_VALUE"""),"Normal")</f>
        <v>Normal</v>
      </c>
      <c r="O224" s="3" t="str">
        <f>IFERROR(__xludf.DUMMYFUNCTION("""COMPUTED_VALUE"""),"Non Urgent")</f>
        <v>Non Urgent</v>
      </c>
      <c r="P224" s="7">
        <f>IFERROR(__xludf.DUMMYFUNCTION("""COMPUTED_VALUE"""),45887.463497777775)</f>
        <v>45887.4635</v>
      </c>
    </row>
    <row r="225">
      <c r="A225" s="4">
        <f>IFERROR(__xludf.DUMMYFUNCTION("""COMPUTED_VALUE"""),45884.99798289352)</f>
        <v>45884.99798</v>
      </c>
      <c r="B225" s="3" t="str">
        <f>IFERROR(__xludf.DUMMYFUNCTION("""COMPUTED_VALUE"""),"MRNBR0044")</f>
        <v>MRNBR0044</v>
      </c>
      <c r="C225" s="3" t="str">
        <f>IFERROR(__xludf.DUMMYFUNCTION("""COMPUTED_VALUE"""),"EJO")</f>
        <v>EJO</v>
      </c>
      <c r="D225" s="3" t="str">
        <f>IFERROR(__xludf.DUMMYFUNCTION("""COMPUTED_VALUE"""),"EJO/2025/03/153")</f>
        <v>EJO/2025/03/153</v>
      </c>
      <c r="E225" s="3" t="str">
        <f>IFERROR(__xludf.DUMMYFUNCTION("""COMPUTED_VALUE"""),"AHU OSD")</f>
        <v>AHU OSD</v>
      </c>
      <c r="F225" s="3" t="str">
        <f>IFERROR(__xludf.DUMMYFUNCTION("""COMPUTED_VALUE"""),"Prefilter M-MNF")</f>
        <v>Prefilter M-MNF</v>
      </c>
      <c r="G225" s="3" t="str">
        <f>IFERROR(__xludf.DUMMYFUNCTION("""COMPUTED_VALUE"""),"493x595x46")</f>
        <v>493x595x46</v>
      </c>
      <c r="H225" s="3" t="str">
        <f>IFERROR(__xludf.DUMMYFUNCTION("""COMPUTED_VALUE"""),"Mayair")</f>
        <v>Mayair</v>
      </c>
      <c r="I225" s="3">
        <f>IFERROR(__xludf.DUMMYFUNCTION("""COMPUTED_VALUE"""),6.0)</f>
        <v>6</v>
      </c>
      <c r="J225" s="3" t="str">
        <f>IFERROR(__xludf.DUMMYFUNCTION("""COMPUTED_VALUE"""),"pcs")</f>
        <v>pcs</v>
      </c>
      <c r="K225" s="5" t="str">
        <f>IFERROR(__xludf.DUMMYFUNCTION("""COMPUTED_VALUE"""),"https://mayair.com.my/product/primary-filter-m-mnf/")</f>
        <v>https://mayair.com.my/product/primary-filter-m-mnf/</v>
      </c>
      <c r="L225" s="3" t="str">
        <f>IFERROR(__xludf.DUMMYFUNCTION("""COMPUTED_VALUE"""),"untuk AHU OSD E1-2")</f>
        <v>untuk AHU OSD E1-2</v>
      </c>
      <c r="M225" s="3" t="str">
        <f>IFERROR(__xludf.DUMMYFUNCTION("""COMPUTED_VALUE"""),"Approve")</f>
        <v>Approve</v>
      </c>
      <c r="N225" s="3" t="str">
        <f>IFERROR(__xludf.DUMMYFUNCTION("""COMPUTED_VALUE"""),"Normal")</f>
        <v>Normal</v>
      </c>
      <c r="O225" s="3" t="str">
        <f>IFERROR(__xludf.DUMMYFUNCTION("""COMPUTED_VALUE"""),"Non Urgent")</f>
        <v>Non Urgent</v>
      </c>
      <c r="P225" s="7">
        <f>IFERROR(__xludf.DUMMYFUNCTION("""COMPUTED_VALUE"""),45887.463701712964)</f>
        <v>45887.4637</v>
      </c>
    </row>
    <row r="226">
      <c r="A226" s="4">
        <f>IFERROR(__xludf.DUMMYFUNCTION("""COMPUTED_VALUE"""),45884.99798289352)</f>
        <v>45884.99798</v>
      </c>
      <c r="B226" s="3" t="str">
        <f>IFERROR(__xludf.DUMMYFUNCTION("""COMPUTED_VALUE"""),"MRNBR0045")</f>
        <v>MRNBR0045</v>
      </c>
      <c r="C226" s="3" t="str">
        <f>IFERROR(__xludf.DUMMYFUNCTION("""COMPUTED_VALUE"""),"EJO")</f>
        <v>EJO</v>
      </c>
      <c r="D226" s="3" t="str">
        <f>IFERROR(__xludf.DUMMYFUNCTION("""COMPUTED_VALUE"""),"EJO/2025/03/153")</f>
        <v>EJO/2025/03/153</v>
      </c>
      <c r="E226" s="3" t="str">
        <f>IFERROR(__xludf.DUMMYFUNCTION("""COMPUTED_VALUE"""),"AHU OSD")</f>
        <v>AHU OSD</v>
      </c>
      <c r="F226" s="3" t="str">
        <f>IFERROR(__xludf.DUMMYFUNCTION("""COMPUTED_VALUE"""),"Prefilter M-MNF")</f>
        <v>Prefilter M-MNF</v>
      </c>
      <c r="G226" s="3" t="str">
        <f>IFERROR(__xludf.DUMMYFUNCTION("""COMPUTED_VALUE"""),"290x493x46")</f>
        <v>290x493x46</v>
      </c>
      <c r="H226" s="3" t="str">
        <f>IFERROR(__xludf.DUMMYFUNCTION("""COMPUTED_VALUE"""),"Mayair")</f>
        <v>Mayair</v>
      </c>
      <c r="I226" s="3">
        <f>IFERROR(__xludf.DUMMYFUNCTION("""COMPUTED_VALUE"""),6.0)</f>
        <v>6</v>
      </c>
      <c r="J226" s="3" t="str">
        <f>IFERROR(__xludf.DUMMYFUNCTION("""COMPUTED_VALUE"""),"pcs")</f>
        <v>pcs</v>
      </c>
      <c r="K226" s="5" t="str">
        <f>IFERROR(__xludf.DUMMYFUNCTION("""COMPUTED_VALUE"""),"https://mayair.com.my/product/primary-filter-m-mnf/")</f>
        <v>https://mayair.com.my/product/primary-filter-m-mnf/</v>
      </c>
      <c r="L226" s="3" t="str">
        <f>IFERROR(__xludf.DUMMYFUNCTION("""COMPUTED_VALUE"""),"untuk AHU OSD CNC1-1")</f>
        <v>untuk AHU OSD CNC1-1</v>
      </c>
      <c r="M226" s="3" t="str">
        <f>IFERROR(__xludf.DUMMYFUNCTION("""COMPUTED_VALUE"""),"Approve")</f>
        <v>Approve</v>
      </c>
      <c r="N226" s="3" t="str">
        <f>IFERROR(__xludf.DUMMYFUNCTION("""COMPUTED_VALUE"""),"Normal")</f>
        <v>Normal</v>
      </c>
      <c r="O226" s="3" t="str">
        <f>IFERROR(__xludf.DUMMYFUNCTION("""COMPUTED_VALUE"""),"Non Urgent")</f>
        <v>Non Urgent</v>
      </c>
      <c r="P226" s="7">
        <f>IFERROR(__xludf.DUMMYFUNCTION("""COMPUTED_VALUE"""),46204.94700630787)</f>
        <v>46204.94701</v>
      </c>
    </row>
    <row r="227">
      <c r="A227" s="4">
        <f>IFERROR(__xludf.DUMMYFUNCTION("""COMPUTED_VALUE"""),45884.99798289352)</f>
        <v>45884.99798</v>
      </c>
      <c r="B227" s="3" t="str">
        <f>IFERROR(__xludf.DUMMYFUNCTION("""COMPUTED_VALUE"""),"MRNBR0046")</f>
        <v>MRNBR0046</v>
      </c>
      <c r="C227" s="3" t="str">
        <f>IFERROR(__xludf.DUMMYFUNCTION("""COMPUTED_VALUE"""),"EJO")</f>
        <v>EJO</v>
      </c>
      <c r="D227" s="3" t="str">
        <f>IFERROR(__xludf.DUMMYFUNCTION("""COMPUTED_VALUE"""),"EJO/2025/03/153")</f>
        <v>EJO/2025/03/153</v>
      </c>
      <c r="E227" s="3" t="str">
        <f>IFERROR(__xludf.DUMMYFUNCTION("""COMPUTED_VALUE"""),"AHU OSD")</f>
        <v>AHU OSD</v>
      </c>
      <c r="F227" s="3" t="str">
        <f>IFERROR(__xludf.DUMMYFUNCTION("""COMPUTED_VALUE"""),"Prefilter M-MNF")</f>
        <v>Prefilter M-MNF</v>
      </c>
      <c r="G227" s="3" t="str">
        <f>IFERROR(__xludf.DUMMYFUNCTION("""COMPUTED_VALUE"""),"493x595x46")</f>
        <v>493x595x46</v>
      </c>
      <c r="H227" s="3" t="str">
        <f>IFERROR(__xludf.DUMMYFUNCTION("""COMPUTED_VALUE"""),"Mayair")</f>
        <v>Mayair</v>
      </c>
      <c r="I227" s="3">
        <f>IFERROR(__xludf.DUMMYFUNCTION("""COMPUTED_VALUE"""),6.0)</f>
        <v>6</v>
      </c>
      <c r="J227" s="3" t="str">
        <f>IFERROR(__xludf.DUMMYFUNCTION("""COMPUTED_VALUE"""),"pcs")</f>
        <v>pcs</v>
      </c>
      <c r="K227" s="5" t="str">
        <f>IFERROR(__xludf.DUMMYFUNCTION("""COMPUTED_VALUE"""),"https://mayair.com.my/product/primary-filter-m-mnf/")</f>
        <v>https://mayair.com.my/product/primary-filter-m-mnf/</v>
      </c>
      <c r="L227" s="3" t="str">
        <f>IFERROR(__xludf.DUMMYFUNCTION("""COMPUTED_VALUE"""),"untuk AHU OSD CNC1-1")</f>
        <v>untuk AHU OSD CNC1-1</v>
      </c>
      <c r="M227" s="3" t="str">
        <f>IFERROR(__xludf.DUMMYFUNCTION("""COMPUTED_VALUE"""),"Approve")</f>
        <v>Approve</v>
      </c>
      <c r="N227" s="3" t="str">
        <f>IFERROR(__xludf.DUMMYFUNCTION("""COMPUTED_VALUE"""),"Normal")</f>
        <v>Normal</v>
      </c>
      <c r="O227" s="3" t="str">
        <f>IFERROR(__xludf.DUMMYFUNCTION("""COMPUTED_VALUE"""),"Non Urgent")</f>
        <v>Non Urgent</v>
      </c>
      <c r="P227" s="7">
        <f>IFERROR(__xludf.DUMMYFUNCTION("""COMPUTED_VALUE"""),45887.464236631946)</f>
        <v>45887.46424</v>
      </c>
    </row>
    <row r="228">
      <c r="A228" s="4">
        <f>IFERROR(__xludf.DUMMYFUNCTION("""COMPUTED_VALUE"""),45885.28570204861)</f>
        <v>45885.2857</v>
      </c>
      <c r="B228" s="3" t="str">
        <f>IFERROR(__xludf.DUMMYFUNCTION("""COMPUTED_VALUE"""),"ROSBR0033")</f>
        <v>ROSBR0033</v>
      </c>
      <c r="C228" s="3" t="str">
        <f>IFERROR(__xludf.DUMMYFUNCTION("""COMPUTED_VALUE"""),"EJO")</f>
        <v>EJO</v>
      </c>
      <c r="D228" s="3" t="str">
        <f>IFERROR(__xludf.DUMMYFUNCTION("""COMPUTED_VALUE"""),"EJO/2025/07/164
EJO/2025/07/64")</f>
        <v>EJO/2025/07/164
EJO/2025/07/64</v>
      </c>
      <c r="E228" s="3" t="str">
        <f>IFERROR(__xludf.DUMMYFUNCTION("""COMPUTED_VALUE"""),"Filling")</f>
        <v>Filling</v>
      </c>
      <c r="F228" s="3" t="str">
        <f>IFERROR(__xludf.DUMMYFUNCTION("""COMPUTED_VALUE"""),"Handle Manual Valve Model Hexagon")</f>
        <v>Handle Manual Valve Model Hexagon</v>
      </c>
      <c r="G228" s="3" t="str">
        <f>IFERROR(__xludf.DUMMYFUNCTION("""COMPUTED_VALUE"""),"Handle Manual Valve Model Hexagon Uk Ø60 x 27
Specifikasi :
Machining As Mat'l SUS 304
Proses Bubut
Profil Wire Cutt Gear/hexagon
Finishing")</f>
        <v>Handle Manual Valve Model Hexagon Uk Ø60 x 27
Specifikasi :
Machining As Mat'l SUS 304
Proses Bubut
Profil Wire Cutt Gear/hexagon
Finishing</v>
      </c>
      <c r="H228" s="3" t="str">
        <f>IFERROR(__xludf.DUMMYFUNCTION("""COMPUTED_VALUE"""),"Lokal ")</f>
        <v>Lokal </v>
      </c>
      <c r="I228" s="3">
        <f>IFERROR(__xludf.DUMMYFUNCTION("""COMPUTED_VALUE"""),3.0)</f>
        <v>3</v>
      </c>
      <c r="J228" s="3" t="str">
        <f>IFERROR(__xludf.DUMMYFUNCTION("""COMPUTED_VALUE"""),"unit")</f>
        <v>unit</v>
      </c>
      <c r="K228" s="5" t="str">
        <f>IFERROR(__xludf.DUMMYFUNCTION("""COMPUTED_VALUE"""),"https://drive.google.com/file/d/1dW-1SnqQJWlXxzlM-twf9s_ijZTf0fyF/view?usp=drive_link")</f>
        <v>https://drive.google.com/file/d/1dW-1SnqQJWlXxzlM-twf9s_ijZTf0fyF/view?usp=drive_link</v>
      </c>
      <c r="L228" s="3" t="str">
        <f>IFERROR(__xludf.DUMMYFUNCTION("""COMPUTED_VALUE"""),"https://drive.google.com/file/d/1gDWiYeVgEuCSSTJux9GWeBxK1nGptHA-/view?usp=drive_link
2pcs untuk penggantian 
1pcs untuk spare ")</f>
        <v>https://drive.google.com/file/d/1gDWiYeVgEuCSSTJux9GWeBxK1nGptHA-/view?usp=drive_link
2pcs untuk penggantian 
1pcs untuk spare </v>
      </c>
      <c r="M228" s="3" t="str">
        <f>IFERROR(__xludf.DUMMYFUNCTION("""COMPUTED_VALUE"""),"Approve")</f>
        <v>Approve</v>
      </c>
      <c r="N228" s="3" t="str">
        <f>IFERROR(__xludf.DUMMYFUNCTION("""COMPUTED_VALUE"""),"Normal")</f>
        <v>Normal</v>
      </c>
      <c r="O228" s="3" t="str">
        <f>IFERROR(__xludf.DUMMYFUNCTION("""COMPUTED_VALUE"""),"Non Urgent")</f>
        <v>Non Urgent</v>
      </c>
      <c r="P228" s="7">
        <f>IFERROR(__xludf.DUMMYFUNCTION("""COMPUTED_VALUE"""),45890.511124895835)</f>
        <v>45890.51112</v>
      </c>
    </row>
    <row r="229">
      <c r="A229" s="4">
        <f>IFERROR(__xludf.DUMMYFUNCTION("""COMPUTED_VALUE"""),45887.75498704861)</f>
        <v>45887.75499</v>
      </c>
      <c r="B229" s="3" t="str">
        <f>IFERROR(__xludf.DUMMYFUNCTION("""COMPUTED_VALUE"""),"NDSBR0019")</f>
        <v>NDSBR0019</v>
      </c>
      <c r="C229" s="3" t="str">
        <f>IFERROR(__xludf.DUMMYFUNCTION("""COMPUTED_VALUE"""),"EJO")</f>
        <v>EJO</v>
      </c>
      <c r="D229" s="3" t="str">
        <f>IFERROR(__xludf.DUMMYFUNCTION("""COMPUTED_VALUE"""),"EJO/2025/08/64")</f>
        <v>EJO/2025/08/64</v>
      </c>
      <c r="E229" s="3" t="str">
        <f>IFERROR(__xludf.DUMMYFUNCTION("""COMPUTED_VALUE"""),"Heating Plate")</f>
        <v>Heating Plate</v>
      </c>
      <c r="F229" s="3" t="str">
        <f>IFERROR(__xludf.DUMMYFUNCTION("""COMPUTED_VALUE"""),"Kabel Power")</f>
        <v>Kabel Power</v>
      </c>
      <c r="G229" s="3" t="str">
        <f>IFERROR(__xludf.DUMMYFUNCTION("""COMPUTED_VALUE"""),"-")</f>
        <v>-</v>
      </c>
      <c r="H229" s="3" t="str">
        <f>IFERROR(__xludf.DUMMYFUNCTION("""COMPUTED_VALUE"""),"-")</f>
        <v>-</v>
      </c>
      <c r="I229" s="3">
        <f>IFERROR(__xludf.DUMMYFUNCTION("""COMPUTED_VALUE"""),1.0)</f>
        <v>1</v>
      </c>
      <c r="J229" s="3" t="str">
        <f>IFERROR(__xludf.DUMMYFUNCTION("""COMPUTED_VALUE"""),"PCS")</f>
        <v>PCS</v>
      </c>
      <c r="K229" s="5" t="str">
        <f>IFERROR(__xludf.DUMMYFUNCTION("""COMPUTED_VALUE"""),"https://jadistore.com/product/kabel-power-cable-power-kabel-power-cpu-kabel-komputer-kabel-pc/")</f>
        <v>https://jadistore.com/product/kabel-power-cable-power-kabel-power-cpu-kabel-komputer-kabel-pc/</v>
      </c>
      <c r="L229" s="3" t="str">
        <f>IFERROR(__xludf.DUMMYFUNCTION("""COMPUTED_VALUE"""),"-")</f>
        <v>-</v>
      </c>
      <c r="M229" s="3" t="str">
        <f>IFERROR(__xludf.DUMMYFUNCTION("""COMPUTED_VALUE"""),"Approve")</f>
        <v>Approve</v>
      </c>
      <c r="N229" s="3" t="str">
        <f>IFERROR(__xludf.DUMMYFUNCTION("""COMPUTED_VALUE"""),"Normal")</f>
        <v>Normal</v>
      </c>
      <c r="O229" s="3" t="str">
        <f>IFERROR(__xludf.DUMMYFUNCTION("""COMPUTED_VALUE"""),"Non Urgent")</f>
        <v>Non Urgent</v>
      </c>
      <c r="P229" s="7">
        <f>IFERROR(__xludf.DUMMYFUNCTION("""COMPUTED_VALUE"""),45895.12778446759)</f>
        <v>45895.12778</v>
      </c>
    </row>
    <row r="230">
      <c r="A230" s="4">
        <f>IFERROR(__xludf.DUMMYFUNCTION("""COMPUTED_VALUE"""),45888.95884670139)</f>
        <v>45888.95885</v>
      </c>
      <c r="B230" s="3" t="str">
        <f>IFERROR(__xludf.DUMMYFUNCTION("""COMPUTED_VALUE"""),"SFHBR0029")</f>
        <v>SFHBR0029</v>
      </c>
      <c r="C230" s="3" t="str">
        <f>IFERROR(__xludf.DUMMYFUNCTION("""COMPUTED_VALUE"""),"EJO")</f>
        <v>EJO</v>
      </c>
      <c r="D230" s="3" t="str">
        <f>IFERROR(__xludf.DUMMYFUNCTION("""COMPUTED_VALUE"""),"EJO/2025/08/80")</f>
        <v>EJO/2025/08/80</v>
      </c>
      <c r="E230" s="3" t="str">
        <f>IFERROR(__xludf.DUMMYFUNCTION("""COMPUTED_VALUE"""),"lantai 1")</f>
        <v>lantai 1</v>
      </c>
      <c r="F230" s="3" t="str">
        <f>IFERROR(__xludf.DUMMYFUNCTION("""COMPUTED_VALUE"""),"kaca film 3M")</f>
        <v>kaca film 3M</v>
      </c>
      <c r="G230" s="3" t="str">
        <f>IFERROR(__xludf.DUMMYFUNCTION("""COMPUTED_VALUE"""),"kaca film window film 3m black crome kegelapan 60% anti UV 99%")</f>
        <v>kaca film window film 3m black crome kegelapan 60% anti UV 99%</v>
      </c>
      <c r="H230" s="3" t="str">
        <f>IFERROR(__xludf.DUMMYFUNCTION("""COMPUTED_VALUE"""),"3M")</f>
        <v>3M</v>
      </c>
      <c r="I230" s="3">
        <f>IFERROR(__xludf.DUMMYFUNCTION("""COMPUTED_VALUE"""),1.0)</f>
        <v>1</v>
      </c>
      <c r="J230" s="3" t="str">
        <f>IFERROR(__xludf.DUMMYFUNCTION("""COMPUTED_VALUE"""),"Roll")</f>
        <v>Roll</v>
      </c>
      <c r="K230" s="5" t="str">
        <f>IFERROR(__xludf.DUMMYFUNCTION("""COMPUTED_VALUE"""),"https://tk.tokopedia.com/ZSAFBavJD/")</f>
        <v>https://tk.tokopedia.com/ZSAFBavJD/</v>
      </c>
      <c r="L230" s="3" t="str">
        <f>IFERROR(__xludf.DUMMYFUNCTION("""COMPUTED_VALUE"""),"-")</f>
        <v>-</v>
      </c>
      <c r="M230" s="3" t="str">
        <f>IFERROR(__xludf.DUMMYFUNCTION("""COMPUTED_VALUE"""),"Approve")</f>
        <v>Approve</v>
      </c>
      <c r="N230" s="3" t="str">
        <f>IFERROR(__xludf.DUMMYFUNCTION("""COMPUTED_VALUE"""),"Normal")</f>
        <v>Normal</v>
      </c>
      <c r="O230" s="3" t="str">
        <f>IFERROR(__xludf.DUMMYFUNCTION("""COMPUTED_VALUE"""),"Non Urgent")</f>
        <v>Non Urgent</v>
      </c>
      <c r="P230" s="7">
        <f>IFERROR(__xludf.DUMMYFUNCTION("""COMPUTED_VALUE"""),45890.96210405092)</f>
        <v>45890.9621</v>
      </c>
    </row>
    <row r="231">
      <c r="A231" s="4">
        <f>IFERROR(__xludf.DUMMYFUNCTION("""COMPUTED_VALUE"""),45889.52683224537)</f>
        <v>45889.52683</v>
      </c>
      <c r="B231" s="3" t="str">
        <f>IFERROR(__xludf.DUMMYFUNCTION("""COMPUTED_VALUE"""),"RIABR0050")</f>
        <v>RIABR0050</v>
      </c>
      <c r="C231" s="3" t="str">
        <f>IFERROR(__xludf.DUMMYFUNCTION("""COMPUTED_VALUE"""),"EJO")</f>
        <v>EJO</v>
      </c>
      <c r="D231" s="3" t="str">
        <f>IFERROR(__xludf.DUMMYFUNCTION("""COMPUTED_VALUE"""),"EJO/2025/05/152")</f>
        <v>EJO/2025/05/152</v>
      </c>
      <c r="E231" s="3" t="str">
        <f>IFERROR(__xludf.DUMMYFUNCTION("""COMPUTED_VALUE"""),"Soften Water")</f>
        <v>Soften Water</v>
      </c>
      <c r="F231" s="3" t="str">
        <f>IFERROR(__xludf.DUMMYFUNCTION("""COMPUTED_VALUE"""),"T Reducer pvc")</f>
        <v>T Reducer pvc</v>
      </c>
      <c r="G231" s="3" t="str">
        <f>IFERROR(__xludf.DUMMYFUNCTION("""COMPUTED_VALUE"""),"T Reducer 2""' x 3/4''")</f>
        <v>T Reducer 2"' x 3/4''</v>
      </c>
      <c r="H231" s="3" t="str">
        <f>IFERROR(__xludf.DUMMYFUNCTION("""COMPUTED_VALUE"""),"Rucika")</f>
        <v>Rucika</v>
      </c>
      <c r="I231" s="3">
        <f>IFERROR(__xludf.DUMMYFUNCTION("""COMPUTED_VALUE"""),1.0)</f>
        <v>1</v>
      </c>
      <c r="J231" s="3" t="str">
        <f>IFERROR(__xludf.DUMMYFUNCTION("""COMPUTED_VALUE"""),"Pcs")</f>
        <v>Pcs</v>
      </c>
      <c r="K231" s="5" t="str">
        <f>IFERROR(__xludf.DUMMYFUNCTION("""COMPUTED_VALUE"""),"https://www.tokopedia.com/suryamajumakmur/rucika-reducer-tee-2-x-1-1-2-inch-2-x-1-1-4-aw-2-x-1-inch-ts-2-x-3-4-inch-2-x-1-2-dim-vtee-reduser-tee-t-tebal-sekali-2-x-3-4-inch-96d6a?t_id=1747715906676&amp;t_st=2&amp;t_pp=cart&amp;t_efo=cart&amp;t_ef=&amp;t_sm=&amp;t_spt=cart")</f>
        <v>https://www.tokopedia.com/suryamajumakmur/rucika-reducer-tee-2-x-1-1-2-inch-2-x-1-1-4-aw-2-x-1-inch-ts-2-x-3-4-inch-2-x-1-2-dim-vtee-reduser-tee-t-tebal-sekali-2-x-3-4-inch-96d6a?t_id=1747715906676&amp;t_st=2&amp;t_pp=cart&amp;t_efo=cart&amp;t_ef=&amp;t_sm=&amp;t_spt=cart</v>
      </c>
      <c r="L231" s="3" t="str">
        <f>IFERROR(__xludf.DUMMYFUNCTION("""COMPUTED_VALUE"""),"Untuk Pasang PG")</f>
        <v>Untuk Pasang PG</v>
      </c>
      <c r="M231" s="3" t="str">
        <f>IFERROR(__xludf.DUMMYFUNCTION("""COMPUTED_VALUE"""),"Approve")</f>
        <v>Approve</v>
      </c>
      <c r="N231" s="3" t="str">
        <f>IFERROR(__xludf.DUMMYFUNCTION("""COMPUTED_VALUE"""),"Normal")</f>
        <v>Normal</v>
      </c>
      <c r="O231" s="3" t="str">
        <f>IFERROR(__xludf.DUMMYFUNCTION("""COMPUTED_VALUE"""),"Non Urgent")</f>
        <v>Non Urgent</v>
      </c>
      <c r="P231" s="7">
        <f>IFERROR(__xludf.DUMMYFUNCTION("""COMPUTED_VALUE"""),45890.96072604167)</f>
        <v>45890.96073</v>
      </c>
    </row>
    <row r="232">
      <c r="A232" s="4">
        <f>IFERROR(__xludf.DUMMYFUNCTION("""COMPUTED_VALUE"""),45889.52683224537)</f>
        <v>45889.52683</v>
      </c>
      <c r="B232" s="3" t="str">
        <f>IFERROR(__xludf.DUMMYFUNCTION("""COMPUTED_VALUE"""),"RIABR0051")</f>
        <v>RIABR0051</v>
      </c>
      <c r="C232" s="3" t="str">
        <f>IFERROR(__xludf.DUMMYFUNCTION("""COMPUTED_VALUE"""),"EJO")</f>
        <v>EJO</v>
      </c>
      <c r="D232" s="3" t="str">
        <f>IFERROR(__xludf.DUMMYFUNCTION("""COMPUTED_VALUE"""),"EJO/2025/05/152")</f>
        <v>EJO/2025/05/152</v>
      </c>
      <c r="E232" s="3" t="str">
        <f>IFERROR(__xludf.DUMMYFUNCTION("""COMPUTED_VALUE"""),"Soften Water")</f>
        <v>Soften Water</v>
      </c>
      <c r="F232" s="3" t="str">
        <f>IFERROR(__xludf.DUMMYFUNCTION("""COMPUTED_VALUE"""),"Shock Drat Luar PVC")</f>
        <v>Shock Drat Luar PVC</v>
      </c>
      <c r="G232" s="3" t="str">
        <f>IFERROR(__xludf.DUMMYFUNCTION("""COMPUTED_VALUE"""),"Shock Drat Luar 3/4"" x 1/2""")</f>
        <v>Shock Drat Luar 3/4" x 1/2"</v>
      </c>
      <c r="H232" s="3" t="str">
        <f>IFERROR(__xludf.DUMMYFUNCTION("""COMPUTED_VALUE"""),"Rucika")</f>
        <v>Rucika</v>
      </c>
      <c r="I232" s="3">
        <f>IFERROR(__xludf.DUMMYFUNCTION("""COMPUTED_VALUE"""),2.0)</f>
        <v>2</v>
      </c>
      <c r="J232" s="3" t="str">
        <f>IFERROR(__xludf.DUMMYFUNCTION("""COMPUTED_VALUE"""),"Pcs")</f>
        <v>Pcs</v>
      </c>
      <c r="K232" s="5" t="str">
        <f>IFERROR(__xludf.DUMMYFUNCTION("""COMPUTED_VALUE"""),"https://www.tokopedia.com/setiajayabangunan/socket-sock-sok-drat-luar-rucika-pvc-1-2-3-4-1-inch-1730856356958996223")</f>
        <v>https://www.tokopedia.com/setiajayabangunan/socket-sock-sok-drat-luar-rucika-pvc-1-2-3-4-1-inch-1730856356958996223</v>
      </c>
      <c r="L232" s="3" t="str">
        <f>IFERROR(__xludf.DUMMYFUNCTION("""COMPUTED_VALUE"""),"Untuk Pasang PG")</f>
        <v>Untuk Pasang PG</v>
      </c>
      <c r="M232" s="3" t="str">
        <f>IFERROR(__xludf.DUMMYFUNCTION("""COMPUTED_VALUE"""),"Approve")</f>
        <v>Approve</v>
      </c>
      <c r="N232" s="3" t="str">
        <f>IFERROR(__xludf.DUMMYFUNCTION("""COMPUTED_VALUE"""),"Normal")</f>
        <v>Normal</v>
      </c>
      <c r="O232" s="3" t="str">
        <f>IFERROR(__xludf.DUMMYFUNCTION("""COMPUTED_VALUE"""),"Non Urgent")</f>
        <v>Non Urgent</v>
      </c>
      <c r="P232" s="7">
        <f>IFERROR(__xludf.DUMMYFUNCTION("""COMPUTED_VALUE"""),45890.96088561343)</f>
        <v>45890.96089</v>
      </c>
    </row>
    <row r="233">
      <c r="A233" s="4">
        <f>IFERROR(__xludf.DUMMYFUNCTION("""COMPUTED_VALUE"""),45889.52683224537)</f>
        <v>45889.52683</v>
      </c>
      <c r="B233" s="3" t="str">
        <f>IFERROR(__xludf.DUMMYFUNCTION("""COMPUTED_VALUE"""),"RIABR0052")</f>
        <v>RIABR0052</v>
      </c>
      <c r="C233" s="3" t="str">
        <f>IFERROR(__xludf.DUMMYFUNCTION("""COMPUTED_VALUE"""),"EJO")</f>
        <v>EJO</v>
      </c>
      <c r="D233" s="3" t="str">
        <f>IFERROR(__xludf.DUMMYFUNCTION("""COMPUTED_VALUE"""),"EJO/2025/05/152")</f>
        <v>EJO/2025/05/152</v>
      </c>
      <c r="E233" s="3" t="str">
        <f>IFERROR(__xludf.DUMMYFUNCTION("""COMPUTED_VALUE"""),"Soften Water")</f>
        <v>Soften Water</v>
      </c>
      <c r="F233" s="3" t="str">
        <f>IFERROR(__xludf.DUMMYFUNCTION("""COMPUTED_VALUE"""),"Ball Valve")</f>
        <v>Ball Valve</v>
      </c>
      <c r="G233" s="3" t="str">
        <f>IFERROR(__xludf.DUMMYFUNCTION("""COMPUTED_VALUE"""),"Ball Valve 1/2""")</f>
        <v>Ball Valve 1/2"</v>
      </c>
      <c r="H233" s="3" t="str">
        <f>IFERROR(__xludf.DUMMYFUNCTION("""COMPUTED_VALUE"""),"Kitz")</f>
        <v>Kitz</v>
      </c>
      <c r="I233" s="3">
        <f>IFERROR(__xludf.DUMMYFUNCTION("""COMPUTED_VALUE"""),2.0)</f>
        <v>2</v>
      </c>
      <c r="J233" s="3" t="str">
        <f>IFERROR(__xludf.DUMMYFUNCTION("""COMPUTED_VALUE"""),"Pcs")</f>
        <v>Pcs</v>
      </c>
      <c r="K233" s="5" t="str">
        <f>IFERROR(__xludf.DUMMYFUNCTION("""COMPUTED_VALUE"""),"https://www.tokopedia.com/kitzvalve/kitz-brass-ball-valve-fig-400-t-1-2-15a-15mm-drat-screw-1730871264804767182?t_id=1747715906676&amp;t_st=3&amp;t_pp=cart&amp;t_efo=cart&amp;t_ef=&amp;t_sm=&amp;t_spt=cart")</f>
        <v>https://www.tokopedia.com/kitzvalve/kitz-brass-ball-valve-fig-400-t-1-2-15a-15mm-drat-screw-1730871264804767182?t_id=1747715906676&amp;t_st=3&amp;t_pp=cart&amp;t_efo=cart&amp;t_ef=&amp;t_sm=&amp;t_spt=cart</v>
      </c>
      <c r="L233" s="3" t="str">
        <f>IFERROR(__xludf.DUMMYFUNCTION("""COMPUTED_VALUE"""),"Untuk Pasang PG")</f>
        <v>Untuk Pasang PG</v>
      </c>
      <c r="M233" s="3" t="str">
        <f>IFERROR(__xludf.DUMMYFUNCTION("""COMPUTED_VALUE"""),"Approve")</f>
        <v>Approve</v>
      </c>
      <c r="N233" s="3" t="str">
        <f>IFERROR(__xludf.DUMMYFUNCTION("""COMPUTED_VALUE"""),"Normal")</f>
        <v>Normal</v>
      </c>
      <c r="O233" s="3" t="str">
        <f>IFERROR(__xludf.DUMMYFUNCTION("""COMPUTED_VALUE"""),"Non Urgent")</f>
        <v>Non Urgent</v>
      </c>
      <c r="P233" s="7">
        <f>IFERROR(__xludf.DUMMYFUNCTION("""COMPUTED_VALUE"""),45890.961043020834)</f>
        <v>45890.96104</v>
      </c>
    </row>
    <row r="234">
      <c r="A234" s="4">
        <f>IFERROR(__xludf.DUMMYFUNCTION("""COMPUTED_VALUE"""),45889.52683224537)</f>
        <v>45889.52683</v>
      </c>
      <c r="B234" s="3" t="str">
        <f>IFERROR(__xludf.DUMMYFUNCTION("""COMPUTED_VALUE"""),"RIABR0053")</f>
        <v>RIABR0053</v>
      </c>
      <c r="C234" s="3" t="str">
        <f>IFERROR(__xludf.DUMMYFUNCTION("""COMPUTED_VALUE"""),"EJO")</f>
        <v>EJO</v>
      </c>
      <c r="D234" s="3" t="str">
        <f>IFERROR(__xludf.DUMMYFUNCTION("""COMPUTED_VALUE"""),"EJO/2025/05/152")</f>
        <v>EJO/2025/05/152</v>
      </c>
      <c r="E234" s="3" t="str">
        <f>IFERROR(__xludf.DUMMYFUNCTION("""COMPUTED_VALUE"""),"Soften Water")</f>
        <v>Soften Water</v>
      </c>
      <c r="F234" s="3" t="str">
        <f>IFERROR(__xludf.DUMMYFUNCTION("""COMPUTED_VALUE"""),"Pressure Gauge")</f>
        <v>Pressure Gauge</v>
      </c>
      <c r="G234" s="3" t="str">
        <f>IFERROR(__xludf.DUMMYFUNCTION("""COMPUTED_VALUE"""),"PG 1/2""")</f>
        <v>PG 1/2"</v>
      </c>
      <c r="H234" s="3" t="str">
        <f>IFERROR(__xludf.DUMMYFUNCTION("""COMPUTED_VALUE"""),"Lokal")</f>
        <v>Lokal</v>
      </c>
      <c r="I234" s="3">
        <f>IFERROR(__xludf.DUMMYFUNCTION("""COMPUTED_VALUE"""),1.0)</f>
        <v>1</v>
      </c>
      <c r="J234" s="3" t="str">
        <f>IFERROR(__xludf.DUMMYFUNCTION("""COMPUTED_VALUE"""),"Pcs")</f>
        <v>Pcs</v>
      </c>
      <c r="K234" s="5" t="str">
        <f>IFERROR(__xludf.DUMMYFUNCTION("""COMPUTED_VALUE"""),"https://www.tokopedia.com/nusanjadi/pressure-gauge-full-stainless-4-0-6-bar")</f>
        <v>https://www.tokopedia.com/nusanjadi/pressure-gauge-full-stainless-4-0-6-bar</v>
      </c>
      <c r="L234" s="3" t="str">
        <f>IFERROR(__xludf.DUMMYFUNCTION("""COMPUTED_VALUE"""),"Untuk Pasang PG")</f>
        <v>Untuk Pasang PG</v>
      </c>
      <c r="M234" s="3" t="str">
        <f>IFERROR(__xludf.DUMMYFUNCTION("""COMPUTED_VALUE"""),"Approve")</f>
        <v>Approve</v>
      </c>
      <c r="N234" s="3" t="str">
        <f>IFERROR(__xludf.DUMMYFUNCTION("""COMPUTED_VALUE"""),"Normal")</f>
        <v>Normal</v>
      </c>
      <c r="O234" s="3" t="str">
        <f>IFERROR(__xludf.DUMMYFUNCTION("""COMPUTED_VALUE"""),"Non Urgent")</f>
        <v>Non Urgent</v>
      </c>
      <c r="P234" s="7">
        <f>IFERROR(__xludf.DUMMYFUNCTION("""COMPUTED_VALUE"""),45890.96125710648)</f>
        <v>45890.96126</v>
      </c>
    </row>
    <row r="235">
      <c r="A235" s="4">
        <f>IFERROR(__xludf.DUMMYFUNCTION("""COMPUTED_VALUE"""),45889.52683224537)</f>
        <v>45889.52683</v>
      </c>
      <c r="B235" s="3" t="str">
        <f>IFERROR(__xludf.DUMMYFUNCTION("""COMPUTED_VALUE"""),"RIABR0054")</f>
        <v>RIABR0054</v>
      </c>
      <c r="C235" s="3" t="str">
        <f>IFERROR(__xludf.DUMMYFUNCTION("""COMPUTED_VALUE"""),"EJO")</f>
        <v>EJO</v>
      </c>
      <c r="D235" s="3" t="str">
        <f>IFERROR(__xludf.DUMMYFUNCTION("""COMPUTED_VALUE"""),"EJO/2025/05/152")</f>
        <v>EJO/2025/05/152</v>
      </c>
      <c r="E235" s="3" t="str">
        <f>IFERROR(__xludf.DUMMYFUNCTION("""COMPUTED_VALUE"""),"Fresh Water")</f>
        <v>Fresh Water</v>
      </c>
      <c r="F235" s="3" t="str">
        <f>IFERROR(__xludf.DUMMYFUNCTION("""COMPUTED_VALUE"""),"T Reducer pvc")</f>
        <v>T Reducer pvc</v>
      </c>
      <c r="G235" s="3" t="str">
        <f>IFERROR(__xludf.DUMMYFUNCTION("""COMPUTED_VALUE"""),"T Reducer 2 1/2"" x 3/4""")</f>
        <v>T Reducer 2 1/2" x 3/4"</v>
      </c>
      <c r="H235" s="3" t="str">
        <f>IFERROR(__xludf.DUMMYFUNCTION("""COMPUTED_VALUE"""),"Rucika")</f>
        <v>Rucika</v>
      </c>
      <c r="I235" s="3">
        <f>IFERROR(__xludf.DUMMYFUNCTION("""COMPUTED_VALUE"""),1.0)</f>
        <v>1</v>
      </c>
      <c r="J235" s="3" t="str">
        <f>IFERROR(__xludf.DUMMYFUNCTION("""COMPUTED_VALUE"""),"Pcs")</f>
        <v>Pcs</v>
      </c>
      <c r="K235" s="5" t="str">
        <f>IFERROR(__xludf.DUMMYFUNCTION("""COMPUTED_VALUE"""),"https://www.tokopedia.com/totalsolusi/vlok-tee-2-1-2-x-3-4-inch-reducing-t-2-1-2-x-3-4-scg?t_id=1747715906676&amp;t_st=1&amp;t_pp=cart&amp;t_efo=cart&amp;t_ef=&amp;t_sm=&amp;t_spt=cart")</f>
        <v>https://www.tokopedia.com/totalsolusi/vlok-tee-2-1-2-x-3-4-inch-reducing-t-2-1-2-x-3-4-scg?t_id=1747715906676&amp;t_st=1&amp;t_pp=cart&amp;t_efo=cart&amp;t_ef=&amp;t_sm=&amp;t_spt=cart</v>
      </c>
      <c r="L235" s="3" t="str">
        <f>IFERROR(__xludf.DUMMYFUNCTION("""COMPUTED_VALUE"""),"Untuk Pasang PG")</f>
        <v>Untuk Pasang PG</v>
      </c>
      <c r="M235" s="3" t="str">
        <f>IFERROR(__xludf.DUMMYFUNCTION("""COMPUTED_VALUE"""),"Approve")</f>
        <v>Approve</v>
      </c>
      <c r="N235" s="3" t="str">
        <f>IFERROR(__xludf.DUMMYFUNCTION("""COMPUTED_VALUE"""),"Normal")</f>
        <v>Normal</v>
      </c>
      <c r="O235" s="3" t="str">
        <f>IFERROR(__xludf.DUMMYFUNCTION("""COMPUTED_VALUE"""),"Non Urgent")</f>
        <v>Non Urgent</v>
      </c>
      <c r="P235" s="7">
        <f>IFERROR(__xludf.DUMMYFUNCTION("""COMPUTED_VALUE"""),45890.96140555556)</f>
        <v>45890.96141</v>
      </c>
    </row>
    <row r="236">
      <c r="A236" s="4">
        <f>IFERROR(__xludf.DUMMYFUNCTION("""COMPUTED_VALUE"""),45890.58345658565)</f>
        <v>45890.58346</v>
      </c>
      <c r="B236" s="3" t="str">
        <f>IFERROR(__xludf.DUMMYFUNCTION("""COMPUTED_VALUE"""),"MRNBR0048")</f>
        <v>MRNBR0048</v>
      </c>
      <c r="C236" s="3" t="str">
        <f>IFERROR(__xludf.DUMMYFUNCTION("""COMPUTED_VALUE"""),"EJO")</f>
        <v>EJO</v>
      </c>
      <c r="D236" s="3" t="str">
        <f>IFERROR(__xludf.DUMMYFUNCTION("""COMPUTED_VALUE"""),"EJO/2025/05/102")</f>
        <v>EJO/2025/05/102</v>
      </c>
      <c r="E236" s="3" t="str">
        <f>IFERROR(__xludf.DUMMYFUNCTION("""COMPUTED_VALUE"""),"AC lantai 3")</f>
        <v>AC lantai 3</v>
      </c>
      <c r="F236" s="3" t="str">
        <f>IFERROR(__xludf.DUMMYFUNCTION("""COMPUTED_VALUE"""),"Untuk AC QC dan Server")</f>
        <v>Untuk AC QC dan Server</v>
      </c>
      <c r="G236" s="3" t="str">
        <f>IFERROR(__xludf.DUMMYFUNCTION("""COMPUTED_VALUE"""),"Freon R32")</f>
        <v>Freon R32</v>
      </c>
      <c r="H236" s="3" t="str">
        <f>IFERROR(__xludf.DUMMYFUNCTION("""COMPUTED_VALUE"""),"Dupont")</f>
        <v>Dupont</v>
      </c>
      <c r="I236" s="3">
        <f>IFERROR(__xludf.DUMMYFUNCTION("""COMPUTED_VALUE"""),2.0)</f>
        <v>2</v>
      </c>
      <c r="J236" s="3" t="str">
        <f>IFERROR(__xludf.DUMMYFUNCTION("""COMPUTED_VALUE"""),"klg")</f>
        <v>klg</v>
      </c>
      <c r="K236" s="5" t="str">
        <f>IFERROR(__xludf.DUMMYFUNCTION("""COMPUTED_VALUE"""),"https://www.tokopedia.com/grandyc/freon-r32-refrigerant?extParam=ivf%3Dfalse%26keyword%3Dfreon+r32%26search_id%3D2025082107024211B9842E0A271F1718O6%26src%3Dsearch&amp;t_id=1755758423342&amp;t_st=5&amp;t_pp=search_result&amp;t_efo=search_pure_goods_card&amp;t_ef=goods_search&amp;"&amp;"t_sm=&amp;t_spt=search_result")</f>
        <v>https://www.tokopedia.com/grandyc/freon-r32-refrigerant?extParam=ivf%3Dfalse%26keyword%3Dfreon+r32%26search_id%3D2025082107024211B9842E0A271F1718O6%26src%3Dsearch&amp;t_id=1755758423342&amp;t_st=5&amp;t_pp=search_result&amp;t_efo=search_pure_goods_card&amp;t_ef=goods_search&amp;t_sm=&amp;t_spt=search_result</v>
      </c>
      <c r="L236" s="3" t="str">
        <f>IFERROR(__xludf.DUMMYFUNCTION("""COMPUTED_VALUE"""),"Untuk PM AC")</f>
        <v>Untuk PM AC</v>
      </c>
      <c r="M236" s="3" t="str">
        <f>IFERROR(__xludf.DUMMYFUNCTION("""COMPUTED_VALUE"""),"Approve")</f>
        <v>Approve</v>
      </c>
      <c r="N236" s="3" t="str">
        <f>IFERROR(__xludf.DUMMYFUNCTION("""COMPUTED_VALUE"""),"Normal")</f>
        <v>Normal</v>
      </c>
      <c r="O236" s="3" t="str">
        <f>IFERROR(__xludf.DUMMYFUNCTION("""COMPUTED_VALUE"""),"Non Urgent")</f>
        <v>Non Urgent</v>
      </c>
      <c r="P236" s="7">
        <f>IFERROR(__xludf.DUMMYFUNCTION("""COMPUTED_VALUE"""),45890.96290462963)</f>
        <v>45890.9629</v>
      </c>
    </row>
    <row r="237">
      <c r="A237" s="4">
        <f>IFERROR(__xludf.DUMMYFUNCTION("""COMPUTED_VALUE"""),45890.58558893518)</f>
        <v>45890.58559</v>
      </c>
      <c r="B237" s="3" t="str">
        <f>IFERROR(__xludf.DUMMYFUNCTION("""COMPUTED_VALUE"""),"MRNBR0049")</f>
        <v>MRNBR0049</v>
      </c>
      <c r="C237" s="3" t="str">
        <f>IFERROR(__xludf.DUMMYFUNCTION("""COMPUTED_VALUE"""),"EJO")</f>
        <v>EJO</v>
      </c>
      <c r="D237" s="3" t="str">
        <f>IFERROR(__xludf.DUMMYFUNCTION("""COMPUTED_VALUE"""),"EJO/2025/05/102")</f>
        <v>EJO/2025/05/102</v>
      </c>
      <c r="E237" s="3" t="str">
        <f>IFERROR(__xludf.DUMMYFUNCTION("""COMPUTED_VALUE"""),"AC split")</f>
        <v>AC split</v>
      </c>
      <c r="F237" s="3" t="str">
        <f>IFERROR(__xludf.DUMMYFUNCTION("""COMPUTED_VALUE"""),"AC kurang dingin")</f>
        <v>AC kurang dingin</v>
      </c>
      <c r="G237" s="3" t="str">
        <f>IFERROR(__xludf.DUMMYFUNCTION("""COMPUTED_VALUE"""),"Adaptor Ac R32")</f>
        <v>Adaptor Ac R32</v>
      </c>
      <c r="H237" s="3" t="str">
        <f>IFERROR(__xludf.DUMMYFUNCTION("""COMPUTED_VALUE"""),"NA")</f>
        <v>NA</v>
      </c>
      <c r="I237" s="3">
        <f>IFERROR(__xludf.DUMMYFUNCTION("""COMPUTED_VALUE"""),5.0)</f>
        <v>5</v>
      </c>
      <c r="J237" s="3" t="str">
        <f>IFERROR(__xludf.DUMMYFUNCTION("""COMPUTED_VALUE"""),"pcs")</f>
        <v>pcs</v>
      </c>
      <c r="K237" s="5" t="str">
        <f>IFERROR(__xludf.DUMMYFUNCTION("""COMPUTED_VALUE"""),"https://www.tokopedia.com/anaekemak/premium-kran-charging-valve-adaptor-perubah-ac-rumah-r22-ke-r410-r32?extParam=ivf%3Dfalse%26keyword%3Dadaptor+kran+freon+r32%26search_id%3D20250821070423432ACA3A1E345E258IWI%26src%3Dsearch&amp;t_id=1755759869543&amp;t_st=1&amp;t_pp"&amp;"=search_result&amp;t_efo=search_pure_goods_card&amp;t_ef=goods_search&amp;t_sm=&amp;t_spt=search_result")</f>
        <v>https://www.tokopedia.com/anaekemak/premium-kran-charging-valve-adaptor-perubah-ac-rumah-r22-ke-r410-r32?extParam=ivf%3Dfalse%26keyword%3Dadaptor+kran+freon+r32%26search_id%3D20250821070423432ACA3A1E345E258IWI%26src%3Dsearch&amp;t_id=1755759869543&amp;t_st=1&amp;t_pp=search_result&amp;t_efo=search_pure_goods_card&amp;t_ef=goods_search&amp;t_sm=&amp;t_spt=search_result</v>
      </c>
      <c r="L237" s="3" t="str">
        <f>IFERROR(__xludf.DUMMYFUNCTION("""COMPUTED_VALUE"""),"Untuk PM AC")</f>
        <v>Untuk PM AC</v>
      </c>
      <c r="M237" s="3" t="str">
        <f>IFERROR(__xludf.DUMMYFUNCTION("""COMPUTED_VALUE"""),"Approve")</f>
        <v>Approve</v>
      </c>
      <c r="N237" s="3" t="str">
        <f>IFERROR(__xludf.DUMMYFUNCTION("""COMPUTED_VALUE"""),"Normal")</f>
        <v>Normal</v>
      </c>
      <c r="O237" s="3" t="str">
        <f>IFERROR(__xludf.DUMMYFUNCTION("""COMPUTED_VALUE"""),"Non Urgent")</f>
        <v>Non Urgent</v>
      </c>
      <c r="P237" s="7">
        <f>IFERROR(__xludf.DUMMYFUNCTION("""COMPUTED_VALUE"""),45890.963093171296)</f>
        <v>45890.96309</v>
      </c>
    </row>
    <row r="238">
      <c r="A238" s="4">
        <f>IFERROR(__xludf.DUMMYFUNCTION("""COMPUTED_VALUE"""),45890.59159186342)</f>
        <v>45890.59159</v>
      </c>
      <c r="B238" s="3" t="str">
        <f>IFERROR(__xludf.DUMMYFUNCTION("""COMPUTED_VALUE"""),"MRNBR0050")</f>
        <v>MRNBR0050</v>
      </c>
      <c r="C238" s="3" t="str">
        <f>IFERROR(__xludf.DUMMYFUNCTION("""COMPUTED_VALUE"""),"EJO")</f>
        <v>EJO</v>
      </c>
      <c r="D238" s="3" t="str">
        <f>IFERROR(__xludf.DUMMYFUNCTION("""COMPUTED_VALUE"""),"EJO/2025/01/13")</f>
        <v>EJO/2025/01/13</v>
      </c>
      <c r="E238" s="3" t="str">
        <f>IFERROR(__xludf.DUMMYFUNCTION("""COMPUTED_VALUE"""),"Lantai 2")</f>
        <v>Lantai 2</v>
      </c>
      <c r="F238" s="3" t="str">
        <f>IFERROR(__xludf.DUMMYFUNCTION("""COMPUTED_VALUE"""),"Kondensasi menetes")</f>
        <v>Kondensasi menetes</v>
      </c>
      <c r="G238" s="3" t="str">
        <f>IFERROR(__xludf.DUMMYFUNCTION("""COMPUTED_VALUE"""),"Insulation ducting tebal 20mm")</f>
        <v>Insulation ducting tebal 20mm</v>
      </c>
      <c r="H238" s="3" t="str">
        <f>IFERROR(__xludf.DUMMYFUNCTION("""COMPUTED_VALUE"""),"Proflex")</f>
        <v>Proflex</v>
      </c>
      <c r="I238" s="3">
        <f>IFERROR(__xludf.DUMMYFUNCTION("""COMPUTED_VALUE"""),5.0)</f>
        <v>5</v>
      </c>
      <c r="J238" s="3" t="str">
        <f>IFERROR(__xludf.DUMMYFUNCTION("""COMPUTED_VALUE"""),"roll")</f>
        <v>roll</v>
      </c>
      <c r="K238" s="5" t="str">
        <f>IFERROR(__xludf.DUMMYFUNCTION("""COMPUTED_VALUE"""),"https://www.tokopedia.com/dayagaskencana/proflex-sheet-insulation-insulasi-pembungkus-pipa-ac-roll-khusus-kiriman-instant-3-4-20mm-9f89b?aff_unique_id=&amp;channel=others&amp;chain_key=")</f>
        <v>https://www.tokopedia.com/dayagaskencana/proflex-sheet-insulation-insulasi-pembungkus-pipa-ac-roll-khusus-kiriman-instant-3-4-20mm-9f89b?aff_unique_id=&amp;channel=others&amp;chain_key=</v>
      </c>
      <c r="L238" s="3" t="str">
        <f>IFERROR(__xludf.DUMMYFUNCTION("""COMPUTED_VALUE"""),"Untuk ducting yang sudah menetes")</f>
        <v>Untuk ducting yang sudah menetes</v>
      </c>
      <c r="M238" s="3" t="str">
        <f>IFERROR(__xludf.DUMMYFUNCTION("""COMPUTED_VALUE"""),"Approve")</f>
        <v>Approve</v>
      </c>
      <c r="N238" s="3" t="str">
        <f>IFERROR(__xludf.DUMMYFUNCTION("""COMPUTED_VALUE"""),"Normal")</f>
        <v>Normal</v>
      </c>
      <c r="O238" s="3" t="str">
        <f>IFERROR(__xludf.DUMMYFUNCTION("""COMPUTED_VALUE"""),"Non Urgent")</f>
        <v>Non Urgent</v>
      </c>
      <c r="P238" s="7">
        <f>IFERROR(__xludf.DUMMYFUNCTION("""COMPUTED_VALUE"""),45890.96379674769)</f>
        <v>45890.9638</v>
      </c>
    </row>
    <row r="239">
      <c r="A239" s="4">
        <f>IFERROR(__xludf.DUMMYFUNCTION("""COMPUTED_VALUE"""),45891.47744128472)</f>
        <v>45891.47744</v>
      </c>
      <c r="B239" s="3" t="str">
        <f>IFERROR(__xludf.DUMMYFUNCTION("""COMPUTED_VALUE"""),"ROSBR0035")</f>
        <v>ROSBR0035</v>
      </c>
      <c r="C239" s="3" t="str">
        <f>IFERROR(__xludf.DUMMYFUNCTION("""COMPUTED_VALUE"""),"Consumable")</f>
        <v>Consumable</v>
      </c>
      <c r="D239" s="3" t="str">
        <f>IFERROR(__xludf.DUMMYFUNCTION("""COMPUTED_VALUE"""),"NA")</f>
        <v>NA</v>
      </c>
      <c r="E239" s="3" t="str">
        <f>IFERROR(__xludf.DUMMYFUNCTION("""COMPUTED_VALUE"""),"Capping ")</f>
        <v>Capping </v>
      </c>
      <c r="F239" s="3" t="str">
        <f>IFERROR(__xludf.DUMMYFUNCTION("""COMPUTED_VALUE"""),"Oil Seal Head Caps ")</f>
        <v>Oil Seal Head Caps </v>
      </c>
      <c r="G239" s="3" t="str">
        <f>IFERROR(__xludf.DUMMYFUNCTION("""COMPUTED_VALUE"""),"ID 20mm
OD 28mm
Tebal 4mm
Kode 
G 20 28 4
05-4")</f>
        <v>ID 20mm
OD 28mm
Tebal 4mm
Kode 
G 20 28 4
05-4</v>
      </c>
      <c r="H239" s="3" t="str">
        <f>IFERROR(__xludf.DUMMYFUNCTION("""COMPUTED_VALUE"""),"lokal ")</f>
        <v>lokal </v>
      </c>
      <c r="I239" s="3">
        <f>IFERROR(__xludf.DUMMYFUNCTION("""COMPUTED_VALUE"""),40.0)</f>
        <v>40</v>
      </c>
      <c r="J239" s="3" t="str">
        <f>IFERROR(__xludf.DUMMYFUNCTION("""COMPUTED_VALUE"""),"pcs")</f>
        <v>pcs</v>
      </c>
      <c r="K239" s="5" t="str">
        <f>IFERROR(__xludf.DUMMYFUNCTION("""COMPUTED_VALUE"""),"https://drive.google.com/drive/folders/1Xyv1oliWyWvM7tP4_7-zA1iuobzNFzN3?usp=drive_link")</f>
        <v>https://drive.google.com/drive/folders/1Xyv1oliWyWvM7tP4_7-zA1iuobzNFzN3?usp=drive_link</v>
      </c>
      <c r="L239" s="3" t="str">
        <f>IFERROR(__xludf.DUMMYFUNCTION("""COMPUTED_VALUE"""),"Oil Seal Head Caps Capping ")</f>
        <v>Oil Seal Head Caps Capping </v>
      </c>
      <c r="M239" s="3" t="str">
        <f>IFERROR(__xludf.DUMMYFUNCTION("""COMPUTED_VALUE"""),"Approve")</f>
        <v>Approve</v>
      </c>
      <c r="N239" s="3" t="str">
        <f>IFERROR(__xludf.DUMMYFUNCTION("""COMPUTED_VALUE"""),"Normal")</f>
        <v>Normal</v>
      </c>
      <c r="O239" s="3" t="str">
        <f>IFERROR(__xludf.DUMMYFUNCTION("""COMPUTED_VALUE"""),"Non Urgent")</f>
        <v>Non Urgent</v>
      </c>
      <c r="P239" s="7">
        <f>IFERROR(__xludf.DUMMYFUNCTION("""COMPUTED_VALUE"""),45895.12462378472)</f>
        <v>45895.12462</v>
      </c>
    </row>
    <row r="240">
      <c r="A240" s="4">
        <f>IFERROR(__xludf.DUMMYFUNCTION("""COMPUTED_VALUE"""),45891.581506388895)</f>
        <v>45891.58151</v>
      </c>
      <c r="B240" s="3" t="str">
        <f>IFERROR(__xludf.DUMMYFUNCTION("""COMPUTED_VALUE"""),"RIABR0096")</f>
        <v>RIABR0096</v>
      </c>
      <c r="C240" s="3" t="str">
        <f>IFERROR(__xludf.DUMMYFUNCTION("""COMPUTED_VALUE"""),"EJO")</f>
        <v>EJO</v>
      </c>
      <c r="D240" s="3" t="str">
        <f>IFERROR(__xludf.DUMMYFUNCTION("""COMPUTED_VALUE"""),"EJO/2025/08/56")</f>
        <v>EJO/2025/08/56</v>
      </c>
      <c r="E240" s="3" t="str">
        <f>IFERROR(__xludf.DUMMYFUNCTION("""COMPUTED_VALUE"""),"WWTP")</f>
        <v>WWTP</v>
      </c>
      <c r="F240" s="3" t="str">
        <f>IFERROR(__xludf.DUMMYFUNCTION("""COMPUTED_VALUE"""),"Busbar Sisir 3Pole")</f>
        <v>Busbar Sisir 3Pole</v>
      </c>
      <c r="G240" s="3" t="str">
        <f>IFERROR(__xludf.DUMMYFUNCTION("""COMPUTED_VALUE"""),"Busbar Sisir 3Pole")</f>
        <v>Busbar Sisir 3Pole</v>
      </c>
      <c r="H240" s="3" t="str">
        <f>IFERROR(__xludf.DUMMYFUNCTION("""COMPUTED_VALUE"""),"Schneider")</f>
        <v>Schneider</v>
      </c>
      <c r="I240" s="3">
        <f>IFERROR(__xludf.DUMMYFUNCTION("""COMPUTED_VALUE"""),2.0)</f>
        <v>2</v>
      </c>
      <c r="J240" s="3" t="str">
        <f>IFERROR(__xludf.DUMMYFUNCTION("""COMPUTED_VALUE"""),"Pcs")</f>
        <v>Pcs</v>
      </c>
      <c r="K240" s="5" t="str">
        <f>IFERROR(__xludf.DUMMYFUNCTION("""COMPUTED_VALUE"""),"https://www.tokopedia.com/tokomegalistrik/schneider-busbar-sisir-3-fasa-63a-10391?extParam=ivf%3Dfalse%26keyword%3Dschneider+comb+busbar%2Fsisir+mcb+3p%26search_id%3D2025071705131137BC2F75BF1BCF2A8NR5%26src%3Dsearch&amp;t_id=1752728510891&amp;t_st=8&amp;t_pp=search_r"&amp;"esult&amp;t_efo=search_pure_goods_card&amp;t_ef=goods_search&amp;t_sm=&amp;t_spt=search_result")</f>
        <v>https://www.tokopedia.com/tokomegalistrik/schneider-busbar-sisir-3-fasa-63a-10391?extParam=ivf%3Dfalse%26keyword%3Dschneider+comb+busbar%2Fsisir+mcb+3p%26search_id%3D2025071705131137BC2F75BF1BCF2A8NR5%26src%3Dsearch&amp;t_id=1752728510891&amp;t_st=8&amp;t_pp=search_result&amp;t_efo=search_pure_goods_card&amp;t_ef=goods_search&amp;t_sm=&amp;t_spt=search_result</v>
      </c>
      <c r="L240" s="3" t="str">
        <f>IFERROR(__xludf.DUMMYFUNCTION("""COMPUTED_VALUE"""),"Untuk peremajaan panel kontrol WWTP")</f>
        <v>Untuk peremajaan panel kontrol WWTP</v>
      </c>
      <c r="M240" s="3" t="str">
        <f>IFERROR(__xludf.DUMMYFUNCTION("""COMPUTED_VALUE"""),"Approve")</f>
        <v>Approve</v>
      </c>
      <c r="N240" s="3" t="str">
        <f>IFERROR(__xludf.DUMMYFUNCTION("""COMPUTED_VALUE"""),"Normal")</f>
        <v>Normal</v>
      </c>
      <c r="O240" s="3" t="str">
        <f>IFERROR(__xludf.DUMMYFUNCTION("""COMPUTED_VALUE"""),"Non Urgent")</f>
        <v>Non Urgent</v>
      </c>
      <c r="P240" s="7">
        <f>IFERROR(__xludf.DUMMYFUNCTION("""COMPUTED_VALUE"""),45921.882597199074)</f>
        <v>45921.8826</v>
      </c>
    </row>
    <row r="241">
      <c r="A241" s="4">
        <f>IFERROR(__xludf.DUMMYFUNCTION("""COMPUTED_VALUE"""),45891.58188841435)</f>
        <v>45891.58189</v>
      </c>
      <c r="B241" s="3" t="str">
        <f>IFERROR(__xludf.DUMMYFUNCTION("""COMPUTED_VALUE"""),"RIABR0058")</f>
        <v>RIABR0058</v>
      </c>
      <c r="C241" s="3" t="str">
        <f>IFERROR(__xludf.DUMMYFUNCTION("""COMPUTED_VALUE"""),"EJO")</f>
        <v>EJO</v>
      </c>
      <c r="D241" s="3" t="str">
        <f>IFERROR(__xludf.DUMMYFUNCTION("""COMPUTED_VALUE"""),"EJO/2025/08/56")</f>
        <v>EJO/2025/08/56</v>
      </c>
      <c r="E241" s="3" t="str">
        <f>IFERROR(__xludf.DUMMYFUNCTION("""COMPUTED_VALUE"""),"WWTP")</f>
        <v>WWTP</v>
      </c>
      <c r="F241" s="3" t="str">
        <f>IFERROR(__xludf.DUMMYFUNCTION("""COMPUTED_VALUE"""),"MCB 3P 32A")</f>
        <v>MCB 3P 32A</v>
      </c>
      <c r="G241" s="3" t="str">
        <f>IFERROR(__xludf.DUMMYFUNCTION("""COMPUTED_VALUE"""),"MCB 3P 32A")</f>
        <v>MCB 3P 32A</v>
      </c>
      <c r="H241" s="3" t="str">
        <f>IFERROR(__xludf.DUMMYFUNCTION("""COMPUTED_VALUE"""),"Schneider")</f>
        <v>Schneider</v>
      </c>
      <c r="I241" s="3">
        <f>IFERROR(__xludf.DUMMYFUNCTION("""COMPUTED_VALUE"""),1.0)</f>
        <v>1</v>
      </c>
      <c r="J241" s="3" t="str">
        <f>IFERROR(__xludf.DUMMYFUNCTION("""COMPUTED_VALUE"""),"Pcs")</f>
        <v>Pcs</v>
      </c>
      <c r="K241" s="5" t="str">
        <f>IFERROR(__xludf.DUMMYFUNCTION("""COMPUTED_VALUE"""),"https://www.tokopedia.com/schneiderel/schneider-electric-new-domae-mcb-32a-3p-domf01332-1731425257974499220?extParam=ivf%3Dfalse%26keyword%3Dmcb+3p+32a%26search_id%3D2025071310082137BC2F75BF1BCF37FZG7%26src%3Dsearch&amp;t_id=1752399739361&amp;t_st=25&amp;t_pp=search_"&amp;"result&amp;t_efo=search_pure_goods_card&amp;t_ef=goods_search&amp;t_sm=&amp;t_spt=search_result")</f>
        <v>https://www.tokopedia.com/schneiderel/schneider-electric-new-domae-mcb-32a-3p-domf01332-1731425257974499220?extParam=ivf%3Dfalse%26keyword%3Dmcb+3p+32a%26search_id%3D2025071310082137BC2F75BF1BCF37FZG7%26src%3Dsearch&amp;t_id=1752399739361&amp;t_st=25&amp;t_pp=search_result&amp;t_efo=search_pure_goods_card&amp;t_ef=goods_search&amp;t_sm=&amp;t_spt=search_result</v>
      </c>
      <c r="L241" s="3" t="str">
        <f>IFERROR(__xludf.DUMMYFUNCTION("""COMPUTED_VALUE"""),"Untuk peremajaan panel kontrol WWTP")</f>
        <v>Untuk peremajaan panel kontrol WWTP</v>
      </c>
      <c r="M241" s="3" t="str">
        <f>IFERROR(__xludf.DUMMYFUNCTION("""COMPUTED_VALUE"""),"Approve")</f>
        <v>Approve</v>
      </c>
      <c r="N241" s="3" t="str">
        <f>IFERROR(__xludf.DUMMYFUNCTION("""COMPUTED_VALUE"""),"Normal")</f>
        <v>Normal</v>
      </c>
      <c r="O241" s="3" t="str">
        <f>IFERROR(__xludf.DUMMYFUNCTION("""COMPUTED_VALUE"""),"Non Urgent")</f>
        <v>Non Urgent</v>
      </c>
      <c r="P241" s="7">
        <f>IFERROR(__xludf.DUMMYFUNCTION("""COMPUTED_VALUE"""),45896.66621203704)</f>
        <v>45896.66621</v>
      </c>
    </row>
    <row r="242">
      <c r="A242" s="4">
        <f>IFERROR(__xludf.DUMMYFUNCTION("""COMPUTED_VALUE"""),45891.58188841435)</f>
        <v>45891.58189</v>
      </c>
      <c r="B242" s="3" t="str">
        <f>IFERROR(__xludf.DUMMYFUNCTION("""COMPUTED_VALUE"""),"RIABR0059")</f>
        <v>RIABR0059</v>
      </c>
      <c r="C242" s="3" t="str">
        <f>IFERROR(__xludf.DUMMYFUNCTION("""COMPUTED_VALUE"""),"EJO")</f>
        <v>EJO</v>
      </c>
      <c r="D242" s="3" t="str">
        <f>IFERROR(__xludf.DUMMYFUNCTION("""COMPUTED_VALUE"""),"EJO/2025/08/56")</f>
        <v>EJO/2025/08/56</v>
      </c>
      <c r="E242" s="3" t="str">
        <f>IFERROR(__xludf.DUMMYFUNCTION("""COMPUTED_VALUE"""),"WWTP")</f>
        <v>WWTP</v>
      </c>
      <c r="F242" s="3" t="str">
        <f>IFERROR(__xludf.DUMMYFUNCTION("""COMPUTED_VALUE"""),"MCB 3P 6A")</f>
        <v>MCB 3P 6A</v>
      </c>
      <c r="G242" s="3" t="str">
        <f>IFERROR(__xludf.DUMMYFUNCTION("""COMPUTED_VALUE"""),"MCB 3P 6A")</f>
        <v>MCB 3P 6A</v>
      </c>
      <c r="H242" s="3" t="str">
        <f>IFERROR(__xludf.DUMMYFUNCTION("""COMPUTED_VALUE"""),"Schneider")</f>
        <v>Schneider</v>
      </c>
      <c r="I242" s="3">
        <f>IFERROR(__xludf.DUMMYFUNCTION("""COMPUTED_VALUE"""),5.0)</f>
        <v>5</v>
      </c>
      <c r="J242" s="3" t="str">
        <f>IFERROR(__xludf.DUMMYFUNCTION("""COMPUTED_VALUE"""),"Pcs")</f>
        <v>Pcs</v>
      </c>
      <c r="K242" s="5" t="str">
        <f>IFERROR(__xludf.DUMMYFUNCTION("""COMPUTED_VALUE"""),"https://www.tokopedia.com/schneiderel/schneider-electric-domae-mcb-3p-c-6a-6000a-1731730944094603156?extParam=ivf%3Dfalse%26keyword%3Dmcb+3p+6a%26search_id%3D2025071310085734ED066DF378EF33ELVF%26src%3Dsearch&amp;t_id=1752399739361&amp;t_st=26&amp;t_pp=search_result&amp;t"&amp;"_efo=search_pure_goods_card&amp;t_ef=goods_search&amp;t_sm=&amp;t_spt=search_result")</f>
        <v>https://www.tokopedia.com/schneiderel/schneider-electric-domae-mcb-3p-c-6a-6000a-1731730944094603156?extParam=ivf%3Dfalse%26keyword%3Dmcb+3p+6a%26search_id%3D2025071310085734ED066DF378EF33ELVF%26src%3Dsearch&amp;t_id=1752399739361&amp;t_st=26&amp;t_pp=search_result&amp;t_efo=search_pure_goods_card&amp;t_ef=goods_search&amp;t_sm=&amp;t_spt=search_result</v>
      </c>
      <c r="L242" s="3" t="str">
        <f>IFERROR(__xludf.DUMMYFUNCTION("""COMPUTED_VALUE"""),"Untuk peremajaan panel kontrol WWTP")</f>
        <v>Untuk peremajaan panel kontrol WWTP</v>
      </c>
      <c r="M242" s="3" t="str">
        <f>IFERROR(__xludf.DUMMYFUNCTION("""COMPUTED_VALUE"""),"Approve")</f>
        <v>Approve</v>
      </c>
      <c r="N242" s="3" t="str">
        <f>IFERROR(__xludf.DUMMYFUNCTION("""COMPUTED_VALUE"""),"Normal")</f>
        <v>Normal</v>
      </c>
      <c r="O242" s="3" t="str">
        <f>IFERROR(__xludf.DUMMYFUNCTION("""COMPUTED_VALUE"""),"Non Urgent")</f>
        <v>Non Urgent</v>
      </c>
      <c r="P242" s="7">
        <f>IFERROR(__xludf.DUMMYFUNCTION("""COMPUTED_VALUE"""),45896.66603800926)</f>
        <v>45896.66604</v>
      </c>
    </row>
    <row r="243">
      <c r="A243" s="4">
        <f>IFERROR(__xludf.DUMMYFUNCTION("""COMPUTED_VALUE"""),45891.58188841435)</f>
        <v>45891.58189</v>
      </c>
      <c r="B243" s="3" t="str">
        <f>IFERROR(__xludf.DUMMYFUNCTION("""COMPUTED_VALUE"""),"RIABR0060")</f>
        <v>RIABR0060</v>
      </c>
      <c r="C243" s="3" t="str">
        <f>IFERROR(__xludf.DUMMYFUNCTION("""COMPUTED_VALUE"""),"EJO")</f>
        <v>EJO</v>
      </c>
      <c r="D243" s="3" t="str">
        <f>IFERROR(__xludf.DUMMYFUNCTION("""COMPUTED_VALUE"""),"EJO/2025/08/56")</f>
        <v>EJO/2025/08/56</v>
      </c>
      <c r="E243" s="3" t="str">
        <f>IFERROR(__xludf.DUMMYFUNCTION("""COMPUTED_VALUE"""),"WWTP")</f>
        <v>WWTP</v>
      </c>
      <c r="F243" s="3" t="str">
        <f>IFERROR(__xludf.DUMMYFUNCTION("""COMPUTED_VALUE"""),"MCB 1P 10A")</f>
        <v>MCB 1P 10A</v>
      </c>
      <c r="G243" s="3" t="str">
        <f>IFERROR(__xludf.DUMMYFUNCTION("""COMPUTED_VALUE"""),"MCB 1P 10A")</f>
        <v>MCB 1P 10A</v>
      </c>
      <c r="H243" s="3" t="str">
        <f>IFERROR(__xludf.DUMMYFUNCTION("""COMPUTED_VALUE"""),"Schneider")</f>
        <v>Schneider</v>
      </c>
      <c r="I243" s="3">
        <f>IFERROR(__xludf.DUMMYFUNCTION("""COMPUTED_VALUE"""),3.0)</f>
        <v>3</v>
      </c>
      <c r="J243" s="3" t="str">
        <f>IFERROR(__xludf.DUMMYFUNCTION("""COMPUTED_VALUE"""),"Pcs")</f>
        <v>Pcs</v>
      </c>
      <c r="K243" s="5" t="str">
        <f>IFERROR(__xludf.DUMMYFUNCTION("""COMPUTED_VALUE"""),"https://www.tokopedia.com/schneiderel/schneider-electric-new-domae-mcb-10a-1p-domf01110-1731415435940104084?extParam=ivf%3Dfalse%26keyword%3Dmcb+1p+10a%26search_id%3D2025071310094837BC2F75BF1BCF0EFIT7%26src%3Dsearch&amp;t_id=1752399739361&amp;t_st=27&amp;t_pp=search_"&amp;"result&amp;t_efo=search_pure_goods_card&amp;t_ef=goods_search&amp;t_sm=&amp;t_spt=search_result")</f>
        <v>https://www.tokopedia.com/schneiderel/schneider-electric-new-domae-mcb-10a-1p-domf01110-1731415435940104084?extParam=ivf%3Dfalse%26keyword%3Dmcb+1p+10a%26search_id%3D2025071310094837BC2F75BF1BCF0EFIT7%26src%3Dsearch&amp;t_id=1752399739361&amp;t_st=27&amp;t_pp=search_result&amp;t_efo=search_pure_goods_card&amp;t_ef=goods_search&amp;t_sm=&amp;t_spt=search_result</v>
      </c>
      <c r="L243" s="3" t="str">
        <f>IFERROR(__xludf.DUMMYFUNCTION("""COMPUTED_VALUE"""),"Untuk peremajaan panel kontrol WWTP")</f>
        <v>Untuk peremajaan panel kontrol WWTP</v>
      </c>
      <c r="M243" s="3" t="str">
        <f>IFERROR(__xludf.DUMMYFUNCTION("""COMPUTED_VALUE"""),"Approve")</f>
        <v>Approve</v>
      </c>
      <c r="N243" s="3" t="str">
        <f>IFERROR(__xludf.DUMMYFUNCTION("""COMPUTED_VALUE"""),"Normal")</f>
        <v>Normal</v>
      </c>
      <c r="O243" s="3" t="str">
        <f>IFERROR(__xludf.DUMMYFUNCTION("""COMPUTED_VALUE"""),"Non Urgent")</f>
        <v>Non Urgent</v>
      </c>
      <c r="P243" s="7">
        <f>IFERROR(__xludf.DUMMYFUNCTION("""COMPUTED_VALUE"""),45896.66588100695)</f>
        <v>45896.66588</v>
      </c>
    </row>
    <row r="244">
      <c r="A244" s="4">
        <f>IFERROR(__xludf.DUMMYFUNCTION("""COMPUTED_VALUE"""),45891.58188841435)</f>
        <v>45891.58189</v>
      </c>
      <c r="B244" s="3" t="str">
        <f>IFERROR(__xludf.DUMMYFUNCTION("""COMPUTED_VALUE"""),"RIABR0061")</f>
        <v>RIABR0061</v>
      </c>
      <c r="C244" s="3" t="str">
        <f>IFERROR(__xludf.DUMMYFUNCTION("""COMPUTED_VALUE"""),"EJO")</f>
        <v>EJO</v>
      </c>
      <c r="D244" s="3" t="str">
        <f>IFERROR(__xludf.DUMMYFUNCTION("""COMPUTED_VALUE"""),"EJO/2025/08/56")</f>
        <v>EJO/2025/08/56</v>
      </c>
      <c r="E244" s="3" t="str">
        <f>IFERROR(__xludf.DUMMYFUNCTION("""COMPUTED_VALUE"""),"WWTP")</f>
        <v>WWTP</v>
      </c>
      <c r="F244" s="3" t="str">
        <f>IFERROR(__xludf.DUMMYFUNCTION("""COMPUTED_VALUE"""),"MCB 1P 6A")</f>
        <v>MCB 1P 6A</v>
      </c>
      <c r="G244" s="3" t="str">
        <f>IFERROR(__xludf.DUMMYFUNCTION("""COMPUTED_VALUE"""),"MCB 1P 6A")</f>
        <v>MCB 1P 6A</v>
      </c>
      <c r="H244" s="3" t="str">
        <f>IFERROR(__xludf.DUMMYFUNCTION("""COMPUTED_VALUE"""),"Schneider")</f>
        <v>Schneider</v>
      </c>
      <c r="I244" s="3">
        <f>IFERROR(__xludf.DUMMYFUNCTION("""COMPUTED_VALUE"""),2.0)</f>
        <v>2</v>
      </c>
      <c r="J244" s="3" t="str">
        <f>IFERROR(__xludf.DUMMYFUNCTION("""COMPUTED_VALUE"""),"Pcs")</f>
        <v>Pcs</v>
      </c>
      <c r="K244" s="5" t="str">
        <f>IFERROR(__xludf.DUMMYFUNCTION("""COMPUTED_VALUE"""),"https://www.tokopedia.com/schneiderel/schneider-electric-new-domae-mcb-6a-1p-domf01106-1731414053356537748?extParam=ivf%3Dfalse%26keyword%3Dmcb+1p+6a%26search_id%3D2025071310101637BC2F75BF1BCF25DNC6%26src%3Dsearch&amp;t_id=1752399739361&amp;t_st=28&amp;t_pp=search_re"&amp;"sult&amp;t_efo=search_pure_goods_card&amp;t_ef=goods_search&amp;t_sm=&amp;t_spt=search_result")</f>
        <v>https://www.tokopedia.com/schneiderel/schneider-electric-new-domae-mcb-6a-1p-domf01106-1731414053356537748?extParam=ivf%3Dfalse%26keyword%3Dmcb+1p+6a%26search_id%3D2025071310101637BC2F75BF1BCF25DNC6%26src%3Dsearch&amp;t_id=1752399739361&amp;t_st=28&amp;t_pp=search_result&amp;t_efo=search_pure_goods_card&amp;t_ef=goods_search&amp;t_sm=&amp;t_spt=search_result</v>
      </c>
      <c r="L244" s="3" t="str">
        <f>IFERROR(__xludf.DUMMYFUNCTION("""COMPUTED_VALUE"""),"Untuk peremajaan panel kontrol WWTP")</f>
        <v>Untuk peremajaan panel kontrol WWTP</v>
      </c>
      <c r="M244" s="3" t="str">
        <f>IFERROR(__xludf.DUMMYFUNCTION("""COMPUTED_VALUE"""),"Approve")</f>
        <v>Approve</v>
      </c>
      <c r="N244" s="3" t="str">
        <f>IFERROR(__xludf.DUMMYFUNCTION("""COMPUTED_VALUE"""),"Normal")</f>
        <v>Normal</v>
      </c>
      <c r="O244" s="3" t="str">
        <f>IFERROR(__xludf.DUMMYFUNCTION("""COMPUTED_VALUE"""),"Non Urgent")</f>
        <v>Non Urgent</v>
      </c>
      <c r="P244" s="7">
        <f>IFERROR(__xludf.DUMMYFUNCTION("""COMPUTED_VALUE"""),45896.66571821759)</f>
        <v>45896.66572</v>
      </c>
    </row>
    <row r="245">
      <c r="A245" s="4">
        <f>IFERROR(__xludf.DUMMYFUNCTION("""COMPUTED_VALUE"""),45891.58188841435)</f>
        <v>45891.58189</v>
      </c>
      <c r="B245" s="3" t="str">
        <f>IFERROR(__xludf.DUMMYFUNCTION("""COMPUTED_VALUE"""),"RIABR0062")</f>
        <v>RIABR0062</v>
      </c>
      <c r="C245" s="3" t="str">
        <f>IFERROR(__xludf.DUMMYFUNCTION("""COMPUTED_VALUE"""),"EJO")</f>
        <v>EJO</v>
      </c>
      <c r="D245" s="3" t="str">
        <f>IFERROR(__xludf.DUMMYFUNCTION("""COMPUTED_VALUE"""),"EJO/2025/08/56")</f>
        <v>EJO/2025/08/56</v>
      </c>
      <c r="E245" s="3" t="str">
        <f>IFERROR(__xludf.DUMMYFUNCTION("""COMPUTED_VALUE"""),"WWTP")</f>
        <v>WWTP</v>
      </c>
      <c r="F245" s="3" t="str">
        <f>IFERROR(__xludf.DUMMYFUNCTION("""COMPUTED_VALUE"""),"MCB 1P 4A")</f>
        <v>MCB 1P 4A</v>
      </c>
      <c r="G245" s="3" t="str">
        <f>IFERROR(__xludf.DUMMYFUNCTION("""COMPUTED_VALUE"""),"MCB 1P 4A")</f>
        <v>MCB 1P 4A</v>
      </c>
      <c r="H245" s="3" t="str">
        <f>IFERROR(__xludf.DUMMYFUNCTION("""COMPUTED_VALUE"""),"Schneider")</f>
        <v>Schneider</v>
      </c>
      <c r="I245" s="3">
        <f>IFERROR(__xludf.DUMMYFUNCTION("""COMPUTED_VALUE"""),3.0)</f>
        <v>3</v>
      </c>
      <c r="J245" s="3" t="str">
        <f>IFERROR(__xludf.DUMMYFUNCTION("""COMPUTED_VALUE"""),"Pcs")</f>
        <v>Pcs</v>
      </c>
      <c r="K245" s="5" t="str">
        <f>IFERROR(__xludf.DUMMYFUNCTION("""COMPUTED_VALUE"""),"https://www.tokopedia.com/schneiderel/schneider-electric-new-domae-mcb-4a-1p-domf01104-1731413767356909460?extParam=ivf%3Dfalse%26keyword%3Dmcb+1p+4a%26search_id%3D20250713101039AD13A2A07CA4B7088WIS%26src%3Dsearch&amp;t_id=1752399739361&amp;t_st=29&amp;t_pp=search_re"&amp;"sult&amp;t_efo=search_pure_goods_card&amp;t_ef=goods_search&amp;t_sm=&amp;t_spt=search_result")</f>
        <v>https://www.tokopedia.com/schneiderel/schneider-electric-new-domae-mcb-4a-1p-domf01104-1731413767356909460?extParam=ivf%3Dfalse%26keyword%3Dmcb+1p+4a%26search_id%3D20250713101039AD13A2A07CA4B7088WIS%26src%3Dsearch&amp;t_id=1752399739361&amp;t_st=29&amp;t_pp=search_result&amp;t_efo=search_pure_goods_card&amp;t_ef=goods_search&amp;t_sm=&amp;t_spt=search_result</v>
      </c>
      <c r="L245" s="3" t="str">
        <f>IFERROR(__xludf.DUMMYFUNCTION("""COMPUTED_VALUE"""),"Untuk peremajaan panel kontrol WWTP")</f>
        <v>Untuk peremajaan panel kontrol WWTP</v>
      </c>
      <c r="M245" s="3" t="str">
        <f>IFERROR(__xludf.DUMMYFUNCTION("""COMPUTED_VALUE"""),"Approve")</f>
        <v>Approve</v>
      </c>
      <c r="N245" s="3" t="str">
        <f>IFERROR(__xludf.DUMMYFUNCTION("""COMPUTED_VALUE"""),"Normal")</f>
        <v>Normal</v>
      </c>
      <c r="O245" s="3" t="str">
        <f>IFERROR(__xludf.DUMMYFUNCTION("""COMPUTED_VALUE"""),"Non Urgent")</f>
        <v>Non Urgent</v>
      </c>
      <c r="P245" s="7">
        <f>IFERROR(__xludf.DUMMYFUNCTION("""COMPUTED_VALUE"""),45896.665553796294)</f>
        <v>45896.66555</v>
      </c>
    </row>
    <row r="246">
      <c r="A246" s="4">
        <f>IFERROR(__xludf.DUMMYFUNCTION("""COMPUTED_VALUE"""),45891.58188841435)</f>
        <v>45891.58189</v>
      </c>
      <c r="B246" s="3" t="str">
        <f>IFERROR(__xludf.DUMMYFUNCTION("""COMPUTED_VALUE"""),"RIABR0063")</f>
        <v>RIABR0063</v>
      </c>
      <c r="C246" s="3" t="str">
        <f>IFERROR(__xludf.DUMMYFUNCTION("""COMPUTED_VALUE"""),"EJO")</f>
        <v>EJO</v>
      </c>
      <c r="D246" s="3" t="str">
        <f>IFERROR(__xludf.DUMMYFUNCTION("""COMPUTED_VALUE"""),"EJO/2025/08/56")</f>
        <v>EJO/2025/08/56</v>
      </c>
      <c r="E246" s="3" t="str">
        <f>IFERROR(__xludf.DUMMYFUNCTION("""COMPUTED_VALUE"""),"WWTP")</f>
        <v>WWTP</v>
      </c>
      <c r="F246" s="3" t="str">
        <f>IFERROR(__xludf.DUMMYFUNCTION("""COMPUTED_VALUE"""),"Kontaktor LC1D12M7 220VAC")</f>
        <v>Kontaktor LC1D12M7 220VAC</v>
      </c>
      <c r="G246" s="3" t="str">
        <f>IFERROR(__xludf.DUMMYFUNCTION("""COMPUTED_VALUE"""),"Kontaktor LC1D12M7 220VAC")</f>
        <v>Kontaktor LC1D12M7 220VAC</v>
      </c>
      <c r="H246" s="3" t="str">
        <f>IFERROR(__xludf.DUMMYFUNCTION("""COMPUTED_VALUE"""),"Schneider")</f>
        <v>Schneider</v>
      </c>
      <c r="I246" s="3">
        <f>IFERROR(__xludf.DUMMYFUNCTION("""COMPUTED_VALUE"""),9.0)</f>
        <v>9</v>
      </c>
      <c r="J246" s="3" t="str">
        <f>IFERROR(__xludf.DUMMYFUNCTION("""COMPUTED_VALUE"""),"Pcs")</f>
        <v>Pcs</v>
      </c>
      <c r="K246" s="5" t="str">
        <f>IFERROR(__xludf.DUMMYFUNCTION("""COMPUTED_VALUE"""),"https://www.tokopedia.com/zonapanel/kontaktor-contactor-schneider-lc1d12m7-lc1d12-d12-220v-new-original?extParam=ivf%3Dfalse%26keyword%3Dlc1d12m7%26search_id%3D2025071310202537BC2F75BF1BCF363NUX%26src%3Dsearch&amp;t_id=1752399739361&amp;t_st=37&amp;t_pp=search_result"&amp;"&amp;t_efo=search_pure_goods_card&amp;t_ef=goods_search&amp;t_sm=&amp;t_spt=search_result")</f>
        <v>https://www.tokopedia.com/zonapanel/kontaktor-contactor-schneider-lc1d12m7-lc1d12-d12-220v-new-original?extParam=ivf%3Dfalse%26keyword%3Dlc1d12m7%26search_id%3D2025071310202537BC2F75BF1BCF363NUX%26src%3Dsearch&amp;t_id=1752399739361&amp;t_st=37&amp;t_pp=search_result&amp;t_efo=search_pure_goods_card&amp;t_ef=goods_search&amp;t_sm=&amp;t_spt=search_result</v>
      </c>
      <c r="L246" s="3" t="str">
        <f>IFERROR(__xludf.DUMMYFUNCTION("""COMPUTED_VALUE"""),"Untuk peremajaan panel kontrol WWTP")</f>
        <v>Untuk peremajaan panel kontrol WWTP</v>
      </c>
      <c r="M246" s="3" t="str">
        <f>IFERROR(__xludf.DUMMYFUNCTION("""COMPUTED_VALUE"""),"Approve")</f>
        <v>Approve</v>
      </c>
      <c r="N246" s="3" t="str">
        <f>IFERROR(__xludf.DUMMYFUNCTION("""COMPUTED_VALUE"""),"Normal")</f>
        <v>Normal</v>
      </c>
      <c r="O246" s="3" t="str">
        <f>IFERROR(__xludf.DUMMYFUNCTION("""COMPUTED_VALUE"""),"Non Urgent")</f>
        <v>Non Urgent</v>
      </c>
      <c r="P246" s="7">
        <f>IFERROR(__xludf.DUMMYFUNCTION("""COMPUTED_VALUE"""),45896.66536791666)</f>
        <v>45896.66537</v>
      </c>
    </row>
    <row r="247">
      <c r="A247" s="4">
        <f>IFERROR(__xludf.DUMMYFUNCTION("""COMPUTED_VALUE"""),45891.58188841435)</f>
        <v>45891.58189</v>
      </c>
      <c r="B247" s="3" t="str">
        <f>IFERROR(__xludf.DUMMYFUNCTION("""COMPUTED_VALUE"""),"RIABR0064")</f>
        <v>RIABR0064</v>
      </c>
      <c r="C247" s="3" t="str">
        <f>IFERROR(__xludf.DUMMYFUNCTION("""COMPUTED_VALUE"""),"EJO")</f>
        <v>EJO</v>
      </c>
      <c r="D247" s="3" t="str">
        <f>IFERROR(__xludf.DUMMYFUNCTION("""COMPUTED_VALUE"""),"EJO/2025/08/56")</f>
        <v>EJO/2025/08/56</v>
      </c>
      <c r="E247" s="3" t="str">
        <f>IFERROR(__xludf.DUMMYFUNCTION("""COMPUTED_VALUE"""),"WWTP")</f>
        <v>WWTP</v>
      </c>
      <c r="F247" s="3" t="str">
        <f>IFERROR(__xludf.DUMMYFUNCTION("""COMPUTED_VALUE"""),"TOR LRD09")</f>
        <v>TOR LRD09</v>
      </c>
      <c r="G247" s="3" t="str">
        <f>IFERROR(__xludf.DUMMYFUNCTION("""COMPUTED_VALUE"""),"TOR LRD09")</f>
        <v>TOR LRD09</v>
      </c>
      <c r="H247" s="3" t="str">
        <f>IFERROR(__xludf.DUMMYFUNCTION("""COMPUTED_VALUE"""),"Schneider")</f>
        <v>Schneider</v>
      </c>
      <c r="I247" s="3">
        <f>IFERROR(__xludf.DUMMYFUNCTION("""COMPUTED_VALUE"""),9.0)</f>
        <v>9</v>
      </c>
      <c r="J247" s="3" t="str">
        <f>IFERROR(__xludf.DUMMYFUNCTION("""COMPUTED_VALUE"""),"Pcs")</f>
        <v>Pcs</v>
      </c>
      <c r="K247" s="5" t="str">
        <f>IFERROR(__xludf.DUMMYFUNCTION("""COMPUTED_VALUE"""),"https://www.tokopedia.com/mip77/garansi-ori-lrd06-lrd07-lrd08-lrd10-lrd12-lrd14-lrd16-lrd21-lrd22-lrd32-lrd35-thermal-overload-relay-schneider-lrd-06-lrd-07-lrd-08-lrd-10-lrd-12-lrd-14-lrd-16-lrd-21-lrd-22-lrd-32-lrd-35-tor-original-1731460891183712209?ex"&amp;"tParam=ivf%3Dfalse%26keyword%3Dlrd08%26search_id%3D202507131013505737C6EC2E071600FJN7%26src%3Dsearch&amp;t_id=1752399739361&amp;t_st=36&amp;t_pp=search_result&amp;t_efo=search_pure_goods_card&amp;t_ef=goods_search&amp;t_sm=&amp;t_spt=search_result")</f>
        <v>https://www.tokopedia.com/mip77/garansi-ori-lrd06-lrd07-lrd08-lrd10-lrd12-lrd14-lrd16-lrd21-lrd22-lrd32-lrd35-thermal-overload-relay-schneider-lrd-06-lrd-07-lrd-08-lrd-10-lrd-12-lrd-14-lrd-16-lrd-21-lrd-22-lrd-32-lrd-35-tor-original-1731460891183712209?extParam=ivf%3Dfalse%26keyword%3Dlrd08%26search_id%3D202507131013505737C6EC2E071600FJN7%26src%3Dsearch&amp;t_id=1752399739361&amp;t_st=36&amp;t_pp=search_result&amp;t_efo=search_pure_goods_card&amp;t_ef=goods_search&amp;t_sm=&amp;t_spt=search_result</v>
      </c>
      <c r="L247" s="3" t="str">
        <f>IFERROR(__xludf.DUMMYFUNCTION("""COMPUTED_VALUE"""),"Untuk peremajaan panel kontrol WWTP")</f>
        <v>Untuk peremajaan panel kontrol WWTP</v>
      </c>
      <c r="M247" s="3" t="str">
        <f>IFERROR(__xludf.DUMMYFUNCTION("""COMPUTED_VALUE"""),"Approve")</f>
        <v>Approve</v>
      </c>
      <c r="N247" s="3" t="str">
        <f>IFERROR(__xludf.DUMMYFUNCTION("""COMPUTED_VALUE"""),"Normal")</f>
        <v>Normal</v>
      </c>
      <c r="O247" s="3" t="str">
        <f>IFERROR(__xludf.DUMMYFUNCTION("""COMPUTED_VALUE"""),"Non Urgent")</f>
        <v>Non Urgent</v>
      </c>
      <c r="P247" s="7">
        <f>IFERROR(__xludf.DUMMYFUNCTION("""COMPUTED_VALUE"""),45896.665218043985)</f>
        <v>45896.66522</v>
      </c>
    </row>
    <row r="248">
      <c r="A248" s="4">
        <f>IFERROR(__xludf.DUMMYFUNCTION("""COMPUTED_VALUE"""),45891.58188841435)</f>
        <v>45891.58189</v>
      </c>
      <c r="B248" s="3" t="str">
        <f>IFERROR(__xludf.DUMMYFUNCTION("""COMPUTED_VALUE"""),"RIABR0069")</f>
        <v>RIABR0069</v>
      </c>
      <c r="C248" s="3" t="str">
        <f>IFERROR(__xludf.DUMMYFUNCTION("""COMPUTED_VALUE"""),"EJO")</f>
        <v>EJO</v>
      </c>
      <c r="D248" s="3" t="str">
        <f>IFERROR(__xludf.DUMMYFUNCTION("""COMPUTED_VALUE"""),"EJO/2025/08/56")</f>
        <v>EJO/2025/08/56</v>
      </c>
      <c r="E248" s="3" t="str">
        <f>IFERROR(__xludf.DUMMYFUNCTION("""COMPUTED_VALUE"""),"WWTP")</f>
        <v>WWTP</v>
      </c>
      <c r="F248" s="3" t="str">
        <f>IFERROR(__xludf.DUMMYFUNCTION("""COMPUTED_VALUE"""),"Terminal Block TBR20")</f>
        <v>Terminal Block TBR20</v>
      </c>
      <c r="G248" s="3" t="str">
        <f>IFERROR(__xludf.DUMMYFUNCTION("""COMPUTED_VALUE"""),"Terminal Block TBR20")</f>
        <v>Terminal Block TBR20</v>
      </c>
      <c r="H248" s="3" t="str">
        <f>IFERROR(__xludf.DUMMYFUNCTION("""COMPUTED_VALUE"""),"Fort")</f>
        <v>Fort</v>
      </c>
      <c r="I248" s="3">
        <f>IFERROR(__xludf.DUMMYFUNCTION("""COMPUTED_VALUE"""),1.0)</f>
        <v>1</v>
      </c>
      <c r="J248" s="3" t="str">
        <f>IFERROR(__xludf.DUMMYFUNCTION("""COMPUTED_VALUE"""),"Pack")</f>
        <v>Pack</v>
      </c>
      <c r="K248" s="5" t="str">
        <f>IFERROR(__xludf.DUMMYFUNCTION("""COMPUTED_VALUE"""),"https://www.tokopedia.com/toko-mik/terminal-blok-block-tbr-tbr-10-tbr-20-tbr-30-tbr-45-tbr-60-din-rail-terminal-tbr-20?extParam=ivf%3Dfalse%26keyword%3Dterminal+tbr20%26search_id%3D2025071120445994F6D7E04A4D4512ENQS%26src%3Dsearch&amp;t_id=1752266597747&amp;t_st="&amp;"2&amp;t_pp=search_result&amp;t_efo=search_pure_goods_card&amp;t_ef=goods_search&amp;t_sm=&amp;t_spt=search_result")</f>
        <v>https://www.tokopedia.com/toko-mik/terminal-blok-block-tbr-tbr-10-tbr-20-tbr-30-tbr-45-tbr-60-din-rail-terminal-tbr-20?extParam=ivf%3Dfalse%26keyword%3Dterminal+tbr20%26search_id%3D2025071120445994F6D7E04A4D4512ENQS%26src%3Dsearch&amp;t_id=1752266597747&amp;t_st=2&amp;t_pp=search_result&amp;t_efo=search_pure_goods_card&amp;t_ef=goods_search&amp;t_sm=&amp;t_spt=search_result</v>
      </c>
      <c r="L248" s="3" t="str">
        <f>IFERROR(__xludf.DUMMYFUNCTION("""COMPUTED_VALUE"""),"Untuk peremajaan panel kontrol WWTP")</f>
        <v>Untuk peremajaan panel kontrol WWTP</v>
      </c>
      <c r="M248" s="3" t="str">
        <f>IFERROR(__xludf.DUMMYFUNCTION("""COMPUTED_VALUE"""),"Approve")</f>
        <v>Approve</v>
      </c>
      <c r="N248" s="3" t="str">
        <f>IFERROR(__xludf.DUMMYFUNCTION("""COMPUTED_VALUE"""),"Normal")</f>
        <v>Normal</v>
      </c>
      <c r="O248" s="3" t="str">
        <f>IFERROR(__xludf.DUMMYFUNCTION("""COMPUTED_VALUE"""),"Non Urgent")</f>
        <v>Non Urgent</v>
      </c>
      <c r="P248" s="7">
        <f>IFERROR(__xludf.DUMMYFUNCTION("""COMPUTED_VALUE"""),45896.55741896991)</f>
        <v>45896.55742</v>
      </c>
    </row>
    <row r="249">
      <c r="A249" s="4">
        <f>IFERROR(__xludf.DUMMYFUNCTION("""COMPUTED_VALUE"""),45891.58188841435)</f>
        <v>45891.58189</v>
      </c>
      <c r="B249" s="3" t="str">
        <f>IFERROR(__xludf.DUMMYFUNCTION("""COMPUTED_VALUE"""),"RIABR0070")</f>
        <v>RIABR0070</v>
      </c>
      <c r="C249" s="3" t="str">
        <f>IFERROR(__xludf.DUMMYFUNCTION("""COMPUTED_VALUE"""),"EJO")</f>
        <v>EJO</v>
      </c>
      <c r="D249" s="3" t="str">
        <f>IFERROR(__xludf.DUMMYFUNCTION("""COMPUTED_VALUE"""),"EJO/2025/08/56")</f>
        <v>EJO/2025/08/56</v>
      </c>
      <c r="E249" s="3" t="str">
        <f>IFERROR(__xludf.DUMMYFUNCTION("""COMPUTED_VALUE"""),"WWTP")</f>
        <v>WWTP</v>
      </c>
      <c r="F249" s="3" t="str">
        <f>IFERROR(__xludf.DUMMYFUNCTION("""COMPUTED_VALUE"""),"End Plate TBR20")</f>
        <v>End Plate TBR20</v>
      </c>
      <c r="G249" s="3" t="str">
        <f>IFERROR(__xludf.DUMMYFUNCTION("""COMPUTED_VALUE"""),"End Plate TBR20")</f>
        <v>End Plate TBR20</v>
      </c>
      <c r="H249" s="3" t="str">
        <f>IFERROR(__xludf.DUMMYFUNCTION("""COMPUTED_VALUE"""),"Fort")</f>
        <v>Fort</v>
      </c>
      <c r="I249" s="3">
        <f>IFERROR(__xludf.DUMMYFUNCTION("""COMPUTED_VALUE"""),100.0)</f>
        <v>100</v>
      </c>
      <c r="J249" s="3" t="str">
        <f>IFERROR(__xludf.DUMMYFUNCTION("""COMPUTED_VALUE"""),"Pcs")</f>
        <v>Pcs</v>
      </c>
      <c r="K249" s="5" t="str">
        <f>IFERROR(__xludf.DUMMYFUNCTION("""COMPUTED_VALUE"""),"https://www.tokopedia.com/toko-mik/terminal-blok-block-tbr-tbr-10-tbr-20-tbr-30-tbr-45-tbr-60-din-rail-end-plate-tbr20?extParam=ivf%3Dfalse%26keyword%3Dterminal+tbr20%26search_id%3D2025071120445994F6D7E04A4D4512ENQS%26src%3Dsearch&amp;t_id=1752266597747&amp;t_st="&amp;"2&amp;t_pp=search_result&amp;t_efo=search_pure_goods_card&amp;t_ef=goods_search&amp;t_sm=&amp;t_spt=search_result")</f>
        <v>https://www.tokopedia.com/toko-mik/terminal-blok-block-tbr-tbr-10-tbr-20-tbr-30-tbr-45-tbr-60-din-rail-end-plate-tbr20?extParam=ivf%3Dfalse%26keyword%3Dterminal+tbr20%26search_id%3D2025071120445994F6D7E04A4D4512ENQS%26src%3Dsearch&amp;t_id=1752266597747&amp;t_st=2&amp;t_pp=search_result&amp;t_efo=search_pure_goods_card&amp;t_ef=goods_search&amp;t_sm=&amp;t_spt=search_result</v>
      </c>
      <c r="L249" s="3" t="str">
        <f>IFERROR(__xludf.DUMMYFUNCTION("""COMPUTED_VALUE"""),"Untuk peremajaan panel kontrol WWTP")</f>
        <v>Untuk peremajaan panel kontrol WWTP</v>
      </c>
      <c r="M249" s="3" t="str">
        <f>IFERROR(__xludf.DUMMYFUNCTION("""COMPUTED_VALUE"""),"Approve")</f>
        <v>Approve</v>
      </c>
      <c r="N249" s="3" t="str">
        <f>IFERROR(__xludf.DUMMYFUNCTION("""COMPUTED_VALUE"""),"Normal")</f>
        <v>Normal</v>
      </c>
      <c r="O249" s="3" t="str">
        <f>IFERROR(__xludf.DUMMYFUNCTION("""COMPUTED_VALUE"""),"Non Urgent")</f>
        <v>Non Urgent</v>
      </c>
      <c r="P249" s="7">
        <f>IFERROR(__xludf.DUMMYFUNCTION("""COMPUTED_VALUE"""),45896.556805671295)</f>
        <v>45896.55681</v>
      </c>
    </row>
    <row r="250">
      <c r="A250" s="4">
        <f>IFERROR(__xludf.DUMMYFUNCTION("""COMPUTED_VALUE"""),45891.58188841435)</f>
        <v>45891.58189</v>
      </c>
      <c r="B250" s="3" t="str">
        <f>IFERROR(__xludf.DUMMYFUNCTION("""COMPUTED_VALUE"""),"RIABR0071")</f>
        <v>RIABR0071</v>
      </c>
      <c r="C250" s="3" t="str">
        <f>IFERROR(__xludf.DUMMYFUNCTION("""COMPUTED_VALUE"""),"EJO")</f>
        <v>EJO</v>
      </c>
      <c r="D250" s="3" t="str">
        <f>IFERROR(__xludf.DUMMYFUNCTION("""COMPUTED_VALUE"""),"EJO/2025/08/56")</f>
        <v>EJO/2025/08/56</v>
      </c>
      <c r="E250" s="3" t="str">
        <f>IFERROR(__xludf.DUMMYFUNCTION("""COMPUTED_VALUE"""),"WWTP")</f>
        <v>WWTP</v>
      </c>
      <c r="F250" s="3" t="str">
        <f>IFERROR(__xludf.DUMMYFUNCTION("""COMPUTED_VALUE"""),"Stopper Terminal TBR20")</f>
        <v>Stopper Terminal TBR20</v>
      </c>
      <c r="G250" s="3" t="str">
        <f>IFERROR(__xludf.DUMMYFUNCTION("""COMPUTED_VALUE"""),"Stopper Terminal TBR20")</f>
        <v>Stopper Terminal TBR20</v>
      </c>
      <c r="H250" s="3" t="str">
        <f>IFERROR(__xludf.DUMMYFUNCTION("""COMPUTED_VALUE"""),"Fort")</f>
        <v>Fort</v>
      </c>
      <c r="I250" s="3">
        <f>IFERROR(__xludf.DUMMYFUNCTION("""COMPUTED_VALUE"""),25.0)</f>
        <v>25</v>
      </c>
      <c r="J250" s="3" t="str">
        <f>IFERROR(__xludf.DUMMYFUNCTION("""COMPUTED_VALUE"""),"Pcs")</f>
        <v>Pcs</v>
      </c>
      <c r="K250" s="5" t="str">
        <f>IFERROR(__xludf.DUMMYFUNCTION("""COMPUTED_VALUE"""),"https://www.tokopedia.com/toko-mik/terminal-blok-block-tbr-tbr-10-tbr-20-tbr-30-tbr-45-tbr-60-din-rail-end-plate-tbr20?extParam=ivf%3Dfalse%26keyword%3Dterminal+tbr20%26search_id%3D2025071120445994F6D7E04A4D4512ENQS%26src%3Dsearch&amp;t_id=1752266597747&amp;t_st="&amp;"2&amp;t_pp=search_result&amp;t_efo=search_pure_goods_card&amp;t_ef=goods_search&amp;t_sm=&amp;t_spt=search_result")</f>
        <v>https://www.tokopedia.com/toko-mik/terminal-blok-block-tbr-tbr-10-tbr-20-tbr-30-tbr-45-tbr-60-din-rail-end-plate-tbr20?extParam=ivf%3Dfalse%26keyword%3Dterminal+tbr20%26search_id%3D2025071120445994F6D7E04A4D4512ENQS%26src%3Dsearch&amp;t_id=1752266597747&amp;t_st=2&amp;t_pp=search_result&amp;t_efo=search_pure_goods_card&amp;t_ef=goods_search&amp;t_sm=&amp;t_spt=search_result</v>
      </c>
      <c r="L250" s="3" t="str">
        <f>IFERROR(__xludf.DUMMYFUNCTION("""COMPUTED_VALUE"""),"Untuk peremajaan panel kontrol WWTP")</f>
        <v>Untuk peremajaan panel kontrol WWTP</v>
      </c>
      <c r="M250" s="3" t="str">
        <f>IFERROR(__xludf.DUMMYFUNCTION("""COMPUTED_VALUE"""),"Approve")</f>
        <v>Approve</v>
      </c>
      <c r="N250" s="3" t="str">
        <f>IFERROR(__xludf.DUMMYFUNCTION("""COMPUTED_VALUE"""),"Normal")</f>
        <v>Normal</v>
      </c>
      <c r="O250" s="3" t="str">
        <f>IFERROR(__xludf.DUMMYFUNCTION("""COMPUTED_VALUE"""),"Non Urgent")</f>
        <v>Non Urgent</v>
      </c>
      <c r="P250" s="7">
        <f>IFERROR(__xludf.DUMMYFUNCTION("""COMPUTED_VALUE"""),45896.5557759838)</f>
        <v>45896.55578</v>
      </c>
    </row>
    <row r="251">
      <c r="A251" s="4">
        <f>IFERROR(__xludf.DUMMYFUNCTION("""COMPUTED_VALUE"""),45891.58188841435)</f>
        <v>45891.58189</v>
      </c>
      <c r="B251" s="3" t="str">
        <f>IFERROR(__xludf.DUMMYFUNCTION("""COMPUTED_VALUE"""),"RIABR0072")</f>
        <v>RIABR0072</v>
      </c>
      <c r="C251" s="3" t="str">
        <f>IFERROR(__xludf.DUMMYFUNCTION("""COMPUTED_VALUE"""),"EJO")</f>
        <v>EJO</v>
      </c>
      <c r="D251" s="3" t="str">
        <f>IFERROR(__xludf.DUMMYFUNCTION("""COMPUTED_VALUE"""),"EJO/2025/08/56")</f>
        <v>EJO/2025/08/56</v>
      </c>
      <c r="E251" s="3" t="str">
        <f>IFERROR(__xludf.DUMMYFUNCTION("""COMPUTED_VALUE"""),"WWTP")</f>
        <v>WWTP</v>
      </c>
      <c r="F251" s="3" t="str">
        <f>IFERROR(__xludf.DUMMYFUNCTION("""COMPUTED_VALUE"""),"Din Rel TBR")</f>
        <v>Din Rel TBR</v>
      </c>
      <c r="G251" s="3" t="str">
        <f>IFERROR(__xludf.DUMMYFUNCTION("""COMPUTED_VALUE"""),"Din Rel TBR")</f>
        <v>Din Rel TBR</v>
      </c>
      <c r="H251" s="3" t="str">
        <f>IFERROR(__xludf.DUMMYFUNCTION("""COMPUTED_VALUE"""),"Fort")</f>
        <v>Fort</v>
      </c>
      <c r="I251" s="3">
        <f>IFERROR(__xludf.DUMMYFUNCTION("""COMPUTED_VALUE"""),10.0)</f>
        <v>10</v>
      </c>
      <c r="J251" s="3" t="str">
        <f>IFERROR(__xludf.DUMMYFUNCTION("""COMPUTED_VALUE"""),"Btg")</f>
        <v>Btg</v>
      </c>
      <c r="K251" s="5" t="str">
        <f>IFERROR(__xludf.DUMMYFUNCTION("""COMPUTED_VALUE"""),"https://www.tokopedia.com/toko-mik/terminal-blok-block-tbr-tbr-10-tbr-20-tbr-30-tbr-45-tbr-60-din-rail-rel-tbr-silver-a871f?extParam=ivf%3Dfalse%26keyword%3Dterminal+tbr20%26search_id%3D2025071120445994F6D7E04A4D4512ENQS%26src%3Dsearch&amp;t_id=1752266597747&amp;"&amp;"t_st=2&amp;t_pp=search_result&amp;t_efo=search_pure_goods_card&amp;t_ef=goods_search&amp;t_sm=&amp;t_spt=search_result")</f>
        <v>https://www.tokopedia.com/toko-mik/terminal-blok-block-tbr-tbr-10-tbr-20-tbr-30-tbr-45-tbr-60-din-rail-rel-tbr-silver-a871f?extParam=ivf%3Dfalse%26keyword%3Dterminal+tbr20%26search_id%3D2025071120445994F6D7E04A4D4512ENQS%26src%3Dsearch&amp;t_id=1752266597747&amp;t_st=2&amp;t_pp=search_result&amp;t_efo=search_pure_goods_card&amp;t_ef=goods_search&amp;t_sm=&amp;t_spt=search_result</v>
      </c>
      <c r="L251" s="3" t="str">
        <f>IFERROR(__xludf.DUMMYFUNCTION("""COMPUTED_VALUE"""),"Untuk peremajaan panel kontrol WWTP")</f>
        <v>Untuk peremajaan panel kontrol WWTP</v>
      </c>
      <c r="M251" s="3" t="str">
        <f>IFERROR(__xludf.DUMMYFUNCTION("""COMPUTED_VALUE"""),"Approve")</f>
        <v>Approve</v>
      </c>
      <c r="N251" s="3" t="str">
        <f>IFERROR(__xludf.DUMMYFUNCTION("""COMPUTED_VALUE"""),"Normal")</f>
        <v>Normal</v>
      </c>
      <c r="O251" s="3" t="str">
        <f>IFERROR(__xludf.DUMMYFUNCTION("""COMPUTED_VALUE"""),"Non Urgent")</f>
        <v>Non Urgent</v>
      </c>
      <c r="P251" s="7">
        <f>IFERROR(__xludf.DUMMYFUNCTION("""COMPUTED_VALUE"""),45896.55504349537)</f>
        <v>45896.55504</v>
      </c>
    </row>
    <row r="252">
      <c r="A252" s="4">
        <f>IFERROR(__xludf.DUMMYFUNCTION("""COMPUTED_VALUE"""),45891.58188841435)</f>
        <v>45891.58189</v>
      </c>
      <c r="B252" s="3" t="str">
        <f>IFERROR(__xludf.DUMMYFUNCTION("""COMPUTED_VALUE"""),"RIABR0073")</f>
        <v>RIABR0073</v>
      </c>
      <c r="C252" s="3" t="str">
        <f>IFERROR(__xludf.DUMMYFUNCTION("""COMPUTED_VALUE"""),"EJO")</f>
        <v>EJO</v>
      </c>
      <c r="D252" s="3" t="str">
        <f>IFERROR(__xludf.DUMMYFUNCTION("""COMPUTED_VALUE"""),"EJO/2025/08/56")</f>
        <v>EJO/2025/08/56</v>
      </c>
      <c r="E252" s="3" t="str">
        <f>IFERROR(__xludf.DUMMYFUNCTION("""COMPUTED_VALUE"""),"WWTP")</f>
        <v>WWTP</v>
      </c>
      <c r="F252" s="3" t="str">
        <f>IFERROR(__xludf.DUMMYFUNCTION("""COMPUTED_VALUE"""),"Skun Kabel Y 2.5mm Merah")</f>
        <v>Skun Kabel Y 2.5mm Merah</v>
      </c>
      <c r="G252" s="3" t="str">
        <f>IFERROR(__xludf.DUMMYFUNCTION("""COMPUTED_VALUE"""),"Skun Kabel Y 2.5mm Merah")</f>
        <v>Skun Kabel Y 2.5mm Merah</v>
      </c>
      <c r="H252" s="3" t="str">
        <f>IFERROR(__xludf.DUMMYFUNCTION("""COMPUTED_VALUE"""),"Ewig")</f>
        <v>Ewig</v>
      </c>
      <c r="I252" s="3">
        <f>IFERROR(__xludf.DUMMYFUNCTION("""COMPUTED_VALUE"""),1.0)</f>
        <v>1</v>
      </c>
      <c r="J252" s="3" t="str">
        <f>IFERROR(__xludf.DUMMYFUNCTION("""COMPUTED_VALUE"""),"Pack")</f>
        <v>Pack</v>
      </c>
      <c r="K252" s="5" t="str">
        <f>IFERROR(__xludf.DUMMYFUNCTION("""COMPUTED_VALUE"""),"https://www.tokopedia.com/bintangkencana/skun-kabel-y-svs-2-4-scun-cable-svs2-4-dengan-isolasi-vorge-hitam-1075c?extParam=ivf%3Dfalse%26keyword%3Dskun+y+2.4+mm%26search_id%3D2025071705041194F6D7E04A4D45191CX7%26src%3Dsearch&amp;t_id=1752728510891&amp;t_st=2&amp;t_pp="&amp;"search_result&amp;t_efo=search_pure_goods_card&amp;t_ef=goods_search&amp;t_sm=&amp;t_spt=search_result")</f>
        <v>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v>
      </c>
      <c r="L252" s="3" t="str">
        <f>IFERROR(__xludf.DUMMYFUNCTION("""COMPUTED_VALUE"""),"Untuk peremajaan panel kontrol WWTP")</f>
        <v>Untuk peremajaan panel kontrol WWTP</v>
      </c>
      <c r="M252" s="3" t="str">
        <f>IFERROR(__xludf.DUMMYFUNCTION("""COMPUTED_VALUE"""),"Approve")</f>
        <v>Approve</v>
      </c>
      <c r="N252" s="3" t="str">
        <f>IFERROR(__xludf.DUMMYFUNCTION("""COMPUTED_VALUE"""),"Normal")</f>
        <v>Normal</v>
      </c>
      <c r="O252" s="3" t="str">
        <f>IFERROR(__xludf.DUMMYFUNCTION("""COMPUTED_VALUE"""),"Non Urgent")</f>
        <v>Non Urgent</v>
      </c>
      <c r="P252" s="7">
        <f>IFERROR(__xludf.DUMMYFUNCTION("""COMPUTED_VALUE"""),45896.55436533564)</f>
        <v>45896.55437</v>
      </c>
    </row>
    <row r="253">
      <c r="A253" s="4">
        <f>IFERROR(__xludf.DUMMYFUNCTION("""COMPUTED_VALUE"""),45891.58188841435)</f>
        <v>45891.58189</v>
      </c>
      <c r="B253" s="3" t="str">
        <f>IFERROR(__xludf.DUMMYFUNCTION("""COMPUTED_VALUE"""),"RIABR0074")</f>
        <v>RIABR0074</v>
      </c>
      <c r="C253" s="3" t="str">
        <f>IFERROR(__xludf.DUMMYFUNCTION("""COMPUTED_VALUE"""),"EJO")</f>
        <v>EJO</v>
      </c>
      <c r="D253" s="3" t="str">
        <f>IFERROR(__xludf.DUMMYFUNCTION("""COMPUTED_VALUE"""),"EJO/2025/08/56")</f>
        <v>EJO/2025/08/56</v>
      </c>
      <c r="E253" s="3" t="str">
        <f>IFERROR(__xludf.DUMMYFUNCTION("""COMPUTED_VALUE"""),"WWTP")</f>
        <v>WWTP</v>
      </c>
      <c r="F253" s="3" t="str">
        <f>IFERROR(__xludf.DUMMYFUNCTION("""COMPUTED_VALUE"""),"Skun Kabel Y 2.5mm Kuning")</f>
        <v>Skun Kabel Y 2.5mm Kuning</v>
      </c>
      <c r="G253" s="3" t="str">
        <f>IFERROR(__xludf.DUMMYFUNCTION("""COMPUTED_VALUE"""),"Skun Kabel Y 2.5mm Kuning")</f>
        <v>Skun Kabel Y 2.5mm Kuning</v>
      </c>
      <c r="H253" s="3" t="str">
        <f>IFERROR(__xludf.DUMMYFUNCTION("""COMPUTED_VALUE"""),"Ewig")</f>
        <v>Ewig</v>
      </c>
      <c r="I253" s="3">
        <f>IFERROR(__xludf.DUMMYFUNCTION("""COMPUTED_VALUE"""),1.0)</f>
        <v>1</v>
      </c>
      <c r="J253" s="3" t="str">
        <f>IFERROR(__xludf.DUMMYFUNCTION("""COMPUTED_VALUE"""),"Pack")</f>
        <v>Pack</v>
      </c>
      <c r="K253" s="5" t="str">
        <f>IFERROR(__xludf.DUMMYFUNCTION("""COMPUTED_VALUE"""),"https://www.tokopedia.com/bintangkencana/skun-kabel-y-svs-2-4-scun-cable-svs2-4-dengan-isolasi-vorge-hitam-1075c?extParam=ivf%3Dfalse%26keyword%3Dskun+y+2.4+mm%26search_id%3D2025071705041194F6D7E04A4D45191CX7%26src%3Dsearch&amp;t_id=1752728510891&amp;t_st=2&amp;t_pp="&amp;"search_result&amp;t_efo=search_pure_goods_card&amp;t_ef=goods_search&amp;t_sm=&amp;t_spt=search_result")</f>
        <v>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v>
      </c>
      <c r="L253" s="3" t="str">
        <f>IFERROR(__xludf.DUMMYFUNCTION("""COMPUTED_VALUE"""),"Untuk peremajaan panel kontrol WWTP")</f>
        <v>Untuk peremajaan panel kontrol WWTP</v>
      </c>
      <c r="M253" s="3" t="str">
        <f>IFERROR(__xludf.DUMMYFUNCTION("""COMPUTED_VALUE"""),"Approve")</f>
        <v>Approve</v>
      </c>
      <c r="N253" s="3" t="str">
        <f>IFERROR(__xludf.DUMMYFUNCTION("""COMPUTED_VALUE"""),"Normal")</f>
        <v>Normal</v>
      </c>
      <c r="O253" s="3" t="str">
        <f>IFERROR(__xludf.DUMMYFUNCTION("""COMPUTED_VALUE"""),"Non Urgent")</f>
        <v>Non Urgent</v>
      </c>
      <c r="P253" s="7">
        <f>IFERROR(__xludf.DUMMYFUNCTION("""COMPUTED_VALUE"""),45896.50164567129)</f>
        <v>45896.50165</v>
      </c>
    </row>
    <row r="254">
      <c r="A254" s="4">
        <f>IFERROR(__xludf.DUMMYFUNCTION("""COMPUTED_VALUE"""),45891.58188841435)</f>
        <v>45891.58189</v>
      </c>
      <c r="B254" s="3" t="str">
        <f>IFERROR(__xludf.DUMMYFUNCTION("""COMPUTED_VALUE"""),"RIABR0075")</f>
        <v>RIABR0075</v>
      </c>
      <c r="C254" s="3" t="str">
        <f>IFERROR(__xludf.DUMMYFUNCTION("""COMPUTED_VALUE"""),"EJO")</f>
        <v>EJO</v>
      </c>
      <c r="D254" s="3" t="str">
        <f>IFERROR(__xludf.DUMMYFUNCTION("""COMPUTED_VALUE"""),"EJO/2025/08/56")</f>
        <v>EJO/2025/08/56</v>
      </c>
      <c r="E254" s="3" t="str">
        <f>IFERROR(__xludf.DUMMYFUNCTION("""COMPUTED_VALUE"""),"WWTP")</f>
        <v>WWTP</v>
      </c>
      <c r="F254" s="3" t="str">
        <f>IFERROR(__xludf.DUMMYFUNCTION("""COMPUTED_VALUE"""),"Skun Kabel Y 2.5mm Hijau")</f>
        <v>Skun Kabel Y 2.5mm Hijau</v>
      </c>
      <c r="G254" s="3" t="str">
        <f>IFERROR(__xludf.DUMMYFUNCTION("""COMPUTED_VALUE"""),"Skun Kabel Y 2.5mm Hijau")</f>
        <v>Skun Kabel Y 2.5mm Hijau</v>
      </c>
      <c r="H254" s="3" t="str">
        <f>IFERROR(__xludf.DUMMYFUNCTION("""COMPUTED_VALUE"""),"Ewig")</f>
        <v>Ewig</v>
      </c>
      <c r="I254" s="3">
        <f>IFERROR(__xludf.DUMMYFUNCTION("""COMPUTED_VALUE"""),1.0)</f>
        <v>1</v>
      </c>
      <c r="J254" s="3" t="str">
        <f>IFERROR(__xludf.DUMMYFUNCTION("""COMPUTED_VALUE"""),"Pack")</f>
        <v>Pack</v>
      </c>
      <c r="K254" s="5" t="str">
        <f>IFERROR(__xludf.DUMMYFUNCTION("""COMPUTED_VALUE"""),"https://www.tokopedia.com/bintangkencana/skun-kabel-y-svs-2-4-scun-cable-svs2-4-dengan-isolasi-vorge-hitam-1075c?extParam=ivf%3Dfalse%26keyword%3Dskun+y+2.4+mm%26search_id%3D2025071705041194F6D7E04A4D45191CX7%26src%3Dsearch&amp;t_id=1752728510891&amp;t_st=2&amp;t_pp="&amp;"search_result&amp;t_efo=search_pure_goods_card&amp;t_ef=goods_search&amp;t_sm=&amp;t_spt=search_result")</f>
        <v>https://www.tokopedia.com/bintangkencana/skun-kabel-y-svs-2-4-scun-cable-svs2-4-dengan-isolasi-vorge-hitam-1075c?extParam=ivf%3Dfalse%26keyword%3Dskun+y+2.4+mm%26search_id%3D2025071705041194F6D7E04A4D45191CX7%26src%3Dsearch&amp;t_id=1752728510891&amp;t_st=2&amp;t_pp=search_result&amp;t_efo=search_pure_goods_card&amp;t_ef=goods_search&amp;t_sm=&amp;t_spt=search_result</v>
      </c>
      <c r="L254" s="3" t="str">
        <f>IFERROR(__xludf.DUMMYFUNCTION("""COMPUTED_VALUE"""),"Untuk peremajaan panel kontrol WWTP")</f>
        <v>Untuk peremajaan panel kontrol WWTP</v>
      </c>
      <c r="M254" s="3" t="str">
        <f>IFERROR(__xludf.DUMMYFUNCTION("""COMPUTED_VALUE"""),"Approve")</f>
        <v>Approve</v>
      </c>
      <c r="N254" s="3" t="str">
        <f>IFERROR(__xludf.DUMMYFUNCTION("""COMPUTED_VALUE"""),"Normal")</f>
        <v>Normal</v>
      </c>
      <c r="O254" s="3" t="str">
        <f>IFERROR(__xludf.DUMMYFUNCTION("""COMPUTED_VALUE"""),"Non Urgent")</f>
        <v>Non Urgent</v>
      </c>
      <c r="P254" s="7">
        <f>IFERROR(__xludf.DUMMYFUNCTION("""COMPUTED_VALUE"""),45896.50141480324)</f>
        <v>45896.50141</v>
      </c>
    </row>
    <row r="255">
      <c r="A255" s="4">
        <f>IFERROR(__xludf.DUMMYFUNCTION("""COMPUTED_VALUE"""),45891.58188841435)</f>
        <v>45891.58189</v>
      </c>
      <c r="B255" s="3" t="str">
        <f>IFERROR(__xludf.DUMMYFUNCTION("""COMPUTED_VALUE"""),"RIABR0076")</f>
        <v>RIABR0076</v>
      </c>
      <c r="C255" s="3" t="str">
        <f>IFERROR(__xludf.DUMMYFUNCTION("""COMPUTED_VALUE"""),"EJO")</f>
        <v>EJO</v>
      </c>
      <c r="D255" s="3" t="str">
        <f>IFERROR(__xludf.DUMMYFUNCTION("""COMPUTED_VALUE"""),"EJO/2025/08/56")</f>
        <v>EJO/2025/08/56</v>
      </c>
      <c r="E255" s="3" t="str">
        <f>IFERROR(__xludf.DUMMYFUNCTION("""COMPUTED_VALUE"""),"WWTP")</f>
        <v>WWTP</v>
      </c>
      <c r="F255" s="3" t="str">
        <f>IFERROR(__xludf.DUMMYFUNCTION("""COMPUTED_VALUE"""),"Skun Kabel O 2.5mm Merah")</f>
        <v>Skun Kabel O 2.5mm Merah</v>
      </c>
      <c r="G255" s="3" t="str">
        <f>IFERROR(__xludf.DUMMYFUNCTION("""COMPUTED_VALUE"""),"Skun Kabel O 2.5mm Merah")</f>
        <v>Skun Kabel O 2.5mm Merah</v>
      </c>
      <c r="H255" s="3" t="str">
        <f>IFERROR(__xludf.DUMMYFUNCTION("""COMPUTED_VALUE"""),"Ewig")</f>
        <v>Ewig</v>
      </c>
      <c r="I255" s="3">
        <f>IFERROR(__xludf.DUMMYFUNCTION("""COMPUTED_VALUE"""),1.0)</f>
        <v>1</v>
      </c>
      <c r="J255" s="3" t="str">
        <f>IFERROR(__xludf.DUMMYFUNCTION("""COMPUTED_VALUE"""),"Pack")</f>
        <v>Pack</v>
      </c>
      <c r="K255" s="5" t="str">
        <f>IFERROR(__xludf.DUMMYFUNCTION("""COMPUTED_VALUE"""),"https://www.tokopedia.com/jagoanelektrik/skun-kabel-o-ring-2-4-5-skun-kabel-2-5-mm-good-quality?extParam=ivf%3Dfalse%26keyword%3Dskun+o+2.5%26search_id%3D2025071309440726E359E83860DB252N2D%26src%3Dsearch&amp;t_id=1752399739361&amp;t_st=3&amp;t_pp=search_result&amp;t_efo="&amp;"search_pure_goods_card&amp;t_ef=goods_search&amp;t_sm=&amp;t_spt=search_result")</f>
        <v>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v>
      </c>
      <c r="L255" s="3" t="str">
        <f>IFERROR(__xludf.DUMMYFUNCTION("""COMPUTED_VALUE"""),"Untuk peremajaan panel kontrol WWTP")</f>
        <v>Untuk peremajaan panel kontrol WWTP</v>
      </c>
      <c r="M255" s="3" t="str">
        <f>IFERROR(__xludf.DUMMYFUNCTION("""COMPUTED_VALUE"""),"Approve")</f>
        <v>Approve</v>
      </c>
      <c r="N255" s="3" t="str">
        <f>IFERROR(__xludf.DUMMYFUNCTION("""COMPUTED_VALUE"""),"Normal")</f>
        <v>Normal</v>
      </c>
      <c r="O255" s="3" t="str">
        <f>IFERROR(__xludf.DUMMYFUNCTION("""COMPUTED_VALUE"""),"Non Urgent")</f>
        <v>Non Urgent</v>
      </c>
      <c r="P255" s="7">
        <f>IFERROR(__xludf.DUMMYFUNCTION("""COMPUTED_VALUE"""),45896.49956871528)</f>
        <v>45896.49957</v>
      </c>
    </row>
    <row r="256">
      <c r="A256" s="4">
        <f>IFERROR(__xludf.DUMMYFUNCTION("""COMPUTED_VALUE"""),45891.58188841435)</f>
        <v>45891.58189</v>
      </c>
      <c r="B256" s="3" t="str">
        <f>IFERROR(__xludf.DUMMYFUNCTION("""COMPUTED_VALUE"""),"RIABR0077")</f>
        <v>RIABR0077</v>
      </c>
      <c r="C256" s="3" t="str">
        <f>IFERROR(__xludf.DUMMYFUNCTION("""COMPUTED_VALUE"""),"EJO")</f>
        <v>EJO</v>
      </c>
      <c r="D256" s="3" t="str">
        <f>IFERROR(__xludf.DUMMYFUNCTION("""COMPUTED_VALUE"""),"EJO/2025/08/56")</f>
        <v>EJO/2025/08/56</v>
      </c>
      <c r="E256" s="3" t="str">
        <f>IFERROR(__xludf.DUMMYFUNCTION("""COMPUTED_VALUE"""),"WWTP")</f>
        <v>WWTP</v>
      </c>
      <c r="F256" s="3" t="str">
        <f>IFERROR(__xludf.DUMMYFUNCTION("""COMPUTED_VALUE"""),"Skun Kabel O 2.5mm Kuning")</f>
        <v>Skun Kabel O 2.5mm Kuning</v>
      </c>
      <c r="G256" s="3" t="str">
        <f>IFERROR(__xludf.DUMMYFUNCTION("""COMPUTED_VALUE"""),"Skun Kabel O 2.5mm Kuning")</f>
        <v>Skun Kabel O 2.5mm Kuning</v>
      </c>
      <c r="H256" s="3" t="str">
        <f>IFERROR(__xludf.DUMMYFUNCTION("""COMPUTED_VALUE"""),"Ewig")</f>
        <v>Ewig</v>
      </c>
      <c r="I256" s="3">
        <f>IFERROR(__xludf.DUMMYFUNCTION("""COMPUTED_VALUE"""),1.0)</f>
        <v>1</v>
      </c>
      <c r="J256" s="3" t="str">
        <f>IFERROR(__xludf.DUMMYFUNCTION("""COMPUTED_VALUE"""),"Pack")</f>
        <v>Pack</v>
      </c>
      <c r="K256" s="5" t="str">
        <f>IFERROR(__xludf.DUMMYFUNCTION("""COMPUTED_VALUE"""),"https://www.tokopedia.com/jagoanelektrik/skun-kabel-o-ring-2-4-5-skun-kabel-2-5-mm-good-quality?extParam=ivf%3Dfalse%26keyword%3Dskun+o+2.5%26search_id%3D2025071309440726E359E83860DB252N2D%26src%3Dsearch&amp;t_id=1752399739361&amp;t_st=3&amp;t_pp=search_result&amp;t_efo="&amp;"search_pure_goods_card&amp;t_ef=goods_search&amp;t_sm=&amp;t_spt=search_result")</f>
        <v>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v>
      </c>
      <c r="L256" s="3" t="str">
        <f>IFERROR(__xludf.DUMMYFUNCTION("""COMPUTED_VALUE"""),"Untuk peremajaan panel kontrol WWTP")</f>
        <v>Untuk peremajaan panel kontrol WWTP</v>
      </c>
      <c r="M256" s="3" t="str">
        <f>IFERROR(__xludf.DUMMYFUNCTION("""COMPUTED_VALUE"""),"Approve")</f>
        <v>Approve</v>
      </c>
      <c r="N256" s="3" t="str">
        <f>IFERROR(__xludf.DUMMYFUNCTION("""COMPUTED_VALUE"""),"Normal")</f>
        <v>Normal</v>
      </c>
      <c r="O256" s="3" t="str">
        <f>IFERROR(__xludf.DUMMYFUNCTION("""COMPUTED_VALUE"""),"Non Urgent")</f>
        <v>Non Urgent</v>
      </c>
      <c r="P256" s="7">
        <f>IFERROR(__xludf.DUMMYFUNCTION("""COMPUTED_VALUE"""),45896.499428958334)</f>
        <v>45896.49943</v>
      </c>
    </row>
    <row r="257">
      <c r="A257" s="4">
        <f>IFERROR(__xludf.DUMMYFUNCTION("""COMPUTED_VALUE"""),45891.58188841435)</f>
        <v>45891.58189</v>
      </c>
      <c r="B257" s="3" t="str">
        <f>IFERROR(__xludf.DUMMYFUNCTION("""COMPUTED_VALUE"""),"RIABR0078")</f>
        <v>RIABR0078</v>
      </c>
      <c r="C257" s="3" t="str">
        <f>IFERROR(__xludf.DUMMYFUNCTION("""COMPUTED_VALUE"""),"EJO")</f>
        <v>EJO</v>
      </c>
      <c r="D257" s="3" t="str">
        <f>IFERROR(__xludf.DUMMYFUNCTION("""COMPUTED_VALUE"""),"EJO/2025/08/56")</f>
        <v>EJO/2025/08/56</v>
      </c>
      <c r="E257" s="3" t="str">
        <f>IFERROR(__xludf.DUMMYFUNCTION("""COMPUTED_VALUE"""),"WWTP")</f>
        <v>WWTP</v>
      </c>
      <c r="F257" s="3" t="str">
        <f>IFERROR(__xludf.DUMMYFUNCTION("""COMPUTED_VALUE"""),"Skun Kabel O 2.5mm Hijau")</f>
        <v>Skun Kabel O 2.5mm Hijau</v>
      </c>
      <c r="G257" s="3" t="str">
        <f>IFERROR(__xludf.DUMMYFUNCTION("""COMPUTED_VALUE"""),"Skun Kabel O 2.5mm Hijau")</f>
        <v>Skun Kabel O 2.5mm Hijau</v>
      </c>
      <c r="H257" s="3" t="str">
        <f>IFERROR(__xludf.DUMMYFUNCTION("""COMPUTED_VALUE"""),"Ewig")</f>
        <v>Ewig</v>
      </c>
      <c r="I257" s="3">
        <f>IFERROR(__xludf.DUMMYFUNCTION("""COMPUTED_VALUE"""),1.0)</f>
        <v>1</v>
      </c>
      <c r="J257" s="3" t="str">
        <f>IFERROR(__xludf.DUMMYFUNCTION("""COMPUTED_VALUE"""),"Pack")</f>
        <v>Pack</v>
      </c>
      <c r="K257" s="5" t="str">
        <f>IFERROR(__xludf.DUMMYFUNCTION("""COMPUTED_VALUE"""),"https://www.tokopedia.com/jagoanelektrik/skun-kabel-o-ring-2-4-5-skun-kabel-2-5-mm-good-quality?extParam=ivf%3Dfalse%26keyword%3Dskun+o+2.5%26search_id%3D2025071309440726E359E83860DB252N2D%26src%3Dsearch&amp;t_id=1752399739361&amp;t_st=3&amp;t_pp=search_result&amp;t_efo="&amp;"search_pure_goods_card&amp;t_ef=goods_search&amp;t_sm=&amp;t_spt=search_result")</f>
        <v>https://www.tokopedia.com/jagoanelektrik/skun-kabel-o-ring-2-4-5-skun-kabel-2-5-mm-good-quality?extParam=ivf%3Dfalse%26keyword%3Dskun+o+2.5%26search_id%3D2025071309440726E359E83860DB252N2D%26src%3Dsearch&amp;t_id=1752399739361&amp;t_st=3&amp;t_pp=search_result&amp;t_efo=search_pure_goods_card&amp;t_ef=goods_search&amp;t_sm=&amp;t_spt=search_result</v>
      </c>
      <c r="L257" s="3" t="str">
        <f>IFERROR(__xludf.DUMMYFUNCTION("""COMPUTED_VALUE"""),"Untuk peremajaan panel kontrol WWTP")</f>
        <v>Untuk peremajaan panel kontrol WWTP</v>
      </c>
      <c r="M257" s="3" t="str">
        <f>IFERROR(__xludf.DUMMYFUNCTION("""COMPUTED_VALUE"""),"Approve")</f>
        <v>Approve</v>
      </c>
      <c r="N257" s="3" t="str">
        <f>IFERROR(__xludf.DUMMYFUNCTION("""COMPUTED_VALUE"""),"Normal")</f>
        <v>Normal</v>
      </c>
      <c r="O257" s="3" t="str">
        <f>IFERROR(__xludf.DUMMYFUNCTION("""COMPUTED_VALUE"""),"Non Urgent")</f>
        <v>Non Urgent</v>
      </c>
      <c r="P257" s="7">
        <f>IFERROR(__xludf.DUMMYFUNCTION("""COMPUTED_VALUE"""),45896.499278981486)</f>
        <v>45896.49928</v>
      </c>
    </row>
    <row r="258">
      <c r="A258" s="4">
        <f>IFERROR(__xludf.DUMMYFUNCTION("""COMPUTED_VALUE"""),45891.58188841435)</f>
        <v>45891.58189</v>
      </c>
      <c r="B258" s="3" t="str">
        <f>IFERROR(__xludf.DUMMYFUNCTION("""COMPUTED_VALUE"""),"RIABR0079")</f>
        <v>RIABR0079</v>
      </c>
      <c r="C258" s="3" t="str">
        <f>IFERROR(__xludf.DUMMYFUNCTION("""COMPUTED_VALUE"""),"EJO")</f>
        <v>EJO</v>
      </c>
      <c r="D258" s="3" t="str">
        <f>IFERROR(__xludf.DUMMYFUNCTION("""COMPUTED_VALUE"""),"EJO/2025/08/56")</f>
        <v>EJO/2025/08/56</v>
      </c>
      <c r="E258" s="3" t="str">
        <f>IFERROR(__xludf.DUMMYFUNCTION("""COMPUTED_VALUE"""),"WWTP")</f>
        <v>WWTP</v>
      </c>
      <c r="F258" s="3" t="str">
        <f>IFERROR(__xludf.DUMMYFUNCTION("""COMPUTED_VALUE"""),"Tagging Kabel")</f>
        <v>Tagging Kabel</v>
      </c>
      <c r="G258" s="3" t="str">
        <f>IFERROR(__xludf.DUMMYFUNCTION("""COMPUTED_VALUE"""),"Tagging Kabel")</f>
        <v>Tagging Kabel</v>
      </c>
      <c r="H258" s="3" t="str">
        <f>IFERROR(__xludf.DUMMYFUNCTION("""COMPUTED_VALUE"""),"Lokal")</f>
        <v>Lokal</v>
      </c>
      <c r="I258" s="3">
        <f>IFERROR(__xludf.DUMMYFUNCTION("""COMPUTED_VALUE"""),500.0)</f>
        <v>500</v>
      </c>
      <c r="J258" s="3" t="str">
        <f>IFERROR(__xludf.DUMMYFUNCTION("""COMPUTED_VALUE"""),"Pcs")</f>
        <v>Pcs</v>
      </c>
      <c r="K258" s="5" t="str">
        <f>IFERROR(__xludf.DUMMYFUNCTION("""COMPUTED_VALUE"""),"https://www.tokopedia.com/visitek/cable-label-name-tag-identification-id-labeler-penamaan-kabel-wire-tipe-a-3010?extParam=ivf%3Dfalse%26keyword%3Dtagging+kabel%26search_id%3D20250711205253577BCC914F9E55120LKR%26src%3Dsearch&amp;t_id=1752266597747&amp;t_st=6&amp;t_pp="&amp;"search_result&amp;t_efo=search_pure_goods_card&amp;t_ef=goods_search&amp;t_sm=&amp;t_spt=search_result")</f>
        <v>https://www.tokopedia.com/visitek/cable-label-name-tag-identification-id-labeler-penamaan-kabel-wire-tipe-a-3010?extParam=ivf%3Dfalse%26keyword%3Dtagging+kabel%26search_id%3D20250711205253577BCC914F9E55120LKR%26src%3Dsearch&amp;t_id=1752266597747&amp;t_st=6&amp;t_pp=search_result&amp;t_efo=search_pure_goods_card&amp;t_ef=goods_search&amp;t_sm=&amp;t_spt=search_result</v>
      </c>
      <c r="L258" s="3" t="str">
        <f>IFERROR(__xludf.DUMMYFUNCTION("""COMPUTED_VALUE"""),"Untuk peremajaan panel kontrol WWTP")</f>
        <v>Untuk peremajaan panel kontrol WWTP</v>
      </c>
      <c r="M258" s="3" t="str">
        <f>IFERROR(__xludf.DUMMYFUNCTION("""COMPUTED_VALUE"""),"Approve")</f>
        <v>Approve</v>
      </c>
      <c r="N258" s="3" t="str">
        <f>IFERROR(__xludf.DUMMYFUNCTION("""COMPUTED_VALUE"""),"Normal")</f>
        <v>Normal</v>
      </c>
      <c r="O258" s="3" t="str">
        <f>IFERROR(__xludf.DUMMYFUNCTION("""COMPUTED_VALUE"""),"Non Urgent")</f>
        <v>Non Urgent</v>
      </c>
      <c r="P258" s="7">
        <f>IFERROR(__xludf.DUMMYFUNCTION("""COMPUTED_VALUE"""),45896.49913887732)</f>
        <v>45896.49914</v>
      </c>
    </row>
    <row r="259">
      <c r="A259" s="4">
        <f>IFERROR(__xludf.DUMMYFUNCTION("""COMPUTED_VALUE"""),45891.58188841435)</f>
        <v>45891.58189</v>
      </c>
      <c r="B259" s="3" t="str">
        <f>IFERROR(__xludf.DUMMYFUNCTION("""COMPUTED_VALUE"""),"RIABR0080")</f>
        <v>RIABR0080</v>
      </c>
      <c r="C259" s="3" t="str">
        <f>IFERROR(__xludf.DUMMYFUNCTION("""COMPUTED_VALUE"""),"EJO")</f>
        <v>EJO</v>
      </c>
      <c r="D259" s="3" t="str">
        <f>IFERROR(__xludf.DUMMYFUNCTION("""COMPUTED_VALUE"""),"EJO/2025/08/56")</f>
        <v>EJO/2025/08/56</v>
      </c>
      <c r="E259" s="3" t="str">
        <f>IFERROR(__xludf.DUMMYFUNCTION("""COMPUTED_VALUE"""),"WWTP")</f>
        <v>WWTP</v>
      </c>
      <c r="F259" s="3" t="str">
        <f>IFERROR(__xludf.DUMMYFUNCTION("""COMPUTED_VALUE"""),"Pilot Lamp AD22-22DS 220VAC Hijau")</f>
        <v>Pilot Lamp AD22-22DS 220VAC Hijau</v>
      </c>
      <c r="G259" s="3" t="str">
        <f>IFERROR(__xludf.DUMMYFUNCTION("""COMPUTED_VALUE"""),"Pilot Lamp AD22-22DS 220VAC Hijau")</f>
        <v>Pilot Lamp AD22-22DS 220VAC Hijau</v>
      </c>
      <c r="H259" s="3" t="str">
        <f>IFERROR(__xludf.DUMMYFUNCTION("""COMPUTED_VALUE"""),"Fort")</f>
        <v>Fort</v>
      </c>
      <c r="I259" s="3">
        <f>IFERROR(__xludf.DUMMYFUNCTION("""COMPUTED_VALUE"""),10.0)</f>
        <v>10</v>
      </c>
      <c r="J259" s="3" t="str">
        <f>IFERROR(__xludf.DUMMYFUNCTION("""COMPUTED_VALUE"""),"Pcs")</f>
        <v>Pcs</v>
      </c>
      <c r="K259" s="5" t="str">
        <f>IFERROR(__xludf.DUMMYFUNCTION("""COMPUTED_VALUE"""),"https://www.tokopedia.com/electrical7/pilot-lamp-led-22m-merah-kuning-hijau-ad22-22ds-220v-fort-merah?extParam=ivf%3Dfalse%26keyword%3Dpilot+lamp+fort+220%26search_id%3D202507130948525737C6EC2E07162C2F2R%26src%3Dsearch&amp;t_id=1752399739361&amp;t_st=5&amp;t_pp=searc"&amp;"h_result&amp;t_efo=search_pure_goods_card&amp;t_ef=goods_search&amp;t_sm=&amp;t_spt=search_result")</f>
        <v>https://www.tokopedia.com/electrical7/pilot-lamp-led-22m-merah-kuning-hijau-ad22-22ds-220v-fort-merah?extParam=ivf%3Dfalse%26keyword%3Dpilot+lamp+fort+220%26search_id%3D202507130948525737C6EC2E07162C2F2R%26src%3Dsearch&amp;t_id=1752399739361&amp;t_st=5&amp;t_pp=search_result&amp;t_efo=search_pure_goods_card&amp;t_ef=goods_search&amp;t_sm=&amp;t_spt=search_result</v>
      </c>
      <c r="L259" s="3" t="str">
        <f>IFERROR(__xludf.DUMMYFUNCTION("""COMPUTED_VALUE"""),"Untuk peremajaan panel kontrol WWTP")</f>
        <v>Untuk peremajaan panel kontrol WWTP</v>
      </c>
      <c r="M259" s="3" t="str">
        <f>IFERROR(__xludf.DUMMYFUNCTION("""COMPUTED_VALUE"""),"Approve")</f>
        <v>Approve</v>
      </c>
      <c r="N259" s="3" t="str">
        <f>IFERROR(__xludf.DUMMYFUNCTION("""COMPUTED_VALUE"""),"Normal")</f>
        <v>Normal</v>
      </c>
      <c r="O259" s="3" t="str">
        <f>IFERROR(__xludf.DUMMYFUNCTION("""COMPUTED_VALUE"""),"Non Urgent")</f>
        <v>Non Urgent</v>
      </c>
      <c r="P259" s="7">
        <f>IFERROR(__xludf.DUMMYFUNCTION("""COMPUTED_VALUE"""),45896.49896917824)</f>
        <v>45896.49897</v>
      </c>
    </row>
    <row r="260">
      <c r="A260" s="4">
        <f>IFERROR(__xludf.DUMMYFUNCTION("""COMPUTED_VALUE"""),45891.58188841435)</f>
        <v>45891.58189</v>
      </c>
      <c r="B260" s="3" t="str">
        <f>IFERROR(__xludf.DUMMYFUNCTION("""COMPUTED_VALUE"""),"RIABR0081")</f>
        <v>RIABR0081</v>
      </c>
      <c r="C260" s="3" t="str">
        <f>IFERROR(__xludf.DUMMYFUNCTION("""COMPUTED_VALUE"""),"EJO")</f>
        <v>EJO</v>
      </c>
      <c r="D260" s="3" t="str">
        <f>IFERROR(__xludf.DUMMYFUNCTION("""COMPUTED_VALUE"""),"EJO/2025/08/56")</f>
        <v>EJO/2025/08/56</v>
      </c>
      <c r="E260" s="3" t="str">
        <f>IFERROR(__xludf.DUMMYFUNCTION("""COMPUTED_VALUE"""),"WWTP")</f>
        <v>WWTP</v>
      </c>
      <c r="F260" s="3" t="str">
        <f>IFERROR(__xludf.DUMMYFUNCTION("""COMPUTED_VALUE"""),"Pilot Lamp AD22-22DS 220VAC Kuning")</f>
        <v>Pilot Lamp AD22-22DS 220VAC Kuning</v>
      </c>
      <c r="G260" s="3" t="str">
        <f>IFERROR(__xludf.DUMMYFUNCTION("""COMPUTED_VALUE"""),"Pilot Lamp AD22-22DS 220VAC Kuning")</f>
        <v>Pilot Lamp AD22-22DS 220VAC Kuning</v>
      </c>
      <c r="H260" s="3" t="str">
        <f>IFERROR(__xludf.DUMMYFUNCTION("""COMPUTED_VALUE"""),"Fort")</f>
        <v>Fort</v>
      </c>
      <c r="I260" s="3">
        <f>IFERROR(__xludf.DUMMYFUNCTION("""COMPUTED_VALUE"""),1.0)</f>
        <v>1</v>
      </c>
      <c r="J260" s="3" t="str">
        <f>IFERROR(__xludf.DUMMYFUNCTION("""COMPUTED_VALUE"""),"Pcs")</f>
        <v>Pcs</v>
      </c>
      <c r="K260" s="5" t="str">
        <f>IFERROR(__xludf.DUMMYFUNCTION("""COMPUTED_VALUE"""),"https://www.tokopedia.com/electrical7/pilot-lamp-led-22m-merah-kuning-hijau-ad22-22ds-220v-fort-merah?extParam=ivf%3Dfalse%26keyword%3Dpilot+lamp+fort+220%26search_id%3D202507130948525737C6EC2E07162C2F2R%26src%3Dsearch&amp;t_id=1752399739361&amp;t_st=5&amp;t_pp=searc"&amp;"h_result&amp;t_efo=search_pure_goods_card&amp;t_ef=goods_search&amp;t_sm=&amp;t_spt=search_result")</f>
        <v>https://www.tokopedia.com/electrical7/pilot-lamp-led-22m-merah-kuning-hijau-ad22-22ds-220v-fort-merah?extParam=ivf%3Dfalse%26keyword%3Dpilot+lamp+fort+220%26search_id%3D202507130948525737C6EC2E07162C2F2R%26src%3Dsearch&amp;t_id=1752399739361&amp;t_st=5&amp;t_pp=search_result&amp;t_efo=search_pure_goods_card&amp;t_ef=goods_search&amp;t_sm=&amp;t_spt=search_result</v>
      </c>
      <c r="L260" s="3" t="str">
        <f>IFERROR(__xludf.DUMMYFUNCTION("""COMPUTED_VALUE"""),"Untuk peremajaan panel kontrol WWTP")</f>
        <v>Untuk peremajaan panel kontrol WWTP</v>
      </c>
      <c r="M260" s="3" t="str">
        <f>IFERROR(__xludf.DUMMYFUNCTION("""COMPUTED_VALUE"""),"Approve")</f>
        <v>Approve</v>
      </c>
      <c r="N260" s="3" t="str">
        <f>IFERROR(__xludf.DUMMYFUNCTION("""COMPUTED_VALUE"""),"Normal")</f>
        <v>Normal</v>
      </c>
      <c r="O260" s="3" t="str">
        <f>IFERROR(__xludf.DUMMYFUNCTION("""COMPUTED_VALUE"""),"Non Urgent")</f>
        <v>Non Urgent</v>
      </c>
      <c r="P260" s="7">
        <f>IFERROR(__xludf.DUMMYFUNCTION("""COMPUTED_VALUE"""),45896.498795949075)</f>
        <v>45896.4988</v>
      </c>
    </row>
    <row r="261">
      <c r="A261" s="4">
        <f>IFERROR(__xludf.DUMMYFUNCTION("""COMPUTED_VALUE"""),45891.58188841435)</f>
        <v>45891.58189</v>
      </c>
      <c r="B261" s="3" t="str">
        <f>IFERROR(__xludf.DUMMYFUNCTION("""COMPUTED_VALUE"""),"RIABR0083")</f>
        <v>RIABR0083</v>
      </c>
      <c r="C261" s="3" t="str">
        <f>IFERROR(__xludf.DUMMYFUNCTION("""COMPUTED_VALUE"""),"EJO")</f>
        <v>EJO</v>
      </c>
      <c r="D261" s="3" t="str">
        <f>IFERROR(__xludf.DUMMYFUNCTION("""COMPUTED_VALUE"""),"EJO/2025/08/56")</f>
        <v>EJO/2025/08/56</v>
      </c>
      <c r="E261" s="3" t="str">
        <f>IFERROR(__xludf.DUMMYFUNCTION("""COMPUTED_VALUE"""),"WWTP")</f>
        <v>WWTP</v>
      </c>
      <c r="F261" s="3" t="str">
        <f>IFERROR(__xludf.DUMMYFUNCTION("""COMPUTED_VALUE"""),"Selector Switch 3 Posisi YW1S-3E20")</f>
        <v>Selector Switch 3 Posisi YW1S-3E20</v>
      </c>
      <c r="G261" s="3" t="str">
        <f>IFERROR(__xludf.DUMMYFUNCTION("""COMPUTED_VALUE"""),"Selector Switch 3 Posisi YW1S-3E20")</f>
        <v>Selector Switch 3 Posisi YW1S-3E20</v>
      </c>
      <c r="H261" s="3" t="str">
        <f>IFERROR(__xludf.DUMMYFUNCTION("""COMPUTED_VALUE"""),"Idec")</f>
        <v>Idec</v>
      </c>
      <c r="I261" s="3">
        <f>IFERROR(__xludf.DUMMYFUNCTION("""COMPUTED_VALUE"""),9.0)</f>
        <v>9</v>
      </c>
      <c r="J261" s="3" t="str">
        <f>IFERROR(__xludf.DUMMYFUNCTION("""COMPUTED_VALUE"""),"Pcs")</f>
        <v>Pcs</v>
      </c>
      <c r="K261" s="5" t="str">
        <f>IFERROR(__xludf.DUMMYFUNCTION("""COMPUTED_VALUE"""),"https://www.tokopedia.com/kedaielect/idec-selector-switch-3posisi-22mm-yw1s-3e20?extParam=ivf%3Dfalse%26keyword%3Dselector+switch+3+posisi+22+mm+idec%26search_id%3D2025071309512563923F49E524130BE7D6%26src%3Dsearch&amp;t_id=1752399739361&amp;t_st=7&amp;t_pp=search_res"&amp;"ult&amp;t_efo=search_pure_goods_card&amp;t_ef=goods_search&amp;t_sm=&amp;t_spt=search_result")</f>
        <v>https://www.tokopedia.com/kedaielect/idec-selector-switch-3posisi-22mm-yw1s-3e20?extParam=ivf%3Dfalse%26keyword%3Dselector+switch+3+posisi+22+mm+idec%26search_id%3D2025071309512563923F49E524130BE7D6%26src%3Dsearch&amp;t_id=1752399739361&amp;t_st=7&amp;t_pp=search_result&amp;t_efo=search_pure_goods_card&amp;t_ef=goods_search&amp;t_sm=&amp;t_spt=search_result</v>
      </c>
      <c r="L261" s="3" t="str">
        <f>IFERROR(__xludf.DUMMYFUNCTION("""COMPUTED_VALUE"""),"Untuk peremajaan panel kontrol WWTP")</f>
        <v>Untuk peremajaan panel kontrol WWTP</v>
      </c>
      <c r="M261" s="3" t="str">
        <f>IFERROR(__xludf.DUMMYFUNCTION("""COMPUTED_VALUE"""),"Approve")</f>
        <v>Approve</v>
      </c>
      <c r="N261" s="3" t="str">
        <f>IFERROR(__xludf.DUMMYFUNCTION("""COMPUTED_VALUE"""),"Normal")</f>
        <v>Normal</v>
      </c>
      <c r="O261" s="3" t="str">
        <f>IFERROR(__xludf.DUMMYFUNCTION("""COMPUTED_VALUE"""),"Non Urgent")</f>
        <v>Non Urgent</v>
      </c>
      <c r="P261" s="7">
        <f>IFERROR(__xludf.DUMMYFUNCTION("""COMPUTED_VALUE"""),45921.881087685186)</f>
        <v>45921.88109</v>
      </c>
    </row>
    <row r="262">
      <c r="A262" s="4">
        <f>IFERROR(__xludf.DUMMYFUNCTION("""COMPUTED_VALUE"""),45891.58188841435)</f>
        <v>45891.58189</v>
      </c>
      <c r="B262" s="3" t="str">
        <f>IFERROR(__xludf.DUMMYFUNCTION("""COMPUTED_VALUE"""),"RIABR0084")</f>
        <v>RIABR0084</v>
      </c>
      <c r="C262" s="3" t="str">
        <f>IFERROR(__xludf.DUMMYFUNCTION("""COMPUTED_VALUE"""),"EJO")</f>
        <v>EJO</v>
      </c>
      <c r="D262" s="3" t="str">
        <f>IFERROR(__xludf.DUMMYFUNCTION("""COMPUTED_VALUE"""),"EJO/2025/08/56")</f>
        <v>EJO/2025/08/56</v>
      </c>
      <c r="E262" s="3" t="str">
        <f>IFERROR(__xludf.DUMMYFUNCTION("""COMPUTED_VALUE"""),"WWTP")</f>
        <v>WWTP</v>
      </c>
      <c r="F262" s="3" t="str">
        <f>IFERROR(__xludf.DUMMYFUNCTION("""COMPUTED_VALUE"""),"Kabel 4x2.5 NYYHY")</f>
        <v>Kabel 4x2.5 NYYHY</v>
      </c>
      <c r="G262" s="3" t="str">
        <f>IFERROR(__xludf.DUMMYFUNCTION("""COMPUTED_VALUE"""),"Kabel 4x2.5 NYYHY")</f>
        <v>Kabel 4x2.5 NYYHY</v>
      </c>
      <c r="H262" s="3" t="str">
        <f>IFERROR(__xludf.DUMMYFUNCTION("""COMPUTED_VALUE"""),"Jembo")</f>
        <v>Jembo</v>
      </c>
      <c r="I262" s="3">
        <f>IFERROR(__xludf.DUMMYFUNCTION("""COMPUTED_VALUE"""),1.0)</f>
        <v>1</v>
      </c>
      <c r="J262" s="3" t="str">
        <f>IFERROR(__xludf.DUMMYFUNCTION("""COMPUTED_VALUE"""),"Roll")</f>
        <v>Roll</v>
      </c>
      <c r="K262" s="5" t="str">
        <f>IFERROR(__xludf.DUMMYFUNCTION("""COMPUTED_VALUE"""),"https://www.tokopedia.com/siaplaksanakan/kabel-nyyhy-4x2-5-4x2-5mm-jembo-roll-100-meter-serabut?extParam=ivf%3Dfalse%26keyword%3Dkabel+nyyhy+4x2%2C5+jembo+roll+100+meter+listrik+serabut%26search_id%3D20250713095612CAF1A3DFB505FF37AGWG%26src%3Dsearch&amp;t_id="&amp;"1752399739361&amp;t_st=11&amp;t_pp=search_result&amp;t_efo=search_pure_goods_card&amp;t_ef=goods_search&amp;t_sm=&amp;t_spt=search_result")</f>
        <v>https://www.tokopedia.com/siaplaksanakan/kabel-nyyhy-4x2-5-4x2-5mm-jembo-roll-100-meter-serabut?extParam=ivf%3Dfalse%26keyword%3Dkabel+nyyhy+4x2%2C5+jembo+roll+100+meter+listrik+serabut%26search_id%3D20250713095612CAF1A3DFB505FF37AGWG%26src%3Dsearch&amp;t_id=1752399739361&amp;t_st=11&amp;t_pp=search_result&amp;t_efo=search_pure_goods_card&amp;t_ef=goods_search&amp;t_sm=&amp;t_spt=search_result</v>
      </c>
      <c r="L262" s="3" t="str">
        <f>IFERROR(__xludf.DUMMYFUNCTION("""COMPUTED_VALUE"""),"Untuk peremajaan panel kontrol WWTP")</f>
        <v>Untuk peremajaan panel kontrol WWTP</v>
      </c>
      <c r="M262" s="3" t="str">
        <f>IFERROR(__xludf.DUMMYFUNCTION("""COMPUTED_VALUE"""),"Approve")</f>
        <v>Approve</v>
      </c>
      <c r="N262" s="3" t="str">
        <f>IFERROR(__xludf.DUMMYFUNCTION("""COMPUTED_VALUE"""),"Normal")</f>
        <v>Normal</v>
      </c>
      <c r="O262" s="3" t="str">
        <f>IFERROR(__xludf.DUMMYFUNCTION("""COMPUTED_VALUE"""),"Non Urgent")</f>
        <v>Non Urgent</v>
      </c>
      <c r="P262" s="7">
        <f>IFERROR(__xludf.DUMMYFUNCTION("""COMPUTED_VALUE"""),45921.88119206019)</f>
        <v>45921.88119</v>
      </c>
    </row>
    <row r="263">
      <c r="A263" s="4">
        <f>IFERROR(__xludf.DUMMYFUNCTION("""COMPUTED_VALUE"""),45891.58188841435)</f>
        <v>45891.58189</v>
      </c>
      <c r="B263" s="3" t="str">
        <f>IFERROR(__xludf.DUMMYFUNCTION("""COMPUTED_VALUE"""),"RIABR0085")</f>
        <v>RIABR0085</v>
      </c>
      <c r="C263" s="3" t="str">
        <f>IFERROR(__xludf.DUMMYFUNCTION("""COMPUTED_VALUE"""),"EJO")</f>
        <v>EJO</v>
      </c>
      <c r="D263" s="3" t="str">
        <f>IFERROR(__xludf.DUMMYFUNCTION("""COMPUTED_VALUE"""),"EJO/2025/08/56")</f>
        <v>EJO/2025/08/56</v>
      </c>
      <c r="E263" s="3" t="str">
        <f>IFERROR(__xludf.DUMMYFUNCTION("""COMPUTED_VALUE"""),"WWTP")</f>
        <v>WWTP</v>
      </c>
      <c r="F263" s="3" t="str">
        <f>IFERROR(__xludf.DUMMYFUNCTION("""COMPUTED_VALUE"""),"Kabel 1x1.5 NYAF Hitam")</f>
        <v>Kabel 1x1.5 NYAF Hitam</v>
      </c>
      <c r="G263" s="3" t="str">
        <f>IFERROR(__xludf.DUMMYFUNCTION("""COMPUTED_VALUE"""),"Kabel 1x1.5 NYAF Hitam")</f>
        <v>Kabel 1x1.5 NYAF Hitam</v>
      </c>
      <c r="H263" s="3" t="str">
        <f>IFERROR(__xludf.DUMMYFUNCTION("""COMPUTED_VALUE"""),"Jembo")</f>
        <v>Jembo</v>
      </c>
      <c r="I263" s="3">
        <f>IFERROR(__xludf.DUMMYFUNCTION("""COMPUTED_VALUE"""),1.0)</f>
        <v>1</v>
      </c>
      <c r="J263" s="3" t="str">
        <f>IFERROR(__xludf.DUMMYFUNCTION("""COMPUTED_VALUE"""),"Roll")</f>
        <v>Roll</v>
      </c>
      <c r="K263" s="5" t="str">
        <f>IFERROR(__xludf.DUMMYFUNCTION("""COMPUTED_VALUE"""),"https://www.tokopedia.com/secius/kabel-nyaf-1-5mm-1-5-mm-jembo-serabut-1x1-5-mm-1-roll-50m-50-meter-1731338884034889424?extParam=ivf%3Dfalse%26keyword%3Dkabel+1+x+1.5+tunggal+nyaf+jembo%26search_id%3D20250717050753D947BF06A885DB075ENN%26src%3Dsearch&amp;t_id="&amp;"1752728510891&amp;t_st=5&amp;t_pp=search_result&amp;t_efo=search_pure_goods_card&amp;t_ef=goods_search&amp;t_sm=&amp;t_spt=search_result")</f>
        <v>https://www.tokopedia.com/secius/kabel-nyaf-1-5mm-1-5-mm-jembo-serabut-1x1-5-mm-1-roll-50m-50-meter-1731338884034889424?extParam=ivf%3Dfalse%26keyword%3Dkabel+1+x+1.5+tunggal+nyaf+jembo%26search_id%3D20250717050753D947BF06A885DB075ENN%26src%3Dsearch&amp;t_id=1752728510891&amp;t_st=5&amp;t_pp=search_result&amp;t_efo=search_pure_goods_card&amp;t_ef=goods_search&amp;t_sm=&amp;t_spt=search_result</v>
      </c>
      <c r="L263" s="3" t="str">
        <f>IFERROR(__xludf.DUMMYFUNCTION("""COMPUTED_VALUE"""),"Untuk peremajaan panel kontrol WWTP")</f>
        <v>Untuk peremajaan panel kontrol WWTP</v>
      </c>
      <c r="M263" s="3" t="str">
        <f>IFERROR(__xludf.DUMMYFUNCTION("""COMPUTED_VALUE"""),"Approve")</f>
        <v>Approve</v>
      </c>
      <c r="N263" s="3" t="str">
        <f>IFERROR(__xludf.DUMMYFUNCTION("""COMPUTED_VALUE"""),"Normal")</f>
        <v>Normal</v>
      </c>
      <c r="O263" s="3" t="str">
        <f>IFERROR(__xludf.DUMMYFUNCTION("""COMPUTED_VALUE"""),"Non Urgent")</f>
        <v>Non Urgent</v>
      </c>
      <c r="P263" s="7">
        <f>IFERROR(__xludf.DUMMYFUNCTION("""COMPUTED_VALUE"""),45921.881320625005)</f>
        <v>45921.88132</v>
      </c>
    </row>
    <row r="264">
      <c r="A264" s="4">
        <f>IFERROR(__xludf.DUMMYFUNCTION("""COMPUTED_VALUE"""),45891.58188841435)</f>
        <v>45891.58189</v>
      </c>
      <c r="B264" s="3" t="str">
        <f>IFERROR(__xludf.DUMMYFUNCTION("""COMPUTED_VALUE"""),"RIABR0086")</f>
        <v>RIABR0086</v>
      </c>
      <c r="C264" s="3" t="str">
        <f>IFERROR(__xludf.DUMMYFUNCTION("""COMPUTED_VALUE"""),"EJO")</f>
        <v>EJO</v>
      </c>
      <c r="D264" s="3" t="str">
        <f>IFERROR(__xludf.DUMMYFUNCTION("""COMPUTED_VALUE"""),"EJO/2025/08/56")</f>
        <v>EJO/2025/08/56</v>
      </c>
      <c r="E264" s="3" t="str">
        <f>IFERROR(__xludf.DUMMYFUNCTION("""COMPUTED_VALUE"""),"WWTP")</f>
        <v>WWTP</v>
      </c>
      <c r="F264" s="3" t="str">
        <f>IFERROR(__xludf.DUMMYFUNCTION("""COMPUTED_VALUE"""),"Kabel Duct 32 x 32")</f>
        <v>Kabel Duct 32 x 32</v>
      </c>
      <c r="G264" s="3" t="str">
        <f>IFERROR(__xludf.DUMMYFUNCTION("""COMPUTED_VALUE"""),"Kabel Duct 32 x 32")</f>
        <v>Kabel Duct 32 x 32</v>
      </c>
      <c r="H264" s="3" t="str">
        <f>IFERROR(__xludf.DUMMYFUNCTION("""COMPUTED_VALUE"""),"Lokal")</f>
        <v>Lokal</v>
      </c>
      <c r="I264" s="3">
        <f>IFERROR(__xludf.DUMMYFUNCTION("""COMPUTED_VALUE"""),5.0)</f>
        <v>5</v>
      </c>
      <c r="J264" s="3" t="str">
        <f>IFERROR(__xludf.DUMMYFUNCTION("""COMPUTED_VALUE"""),"Btg")</f>
        <v>Btg</v>
      </c>
      <c r="K264" s="5" t="str">
        <f>IFERROR(__xludf.DUMMYFUNCTION("""COMPUTED_VALUE"""),"https://www.tokopedia.com/jayamaselektrik/kabel-duct-wering-duct-kabel-duck-25x25-32x32-25x45-32x45-lubang-abu-25x25-b2da0?extParam=ivf%3Dfalse%26keyword%3Dkabel+duct+35+mm%26search_id%3D20250713095707496E05E1AEA0A92F4C2W%26src%3Dsearch&amp;t_id=1752399739361"&amp;"&amp;t_st=12&amp;t_pp=search_result&amp;t_efo=search_pure_goods_card&amp;t_ef=goods_search&amp;t_sm=&amp;t_spt=search_result")</f>
        <v>https://www.tokopedia.com/jayamaselektrik/kabel-duct-wering-duct-kabel-duck-25x25-32x32-25x45-32x45-lubang-abu-25x25-b2da0?extParam=ivf%3Dfalse%26keyword%3Dkabel+duct+35+mm%26search_id%3D20250713095707496E05E1AEA0A92F4C2W%26src%3Dsearch&amp;t_id=1752399739361&amp;t_st=12&amp;t_pp=search_result&amp;t_efo=search_pure_goods_card&amp;t_ef=goods_search&amp;t_sm=&amp;t_spt=search_result</v>
      </c>
      <c r="L264" s="3" t="str">
        <f>IFERROR(__xludf.DUMMYFUNCTION("""COMPUTED_VALUE"""),"Untuk peremajaan panel kontrol WWTP")</f>
        <v>Untuk peremajaan panel kontrol WWTP</v>
      </c>
      <c r="M264" s="3" t="str">
        <f>IFERROR(__xludf.DUMMYFUNCTION("""COMPUTED_VALUE"""),"Approve")</f>
        <v>Approve</v>
      </c>
      <c r="N264" s="3" t="str">
        <f>IFERROR(__xludf.DUMMYFUNCTION("""COMPUTED_VALUE"""),"Normal")</f>
        <v>Normal</v>
      </c>
      <c r="O264" s="3" t="str">
        <f>IFERROR(__xludf.DUMMYFUNCTION("""COMPUTED_VALUE"""),"Non Urgent")</f>
        <v>Non Urgent</v>
      </c>
      <c r="P264" s="7">
        <f>IFERROR(__xludf.DUMMYFUNCTION("""COMPUTED_VALUE"""),45921.88142194445)</f>
        <v>45921.88142</v>
      </c>
    </row>
    <row r="265">
      <c r="A265" s="4">
        <f>IFERROR(__xludf.DUMMYFUNCTION("""COMPUTED_VALUE"""),45891.58188841435)</f>
        <v>45891.58189</v>
      </c>
      <c r="B265" s="3" t="str">
        <f>IFERROR(__xludf.DUMMYFUNCTION("""COMPUTED_VALUE"""),"RIABR0087")</f>
        <v>RIABR0087</v>
      </c>
      <c r="C265" s="3" t="str">
        <f>IFERROR(__xludf.DUMMYFUNCTION("""COMPUTED_VALUE"""),"EJO")</f>
        <v>EJO</v>
      </c>
      <c r="D265" s="3" t="str">
        <f>IFERROR(__xludf.DUMMYFUNCTION("""COMPUTED_VALUE"""),"EJO/2025/08/56")</f>
        <v>EJO/2025/08/56</v>
      </c>
      <c r="E265" s="3" t="str">
        <f>IFERROR(__xludf.DUMMYFUNCTION("""COMPUTED_VALUE"""),"WWTP")</f>
        <v>WWTP</v>
      </c>
      <c r="F265" s="3" t="str">
        <f>IFERROR(__xludf.DUMMYFUNCTION("""COMPUTED_VALUE"""),"Hole Saw 23 mm Stainless Steel")</f>
        <v>Hole Saw 23 mm Stainless Steel</v>
      </c>
      <c r="G265" s="3" t="str">
        <f>IFERROR(__xludf.DUMMYFUNCTION("""COMPUTED_VALUE"""),"Hole Saw 23 mm Stainless Steel")</f>
        <v>Hole Saw 23 mm Stainless Steel</v>
      </c>
      <c r="H265" s="3" t="str">
        <f>IFERROR(__xludf.DUMMYFUNCTION("""COMPUTED_VALUE"""),"Kugel")</f>
        <v>Kugel</v>
      </c>
      <c r="I265" s="3">
        <f>IFERROR(__xludf.DUMMYFUNCTION("""COMPUTED_VALUE"""),2.0)</f>
        <v>2</v>
      </c>
      <c r="J265" s="3" t="str">
        <f>IFERROR(__xludf.DUMMYFUNCTION("""COMPUTED_VALUE"""),"Pcs")</f>
        <v>Pcs</v>
      </c>
      <c r="K265" s="5" t="str">
        <f>IFERROR(__xludf.DUMMYFUNCTION("""COMPUTED_VALUE"""),"https://www.tokopedia.com/altbutikk/kugel-hole-saw-tct-23mm-mata-bor-stainless-23-mm-original?extParam=ivf%3Dfalse%26keyword%3Dhole+saw+23+mm%26search_id%3D2025071309583234ED066DF378EF251BX3%26src%3Dsearch&amp;t_id=1752399739361&amp;t_st=13&amp;t_pp=search_result&amp;t_e"&amp;"fo=search_pure_goods_card&amp;t_ef=goods_search&amp;t_sm=&amp;t_spt=search_result")</f>
        <v>https://www.tokopedia.com/altbutikk/kugel-hole-saw-tct-23mm-mata-bor-stainless-23-mm-original?extParam=ivf%3Dfalse%26keyword%3Dhole+saw+23+mm%26search_id%3D2025071309583234ED066DF378EF251BX3%26src%3Dsearch&amp;t_id=1752399739361&amp;t_st=13&amp;t_pp=search_result&amp;t_efo=search_pure_goods_card&amp;t_ef=goods_search&amp;t_sm=&amp;t_spt=search_result</v>
      </c>
      <c r="L265" s="3" t="str">
        <f>IFERROR(__xludf.DUMMYFUNCTION("""COMPUTED_VALUE"""),"Untuk peremajaan panel kontrol WWTP")</f>
        <v>Untuk peremajaan panel kontrol WWTP</v>
      </c>
      <c r="M265" s="3" t="str">
        <f>IFERROR(__xludf.DUMMYFUNCTION("""COMPUTED_VALUE"""),"Approve")</f>
        <v>Approve</v>
      </c>
      <c r="N265" s="3" t="str">
        <f>IFERROR(__xludf.DUMMYFUNCTION("""COMPUTED_VALUE"""),"Normal")</f>
        <v>Normal</v>
      </c>
      <c r="O265" s="3" t="str">
        <f>IFERROR(__xludf.DUMMYFUNCTION("""COMPUTED_VALUE"""),"Non Urgent")</f>
        <v>Non Urgent</v>
      </c>
      <c r="P265" s="7">
        <f>IFERROR(__xludf.DUMMYFUNCTION("""COMPUTED_VALUE"""),45921.88154811342)</f>
        <v>45921.88155</v>
      </c>
    </row>
    <row r="266">
      <c r="A266" s="4">
        <f>IFERROR(__xludf.DUMMYFUNCTION("""COMPUTED_VALUE"""),45891.58188841435)</f>
        <v>45891.58189</v>
      </c>
      <c r="B266" s="3" t="str">
        <f>IFERROR(__xludf.DUMMYFUNCTION("""COMPUTED_VALUE"""),"RIABR0088")</f>
        <v>RIABR0088</v>
      </c>
      <c r="C266" s="3" t="str">
        <f>IFERROR(__xludf.DUMMYFUNCTION("""COMPUTED_VALUE"""),"EJO")</f>
        <v>EJO</v>
      </c>
      <c r="D266" s="3" t="str">
        <f>IFERROR(__xludf.DUMMYFUNCTION("""COMPUTED_VALUE"""),"EJO/2025/08/56")</f>
        <v>EJO/2025/08/56</v>
      </c>
      <c r="E266" s="3" t="str">
        <f>IFERROR(__xludf.DUMMYFUNCTION("""COMPUTED_VALUE"""),"WWTP")</f>
        <v>WWTP</v>
      </c>
      <c r="F266" s="3" t="str">
        <f>IFERROR(__xludf.DUMMYFUNCTION("""COMPUTED_VALUE"""),"Kabel Gland PG25")</f>
        <v>Kabel Gland PG25</v>
      </c>
      <c r="G266" s="3" t="str">
        <f>IFERROR(__xludf.DUMMYFUNCTION("""COMPUTED_VALUE"""),"Kabel Gland PG25")</f>
        <v>Kabel Gland PG25</v>
      </c>
      <c r="H266" s="3" t="str">
        <f>IFERROR(__xludf.DUMMYFUNCTION("""COMPUTED_VALUE"""),"Iterno")</f>
        <v>Iterno</v>
      </c>
      <c r="I266" s="3">
        <f>IFERROR(__xludf.DUMMYFUNCTION("""COMPUTED_VALUE"""),10.0)</f>
        <v>10</v>
      </c>
      <c r="J266" s="3" t="str">
        <f>IFERROR(__xludf.DUMMYFUNCTION("""COMPUTED_VALUE"""),"Pcs")</f>
        <v>Pcs</v>
      </c>
      <c r="K266" s="5" t="str">
        <f>IFERROR(__xludf.DUMMYFUNCTION("""COMPUTED_VALUE"""),"https://www.tokopedia.com/glodok123/gland-cable-kabel-glan-waterproof-pg-25-29-36-42-48-63-hitam-putih-pg25-hitam?extParam=ivf%3Dfalse%26keyword%3Dkabel+gland+23+mm+pg+25%26search_id%3D202507131000445737C6EC2E0716316H32%26src%3Dsearch&amp;t_id=1752399739361&amp;t"&amp;"_st=17&amp;t_pp=search_result&amp;t_efo=search_pure_goods_card&amp;t_ef=goods_search&amp;t_sm=&amp;t_spt=search_result")</f>
        <v>https://www.tokopedia.com/glodok123/gland-cable-kabel-glan-waterproof-pg-25-29-36-42-48-63-hitam-putih-pg25-hitam?extParam=ivf%3Dfalse%26keyword%3Dkabel+gland+23+mm+pg+25%26search_id%3D202507131000445737C6EC2E0716316H32%26src%3Dsearch&amp;t_id=1752399739361&amp;t_st=17&amp;t_pp=search_result&amp;t_efo=search_pure_goods_card&amp;t_ef=goods_search&amp;t_sm=&amp;t_spt=search_result</v>
      </c>
      <c r="L266" s="3" t="str">
        <f>IFERROR(__xludf.DUMMYFUNCTION("""COMPUTED_VALUE"""),"Untuk peremajaan panel kontrol WWTP")</f>
        <v>Untuk peremajaan panel kontrol WWTP</v>
      </c>
      <c r="M266" s="3" t="str">
        <f>IFERROR(__xludf.DUMMYFUNCTION("""COMPUTED_VALUE"""),"Approve")</f>
        <v>Approve</v>
      </c>
      <c r="N266" s="3" t="str">
        <f>IFERROR(__xludf.DUMMYFUNCTION("""COMPUTED_VALUE"""),"Normal")</f>
        <v>Normal</v>
      </c>
      <c r="O266" s="3" t="str">
        <f>IFERROR(__xludf.DUMMYFUNCTION("""COMPUTED_VALUE"""),"Non Urgent")</f>
        <v>Non Urgent</v>
      </c>
      <c r="P266" s="7">
        <f>IFERROR(__xludf.DUMMYFUNCTION("""COMPUTED_VALUE"""),45921.88166413194)</f>
        <v>45921.88166</v>
      </c>
    </row>
    <row r="267">
      <c r="A267" s="4">
        <f>IFERROR(__xludf.DUMMYFUNCTION("""COMPUTED_VALUE"""),45891.58188841435)</f>
        <v>45891.58189</v>
      </c>
      <c r="B267" s="3" t="str">
        <f>IFERROR(__xludf.DUMMYFUNCTION("""COMPUTED_VALUE"""),"RIABR0089")</f>
        <v>RIABR0089</v>
      </c>
      <c r="C267" s="3" t="str">
        <f>IFERROR(__xludf.DUMMYFUNCTION("""COMPUTED_VALUE"""),"EJO")</f>
        <v>EJO</v>
      </c>
      <c r="D267" s="3" t="str">
        <f>IFERROR(__xludf.DUMMYFUNCTION("""COMPUTED_VALUE"""),"EJO/2025/08/56")</f>
        <v>EJO/2025/08/56</v>
      </c>
      <c r="E267" s="3" t="str">
        <f>IFERROR(__xludf.DUMMYFUNCTION("""COMPUTED_VALUE"""),"WWTP")</f>
        <v>WWTP</v>
      </c>
      <c r="F267" s="3" t="str">
        <f>IFERROR(__xludf.DUMMYFUNCTION("""COMPUTED_VALUE"""),"Paku Rivet")</f>
        <v>Paku Rivet</v>
      </c>
      <c r="G267" s="3" t="str">
        <f>IFERROR(__xludf.DUMMYFUNCTION("""COMPUTED_VALUE"""),"Paku Rivet")</f>
        <v>Paku Rivet</v>
      </c>
      <c r="H267" s="3" t="str">
        <f>IFERROR(__xludf.DUMMYFUNCTION("""COMPUTED_VALUE"""),"Lokal")</f>
        <v>Lokal</v>
      </c>
      <c r="I267" s="3">
        <f>IFERROR(__xludf.DUMMYFUNCTION("""COMPUTED_VALUE"""),1.0)</f>
        <v>1</v>
      </c>
      <c r="J267" s="3" t="str">
        <f>IFERROR(__xludf.DUMMYFUNCTION("""COMPUTED_VALUE"""),"Pack")</f>
        <v>Pack</v>
      </c>
      <c r="K267" s="5" t="str">
        <f>IFERROR(__xludf.DUMMYFUNCTION("""COMPUTED_VALUE"""),"https://www.tokopedia.com/tebetstore/paku-rivet-5mm-isi-per-bungkus-50-pcs-1730776062793058170?extParam=ivf%3Dfalse%26keyword%3Dpaku+rivet%26search_id%3D20250713100231AD13A2A07CA4B7356ESG%26src%3Dsearch&amp;t_id=1752399739361&amp;t_st=19&amp;t_pp=search_result&amp;t_efo="&amp;"search_pure_goods_card&amp;t_ef=goods_search&amp;t_sm=&amp;t_spt=search_result")</f>
        <v>https://www.tokopedia.com/tebetstore/paku-rivet-5mm-isi-per-bungkus-50-pcs-1730776062793058170?extParam=ivf%3Dfalse%26keyword%3Dpaku+rivet%26search_id%3D20250713100231AD13A2A07CA4B7356ESG%26src%3Dsearch&amp;t_id=1752399739361&amp;t_st=19&amp;t_pp=search_result&amp;t_efo=search_pure_goods_card&amp;t_ef=goods_search&amp;t_sm=&amp;t_spt=search_result</v>
      </c>
      <c r="L267" s="3" t="str">
        <f>IFERROR(__xludf.DUMMYFUNCTION("""COMPUTED_VALUE"""),"Untuk peremajaan panel kontrol WWTP")</f>
        <v>Untuk peremajaan panel kontrol WWTP</v>
      </c>
      <c r="M267" s="3" t="str">
        <f>IFERROR(__xludf.DUMMYFUNCTION("""COMPUTED_VALUE"""),"Approve")</f>
        <v>Approve</v>
      </c>
      <c r="N267" s="3" t="str">
        <f>IFERROR(__xludf.DUMMYFUNCTION("""COMPUTED_VALUE"""),"Normal")</f>
        <v>Normal</v>
      </c>
      <c r="O267" s="3" t="str">
        <f>IFERROR(__xludf.DUMMYFUNCTION("""COMPUTED_VALUE"""),"Non Urgent")</f>
        <v>Non Urgent</v>
      </c>
      <c r="P267" s="7">
        <f>IFERROR(__xludf.DUMMYFUNCTION("""COMPUTED_VALUE"""),45921.88175465278)</f>
        <v>45921.88175</v>
      </c>
    </row>
    <row r="268">
      <c r="A268" s="4">
        <f>IFERROR(__xludf.DUMMYFUNCTION("""COMPUTED_VALUE"""),45891.58188841435)</f>
        <v>45891.58189</v>
      </c>
      <c r="B268" s="3" t="str">
        <f>IFERROR(__xludf.DUMMYFUNCTION("""COMPUTED_VALUE"""),"RIABR0091")</f>
        <v>RIABR0091</v>
      </c>
      <c r="C268" s="3" t="str">
        <f>IFERROR(__xludf.DUMMYFUNCTION("""COMPUTED_VALUE"""),"EJO")</f>
        <v>EJO</v>
      </c>
      <c r="D268" s="3" t="str">
        <f>IFERROR(__xludf.DUMMYFUNCTION("""COMPUTED_VALUE"""),"EJO/2025/08/56")</f>
        <v>EJO/2025/08/56</v>
      </c>
      <c r="E268" s="3" t="str">
        <f>IFERROR(__xludf.DUMMYFUNCTION("""COMPUTED_VALUE"""),"WWTP")</f>
        <v>WWTP</v>
      </c>
      <c r="F268" s="3" t="str">
        <f>IFERROR(__xludf.DUMMYFUNCTION("""COMPUTED_VALUE"""),"Stop Kontak Panel CEE112")</f>
        <v>Stop Kontak Panel CEE112</v>
      </c>
      <c r="G268" s="3" t="str">
        <f>IFERROR(__xludf.DUMMYFUNCTION("""COMPUTED_VALUE"""),"Stop Kontak Panel CEE112")</f>
        <v>Stop Kontak Panel CEE112</v>
      </c>
      <c r="H268" s="3" t="str">
        <f>IFERROR(__xludf.DUMMYFUNCTION("""COMPUTED_VALUE"""),"Fort")</f>
        <v>Fort</v>
      </c>
      <c r="I268" s="3">
        <f>IFERROR(__xludf.DUMMYFUNCTION("""COMPUTED_VALUE"""),1.0)</f>
        <v>1</v>
      </c>
      <c r="J268" s="3" t="str">
        <f>IFERROR(__xludf.DUMMYFUNCTION("""COMPUTED_VALUE"""),"Pcs")</f>
        <v>Pcs</v>
      </c>
      <c r="K268" s="5" t="str">
        <f>IFERROR(__xludf.DUMMYFUNCTION("""COMPUTED_VALUE"""),"https://www.tokopedia.com/wisma-teknik/socket-stop-kontak-panel-mounting-2p-16a-220v-fort-cee112?extParam=ivf%3Dfalse%26keyword%3Dstop+kontak+panel%26search_id%3D2025071310301534ED066DF378EF30F64W%26src%3Dsearch&amp;t_id=1752399888456&amp;t_st=4&amp;t_pp=search_resul"&amp;"t&amp;t_efo=search_pure_goods_card&amp;t_ef=goods_search&amp;t_sm=&amp;t_spt=search_result")</f>
        <v>https://www.tokopedia.com/wisma-teknik/socket-stop-kontak-panel-mounting-2p-16a-220v-fort-cee112?extParam=ivf%3Dfalse%26keyword%3Dstop+kontak+panel%26search_id%3D2025071310301534ED066DF378EF30F64W%26src%3Dsearch&amp;t_id=1752399888456&amp;t_st=4&amp;t_pp=search_result&amp;t_efo=search_pure_goods_card&amp;t_ef=goods_search&amp;t_sm=&amp;t_spt=search_result</v>
      </c>
      <c r="L268" s="3" t="str">
        <f>IFERROR(__xludf.DUMMYFUNCTION("""COMPUTED_VALUE"""),"Untuk peremajaan panel kontrol WWTP")</f>
        <v>Untuk peremajaan panel kontrol WWTP</v>
      </c>
      <c r="M268" s="3" t="str">
        <f>IFERROR(__xludf.DUMMYFUNCTION("""COMPUTED_VALUE"""),"Approve")</f>
        <v>Approve</v>
      </c>
      <c r="N268" s="3" t="str">
        <f>IFERROR(__xludf.DUMMYFUNCTION("""COMPUTED_VALUE"""),"Normal")</f>
        <v>Normal</v>
      </c>
      <c r="O268" s="3" t="str">
        <f>IFERROR(__xludf.DUMMYFUNCTION("""COMPUTED_VALUE"""),"Non Urgent")</f>
        <v>Non Urgent</v>
      </c>
      <c r="P268" s="7">
        <f>IFERROR(__xludf.DUMMYFUNCTION("""COMPUTED_VALUE"""),45921.88209400463)</f>
        <v>45921.88209</v>
      </c>
    </row>
    <row r="269">
      <c r="A269" s="4">
        <f>IFERROR(__xludf.DUMMYFUNCTION("""COMPUTED_VALUE"""),45891.58188841435)</f>
        <v>45891.58189</v>
      </c>
      <c r="B269" s="3" t="str">
        <f>IFERROR(__xludf.DUMMYFUNCTION("""COMPUTED_VALUE"""),"RIABR0092")</f>
        <v>RIABR0092</v>
      </c>
      <c r="C269" s="3" t="str">
        <f>IFERROR(__xludf.DUMMYFUNCTION("""COMPUTED_VALUE"""),"EJO")</f>
        <v>EJO</v>
      </c>
      <c r="D269" s="3" t="str">
        <f>IFERROR(__xludf.DUMMYFUNCTION("""COMPUTED_VALUE"""),"EJO/2025/08/56")</f>
        <v>EJO/2025/08/56</v>
      </c>
      <c r="E269" s="3" t="str">
        <f>IFERROR(__xludf.DUMMYFUNCTION("""COMPUTED_VALUE"""),"WWTP")</f>
        <v>WWTP</v>
      </c>
      <c r="F269" s="3" t="str">
        <f>IFERROR(__xludf.DUMMYFUNCTION("""COMPUTED_VALUE"""),"Box Panel 950 x 600 x 300")</f>
        <v>Box Panel 950 x 600 x 300</v>
      </c>
      <c r="G269" s="3" t="str">
        <f>IFERROR(__xludf.DUMMYFUNCTION("""COMPUTED_VALUE"""),"Box Panel 950 x 600 x 300")</f>
        <v>Box Panel 950 x 600 x 300</v>
      </c>
      <c r="H269" s="3" t="str">
        <f>IFERROR(__xludf.DUMMYFUNCTION("""COMPUTED_VALUE"""),"Lokal")</f>
        <v>Lokal</v>
      </c>
      <c r="I269" s="3">
        <f>IFERROR(__xludf.DUMMYFUNCTION("""COMPUTED_VALUE"""),1.0)</f>
        <v>1</v>
      </c>
      <c r="J269" s="3" t="str">
        <f>IFERROR(__xludf.DUMMYFUNCTION("""COMPUTED_VALUE"""),"Pcs")</f>
        <v>Pcs</v>
      </c>
      <c r="K269" s="3" t="str">
        <f>IFERROR(__xludf.DUMMYFUNCTION("""COMPUTED_VALUE"""),"-")</f>
        <v>-</v>
      </c>
      <c r="L269" s="3" t="str">
        <f>IFERROR(__xludf.DUMMYFUNCTION("""COMPUTED_VALUE"""),"Untuk peremajaan panel kontrol WWTP")</f>
        <v>Untuk peremajaan panel kontrol WWTP</v>
      </c>
      <c r="M269" s="3" t="str">
        <f>IFERROR(__xludf.DUMMYFUNCTION("""COMPUTED_VALUE"""),"Approve")</f>
        <v>Approve</v>
      </c>
      <c r="N269" s="3" t="str">
        <f>IFERROR(__xludf.DUMMYFUNCTION("""COMPUTED_VALUE"""),"Normal")</f>
        <v>Normal</v>
      </c>
      <c r="O269" s="3" t="str">
        <f>IFERROR(__xludf.DUMMYFUNCTION("""COMPUTED_VALUE"""),"Non Urgent")</f>
        <v>Non Urgent</v>
      </c>
      <c r="P269" s="7">
        <f>IFERROR(__xludf.DUMMYFUNCTION("""COMPUTED_VALUE"""),45921.88217761574)</f>
        <v>45921.88218</v>
      </c>
    </row>
    <row r="270">
      <c r="A270" s="4">
        <f>IFERROR(__xludf.DUMMYFUNCTION("""COMPUTED_VALUE"""),45891.58188841435)</f>
        <v>45891.58189</v>
      </c>
      <c r="B270" s="3" t="str">
        <f>IFERROR(__xludf.DUMMYFUNCTION("""COMPUTED_VALUE"""),"RIABR0093")</f>
        <v>RIABR0093</v>
      </c>
      <c r="C270" s="3" t="str">
        <f>IFERROR(__xludf.DUMMYFUNCTION("""COMPUTED_VALUE"""),"EJO")</f>
        <v>EJO</v>
      </c>
      <c r="D270" s="3" t="str">
        <f>IFERROR(__xludf.DUMMYFUNCTION("""COMPUTED_VALUE"""),"EJO/2025/08/56")</f>
        <v>EJO/2025/08/56</v>
      </c>
      <c r="E270" s="3" t="str">
        <f>IFERROR(__xludf.DUMMYFUNCTION("""COMPUTED_VALUE"""),"WWTP")</f>
        <v>WWTP</v>
      </c>
      <c r="F270" s="3" t="str">
        <f>IFERROR(__xludf.DUMMYFUNCTION("""COMPUTED_VALUE"""),"Buzzer AD16-22SM 220 VAC")</f>
        <v>Buzzer AD16-22SM 220 VAC</v>
      </c>
      <c r="G270" s="3" t="str">
        <f>IFERROR(__xludf.DUMMYFUNCTION("""COMPUTED_VALUE"""),"Buzzer AD16-22SM 220 VAC")</f>
        <v>Buzzer AD16-22SM 220 VAC</v>
      </c>
      <c r="H270" s="3" t="str">
        <f>IFERROR(__xludf.DUMMYFUNCTION("""COMPUTED_VALUE"""),"Ewig")</f>
        <v>Ewig</v>
      </c>
      <c r="I270" s="3">
        <f>IFERROR(__xludf.DUMMYFUNCTION("""COMPUTED_VALUE"""),3.0)</f>
        <v>3</v>
      </c>
      <c r="J270" s="3" t="str">
        <f>IFERROR(__xludf.DUMMYFUNCTION("""COMPUTED_VALUE"""),"Pcs")</f>
        <v>Pcs</v>
      </c>
      <c r="K270" s="5" t="str">
        <f>IFERROR(__xludf.DUMMYFUNCTION("""COMPUTED_VALUE"""),"https://www.tokopedia.com/centralelectrind/pilot-lamp-buzzer-led-22mm-220vac-ewig-merah-1731444223517492392?extParam=ivf%3Dfalse%26keyword%3Dbuzzer+220+vac+22+mm%26search_id%3D20250713105029577BCC914F9E553D9A1B%26src%3Dsearch&amp;t_id=1752399888456&amp;t_st=5&amp;t_p"&amp;"p=search_result&amp;t_efo=search_pure_goods_card&amp;t_ef=goods_search&amp;t_sm=&amp;t_spt=search_result")</f>
        <v>https://www.tokopedia.com/centralelectrind/pilot-lamp-buzzer-led-22mm-220vac-ewig-merah-1731444223517492392?extParam=ivf%3Dfalse%26keyword%3Dbuzzer+220+vac+22+mm%26search_id%3D20250713105029577BCC914F9E553D9A1B%26src%3Dsearch&amp;t_id=1752399888456&amp;t_st=5&amp;t_pp=search_result&amp;t_efo=search_pure_goods_card&amp;t_ef=goods_search&amp;t_sm=&amp;t_spt=search_result</v>
      </c>
      <c r="L270" s="3" t="str">
        <f>IFERROR(__xludf.DUMMYFUNCTION("""COMPUTED_VALUE"""),"Untuk peremajaan panel kontrol WWTP")</f>
        <v>Untuk peremajaan panel kontrol WWTP</v>
      </c>
      <c r="M270" s="3" t="str">
        <f>IFERROR(__xludf.DUMMYFUNCTION("""COMPUTED_VALUE"""),"Approve")</f>
        <v>Approve</v>
      </c>
      <c r="N270" s="3" t="str">
        <f>IFERROR(__xludf.DUMMYFUNCTION("""COMPUTED_VALUE"""),"Normal")</f>
        <v>Normal</v>
      </c>
      <c r="O270" s="3" t="str">
        <f>IFERROR(__xludf.DUMMYFUNCTION("""COMPUTED_VALUE"""),"Non Urgent")</f>
        <v>Non Urgent</v>
      </c>
      <c r="P270" s="7">
        <f>IFERROR(__xludf.DUMMYFUNCTION("""COMPUTED_VALUE"""),45921.882286736116)</f>
        <v>45921.88229</v>
      </c>
    </row>
    <row r="271">
      <c r="A271" s="4">
        <f>IFERROR(__xludf.DUMMYFUNCTION("""COMPUTED_VALUE"""),45891.58188841435)</f>
        <v>45891.58189</v>
      </c>
      <c r="B271" s="3" t="str">
        <f>IFERROR(__xludf.DUMMYFUNCTION("""COMPUTED_VALUE"""),"RIABR0095")</f>
        <v>RIABR0095</v>
      </c>
      <c r="C271" s="3" t="str">
        <f>IFERROR(__xludf.DUMMYFUNCTION("""COMPUTED_VALUE"""),"EJO")</f>
        <v>EJO</v>
      </c>
      <c r="D271" s="3" t="str">
        <f>IFERROR(__xludf.DUMMYFUNCTION("""COMPUTED_VALUE"""),"EJO/2025/08/56")</f>
        <v>EJO/2025/08/56</v>
      </c>
      <c r="E271" s="3" t="str">
        <f>IFERROR(__xludf.DUMMYFUNCTION("""COMPUTED_VALUE"""),"WWTP")</f>
        <v>WWTP</v>
      </c>
      <c r="F271" s="3" t="str">
        <f>IFERROR(__xludf.DUMMYFUNCTION("""COMPUTED_VALUE"""),"Busbar Sisir 1Pole")</f>
        <v>Busbar Sisir 1Pole</v>
      </c>
      <c r="G271" s="3" t="str">
        <f>IFERROR(__xludf.DUMMYFUNCTION("""COMPUTED_VALUE"""),"Busbar Sisir 1Pole")</f>
        <v>Busbar Sisir 1Pole</v>
      </c>
      <c r="H271" s="3" t="str">
        <f>IFERROR(__xludf.DUMMYFUNCTION("""COMPUTED_VALUE"""),"Schneider")</f>
        <v>Schneider</v>
      </c>
      <c r="I271" s="3">
        <f>IFERROR(__xludf.DUMMYFUNCTION("""COMPUTED_VALUE"""),1.0)</f>
        <v>1</v>
      </c>
      <c r="J271" s="3" t="str">
        <f>IFERROR(__xludf.DUMMYFUNCTION("""COMPUTED_VALUE"""),"Pcs")</f>
        <v>Pcs</v>
      </c>
      <c r="K271" s="5" t="str">
        <f>IFERROR(__xludf.DUMMYFUNCTION("""COMPUTED_VALUE"""),"https://www.tokopedia.com/dpelectric/schneider-comb-busbar-sisir-mcb-1p-12module-63a-ez9xph112?extParam=ivf%3Dfalse%26keyword%3Dsisir+mcb%26search_id%3D20250717051121B2EB734903575434CXGC%26src%3Dsearch&amp;t_id=1752728510891&amp;t_st=7&amp;t_pp=search_result&amp;t_efo=se"&amp;"arch_pure_goods_card&amp;t_ef=goods_search&amp;t_sm=&amp;t_spt=search_result")</f>
        <v>https://www.tokopedia.com/dpelectric/schneider-comb-busbar-sisir-mcb-1p-12module-63a-ez9xph112?extParam=ivf%3Dfalse%26keyword%3Dsisir+mcb%26search_id%3D20250717051121B2EB734903575434CXGC%26src%3Dsearch&amp;t_id=1752728510891&amp;t_st=7&amp;t_pp=search_result&amp;t_efo=search_pure_goods_card&amp;t_ef=goods_search&amp;t_sm=&amp;t_spt=search_result</v>
      </c>
      <c r="L271" s="3" t="str">
        <f>IFERROR(__xludf.DUMMYFUNCTION("""COMPUTED_VALUE"""),"Untuk peremajaan panel kontrol WWTP")</f>
        <v>Untuk peremajaan panel kontrol WWTP</v>
      </c>
      <c r="M271" s="3" t="str">
        <f>IFERROR(__xludf.DUMMYFUNCTION("""COMPUTED_VALUE"""),"Approve")</f>
        <v>Approve</v>
      </c>
      <c r="N271" s="3" t="str">
        <f>IFERROR(__xludf.DUMMYFUNCTION("""COMPUTED_VALUE"""),"Normal")</f>
        <v>Normal</v>
      </c>
      <c r="O271" s="3" t="str">
        <f>IFERROR(__xludf.DUMMYFUNCTION("""COMPUTED_VALUE"""),"Non Urgent")</f>
        <v>Non Urgent</v>
      </c>
      <c r="P271" s="7">
        <f>IFERROR(__xludf.DUMMYFUNCTION("""COMPUTED_VALUE"""),45921.88246361111)</f>
        <v>45921.88246</v>
      </c>
    </row>
    <row r="272">
      <c r="A272" s="4">
        <f>IFERROR(__xludf.DUMMYFUNCTION("""COMPUTED_VALUE"""),45894.64253824075)</f>
        <v>45894.64254</v>
      </c>
      <c r="B272" s="3" t="str">
        <f>IFERROR(__xludf.DUMMYFUNCTION("""COMPUTED_VALUE"""),"RIABR0097")</f>
        <v>RIABR0097</v>
      </c>
      <c r="C272" s="3" t="str">
        <f>IFERROR(__xludf.DUMMYFUNCTION("""COMPUTED_VALUE"""),"Consumable")</f>
        <v>Consumable</v>
      </c>
      <c r="D272" s="3" t="str">
        <f>IFERROR(__xludf.DUMMYFUNCTION("""COMPUTED_VALUE"""),"-")</f>
        <v>-</v>
      </c>
      <c r="E272" s="3" t="str">
        <f>IFERROR(__xludf.DUMMYFUNCTION("""COMPUTED_VALUE"""),"Alarm System")</f>
        <v>Alarm System</v>
      </c>
      <c r="F272" s="3" t="str">
        <f>IFERROR(__xludf.DUMMYFUNCTION("""COMPUTED_VALUE"""),"Buzzer")</f>
        <v>Buzzer</v>
      </c>
      <c r="G272" s="3" t="str">
        <f>IFERROR(__xludf.DUMMYFUNCTION("""COMPUTED_VALUE"""),"Buzzer panel 12Vdc 22mm scb-22 shemsco")</f>
        <v>Buzzer panel 12Vdc 22mm scb-22 shemsco</v>
      </c>
      <c r="H272" s="3" t="str">
        <f>IFERROR(__xludf.DUMMYFUNCTION("""COMPUTED_VALUE"""),"Lokal")</f>
        <v>Lokal</v>
      </c>
      <c r="I272" s="3">
        <f>IFERROR(__xludf.DUMMYFUNCTION("""COMPUTED_VALUE"""),5.0)</f>
        <v>5</v>
      </c>
      <c r="J272" s="3" t="str">
        <f>IFERROR(__xludf.DUMMYFUNCTION("""COMPUTED_VALUE"""),"Pcs")</f>
        <v>Pcs</v>
      </c>
      <c r="K272" s="5" t="str">
        <f>IFERROR(__xludf.DUMMYFUNCTION("""COMPUTED_VALUE"""),"https://www.tokopedia.com/hk-komponen/buzzer-panel-12vdc-22mm-scb-22-shemsco?extParam=ivf%3Dfalse%26keyword%3Dbuzzer+12+vacdc%26search_id%3D2025082508244663923F49E524131C0C1S%26src%3Dsearch&amp;t_id=1756110296354&amp;t_st=1&amp;t_pp=search_result&amp;t_efo=search_pure_go"&amp;"ods_card&amp;t_ef=goods_search&amp;t_sm=&amp;t_spt=search_result")</f>
        <v>https://www.tokopedia.com/hk-komponen/buzzer-panel-12vdc-22mm-scb-22-shemsco?extParam=ivf%3Dfalse%26keyword%3Dbuzzer+12+vacdc%26search_id%3D2025082508244663923F49E524131C0C1S%26src%3Dsearch&amp;t_id=1756110296354&amp;t_st=1&amp;t_pp=search_result&amp;t_efo=search_pure_goods_card&amp;t_ef=goods_search&amp;t_sm=&amp;t_spt=search_result</v>
      </c>
      <c r="L272" s="3" t="str">
        <f>IFERROR(__xludf.DUMMYFUNCTION("""COMPUTED_VALUE"""),"Buzzer buat filling, ini 12 VAC/ VDC ya bukan 24 VAC/VDC")</f>
        <v>Buzzer buat filling, ini 12 VAC/ VDC ya bukan 24 VAC/VDC</v>
      </c>
      <c r="M272" s="3" t="str">
        <f>IFERROR(__xludf.DUMMYFUNCTION("""COMPUTED_VALUE"""),"Approve")</f>
        <v>Approve</v>
      </c>
      <c r="N272" s="3" t="str">
        <f>IFERROR(__xludf.DUMMYFUNCTION("""COMPUTED_VALUE"""),"Normal")</f>
        <v>Normal</v>
      </c>
      <c r="O272" s="3" t="str">
        <f>IFERROR(__xludf.DUMMYFUNCTION("""COMPUTED_VALUE"""),"Non Urgent")</f>
        <v>Non Urgent</v>
      </c>
      <c r="P272" s="7">
        <f>IFERROR(__xludf.DUMMYFUNCTION("""COMPUTED_VALUE"""),45921.88269344908)</f>
        <v>45921.88269</v>
      </c>
    </row>
    <row r="273">
      <c r="A273" s="4">
        <f>IFERROR(__xludf.DUMMYFUNCTION("""COMPUTED_VALUE"""),45894.91257525463)</f>
        <v>45894.91258</v>
      </c>
      <c r="B273" s="3" t="str">
        <f>IFERROR(__xludf.DUMMYFUNCTION("""COMPUTED_VALUE"""),"MRNBR0051")</f>
        <v>MRNBR0051</v>
      </c>
      <c r="C273" s="3" t="str">
        <f>IFERROR(__xludf.DUMMYFUNCTION("""COMPUTED_VALUE"""),"EJO")</f>
        <v>EJO</v>
      </c>
      <c r="D273" s="3" t="str">
        <f>IFERROR(__xludf.DUMMYFUNCTION("""COMPUTED_VALUE"""),"EJO/2028/08/133")</f>
        <v>EJO/2028/08/133</v>
      </c>
      <c r="E273" s="3" t="str">
        <f>IFERROR(__xludf.DUMMYFUNCTION("""COMPUTED_VALUE"""),"PW gen")</f>
        <v>PW gen</v>
      </c>
      <c r="F273" s="3" t="str">
        <f>IFERROR(__xludf.DUMMYFUNCTION("""COMPUTED_VALUE"""),"PG tanki softener")</f>
        <v>PG tanki softener</v>
      </c>
      <c r="G273" s="3" t="str">
        <f>IFERROR(__xludf.DUMMYFUNCTION("""COMPUTED_VALUE"""),"MREM32107500G")</f>
        <v>MREM32107500G</v>
      </c>
      <c r="H273" s="3" t="str">
        <f>IFERROR(__xludf.DUMMYFUNCTION("""COMPUTED_VALUE"""),"SIKA")</f>
        <v>SIKA</v>
      </c>
      <c r="I273" s="3">
        <f>IFERROR(__xludf.DUMMYFUNCTION("""COMPUTED_VALUE"""),2.0)</f>
        <v>2</v>
      </c>
      <c r="J273" s="3" t="str">
        <f>IFERROR(__xludf.DUMMYFUNCTION("""COMPUTED_VALUE"""),"pcs")</f>
        <v>pcs</v>
      </c>
      <c r="K273" s="5" t="str">
        <f>IFERROR(__xludf.DUMMYFUNCTION("""COMPUTED_VALUE"""),"https://www.sika.net/en/series/bourdon-tube-pressure-gauges-with-casing-filling-marine-version-mrem/")</f>
        <v>https://www.sika.net/en/series/bourdon-tube-pressure-gauges-with-casing-filling-marine-version-mrem/</v>
      </c>
      <c r="L273" s="3" t="str">
        <f>IFERROR(__xludf.DUMMYFUNCTION("""COMPUTED_VALUE"""),"spek 0-10 bar koneksi 1/2 npt diameter 100mm")</f>
        <v>spek 0-10 bar koneksi 1/2 npt diameter 100mm</v>
      </c>
      <c r="M273" s="3" t="str">
        <f>IFERROR(__xludf.DUMMYFUNCTION("""COMPUTED_VALUE"""),"Approve")</f>
        <v>Approve</v>
      </c>
      <c r="N273" s="3" t="str">
        <f>IFERROR(__xludf.DUMMYFUNCTION("""COMPUTED_VALUE"""),"Normal")</f>
        <v>Normal</v>
      </c>
      <c r="O273" s="3" t="str">
        <f>IFERROR(__xludf.DUMMYFUNCTION("""COMPUTED_VALUE"""),"Non Urgent")</f>
        <v>Non Urgent</v>
      </c>
      <c r="P273" s="7">
        <f>IFERROR(__xludf.DUMMYFUNCTION("""COMPUTED_VALUE"""),45896.66490251158)</f>
        <v>45896.6649</v>
      </c>
    </row>
    <row r="274">
      <c r="A274" s="4">
        <f>IFERROR(__xludf.DUMMYFUNCTION("""COMPUTED_VALUE"""),45894.93864987268)</f>
        <v>45894.93865</v>
      </c>
      <c r="B274" s="3" t="str">
        <f>IFERROR(__xludf.DUMMYFUNCTION("""COMPUTED_VALUE"""),"MRNBR0052")</f>
        <v>MRNBR0052</v>
      </c>
      <c r="C274" s="3" t="str">
        <f>IFERROR(__xludf.DUMMYFUNCTION("""COMPUTED_VALUE"""),"EJO")</f>
        <v>EJO</v>
      </c>
      <c r="D274" s="3" t="str">
        <f>IFERROR(__xludf.DUMMYFUNCTION("""COMPUTED_VALUE"""),"EJO/2025/08/107")</f>
        <v>EJO/2025/08/107</v>
      </c>
      <c r="E274" s="3" t="str">
        <f>IFERROR(__xludf.DUMMYFUNCTION("""COMPUTED_VALUE"""),"pintu produksi")</f>
        <v>pintu produksi</v>
      </c>
      <c r="F274" s="3" t="str">
        <f>IFERROR(__xludf.DUMMYFUNCTION("""COMPUTED_VALUE"""),"Slot pintu")</f>
        <v>Slot pintu</v>
      </c>
      <c r="G274" s="3" t="str">
        <f>IFERROR(__xludf.DUMMYFUNCTION("""COMPUTED_VALUE"""),"FLUSH BOLT FB SQ 501 370MM")</f>
        <v>FLUSH BOLT FB SQ 501 370MM</v>
      </c>
      <c r="H274" s="3" t="str">
        <f>IFERROR(__xludf.DUMMYFUNCTION("""COMPUTED_VALUE"""),"dekson")</f>
        <v>dekson</v>
      </c>
      <c r="I274" s="3">
        <f>IFERROR(__xludf.DUMMYFUNCTION("""COMPUTED_VALUE"""),2.0)</f>
        <v>2</v>
      </c>
      <c r="J274" s="3" t="str">
        <f>IFERROR(__xludf.DUMMYFUNCTION("""COMPUTED_VALUE"""),"pcs")</f>
        <v>pcs</v>
      </c>
      <c r="K274" s="5" t="str">
        <f>IFERROR(__xludf.DUMMYFUNCTION("""COMPUTED_VALUE"""),"https://www.dekkson.com/product/detail/1277/categorys//slug/flush-bolt-fb-sq-501-370mm")</f>
        <v>https://www.dekkson.com/product/detail/1277/categorys//slug/flush-bolt-fb-sq-501-370mm</v>
      </c>
      <c r="L274" s="3" t="str">
        <f>IFERROR(__xludf.DUMMYFUNCTION("""COMPUTED_VALUE"""),"Buat pintu koridor produksi")</f>
        <v>Buat pintu koridor produksi</v>
      </c>
      <c r="M274" s="3" t="str">
        <f>IFERROR(__xludf.DUMMYFUNCTION("""COMPUTED_VALUE"""),"Approve")</f>
        <v>Approve</v>
      </c>
      <c r="N274" s="3" t="str">
        <f>IFERROR(__xludf.DUMMYFUNCTION("""COMPUTED_VALUE"""),"Normal")</f>
        <v>Normal</v>
      </c>
      <c r="O274" s="3" t="str">
        <f>IFERROR(__xludf.DUMMYFUNCTION("""COMPUTED_VALUE"""),"Non Urgent")</f>
        <v>Non Urgent</v>
      </c>
      <c r="P274" s="7">
        <f>IFERROR(__xludf.DUMMYFUNCTION("""COMPUTED_VALUE"""),45896.56086309028)</f>
        <v>45896.56086</v>
      </c>
    </row>
    <row r="275">
      <c r="A275" s="4">
        <f>IFERROR(__xludf.DUMMYFUNCTION("""COMPUTED_VALUE"""),45894.99086912037)</f>
        <v>45894.99087</v>
      </c>
      <c r="B275" s="3" t="str">
        <f>IFERROR(__xludf.DUMMYFUNCTION("""COMPUTED_VALUE"""),"MRNBR0054")</f>
        <v>MRNBR0054</v>
      </c>
      <c r="C275" s="3" t="str">
        <f>IFERROR(__xludf.DUMMYFUNCTION("""COMPUTED_VALUE"""),"EJO")</f>
        <v>EJO</v>
      </c>
      <c r="D275" s="3" t="str">
        <f>IFERROR(__xludf.DUMMYFUNCTION("""COMPUTED_VALUE"""),"EJO/2025/09/37")</f>
        <v>EJO/2025/09/37</v>
      </c>
      <c r="E275" s="3" t="str">
        <f>IFERROR(__xludf.DUMMYFUNCTION("""COMPUTED_VALUE"""),"Passbox packaging")</f>
        <v>Passbox packaging</v>
      </c>
      <c r="F275" s="3" t="str">
        <f>IFERROR(__xludf.DUMMYFUNCTION("""COMPUTED_VALUE"""),"Seal")</f>
        <v>Seal</v>
      </c>
      <c r="G275" s="3" t="str">
        <f>IFERROR(__xludf.DUMMYFUNCTION("""COMPUTED_VALUE"""),"Lis Strip Pintu Seal Peredam Suara Door Noise Insulation Sealing Tape 6M - SD6 - Hitam")</f>
        <v>Lis Strip Pintu Seal Peredam Suara Door Noise Insulation Sealing Tape 6M - SD6 - Hitam</v>
      </c>
      <c r="H275" s="3" t="str">
        <f>IFERROR(__xludf.DUMMYFUNCTION("""COMPUTED_VALUE"""),"NA")</f>
        <v>NA</v>
      </c>
      <c r="I275" s="3">
        <f>IFERROR(__xludf.DUMMYFUNCTION("""COMPUTED_VALUE"""),50.0)</f>
        <v>50</v>
      </c>
      <c r="J275" s="3" t="str">
        <f>IFERROR(__xludf.DUMMYFUNCTION("""COMPUTED_VALUE"""),"meter")</f>
        <v>meter</v>
      </c>
      <c r="K275" s="5" t="str">
        <f>IFERROR(__xludf.DUMMYFUNCTION("""COMPUTED_VALUE"""),"https://www.tokopedia.com/budgetgadget/lis-strip-pintu-seal-peredam-suara-door-noise-insulation-sealing-tape-6m-sd6-1731250268850063286?extParam=ivf%3Dfalse%26keyword%3Dseal+pintu%26search_id%3D2025082516442182CEC96096D42815D8DO%26src%3Dsearch&amp;t_id=175614"&amp;"0269020&amp;t_st=2&amp;t_pp=search_result&amp;t_efo=search_pure_goods_card&amp;t_ef=goods_search&amp;t_sm=&amp;t_spt=search_result")</f>
        <v>https://www.tokopedia.com/budgetgadget/lis-strip-pintu-seal-peredam-suara-door-noise-insulation-sealing-tape-6m-sd6-1731250268850063286?extParam=ivf%3Dfalse%26keyword%3Dseal+pintu%26search_id%3D2025082516442182CEC96096D42815D8DO%26src%3Dsearch&amp;t_id=1756140269020&amp;t_st=2&amp;t_pp=search_result&amp;t_efo=search_pure_goods_card&amp;t_ef=goods_search&amp;t_sm=&amp;t_spt=search_result</v>
      </c>
      <c r="L275" s="3" t="str">
        <f>IFERROR(__xludf.DUMMYFUNCTION("""COMPUTED_VALUE"""),"untuk passbock packhall")</f>
        <v>untuk passbock packhall</v>
      </c>
      <c r="M275" s="3" t="str">
        <f>IFERROR(__xludf.DUMMYFUNCTION("""COMPUTED_VALUE"""),"Approve")</f>
        <v>Approve</v>
      </c>
      <c r="N275" s="3" t="str">
        <f>IFERROR(__xludf.DUMMYFUNCTION("""COMPUTED_VALUE"""),"Normal")</f>
        <v>Normal</v>
      </c>
      <c r="O275" s="3" t="str">
        <f>IFERROR(__xludf.DUMMYFUNCTION("""COMPUTED_VALUE"""),"Non Urgent")</f>
        <v>Non Urgent</v>
      </c>
      <c r="P275" s="7">
        <f>IFERROR(__xludf.DUMMYFUNCTION("""COMPUTED_VALUE"""),45896.50116162037)</f>
        <v>45896.50116</v>
      </c>
    </row>
    <row r="276">
      <c r="A276" s="4">
        <f>IFERROR(__xludf.DUMMYFUNCTION("""COMPUTED_VALUE"""),45895.50681996528)</f>
        <v>45895.50682</v>
      </c>
      <c r="B276" s="3" t="str">
        <f>IFERROR(__xludf.DUMMYFUNCTION("""COMPUTED_VALUE"""),"MOBBR0042")</f>
        <v>MOBBR0042</v>
      </c>
      <c r="C276" s="3" t="str">
        <f>IFERROR(__xludf.DUMMYFUNCTION("""COMPUTED_VALUE"""),"EJO")</f>
        <v>EJO</v>
      </c>
      <c r="D276" s="3" t="str">
        <f>IFERROR(__xludf.DUMMYFUNCTION("""COMPUTED_VALUE"""),"EJO/2025/09/47")</f>
        <v>EJO/2025/09/47</v>
      </c>
      <c r="E276" s="3" t="str">
        <f>IFERROR(__xludf.DUMMYFUNCTION("""COMPUTED_VALUE"""),"AHU")</f>
        <v>AHU</v>
      </c>
      <c r="F276" s="3" t="str">
        <f>IFERROR(__xludf.DUMMYFUNCTION("""COMPUTED_VALUE"""),"Temperature Sensor")</f>
        <v>Temperature Sensor</v>
      </c>
      <c r="G276" s="3" t="str">
        <f>IFERROR(__xludf.DUMMYFUNCTION("""COMPUTED_VALUE"""),"536-811
Duct Point Temp Sensor, 100k Ohm Thermistor, 4 Inch Rigid Probe, Bracket Mount")</f>
        <v>536-811
Duct Point Temp Sensor, 100k Ohm Thermistor, 4 Inch Rigid Probe, Bracket Mount</v>
      </c>
      <c r="H276" s="3" t="str">
        <f>IFERROR(__xludf.DUMMYFUNCTION("""COMPUTED_VALUE"""),"Siemens")</f>
        <v>Siemens</v>
      </c>
      <c r="I276" s="3">
        <f>IFERROR(__xludf.DUMMYFUNCTION("""COMPUTED_VALUE"""),4.0)</f>
        <v>4</v>
      </c>
      <c r="J276" s="3" t="str">
        <f>IFERROR(__xludf.DUMMYFUNCTION("""COMPUTED_VALUE"""),"Pcs")</f>
        <v>Pcs</v>
      </c>
      <c r="K276" s="5" t="str">
        <f>IFERROR(__xludf.DUMMYFUNCTION("""COMPUTED_VALUE"""),"https://www.ebay.com/itm/303789969208")</f>
        <v>https://www.ebay.com/itm/303789969208</v>
      </c>
      <c r="L276" s="3" t="str">
        <f>IFERROR(__xludf.DUMMYFUNCTION("""COMPUTED_VALUE"""),"Urgent")</f>
        <v>Urgent</v>
      </c>
      <c r="M276" s="3" t="str">
        <f>IFERROR(__xludf.DUMMYFUNCTION("""COMPUTED_VALUE"""),"Approve")</f>
        <v>Approve</v>
      </c>
      <c r="N276" s="3" t="str">
        <f>IFERROR(__xludf.DUMMYFUNCTION("""COMPUTED_VALUE"""),"Normal")</f>
        <v>Normal</v>
      </c>
      <c r="O276" s="3" t="str">
        <f>IFERROR(__xludf.DUMMYFUNCTION("""COMPUTED_VALUE"""),"Non Urgent")</f>
        <v>Non Urgent</v>
      </c>
      <c r="P276" s="7">
        <f>IFERROR(__xludf.DUMMYFUNCTION("""COMPUTED_VALUE"""),45896.66713054398)</f>
        <v>45896.66713</v>
      </c>
    </row>
    <row r="277">
      <c r="A277" s="4">
        <f>IFERROR(__xludf.DUMMYFUNCTION("""COMPUTED_VALUE"""),45897.44022846065)</f>
        <v>45897.44023</v>
      </c>
      <c r="B277" s="3" t="str">
        <f>IFERROR(__xludf.DUMMYFUNCTION("""COMPUTED_VALUE"""),"ROSBR0036")</f>
        <v>ROSBR0036</v>
      </c>
      <c r="C277" s="3" t="str">
        <f>IFERROR(__xludf.DUMMYFUNCTION("""COMPUTED_VALUE"""),"Consumable")</f>
        <v>Consumable</v>
      </c>
      <c r="D277" s="3" t="str">
        <f>IFERROR(__xludf.DUMMYFUNCTION("""COMPUTED_VALUE"""),"NA")</f>
        <v>NA</v>
      </c>
      <c r="E277" s="3" t="str">
        <f>IFERROR(__xludf.DUMMYFUNCTION("""COMPUTED_VALUE"""),"Washing ")</f>
        <v>Washing </v>
      </c>
      <c r="F277" s="3" t="str">
        <f>IFERROR(__xludf.DUMMYFUNCTION("""COMPUTED_VALUE"""),"Compact Cylinder")</f>
        <v>Compact Cylinder</v>
      </c>
      <c r="G277" s="3" t="str">
        <f>IFERROR(__xludf.DUMMYFUNCTION("""COMPUTED_VALUE"""),"ADN-20-25-I-P-A 
Part number: 536246")</f>
        <v>ADN-20-25-I-P-A 
Part number: 536246</v>
      </c>
      <c r="H277" s="3" t="str">
        <f>IFERROR(__xludf.DUMMYFUNCTION("""COMPUTED_VALUE"""),"festo")</f>
        <v>festo</v>
      </c>
      <c r="I277" s="3">
        <f>IFERROR(__xludf.DUMMYFUNCTION("""COMPUTED_VALUE"""),1.0)</f>
        <v>1</v>
      </c>
      <c r="J277" s="3" t="str">
        <f>IFERROR(__xludf.DUMMYFUNCTION("""COMPUTED_VALUE"""),"pcs")</f>
        <v>pcs</v>
      </c>
      <c r="K277" s="5" t="str">
        <f>IFERROR(__xludf.DUMMYFUNCTION("""COMPUTED_VALUE"""),"https://drive.google.com/file/d/1Yhsabet0ghaUCiI33hbC0r7VpcqGudv3/view?usp=drive_link")</f>
        <v>https://drive.google.com/file/d/1Yhsabet0ghaUCiI33hbC0r7VpcqGudv3/view?usp=drive_link</v>
      </c>
      <c r="L277" s="3" t="str">
        <f>IFERROR(__xludf.DUMMYFUNCTION("""COMPUTED_VALUE"""),"Minta tolong beliin Compact cylinder untuk infeed washing ")</f>
        <v>Minta tolong beliin Compact cylinder untuk infeed washing </v>
      </c>
      <c r="M277" s="3" t="str">
        <f>IFERROR(__xludf.DUMMYFUNCTION("""COMPUTED_VALUE"""),"Approve")</f>
        <v>Approve</v>
      </c>
      <c r="N277" s="3" t="str">
        <f>IFERROR(__xludf.DUMMYFUNCTION("""COMPUTED_VALUE"""),"Normal")</f>
        <v>Normal</v>
      </c>
      <c r="O277" s="3" t="str">
        <f>IFERROR(__xludf.DUMMYFUNCTION("""COMPUTED_VALUE"""),"Non Urgent")</f>
        <v>Non Urgent</v>
      </c>
      <c r="P277" s="7">
        <f>IFERROR(__xludf.DUMMYFUNCTION("""COMPUTED_VALUE"""),45936.59600447917)</f>
        <v>45936.596</v>
      </c>
    </row>
    <row r="278">
      <c r="A278" s="4">
        <f>IFERROR(__xludf.DUMMYFUNCTION("""COMPUTED_VALUE"""),45897.44489056713)</f>
        <v>45897.44489</v>
      </c>
      <c r="B278" s="3" t="str">
        <f>IFERROR(__xludf.DUMMYFUNCTION("""COMPUTED_VALUE"""),"ROSBR0037")</f>
        <v>ROSBR0037</v>
      </c>
      <c r="C278" s="3" t="str">
        <f>IFERROR(__xludf.DUMMYFUNCTION("""COMPUTED_VALUE"""),"Consumable")</f>
        <v>Consumable</v>
      </c>
      <c r="D278" s="3" t="str">
        <f>IFERROR(__xludf.DUMMYFUNCTION("""COMPUTED_VALUE"""),"NA")</f>
        <v>NA</v>
      </c>
      <c r="E278" s="3" t="str">
        <f>IFERROR(__xludf.DUMMYFUNCTION("""COMPUTED_VALUE"""),"Washing ")</f>
        <v>Washing </v>
      </c>
      <c r="F278" s="3" t="str">
        <f>IFERROR(__xludf.DUMMYFUNCTION("""COMPUTED_VALUE"""),"Speed Control")</f>
        <v>Speed Control</v>
      </c>
      <c r="G278" s="3" t="str">
        <f>IFERROR(__xludf.DUMMYFUNCTION("""COMPUTED_VALUE"""),"One-way flow control valve 
GRLA-M5-QS-4-RS-D 
Part number: 197577
Meter out")</f>
        <v>One-way flow control valve 
GRLA-M5-QS-4-RS-D 
Part number: 197577
Meter out</v>
      </c>
      <c r="H278" s="3" t="str">
        <f>IFERROR(__xludf.DUMMYFUNCTION("""COMPUTED_VALUE"""),"Festo")</f>
        <v>Festo</v>
      </c>
      <c r="I278" s="3">
        <f>IFERROR(__xludf.DUMMYFUNCTION("""COMPUTED_VALUE"""),6.0)</f>
        <v>6</v>
      </c>
      <c r="J278" s="3" t="str">
        <f>IFERROR(__xludf.DUMMYFUNCTION("""COMPUTED_VALUE"""),"pcs")</f>
        <v>pcs</v>
      </c>
      <c r="K278" s="5" t="str">
        <f>IFERROR(__xludf.DUMMYFUNCTION("""COMPUTED_VALUE"""),"https://drive.google.com/file/d/1Yhsabet0ghaUCiI33hbC0r7VpcqGudv3/view?usp=drive_link")</f>
        <v>https://drive.google.com/file/d/1Yhsabet0ghaUCiI33hbC0r7VpcqGudv3/view?usp=drive_link</v>
      </c>
      <c r="L278" s="3" t="str">
        <f>IFERROR(__xludf.DUMMYFUNCTION("""COMPUTED_VALUE"""),"Minta tolong beliin speed control sesuai spesifikasi tersebut sudah meter out")</f>
        <v>Minta tolong beliin speed control sesuai spesifikasi tersebut sudah meter out</v>
      </c>
      <c r="M278" s="3" t="str">
        <f>IFERROR(__xludf.DUMMYFUNCTION("""COMPUTED_VALUE"""),"Approve")</f>
        <v>Approve</v>
      </c>
      <c r="N278" s="3" t="str">
        <f>IFERROR(__xludf.DUMMYFUNCTION("""COMPUTED_VALUE"""),"Normal")</f>
        <v>Normal</v>
      </c>
      <c r="O278" s="3" t="str">
        <f>IFERROR(__xludf.DUMMYFUNCTION("""COMPUTED_VALUE"""),"Non Urgent")</f>
        <v>Non Urgent</v>
      </c>
      <c r="P278" s="7">
        <f>IFERROR(__xludf.DUMMYFUNCTION("""COMPUTED_VALUE"""),45930.21709614583)</f>
        <v>45930.2171</v>
      </c>
    </row>
    <row r="279">
      <c r="A279" s="4">
        <f>IFERROR(__xludf.DUMMYFUNCTION("""COMPUTED_VALUE"""),45898.26265208333)</f>
        <v>45898.26265</v>
      </c>
      <c r="B279" s="3" t="str">
        <f>IFERROR(__xludf.DUMMYFUNCTION("""COMPUTED_VALUE"""),"MRNBR0056")</f>
        <v>MRNBR0056</v>
      </c>
      <c r="C279" s="3" t="str">
        <f>IFERROR(__xludf.DUMMYFUNCTION("""COMPUTED_VALUE"""),"EJO")</f>
        <v>EJO</v>
      </c>
      <c r="D279" s="3" t="str">
        <f>IFERROR(__xludf.DUMMYFUNCTION("""COMPUTED_VALUE"""),"EJO/2025/07/105")</f>
        <v>EJO/2025/07/105</v>
      </c>
      <c r="E279" s="3" t="str">
        <f>IFERROR(__xludf.DUMMYFUNCTION("""COMPUTED_VALUE"""),"Chamber WIP dan incubator")</f>
        <v>Chamber WIP dan incubator</v>
      </c>
      <c r="F279" s="3" t="str">
        <f>IFERROR(__xludf.DUMMYFUNCTION("""COMPUTED_VALUE"""),"Pipa tembaga")</f>
        <v>Pipa tembaga</v>
      </c>
      <c r="G279" s="3" t="str">
        <f>IFERROR(__xludf.DUMMYFUNCTION("""COMPUTED_VALUE"""),"3/8 inch")</f>
        <v>3/8 inch</v>
      </c>
      <c r="H279" s="3" t="str">
        <f>IFERROR(__xludf.DUMMYFUNCTION("""COMPUTED_VALUE"""),"NS")</f>
        <v>NS</v>
      </c>
      <c r="I279" s="3">
        <f>IFERROR(__xludf.DUMMYFUNCTION("""COMPUTED_VALUE"""),25.0)</f>
        <v>25</v>
      </c>
      <c r="J279" s="3" t="str">
        <f>IFERROR(__xludf.DUMMYFUNCTION("""COMPUTED_VALUE"""),"meter")</f>
        <v>meter</v>
      </c>
      <c r="K279" s="5" t="str">
        <f>IFERROR(__xludf.DUMMYFUNCTION("""COMPUTED_VALUE"""),"https://www.tokopedia.com/ademselalu/pipa-tembaga-3-8-x-15-meter-merk-ns-copper-tube-3-8-ns?extParam=ivf%3Dfalse%26keyword%3Dpipa+tembaga+3%2F8%26search_id%3D20250828231918D81F9C1BE2E0892FFF76%26src%3Dsearch&amp;t_id=1756423161801&amp;t_st=1&amp;t_pp=search_result&amp;t_"&amp;"efo=search_pure_goods_card&amp;t_ef=goods_search&amp;t_sm=&amp;t_spt=search_result")</f>
        <v>https://www.tokopedia.com/ademselalu/pipa-tembaga-3-8-x-15-meter-merk-ns-copper-tube-3-8-ns?extParam=ivf%3Dfalse%26keyword%3Dpipa+tembaga+3%2F8%26search_id%3D20250828231918D81F9C1BE2E0892FFF76%26src%3Dsearch&amp;t_id=1756423161801&amp;t_st=1&amp;t_pp=search_result&amp;t_efo=search_pure_goods_card&amp;t_ef=goods_search&amp;t_sm=&amp;t_spt=search_result</v>
      </c>
      <c r="L279" s="3" t="str">
        <f>IFERROR(__xludf.DUMMYFUNCTION("""COMPUTED_VALUE"""),"Untuk lewat mesin FD")</f>
        <v>Untuk lewat mesin FD</v>
      </c>
      <c r="M279" s="3" t="str">
        <f>IFERROR(__xludf.DUMMYFUNCTION("""COMPUTED_VALUE"""),"Approve")</f>
        <v>Approve</v>
      </c>
      <c r="N279" s="3" t="str">
        <f>IFERROR(__xludf.DUMMYFUNCTION("""COMPUTED_VALUE"""),"Normal")</f>
        <v>Normal</v>
      </c>
      <c r="O279" s="3" t="str">
        <f>IFERROR(__xludf.DUMMYFUNCTION("""COMPUTED_VALUE"""),"Non Urgent")</f>
        <v>Non Urgent</v>
      </c>
      <c r="P279" s="7">
        <f>IFERROR(__xludf.DUMMYFUNCTION("""COMPUTED_VALUE"""),45901.85888231482)</f>
        <v>45901.85888</v>
      </c>
    </row>
    <row r="280">
      <c r="A280" s="4">
        <f>IFERROR(__xludf.DUMMYFUNCTION("""COMPUTED_VALUE"""),45898.264021840274)</f>
        <v>45898.26402</v>
      </c>
      <c r="B280" s="3" t="str">
        <f>IFERROR(__xludf.DUMMYFUNCTION("""COMPUTED_VALUE"""),"MRNBR0057")</f>
        <v>MRNBR0057</v>
      </c>
      <c r="C280" s="3" t="str">
        <f>IFERROR(__xludf.DUMMYFUNCTION("""COMPUTED_VALUE"""),"EJO")</f>
        <v>EJO</v>
      </c>
      <c r="D280" s="3" t="str">
        <f>IFERROR(__xludf.DUMMYFUNCTION("""COMPUTED_VALUE"""),"EJO/2025/07/105")</f>
        <v>EJO/2025/07/105</v>
      </c>
      <c r="E280" s="3" t="str">
        <f>IFERROR(__xludf.DUMMYFUNCTION("""COMPUTED_VALUE"""),"Chamber WIP dan incubator")</f>
        <v>Chamber WIP dan incubator</v>
      </c>
      <c r="F280" s="3" t="str">
        <f>IFERROR(__xludf.DUMMYFUNCTION("""COMPUTED_VALUE"""),"Elbow tembaga")</f>
        <v>Elbow tembaga</v>
      </c>
      <c r="G280" s="3" t="str">
        <f>IFERROR(__xludf.DUMMYFUNCTION("""COMPUTED_VALUE"""),"3/4 inch")</f>
        <v>3/4 inch</v>
      </c>
      <c r="H280" s="3" t="str">
        <f>IFERROR(__xludf.DUMMYFUNCTION("""COMPUTED_VALUE"""),"NA")</f>
        <v>NA</v>
      </c>
      <c r="I280" s="3">
        <f>IFERROR(__xludf.DUMMYFUNCTION("""COMPUTED_VALUE"""),5.0)</f>
        <v>5</v>
      </c>
      <c r="J280" s="3" t="str">
        <f>IFERROR(__xludf.DUMMYFUNCTION("""COMPUTED_VALUE"""),"pcs")</f>
        <v>pcs</v>
      </c>
      <c r="K280" s="5" t="str">
        <f>IFERROR(__xludf.DUMMYFUNCTION("""COMPUTED_VALUE"""),"https://www.tokopedia.com/suryatamapart/elbow-tembaga-1-4-sampai-2-1-8-sambungan-ac-keni-tembaga-1?aff_unique_id=&amp;channel=others&amp;chain_key=")</f>
        <v>https://www.tokopedia.com/suryatamapart/elbow-tembaga-1-4-sampai-2-1-8-sambungan-ac-keni-tembaga-1?aff_unique_id=&amp;channel=others&amp;chain_key=</v>
      </c>
      <c r="L280" s="3" t="str">
        <f>IFERROR(__xludf.DUMMYFUNCTION("""COMPUTED_VALUE"""),"Untuk lewat mesin FD")</f>
        <v>Untuk lewat mesin FD</v>
      </c>
      <c r="M280" s="3" t="str">
        <f>IFERROR(__xludf.DUMMYFUNCTION("""COMPUTED_VALUE"""),"Approve")</f>
        <v>Approve</v>
      </c>
      <c r="N280" s="3" t="str">
        <f>IFERROR(__xludf.DUMMYFUNCTION("""COMPUTED_VALUE"""),"Normal")</f>
        <v>Normal</v>
      </c>
      <c r="O280" s="3" t="str">
        <f>IFERROR(__xludf.DUMMYFUNCTION("""COMPUTED_VALUE"""),"Non Urgent")</f>
        <v>Non Urgent</v>
      </c>
      <c r="P280" s="7">
        <f>IFERROR(__xludf.DUMMYFUNCTION("""COMPUTED_VALUE"""),45901.85868988426)</f>
        <v>45901.85869</v>
      </c>
    </row>
    <row r="281">
      <c r="A281" s="4">
        <f>IFERROR(__xludf.DUMMYFUNCTION("""COMPUTED_VALUE"""),45898.26689313657)</f>
        <v>45898.26689</v>
      </c>
      <c r="B281" s="3" t="str">
        <f>IFERROR(__xludf.DUMMYFUNCTION("""COMPUTED_VALUE"""),"MRNBR0058")</f>
        <v>MRNBR0058</v>
      </c>
      <c r="C281" s="3" t="str">
        <f>IFERROR(__xludf.DUMMYFUNCTION("""COMPUTED_VALUE"""),"EJO")</f>
        <v>EJO</v>
      </c>
      <c r="D281" s="3" t="str">
        <f>IFERROR(__xludf.DUMMYFUNCTION("""COMPUTED_VALUE"""),"EJO/2025/07/105")</f>
        <v>EJO/2025/07/105</v>
      </c>
      <c r="E281" s="3" t="str">
        <f>IFERROR(__xludf.DUMMYFUNCTION("""COMPUTED_VALUE"""),"Chamber WIP dan incubator")</f>
        <v>Chamber WIP dan incubator</v>
      </c>
      <c r="F281" s="3" t="str">
        <f>IFERROR(__xludf.DUMMYFUNCTION("""COMPUTED_VALUE"""),"Elbow tembaga")</f>
        <v>Elbow tembaga</v>
      </c>
      <c r="G281" s="3" t="str">
        <f>IFERROR(__xludf.DUMMYFUNCTION("""COMPUTED_VALUE"""),"3/8 inch")</f>
        <v>3/8 inch</v>
      </c>
      <c r="H281" s="3" t="str">
        <f>IFERROR(__xludf.DUMMYFUNCTION("""COMPUTED_VALUE"""),"NA")</f>
        <v>NA</v>
      </c>
      <c r="I281" s="3">
        <f>IFERROR(__xludf.DUMMYFUNCTION("""COMPUTED_VALUE"""),5.0)</f>
        <v>5</v>
      </c>
      <c r="J281" s="3" t="str">
        <f>IFERROR(__xludf.DUMMYFUNCTION("""COMPUTED_VALUE"""),"pcs")</f>
        <v>pcs</v>
      </c>
      <c r="K281" s="5" t="str">
        <f>IFERROR(__xludf.DUMMYFUNCTION("""COMPUTED_VALUE"""),"https://www.tokopedia.com/suryatamapart/elbow-tembaga-1-4-sampai-2-1-8-sambungan-ac-keni-tembaga-1?aff_unique_id=&amp;channel=others&amp;chain_key=")</f>
        <v>https://www.tokopedia.com/suryatamapart/elbow-tembaga-1-4-sampai-2-1-8-sambungan-ac-keni-tembaga-1?aff_unique_id=&amp;channel=others&amp;chain_key=</v>
      </c>
      <c r="L281" s="3" t="str">
        <f>IFERROR(__xludf.DUMMYFUNCTION("""COMPUTED_VALUE"""),"Untuk lewat mesin FD")</f>
        <v>Untuk lewat mesin FD</v>
      </c>
      <c r="M281" s="3" t="str">
        <f>IFERROR(__xludf.DUMMYFUNCTION("""COMPUTED_VALUE"""),"Approve")</f>
        <v>Approve</v>
      </c>
      <c r="N281" s="3" t="str">
        <f>IFERROR(__xludf.DUMMYFUNCTION("""COMPUTED_VALUE"""),"Normal")</f>
        <v>Normal</v>
      </c>
      <c r="O281" s="3" t="str">
        <f>IFERROR(__xludf.DUMMYFUNCTION("""COMPUTED_VALUE"""),"Non Urgent")</f>
        <v>Non Urgent</v>
      </c>
      <c r="P281" s="7">
        <f>IFERROR(__xludf.DUMMYFUNCTION("""COMPUTED_VALUE"""),45901.85787987268)</f>
        <v>45901.85788</v>
      </c>
    </row>
    <row r="282">
      <c r="A282" s="4">
        <f>IFERROR(__xludf.DUMMYFUNCTION("""COMPUTED_VALUE"""),45898.26739858796)</f>
        <v>45898.2674</v>
      </c>
      <c r="B282" s="3" t="str">
        <f>IFERROR(__xludf.DUMMYFUNCTION("""COMPUTED_VALUE"""),"MRNBR0059")</f>
        <v>MRNBR0059</v>
      </c>
      <c r="C282" s="3" t="str">
        <f>IFERROR(__xludf.DUMMYFUNCTION("""COMPUTED_VALUE"""),"EJO")</f>
        <v>EJO</v>
      </c>
      <c r="D282" s="3" t="str">
        <f>IFERROR(__xludf.DUMMYFUNCTION("""COMPUTED_VALUE"""),"EJO/2025/07/105")</f>
        <v>EJO/2025/07/105</v>
      </c>
      <c r="E282" s="3" t="str">
        <f>IFERROR(__xludf.DUMMYFUNCTION("""COMPUTED_VALUE"""),"Chamber WIP dan incubator")</f>
        <v>Chamber WIP dan incubator</v>
      </c>
      <c r="F282" s="3" t="str">
        <f>IFERROR(__xludf.DUMMYFUNCTION("""COMPUTED_VALUE"""),"Shock tembaga")</f>
        <v>Shock tembaga</v>
      </c>
      <c r="G282" s="3" t="str">
        <f>IFERROR(__xludf.DUMMYFUNCTION("""COMPUTED_VALUE"""),"3/4 inch")</f>
        <v>3/4 inch</v>
      </c>
      <c r="H282" s="3" t="str">
        <f>IFERROR(__xludf.DUMMYFUNCTION("""COMPUTED_VALUE"""),"NA")</f>
        <v>NA</v>
      </c>
      <c r="I282" s="3">
        <f>IFERROR(__xludf.DUMMYFUNCTION("""COMPUTED_VALUE"""),5.0)</f>
        <v>5</v>
      </c>
      <c r="J282" s="3" t="str">
        <f>IFERROR(__xludf.DUMMYFUNCTION("""COMPUTED_VALUE"""),"pcs")</f>
        <v>pcs</v>
      </c>
      <c r="K282" s="5" t="str">
        <f>IFERROR(__xludf.DUMMYFUNCTION("""COMPUTED_VALUE"""),"https://www.tokopedia.com/suryatamapart/elbow-tembaga-1-4-sampai-2-1-8-sambungan-ac-keni-tembaga-1?aff_unique_id=&amp;channel=others&amp;chain_key=")</f>
        <v>https://www.tokopedia.com/suryatamapart/elbow-tembaga-1-4-sampai-2-1-8-sambungan-ac-keni-tembaga-1?aff_unique_id=&amp;channel=others&amp;chain_key=</v>
      </c>
      <c r="L282" s="3" t="str">
        <f>IFERROR(__xludf.DUMMYFUNCTION("""COMPUTED_VALUE"""),"Untuk lewat mesin FD")</f>
        <v>Untuk lewat mesin FD</v>
      </c>
      <c r="M282" s="3" t="str">
        <f>IFERROR(__xludf.DUMMYFUNCTION("""COMPUTED_VALUE"""),"Approve")</f>
        <v>Approve</v>
      </c>
      <c r="N282" s="3" t="str">
        <f>IFERROR(__xludf.DUMMYFUNCTION("""COMPUTED_VALUE"""),"Normal")</f>
        <v>Normal</v>
      </c>
      <c r="O282" s="3" t="str">
        <f>IFERROR(__xludf.DUMMYFUNCTION("""COMPUTED_VALUE"""),"Non Urgent")</f>
        <v>Non Urgent</v>
      </c>
      <c r="P282" s="7">
        <f>IFERROR(__xludf.DUMMYFUNCTION("""COMPUTED_VALUE"""),45901.857729560186)</f>
        <v>45901.85773</v>
      </c>
    </row>
    <row r="283">
      <c r="A283" s="4">
        <f>IFERROR(__xludf.DUMMYFUNCTION("""COMPUTED_VALUE"""),45898.267572696765)</f>
        <v>45898.26757</v>
      </c>
      <c r="B283" s="3" t="str">
        <f>IFERROR(__xludf.DUMMYFUNCTION("""COMPUTED_VALUE"""),"MRNBR0060")</f>
        <v>MRNBR0060</v>
      </c>
      <c r="C283" s="3" t="str">
        <f>IFERROR(__xludf.DUMMYFUNCTION("""COMPUTED_VALUE"""),"EJO")</f>
        <v>EJO</v>
      </c>
      <c r="D283" s="3" t="str">
        <f>IFERROR(__xludf.DUMMYFUNCTION("""COMPUTED_VALUE"""),"EJO/2025/07/105")</f>
        <v>EJO/2025/07/105</v>
      </c>
      <c r="E283" s="3" t="str">
        <f>IFERROR(__xludf.DUMMYFUNCTION("""COMPUTED_VALUE"""),"Chamber WIP dan incubator")</f>
        <v>Chamber WIP dan incubator</v>
      </c>
      <c r="F283" s="3" t="str">
        <f>IFERROR(__xludf.DUMMYFUNCTION("""COMPUTED_VALUE"""),"Shock tembaga")</f>
        <v>Shock tembaga</v>
      </c>
      <c r="G283" s="3" t="str">
        <f>IFERROR(__xludf.DUMMYFUNCTION("""COMPUTED_VALUE"""),"3/8 inch")</f>
        <v>3/8 inch</v>
      </c>
      <c r="H283" s="3" t="str">
        <f>IFERROR(__xludf.DUMMYFUNCTION("""COMPUTED_VALUE"""),"NA")</f>
        <v>NA</v>
      </c>
      <c r="I283" s="3">
        <f>IFERROR(__xludf.DUMMYFUNCTION("""COMPUTED_VALUE"""),5.0)</f>
        <v>5</v>
      </c>
      <c r="J283" s="3" t="str">
        <f>IFERROR(__xludf.DUMMYFUNCTION("""COMPUTED_VALUE"""),"pcs")</f>
        <v>pcs</v>
      </c>
      <c r="K283" s="5" t="str">
        <f>IFERROR(__xludf.DUMMYFUNCTION("""COMPUTED_VALUE"""),"https://www.tokopedia.com/suryatamapart/elbow-tembaga-1-4-sampai-2-1-8-sambungan-ac-keni-tembaga-1?aff_unique_id=&amp;channel=others&amp;chain_key=")</f>
        <v>https://www.tokopedia.com/suryatamapart/elbow-tembaga-1-4-sampai-2-1-8-sambungan-ac-keni-tembaga-1?aff_unique_id=&amp;channel=others&amp;chain_key=</v>
      </c>
      <c r="L283" s="3" t="str">
        <f>IFERROR(__xludf.DUMMYFUNCTION("""COMPUTED_VALUE"""),"Untuk lewat mesin FD")</f>
        <v>Untuk lewat mesin FD</v>
      </c>
      <c r="M283" s="3" t="str">
        <f>IFERROR(__xludf.DUMMYFUNCTION("""COMPUTED_VALUE"""),"Approve")</f>
        <v>Approve</v>
      </c>
      <c r="N283" s="3" t="str">
        <f>IFERROR(__xludf.DUMMYFUNCTION("""COMPUTED_VALUE"""),"Normal")</f>
        <v>Normal</v>
      </c>
      <c r="O283" s="3" t="str">
        <f>IFERROR(__xludf.DUMMYFUNCTION("""COMPUTED_VALUE"""),"Non Urgent")</f>
        <v>Non Urgent</v>
      </c>
      <c r="P283" s="7">
        <f>IFERROR(__xludf.DUMMYFUNCTION("""COMPUTED_VALUE"""),45901.857557766205)</f>
        <v>45901.85756</v>
      </c>
    </row>
    <row r="284">
      <c r="A284" s="4">
        <f>IFERROR(__xludf.DUMMYFUNCTION("""COMPUTED_VALUE"""),45898.27047527778)</f>
        <v>45898.27048</v>
      </c>
      <c r="B284" s="3" t="str">
        <f>IFERROR(__xludf.DUMMYFUNCTION("""COMPUTED_VALUE"""),"MRNBR0061")</f>
        <v>MRNBR0061</v>
      </c>
      <c r="C284" s="3" t="str">
        <f>IFERROR(__xludf.DUMMYFUNCTION("""COMPUTED_VALUE"""),"EJO")</f>
        <v>EJO</v>
      </c>
      <c r="D284" s="3" t="str">
        <f>IFERROR(__xludf.DUMMYFUNCTION("""COMPUTED_VALUE"""),"EJO/2025/07/105")</f>
        <v>EJO/2025/07/105</v>
      </c>
      <c r="E284" s="3" t="str">
        <f>IFERROR(__xludf.DUMMYFUNCTION("""COMPUTED_VALUE"""),"Chamber WIP dan incubator")</f>
        <v>Chamber WIP dan incubator</v>
      </c>
      <c r="F284" s="3" t="str">
        <f>IFERROR(__xludf.DUMMYFUNCTION("""COMPUTED_VALUE"""),"Insulasi pipa tembaga")</f>
        <v>Insulasi pipa tembaga</v>
      </c>
      <c r="G284" s="3" t="str">
        <f>IFERROR(__xludf.DUMMYFUNCTION("""COMPUTED_VALUE"""),"1/2 inch")</f>
        <v>1/2 inch</v>
      </c>
      <c r="H284" s="3" t="str">
        <f>IFERROR(__xludf.DUMMYFUNCTION("""COMPUTED_VALUE"""),"insulflex")</f>
        <v>insulflex</v>
      </c>
      <c r="I284" s="3">
        <f>IFERROR(__xludf.DUMMYFUNCTION("""COMPUTED_VALUE"""),50.0)</f>
        <v>50</v>
      </c>
      <c r="J284" s="3" t="str">
        <f>IFERROR(__xludf.DUMMYFUNCTION("""COMPUTED_VALUE"""),"meter")</f>
        <v>meter</v>
      </c>
      <c r="K284" s="5" t="str">
        <f>IFERROR(__xludf.DUMMYFUNCTION("""COMPUTED_VALUE"""),"https://www.tokopedia.com/sensensaprepart/insulasi-pembungkus-pipa-ac-3-4-inch-insuflex-pembungkus-pipa?extParam=ivf%3Dfalse%26keyword%3Dinsuflex+pipa+tembaga+3%2F4%26search_id%3D20250828232903D81F9C1BE2E0890D0HFS%26src%3Dsearch&amp;t_id=1756423677996&amp;t_st=3&amp;"&amp;"t_pp=search_result&amp;t_efo=search_pure_goods_card&amp;t_ef=goods_search&amp;t_sm=&amp;t_spt=search_result")</f>
        <v>https://www.tokopedia.com/sensensaprepart/insulasi-pembungkus-pipa-ac-3-4-inch-insuflex-pembungkus-pipa?extParam=ivf%3Dfalse%26keyword%3Dinsuflex+pipa+tembaga+3%2F4%26search_id%3D20250828232903D81F9C1BE2E0890D0HFS%26src%3Dsearch&amp;t_id=1756423677996&amp;t_st=3&amp;t_pp=search_result&amp;t_efo=search_pure_goods_card&amp;t_ef=goods_search&amp;t_sm=&amp;t_spt=search_result</v>
      </c>
      <c r="L284" s="3" t="str">
        <f>IFERROR(__xludf.DUMMYFUNCTION("""COMPUTED_VALUE"""),"Untuk lewat mesin FD")</f>
        <v>Untuk lewat mesin FD</v>
      </c>
      <c r="M284" s="3" t="str">
        <f>IFERROR(__xludf.DUMMYFUNCTION("""COMPUTED_VALUE"""),"Approve")</f>
        <v>Approve</v>
      </c>
      <c r="N284" s="3" t="str">
        <f>IFERROR(__xludf.DUMMYFUNCTION("""COMPUTED_VALUE"""),"Normal")</f>
        <v>Normal</v>
      </c>
      <c r="O284" s="3" t="str">
        <f>IFERROR(__xludf.DUMMYFUNCTION("""COMPUTED_VALUE"""),"Non Urgent")</f>
        <v>Non Urgent</v>
      </c>
      <c r="P284" s="7">
        <f>IFERROR(__xludf.DUMMYFUNCTION("""COMPUTED_VALUE"""),45901.85733048611)</f>
        <v>45901.85733</v>
      </c>
    </row>
    <row r="285">
      <c r="A285" s="4">
        <f>IFERROR(__xludf.DUMMYFUNCTION("""COMPUTED_VALUE"""),45898.27142380786)</f>
        <v>45898.27142</v>
      </c>
      <c r="B285" s="3" t="str">
        <f>IFERROR(__xludf.DUMMYFUNCTION("""COMPUTED_VALUE"""),"MRNBR0062")</f>
        <v>MRNBR0062</v>
      </c>
      <c r="C285" s="3" t="str">
        <f>IFERROR(__xludf.DUMMYFUNCTION("""COMPUTED_VALUE"""),"EJO")</f>
        <v>EJO</v>
      </c>
      <c r="D285" s="3" t="str">
        <f>IFERROR(__xludf.DUMMYFUNCTION("""COMPUTED_VALUE"""),"EJO/2025/07/105")</f>
        <v>EJO/2025/07/105</v>
      </c>
      <c r="E285" s="3" t="str">
        <f>IFERROR(__xludf.DUMMYFUNCTION("""COMPUTED_VALUE"""),"Chamber WIP dan incubator")</f>
        <v>Chamber WIP dan incubator</v>
      </c>
      <c r="F285" s="3" t="str">
        <f>IFERROR(__xludf.DUMMYFUNCTION("""COMPUTED_VALUE"""),"Insulasi pipa tembaga")</f>
        <v>Insulasi pipa tembaga</v>
      </c>
      <c r="G285" s="3" t="str">
        <f>IFERROR(__xludf.DUMMYFUNCTION("""COMPUTED_VALUE"""),"3/8 inch")</f>
        <v>3/8 inch</v>
      </c>
      <c r="H285" s="3" t="str">
        <f>IFERROR(__xludf.DUMMYFUNCTION("""COMPUTED_VALUE"""),"insulflex")</f>
        <v>insulflex</v>
      </c>
      <c r="I285" s="3">
        <f>IFERROR(__xludf.DUMMYFUNCTION("""COMPUTED_VALUE"""),50.0)</f>
        <v>50</v>
      </c>
      <c r="J285" s="3" t="str">
        <f>IFERROR(__xludf.DUMMYFUNCTION("""COMPUTED_VALUE"""),"meter")</f>
        <v>meter</v>
      </c>
      <c r="K285" s="5" t="str">
        <f>IFERROR(__xludf.DUMMYFUNCTION("""COMPUTED_VALUE"""),"https://www.tokopedia.com/sensensaprepart/insulasi-pembungkus-pipa-ac-3-4-inch-insuflex-pembungkus-pipa?extParam=ivf%3Dfalse%26keyword%3Dinsuflex+pipa+tembaga+3%2F4%26search_id%3D20250828232903D81F9C1BE2E0890D0HFS%26src%3Dsearch&amp;t_id=1756423677996&amp;t_st=3&amp;"&amp;"t_pp=search_result&amp;t_efo=search_pure_goods_card&amp;t_ef=goods_search&amp;t_sm=&amp;t_spt=search_result")</f>
        <v>https://www.tokopedia.com/sensensaprepart/insulasi-pembungkus-pipa-ac-3-4-inch-insuflex-pembungkus-pipa?extParam=ivf%3Dfalse%26keyword%3Dinsuflex+pipa+tembaga+3%2F4%26search_id%3D20250828232903D81F9C1BE2E0890D0HFS%26src%3Dsearch&amp;t_id=1756423677996&amp;t_st=3&amp;t_pp=search_result&amp;t_efo=search_pure_goods_card&amp;t_ef=goods_search&amp;t_sm=&amp;t_spt=search_result</v>
      </c>
      <c r="L285" s="3" t="str">
        <f>IFERROR(__xludf.DUMMYFUNCTION("""COMPUTED_VALUE"""),"Untuk lewat mesin FD")</f>
        <v>Untuk lewat mesin FD</v>
      </c>
      <c r="M285" s="3" t="str">
        <f>IFERROR(__xludf.DUMMYFUNCTION("""COMPUTED_VALUE"""),"Approve")</f>
        <v>Approve</v>
      </c>
      <c r="N285" s="3" t="str">
        <f>IFERROR(__xludf.DUMMYFUNCTION("""COMPUTED_VALUE"""),"Normal")</f>
        <v>Normal</v>
      </c>
      <c r="O285" s="3" t="str">
        <f>IFERROR(__xludf.DUMMYFUNCTION("""COMPUTED_VALUE"""),"Non Urgent")</f>
        <v>Non Urgent</v>
      </c>
      <c r="P285" s="7">
        <f>IFERROR(__xludf.DUMMYFUNCTION("""COMPUTED_VALUE"""),45901.85639673611)</f>
        <v>45901.8564</v>
      </c>
    </row>
    <row r="286">
      <c r="A286" s="4">
        <f>IFERROR(__xludf.DUMMYFUNCTION("""COMPUTED_VALUE"""),45898.27144203704)</f>
        <v>45898.27144</v>
      </c>
      <c r="B286" s="3" t="str">
        <f>IFERROR(__xludf.DUMMYFUNCTION("""COMPUTED_VALUE"""),"MRNBR0063")</f>
        <v>MRNBR0063</v>
      </c>
      <c r="C286" s="3" t="str">
        <f>IFERROR(__xludf.DUMMYFUNCTION("""COMPUTED_VALUE"""),"EJO")</f>
        <v>EJO</v>
      </c>
      <c r="D286" s="3" t="str">
        <f>IFERROR(__xludf.DUMMYFUNCTION("""COMPUTED_VALUE"""),"EJO/2025/07/105")</f>
        <v>EJO/2025/07/105</v>
      </c>
      <c r="E286" s="3" t="str">
        <f>IFERROR(__xludf.DUMMYFUNCTION("""COMPUTED_VALUE"""),"Chamber WIP dan incubator")</f>
        <v>Chamber WIP dan incubator</v>
      </c>
      <c r="F286" s="3" t="str">
        <f>IFERROR(__xludf.DUMMYFUNCTION("""COMPUTED_VALUE"""),"Insulasi pipa tembaga")</f>
        <v>Insulasi pipa tembaga</v>
      </c>
      <c r="G286" s="3" t="str">
        <f>IFERROR(__xludf.DUMMYFUNCTION("""COMPUTED_VALUE"""),"3/4 inch")</f>
        <v>3/4 inch</v>
      </c>
      <c r="H286" s="3" t="str">
        <f>IFERROR(__xludf.DUMMYFUNCTION("""COMPUTED_VALUE"""),"insulflex")</f>
        <v>insulflex</v>
      </c>
      <c r="I286" s="3">
        <f>IFERROR(__xludf.DUMMYFUNCTION("""COMPUTED_VALUE"""),10.0)</f>
        <v>10</v>
      </c>
      <c r="J286" s="3" t="str">
        <f>IFERROR(__xludf.DUMMYFUNCTION("""COMPUTED_VALUE"""),"meter")</f>
        <v>meter</v>
      </c>
      <c r="K286" s="5" t="str">
        <f>IFERROR(__xludf.DUMMYFUNCTION("""COMPUTED_VALUE"""),"https://www.tokopedia.com/sensensaprepart/insulasi-pembungkus-pipa-ac-3-4-inch-insuflex-pembungkus-pipa?extParam=ivf%3Dfalse%26keyword%3Dinsuflex+pipa+tembaga+3%2F4%26search_id%3D20250828232903D81F9C1BE2E0890D0HFS%26src%3Dsearch&amp;t_id=1756423677996&amp;t_st=3&amp;"&amp;"t_pp=search_result&amp;t_efo=search_pure_goods_card&amp;t_ef=goods_search&amp;t_sm=&amp;t_spt=search_result")</f>
        <v>https://www.tokopedia.com/sensensaprepart/insulasi-pembungkus-pipa-ac-3-4-inch-insuflex-pembungkus-pipa?extParam=ivf%3Dfalse%26keyword%3Dinsuflex+pipa+tembaga+3%2F4%26search_id%3D20250828232903D81F9C1BE2E0890D0HFS%26src%3Dsearch&amp;t_id=1756423677996&amp;t_st=3&amp;t_pp=search_result&amp;t_efo=search_pure_goods_card&amp;t_ef=goods_search&amp;t_sm=&amp;t_spt=search_result</v>
      </c>
      <c r="L286" s="3" t="str">
        <f>IFERROR(__xludf.DUMMYFUNCTION("""COMPUTED_VALUE"""),"Untuk lewat mesin FD")</f>
        <v>Untuk lewat mesin FD</v>
      </c>
      <c r="M286" s="3" t="str">
        <f>IFERROR(__xludf.DUMMYFUNCTION("""COMPUTED_VALUE"""),"Approve")</f>
        <v>Approve</v>
      </c>
      <c r="N286" s="3" t="str">
        <f>IFERROR(__xludf.DUMMYFUNCTION("""COMPUTED_VALUE"""),"Normal")</f>
        <v>Normal</v>
      </c>
      <c r="O286" s="3" t="str">
        <f>IFERROR(__xludf.DUMMYFUNCTION("""COMPUTED_VALUE"""),"Non Urgent")</f>
        <v>Non Urgent</v>
      </c>
      <c r="P286" s="7">
        <f>IFERROR(__xludf.DUMMYFUNCTION("""COMPUTED_VALUE"""),45901.85544650463)</f>
        <v>45901.85545</v>
      </c>
    </row>
    <row r="287">
      <c r="A287" s="4">
        <f>IFERROR(__xludf.DUMMYFUNCTION("""COMPUTED_VALUE"""),45898.545948136576)</f>
        <v>45898.54595</v>
      </c>
      <c r="B287" s="3" t="str">
        <f>IFERROR(__xludf.DUMMYFUNCTION("""COMPUTED_VALUE"""),"RIABR0098")</f>
        <v>RIABR0098</v>
      </c>
      <c r="C287" s="3" t="str">
        <f>IFERROR(__xludf.DUMMYFUNCTION("""COMPUTED_VALUE"""),"Consumable")</f>
        <v>Consumable</v>
      </c>
      <c r="D287" s="3" t="str">
        <f>IFERROR(__xludf.DUMMYFUNCTION("""COMPUTED_VALUE"""),"-")</f>
        <v>-</v>
      </c>
      <c r="E287" s="3" t="str">
        <f>IFERROR(__xludf.DUMMYFUNCTION("""COMPUTED_VALUE"""),"Smoke Detector")</f>
        <v>Smoke Detector</v>
      </c>
      <c r="F287" s="3" t="str">
        <f>IFERROR(__xludf.DUMMYFUNCTION("""COMPUTED_VALUE"""),"Smoke Test")</f>
        <v>Smoke Test</v>
      </c>
      <c r="G287" s="3" t="str">
        <f>IFERROR(__xludf.DUMMYFUNCTION("""COMPUTED_VALUE"""),"SMOKE CHECK/SMOKE DETECTOR TESTER/SMOKE ALARM TESTER
Merk : SABRE")</f>
        <v>SMOKE CHECK/SMOKE DETECTOR TESTER/SMOKE ALARM TESTER
Merk : SABRE</v>
      </c>
      <c r="H287" s="3" t="str">
        <f>IFERROR(__xludf.DUMMYFUNCTION("""COMPUTED_VALUE"""),"Sabre")</f>
        <v>Sabre</v>
      </c>
      <c r="I287" s="3">
        <f>IFERROR(__xludf.DUMMYFUNCTION("""COMPUTED_VALUE"""),5.0)</f>
        <v>5</v>
      </c>
      <c r="J287" s="3" t="str">
        <f>IFERROR(__xludf.DUMMYFUNCTION("""COMPUTED_VALUE"""),"Pcs")</f>
        <v>Pcs</v>
      </c>
      <c r="K287" s="5" t="str">
        <f>IFERROR(__xludf.DUMMYFUNCTION("""COMPUTED_VALUE"""),"https://www.tokopedia.com/royalsafety/sabre-smoke-detector-tester-sabre-smoke-check-detector?extParam=ivf%3Dfalse%26keyword%3Dsmoke+detector+tester%26search_id%3D2025082904142234ED066DF378EF0D0BLN%26src%3Dsearch")</f>
        <v>https://www.tokopedia.com/royalsafety/sabre-smoke-detector-tester-sabre-smoke-check-detector?extParam=ivf%3Dfalse%26keyword%3Dsmoke+detector+tester%26search_id%3D2025082904142234ED066DF378EF0D0BLN%26src%3Dsearch</v>
      </c>
      <c r="L287" s="3" t="str">
        <f>IFERROR(__xludf.DUMMYFUNCTION("""COMPUTED_VALUE"""),"Untuk PM Alarm Smoke Detector")</f>
        <v>Untuk PM Alarm Smoke Detector</v>
      </c>
      <c r="M287" s="3" t="str">
        <f>IFERROR(__xludf.DUMMYFUNCTION("""COMPUTED_VALUE"""),"Approve")</f>
        <v>Approve</v>
      </c>
      <c r="N287" s="3" t="str">
        <f>IFERROR(__xludf.DUMMYFUNCTION("""COMPUTED_VALUE"""),"Normal")</f>
        <v>Normal</v>
      </c>
      <c r="O287" s="3" t="str">
        <f>IFERROR(__xludf.DUMMYFUNCTION("""COMPUTED_VALUE"""),"Non Urgent")</f>
        <v>Non Urgent</v>
      </c>
      <c r="P287" s="7">
        <f>IFERROR(__xludf.DUMMYFUNCTION("""COMPUTED_VALUE"""),45901.854728182865)</f>
        <v>45901.85473</v>
      </c>
    </row>
    <row r="288">
      <c r="A288" s="4">
        <f>IFERROR(__xludf.DUMMYFUNCTION("""COMPUTED_VALUE"""),45901.75995636574)</f>
        <v>45901.75996</v>
      </c>
      <c r="B288" s="3" t="str">
        <f>IFERROR(__xludf.DUMMYFUNCTION("""COMPUTED_VALUE"""),"MOBBR0044")</f>
        <v>MOBBR0044</v>
      </c>
      <c r="C288" s="3" t="str">
        <f>IFERROR(__xludf.DUMMYFUNCTION("""COMPUTED_VALUE"""),"EJO")</f>
        <v>EJO</v>
      </c>
      <c r="D288" s="3" t="str">
        <f>IFERROR(__xludf.DUMMYFUNCTION("""COMPUTED_VALUE"""),"EJO/2025/09/23")</f>
        <v>EJO/2025/09/23</v>
      </c>
      <c r="E288" s="3" t="str">
        <f>IFERROR(__xludf.DUMMYFUNCTION("""COMPUTED_VALUE"""),"AHU")</f>
        <v>AHU</v>
      </c>
      <c r="F288" s="3" t="str">
        <f>IFERROR(__xludf.DUMMYFUNCTION("""COMPUTED_VALUE"""),"Diffuser+OBD")</f>
        <v>Diffuser+OBD</v>
      </c>
      <c r="G288" s="3" t="str">
        <f>IFERROR(__xludf.DUMMYFUNCTION("""COMPUTED_VALUE"""),"SUPPLY AIR DIFFUSER+OBD UK 200X200mm")</f>
        <v>SUPPLY AIR DIFFUSER+OBD UK 200X200mm</v>
      </c>
      <c r="H288" s="3" t="str">
        <f>IFERROR(__xludf.DUMMYFUNCTION("""COMPUTED_VALUE"""),"-")</f>
        <v>-</v>
      </c>
      <c r="I288" s="3">
        <f>IFERROR(__xludf.DUMMYFUNCTION("""COMPUTED_VALUE"""),5.0)</f>
        <v>5</v>
      </c>
      <c r="J288" s="3" t="str">
        <f>IFERROR(__xludf.DUMMYFUNCTION("""COMPUTED_VALUE"""),"Pcs")</f>
        <v>Pcs</v>
      </c>
      <c r="K288" s="5" t="str">
        <f>IFERROR(__xludf.DUMMYFUNCTION("""COMPUTED_VALUE"""),"https://www.tokopedia.com/defate/supply-air-diffuser-obd-uk-200x200mm-8-natural-luar-33cm-x-33cm")</f>
        <v>https://www.tokopedia.com/defate/supply-air-diffuser-obd-uk-200x200mm-8-natural-luar-33cm-x-33cm</v>
      </c>
      <c r="L288" s="3" t="str">
        <f>IFERROR(__xludf.DUMMYFUNCTION("""COMPUTED_VALUE"""),"Loker Pria Produksi Diffuser rontok")</f>
        <v>Loker Pria Produksi Diffuser rontok</v>
      </c>
      <c r="M288" s="3" t="str">
        <f>IFERROR(__xludf.DUMMYFUNCTION("""COMPUTED_VALUE"""),"Approve")</f>
        <v>Approve</v>
      </c>
      <c r="N288" s="3" t="str">
        <f>IFERROR(__xludf.DUMMYFUNCTION("""COMPUTED_VALUE"""),"Normal")</f>
        <v>Normal</v>
      </c>
      <c r="O288" s="3" t="str">
        <f>IFERROR(__xludf.DUMMYFUNCTION("""COMPUTED_VALUE"""),"Non Urgent")</f>
        <v>Non Urgent</v>
      </c>
      <c r="P288" s="7">
        <f>IFERROR(__xludf.DUMMYFUNCTION("""COMPUTED_VALUE"""),45901.86004449074)</f>
        <v>45901.86004</v>
      </c>
    </row>
    <row r="289">
      <c r="A289" s="4">
        <f>IFERROR(__xludf.DUMMYFUNCTION("""COMPUTED_VALUE"""),45902.87549679398)</f>
        <v>45902.8755</v>
      </c>
      <c r="B289" s="3" t="str">
        <f>IFERROR(__xludf.DUMMYFUNCTION("""COMPUTED_VALUE"""),"SFHBR0032")</f>
        <v>SFHBR0032</v>
      </c>
      <c r="C289" s="3" t="str">
        <f>IFERROR(__xludf.DUMMYFUNCTION("""COMPUTED_VALUE"""),"Consumable")</f>
        <v>Consumable</v>
      </c>
      <c r="D289" s="3" t="str">
        <f>IFERROR(__xludf.DUMMYFUNCTION("""COMPUTED_VALUE"""),"-")</f>
        <v>-</v>
      </c>
      <c r="E289" s="3" t="str">
        <f>IFERROR(__xludf.DUMMYFUNCTION("""COMPUTED_VALUE"""),"lantai 3")</f>
        <v>lantai 3</v>
      </c>
      <c r="F289" s="3" t="str">
        <f>IFERROR(__xludf.DUMMYFUNCTION("""COMPUTED_VALUE"""),"kunci slot pintu toilet")</f>
        <v>kunci slot pintu toilet</v>
      </c>
      <c r="G289" s="3" t="str">
        <f>IFERROR(__xludf.DUMMYFUNCTION("""COMPUTED_VALUE"""),"Glass Lock Dekkson Dekson GL 621 CP Kunci Pintu Kaca kamar Mandi WC")</f>
        <v>Glass Lock Dekkson Dekson GL 621 CP Kunci Pintu Kaca kamar Mandi WC</v>
      </c>
      <c r="H289" s="3" t="str">
        <f>IFERROR(__xludf.DUMMYFUNCTION("""COMPUTED_VALUE"""),"Dekson")</f>
        <v>Dekson</v>
      </c>
      <c r="I289" s="3">
        <f>IFERROR(__xludf.DUMMYFUNCTION("""COMPUTED_VALUE"""),4.0)</f>
        <v>4</v>
      </c>
      <c r="J289" s="3" t="str">
        <f>IFERROR(__xludf.DUMMYFUNCTION("""COMPUTED_VALUE"""),"pcs")</f>
        <v>pcs</v>
      </c>
      <c r="K289" s="5" t="str">
        <f>IFERROR(__xludf.DUMMYFUNCTION("""COMPUTED_VALUE"""),"https://tk.tokopedia.com/ZSAsrpR1R/")</f>
        <v>https://tk.tokopedia.com/ZSAsrpR1R/</v>
      </c>
      <c r="L289" s="3" t="str">
        <f>IFERROR(__xludf.DUMMYFUNCTION("""COMPUTED_VALUE"""),"-")</f>
        <v>-</v>
      </c>
      <c r="M289" s="3" t="str">
        <f>IFERROR(__xludf.DUMMYFUNCTION("""COMPUTED_VALUE"""),"Approve")</f>
        <v>Approve</v>
      </c>
      <c r="N289" s="3" t="str">
        <f>IFERROR(__xludf.DUMMYFUNCTION("""COMPUTED_VALUE"""),"Normal")</f>
        <v>Normal</v>
      </c>
      <c r="O289" s="3" t="str">
        <f>IFERROR(__xludf.DUMMYFUNCTION("""COMPUTED_VALUE"""),"Non Urgent")</f>
        <v>Non Urgent</v>
      </c>
      <c r="P289" s="7">
        <f>IFERROR(__xludf.DUMMYFUNCTION("""COMPUTED_VALUE"""),45902.90894790509)</f>
        <v>45902.90895</v>
      </c>
    </row>
    <row r="290">
      <c r="A290" s="4">
        <f>IFERROR(__xludf.DUMMYFUNCTION("""COMPUTED_VALUE"""),45904.46296048612)</f>
        <v>45904.46296</v>
      </c>
      <c r="B290" s="3" t="str">
        <f>IFERROR(__xludf.DUMMYFUNCTION("""COMPUTED_VALUE"""),"ANOBR0028")</f>
        <v>ANOBR0028</v>
      </c>
      <c r="C290" s="3" t="str">
        <f>IFERROR(__xludf.DUMMYFUNCTION("""COMPUTED_VALUE"""),"Consumable")</f>
        <v>Consumable</v>
      </c>
      <c r="D290" s="3" t="str">
        <f>IFERROR(__xludf.DUMMYFUNCTION("""COMPUTED_VALUE"""),"-")</f>
        <v>-</v>
      </c>
      <c r="E290" s="3" t="str">
        <f>IFERROR(__xludf.DUMMYFUNCTION("""COMPUTED_VALUE"""),"Instrumen BSC")</f>
        <v>Instrumen BSC</v>
      </c>
      <c r="F290" s="3" t="str">
        <f>IFERROR(__xludf.DUMMYFUNCTION("""COMPUTED_VALUE"""),"kunci L bintang ")</f>
        <v>kunci L bintang </v>
      </c>
      <c r="G290" s="3" t="str">
        <f>IFERROR(__xludf.DUMMYFUNCTION("""COMPUTED_VALUE"""),"kunci L bintang 1 sett")</f>
        <v>kunci L bintang 1 sett</v>
      </c>
      <c r="H290" s="3" t="str">
        <f>IFERROR(__xludf.DUMMYFUNCTION("""COMPUTED_VALUE"""),"tekiro")</f>
        <v>tekiro</v>
      </c>
      <c r="I290" s="3">
        <f>IFERROR(__xludf.DUMMYFUNCTION("""COMPUTED_VALUE"""),1.0)</f>
        <v>1</v>
      </c>
      <c r="J290" s="3" t="str">
        <f>IFERROR(__xludf.DUMMYFUNCTION("""COMPUTED_VALUE"""),"set")</f>
        <v>set</v>
      </c>
      <c r="K290" s="5" t="str">
        <f>IFERROR(__xludf.DUMMYFUNCTION("""COMPUTED_VALUE"""),"https://www.tokopedia.com/discovery/rekomendasi?recomProdId=12425365593&amp;utm_source=google&amp;utm_medium=cpc&amp;utm_campaign=0000-0000-gg-gpmx-bran-nwb-tcpa-nwb-int-tp-id51mlab01-0000-alon-alon&amp;utm_term=12425365593&amp;ref=googleshopping&amp;c=22562631326&amp;m=185508013&amp;gc"&amp;"lsrc=aw.ds&amp;gad_source=1&amp;gad_campaignid=22566222628&amp;gbraid=0AAAAABhH3nSuDGMOeM57NjUfBu04uq8p3&amp;gclid=Cj0KCQjwzt_FBhCEARIsAJGFWVka_7YTwqAd1BflpqKYTnjkjAv140tE9xAJIZQymF-GXQEGnBk1XZMaAvvtEALw_wcB")</f>
        <v>https://www.tokopedia.com/discovery/rekomendasi?recomProdId=12425365593&amp;utm_source=google&amp;utm_medium=cpc&amp;utm_campaign=0000-0000-gg-gpmx-bran-nwb-tcpa-nwb-int-tp-id51mlab01-0000-alon-alon&amp;utm_term=12425365593&amp;ref=googleshopping&amp;c=22562631326&amp;m=185508013&amp;gclsrc=aw.ds&amp;gad_source=1&amp;gad_campaignid=22566222628&amp;gbraid=0AAAAABhH3nSuDGMOeM57NjUfBu04uq8p3&amp;gclid=Cj0KCQjwzt_FBhCEARIsAJGFWVka_7YTwqAd1BflpqKYTnjkjAv140tE9xAJIZQymF-GXQEGnBk1XZMaAvvtEALw_wcB</v>
      </c>
      <c r="L290" s="3" t="str">
        <f>IFERROR(__xludf.DUMMYFUNCTION("""COMPUTED_VALUE"""),"untuk keperluan troubleshooting di instrumen bsc")</f>
        <v>untuk keperluan troubleshooting di instrumen bsc</v>
      </c>
      <c r="M290" s="3" t="str">
        <f>IFERROR(__xludf.DUMMYFUNCTION("""COMPUTED_VALUE"""),"Approve")</f>
        <v>Approve</v>
      </c>
      <c r="N290" s="3" t="str">
        <f>IFERROR(__xludf.DUMMYFUNCTION("""COMPUTED_VALUE"""),"Normal")</f>
        <v>Normal</v>
      </c>
      <c r="O290" s="3" t="str">
        <f>IFERROR(__xludf.DUMMYFUNCTION("""COMPUTED_VALUE"""),"Non Urgent")</f>
        <v>Non Urgent</v>
      </c>
      <c r="P290" s="7">
        <f>IFERROR(__xludf.DUMMYFUNCTION("""COMPUTED_VALUE"""),45930.21977555555)</f>
        <v>45930.21978</v>
      </c>
    </row>
    <row r="291">
      <c r="A291" s="4">
        <f>IFERROR(__xludf.DUMMYFUNCTION("""COMPUTED_VALUE"""),45904.463117037034)</f>
        <v>45904.46312</v>
      </c>
      <c r="B291" s="3" t="str">
        <f>IFERROR(__xludf.DUMMYFUNCTION("""COMPUTED_VALUE"""),"ANOBR0029")</f>
        <v>ANOBR0029</v>
      </c>
      <c r="C291" s="3" t="str">
        <f>IFERROR(__xludf.DUMMYFUNCTION("""COMPUTED_VALUE"""),"Consumable")</f>
        <v>Consumable</v>
      </c>
      <c r="D291" s="3" t="str">
        <f>IFERROR(__xludf.DUMMYFUNCTION("""COMPUTED_VALUE"""),"-")</f>
        <v>-</v>
      </c>
      <c r="E291" s="3" t="str">
        <f>IFERROR(__xludf.DUMMYFUNCTION("""COMPUTED_VALUE"""),"MS30,HPLC")</f>
        <v>MS30,HPLC</v>
      </c>
      <c r="F291" s="3" t="str">
        <f>IFERROR(__xludf.DUMMYFUNCTION("""COMPUTED_VALUE"""),"kunci L MINI SIze ")</f>
        <v>kunci L MINI SIze </v>
      </c>
      <c r="G291" s="3" t="str">
        <f>IFERROR(__xludf.DUMMYFUNCTION("""COMPUTED_VALUE"""),"kunci L MINI SIze 1 sett size 3.0 - 0.71")</f>
        <v>kunci L MINI SIze 1 sett size 3.0 - 0.71</v>
      </c>
      <c r="H291" s="3" t="str">
        <f>IFERROR(__xludf.DUMMYFUNCTION("""COMPUTED_VALUE"""),"tekiro")</f>
        <v>tekiro</v>
      </c>
      <c r="I291" s="3">
        <f>IFERROR(__xludf.DUMMYFUNCTION("""COMPUTED_VALUE"""),1.0)</f>
        <v>1</v>
      </c>
      <c r="J291" s="3" t="str">
        <f>IFERROR(__xludf.DUMMYFUNCTION("""COMPUTED_VALUE"""),"set")</f>
        <v>set</v>
      </c>
      <c r="K291" s="5" t="str">
        <f>IFERROR(__xludf.DUMMYFUNCTION("""COMPUTED_VALUE"""),"https://www.tokopedia.com/tekniktoolsglodok/kunci-l-set-mini-7-pcs-mili-tekiro?extParam=ivf%3Dfalse%26keyword%3Dkonci+l+kecil%26search_id%3D202509040350329FD81843AD7F20054EMU%26src%3Dsearch&amp;t_id=1756957838260&amp;t_st=1&amp;t_pp=search_result&amp;t_efo=search_pure_go"&amp;"ods_card&amp;t_ef=goods_search&amp;t_sm=&amp;t_spt=search_result")</f>
        <v>https://www.tokopedia.com/tekniktoolsglodok/kunci-l-set-mini-7-pcs-mili-tekiro?extParam=ivf%3Dfalse%26keyword%3Dkonci+l+kecil%26search_id%3D202509040350329FD81843AD7F20054EMU%26src%3Dsearch&amp;t_id=1756957838260&amp;t_st=1&amp;t_pp=search_result&amp;t_efo=search_pure_goods_card&amp;t_ef=goods_search&amp;t_sm=&amp;t_spt=search_result</v>
      </c>
      <c r="L291" s="3" t="str">
        <f>IFERROR(__xludf.DUMMYFUNCTION("""COMPUTED_VALUE"""),"untuk keperluan troubleshooting di mesin MS30 dan HPLC")</f>
        <v>untuk keperluan troubleshooting di mesin MS30 dan HPLC</v>
      </c>
      <c r="M291" s="3" t="str">
        <f>IFERROR(__xludf.DUMMYFUNCTION("""COMPUTED_VALUE"""),"Approve")</f>
        <v>Approve</v>
      </c>
      <c r="N291" s="3" t="str">
        <f>IFERROR(__xludf.DUMMYFUNCTION("""COMPUTED_VALUE"""),"Normal")</f>
        <v>Normal</v>
      </c>
      <c r="O291" s="3" t="str">
        <f>IFERROR(__xludf.DUMMYFUNCTION("""COMPUTED_VALUE"""),"Non Urgent")</f>
        <v>Non Urgent</v>
      </c>
      <c r="P291" s="7">
        <f>IFERROR(__xludf.DUMMYFUNCTION("""COMPUTED_VALUE"""),45930.22063673611)</f>
        <v>45930.22064</v>
      </c>
    </row>
    <row r="292">
      <c r="A292" s="4">
        <f>IFERROR(__xludf.DUMMYFUNCTION("""COMPUTED_VALUE"""),45905.45207731482)</f>
        <v>45905.45208</v>
      </c>
      <c r="B292" s="3" t="str">
        <f>IFERROR(__xludf.DUMMYFUNCTION("""COMPUTED_VALUE"""),"RIABR0099")</f>
        <v>RIABR0099</v>
      </c>
      <c r="C292" s="3" t="str">
        <f>IFERROR(__xludf.DUMMYFUNCTION("""COMPUTED_VALUE"""),"Consumable")</f>
        <v>Consumable</v>
      </c>
      <c r="D292" s="3" t="str">
        <f>IFERROR(__xludf.DUMMYFUNCTION("""COMPUTED_VALUE"""),"-")</f>
        <v>-</v>
      </c>
      <c r="E292" s="3" t="str">
        <f>IFERROR(__xludf.DUMMYFUNCTION("""COMPUTED_VALUE"""),"WWTP")</f>
        <v>WWTP</v>
      </c>
      <c r="F292" s="3" t="str">
        <f>IFERROR(__xludf.DUMMYFUNCTION("""COMPUTED_VALUE"""),"Benang")</f>
        <v>Benang</v>
      </c>
      <c r="G292" s="3" t="str">
        <f>IFERROR(__xludf.DUMMYFUNCTION("""COMPUTED_VALUE"""),"Benang Tahan Panas, benangnya biasa di pake untuk jait mesin boiler/pemanas ,ukuran benang sperti ukuran 20/2 ,hrga diatas buat 1 mtr ya bukan per pcs / roll. meter 1 roll isinya 1 mter")</f>
        <v>Benang Tahan Panas, benangnya biasa di pake untuk jait mesin boiler/pemanas ,ukuran benang sperti ukuran 20/2 ,hrga diatas buat 1 mtr ya bukan per pcs / roll. meter 1 roll isinya 1 mter</v>
      </c>
      <c r="H292" s="3" t="str">
        <f>IFERROR(__xludf.DUMMYFUNCTION("""COMPUTED_VALUE"""),"Lokal")</f>
        <v>Lokal</v>
      </c>
      <c r="I292" s="3">
        <f>IFERROR(__xludf.DUMMYFUNCTION("""COMPUTED_VALUE"""),10.0)</f>
        <v>10</v>
      </c>
      <c r="J292" s="3" t="str">
        <f>IFERROR(__xludf.DUMMYFUNCTION("""COMPUTED_VALUE"""),"Mtr")</f>
        <v>Mtr</v>
      </c>
      <c r="K292" s="5" t="str">
        <f>IFERROR(__xludf.DUMMYFUNCTION("""COMPUTED_VALUE"""),"https://www.tokopedia.com/dunia-benang-acc/benang-anti-panas-tahan-panas?extParam=ivf%3Dfalse%26keyword%3Dtali+tahan+panas%26search_id%3D2025090503432094F6D7E04A4D45133ZQV%26src%3Dsearch&amp;t_id=1757043813252&amp;t_st=8&amp;t_pp=search_result&amp;t_efo=search_pure_goods"&amp;"_card&amp;t_ef=goods_search&amp;t_sm=&amp;t_spt=search_result")</f>
        <v>https://www.tokopedia.com/dunia-benang-acc/benang-anti-panas-tahan-panas?extParam=ivf%3Dfalse%26keyword%3Dtali+tahan+panas%26search_id%3D2025090503432094F6D7E04A4D45133ZQV%26src%3Dsearch&amp;t_id=1757043813252&amp;t_st=8&amp;t_pp=search_result&amp;t_efo=search_pure_goods_card&amp;t_ef=goods_search&amp;t_sm=&amp;t_spt=search_result</v>
      </c>
      <c r="L292" s="3" t="str">
        <f>IFERROR(__xludf.DUMMYFUNCTION("""COMPUTED_VALUE"""),"Untuk ganti tali di float switch alarm kondensat karena existing putus tidak kuat panas")</f>
        <v>Untuk ganti tali di float switch alarm kondensat karena existing putus tidak kuat panas</v>
      </c>
      <c r="M292" s="3" t="str">
        <f>IFERROR(__xludf.DUMMYFUNCTION("""COMPUTED_VALUE"""),"Approve")</f>
        <v>Approve</v>
      </c>
      <c r="N292" s="3" t="str">
        <f>IFERROR(__xludf.DUMMYFUNCTION("""COMPUTED_VALUE"""),"Normal")</f>
        <v>Normal</v>
      </c>
      <c r="O292" s="3" t="str">
        <f>IFERROR(__xludf.DUMMYFUNCTION("""COMPUTED_VALUE"""),"Non Urgent")</f>
        <v>Non Urgent</v>
      </c>
      <c r="P292" s="7">
        <f>IFERROR(__xludf.DUMMYFUNCTION("""COMPUTED_VALUE"""),45912.416066307866)</f>
        <v>45912.41607</v>
      </c>
    </row>
    <row r="293">
      <c r="A293" s="4">
        <f>IFERROR(__xludf.DUMMYFUNCTION("""COMPUTED_VALUE"""),45906.539621261574)</f>
        <v>45906.53962</v>
      </c>
      <c r="B293" s="3" t="str">
        <f>IFERROR(__xludf.DUMMYFUNCTION("""COMPUTED_VALUE"""),"MOBBR0045")</f>
        <v>MOBBR0045</v>
      </c>
      <c r="C293" s="3" t="str">
        <f>IFERROR(__xludf.DUMMYFUNCTION("""COMPUTED_VALUE"""),"Critical Part")</f>
        <v>Critical Part</v>
      </c>
      <c r="D293" s="3" t="str">
        <f>IFERROR(__xludf.DUMMYFUNCTION("""COMPUTED_VALUE"""),"-")</f>
        <v>-</v>
      </c>
      <c r="E293" s="3" t="str">
        <f>IFERROR(__xludf.DUMMYFUNCTION("""COMPUTED_VALUE"""),"PC ASRS")</f>
        <v>PC ASRS</v>
      </c>
      <c r="F293" s="3" t="str">
        <f>IFERROR(__xludf.DUMMYFUNCTION("""COMPUTED_VALUE"""),"Converter RS232 to USB")</f>
        <v>Converter RS232 to USB</v>
      </c>
      <c r="G293" s="3" t="str">
        <f>IFERROR(__xludf.DUMMYFUNCTION("""COMPUTED_VALUE"""),"UC232A")</f>
        <v>UC232A</v>
      </c>
      <c r="H293" s="3" t="str">
        <f>IFERROR(__xludf.DUMMYFUNCTION("""COMPUTED_VALUE"""),"Aten")</f>
        <v>Aten</v>
      </c>
      <c r="I293" s="3">
        <f>IFERROR(__xludf.DUMMYFUNCTION("""COMPUTED_VALUE"""),4.0)</f>
        <v>4</v>
      </c>
      <c r="J293" s="3" t="str">
        <f>IFERROR(__xludf.DUMMYFUNCTION("""COMPUTED_VALUE"""),"Pcs")</f>
        <v>Pcs</v>
      </c>
      <c r="K293" s="5" t="str">
        <f>IFERROR(__xludf.DUMMYFUNCTION("""COMPUTED_VALUE"""),"https://www.aten.com/global/en/products/usb-solutions/converters/uc232a/")</f>
        <v>https://www.aten.com/global/en/products/usb-solutions/converters/uc232a/</v>
      </c>
      <c r="L293" s="3" t="str">
        <f>IFERROR(__xludf.DUMMYFUNCTION("""COMPUTED_VALUE"""),"Converter Comm 1 dan 3 PC ASRS")</f>
        <v>Converter Comm 1 dan 3 PC ASRS</v>
      </c>
      <c r="M293" s="3" t="str">
        <f>IFERROR(__xludf.DUMMYFUNCTION("""COMPUTED_VALUE"""),"Approve")</f>
        <v>Approve</v>
      </c>
      <c r="N293" s="3" t="str">
        <f>IFERROR(__xludf.DUMMYFUNCTION("""COMPUTED_VALUE"""),"Normal")</f>
        <v>Normal</v>
      </c>
      <c r="O293" s="3" t="str">
        <f>IFERROR(__xludf.DUMMYFUNCTION("""COMPUTED_VALUE"""),"Non Urgent")</f>
        <v>Non Urgent</v>
      </c>
      <c r="P293" s="7">
        <f>IFERROR(__xludf.DUMMYFUNCTION("""COMPUTED_VALUE"""),45912.416240011575)</f>
        <v>45912.41624</v>
      </c>
    </row>
    <row r="294">
      <c r="A294" s="4">
        <f>IFERROR(__xludf.DUMMYFUNCTION("""COMPUTED_VALUE"""),45906.69848425926)</f>
        <v>45906.69848</v>
      </c>
      <c r="B294" s="3" t="str">
        <f>IFERROR(__xludf.DUMMYFUNCTION("""COMPUTED_VALUE"""),"NDSBR0021")</f>
        <v>NDSBR0021</v>
      </c>
      <c r="C294" s="3" t="str">
        <f>IFERROR(__xludf.DUMMYFUNCTION("""COMPUTED_VALUE"""),"EJO")</f>
        <v>EJO</v>
      </c>
      <c r="D294" s="3" t="str">
        <f>IFERROR(__xludf.DUMMYFUNCTION("""COMPUTED_VALUE"""),"EJO/2025/08/32")</f>
        <v>EJO/2025/08/32</v>
      </c>
      <c r="E294" s="3" t="str">
        <f>IFERROR(__xludf.DUMMYFUNCTION("""COMPUTED_VALUE"""),"Isolator Dispesing OSD")</f>
        <v>Isolator Dispesing OSD</v>
      </c>
      <c r="F294" s="3" t="str">
        <f>IFERROR(__xludf.DUMMYFUNCTION("""COMPUTED_VALUE"""),"O Ring")</f>
        <v>O Ring</v>
      </c>
      <c r="G294" s="3" t="str">
        <f>IFERROR(__xludf.DUMMYFUNCTION("""COMPUTED_VALUE"""),"Sesuai pada drawing")</f>
        <v>Sesuai pada drawing</v>
      </c>
      <c r="H294" s="3" t="str">
        <f>IFERROR(__xludf.DUMMYFUNCTION("""COMPUTED_VALUE"""),"-")</f>
        <v>-</v>
      </c>
      <c r="I294" s="3">
        <f>IFERROR(__xludf.DUMMYFUNCTION("""COMPUTED_VALUE"""),3.0)</f>
        <v>3</v>
      </c>
      <c r="J294" s="3" t="str">
        <f>IFERROR(__xludf.DUMMYFUNCTION("""COMPUTED_VALUE"""),"Pcs")</f>
        <v>Pcs</v>
      </c>
      <c r="K294" s="5" t="str">
        <f>IFERROR(__xludf.DUMMYFUNCTION("""COMPUTED_VALUE"""),"https://drive.google.com/drive/folders/1y-rKMglsFTNznmxxH_yqJMlTV0GIDohn?usp=drive_link")</f>
        <v>https://drive.google.com/drive/folders/1y-rKMglsFTNznmxxH_yqJMlTV0GIDohn?usp=drive_link</v>
      </c>
      <c r="L294" s="3" t="str">
        <f>IFERROR(__xludf.DUMMYFUNCTION("""COMPUTED_VALUE"""),"Penawaran Nomor 1 ")</f>
        <v>Penawaran Nomor 1 </v>
      </c>
      <c r="M294" s="3" t="str">
        <f>IFERROR(__xludf.DUMMYFUNCTION("""COMPUTED_VALUE"""),"Approve")</f>
        <v>Approve</v>
      </c>
      <c r="N294" s="3" t="str">
        <f>IFERROR(__xludf.DUMMYFUNCTION("""COMPUTED_VALUE"""),"Normal")</f>
        <v>Normal</v>
      </c>
      <c r="O294" s="3" t="str">
        <f>IFERROR(__xludf.DUMMYFUNCTION("""COMPUTED_VALUE"""),"Non Urgent")</f>
        <v>Non Urgent</v>
      </c>
      <c r="P294" s="7">
        <f>IFERROR(__xludf.DUMMYFUNCTION("""COMPUTED_VALUE"""),45915.50779773148)</f>
        <v>45915.5078</v>
      </c>
    </row>
    <row r="295">
      <c r="A295" s="4">
        <f>IFERROR(__xludf.DUMMYFUNCTION("""COMPUTED_VALUE"""),45909.97674041667)</f>
        <v>45909.97674</v>
      </c>
      <c r="B295" s="3" t="str">
        <f>IFERROR(__xludf.DUMMYFUNCTION("""COMPUTED_VALUE"""),"AAABR0016")</f>
        <v>AAABR0016</v>
      </c>
      <c r="C295" s="3" t="str">
        <f>IFERROR(__xludf.DUMMYFUNCTION("""COMPUTED_VALUE"""),"EJO")</f>
        <v>EJO</v>
      </c>
      <c r="D295" s="3" t="str">
        <f>IFERROR(__xludf.DUMMYFUNCTION("""COMPUTED_VALUE"""),"Menyusul")</f>
        <v>Menyusul</v>
      </c>
      <c r="E295" s="3" t="str">
        <f>IFERROR(__xludf.DUMMYFUNCTION("""COMPUTED_VALUE"""),"lampu cRABS")</f>
        <v>lampu cRABS</v>
      </c>
      <c r="F295" s="3" t="str">
        <f>IFERROR(__xludf.DUMMYFUNCTION("""COMPUTED_VALUE"""),"kabel power")</f>
        <v>kabel power</v>
      </c>
      <c r="G295" s="3" t="str">
        <f>IFERROR(__xludf.DUMMYFUNCTION("""COMPUTED_VALUE"""),"NYAF ; 2x2.5 mm")</f>
        <v>NYAF ; 2x2.5 mm</v>
      </c>
      <c r="H295" s="3" t="str">
        <f>IFERROR(__xludf.DUMMYFUNCTION("""COMPUTED_VALUE"""),"metal")</f>
        <v>metal</v>
      </c>
      <c r="I295" s="3">
        <f>IFERROR(__xludf.DUMMYFUNCTION("""COMPUTED_VALUE"""),100.0)</f>
        <v>100</v>
      </c>
      <c r="J295" s="3" t="str">
        <f>IFERROR(__xludf.DUMMYFUNCTION("""COMPUTED_VALUE"""),"mtr")</f>
        <v>mtr</v>
      </c>
      <c r="K295" s="3" t="str">
        <f>IFERROR(__xludf.DUMMYFUNCTION("""COMPUTED_VALUE"""),"NA")</f>
        <v>NA</v>
      </c>
      <c r="L295" s="3" t="str">
        <f>IFERROR(__xludf.DUMMYFUNCTION("""COMPUTED_VALUE"""),"Needed date : 09 Oct 25")</f>
        <v>Needed date : 09 Oct 25</v>
      </c>
      <c r="M295" s="3" t="str">
        <f>IFERROR(__xludf.DUMMYFUNCTION("""COMPUTED_VALUE"""),"Approve")</f>
        <v>Approve</v>
      </c>
      <c r="N295" s="3" t="str">
        <f>IFERROR(__xludf.DUMMYFUNCTION("""COMPUTED_VALUE"""),"Normal")</f>
        <v>Normal</v>
      </c>
      <c r="O295" s="3" t="str">
        <f>IFERROR(__xludf.DUMMYFUNCTION("""COMPUTED_VALUE"""),"Non Urgent")</f>
        <v>Non Urgent</v>
      </c>
      <c r="P295" s="7">
        <f>IFERROR(__xludf.DUMMYFUNCTION("""COMPUTED_VALUE"""),45917.72166707176)</f>
        <v>45917.72167</v>
      </c>
    </row>
    <row r="296">
      <c r="A296" s="4">
        <f>IFERROR(__xludf.DUMMYFUNCTION("""COMPUTED_VALUE"""),45909.97684480324)</f>
        <v>45909.97684</v>
      </c>
      <c r="B296" s="3" t="str">
        <f>IFERROR(__xludf.DUMMYFUNCTION("""COMPUTED_VALUE"""),"AAABR0017")</f>
        <v>AAABR0017</v>
      </c>
      <c r="C296" s="3" t="str">
        <f>IFERROR(__xludf.DUMMYFUNCTION("""COMPUTED_VALUE"""),"EJO")</f>
        <v>EJO</v>
      </c>
      <c r="D296" s="3" t="str">
        <f>IFERROR(__xludf.DUMMYFUNCTION("""COMPUTED_VALUE"""),"Menyusul")</f>
        <v>Menyusul</v>
      </c>
      <c r="E296" s="3" t="str">
        <f>IFERROR(__xludf.DUMMYFUNCTION("""COMPUTED_VALUE"""),"lampu cRABS")</f>
        <v>lampu cRABS</v>
      </c>
      <c r="F296" s="3" t="str">
        <f>IFERROR(__xludf.DUMMYFUNCTION("""COMPUTED_VALUE"""),"junction box plastik")</f>
        <v>junction box plastik</v>
      </c>
      <c r="G296" s="3" t="str">
        <f>IFERROR(__xludf.DUMMYFUNCTION("""COMPUTED_VALUE"""),"220x150x75 mm")</f>
        <v>220x150x75 mm</v>
      </c>
      <c r="H296" s="3" t="str">
        <f>IFERROR(__xludf.DUMMYFUNCTION("""COMPUTED_VALUE"""),"fort atau masko")</f>
        <v>fort atau masko</v>
      </c>
      <c r="I296" s="3">
        <f>IFERROR(__xludf.DUMMYFUNCTION("""COMPUTED_VALUE"""),5.0)</f>
        <v>5</v>
      </c>
      <c r="J296" s="3" t="str">
        <f>IFERROR(__xludf.DUMMYFUNCTION("""COMPUTED_VALUE"""),"pcs")</f>
        <v>pcs</v>
      </c>
      <c r="K296" s="3" t="str">
        <f>IFERROR(__xludf.DUMMYFUNCTION("""COMPUTED_VALUE"""),"NA")</f>
        <v>NA</v>
      </c>
      <c r="L296" s="3" t="str">
        <f>IFERROR(__xludf.DUMMYFUNCTION("""COMPUTED_VALUE"""),"Needed date : 09 Oct 25")</f>
        <v>Needed date : 09 Oct 25</v>
      </c>
      <c r="M296" s="3" t="str">
        <f>IFERROR(__xludf.DUMMYFUNCTION("""COMPUTED_VALUE"""),"Approve")</f>
        <v>Approve</v>
      </c>
      <c r="N296" s="3" t="str">
        <f>IFERROR(__xludf.DUMMYFUNCTION("""COMPUTED_VALUE"""),"Normal")</f>
        <v>Normal</v>
      </c>
      <c r="O296" s="3" t="str">
        <f>IFERROR(__xludf.DUMMYFUNCTION("""COMPUTED_VALUE"""),"Non Urgent")</f>
        <v>Non Urgent</v>
      </c>
      <c r="P296" s="7">
        <f>IFERROR(__xludf.DUMMYFUNCTION("""COMPUTED_VALUE"""),45917.72477538194)</f>
        <v>45917.72478</v>
      </c>
    </row>
    <row r="297">
      <c r="A297" s="4">
        <f>IFERROR(__xludf.DUMMYFUNCTION("""COMPUTED_VALUE"""),45909.97854922454)</f>
        <v>45909.97855</v>
      </c>
      <c r="B297" s="3" t="str">
        <f>IFERROR(__xludf.DUMMYFUNCTION("""COMPUTED_VALUE"""),"AAABR0018")</f>
        <v>AAABR0018</v>
      </c>
      <c r="C297" s="3" t="str">
        <f>IFERROR(__xludf.DUMMYFUNCTION("""COMPUTED_VALUE"""),"EJO")</f>
        <v>EJO</v>
      </c>
      <c r="D297" s="3" t="str">
        <f>IFERROR(__xludf.DUMMYFUNCTION("""COMPUTED_VALUE"""),"Menyusul")</f>
        <v>Menyusul</v>
      </c>
      <c r="E297" s="3" t="str">
        <f>IFERROR(__xludf.DUMMYFUNCTION("""COMPUTED_VALUE"""),"lampu cRABS")</f>
        <v>lampu cRABS</v>
      </c>
      <c r="F297" s="3" t="str">
        <f>IFERROR(__xludf.DUMMYFUNCTION("""COMPUTED_VALUE"""),"terminal viking")</f>
        <v>terminal viking</v>
      </c>
      <c r="G297" s="3" t="str">
        <f>IFERROR(__xludf.DUMMYFUNCTION("""COMPUTED_VALUE"""),"4 mm")</f>
        <v>4 mm</v>
      </c>
      <c r="H297" s="3" t="str">
        <f>IFERROR(__xludf.DUMMYFUNCTION("""COMPUTED_VALUE"""),"fort")</f>
        <v>fort</v>
      </c>
      <c r="I297" s="3">
        <f>IFERROR(__xludf.DUMMYFUNCTION("""COMPUTED_VALUE"""),70.0)</f>
        <v>70</v>
      </c>
      <c r="J297" s="3" t="str">
        <f>IFERROR(__xludf.DUMMYFUNCTION("""COMPUTED_VALUE"""),"pcs")</f>
        <v>pcs</v>
      </c>
      <c r="K297" s="3" t="str">
        <f>IFERROR(__xludf.DUMMYFUNCTION("""COMPUTED_VALUE"""),"NA")</f>
        <v>NA</v>
      </c>
      <c r="L297" s="3" t="str">
        <f>IFERROR(__xludf.DUMMYFUNCTION("""COMPUTED_VALUE"""),"Needed date : 09 Oct 25")</f>
        <v>Needed date : 09 Oct 25</v>
      </c>
      <c r="M297" s="3" t="str">
        <f>IFERROR(__xludf.DUMMYFUNCTION("""COMPUTED_VALUE"""),"Approve")</f>
        <v>Approve</v>
      </c>
      <c r="N297" s="3" t="str">
        <f>IFERROR(__xludf.DUMMYFUNCTION("""COMPUTED_VALUE"""),"Normal")</f>
        <v>Normal</v>
      </c>
      <c r="O297" s="3" t="str">
        <f>IFERROR(__xludf.DUMMYFUNCTION("""COMPUTED_VALUE"""),"Non Urgent")</f>
        <v>Non Urgent</v>
      </c>
      <c r="P297" s="7">
        <f>IFERROR(__xludf.DUMMYFUNCTION("""COMPUTED_VALUE"""),45917.72600570602)</f>
        <v>45917.72601</v>
      </c>
    </row>
    <row r="298">
      <c r="A298" s="4">
        <f>IFERROR(__xludf.DUMMYFUNCTION("""COMPUTED_VALUE"""),45909.9800743287)</f>
        <v>45909.98007</v>
      </c>
      <c r="B298" s="3" t="str">
        <f>IFERROR(__xludf.DUMMYFUNCTION("""COMPUTED_VALUE"""),"AAABR0019")</f>
        <v>AAABR0019</v>
      </c>
      <c r="C298" s="3" t="str">
        <f>IFERROR(__xludf.DUMMYFUNCTION("""COMPUTED_VALUE"""),"EJO")</f>
        <v>EJO</v>
      </c>
      <c r="D298" s="3" t="str">
        <f>IFERROR(__xludf.DUMMYFUNCTION("""COMPUTED_VALUE"""),"Menyusul")</f>
        <v>Menyusul</v>
      </c>
      <c r="E298" s="3" t="str">
        <f>IFERROR(__xludf.DUMMYFUNCTION("""COMPUTED_VALUE"""),"lampu cRABS")</f>
        <v>lampu cRABS</v>
      </c>
      <c r="F298" s="3" t="str">
        <f>IFERROR(__xludf.DUMMYFUNCTION("""COMPUTED_VALUE"""),"din rail")</f>
        <v>din rail</v>
      </c>
      <c r="G298" s="3" t="str">
        <f>IFERROR(__xludf.DUMMYFUNCTION("""COMPUTED_VALUE"""),"-")</f>
        <v>-</v>
      </c>
      <c r="H298" s="3" t="str">
        <f>IFERROR(__xludf.DUMMYFUNCTION("""COMPUTED_VALUE"""),"-")</f>
        <v>-</v>
      </c>
      <c r="I298" s="3">
        <f>IFERROR(__xludf.DUMMYFUNCTION("""COMPUTED_VALUE"""),2.0)</f>
        <v>2</v>
      </c>
      <c r="J298" s="3" t="str">
        <f>IFERROR(__xludf.DUMMYFUNCTION("""COMPUTED_VALUE"""),"batang")</f>
        <v>batang</v>
      </c>
      <c r="K298" s="3" t="str">
        <f>IFERROR(__xludf.DUMMYFUNCTION("""COMPUTED_VALUE"""),"NA")</f>
        <v>NA</v>
      </c>
      <c r="L298" s="3" t="str">
        <f>IFERROR(__xludf.DUMMYFUNCTION("""COMPUTED_VALUE"""),"Needed date : 09 Oct 25")</f>
        <v>Needed date : 09 Oct 25</v>
      </c>
      <c r="M298" s="3" t="str">
        <f>IFERROR(__xludf.DUMMYFUNCTION("""COMPUTED_VALUE"""),"Approve")</f>
        <v>Approve</v>
      </c>
      <c r="N298" s="3" t="str">
        <f>IFERROR(__xludf.DUMMYFUNCTION("""COMPUTED_VALUE"""),"Normal")</f>
        <v>Normal</v>
      </c>
      <c r="O298" s="3" t="str">
        <f>IFERROR(__xludf.DUMMYFUNCTION("""COMPUTED_VALUE"""),"Non Urgent")</f>
        <v>Non Urgent</v>
      </c>
      <c r="P298" s="7">
        <f>IFERROR(__xludf.DUMMYFUNCTION("""COMPUTED_VALUE"""),45917.72634642361)</f>
        <v>45917.72635</v>
      </c>
    </row>
    <row r="299">
      <c r="A299" s="4">
        <f>IFERROR(__xludf.DUMMYFUNCTION("""COMPUTED_VALUE"""),45909.98105969908)</f>
        <v>45909.98106</v>
      </c>
      <c r="B299" s="3" t="str">
        <f>IFERROR(__xludf.DUMMYFUNCTION("""COMPUTED_VALUE"""),"AAABR0020")</f>
        <v>AAABR0020</v>
      </c>
      <c r="C299" s="3" t="str">
        <f>IFERROR(__xludf.DUMMYFUNCTION("""COMPUTED_VALUE"""),"EJO")</f>
        <v>EJO</v>
      </c>
      <c r="D299" s="3" t="str">
        <f>IFERROR(__xludf.DUMMYFUNCTION("""COMPUTED_VALUE"""),"Menyusul")</f>
        <v>Menyusul</v>
      </c>
      <c r="E299" s="3" t="str">
        <f>IFERROR(__xludf.DUMMYFUNCTION("""COMPUTED_VALUE"""),"lampu cRABS")</f>
        <v>lampu cRABS</v>
      </c>
      <c r="F299" s="3" t="str">
        <f>IFERROR(__xludf.DUMMYFUNCTION("""COMPUTED_VALUE"""),"round bar")</f>
        <v>round bar</v>
      </c>
      <c r="G299" s="3" t="str">
        <f>IFERROR(__xludf.DUMMYFUNCTION("""COMPUTED_VALUE"""),"SS ; dia 8 mm")</f>
        <v>SS ; dia 8 mm</v>
      </c>
      <c r="H299" s="3" t="str">
        <f>IFERROR(__xludf.DUMMYFUNCTION("""COMPUTED_VALUE"""),"-")</f>
        <v>-</v>
      </c>
      <c r="I299" s="3">
        <f>IFERROR(__xludf.DUMMYFUNCTION("""COMPUTED_VALUE"""),8.0)</f>
        <v>8</v>
      </c>
      <c r="J299" s="3" t="str">
        <f>IFERROR(__xludf.DUMMYFUNCTION("""COMPUTED_VALUE"""),"batang (@6 meter)")</f>
        <v>batang (@6 meter)</v>
      </c>
      <c r="K299" s="3" t="str">
        <f>IFERROR(__xludf.DUMMYFUNCTION("""COMPUTED_VALUE"""),"NA")</f>
        <v>NA</v>
      </c>
      <c r="L299" s="3" t="str">
        <f>IFERROR(__xludf.DUMMYFUNCTION("""COMPUTED_VALUE"""),"Needed date : 09 Oct 25")</f>
        <v>Needed date : 09 Oct 25</v>
      </c>
      <c r="M299" s="3" t="str">
        <f>IFERROR(__xludf.DUMMYFUNCTION("""COMPUTED_VALUE"""),"Approve")</f>
        <v>Approve</v>
      </c>
      <c r="N299" s="3" t="str">
        <f>IFERROR(__xludf.DUMMYFUNCTION("""COMPUTED_VALUE"""),"Normal")</f>
        <v>Normal</v>
      </c>
      <c r="O299" s="3" t="str">
        <f>IFERROR(__xludf.DUMMYFUNCTION("""COMPUTED_VALUE"""),"Non Urgent")</f>
        <v>Non Urgent</v>
      </c>
      <c r="P299" s="7">
        <f>IFERROR(__xludf.DUMMYFUNCTION("""COMPUTED_VALUE"""),45923.64146407407)</f>
        <v>45923.64146</v>
      </c>
    </row>
    <row r="300">
      <c r="A300" s="4">
        <f>IFERROR(__xludf.DUMMYFUNCTION("""COMPUTED_VALUE"""),45909.982993437494)</f>
        <v>45909.98299</v>
      </c>
      <c r="B300" s="3" t="str">
        <f>IFERROR(__xludf.DUMMYFUNCTION("""COMPUTED_VALUE"""),"AAABR0022")</f>
        <v>AAABR0022</v>
      </c>
      <c r="C300" s="3" t="str">
        <f>IFERROR(__xludf.DUMMYFUNCTION("""COMPUTED_VALUE"""),"EJO")</f>
        <v>EJO</v>
      </c>
      <c r="D300" s="3" t="str">
        <f>IFERROR(__xludf.DUMMYFUNCTION("""COMPUTED_VALUE"""),"Menyusul")</f>
        <v>Menyusul</v>
      </c>
      <c r="E300" s="3" t="str">
        <f>IFERROR(__xludf.DUMMYFUNCTION("""COMPUTED_VALUE"""),"lampu cRABS")</f>
        <v>lampu cRABS</v>
      </c>
      <c r="F300" s="3" t="str">
        <f>IFERROR(__xludf.DUMMYFUNCTION("""COMPUTED_VALUE"""),"terminal viking grounding")</f>
        <v>terminal viking grounding</v>
      </c>
      <c r="G300" s="3" t="str">
        <f>IFERROR(__xludf.DUMMYFUNCTION("""COMPUTED_VALUE"""),"size 4mm")</f>
        <v>size 4mm</v>
      </c>
      <c r="H300" s="3" t="str">
        <f>IFERROR(__xludf.DUMMYFUNCTION("""COMPUTED_VALUE"""),"-")</f>
        <v>-</v>
      </c>
      <c r="I300" s="3">
        <f>IFERROR(__xludf.DUMMYFUNCTION("""COMPUTED_VALUE"""),10.0)</f>
        <v>10</v>
      </c>
      <c r="J300" s="3" t="str">
        <f>IFERROR(__xludf.DUMMYFUNCTION("""COMPUTED_VALUE"""),"pcs")</f>
        <v>pcs</v>
      </c>
      <c r="K300" s="3" t="str">
        <f>IFERROR(__xludf.DUMMYFUNCTION("""COMPUTED_VALUE"""),"NA")</f>
        <v>NA</v>
      </c>
      <c r="L300" s="3" t="str">
        <f>IFERROR(__xludf.DUMMYFUNCTION("""COMPUTED_VALUE"""),"Needed date : 09 Oct 25")</f>
        <v>Needed date : 09 Oct 25</v>
      </c>
      <c r="M300" s="3" t="str">
        <f>IFERROR(__xludf.DUMMYFUNCTION("""COMPUTED_VALUE"""),"Approve")</f>
        <v>Approve</v>
      </c>
      <c r="N300" s="3" t="str">
        <f>IFERROR(__xludf.DUMMYFUNCTION("""COMPUTED_VALUE"""),"Normal")</f>
        <v>Normal</v>
      </c>
      <c r="O300" s="3" t="str">
        <f>IFERROR(__xludf.DUMMYFUNCTION("""COMPUTED_VALUE"""),"Non Urgent")</f>
        <v>Non Urgent</v>
      </c>
      <c r="P300" s="7">
        <f>IFERROR(__xludf.DUMMYFUNCTION("""COMPUTED_VALUE"""),45917.730496539356)</f>
        <v>45917.7305</v>
      </c>
    </row>
    <row r="301">
      <c r="A301" s="4">
        <f>IFERROR(__xludf.DUMMYFUNCTION("""COMPUTED_VALUE"""),45910.59488872685)</f>
        <v>45910.59489</v>
      </c>
      <c r="B301" s="3" t="str">
        <f>IFERROR(__xludf.DUMMYFUNCTION("""COMPUTED_VALUE"""),"NDSBR0022")</f>
        <v>NDSBR0022</v>
      </c>
      <c r="C301" s="3" t="str">
        <f>IFERROR(__xludf.DUMMYFUNCTION("""COMPUTED_VALUE"""),"Consumable")</f>
        <v>Consumable</v>
      </c>
      <c r="D301" s="3" t="str">
        <f>IFERROR(__xludf.DUMMYFUNCTION("""COMPUTED_VALUE"""),"-")</f>
        <v>-</v>
      </c>
      <c r="E301" s="3" t="str">
        <f>IFERROR(__xludf.DUMMYFUNCTION("""COMPUTED_VALUE"""),"Disolution tester")</f>
        <v>Disolution tester</v>
      </c>
      <c r="F301" s="3" t="str">
        <f>IFERROR(__xludf.DUMMYFUNCTION("""COMPUTED_VALUE"""),"Konekstor")</f>
        <v>Konekstor</v>
      </c>
      <c r="G301" s="3" t="str">
        <f>IFERROR(__xludf.DUMMYFUNCTION("""COMPUTED_VALUE"""),"-")</f>
        <v>-</v>
      </c>
      <c r="H301" s="3" t="str">
        <f>IFERROR(__xludf.DUMMYFUNCTION("""COMPUTED_VALUE"""),"-")</f>
        <v>-</v>
      </c>
      <c r="I301" s="3">
        <f>IFERROR(__xludf.DUMMYFUNCTION("""COMPUTED_VALUE"""),10.0)</f>
        <v>10</v>
      </c>
      <c r="J301" s="3" t="str">
        <f>IFERROR(__xludf.DUMMYFUNCTION("""COMPUTED_VALUE""")," Pcs")</f>
        <v> Pcs</v>
      </c>
      <c r="K301" s="5" t="str">
        <f>IFERROR(__xludf.DUMMYFUNCTION("""COMPUTED_VALUE"""),"https://shopee.co.id/product/12793026/7020484511?gads_t_sig=VTJGc2RHVmtYMTlxTFVSVVRrdENkVEg0SDd3VWo1MDQyT052d3EvY1B4YmUyeVFTa2xVQzl0YzhBNThkNlQvV25BZ2F5Y085ZFRmd01OSDg2V2VpZm9JVXVkeS9xVHkrVU93Qzk1N0tHK1ZwbzArZURhcVJkcGpFd1lEMkNGeHo&amp;gad_source=1&amp;gad_campai"&amp;"gnid=16521264469&amp;gbraid=0AAAAADPpU80ioX18J1-827C9cNqVXojvK&amp;gclid=Cj0KCQjww4TGBhCKARIsAFLXndQjAOhaylqAW4Pwe96O1jpL_YZlLIqMYAGN68NMDkpovUq9y3c_CH0aAhvoEALw_wcB")</f>
        <v>https://shopee.co.id/product/12793026/7020484511?gads_t_sig=VTJGc2RHVmtYMTlxTFVSVVRrdENkVEg0SDd3VWo1MDQyT052d3EvY1B4YmUyeVFTa2xVQzl0YzhBNThkNlQvV25BZ2F5Y085ZFRmd01OSDg2V2VpZm9JVXVkeS9xVHkrVU93Qzk1N0tHK1ZwbzArZURhcVJkcGpFd1lEMkNGeHo&amp;gad_source=1&amp;gad_campaignid=16521264469&amp;gbraid=0AAAAADPpU80ioX18J1-827C9cNqVXojvK&amp;gclid=Cj0KCQjww4TGBhCKARIsAFLXndQjAOhaylqAW4Pwe96O1jpL_YZlLIqMYAGN68NMDkpovUq9y3c_CH0aAhvoEALw_wcB</v>
      </c>
      <c r="L301" s="3" t="str">
        <f>IFERROR(__xludf.DUMMYFUNCTION("""COMPUTED_VALUE"""),"-")</f>
        <v>-</v>
      </c>
      <c r="M301" s="3" t="str">
        <f>IFERROR(__xludf.DUMMYFUNCTION("""COMPUTED_VALUE"""),"Approve")</f>
        <v>Approve</v>
      </c>
      <c r="N301" s="3" t="str">
        <f>IFERROR(__xludf.DUMMYFUNCTION("""COMPUTED_VALUE"""),"Normal")</f>
        <v>Normal</v>
      </c>
      <c r="O301" s="3" t="str">
        <f>IFERROR(__xludf.DUMMYFUNCTION("""COMPUTED_VALUE"""),"Non Urgent")</f>
        <v>Non Urgent</v>
      </c>
      <c r="P301" s="7">
        <f>IFERROR(__xludf.DUMMYFUNCTION("""COMPUTED_VALUE"""),45930.24271623843)</f>
        <v>45930.24272</v>
      </c>
    </row>
    <row r="302">
      <c r="A302" s="4">
        <f>IFERROR(__xludf.DUMMYFUNCTION("""COMPUTED_VALUE"""),45910.67402706018)</f>
        <v>45910.67403</v>
      </c>
      <c r="B302" s="3" t="str">
        <f>IFERROR(__xludf.DUMMYFUNCTION("""COMPUTED_VALUE"""),"AAABR0025")</f>
        <v>AAABR0025</v>
      </c>
      <c r="C302" s="3" t="str">
        <f>IFERROR(__xludf.DUMMYFUNCTION("""COMPUTED_VALUE"""),"EJO")</f>
        <v>EJO</v>
      </c>
      <c r="D302" s="3" t="str">
        <f>IFERROR(__xludf.DUMMYFUNCTION("""COMPUTED_VALUE"""),"Menyusul")</f>
        <v>Menyusul</v>
      </c>
      <c r="E302" s="3" t="str">
        <f>IFERROR(__xludf.DUMMYFUNCTION("""COMPUTED_VALUE"""),"Camera MS 30")</f>
        <v>Camera MS 30</v>
      </c>
      <c r="F302" s="3" t="str">
        <f>IFERROR(__xludf.DUMMYFUNCTION("""COMPUTED_VALUE"""),"Kunci L")</f>
        <v>Kunci L</v>
      </c>
      <c r="G302" s="3" t="str">
        <f>IFERROR(__xludf.DUMMYFUNCTION("""COMPUTED_VALUE"""),"Hex key short ; HK-EL1198 ; 0.71, 0.89, 1.27, 1.5, 2, 2.5, 3 mm ")</f>
        <v>Hex key short ; HK-EL1198 ; 0.71, 0.89, 1.27, 1.5, 2, 2.5, 3 mm </v>
      </c>
      <c r="H302" s="3" t="str">
        <f>IFERROR(__xludf.DUMMYFUNCTION("""COMPUTED_VALUE"""),"TEKIRO")</f>
        <v>TEKIRO</v>
      </c>
      <c r="I302" s="3">
        <f>IFERROR(__xludf.DUMMYFUNCTION("""COMPUTED_VALUE"""),1.0)</f>
        <v>1</v>
      </c>
      <c r="J302" s="3" t="str">
        <f>IFERROR(__xludf.DUMMYFUNCTION("""COMPUTED_VALUE"""),"set")</f>
        <v>set</v>
      </c>
      <c r="K302" s="3" t="str">
        <f>IFERROR(__xludf.DUMMYFUNCTION("""COMPUTED_VALUE"""),"NA")</f>
        <v>NA</v>
      </c>
      <c r="L302" s="3" t="str">
        <f>IFERROR(__xludf.DUMMYFUNCTION("""COMPUTED_VALUE"""),"Needed date :  31 Oct 25")</f>
        <v>Needed date :  31 Oct 25</v>
      </c>
      <c r="M302" s="3" t="str">
        <f>IFERROR(__xludf.DUMMYFUNCTION("""COMPUTED_VALUE"""),"Approve")</f>
        <v>Approve</v>
      </c>
      <c r="N302" s="3" t="str">
        <f>IFERROR(__xludf.DUMMYFUNCTION("""COMPUTED_VALUE"""),"Normal")</f>
        <v>Normal</v>
      </c>
      <c r="O302" s="3" t="str">
        <f>IFERROR(__xludf.DUMMYFUNCTION("""COMPUTED_VALUE"""),"Non Urgent")</f>
        <v>Non Urgent</v>
      </c>
      <c r="P302" s="7">
        <f>IFERROR(__xludf.DUMMYFUNCTION("""COMPUTED_VALUE"""),45917.73348814815)</f>
        <v>45917.73349</v>
      </c>
    </row>
    <row r="303">
      <c r="A303" s="4">
        <f>IFERROR(__xludf.DUMMYFUNCTION("""COMPUTED_VALUE"""),45910.9287546412)</f>
        <v>45910.92875</v>
      </c>
      <c r="B303" s="3" t="str">
        <f>IFERROR(__xludf.DUMMYFUNCTION("""COMPUTED_VALUE"""),"MFHBR0011")</f>
        <v>MFHBR0011</v>
      </c>
      <c r="C303" s="3" t="str">
        <f>IFERROR(__xludf.DUMMYFUNCTION("""COMPUTED_VALUE"""),"Critical Part")</f>
        <v>Critical Part</v>
      </c>
      <c r="D303" s="3" t="str">
        <f>IFERROR(__xludf.DUMMYFUNCTION("""COMPUTED_VALUE"""),"-")</f>
        <v>-</v>
      </c>
      <c r="E303" s="3" t="str">
        <f>IFERROR(__xludf.DUMMYFUNCTION("""COMPUTED_VALUE"""),"Building")</f>
        <v>Building</v>
      </c>
      <c r="F303" s="3" t="str">
        <f>IFERROR(__xludf.DUMMYFUNCTION("""COMPUTED_VALUE"""),"N2")</f>
        <v>N2</v>
      </c>
      <c r="G303" s="3" t="str">
        <f>IFERROR(__xludf.DUMMYFUNCTION("""COMPUTED_VALUE"""),"Instalasi Piping N2")</f>
        <v>Instalasi Piping N2</v>
      </c>
      <c r="H303" s="3" t="str">
        <f>IFERROR(__xludf.DUMMYFUNCTION("""COMPUTED_VALUE"""),"tata")</f>
        <v>tata</v>
      </c>
      <c r="I303" s="3">
        <f>IFERROR(__xludf.DUMMYFUNCTION("""COMPUTED_VALUE"""),1.0)</f>
        <v>1</v>
      </c>
      <c r="J303" s="3" t="str">
        <f>IFERROR(__xludf.DUMMYFUNCTION("""COMPUTED_VALUE"""),"Lot")</f>
        <v>Lot</v>
      </c>
      <c r="K303" s="3" t="str">
        <f>IFERROR(__xludf.DUMMYFUNCTION("""COMPUTED_VALUE"""),"Email Mas Ken")</f>
        <v>Email Mas Ken</v>
      </c>
      <c r="L303" s="3" t="str">
        <f>IFERROR(__xludf.DUMMYFUNCTION("""COMPUTED_VALUE"""),"2488 121702918 R-21013-00")</f>
        <v>2488 121702918 R-21013-00</v>
      </c>
      <c r="M303" s="3" t="str">
        <f>IFERROR(__xludf.DUMMYFUNCTION("""COMPUTED_VALUE"""),"Approve")</f>
        <v>Approve</v>
      </c>
      <c r="N303" s="3" t="str">
        <f>IFERROR(__xludf.DUMMYFUNCTION("""COMPUTED_VALUE"""),"Normal")</f>
        <v>Normal</v>
      </c>
      <c r="O303" s="3" t="str">
        <f>IFERROR(__xludf.DUMMYFUNCTION("""COMPUTED_VALUE"""),"Non Urgent")</f>
        <v>Non Urgent</v>
      </c>
      <c r="P303" s="7">
        <f>IFERROR(__xludf.DUMMYFUNCTION("""COMPUTED_VALUE"""),45911.89116570602)</f>
        <v>45911.89117</v>
      </c>
    </row>
    <row r="304">
      <c r="A304" s="4">
        <f>IFERROR(__xludf.DUMMYFUNCTION("""COMPUTED_VALUE"""),45910.93053945602)</f>
        <v>45910.93054</v>
      </c>
      <c r="B304" s="3" t="str">
        <f>IFERROR(__xludf.DUMMYFUNCTION("""COMPUTED_VALUE"""),"MFHBR0012")</f>
        <v>MFHBR0012</v>
      </c>
      <c r="C304" s="3" t="str">
        <f>IFERROR(__xludf.DUMMYFUNCTION("""COMPUTED_VALUE"""),"Critical Part")</f>
        <v>Critical Part</v>
      </c>
      <c r="D304" s="3" t="str">
        <f>IFERROR(__xludf.DUMMYFUNCTION("""COMPUTED_VALUE"""),"-")</f>
        <v>-</v>
      </c>
      <c r="E304" s="3" t="str">
        <f>IFERROR(__xludf.DUMMYFUNCTION("""COMPUTED_VALUE"""),"FD")</f>
        <v>FD</v>
      </c>
      <c r="F304" s="3" t="str">
        <f>IFERROR(__xludf.DUMMYFUNCTION("""COMPUTED_VALUE"""),"PoU")</f>
        <v>PoU</v>
      </c>
      <c r="G304" s="3" t="str">
        <f>IFERROR(__xludf.DUMMYFUNCTION("""COMPUTED_VALUE"""),"Instalasi PoU PW, WFI, Pure Steam'")</f>
        <v>Instalasi PoU PW, WFI, Pure Steam'</v>
      </c>
      <c r="H304" s="3" t="str">
        <f>IFERROR(__xludf.DUMMYFUNCTION("""COMPUTED_VALUE"""),"Tata")</f>
        <v>Tata</v>
      </c>
      <c r="I304" s="3">
        <f>IFERROR(__xludf.DUMMYFUNCTION("""COMPUTED_VALUE"""),1.0)</f>
        <v>1</v>
      </c>
      <c r="J304" s="3" t="str">
        <f>IFERROR(__xludf.DUMMYFUNCTION("""COMPUTED_VALUE"""),"Lot")</f>
        <v>Lot</v>
      </c>
      <c r="K304" s="3" t="str">
        <f>IFERROR(__xludf.DUMMYFUNCTION("""COMPUTED_VALUE"""),"Email Mas Ken")</f>
        <v>Email Mas Ken</v>
      </c>
      <c r="L304" s="3" t="str">
        <f>IFERROR(__xludf.DUMMYFUNCTION("""COMPUTED_VALUE"""),"2548 1217029710 R-21013-00")</f>
        <v>2548 1217029710 R-21013-00</v>
      </c>
      <c r="M304" s="3" t="str">
        <f>IFERROR(__xludf.DUMMYFUNCTION("""COMPUTED_VALUE"""),"Approve")</f>
        <v>Approve</v>
      </c>
      <c r="N304" s="3" t="str">
        <f>IFERROR(__xludf.DUMMYFUNCTION("""COMPUTED_VALUE"""),"Normal")</f>
        <v>Normal</v>
      </c>
      <c r="O304" s="3" t="str">
        <f>IFERROR(__xludf.DUMMYFUNCTION("""COMPUTED_VALUE"""),"Non Urgent")</f>
        <v>Non Urgent</v>
      </c>
      <c r="P304" s="7">
        <f>IFERROR(__xludf.DUMMYFUNCTION("""COMPUTED_VALUE"""),45911.891289293984)</f>
        <v>45911.89129</v>
      </c>
    </row>
    <row r="305">
      <c r="A305" s="4">
        <f>IFERROR(__xludf.DUMMYFUNCTION("""COMPUTED_VALUE"""),45910.93274539352)</f>
        <v>45910.93275</v>
      </c>
      <c r="B305" s="3" t="str">
        <f>IFERROR(__xludf.DUMMYFUNCTION("""COMPUTED_VALUE"""),"MFHBR0014")</f>
        <v>MFHBR0014</v>
      </c>
      <c r="C305" s="3" t="str">
        <f>IFERROR(__xludf.DUMMYFUNCTION("""COMPUTED_VALUE"""),"Critical Part")</f>
        <v>Critical Part</v>
      </c>
      <c r="D305" s="3" t="str">
        <f>IFERROR(__xludf.DUMMYFUNCTION("""COMPUTED_VALUE"""),"-")</f>
        <v>-</v>
      </c>
      <c r="E305" s="3" t="str">
        <f>IFERROR(__xludf.DUMMYFUNCTION("""COMPUTED_VALUE"""),"Building")</f>
        <v>Building</v>
      </c>
      <c r="F305" s="3" t="str">
        <f>IFERROR(__xludf.DUMMYFUNCTION("""COMPUTED_VALUE"""),"Perluasan Bangunan")</f>
        <v>Perluasan Bangunan</v>
      </c>
      <c r="G305" s="3" t="str">
        <f>IFERROR(__xludf.DUMMYFUNCTION("""COMPUTED_VALUE"""),"Perluasan Lantai 2 dan 3")</f>
        <v>Perluasan Lantai 2 dan 3</v>
      </c>
      <c r="H305" s="3" t="str">
        <f>IFERROR(__xludf.DUMMYFUNCTION("""COMPUTED_VALUE"""),"Legno")</f>
        <v>Legno</v>
      </c>
      <c r="I305" s="3">
        <f>IFERROR(__xludf.DUMMYFUNCTION("""COMPUTED_VALUE"""),1.0)</f>
        <v>1</v>
      </c>
      <c r="J305" s="3" t="str">
        <f>IFERROR(__xludf.DUMMYFUNCTION("""COMPUTED_VALUE"""),"Lot")</f>
        <v>Lot</v>
      </c>
      <c r="K305" s="3" t="str">
        <f>IFERROR(__xludf.DUMMYFUNCTION("""COMPUTED_VALUE"""),"Email Mas Ken")</f>
        <v>Email Mas Ken</v>
      </c>
      <c r="L305" s="3" t="str">
        <f>IFERROR(__xludf.DUMMYFUNCTION("""COMPUTED_VALUE"""),"2581 121702999 R-71002-00")</f>
        <v>2581 121702999 R-71002-00</v>
      </c>
      <c r="M305" s="3" t="str">
        <f>IFERROR(__xludf.DUMMYFUNCTION("""COMPUTED_VALUE"""),"Approve")</f>
        <v>Approve</v>
      </c>
      <c r="N305" s="3" t="str">
        <f>IFERROR(__xludf.DUMMYFUNCTION("""COMPUTED_VALUE"""),"Normal")</f>
        <v>Normal</v>
      </c>
      <c r="O305" s="3" t="str">
        <f>IFERROR(__xludf.DUMMYFUNCTION("""COMPUTED_VALUE"""),"Non Urgent")</f>
        <v>Non Urgent</v>
      </c>
      <c r="P305" s="7">
        <f>IFERROR(__xludf.DUMMYFUNCTION("""COMPUTED_VALUE"""),45911.891490925926)</f>
        <v>45911.89149</v>
      </c>
    </row>
    <row r="306">
      <c r="A306" s="4">
        <f>IFERROR(__xludf.DUMMYFUNCTION("""COMPUTED_VALUE"""),45910.93522018518)</f>
        <v>45910.93522</v>
      </c>
      <c r="B306" s="3" t="str">
        <f>IFERROR(__xludf.DUMMYFUNCTION("""COMPUTED_VALUE"""),"MFHBR0015")</f>
        <v>MFHBR0015</v>
      </c>
      <c r="C306" s="3" t="str">
        <f>IFERROR(__xludf.DUMMYFUNCTION("""COMPUTED_VALUE"""),"Critical Part")</f>
        <v>Critical Part</v>
      </c>
      <c r="D306" s="3" t="str">
        <f>IFERROR(__xludf.DUMMYFUNCTION("""COMPUTED_VALUE"""),"-")</f>
        <v>-</v>
      </c>
      <c r="E306" s="3" t="str">
        <f>IFERROR(__xludf.DUMMYFUNCTION("""COMPUTED_VALUE"""),"Cooling Water")</f>
        <v>Cooling Water</v>
      </c>
      <c r="F306" s="3" t="str">
        <f>IFERROR(__xludf.DUMMYFUNCTION("""COMPUTED_VALUE"""),"Inverter")</f>
        <v>Inverter</v>
      </c>
      <c r="G306" s="3" t="str">
        <f>IFERROR(__xludf.DUMMYFUNCTION("""COMPUTED_VALUE"""),"FC-202P5K5T4E20H2XGXXXXSXXXXAXBXCXXXXDX")</f>
        <v>FC-202P5K5T4E20H2XGXXXXSXXXXAXBXCXXXXDX</v>
      </c>
      <c r="H306" s="3" t="str">
        <f>IFERROR(__xludf.DUMMYFUNCTION("""COMPUTED_VALUE"""),"Danfoss")</f>
        <v>Danfoss</v>
      </c>
      <c r="I306" s="3">
        <f>IFERROR(__xludf.DUMMYFUNCTION("""COMPUTED_VALUE"""),1.0)</f>
        <v>1</v>
      </c>
      <c r="J306" s="3" t="str">
        <f>IFERROR(__xludf.DUMMYFUNCTION("""COMPUTED_VALUE"""),"Pcs")</f>
        <v>Pcs</v>
      </c>
      <c r="K306" s="3" t="str">
        <f>IFERROR(__xludf.DUMMYFUNCTION("""COMPUTED_VALUE"""),"Email Mas Ken")</f>
        <v>Email Mas Ken</v>
      </c>
      <c r="L306" s="3" t="str">
        <f>IFERROR(__xludf.DUMMYFUNCTION("""COMPUTED_VALUE"""),"2596 121703054 R-21013-00")</f>
        <v>2596 121703054 R-21013-00</v>
      </c>
      <c r="M306" s="3" t="str">
        <f>IFERROR(__xludf.DUMMYFUNCTION("""COMPUTED_VALUE"""),"Approve")</f>
        <v>Approve</v>
      </c>
      <c r="N306" s="3" t="str">
        <f>IFERROR(__xludf.DUMMYFUNCTION("""COMPUTED_VALUE"""),"Normal")</f>
        <v>Normal</v>
      </c>
      <c r="O306" s="3" t="str">
        <f>IFERROR(__xludf.DUMMYFUNCTION("""COMPUTED_VALUE"""),"Non Urgent")</f>
        <v>Non Urgent</v>
      </c>
      <c r="P306" s="7">
        <f>IFERROR(__xludf.DUMMYFUNCTION("""COMPUTED_VALUE"""),45911.89159944444)</f>
        <v>45911.8916</v>
      </c>
    </row>
    <row r="307">
      <c r="A307" s="4">
        <f>IFERROR(__xludf.DUMMYFUNCTION("""COMPUTED_VALUE"""),45915.56884364583)</f>
        <v>45915.56884</v>
      </c>
      <c r="B307" s="3" t="str">
        <f>IFERROR(__xludf.DUMMYFUNCTION("""COMPUTED_VALUE"""),"NDSBR0025")</f>
        <v>NDSBR0025</v>
      </c>
      <c r="C307" s="3" t="str">
        <f>IFERROR(__xludf.DUMMYFUNCTION("""COMPUTED_VALUE"""),"EJO")</f>
        <v>EJO</v>
      </c>
      <c r="D307" s="3" t="str">
        <f>IFERROR(__xludf.DUMMYFUNCTION("""COMPUTED_VALUE"""),"EJO/2025/08/73")</f>
        <v>EJO/2025/08/73</v>
      </c>
      <c r="E307" s="3" t="str">
        <f>IFERROR(__xludf.DUMMYFUNCTION("""COMPUTED_VALUE"""),"Blister")</f>
        <v>Blister</v>
      </c>
      <c r="F307" s="3" t="str">
        <f>IFERROR(__xludf.DUMMYFUNCTION("""COMPUTED_VALUE"""),"Shaft forming")</f>
        <v>Shaft forming</v>
      </c>
      <c r="G307" s="3" t="str">
        <f>IFERROR(__xludf.DUMMYFUNCTION("""COMPUTED_VALUE"""),"sesuai gambar")</f>
        <v>sesuai gambar</v>
      </c>
      <c r="H307" s="3" t="str">
        <f>IFERROR(__xludf.DUMMYFUNCTION("""COMPUTED_VALUE"""),"-")</f>
        <v>-</v>
      </c>
      <c r="I307" s="3">
        <f>IFERROR(__xludf.DUMMYFUNCTION("""COMPUTED_VALUE"""),2.0)</f>
        <v>2</v>
      </c>
      <c r="J307" s="3" t="str">
        <f>IFERROR(__xludf.DUMMYFUNCTION("""COMPUTED_VALUE"""),"pcs")</f>
        <v>pcs</v>
      </c>
      <c r="K307" s="5" t="str">
        <f>IFERROR(__xludf.DUMMYFUNCTION("""COMPUTED_VALUE"""),"https://drive.google.com/drive/folders/1DixVXnMbDcx0kmTjXN_q25kItgwAtF5S?usp=drive_link")</f>
        <v>https://drive.google.com/drive/folders/1DixVXnMbDcx0kmTjXN_q25kItgwAtF5S?usp=drive_link</v>
      </c>
      <c r="L307" s="3" t="str">
        <f>IFERROR(__xludf.DUMMYFUNCTION("""COMPUTED_VALUE"""),"Penawaran no 2")</f>
        <v>Penawaran no 2</v>
      </c>
      <c r="M307" s="3" t="str">
        <f>IFERROR(__xludf.DUMMYFUNCTION("""COMPUTED_VALUE"""),"Approve")</f>
        <v>Approve</v>
      </c>
      <c r="N307" s="3" t="str">
        <f>IFERROR(__xludf.DUMMYFUNCTION("""COMPUTED_VALUE"""),"Normal")</f>
        <v>Normal</v>
      </c>
      <c r="O307" s="3" t="str">
        <f>IFERROR(__xludf.DUMMYFUNCTION("""COMPUTED_VALUE"""),"Non Urgent")</f>
        <v>Non Urgent</v>
      </c>
      <c r="P307" s="7">
        <f>IFERROR(__xludf.DUMMYFUNCTION("""COMPUTED_VALUE"""),45930.24407311343)</f>
        <v>45930.24407</v>
      </c>
    </row>
    <row r="308">
      <c r="A308" s="4">
        <f>IFERROR(__xludf.DUMMYFUNCTION("""COMPUTED_VALUE"""),45915.572459814815)</f>
        <v>45915.57246</v>
      </c>
      <c r="B308" s="3" t="str">
        <f>IFERROR(__xludf.DUMMYFUNCTION("""COMPUTED_VALUE"""),"NDSBR0026")</f>
        <v>NDSBR0026</v>
      </c>
      <c r="C308" s="3" t="str">
        <f>IFERROR(__xludf.DUMMYFUNCTION("""COMPUTED_VALUE"""),"EJO")</f>
        <v>EJO</v>
      </c>
      <c r="D308" s="3" t="str">
        <f>IFERROR(__xludf.DUMMYFUNCTION("""COMPUTED_VALUE"""),"EJO/2025/08/73")</f>
        <v>EJO/2025/08/73</v>
      </c>
      <c r="E308" s="3" t="str">
        <f>IFERROR(__xludf.DUMMYFUNCTION("""COMPUTED_VALUE"""),"Blister")</f>
        <v>Blister</v>
      </c>
      <c r="F308" s="3" t="str">
        <f>IFERROR(__xludf.DUMMYFUNCTION("""COMPUTED_VALUE"""),"Mur shaft forming")</f>
        <v>Mur shaft forming</v>
      </c>
      <c r="G308" s="3" t="str">
        <f>IFERROR(__xludf.DUMMYFUNCTION("""COMPUTED_VALUE"""),"sesuai gambar")</f>
        <v>sesuai gambar</v>
      </c>
      <c r="H308" s="3" t="str">
        <f>IFERROR(__xludf.DUMMYFUNCTION("""COMPUTED_VALUE"""),"-")</f>
        <v>-</v>
      </c>
      <c r="I308" s="3">
        <f>IFERROR(__xludf.DUMMYFUNCTION("""COMPUTED_VALUE"""),3.0)</f>
        <v>3</v>
      </c>
      <c r="J308" s="3" t="str">
        <f>IFERROR(__xludf.DUMMYFUNCTION("""COMPUTED_VALUE"""),"pcs")</f>
        <v>pcs</v>
      </c>
      <c r="K308" s="5" t="str">
        <f>IFERROR(__xludf.DUMMYFUNCTION("""COMPUTED_VALUE"""),"https://drive.google.com/drive/folders/1DixVXnMbDcx0kmTjXN_q25kItgwAtF5S?usp=drive_link")</f>
        <v>https://drive.google.com/drive/folders/1DixVXnMbDcx0kmTjXN_q25kItgwAtF5S?usp=drive_link</v>
      </c>
      <c r="L308" s="3" t="str">
        <f>IFERROR(__xludf.DUMMYFUNCTION("""COMPUTED_VALUE"""),"Penawaran no 1")</f>
        <v>Penawaran no 1</v>
      </c>
      <c r="M308" s="3" t="str">
        <f>IFERROR(__xludf.DUMMYFUNCTION("""COMPUTED_VALUE"""),"Approve")</f>
        <v>Approve</v>
      </c>
      <c r="N308" s="3" t="str">
        <f>IFERROR(__xludf.DUMMYFUNCTION("""COMPUTED_VALUE"""),"Normal")</f>
        <v>Normal</v>
      </c>
      <c r="O308" s="3" t="str">
        <f>IFERROR(__xludf.DUMMYFUNCTION("""COMPUTED_VALUE"""),"Non Urgent")</f>
        <v>Non Urgent</v>
      </c>
      <c r="P308" s="7">
        <f>IFERROR(__xludf.DUMMYFUNCTION("""COMPUTED_VALUE"""),45930.24438283565)</f>
        <v>45930.24438</v>
      </c>
    </row>
    <row r="309">
      <c r="A309" s="4">
        <f>IFERROR(__xludf.DUMMYFUNCTION("""COMPUTED_VALUE"""),45916.68767291667)</f>
        <v>45916.68767</v>
      </c>
      <c r="B309" s="3" t="str">
        <f>IFERROR(__xludf.DUMMYFUNCTION("""COMPUTED_VALUE"""),"ANOBR0030")</f>
        <v>ANOBR0030</v>
      </c>
      <c r="C309" s="3" t="str">
        <f>IFERROR(__xludf.DUMMYFUNCTION("""COMPUTED_VALUE"""),"EJO")</f>
        <v>EJO</v>
      </c>
      <c r="D309" s="3" t="str">
        <f>IFERROR(__xludf.DUMMYFUNCTION("""COMPUTED_VALUE"""),"EJO/2025/08/94")</f>
        <v>EJO/2025/08/94</v>
      </c>
      <c r="E309" s="3" t="str">
        <f>IFERROR(__xludf.DUMMYFUNCTION("""COMPUTED_VALUE"""),"Aerosol Generator")</f>
        <v>Aerosol Generator</v>
      </c>
      <c r="F309" s="3" t="str">
        <f>IFERROR(__xludf.DUMMYFUNCTION("""COMPUTED_VALUE"""),"Regulator")</f>
        <v>Regulator</v>
      </c>
      <c r="G309" s="3" t="str">
        <f>IFERROR(__xludf.DUMMYFUNCTION("""COMPUTED_VALUE"""),"SMC AW30-03-A sett press 0.05-0.7Mpa")</f>
        <v>SMC AW30-03-A sett press 0.05-0.7Mpa</v>
      </c>
      <c r="H309" s="3" t="str">
        <f>IFERROR(__xludf.DUMMYFUNCTION("""COMPUTED_VALUE"""),"SMC")</f>
        <v>SMC</v>
      </c>
      <c r="I309" s="3">
        <f>IFERROR(__xludf.DUMMYFUNCTION("""COMPUTED_VALUE"""),2.0)</f>
        <v>2</v>
      </c>
      <c r="J309" s="3" t="str">
        <f>IFERROR(__xludf.DUMMYFUNCTION("""COMPUTED_VALUE"""),"PCS")</f>
        <v>PCS</v>
      </c>
      <c r="K309" s="5" t="str">
        <f>IFERROR(__xludf.DUMMYFUNCTION("""COMPUTED_VALUE"""),"https://drive.google.com/drive/folders/1oaTb-qzrU40WIID6eOgCm_vXVev-cLxX?usp=drive_link")</f>
        <v>https://drive.google.com/drive/folders/1oaTb-qzrU40WIID6eOgCm_vXVev-cLxX?usp=drive_link</v>
      </c>
      <c r="L309" s="3" t="str">
        <f>IFERROR(__xludf.DUMMYFUNCTION("""COMPUTED_VALUE"""),"Keperluan mengganti regulator aerosol generator")</f>
        <v>Keperluan mengganti regulator aerosol generator</v>
      </c>
      <c r="M309" s="3" t="str">
        <f>IFERROR(__xludf.DUMMYFUNCTION("""COMPUTED_VALUE"""),"Approve")</f>
        <v>Approve</v>
      </c>
      <c r="N309" s="3" t="str">
        <f>IFERROR(__xludf.DUMMYFUNCTION("""COMPUTED_VALUE"""),"Normal")</f>
        <v>Normal</v>
      </c>
      <c r="O309" s="3" t="str">
        <f>IFERROR(__xludf.DUMMYFUNCTION("""COMPUTED_VALUE"""),"Non Urgent")</f>
        <v>Non Urgent</v>
      </c>
      <c r="P309" s="7">
        <f>IFERROR(__xludf.DUMMYFUNCTION("""COMPUTED_VALUE"""),45938.23009247685)</f>
        <v>45938.23009</v>
      </c>
    </row>
    <row r="310">
      <c r="A310" s="4">
        <f>IFERROR(__xludf.DUMMYFUNCTION("""COMPUTED_VALUE"""),45917.94847574075)</f>
        <v>45917.94848</v>
      </c>
      <c r="B310" s="3" t="str">
        <f>IFERROR(__xludf.DUMMYFUNCTION("""COMPUTED_VALUE"""),"ANOBR0032")</f>
        <v>ANOBR0032</v>
      </c>
      <c r="C310" s="3" t="str">
        <f>IFERROR(__xludf.DUMMYFUNCTION("""COMPUTED_VALUE"""),"Consumable")</f>
        <v>Consumable</v>
      </c>
      <c r="D310" s="3" t="str">
        <f>IFERROR(__xludf.DUMMYFUNCTION("""COMPUTED_VALUE"""),"-")</f>
        <v>-</v>
      </c>
      <c r="E310" s="3" t="str">
        <f>IFERROR(__xludf.DUMMYFUNCTION("""COMPUTED_VALUE"""),"tunnel")</f>
        <v>tunnel</v>
      </c>
      <c r="F310" s="3" t="str">
        <f>IFERROR(__xludf.DUMMYFUNCTION("""COMPUTED_VALUE"""),"konektor star actuator 3 way valve")</f>
        <v>konektor star actuator 3 way valve</v>
      </c>
      <c r="G310" s="3" t="str">
        <f>IFERROR(__xludf.DUMMYFUNCTION("""COMPUTED_VALUE"""),"1 sett")</f>
        <v>1 sett</v>
      </c>
      <c r="H310" s="3" t="str">
        <f>IFERROR(__xludf.DUMMYFUNCTION("""COMPUTED_VALUE"""),"-")</f>
        <v>-</v>
      </c>
      <c r="I310" s="3">
        <f>IFERROR(__xludf.DUMMYFUNCTION("""COMPUTED_VALUE"""),2.0)</f>
        <v>2</v>
      </c>
      <c r="J310" s="3" t="str">
        <f>IFERROR(__xludf.DUMMYFUNCTION("""COMPUTED_VALUE"""),"set")</f>
        <v>set</v>
      </c>
      <c r="K310" s="5" t="str">
        <f>IFERROR(__xludf.DUMMYFUNCTION("""COMPUTED_VALUE"""),"https://www.tokopedia.com/kitamurapart/star-actuator-soket-actuator-konektor-actuator-sok-14x11-13035")</f>
        <v>https://www.tokopedia.com/kitamurapart/star-actuator-soket-actuator-konektor-actuator-sok-14x11-13035</v>
      </c>
      <c r="L310" s="3" t="str">
        <f>IFERROR(__xludf.DUMMYFUNCTION("""COMPUTED_VALUE"""),"untuk keperluan stok jika terjadi problem")</f>
        <v>untuk keperluan stok jika terjadi problem</v>
      </c>
      <c r="M310" s="3" t="str">
        <f>IFERROR(__xludf.DUMMYFUNCTION("""COMPUTED_VALUE"""),"Approve")</f>
        <v>Approve</v>
      </c>
      <c r="N310" s="3" t="str">
        <f>IFERROR(__xludf.DUMMYFUNCTION("""COMPUTED_VALUE"""),"Normal")</f>
        <v>Normal</v>
      </c>
      <c r="O310" s="3" t="str">
        <f>IFERROR(__xludf.DUMMYFUNCTION("""COMPUTED_VALUE"""),"Non Urgent")</f>
        <v>Non Urgent</v>
      </c>
      <c r="P310" s="7">
        <f>IFERROR(__xludf.DUMMYFUNCTION("""COMPUTED_VALUE"""),45936.57942606481)</f>
        <v>45936.57943</v>
      </c>
    </row>
    <row r="311">
      <c r="A311" s="4">
        <f>IFERROR(__xludf.DUMMYFUNCTION("""COMPUTED_VALUE"""),45919.675639444446)</f>
        <v>45919.67564</v>
      </c>
      <c r="B311" s="3" t="str">
        <f>IFERROR(__xludf.DUMMYFUNCTION("""COMPUTED_VALUE"""),"RIABR0100")</f>
        <v>RIABR0100</v>
      </c>
      <c r="C311" s="3" t="str">
        <f>IFERROR(__xludf.DUMMYFUNCTION("""COMPUTED_VALUE"""),"Consumable")</f>
        <v>Consumable</v>
      </c>
      <c r="D311" s="3" t="str">
        <f>IFERROR(__xludf.DUMMYFUNCTION("""COMPUTED_VALUE"""),"-")</f>
        <v>-</v>
      </c>
      <c r="E311" s="3" t="str">
        <f>IFERROR(__xludf.DUMMYFUNCTION("""COMPUTED_VALUE"""),"AHU")</f>
        <v>AHU</v>
      </c>
      <c r="F311" s="3" t="str">
        <f>IFERROR(__xludf.DUMMYFUNCTION("""COMPUTED_VALUE"""),"Danfoss")</f>
        <v>Danfoss</v>
      </c>
      <c r="G311" s="3" t="str">
        <f>IFERROR(__xludf.DUMMYFUNCTION("""COMPUTED_VALUE"""),"VLT® HVAC Drive FC-102, (P11K) 11 KW / 15 HP, Three phase, 380 - 480 VAC, IP21 / Type 1, FC-102P11KT4E21H2XGXXXXSXXXXAXBXCXXXXDX")</f>
        <v>VLT® HVAC Drive FC-102, (P11K) 11 KW / 15 HP, Three phase, 380 - 480 VAC, IP21 / Type 1, FC-102P11KT4E21H2XGXXXXSXXXXAXBXCXXXXDX</v>
      </c>
      <c r="H311" s="3" t="str">
        <f>IFERROR(__xludf.DUMMYFUNCTION("""COMPUTED_VALUE"""),"Danfoss")</f>
        <v>Danfoss</v>
      </c>
      <c r="I311" s="3">
        <f>IFERROR(__xludf.DUMMYFUNCTION("""COMPUTED_VALUE"""),1.0)</f>
        <v>1</v>
      </c>
      <c r="J311" s="3" t="str">
        <f>IFERROR(__xludf.DUMMYFUNCTION("""COMPUTED_VALUE"""),"Pcs")</f>
        <v>Pcs</v>
      </c>
      <c r="K311" s="5" t="str">
        <f>IFERROR(__xludf.DUMMYFUNCTION("""COMPUTED_VALUE"""),"https://store.danfoss.com/sg/en/Drives/Low-Voltage-Drives/VLT%C2%AE-HVAC-Drive-FC-102/FC-102P11KT4E21H2XGXXXXSXXXXAXBXCXXXXDX/p/131B1271")</f>
        <v>https://store.danfoss.com/sg/en/Drives/Low-Voltage-Drives/VLT%C2%AE-HVAC-Drive-FC-102/FC-102P11KT4E21H2XGXXXXSXXXXAXBXCXXXXDX/p/131B1271</v>
      </c>
      <c r="L311" s="3" t="str">
        <f>IFERROR(__xludf.DUMMYFUNCTION("""COMPUTED_VALUE"""),"Untuk spare ini spek AHU paling besar, request mas ken")</f>
        <v>Untuk spare ini spek AHU paling besar, request mas ken</v>
      </c>
      <c r="M311" s="3" t="str">
        <f>IFERROR(__xludf.DUMMYFUNCTION("""COMPUTED_VALUE"""),"Approve")</f>
        <v>Approve</v>
      </c>
      <c r="N311" s="3" t="str">
        <f>IFERROR(__xludf.DUMMYFUNCTION("""COMPUTED_VALUE"""),"Normal")</f>
        <v>Normal</v>
      </c>
      <c r="O311" s="3" t="str">
        <f>IFERROR(__xludf.DUMMYFUNCTION("""COMPUTED_VALUE"""),"Non Urgent")</f>
        <v>Non Urgent</v>
      </c>
      <c r="P311" s="7">
        <f>IFERROR(__xludf.DUMMYFUNCTION("""COMPUTED_VALUE"""),45922.36875606481)</f>
        <v>45922.36876</v>
      </c>
    </row>
    <row r="312">
      <c r="A312" s="4">
        <f>IFERROR(__xludf.DUMMYFUNCTION("""COMPUTED_VALUE"""),45919.677289826395)</f>
        <v>45919.67729</v>
      </c>
      <c r="B312" s="3" t="str">
        <f>IFERROR(__xludf.DUMMYFUNCTION("""COMPUTED_VALUE"""),"RIABR0101")</f>
        <v>RIABR0101</v>
      </c>
      <c r="C312" s="3" t="str">
        <f>IFERROR(__xludf.DUMMYFUNCTION("""COMPUTED_VALUE"""),"Consumable")</f>
        <v>Consumable</v>
      </c>
      <c r="D312" s="3" t="str">
        <f>IFERROR(__xludf.DUMMYFUNCTION("""COMPUTED_VALUE"""),"-")</f>
        <v>-</v>
      </c>
      <c r="E312" s="3" t="str">
        <f>IFERROR(__xludf.DUMMYFUNCTION("""COMPUTED_VALUE"""),"Exhaust Fan")</f>
        <v>Exhaust Fan</v>
      </c>
      <c r="F312" s="3" t="str">
        <f>IFERROR(__xludf.DUMMYFUNCTION("""COMPUTED_VALUE"""),"Danfoss")</f>
        <v>Danfoss</v>
      </c>
      <c r="G312" s="3" t="str">
        <f>IFERROR(__xludf.DUMMYFUNCTION("""COMPUTED_VALUE"""),"FC-102P4K0T4E55H2XGXXXXSXXXXAXBXCXXXXDX
VLT® HVAC Drive FC-102
(P4K0) 4.0 KW / 5.0 HP,
Three phase, 380 - 480 VAC, IP55 / Type 12")</f>
        <v>FC-102P4K0T4E55H2XGXXXXSXXXXAXBXCXXXXDX
VLT® HVAC Drive FC-102
(P4K0) 4.0 KW / 5.0 HP,
Three phase, 380 - 480 VAC, IP55 / Type 12</v>
      </c>
      <c r="H312" s="3" t="str">
        <f>IFERROR(__xludf.DUMMYFUNCTION("""COMPUTED_VALUE"""),"Danfoss")</f>
        <v>Danfoss</v>
      </c>
      <c r="I312" s="3">
        <f>IFERROR(__xludf.DUMMYFUNCTION("""COMPUTED_VALUE"""),1.0)</f>
        <v>1</v>
      </c>
      <c r="J312" s="3" t="str">
        <f>IFERROR(__xludf.DUMMYFUNCTION("""COMPUTED_VALUE"""),"Pcs")</f>
        <v>Pcs</v>
      </c>
      <c r="K312" s="5" t="str">
        <f>IFERROR(__xludf.DUMMYFUNCTION("""COMPUTED_VALUE"""),"https://store.danfoss.com/in/en/Drives/Low-Voltage-Drives/VLT%C2%AE-HVAC-Drive-FC-102/FC-102P4K0T4E55H2XGXXXXSXXXXAXBXCXXXXDX/p/131B4229")</f>
        <v>https://store.danfoss.com/in/en/Drives/Low-Voltage-Drives/VLT%C2%AE-HVAC-Drive-FC-102/FC-102P4K0T4E55H2XGXXXXSXXXXAXBXCXXXXDX/p/131B4229</v>
      </c>
      <c r="L312" s="3" t="str">
        <f>IFERROR(__xludf.DUMMYFUNCTION("""COMPUTED_VALUE"""),"Untuk spare ini spek EF paling besar, request mas ken")</f>
        <v>Untuk spare ini spek EF paling besar, request mas ken</v>
      </c>
      <c r="M312" s="3" t="str">
        <f>IFERROR(__xludf.DUMMYFUNCTION("""COMPUTED_VALUE"""),"Approve")</f>
        <v>Approve</v>
      </c>
      <c r="N312" s="3" t="str">
        <f>IFERROR(__xludf.DUMMYFUNCTION("""COMPUTED_VALUE"""),"Normal")</f>
        <v>Normal</v>
      </c>
      <c r="O312" s="3" t="str">
        <f>IFERROR(__xludf.DUMMYFUNCTION("""COMPUTED_VALUE"""),"Non Urgent")</f>
        <v>Non Urgent</v>
      </c>
      <c r="P312" s="7">
        <f>IFERROR(__xludf.DUMMYFUNCTION("""COMPUTED_VALUE"""),45922.369119537034)</f>
        <v>45922.36912</v>
      </c>
    </row>
    <row r="313">
      <c r="A313" s="4">
        <f>IFERROR(__xludf.DUMMYFUNCTION("""COMPUTED_VALUE"""),45921.46139768518)</f>
        <v>45921.4614</v>
      </c>
      <c r="B313" s="3" t="str">
        <f>IFERROR(__xludf.DUMMYFUNCTION("""COMPUTED_VALUE"""),"MFHBR0016")</f>
        <v>MFHBR0016</v>
      </c>
      <c r="C313" s="3" t="str">
        <f>IFERROR(__xludf.DUMMYFUNCTION("""COMPUTED_VALUE"""),"Critical Part")</f>
        <v>Critical Part</v>
      </c>
      <c r="D313" s="3" t="str">
        <f>IFERROR(__xludf.DUMMYFUNCTION("""COMPUTED_VALUE"""),"-")</f>
        <v>-</v>
      </c>
      <c r="E313" s="3" t="str">
        <f>IFERROR(__xludf.DUMMYFUNCTION("""COMPUTED_VALUE"""),"Steriline")</f>
        <v>Steriline</v>
      </c>
      <c r="F313" s="3" t="str">
        <f>IFERROR(__xludf.DUMMYFUNCTION("""COMPUTED_VALUE"""),"Additional Cable Length")</f>
        <v>Additional Cable Length</v>
      </c>
      <c r="G313" s="3" t="str">
        <f>IFERROR(__xludf.DUMMYFUNCTION("""COMPUTED_VALUE"""),"-")</f>
        <v>-</v>
      </c>
      <c r="H313" s="3" t="str">
        <f>IFERROR(__xludf.DUMMYFUNCTION("""COMPUTED_VALUE"""),"-")</f>
        <v>-</v>
      </c>
      <c r="I313" s="3">
        <f>IFERROR(__xludf.DUMMYFUNCTION("""COMPUTED_VALUE"""),1.0)</f>
        <v>1</v>
      </c>
      <c r="J313" s="3" t="str">
        <f>IFERROR(__xludf.DUMMYFUNCTION("""COMPUTED_VALUE"""),"Lot")</f>
        <v>Lot</v>
      </c>
      <c r="K313" s="3" t="str">
        <f>IFERROR(__xludf.DUMMYFUNCTION("""COMPUTED_VALUE"""),"Email Pak Kris")</f>
        <v>Email Pak Kris</v>
      </c>
      <c r="L313" s="3" t="str">
        <f>IFERROR(__xludf.DUMMYFUNCTION("""COMPUTED_VALUE"""),"2736 121703163 R-20023-00")</f>
        <v>2736 121703163 R-20023-00</v>
      </c>
      <c r="M313" s="3" t="str">
        <f>IFERROR(__xludf.DUMMYFUNCTION("""COMPUTED_VALUE"""),"Approve")</f>
        <v>Approve</v>
      </c>
      <c r="N313" s="3" t="str">
        <f>IFERROR(__xludf.DUMMYFUNCTION("""COMPUTED_VALUE"""),"Normal")</f>
        <v>Normal</v>
      </c>
      <c r="O313" s="3" t="str">
        <f>IFERROR(__xludf.DUMMYFUNCTION("""COMPUTED_VALUE"""),"Non Urgent")</f>
        <v>Non Urgent</v>
      </c>
      <c r="P313" s="7">
        <f>IFERROR(__xludf.DUMMYFUNCTION("""COMPUTED_VALUE"""),45921.87631365741)</f>
        <v>45921.87631</v>
      </c>
    </row>
    <row r="314">
      <c r="A314" s="4">
        <f>IFERROR(__xludf.DUMMYFUNCTION("""COMPUTED_VALUE"""),45921.46139768518)</f>
        <v>45921.4614</v>
      </c>
      <c r="B314" s="3" t="str">
        <f>IFERROR(__xludf.DUMMYFUNCTION("""COMPUTED_VALUE"""),"MFHBR0017")</f>
        <v>MFHBR0017</v>
      </c>
      <c r="C314" s="3" t="str">
        <f>IFERROR(__xludf.DUMMYFUNCTION("""COMPUTED_VALUE"""),"Critical Part")</f>
        <v>Critical Part</v>
      </c>
      <c r="D314" s="3" t="str">
        <f>IFERROR(__xludf.DUMMYFUNCTION("""COMPUTED_VALUE"""),"-")</f>
        <v>-</v>
      </c>
      <c r="E314" s="3" t="str">
        <f>IFERROR(__xludf.DUMMYFUNCTION("""COMPUTED_VALUE"""),"Steriline")</f>
        <v>Steriline</v>
      </c>
      <c r="F314" s="3" t="str">
        <f>IFERROR(__xludf.DUMMYFUNCTION("""COMPUTED_VALUE"""),"Hardware Upgrade")</f>
        <v>Hardware Upgrade</v>
      </c>
      <c r="G314" s="3" t="str">
        <f>IFERROR(__xludf.DUMMYFUNCTION("""COMPUTED_VALUE"""),"-")</f>
        <v>-</v>
      </c>
      <c r="H314" s="3" t="str">
        <f>IFERROR(__xludf.DUMMYFUNCTION("""COMPUTED_VALUE"""),"-")</f>
        <v>-</v>
      </c>
      <c r="I314" s="3">
        <f>IFERROR(__xludf.DUMMYFUNCTION("""COMPUTED_VALUE"""),1.0)</f>
        <v>1</v>
      </c>
      <c r="J314" s="3" t="str">
        <f>IFERROR(__xludf.DUMMYFUNCTION("""COMPUTED_VALUE"""),"Lot")</f>
        <v>Lot</v>
      </c>
      <c r="K314" s="3" t="str">
        <f>IFERROR(__xludf.DUMMYFUNCTION("""COMPUTED_VALUE"""),"Email Pak Kris")</f>
        <v>Email Pak Kris</v>
      </c>
      <c r="L314" s="3" t="str">
        <f>IFERROR(__xludf.DUMMYFUNCTION("""COMPUTED_VALUE"""),"2737 121703163 R-20023-00")</f>
        <v>2737 121703163 R-20023-00</v>
      </c>
      <c r="M314" s="3" t="str">
        <f>IFERROR(__xludf.DUMMYFUNCTION("""COMPUTED_VALUE"""),"Approve")</f>
        <v>Approve</v>
      </c>
      <c r="N314" s="3" t="str">
        <f>IFERROR(__xludf.DUMMYFUNCTION("""COMPUTED_VALUE"""),"Normal")</f>
        <v>Normal</v>
      </c>
      <c r="O314" s="3" t="str">
        <f>IFERROR(__xludf.DUMMYFUNCTION("""COMPUTED_VALUE"""),"Non Urgent")</f>
        <v>Non Urgent</v>
      </c>
      <c r="P314" s="7">
        <f>IFERROR(__xludf.DUMMYFUNCTION("""COMPUTED_VALUE"""),45921.87640421296)</f>
        <v>45921.8764</v>
      </c>
    </row>
    <row r="315">
      <c r="A315" s="4">
        <f>IFERROR(__xludf.DUMMYFUNCTION("""COMPUTED_VALUE"""),45921.46140724537)</f>
        <v>45921.46141</v>
      </c>
      <c r="B315" s="3" t="str">
        <f>IFERROR(__xludf.DUMMYFUNCTION("""COMPUTED_VALUE"""),"MFHBR0018")</f>
        <v>MFHBR0018</v>
      </c>
      <c r="C315" s="3" t="str">
        <f>IFERROR(__xludf.DUMMYFUNCTION("""COMPUTED_VALUE"""),"Critical Part")</f>
        <v>Critical Part</v>
      </c>
      <c r="D315" s="3" t="str">
        <f>IFERROR(__xludf.DUMMYFUNCTION("""COMPUTED_VALUE"""),"-")</f>
        <v>-</v>
      </c>
      <c r="E315" s="3" t="str">
        <f>IFERROR(__xludf.DUMMYFUNCTION("""COMPUTED_VALUE"""),"Steriline")</f>
        <v>Steriline</v>
      </c>
      <c r="F315" s="3" t="str">
        <f>IFERROR(__xludf.DUMMYFUNCTION("""COMPUTED_VALUE"""),"Software Upgrade")</f>
        <v>Software Upgrade</v>
      </c>
      <c r="G315" s="3" t="str">
        <f>IFERROR(__xludf.DUMMYFUNCTION("""COMPUTED_VALUE"""),"-")</f>
        <v>-</v>
      </c>
      <c r="H315" s="3" t="str">
        <f>IFERROR(__xludf.DUMMYFUNCTION("""COMPUTED_VALUE"""),"-")</f>
        <v>-</v>
      </c>
      <c r="I315" s="3">
        <f>IFERROR(__xludf.DUMMYFUNCTION("""COMPUTED_VALUE"""),1.0)</f>
        <v>1</v>
      </c>
      <c r="J315" s="3" t="str">
        <f>IFERROR(__xludf.DUMMYFUNCTION("""COMPUTED_VALUE"""),"Lot")</f>
        <v>Lot</v>
      </c>
      <c r="K315" s="3" t="str">
        <f>IFERROR(__xludf.DUMMYFUNCTION("""COMPUTED_VALUE"""),"Email Pak Kris")</f>
        <v>Email Pak Kris</v>
      </c>
      <c r="L315" s="3" t="str">
        <f>IFERROR(__xludf.DUMMYFUNCTION("""COMPUTED_VALUE"""),"2738 121703163 R-20023-00")</f>
        <v>2738 121703163 R-20023-00</v>
      </c>
      <c r="M315" s="3" t="str">
        <f>IFERROR(__xludf.DUMMYFUNCTION("""COMPUTED_VALUE"""),"Approve")</f>
        <v>Approve</v>
      </c>
      <c r="N315" s="3" t="str">
        <f>IFERROR(__xludf.DUMMYFUNCTION("""COMPUTED_VALUE"""),"Normal")</f>
        <v>Normal</v>
      </c>
      <c r="O315" s="3" t="str">
        <f>IFERROR(__xludf.DUMMYFUNCTION("""COMPUTED_VALUE"""),"Non Urgent")</f>
        <v>Non Urgent</v>
      </c>
      <c r="P315" s="7">
        <f>IFERROR(__xludf.DUMMYFUNCTION("""COMPUTED_VALUE"""),45921.87650194444)</f>
        <v>45921.8765</v>
      </c>
    </row>
    <row r="316">
      <c r="A316" s="4">
        <f>IFERROR(__xludf.DUMMYFUNCTION("""COMPUTED_VALUE"""),45923.26065189815)</f>
        <v>45923.26065</v>
      </c>
      <c r="B316" s="3" t="str">
        <f>IFERROR(__xludf.DUMMYFUNCTION("""COMPUTED_VALUE"""),"AAABR0026")</f>
        <v>AAABR0026</v>
      </c>
      <c r="C316" s="3" t="str">
        <f>IFERROR(__xludf.DUMMYFUNCTION("""COMPUTED_VALUE"""),"EJO")</f>
        <v>EJO</v>
      </c>
      <c r="D316" s="3" t="str">
        <f>IFERROR(__xludf.DUMMYFUNCTION("""COMPUTED_VALUE"""),"Menyusul")</f>
        <v>Menyusul</v>
      </c>
      <c r="E316" s="3" t="str">
        <f>IFERROR(__xludf.DUMMYFUNCTION("""COMPUTED_VALUE"""),"CR 3")</f>
        <v>CR 3</v>
      </c>
      <c r="F316" s="3" t="str">
        <f>IFERROR(__xludf.DUMMYFUNCTION("""COMPUTED_VALUE"""),"HEPA Filter")</f>
        <v>HEPA Filter</v>
      </c>
      <c r="G316" s="3" t="str">
        <f>IFERROR(__xludf.DUMMYFUNCTION("""COMPUTED_VALUE"""),"Minipleat ; eff 99.999% ; H-14 ; 457x610x69 ")</f>
        <v>Minipleat ; eff 99.999% ; H-14 ; 457x610x69 </v>
      </c>
      <c r="H316" s="3" t="str">
        <f>IFERROR(__xludf.DUMMYFUNCTION("""COMPUTED_VALUE"""),"IAF Filter")</f>
        <v>IAF Filter</v>
      </c>
      <c r="I316" s="3">
        <f>IFERROR(__xludf.DUMMYFUNCTION("""COMPUTED_VALUE"""),5.0)</f>
        <v>5</v>
      </c>
      <c r="J316" s="3" t="str">
        <f>IFERROR(__xludf.DUMMYFUNCTION("""COMPUTED_VALUE"""),"Pcs")</f>
        <v>Pcs</v>
      </c>
      <c r="K316" s="3" t="str">
        <f>IFERROR(__xludf.DUMMYFUNCTION("""COMPUTED_VALUE"""),"NA")</f>
        <v>NA</v>
      </c>
      <c r="L316" s="3" t="str">
        <f>IFERROR(__xludf.DUMMYFUNCTION("""COMPUTED_VALUE"""),"Needed date : 23 Oct 25")</f>
        <v>Needed date : 23 Oct 25</v>
      </c>
      <c r="M316" s="3" t="str">
        <f>IFERROR(__xludf.DUMMYFUNCTION("""COMPUTED_VALUE"""),"Approve")</f>
        <v>Approve</v>
      </c>
      <c r="N316" s="3" t="str">
        <f>IFERROR(__xludf.DUMMYFUNCTION("""COMPUTED_VALUE"""),"Normal")</f>
        <v>Normal</v>
      </c>
      <c r="O316" s="3" t="str">
        <f>IFERROR(__xludf.DUMMYFUNCTION("""COMPUTED_VALUE"""),"Non Urgent")</f>
        <v>Non Urgent</v>
      </c>
      <c r="P316" s="7">
        <f>IFERROR(__xludf.DUMMYFUNCTION("""COMPUTED_VALUE"""),45923.64193420139)</f>
        <v>45923.64193</v>
      </c>
    </row>
    <row r="317">
      <c r="A317" s="4">
        <f>IFERROR(__xludf.DUMMYFUNCTION("""COMPUTED_VALUE"""),45923.39518503472)</f>
        <v>45923.39519</v>
      </c>
      <c r="B317" s="3" t="str">
        <f>IFERROR(__xludf.DUMMYFUNCTION("""COMPUTED_VALUE"""),"ROSBR0038")</f>
        <v>ROSBR0038</v>
      </c>
      <c r="C317" s="3" t="str">
        <f>IFERROR(__xludf.DUMMYFUNCTION("""COMPUTED_VALUE"""),"Consumable")</f>
        <v>Consumable</v>
      </c>
      <c r="D317" s="3" t="str">
        <f>IFERROR(__xludf.DUMMYFUNCTION("""COMPUTED_VALUE"""),"NA")</f>
        <v>NA</v>
      </c>
      <c r="E317" s="3" t="str">
        <f>IFERROR(__xludf.DUMMYFUNCTION("""COMPUTED_VALUE"""),"Engineering ")</f>
        <v>Engineering </v>
      </c>
      <c r="F317" s="3" t="str">
        <f>IFERROR(__xludf.DUMMYFUNCTION("""COMPUTED_VALUE"""),"Adapter Converter USB to LAN RJ45")</f>
        <v>Adapter Converter USB to LAN RJ45</v>
      </c>
      <c r="G317" s="3" t="str">
        <f>IFERROR(__xludf.DUMMYFUNCTION("""COMPUTED_VALUE"""),"Merk : Ugreen 
Adapter converter USB to LAN RJ45
Type : 50922")</f>
        <v>Merk : Ugreen 
Adapter converter USB to LAN RJ45
Type : 50922</v>
      </c>
      <c r="H317" s="3" t="str">
        <f>IFERROR(__xludf.DUMMYFUNCTION("""COMPUTED_VALUE"""),"Ugreen ")</f>
        <v>Ugreen </v>
      </c>
      <c r="I317" s="3">
        <f>IFERROR(__xludf.DUMMYFUNCTION("""COMPUTED_VALUE"""),4.0)</f>
        <v>4</v>
      </c>
      <c r="J317" s="3" t="str">
        <f>IFERROR(__xludf.DUMMYFUNCTION("""COMPUTED_VALUE"""),"pcs")</f>
        <v>pcs</v>
      </c>
      <c r="K317" s="5" t="str">
        <f>IFERROR(__xludf.DUMMYFUNCTION("""COMPUTED_VALUE"""),"https://shopee.co.id/UGREEN-Lan-Adapter-Gigabit-USB-A-Type-C-To-RJ45-Fast-Ethernet-Network-1000Mbps-2500Mbps-i.293199663.23533022629")</f>
        <v>https://shopee.co.id/UGREEN-Lan-Adapter-Gigabit-USB-A-Type-C-To-RJ45-Fast-Ethernet-Network-1000Mbps-2500Mbps-i.293199663.23533022629</v>
      </c>
      <c r="L317" s="5" t="str">
        <f>IFERROR(__xludf.DUMMYFUNCTION("""COMPUTED_VALUE"""),"https://drive.google.com/file/d/1C44KJhdkzl9cWfizQL1QdmCFFtU57bEm/view?usp=drive_link")</f>
        <v>https://drive.google.com/file/d/1C44KJhdkzl9cWfizQL1QdmCFFtU57bEm/view?usp=drive_link</v>
      </c>
      <c r="M317" s="3" t="str">
        <f>IFERROR(__xludf.DUMMYFUNCTION("""COMPUTED_VALUE"""),"Approve")</f>
        <v>Approve</v>
      </c>
      <c r="N317" s="3" t="str">
        <f>IFERROR(__xludf.DUMMYFUNCTION("""COMPUTED_VALUE"""),"Normal")</f>
        <v>Normal</v>
      </c>
      <c r="O317" s="3" t="str">
        <f>IFERROR(__xludf.DUMMYFUNCTION("""COMPUTED_VALUE"""),"Non Urgent")</f>
        <v>Non Urgent</v>
      </c>
      <c r="P317" s="7">
        <f>IFERROR(__xludf.DUMMYFUNCTION("""COMPUTED_VALUE"""),45930.213165277775)</f>
        <v>45930.21317</v>
      </c>
    </row>
    <row r="318">
      <c r="A318" s="4">
        <f>IFERROR(__xludf.DUMMYFUNCTION("""COMPUTED_VALUE"""),45924.26367417824)</f>
        <v>45924.26367</v>
      </c>
      <c r="B318" s="3" t="str">
        <f>IFERROR(__xludf.DUMMYFUNCTION("""COMPUTED_VALUE"""),"MRNBR0066")</f>
        <v>MRNBR0066</v>
      </c>
      <c r="C318" s="3" t="str">
        <f>IFERROR(__xludf.DUMMYFUNCTION("""COMPUTED_VALUE"""),"EJO")</f>
        <v>EJO</v>
      </c>
      <c r="D318" s="3" t="str">
        <f>IFERROR(__xludf.DUMMYFUNCTION("""COMPUTED_VALUE"""),"EJO/2025/08/129")</f>
        <v>EJO/2025/08/129</v>
      </c>
      <c r="E318" s="3" t="str">
        <f>IFERROR(__xludf.DUMMYFUNCTION("""COMPUTED_VALUE"""),"PHE hot water")</f>
        <v>PHE hot water</v>
      </c>
      <c r="F318" s="3" t="str">
        <f>IFERROR(__xludf.DUMMYFUNCTION("""COMPUTED_VALUE"""),"Steam trap ")</f>
        <v>Steam trap </v>
      </c>
      <c r="G318" s="3" t="str">
        <f>IFERROR(__xludf.DUMMYFUNCTION("""COMPUTED_VALUE"""),"1 inch")</f>
        <v>1 inch</v>
      </c>
      <c r="H318" s="3" t="str">
        <f>IFERROR(__xludf.DUMMYFUNCTION("""COMPUTED_VALUE"""),"Spirax sarco")</f>
        <v>Spirax sarco</v>
      </c>
      <c r="I318" s="3">
        <f>IFERROR(__xludf.DUMMYFUNCTION("""COMPUTED_VALUE"""),2.0)</f>
        <v>2</v>
      </c>
      <c r="J318" s="3" t="str">
        <f>IFERROR(__xludf.DUMMYFUNCTION("""COMPUTED_VALUE"""),"pcs")</f>
        <v>pcs</v>
      </c>
      <c r="K318" s="5" t="str">
        <f>IFERROR(__xludf.DUMMYFUNCTION("""COMPUTED_VALUE"""),"https://drive.google.com/file/d/1wQOQqwJH1Sch1rlfV2Ndpg7Odtqm-ytm/view?usp=drive_link")</f>
        <v>https://drive.google.com/file/d/1wQOQqwJH1Sch1rlfV2Ndpg7Odtqm-ytm/view?usp=drive_link</v>
      </c>
      <c r="L318" s="3" t="str">
        <f>IFERROR(__xludf.DUMMYFUNCTION("""COMPUTED_VALUE"""),"penawaran terlampir")</f>
        <v>penawaran terlampir</v>
      </c>
      <c r="M318" s="3" t="str">
        <f>IFERROR(__xludf.DUMMYFUNCTION("""COMPUTED_VALUE"""),"Approve")</f>
        <v>Approve</v>
      </c>
      <c r="N318" s="3" t="str">
        <f>IFERROR(__xludf.DUMMYFUNCTION("""COMPUTED_VALUE"""),"Normal")</f>
        <v>Normal</v>
      </c>
      <c r="O318" s="3" t="str">
        <f>IFERROR(__xludf.DUMMYFUNCTION("""COMPUTED_VALUE"""),"Non Urgent")</f>
        <v>Non Urgent</v>
      </c>
      <c r="P318" s="7">
        <f>IFERROR(__xludf.DUMMYFUNCTION("""COMPUTED_VALUE"""),45930.55231275463)</f>
        <v>45930.55231</v>
      </c>
    </row>
    <row r="319">
      <c r="A319" s="4">
        <f>IFERROR(__xludf.DUMMYFUNCTION("""COMPUTED_VALUE"""),45924.65788548611)</f>
        <v>45924.65789</v>
      </c>
      <c r="B319" s="3" t="str">
        <f>IFERROR(__xludf.DUMMYFUNCTION("""COMPUTED_VALUE"""),"RIABR0102")</f>
        <v>RIABR0102</v>
      </c>
      <c r="C319" s="3" t="str">
        <f>IFERROR(__xludf.DUMMYFUNCTION("""COMPUTED_VALUE"""),"EJO")</f>
        <v>EJO</v>
      </c>
      <c r="D319" s="3" t="str">
        <f>IFERROR(__xludf.DUMMYFUNCTION("""COMPUTED_VALUE"""),"EJO/2025/09/34")</f>
        <v>EJO/2025/09/34</v>
      </c>
      <c r="E319" s="3" t="str">
        <f>IFERROR(__xludf.DUMMYFUNCTION("""COMPUTED_VALUE"""),"Kapsul")</f>
        <v>Kapsul</v>
      </c>
      <c r="F319" s="3" t="str">
        <f>IFERROR(__xludf.DUMMYFUNCTION("""COMPUTED_VALUE"""),"Pusher Kapsul")</f>
        <v>Pusher Kapsul</v>
      </c>
      <c r="G319" s="3" t="str">
        <f>IFERROR(__xludf.DUMMYFUNCTION("""COMPUTED_VALUE"""),"Pusher Kapsul F1 (8716097 - F1 - C6 9299/320)")</f>
        <v>Pusher Kapsul F1 (8716097 - F1 - C6 9299/320)</v>
      </c>
      <c r="H319" s="3" t="str">
        <f>IFERROR(__xludf.DUMMYFUNCTION("""COMPUTED_VALUE"""),"SMA")</f>
        <v>SMA</v>
      </c>
      <c r="I319" s="3">
        <f>IFERROR(__xludf.DUMMYFUNCTION("""COMPUTED_VALUE"""),1.0)</f>
        <v>1</v>
      </c>
      <c r="J319" s="3" t="str">
        <f>IFERROR(__xludf.DUMMYFUNCTION("""COMPUTED_VALUE"""),"Set")</f>
        <v>Set</v>
      </c>
      <c r="K319" s="5" t="str">
        <f>IFERROR(__xludf.DUMMYFUNCTION("""COMPUTED_VALUE"""),"https://drive.google.com/file/d/1IpnATADGzwUDqmRvJUijXIrlFOnX1tS_/view?usp=drive_link")</f>
        <v>https://drive.google.com/file/d/1IpnATADGzwUDqmRvJUijXIrlFOnX1tS_/view?usp=drive_link</v>
      </c>
      <c r="L319" s="3" t="str">
        <f>IFERROR(__xludf.DUMMYFUNCTION("""COMPUTED_VALUE"""),"Dhil minta tolong carikan penawaran untuk pusher kapsul ini ya ke SMA, ini aku kasih contoh fotonya dan ada keterangan item code dari merekanya")</f>
        <v>Dhil minta tolong carikan penawaran untuk pusher kapsul ini ya ke SMA, ini aku kasih contoh fotonya dan ada keterangan item code dari merekanya</v>
      </c>
      <c r="M319" s="3" t="str">
        <f>IFERROR(__xludf.DUMMYFUNCTION("""COMPUTED_VALUE"""),"Approve")</f>
        <v>Approve</v>
      </c>
      <c r="N319" s="3" t="str">
        <f>IFERROR(__xludf.DUMMYFUNCTION("""COMPUTED_VALUE"""),"Normal")</f>
        <v>Normal</v>
      </c>
      <c r="O319" s="3" t="str">
        <f>IFERROR(__xludf.DUMMYFUNCTION("""COMPUTED_VALUE"""),"Non Urgent")</f>
        <v>Non Urgent</v>
      </c>
      <c r="P319" s="7">
        <f>IFERROR(__xludf.DUMMYFUNCTION("""COMPUTED_VALUE"""),45930.62697363426)</f>
        <v>45930.62697</v>
      </c>
    </row>
    <row r="320">
      <c r="A320" s="4">
        <f>IFERROR(__xludf.DUMMYFUNCTION("""COMPUTED_VALUE"""),45924.918901412035)</f>
        <v>45924.9189</v>
      </c>
      <c r="B320" s="3" t="str">
        <f>IFERROR(__xludf.DUMMYFUNCTION("""COMPUTED_VALUE"""),"NDSBR0027")</f>
        <v>NDSBR0027</v>
      </c>
      <c r="C320" s="3" t="str">
        <f>IFERROR(__xludf.DUMMYFUNCTION("""COMPUTED_VALUE"""),"EJO")</f>
        <v>EJO</v>
      </c>
      <c r="D320" s="3" t="str">
        <f>IFERROR(__xludf.DUMMYFUNCTION("""COMPUTED_VALUE"""),"EJO/2025/09/118")</f>
        <v>EJO/2025/09/118</v>
      </c>
      <c r="E320" s="3" t="str">
        <f>IFERROR(__xludf.DUMMYFUNCTION("""COMPUTED_VALUE"""),"Blister")</f>
        <v>Blister</v>
      </c>
      <c r="F320" s="3" t="str">
        <f>IFERROR(__xludf.DUMMYFUNCTION("""COMPUTED_VALUE"""),"Teflon Forming 568")</f>
        <v>Teflon Forming 568</v>
      </c>
      <c r="G320" s="3" t="str">
        <f>IFERROR(__xludf.DUMMYFUNCTION("""COMPUTED_VALUE"""),"Sesuai gambar")</f>
        <v>Sesuai gambar</v>
      </c>
      <c r="H320" s="3" t="str">
        <f>IFERROR(__xludf.DUMMYFUNCTION("""COMPUTED_VALUE"""),"-")</f>
        <v>-</v>
      </c>
      <c r="I320" s="3">
        <f>IFERROR(__xludf.DUMMYFUNCTION("""COMPUTED_VALUE"""),30.0)</f>
        <v>30</v>
      </c>
      <c r="J320" s="3" t="str">
        <f>IFERROR(__xludf.DUMMYFUNCTION("""COMPUTED_VALUE"""),"pcs")</f>
        <v>pcs</v>
      </c>
      <c r="K320" s="5" t="str">
        <f>IFERROR(__xludf.DUMMYFUNCTION("""COMPUTED_VALUE"""),"https://drive.google.com/drive/folders/1iyjSTsQwh1FJ4qLP2UdeqF5J6Vdjoqb-?usp=drive_link")</f>
        <v>https://drive.google.com/drive/folders/1iyjSTsQwh1FJ4qLP2UdeqF5J6Vdjoqb-?usp=drive_link</v>
      </c>
      <c r="L320" s="3" t="str">
        <f>IFERROR(__xludf.DUMMYFUNCTION("""COMPUTED_VALUE"""),"Kita hanya butuh no 1, Teflon")</f>
        <v>Kita hanya butuh no 1, Teflon</v>
      </c>
      <c r="M320" s="3" t="str">
        <f>IFERROR(__xludf.DUMMYFUNCTION("""COMPUTED_VALUE"""),"Approve")</f>
        <v>Approve</v>
      </c>
      <c r="N320" s="3" t="str">
        <f>IFERROR(__xludf.DUMMYFUNCTION("""COMPUTED_VALUE"""),"Normal")</f>
        <v>Normal</v>
      </c>
      <c r="O320" s="3" t="str">
        <f>IFERROR(__xludf.DUMMYFUNCTION("""COMPUTED_VALUE"""),"Non Urgent")</f>
        <v>Non Urgent</v>
      </c>
      <c r="P320" s="7">
        <f>IFERROR(__xludf.DUMMYFUNCTION("""COMPUTED_VALUE"""),46050.88074798611)</f>
        <v>46050.88075</v>
      </c>
    </row>
    <row r="321">
      <c r="A321" s="4">
        <f>IFERROR(__xludf.DUMMYFUNCTION("""COMPUTED_VALUE"""),45924.920813888886)</f>
        <v>45924.92081</v>
      </c>
      <c r="B321" s="3" t="str">
        <f>IFERROR(__xludf.DUMMYFUNCTION("""COMPUTED_VALUE"""),"NDSBR0028")</f>
        <v>NDSBR0028</v>
      </c>
      <c r="C321" s="3" t="str">
        <f>IFERROR(__xludf.DUMMYFUNCTION("""COMPUTED_VALUE"""),"EJO")</f>
        <v>EJO</v>
      </c>
      <c r="D321" s="3" t="str">
        <f>IFERROR(__xludf.DUMMYFUNCTION("""COMPUTED_VALUE"""),"EJO/2025/09/118")</f>
        <v>EJO/2025/09/118</v>
      </c>
      <c r="E321" s="3" t="str">
        <f>IFERROR(__xludf.DUMMYFUNCTION("""COMPUTED_VALUE"""),"Blister")</f>
        <v>Blister</v>
      </c>
      <c r="F321" s="3" t="str">
        <f>IFERROR(__xludf.DUMMYFUNCTION("""COMPUTED_VALUE"""),"Teflon Forming 569")</f>
        <v>Teflon Forming 569</v>
      </c>
      <c r="G321" s="3" t="str">
        <f>IFERROR(__xludf.DUMMYFUNCTION("""COMPUTED_VALUE"""),"Sesuai gambar")</f>
        <v>Sesuai gambar</v>
      </c>
      <c r="H321" s="3" t="str">
        <f>IFERROR(__xludf.DUMMYFUNCTION("""COMPUTED_VALUE"""),"-")</f>
        <v>-</v>
      </c>
      <c r="I321" s="3">
        <f>IFERROR(__xludf.DUMMYFUNCTION("""COMPUTED_VALUE"""),30.0)</f>
        <v>30</v>
      </c>
      <c r="J321" s="3" t="str">
        <f>IFERROR(__xludf.DUMMYFUNCTION("""COMPUTED_VALUE"""),"Pcs")</f>
        <v>Pcs</v>
      </c>
      <c r="K321" s="5" t="str">
        <f>IFERROR(__xludf.DUMMYFUNCTION("""COMPUTED_VALUE"""),"https://drive.google.com/drive/folders/1HA_l4VE-c2stfmaiop6Kn9wux0GKEOZs?usp=drive_link")</f>
        <v>https://drive.google.com/drive/folders/1HA_l4VE-c2stfmaiop6Kn9wux0GKEOZs?usp=drive_link</v>
      </c>
      <c r="L321" s="3" t="str">
        <f>IFERROR(__xludf.DUMMYFUNCTION("""COMPUTED_VALUE"""),"Kita hanya butuh no 1,Teflon")</f>
        <v>Kita hanya butuh no 1,Teflon</v>
      </c>
      <c r="M321" s="3" t="str">
        <f>IFERROR(__xludf.DUMMYFUNCTION("""COMPUTED_VALUE"""),"Approve")</f>
        <v>Approve</v>
      </c>
      <c r="N321" s="3" t="str">
        <f>IFERROR(__xludf.DUMMYFUNCTION("""COMPUTED_VALUE"""),"Normal")</f>
        <v>Normal</v>
      </c>
      <c r="O321" s="3" t="str">
        <f>IFERROR(__xludf.DUMMYFUNCTION("""COMPUTED_VALUE"""),"Non Urgent")</f>
        <v>Non Urgent</v>
      </c>
      <c r="P321" s="7">
        <f>IFERROR(__xludf.DUMMYFUNCTION("""COMPUTED_VALUE"""),46050.881031006946)</f>
        <v>46050.88103</v>
      </c>
    </row>
    <row r="322">
      <c r="A322" s="4">
        <f>IFERROR(__xludf.DUMMYFUNCTION("""COMPUTED_VALUE"""),45925.579620046294)</f>
        <v>45925.57962</v>
      </c>
      <c r="B322" s="3" t="str">
        <f>IFERROR(__xludf.DUMMYFUNCTION("""COMPUTED_VALUE"""),"SFHBR0034")</f>
        <v>SFHBR0034</v>
      </c>
      <c r="C322" s="3" t="str">
        <f>IFERROR(__xludf.DUMMYFUNCTION("""COMPUTED_VALUE"""),"EJO")</f>
        <v>EJO</v>
      </c>
      <c r="D322" s="3" t="str">
        <f>IFERROR(__xludf.DUMMYFUNCTION("""COMPUTED_VALUE"""),"EJO/2025/09/151")</f>
        <v>EJO/2025/09/151</v>
      </c>
      <c r="E322" s="3" t="str">
        <f>IFERROR(__xludf.DUMMYFUNCTION("""COMPUTED_VALUE"""),"lantai 3")</f>
        <v>lantai 3</v>
      </c>
      <c r="F322" s="3" t="str">
        <f>IFERROR(__xludf.DUMMYFUNCTION("""COMPUTED_VALUE"""),"engsel sendok Ferrari ")</f>
        <v>engsel sendok Ferrari </v>
      </c>
      <c r="G322" s="3" t="str">
        <f>IFERROR(__xludf.DUMMYFUNCTION("""COMPUTED_VALUE"""),"engsel sendok Ferrari ")</f>
        <v>engsel sendok Ferrari </v>
      </c>
      <c r="H322" s="3" t="str">
        <f>IFERROR(__xludf.DUMMYFUNCTION("""COMPUTED_VALUE"""),"Ferrari ")</f>
        <v>Ferrari </v>
      </c>
      <c r="I322" s="3">
        <f>IFERROR(__xludf.DUMMYFUNCTION("""COMPUTED_VALUE"""),5.0)</f>
        <v>5</v>
      </c>
      <c r="J322" s="3" t="str">
        <f>IFERROR(__xludf.DUMMYFUNCTION("""COMPUTED_VALUE"""),"pasang ")</f>
        <v>pasang </v>
      </c>
      <c r="K322" s="5" t="str">
        <f>IFERROR(__xludf.DUMMYFUNCTION("""COMPUTED_VALUE"""),"https://tk.tokopedia.com/ZSDVLcx29/")</f>
        <v>https://tk.tokopedia.com/ZSDVLcx29/</v>
      </c>
      <c r="L322" s="3" t="str">
        <f>IFERROR(__xludf.DUMMYFUNCTION("""COMPUTED_VALUE"""),"-")</f>
        <v>-</v>
      </c>
      <c r="M322" s="3" t="str">
        <f>IFERROR(__xludf.DUMMYFUNCTION("""COMPUTED_VALUE"""),"Approve")</f>
        <v>Approve</v>
      </c>
      <c r="N322" s="3" t="str">
        <f>IFERROR(__xludf.DUMMYFUNCTION("""COMPUTED_VALUE"""),"Normal")</f>
        <v>Normal</v>
      </c>
      <c r="O322" s="3" t="str">
        <f>IFERROR(__xludf.DUMMYFUNCTION("""COMPUTED_VALUE"""),"Non Urgent")</f>
        <v>Non Urgent</v>
      </c>
      <c r="P322" s="7">
        <f>IFERROR(__xludf.DUMMYFUNCTION("""COMPUTED_VALUE"""),45930.553623252315)</f>
        <v>45930.55362</v>
      </c>
    </row>
    <row r="323">
      <c r="A323" s="4">
        <f>IFERROR(__xludf.DUMMYFUNCTION("""COMPUTED_VALUE"""),45925.70730620371)</f>
        <v>45925.70731</v>
      </c>
      <c r="B323" s="3" t="str">
        <f>IFERROR(__xludf.DUMMYFUNCTION("""COMPUTED_VALUE"""),"RIABR0103")</f>
        <v>RIABR0103</v>
      </c>
      <c r="C323" s="3" t="str">
        <f>IFERROR(__xludf.DUMMYFUNCTION("""COMPUTED_VALUE"""),"EJO")</f>
        <v>EJO</v>
      </c>
      <c r="D323" s="3" t="str">
        <f>IFERROR(__xludf.DUMMYFUNCTION("""COMPUTED_VALUE"""),"EJO/2025/09/134")</f>
        <v>EJO/2025/09/134</v>
      </c>
      <c r="E323" s="3" t="str">
        <f>IFERROR(__xludf.DUMMYFUNCTION("""COMPUTED_VALUE"""),"Tangga Portable")</f>
        <v>Tangga Portable</v>
      </c>
      <c r="F323" s="3" t="str">
        <f>IFERROR(__xludf.DUMMYFUNCTION("""COMPUTED_VALUE"""),"Kaki Karet Tangga")</f>
        <v>Kaki Karet Tangga</v>
      </c>
      <c r="G323" s="3" t="str">
        <f>IFERROR(__xludf.DUMMYFUNCTION("""COMPUTED_VALUE"""),"Karet kaki kursi / tutup pipa dengan ukuran 25 mm atau 1 inch
ukuran diameter dalam 25 mm / 1 inch
tinggi 37 mm
tebal (diameter dalam dan luar) 5 mm")</f>
        <v>Karet kaki kursi / tutup pipa dengan ukuran 25 mm atau 1 inch
ukuran diameter dalam 25 mm / 1 inch
tinggi 37 mm
tebal (diameter dalam dan luar) 5 mm</v>
      </c>
      <c r="H323" s="3" t="str">
        <f>IFERROR(__xludf.DUMMYFUNCTION("""COMPUTED_VALUE"""),"Lokal")</f>
        <v>Lokal</v>
      </c>
      <c r="I323" s="3">
        <f>IFERROR(__xludf.DUMMYFUNCTION("""COMPUTED_VALUE"""),10.0)</f>
        <v>10</v>
      </c>
      <c r="J323" s="3" t="str">
        <f>IFERROR(__xludf.DUMMYFUNCTION("""COMPUTED_VALUE"""),"Pcs")</f>
        <v>Pcs</v>
      </c>
      <c r="K323" s="5" t="str">
        <f>IFERROR(__xludf.DUMMYFUNCTION("""COMPUTED_VALUE"""),"https://www.tokopedia.com/kaitehnik/karet-kaki-kursi-tutup-pipa-25-mm-1-inch-diameter-dalam")</f>
        <v>https://www.tokopedia.com/kaitehnik/karet-kaki-kursi-tutup-pipa-25-mm-1-inch-diameter-dalam</v>
      </c>
      <c r="L323" s="3" t="str">
        <f>IFERROR(__xludf.DUMMYFUNCTION("""COMPUTED_VALUE"""),"Untuk tangga portable wet lab")</f>
        <v>Untuk tangga portable wet lab</v>
      </c>
      <c r="M323" s="3" t="str">
        <f>IFERROR(__xludf.DUMMYFUNCTION("""COMPUTED_VALUE"""),"Approve")</f>
        <v>Approve</v>
      </c>
      <c r="N323" s="3" t="str">
        <f>IFERROR(__xludf.DUMMYFUNCTION("""COMPUTED_VALUE"""),"Normal")</f>
        <v>Normal</v>
      </c>
      <c r="O323" s="3" t="str">
        <f>IFERROR(__xludf.DUMMYFUNCTION("""COMPUTED_VALUE"""),"Non Urgent")</f>
        <v>Non Urgent</v>
      </c>
      <c r="P323" s="7">
        <f>IFERROR(__xludf.DUMMYFUNCTION("""COMPUTED_VALUE"""),45930.627117048614)</f>
        <v>45930.62712</v>
      </c>
    </row>
    <row r="324">
      <c r="A324" s="4">
        <f>IFERROR(__xludf.DUMMYFUNCTION("""COMPUTED_VALUE"""),45925.78222758102)</f>
        <v>45925.78223</v>
      </c>
      <c r="B324" s="3" t="str">
        <f>IFERROR(__xludf.DUMMYFUNCTION("""COMPUTED_VALUE"""),"ANOBR0035")</f>
        <v>ANOBR0035</v>
      </c>
      <c r="C324" s="3" t="str">
        <f>IFERROR(__xludf.DUMMYFUNCTION("""COMPUTED_VALUE"""),"EJO")</f>
        <v>EJO</v>
      </c>
      <c r="D324" s="3" t="str">
        <f>IFERROR(__xludf.DUMMYFUNCTION("""COMPUTED_VALUE"""),"EJO/2025/08/32")</f>
        <v>EJO/2025/08/32</v>
      </c>
      <c r="E324" s="3" t="str">
        <f>IFERROR(__xludf.DUMMYFUNCTION("""COMPUTED_VALUE"""),"isolator dispensing osd")</f>
        <v>isolator dispensing osd</v>
      </c>
      <c r="F324" s="3" t="str">
        <f>IFERROR(__xludf.DUMMYFUNCTION("""COMPUTED_VALUE"""),"oring gasket port sampling")</f>
        <v>oring gasket port sampling</v>
      </c>
      <c r="G324" s="3" t="str">
        <f>IFERROR(__xludf.DUMMYFUNCTION("""COMPUTED_VALUE"""),"D:8mmxD:61mmxD77mm")</f>
        <v>D:8mmxD:61mmxD77mm</v>
      </c>
      <c r="H324" s="3" t="str">
        <f>IFERROR(__xludf.DUMMYFUNCTION("""COMPUTED_VALUE"""),"-")</f>
        <v>-</v>
      </c>
      <c r="I324" s="3">
        <f>IFERROR(__xludf.DUMMYFUNCTION("""COMPUTED_VALUE"""),3.0)</f>
        <v>3</v>
      </c>
      <c r="J324" s="3" t="str">
        <f>IFERROR(__xludf.DUMMYFUNCTION("""COMPUTED_VALUE"""),"PCS")</f>
        <v>PCS</v>
      </c>
      <c r="K324" s="5" t="str">
        <f>IFERROR(__xludf.DUMMYFUNCTION("""COMPUTED_VALUE"""),"https://drive.google.com/drive/folders/1lM1jIlINrMV-ErghdIiWY6QKmqOuUjKb?usp=drive_link")</f>
        <v>https://drive.google.com/drive/folders/1lM1jIlINrMV-ErghdIiWY6QKmqOuUjKb?usp=drive_link</v>
      </c>
      <c r="L324" s="3" t="str">
        <f>IFERROR(__xludf.DUMMYFUNCTION("""COMPUTED_VALUE"""),"Untuk keperluan pengunci plastik API di bagian drum loading")</f>
        <v>Untuk keperluan pengunci plastik API di bagian drum loading</v>
      </c>
      <c r="M324" s="3" t="str">
        <f>IFERROR(__xludf.DUMMYFUNCTION("""COMPUTED_VALUE"""),"Approve")</f>
        <v>Approve</v>
      </c>
      <c r="N324" s="3" t="str">
        <f>IFERROR(__xludf.DUMMYFUNCTION("""COMPUTED_VALUE"""),"Normal")</f>
        <v>Normal</v>
      </c>
      <c r="O324" s="3" t="str">
        <f>IFERROR(__xludf.DUMMYFUNCTION("""COMPUTED_VALUE"""),"Non Urgent")</f>
        <v>Non Urgent</v>
      </c>
      <c r="P324" s="7">
        <f>IFERROR(__xludf.DUMMYFUNCTION("""COMPUTED_VALUE"""),45930.23280372685)</f>
        <v>45930.2328</v>
      </c>
    </row>
    <row r="325">
      <c r="A325" s="4">
        <f>IFERROR(__xludf.DUMMYFUNCTION("""COMPUTED_VALUE"""),45926.379023078705)</f>
        <v>45926.37902</v>
      </c>
      <c r="B325" s="3" t="str">
        <f>IFERROR(__xludf.DUMMYFUNCTION("""COMPUTED_VALUE"""),"ROSBR0040")</f>
        <v>ROSBR0040</v>
      </c>
      <c r="C325" s="3" t="str">
        <f>IFERROR(__xludf.DUMMYFUNCTION("""COMPUTED_VALUE"""),"EJO")</f>
        <v>EJO</v>
      </c>
      <c r="D325" s="3" t="str">
        <f>IFERROR(__xludf.DUMMYFUNCTION("""COMPUTED_VALUE"""),"EJO/2025/09/147")</f>
        <v>EJO/2025/09/147</v>
      </c>
      <c r="E325" s="3" t="str">
        <f>IFERROR(__xludf.DUMMYFUNCTION("""COMPUTED_VALUE"""),"Gloove tester  isolator Skan mikro")</f>
        <v>Gloove tester  isolator Skan mikro</v>
      </c>
      <c r="F325" s="3" t="str">
        <f>IFERROR(__xludf.DUMMYFUNCTION("""COMPUTED_VALUE"""),"Push-in fitting")</f>
        <v>Push-in fitting</v>
      </c>
      <c r="G325" s="3" t="str">
        <f>IFERROR(__xludf.DUMMYFUNCTION("""COMPUTED_VALUE"""),"QSM-M5-6
material Number : 153306")</f>
        <v>QSM-M5-6
material Number : 153306</v>
      </c>
      <c r="H325" s="3" t="str">
        <f>IFERROR(__xludf.DUMMYFUNCTION("""COMPUTED_VALUE"""),"Festo")</f>
        <v>Festo</v>
      </c>
      <c r="I325" s="3">
        <f>IFERROR(__xludf.DUMMYFUNCTION("""COMPUTED_VALUE"""),10.0)</f>
        <v>10</v>
      </c>
      <c r="J325" s="3" t="str">
        <f>IFERROR(__xludf.DUMMYFUNCTION("""COMPUTED_VALUE"""),"pcs")</f>
        <v>pcs</v>
      </c>
      <c r="K325" s="5" t="str">
        <f>IFERROR(__xludf.DUMMYFUNCTION("""COMPUTED_VALUE"""),"https://drive.google.com/file/d/1UK6XhCS3T0ni0bA983FEsNp6UNzYsakg/view?usp=drive_link")</f>
        <v>https://drive.google.com/file/d/1UK6XhCS3T0ni0bA983FEsNp6UNzYsakg/view?usp=drive_link</v>
      </c>
      <c r="L325" s="5" t="str">
        <f>IFERROR(__xludf.DUMMYFUNCTION("""COMPUTED_VALUE"""),"https://drive.google.com/file/d/1teGRF87qECP0pNjYmnr89ZiPCukgqTgZ/view?usp=drive_link")</f>
        <v>https://drive.google.com/file/d/1teGRF87qECP0pNjYmnr89ZiPCukgqTgZ/view?usp=drive_link</v>
      </c>
      <c r="M325" s="3" t="str">
        <f>IFERROR(__xludf.DUMMYFUNCTION("""COMPUTED_VALUE"""),"Approve")</f>
        <v>Approve</v>
      </c>
      <c r="N325" s="3" t="str">
        <f>IFERROR(__xludf.DUMMYFUNCTION("""COMPUTED_VALUE"""),"Normal")</f>
        <v>Normal</v>
      </c>
      <c r="O325" s="3" t="str">
        <f>IFERROR(__xludf.DUMMYFUNCTION("""COMPUTED_VALUE"""),"Non Urgent")</f>
        <v>Non Urgent</v>
      </c>
      <c r="P325" s="7">
        <f>IFERROR(__xludf.DUMMYFUNCTION("""COMPUTED_VALUE"""),45930.21485674768)</f>
        <v>45930.21486</v>
      </c>
    </row>
    <row r="326">
      <c r="A326" s="4">
        <f>IFERROR(__xludf.DUMMYFUNCTION("""COMPUTED_VALUE"""),45926.37904696759)</f>
        <v>45926.37905</v>
      </c>
      <c r="B326" s="3" t="str">
        <f>IFERROR(__xludf.DUMMYFUNCTION("""COMPUTED_VALUE"""),"ROSBR0041")</f>
        <v>ROSBR0041</v>
      </c>
      <c r="C326" s="3" t="str">
        <f>IFERROR(__xludf.DUMMYFUNCTION("""COMPUTED_VALUE"""),"EJO")</f>
        <v>EJO</v>
      </c>
      <c r="D326" s="3" t="str">
        <f>IFERROR(__xludf.DUMMYFUNCTION("""COMPUTED_VALUE"""),"EJO/2025/09/147")</f>
        <v>EJO/2025/09/147</v>
      </c>
      <c r="E326" s="3" t="str">
        <f>IFERROR(__xludf.DUMMYFUNCTION("""COMPUTED_VALUE"""),"Gloove tester  isolator Skan mikro")</f>
        <v>Gloove tester  isolator Skan mikro</v>
      </c>
      <c r="F326" s="3" t="str">
        <f>IFERROR(__xludf.DUMMYFUNCTION("""COMPUTED_VALUE"""),"P/in connector")</f>
        <v>P/in connector</v>
      </c>
      <c r="G326" s="3" t="str">
        <f>IFERROR(__xludf.DUMMYFUNCTION("""COMPUTED_VALUE"""),"QS-6-4
Material Number : 153037")</f>
        <v>QS-6-4
Material Number : 153037</v>
      </c>
      <c r="H326" s="3" t="str">
        <f>IFERROR(__xludf.DUMMYFUNCTION("""COMPUTED_VALUE"""),"Festo")</f>
        <v>Festo</v>
      </c>
      <c r="I326" s="3">
        <f>IFERROR(__xludf.DUMMYFUNCTION("""COMPUTED_VALUE"""),10.0)</f>
        <v>10</v>
      </c>
      <c r="J326" s="3" t="str">
        <f>IFERROR(__xludf.DUMMYFUNCTION("""COMPUTED_VALUE"""),"pcs")</f>
        <v>pcs</v>
      </c>
      <c r="K326" s="5" t="str">
        <f>IFERROR(__xludf.DUMMYFUNCTION("""COMPUTED_VALUE"""),"https://drive.google.com/file/d/1UK6XhCS3T0ni0bA983FEsNp6UNzYsakg/view?usp=drive_link")</f>
        <v>https://drive.google.com/file/d/1UK6XhCS3T0ni0bA983FEsNp6UNzYsakg/view?usp=drive_link</v>
      </c>
      <c r="L326" s="5" t="str">
        <f>IFERROR(__xludf.DUMMYFUNCTION("""COMPUTED_VALUE"""),"https://drive.google.com/file/d/1PUjl7MC8a1Fmfyb44giY1zy9_U5G5oLV/view?usp=drive_link")</f>
        <v>https://drive.google.com/file/d/1PUjl7MC8a1Fmfyb44giY1zy9_U5G5oLV/view?usp=drive_link</v>
      </c>
      <c r="M326" s="3" t="str">
        <f>IFERROR(__xludf.DUMMYFUNCTION("""COMPUTED_VALUE"""),"Approve")</f>
        <v>Approve</v>
      </c>
      <c r="N326" s="3" t="str">
        <f>IFERROR(__xludf.DUMMYFUNCTION("""COMPUTED_VALUE"""),"Normal")</f>
        <v>Normal</v>
      </c>
      <c r="O326" s="3" t="str">
        <f>IFERROR(__xludf.DUMMYFUNCTION("""COMPUTED_VALUE"""),"Non Urgent")</f>
        <v>Non Urgent</v>
      </c>
      <c r="P326" s="7">
        <f>IFERROR(__xludf.DUMMYFUNCTION("""COMPUTED_VALUE"""),45930.215076238426)</f>
        <v>45930.21508</v>
      </c>
    </row>
    <row r="327">
      <c r="A327" s="4">
        <f>IFERROR(__xludf.DUMMYFUNCTION("""COMPUTED_VALUE"""),45929.472361527776)</f>
        <v>45929.47236</v>
      </c>
      <c r="B327" s="3" t="str">
        <f>IFERROR(__xludf.DUMMYFUNCTION("""COMPUTED_VALUE"""),"ANOBR0036")</f>
        <v>ANOBR0036</v>
      </c>
      <c r="C327" s="3" t="str">
        <f>IFERROR(__xludf.DUMMYFUNCTION("""COMPUTED_VALUE"""),"Consumable")</f>
        <v>Consumable</v>
      </c>
      <c r="D327" s="3" t="str">
        <f>IFERROR(__xludf.DUMMYFUNCTION("""COMPUTED_VALUE"""),"-")</f>
        <v>-</v>
      </c>
      <c r="E327" s="3" t="str">
        <f>IFERROR(__xludf.DUMMYFUNCTION("""COMPUTED_VALUE"""),"instrumen Tap Density")</f>
        <v>instrumen Tap Density</v>
      </c>
      <c r="F327" s="3" t="str">
        <f>IFERROR(__xludf.DUMMYFUNCTION("""COMPUTED_VALUE"""),"gelas ukur 100ML")</f>
        <v>gelas ukur 100ML</v>
      </c>
      <c r="G327" s="3" t="str">
        <f>IFERROR(__xludf.DUMMYFUNCTION("""COMPUTED_VALUE"""),"Glass silinder 100 ml for tap density 1 sett")</f>
        <v>Glass silinder 100 ml for tap density 1 sett</v>
      </c>
      <c r="H327" s="3" t="str">
        <f>IFERROR(__xludf.DUMMYFUNCTION("""COMPUTED_VALUE"""),"WITEG")</f>
        <v>WITEG</v>
      </c>
      <c r="I327" s="3">
        <f>IFERROR(__xludf.DUMMYFUNCTION("""COMPUTED_VALUE"""),1.0)</f>
        <v>1</v>
      </c>
      <c r="J327" s="3" t="str">
        <f>IFERROR(__xludf.DUMMYFUNCTION("""COMPUTED_VALUE"""),"set")</f>
        <v>set</v>
      </c>
      <c r="K327" s="5" t="str">
        <f>IFERROR(__xludf.DUMMYFUNCTION("""COMPUTED_VALUE"""),"https://drive.google.com/drive/folders/1exOFlBI3URcQBdkbZnyll88NOViU8cQz?usp=drive_link")</f>
        <v>https://drive.google.com/drive/folders/1exOFlBI3URcQBdkbZnyll88NOViU8cQz?usp=drive_link</v>
      </c>
      <c r="L327" s="3" t="str">
        <f>IFERROR(__xludf.DUMMYFUNCTION("""COMPUTED_VALUE"""),"Untuk mengganti gelas ukur tap density yang pecah")</f>
        <v>Untuk mengganti gelas ukur tap density yang pecah</v>
      </c>
      <c r="M327" s="3" t="str">
        <f>IFERROR(__xludf.DUMMYFUNCTION("""COMPUTED_VALUE"""),"Approve")</f>
        <v>Approve</v>
      </c>
      <c r="N327" s="3" t="str">
        <f>IFERROR(__xludf.DUMMYFUNCTION("""COMPUTED_VALUE"""),"Normal")</f>
        <v>Normal</v>
      </c>
      <c r="O327" s="3" t="str">
        <f>IFERROR(__xludf.DUMMYFUNCTION("""COMPUTED_VALUE"""),"Non Urgent")</f>
        <v>Non Urgent</v>
      </c>
      <c r="P327" s="7">
        <f>IFERROR(__xludf.DUMMYFUNCTION("""COMPUTED_VALUE"""),45930.23315528935)</f>
        <v>45930.23316</v>
      </c>
    </row>
    <row r="328">
      <c r="A328" s="4">
        <f>IFERROR(__xludf.DUMMYFUNCTION("""COMPUTED_VALUE"""),45929.65036210648)</f>
        <v>45929.65036</v>
      </c>
      <c r="B328" s="3" t="str">
        <f>IFERROR(__xludf.DUMMYFUNCTION("""COMPUTED_VALUE"""),"AAABR0027")</f>
        <v>AAABR0027</v>
      </c>
      <c r="C328" s="3" t="str">
        <f>IFERROR(__xludf.DUMMYFUNCTION("""COMPUTED_VALUE"""),"EJO")</f>
        <v>EJO</v>
      </c>
      <c r="D328" s="3" t="str">
        <f>IFERROR(__xludf.DUMMYFUNCTION("""COMPUTED_VALUE"""),"EJO/2025/09/108")</f>
        <v>EJO/2025/09/108</v>
      </c>
      <c r="E328" s="3" t="str">
        <f>IFERROR(__xludf.DUMMYFUNCTION("""COMPUTED_VALUE"""),"meja inspeksi packhall")</f>
        <v>meja inspeksi packhall</v>
      </c>
      <c r="F328" s="3" t="str">
        <f>IFERROR(__xludf.DUMMYFUNCTION("""COMPUTED_VALUE"""),"oval cable duct")</f>
        <v>oval cable duct</v>
      </c>
      <c r="G328" s="3" t="str">
        <f>IFERROR(__xludf.DUMMYFUNCTION("""COMPUTED_VALUE"""),"50x15 mm ; PVC ; panjang 2.9 meter")</f>
        <v>50x15 mm ; PVC ; panjang 2.9 meter</v>
      </c>
      <c r="H328" s="3" t="str">
        <f>IFERROR(__xludf.DUMMYFUNCTION("""COMPUTED_VALUE"""),"Bebas")</f>
        <v>Bebas</v>
      </c>
      <c r="I328" s="3">
        <f>IFERROR(__xludf.DUMMYFUNCTION("""COMPUTED_VALUE"""),2.0)</f>
        <v>2</v>
      </c>
      <c r="J328" s="3" t="str">
        <f>IFERROR(__xludf.DUMMYFUNCTION("""COMPUTED_VALUE"""),"batang (@2.9 meter)")</f>
        <v>batang (@2.9 meter)</v>
      </c>
      <c r="K328" s="5" t="str">
        <f>IFERROR(__xludf.DUMMYFUNCTION("""COMPUTED_VALUE"""),"https://www.tokopedia.com/plasmajaya/kabel-duct-oval-50x15-floor-duct-50x15-panjang-2-9mtr")</f>
        <v>https://www.tokopedia.com/plasmajaya/kabel-duct-oval-50x15-floor-duct-50x15-panjang-2-9mtr</v>
      </c>
      <c r="L328" s="3" t="str">
        <f>IFERROR(__xludf.DUMMYFUNCTION("""COMPUTED_VALUE"""),"Needed date 29-Oct-25")</f>
        <v>Needed date 29-Oct-25</v>
      </c>
      <c r="M328" s="3" t="str">
        <f>IFERROR(__xludf.DUMMYFUNCTION("""COMPUTED_VALUE"""),"Approve")</f>
        <v>Approve</v>
      </c>
      <c r="N328" s="3" t="str">
        <f>IFERROR(__xludf.DUMMYFUNCTION("""COMPUTED_VALUE"""),"Normal")</f>
        <v>Normal</v>
      </c>
      <c r="O328" s="3" t="str">
        <f>IFERROR(__xludf.DUMMYFUNCTION("""COMPUTED_VALUE"""),"Non Urgent")</f>
        <v>Non Urgent</v>
      </c>
      <c r="P328" s="7">
        <f>IFERROR(__xludf.DUMMYFUNCTION("""COMPUTED_VALUE"""),45936.59789988426)</f>
        <v>45936.5979</v>
      </c>
    </row>
    <row r="329">
      <c r="A329" s="4">
        <f>IFERROR(__xludf.DUMMYFUNCTION("""COMPUTED_VALUE"""),45930.58295809028)</f>
        <v>45930.58296</v>
      </c>
      <c r="B329" s="3" t="str">
        <f>IFERROR(__xludf.DUMMYFUNCTION("""COMPUTED_VALUE"""),"NDSBR0029")</f>
        <v>NDSBR0029</v>
      </c>
      <c r="C329" s="3" t="str">
        <f>IFERROR(__xludf.DUMMYFUNCTION("""COMPUTED_VALUE"""),"EJO")</f>
        <v>EJO</v>
      </c>
      <c r="D329" s="3" t="str">
        <f>IFERROR(__xludf.DUMMYFUNCTION("""COMPUTED_VALUE"""),"EJO/2025/09/54")</f>
        <v>EJO/2025/09/54</v>
      </c>
      <c r="E329" s="3" t="str">
        <f>IFERROR(__xludf.DUMMYFUNCTION("""COMPUTED_VALUE"""),"Cytotoxic Cabinet")</f>
        <v>Cytotoxic Cabinet</v>
      </c>
      <c r="F329" s="3" t="str">
        <f>IFERROR(__xludf.DUMMYFUNCTION("""COMPUTED_VALUE"""),"Lampu TL-D")</f>
        <v>Lampu TL-D</v>
      </c>
      <c r="G329" s="3" t="str">
        <f>IFERROR(__xludf.DUMMYFUNCTION("""COMPUTED_VALUE"""),"TL-D 58 watt, 6500K, Panjang 1.5 meter")</f>
        <v>TL-D 58 watt, 6500K, Panjang 1.5 meter</v>
      </c>
      <c r="H329" s="3" t="str">
        <f>IFERROR(__xludf.DUMMYFUNCTION("""COMPUTED_VALUE"""),"-")</f>
        <v>-</v>
      </c>
      <c r="I329" s="3">
        <f>IFERROR(__xludf.DUMMYFUNCTION("""COMPUTED_VALUE"""),2.0)</f>
        <v>2</v>
      </c>
      <c r="J329" s="3" t="str">
        <f>IFERROR(__xludf.DUMMYFUNCTION("""COMPUTED_VALUE"""),"Pcs")</f>
        <v>Pcs</v>
      </c>
      <c r="K329" s="3" t="str">
        <f>IFERROR(__xludf.DUMMYFUNCTION("""COMPUTED_VALUE"""),"-")</f>
        <v>-</v>
      </c>
      <c r="L329" s="3" t="str">
        <f>IFERROR(__xludf.DUMMYFUNCTION("""COMPUTED_VALUE"""),"Warna Putih, contoh sudah di kirim lewat WA")</f>
        <v>Warna Putih, contoh sudah di kirim lewat WA</v>
      </c>
      <c r="M329" s="3" t="str">
        <f>IFERROR(__xludf.DUMMYFUNCTION("""COMPUTED_VALUE"""),"Approve")</f>
        <v>Approve</v>
      </c>
      <c r="N329" s="3" t="str">
        <f>IFERROR(__xludf.DUMMYFUNCTION("""COMPUTED_VALUE"""),"Normal")</f>
        <v>Normal</v>
      </c>
      <c r="O329" s="3" t="str">
        <f>IFERROR(__xludf.DUMMYFUNCTION("""COMPUTED_VALUE"""),"Non Urgent")</f>
        <v>Non Urgent</v>
      </c>
      <c r="P329" s="7">
        <f>IFERROR(__xludf.DUMMYFUNCTION("""COMPUTED_VALUE"""),45936.47978836806)</f>
        <v>45936.47979</v>
      </c>
    </row>
    <row r="330">
      <c r="A330" s="4">
        <f>IFERROR(__xludf.DUMMYFUNCTION("""COMPUTED_VALUE"""),45930.83123210648)</f>
        <v>45930.83123</v>
      </c>
      <c r="B330" s="3" t="str">
        <f>IFERROR(__xludf.DUMMYFUNCTION("""COMPUTED_VALUE"""),"ROSBR0042")</f>
        <v>ROSBR0042</v>
      </c>
      <c r="C330" s="3" t="str">
        <f>IFERROR(__xludf.DUMMYFUNCTION("""COMPUTED_VALUE"""),"EJO")</f>
        <v>EJO</v>
      </c>
      <c r="D330" s="3" t="str">
        <f>IFERROR(__xludf.DUMMYFUNCTION("""COMPUTED_VALUE"""),"EJO/2025/09/147")</f>
        <v>EJO/2025/09/147</v>
      </c>
      <c r="E330" s="3" t="str">
        <f>IFERROR(__xludf.DUMMYFUNCTION("""COMPUTED_VALUE"""),"Gloove tester  isolator Skan mikro")</f>
        <v>Gloove tester  isolator Skan mikro</v>
      </c>
      <c r="F330" s="3" t="str">
        <f>IFERROR(__xludf.DUMMYFUNCTION("""COMPUTED_VALUE"""),"F/panel valve")</f>
        <v>F/panel valve</v>
      </c>
      <c r="G330" s="3" t="str">
        <f>IFERROR(__xludf.DUMMYFUNCTION("""COMPUTED_VALUE"""),"SV-3-M5
material number : 6817")</f>
        <v>SV-3-M5
material number : 6817</v>
      </c>
      <c r="H330" s="3" t="str">
        <f>IFERROR(__xludf.DUMMYFUNCTION("""COMPUTED_VALUE"""),"Festo")</f>
        <v>Festo</v>
      </c>
      <c r="I330" s="3">
        <f>IFERROR(__xludf.DUMMYFUNCTION("""COMPUTED_VALUE"""),1.0)</f>
        <v>1</v>
      </c>
      <c r="J330" s="3" t="str">
        <f>IFERROR(__xludf.DUMMYFUNCTION("""COMPUTED_VALUE"""),"pcs")</f>
        <v>pcs</v>
      </c>
      <c r="K330" s="5" t="str">
        <f>IFERROR(__xludf.DUMMYFUNCTION("""COMPUTED_VALUE"""),"https://drive.google.com/file/d/1UK6XhCS3T0ni0bA983FEsNp6UNzYsakg/view?usp=drive_link")</f>
        <v>https://drive.google.com/file/d/1UK6XhCS3T0ni0bA983FEsNp6UNzYsakg/view?usp=drive_link</v>
      </c>
      <c r="L330" s="5" t="str">
        <f>IFERROR(__xludf.DUMMYFUNCTION("""COMPUTED_VALUE"""),"https://drive.google.com/file/d/1n0ES9dQQhP7dQRpPbnaiciy9eHvEvTOV/view?usp=drive_link")</f>
        <v>https://drive.google.com/file/d/1n0ES9dQQhP7dQRpPbnaiciy9eHvEvTOV/view?usp=drive_link</v>
      </c>
      <c r="M330" s="3" t="str">
        <f>IFERROR(__xludf.DUMMYFUNCTION("""COMPUTED_VALUE"""),"Approve")</f>
        <v>Approve</v>
      </c>
      <c r="N330" s="3" t="str">
        <f>IFERROR(__xludf.DUMMYFUNCTION("""COMPUTED_VALUE"""),"Normal")</f>
        <v>Normal</v>
      </c>
      <c r="O330" s="3" t="str">
        <f>IFERROR(__xludf.DUMMYFUNCTION("""COMPUTED_VALUE"""),"Non Urgent")</f>
        <v>Non Urgent</v>
      </c>
      <c r="P330" s="7">
        <f>IFERROR(__xludf.DUMMYFUNCTION("""COMPUTED_VALUE"""),45936.582627592594)</f>
        <v>45936.58263</v>
      </c>
    </row>
    <row r="331">
      <c r="A331" s="4">
        <f>IFERROR(__xludf.DUMMYFUNCTION("""COMPUTED_VALUE"""),45931.70556581019)</f>
        <v>45931.70557</v>
      </c>
      <c r="B331" s="3" t="str">
        <f>IFERROR(__xludf.DUMMYFUNCTION("""COMPUTED_VALUE"""),"ANOBR0037")</f>
        <v>ANOBR0037</v>
      </c>
      <c r="C331" s="3" t="str">
        <f>IFERROR(__xludf.DUMMYFUNCTION("""COMPUTED_VALUE"""),"Consumable")</f>
        <v>Consumable</v>
      </c>
      <c r="D331" s="3" t="str">
        <f>IFERROR(__xludf.DUMMYFUNCTION("""COMPUTED_VALUE"""),"-")</f>
        <v>-</v>
      </c>
      <c r="E331" s="3" t="str">
        <f>IFERROR(__xludf.DUMMYFUNCTION("""COMPUTED_VALUE"""),"Instrumen Moisture")</f>
        <v>Instrumen Moisture</v>
      </c>
      <c r="F331" s="3" t="str">
        <f>IFERROR(__xludf.DUMMYFUNCTION("""COMPUTED_VALUE"""),"alat perata sample granul")</f>
        <v>alat perata sample granul</v>
      </c>
      <c r="G331" s="3" t="str">
        <f>IFERROR(__xludf.DUMMYFUNCTION("""COMPUTED_VALUE"""),"Spesifikasi sudah tertera di penawaran")</f>
        <v>Spesifikasi sudah tertera di penawaran</v>
      </c>
      <c r="H331" s="3" t="str">
        <f>IFERROR(__xludf.DUMMYFUNCTION("""COMPUTED_VALUE"""),"-")</f>
        <v>-</v>
      </c>
      <c r="I331" s="3">
        <f>IFERROR(__xludf.DUMMYFUNCTION("""COMPUTED_VALUE"""),1.0)</f>
        <v>1</v>
      </c>
      <c r="J331" s="3" t="str">
        <f>IFERROR(__xludf.DUMMYFUNCTION("""COMPUTED_VALUE"""),"pcs")</f>
        <v>pcs</v>
      </c>
      <c r="K331" s="5" t="str">
        <f>IFERROR(__xludf.DUMMYFUNCTION("""COMPUTED_VALUE"""),"https://drive.google.com/drive/folders/1Yrt7EVI1vpAQTjI8F7WYEsua1ukIsdl-?usp=drive_link")</f>
        <v>https://drive.google.com/drive/folders/1Yrt7EVI1vpAQTjI8F7WYEsua1ukIsdl-?usp=drive_link</v>
      </c>
      <c r="L331" s="3" t="str">
        <f>IFERROR(__xludf.DUMMYFUNCTION("""COMPUTED_VALUE"""),"untuk keperluan meratakan sample granul di moisture test")</f>
        <v>untuk keperluan meratakan sample granul di moisture test</v>
      </c>
      <c r="M331" s="3" t="str">
        <f>IFERROR(__xludf.DUMMYFUNCTION("""COMPUTED_VALUE"""),"Approve")</f>
        <v>Approve</v>
      </c>
      <c r="N331" s="3" t="str">
        <f>IFERROR(__xludf.DUMMYFUNCTION("""COMPUTED_VALUE"""),"Normal")</f>
        <v>Normal</v>
      </c>
      <c r="O331" s="3" t="str">
        <f>IFERROR(__xludf.DUMMYFUNCTION("""COMPUTED_VALUE"""),"Non Urgent")</f>
        <v>Non Urgent</v>
      </c>
      <c r="P331" s="7">
        <f>IFERROR(__xludf.DUMMYFUNCTION("""COMPUTED_VALUE"""),45936.57750832176)</f>
        <v>45936.57751</v>
      </c>
    </row>
    <row r="332">
      <c r="A332" s="4">
        <f>IFERROR(__xludf.DUMMYFUNCTION("""COMPUTED_VALUE"""),45931.866243749995)</f>
        <v>45931.86624</v>
      </c>
      <c r="B332" s="3" t="str">
        <f>IFERROR(__xludf.DUMMYFUNCTION("""COMPUTED_VALUE"""),"MRNBR0073")</f>
        <v>MRNBR0073</v>
      </c>
      <c r="C332" s="3" t="str">
        <f>IFERROR(__xludf.DUMMYFUNCTION("""COMPUTED_VALUE"""),"EJO")</f>
        <v>EJO</v>
      </c>
      <c r="D332" s="3" t="str">
        <f>IFERROR(__xludf.DUMMYFUNCTION("""COMPUTED_VALUE"""),"EJO/2025/09/123")</f>
        <v>EJO/2025/09/123</v>
      </c>
      <c r="E332" s="3" t="str">
        <f>IFERROR(__xludf.DUMMYFUNCTION("""COMPUTED_VALUE"""),"WFI skid")</f>
        <v>WFI skid</v>
      </c>
      <c r="F332" s="3" t="str">
        <f>IFERROR(__xludf.DUMMYFUNCTION("""COMPUTED_VALUE"""),"Regulator")</f>
        <v>Regulator</v>
      </c>
      <c r="G332" s="3" t="str">
        <f>IFERROR(__xludf.DUMMYFUNCTION("""COMPUTED_VALUE"""),"AR20 - F02G")</f>
        <v>AR20 - F02G</v>
      </c>
      <c r="H332" s="3" t="str">
        <f>IFERROR(__xludf.DUMMYFUNCTION("""COMPUTED_VALUE"""),"SMC")</f>
        <v>SMC</v>
      </c>
      <c r="I332" s="3">
        <f>IFERROR(__xludf.DUMMYFUNCTION("""COMPUTED_VALUE"""),2.0)</f>
        <v>2</v>
      </c>
      <c r="J332" s="3" t="str">
        <f>IFERROR(__xludf.DUMMYFUNCTION("""COMPUTED_VALUE"""),"pcs")</f>
        <v>pcs</v>
      </c>
      <c r="K332" s="5" t="str">
        <f>IFERROR(__xludf.DUMMYFUNCTION("""COMPUTED_VALUE"""),"https://www.smcpneumatics.com/AR20-F02G-B.html")</f>
        <v>https://www.smcpneumatics.com/AR20-F02G-B.html</v>
      </c>
      <c r="L332" s="3" t="str">
        <f>IFERROR(__xludf.DUMMYFUNCTION("""COMPUTED_VALUE"""),"regulator bocor WFI skid")</f>
        <v>regulator bocor WFI skid</v>
      </c>
      <c r="M332" s="3" t="str">
        <f>IFERROR(__xludf.DUMMYFUNCTION("""COMPUTED_VALUE"""),"Approve")</f>
        <v>Approve</v>
      </c>
      <c r="N332" s="3" t="str">
        <f>IFERROR(__xludf.DUMMYFUNCTION("""COMPUTED_VALUE"""),"Normal")</f>
        <v>Normal</v>
      </c>
      <c r="O332" s="3" t="str">
        <f>IFERROR(__xludf.DUMMYFUNCTION("""COMPUTED_VALUE"""),"Non Urgent")</f>
        <v>Non Urgent</v>
      </c>
      <c r="P332" s="7">
        <f>IFERROR(__xludf.DUMMYFUNCTION("""COMPUTED_VALUE"""),45937.65184988426)</f>
        <v>45937.65185</v>
      </c>
    </row>
    <row r="333">
      <c r="A333" s="4">
        <f>IFERROR(__xludf.DUMMYFUNCTION("""COMPUTED_VALUE"""),45937.65862320602)</f>
        <v>45937.65862</v>
      </c>
      <c r="B333" s="3" t="str">
        <f>IFERROR(__xludf.DUMMYFUNCTION("""COMPUTED_VALUE"""),"RIABR0105")</f>
        <v>RIABR0105</v>
      </c>
      <c r="C333" s="3" t="str">
        <f>IFERROR(__xludf.DUMMYFUNCTION("""COMPUTED_VALUE"""),"Consumable")</f>
        <v>Consumable</v>
      </c>
      <c r="D333" s="3" t="str">
        <f>IFERROR(__xludf.DUMMYFUNCTION("""COMPUTED_VALUE"""),"-")</f>
        <v>-</v>
      </c>
      <c r="E333" s="3" t="str">
        <f>IFERROR(__xludf.DUMMYFUNCTION("""COMPUTED_VALUE"""),"Controll")</f>
        <v>Controll</v>
      </c>
      <c r="F333" s="3" t="str">
        <f>IFERROR(__xludf.DUMMYFUNCTION("""COMPUTED_VALUE"""),"Relay")</f>
        <v>Relay</v>
      </c>
      <c r="G333" s="3" t="str">
        <f>IFERROR(__xludf.DUMMYFUNCTION("""COMPUTED_VALUE"""),"relay omron my2/my2n 24vac 8 kaki original/relay my2n 24vac original - pakai socket")</f>
        <v>relay omron my2/my2n 24vac 8 kaki original/relay my2n 24vac original - pakai socket</v>
      </c>
      <c r="H333" s="3" t="str">
        <f>IFERROR(__xludf.DUMMYFUNCTION("""COMPUTED_VALUE"""),"Omron")</f>
        <v>Omron</v>
      </c>
      <c r="I333" s="3">
        <f>IFERROR(__xludf.DUMMYFUNCTION("""COMPUTED_VALUE"""),10.0)</f>
        <v>10</v>
      </c>
      <c r="J333" s="3" t="str">
        <f>IFERROR(__xludf.DUMMYFUNCTION("""COMPUTED_VALUE"""),"Pcs")</f>
        <v>Pcs</v>
      </c>
      <c r="K333" s="5" t="str">
        <f>IFERROR(__xludf.DUMMYFUNCTION("""COMPUTED_VALUE"""),"tokopedia.com/maha-shop-grosir/relay-omron-my2-my2n-24vac-8-kaki-original-relay-my2n-24vac-original-1730153404901983435?extParam=ivf%3Dfalse%26keyword%3Drelay+omron+24+vac%26search_id%3D20251007084519577BCC914F9E55008BKV%26src%3Dsearch&amp;t_id=1759826728912&amp;"&amp;"t_st=1&amp;t_pp=search_result&amp;t_efo=search_pure_goods_card&amp;t_ef=goods_search&amp;t_sm=&amp;t_spt=search_result")</f>
        <v>tokopedia.com/maha-shop-grosir/relay-omron-my2-my2n-24vac-8-kaki-original-relay-my2n-24vac-original-1730153404901983435?extParam=ivf%3Dfalse%26keyword%3Drelay+omron+24+vac%26search_id%3D20251007084519577BCC914F9E55008BKV%26src%3Dsearch&amp;t_id=1759826728912&amp;t_st=1&amp;t_pp=search_result&amp;t_efo=search_pure_goods_card&amp;t_ef=goods_search&amp;t_sm=&amp;t_spt=search_result</v>
      </c>
      <c r="L333" s="3" t="str">
        <f>IFERROR(__xludf.DUMMYFUNCTION("""COMPUTED_VALUE"""),"Untuk penggantian relay buat controll heater di beberapa tempat makai 24 VAC, VAC ya dil bukan VDC")</f>
        <v>Untuk penggantian relay buat controll heater di beberapa tempat makai 24 VAC, VAC ya dil bukan VDC</v>
      </c>
      <c r="M333" s="3" t="str">
        <f>IFERROR(__xludf.DUMMYFUNCTION("""COMPUTED_VALUE"""),"Approve")</f>
        <v>Approve</v>
      </c>
      <c r="N333" s="3" t="str">
        <f>IFERROR(__xludf.DUMMYFUNCTION("""COMPUTED_VALUE"""),"Normal")</f>
        <v>Normal</v>
      </c>
      <c r="O333" s="3" t="str">
        <f>IFERROR(__xludf.DUMMYFUNCTION("""COMPUTED_VALUE"""),"Non Urgent")</f>
        <v>Non Urgent</v>
      </c>
      <c r="P333" s="7">
        <f>IFERROR(__xludf.DUMMYFUNCTION("""COMPUTED_VALUE"""),45943.98748982639)</f>
        <v>45943.98749</v>
      </c>
    </row>
    <row r="334">
      <c r="A334" s="4">
        <f>IFERROR(__xludf.DUMMYFUNCTION("""COMPUTED_VALUE"""),45938.42526802083)</f>
        <v>45938.42527</v>
      </c>
      <c r="B334" s="3" t="str">
        <f>IFERROR(__xludf.DUMMYFUNCTION("""COMPUTED_VALUE"""),"RIABR0106")</f>
        <v>RIABR0106</v>
      </c>
      <c r="C334" s="3" t="str">
        <f>IFERROR(__xludf.DUMMYFUNCTION("""COMPUTED_VALUE"""),"Consumable")</f>
        <v>Consumable</v>
      </c>
      <c r="D334" s="3" t="str">
        <f>IFERROR(__xludf.DUMMYFUNCTION("""COMPUTED_VALUE"""),"-")</f>
        <v>-</v>
      </c>
      <c r="E334" s="3" t="str">
        <f>IFERROR(__xludf.DUMMYFUNCTION("""COMPUTED_VALUE"""),"Granulasi")</f>
        <v>Granulasi</v>
      </c>
      <c r="F334" s="3" t="str">
        <f>IFERROR(__xludf.DUMMYFUNCTION("""COMPUTED_VALUE"""),"Gasket")</f>
        <v>Gasket</v>
      </c>
      <c r="G334" s="3" t="str">
        <f>IFERROR(__xludf.DUMMYFUNCTION("""COMPUTED_VALUE"""),"Gasket / Seal untuk Ferrule Sanitary
Ukuran : 8 "" inchi
Untuk Ferrule Flange 217 mm
Bahan : Teflon 
Rating : Foodgrade")</f>
        <v>Gasket / Seal untuk Ferrule Sanitary
Ukuran : 8 " inchi
Untuk Ferrule Flange 217 mm
Bahan : Teflon 
Rating : Foodgrade</v>
      </c>
      <c r="H334" s="3" t="str">
        <f>IFERROR(__xludf.DUMMYFUNCTION("""COMPUTED_VALUE"""),"Lokal")</f>
        <v>Lokal</v>
      </c>
      <c r="I334" s="3">
        <f>IFERROR(__xludf.DUMMYFUNCTION("""COMPUTED_VALUE"""),5.0)</f>
        <v>5</v>
      </c>
      <c r="J334" s="3" t="str">
        <f>IFERROR(__xludf.DUMMYFUNCTION("""COMPUTED_VALUE"""),"Pcs")</f>
        <v>Pcs</v>
      </c>
      <c r="K334" s="5" t="str">
        <f>IFERROR(__xludf.DUMMYFUNCTION("""COMPUTED_VALUE"""),"https://www.tokopedia.com/nusanjadi/gasket-seal-ferrule-ptfe-teflon-sanitary-8-inchi-flange-217-mm?extParam=ivf%3Dfalse%26keyword%3Dgasket+ferrule+8+inch+%26search_id%3D2025100803103611B9842E0A271F090SXI%26src%3Dsearch&amp;t_id=1759893064107&amp;t_st=1&amp;t_pp=searc"&amp;"h_result&amp;t_efo=search_pure_goods_card&amp;t_ef=goods_search&amp;t_sm=&amp;t_spt=search_result")</f>
        <v>https://www.tokopedia.com/nusanjadi/gasket-seal-ferrule-ptfe-teflon-sanitary-8-inchi-flange-217-mm?extParam=ivf%3Dfalse%26keyword%3Dgasket+ferrule+8+inch+%26search_id%3D2025100803103611B9842E0A271F090SXI%26src%3Dsearch&amp;t_id=1759893064107&amp;t_st=1&amp;t_pp=search_result&amp;t_efo=search_pure_goods_card&amp;t_ef=goods_search&amp;t_sm=&amp;t_spt=search_result</v>
      </c>
      <c r="L334" s="3" t="str">
        <f>IFERROR(__xludf.DUMMYFUNCTION("""COMPUTED_VALUE"""),"Untuk Gasket Granulasi")</f>
        <v>Untuk Gasket Granulasi</v>
      </c>
      <c r="M334" s="3" t="str">
        <f>IFERROR(__xludf.DUMMYFUNCTION("""COMPUTED_VALUE"""),"Approve")</f>
        <v>Approve</v>
      </c>
      <c r="N334" s="3" t="str">
        <f>IFERROR(__xludf.DUMMYFUNCTION("""COMPUTED_VALUE"""),"Normal")</f>
        <v>Normal</v>
      </c>
      <c r="O334" s="3" t="str">
        <f>IFERROR(__xludf.DUMMYFUNCTION("""COMPUTED_VALUE"""),"Non Urgent")</f>
        <v>Non Urgent</v>
      </c>
      <c r="P334" s="7">
        <f>IFERROR(__xludf.DUMMYFUNCTION("""COMPUTED_VALUE"""),45944.98400138889)</f>
        <v>45944.984</v>
      </c>
    </row>
    <row r="335">
      <c r="A335" s="4">
        <f>IFERROR(__xludf.DUMMYFUNCTION("""COMPUTED_VALUE"""),45938.42963164352)</f>
        <v>45938.42963</v>
      </c>
      <c r="B335" s="3" t="str">
        <f>IFERROR(__xludf.DUMMYFUNCTION("""COMPUTED_VALUE"""),"RIABR0107")</f>
        <v>RIABR0107</v>
      </c>
      <c r="C335" s="3" t="str">
        <f>IFERROR(__xludf.DUMMYFUNCTION("""COMPUTED_VALUE"""),"EJO")</f>
        <v>EJO</v>
      </c>
      <c r="D335" s="3" t="str">
        <f>IFERROR(__xludf.DUMMYFUNCTION("""COMPUTED_VALUE"""),"EJO/2025/08/170")</f>
        <v>EJO/2025/08/170</v>
      </c>
      <c r="E335" s="3" t="str">
        <f>IFERROR(__xludf.DUMMYFUNCTION("""COMPUTED_VALUE"""),"Granulasi")</f>
        <v>Granulasi</v>
      </c>
      <c r="F335" s="3" t="str">
        <f>IFERROR(__xludf.DUMMYFUNCTION("""COMPUTED_VALUE"""),"Flexible Hose")</f>
        <v>Flexible Hose</v>
      </c>
      <c r="G335" s="3" t="str">
        <f>IFERROR(__xludf.DUMMYFUNCTION("""COMPUTED_VALUE"""),"Flexible Hose BIN 150L")</f>
        <v>Flexible Hose BIN 150L</v>
      </c>
      <c r="H335" s="3" t="str">
        <f>IFERROR(__xludf.DUMMYFUNCTION("""COMPUTED_VALUE"""),"GEA")</f>
        <v>GEA</v>
      </c>
      <c r="I335" s="3">
        <f>IFERROR(__xludf.DUMMYFUNCTION("""COMPUTED_VALUE"""),1.0)</f>
        <v>1</v>
      </c>
      <c r="J335" s="3" t="str">
        <f>IFERROR(__xludf.DUMMYFUNCTION("""COMPUTED_VALUE"""),"Pcs")</f>
        <v>Pcs</v>
      </c>
      <c r="K335" s="3" t="str">
        <f>IFERROR(__xludf.DUMMYFUNCTION("""COMPUTED_VALUE"""),"BIN 150L")</f>
        <v>BIN 150L</v>
      </c>
      <c r="L335" s="3" t="str">
        <f>IFERROR(__xludf.DUMMYFUNCTION("""COMPUTED_VALUE"""),"Untuk BIN 150L yang rusak flexible hose nya, tolong carikan penawaran ya dhil")</f>
        <v>Untuk BIN 150L yang rusak flexible hose nya, tolong carikan penawaran ya dhil</v>
      </c>
      <c r="M335" s="3" t="str">
        <f>IFERROR(__xludf.DUMMYFUNCTION("""COMPUTED_VALUE"""),"Approve")</f>
        <v>Approve</v>
      </c>
      <c r="N335" s="3" t="str">
        <f>IFERROR(__xludf.DUMMYFUNCTION("""COMPUTED_VALUE"""),"Normal")</f>
        <v>Normal</v>
      </c>
      <c r="O335" s="3" t="str">
        <f>IFERROR(__xludf.DUMMYFUNCTION("""COMPUTED_VALUE"""),"Non Urgent")</f>
        <v>Non Urgent</v>
      </c>
      <c r="P335" s="7">
        <f>IFERROR(__xludf.DUMMYFUNCTION("""COMPUTED_VALUE"""),45944.98373422454)</f>
        <v>45944.98373</v>
      </c>
    </row>
    <row r="336">
      <c r="A336" s="4">
        <f>IFERROR(__xludf.DUMMYFUNCTION("""COMPUTED_VALUE"""),45938.64512349537)</f>
        <v>45938.64512</v>
      </c>
      <c r="B336" s="3" t="str">
        <f>IFERROR(__xludf.DUMMYFUNCTION("""COMPUTED_VALUE"""),"MRNBR0074")</f>
        <v>MRNBR0074</v>
      </c>
      <c r="C336" s="3" t="str">
        <f>IFERROR(__xludf.DUMMYFUNCTION("""COMPUTED_VALUE"""),"EJO")</f>
        <v>EJO</v>
      </c>
      <c r="D336" s="3" t="str">
        <f>IFERROR(__xludf.DUMMYFUNCTION("""COMPUTED_VALUE"""),"EJO/2025/08/144")</f>
        <v>EJO/2025/08/144</v>
      </c>
      <c r="E336" s="3" t="str">
        <f>IFERROR(__xludf.DUMMYFUNCTION("""COMPUTED_VALUE"""),"cooling water ")</f>
        <v>cooling water </v>
      </c>
      <c r="F336" s="3" t="str">
        <f>IFERROR(__xludf.DUMMYFUNCTION("""COMPUTED_VALUE"""),"body valve")</f>
        <v>body valve</v>
      </c>
      <c r="G336" s="3" t="str">
        <f>IFERROR(__xludf.DUMMYFUNCTION("""COMPUTED_VALUE"""),"vv42. 100")</f>
        <v>vv42. 100</v>
      </c>
      <c r="H336" s="3" t="str">
        <f>IFERROR(__xludf.DUMMYFUNCTION("""COMPUTED_VALUE"""),"Siemens")</f>
        <v>Siemens</v>
      </c>
      <c r="I336" s="3">
        <f>IFERROR(__xludf.DUMMYFUNCTION("""COMPUTED_VALUE"""),1.0)</f>
        <v>1</v>
      </c>
      <c r="J336" s="3" t="str">
        <f>IFERROR(__xludf.DUMMYFUNCTION("""COMPUTED_VALUE"""),"pcs")</f>
        <v>pcs</v>
      </c>
      <c r="K336" s="5" t="str">
        <f>IFERROR(__xludf.DUMMYFUNCTION("""COMPUTED_VALUE"""),"https://drive.google.com/file/d/19J_4-brYnzn3fjOf5Y_EbUPBYblHK4Hv/view?usp=drivesdk")</f>
        <v>https://drive.google.com/file/d/19J_4-brYnzn3fjOf5Y_EbUPBYblHK4Hv/view?usp=drivesdk</v>
      </c>
      <c r="L336" s="3" t="str">
        <f>IFERROR(__xludf.DUMMYFUNCTION("""COMPUTED_VALUE"""),"macet body valve cooling water ")</f>
        <v>macet body valve cooling water </v>
      </c>
      <c r="M336" s="3" t="str">
        <f>IFERROR(__xludf.DUMMYFUNCTION("""COMPUTED_VALUE"""),"Approve")</f>
        <v>Approve</v>
      </c>
      <c r="N336" s="3" t="str">
        <f>IFERROR(__xludf.DUMMYFUNCTION("""COMPUTED_VALUE"""),"Normal")</f>
        <v>Normal</v>
      </c>
      <c r="O336" s="3" t="str">
        <f>IFERROR(__xludf.DUMMYFUNCTION("""COMPUTED_VALUE"""),"Non Urgent")</f>
        <v>Non Urgent</v>
      </c>
      <c r="P336" s="7">
        <f>IFERROR(__xludf.DUMMYFUNCTION("""COMPUTED_VALUE"""),45944.9819063426)</f>
        <v>45944.98191</v>
      </c>
    </row>
    <row r="337">
      <c r="A337" s="4">
        <f>IFERROR(__xludf.DUMMYFUNCTION("""COMPUTED_VALUE"""),45938.64786121527)</f>
        <v>45938.64786</v>
      </c>
      <c r="B337" s="3" t="str">
        <f>IFERROR(__xludf.DUMMYFUNCTION("""COMPUTED_VALUE"""),"MRNBR0075")</f>
        <v>MRNBR0075</v>
      </c>
      <c r="C337" s="3" t="str">
        <f>IFERROR(__xludf.DUMMYFUNCTION("""COMPUTED_VALUE"""),"EJO")</f>
        <v>EJO</v>
      </c>
      <c r="D337" s="3" t="str">
        <f>IFERROR(__xludf.DUMMYFUNCTION("""COMPUTED_VALUE"""),"EJO/2025/08/144")</f>
        <v>EJO/2025/08/144</v>
      </c>
      <c r="E337" s="3" t="str">
        <f>IFERROR(__xludf.DUMMYFUNCTION("""COMPUTED_VALUE"""),"facd")</f>
        <v>facd</v>
      </c>
      <c r="F337" s="3" t="str">
        <f>IFERROR(__xludf.DUMMYFUNCTION("""COMPUTED_VALUE"""),"body valve")</f>
        <v>body valve</v>
      </c>
      <c r="G337" s="3" t="str">
        <f>IFERROR(__xludf.DUMMYFUNCTION("""COMPUTED_VALUE"""),"vv42. 80")</f>
        <v>vv42. 80</v>
      </c>
      <c r="H337" s="3" t="str">
        <f>IFERROR(__xludf.DUMMYFUNCTION("""COMPUTED_VALUE"""),"Siemens")</f>
        <v>Siemens</v>
      </c>
      <c r="I337" s="3">
        <f>IFERROR(__xludf.DUMMYFUNCTION("""COMPUTED_VALUE"""),1.0)</f>
        <v>1</v>
      </c>
      <c r="J337" s="3" t="str">
        <f>IFERROR(__xludf.DUMMYFUNCTION("""COMPUTED_VALUE"""),"pcs")</f>
        <v>pcs</v>
      </c>
      <c r="K337" s="5" t="str">
        <f>IFERROR(__xludf.DUMMYFUNCTION("""COMPUTED_VALUE"""),"https://drive.google.com/file/d/19J_4-brYnzn3fjOf5Y_EbUPBYblHK4Hv/view?usp=drivesdk")</f>
        <v>https://drive.google.com/file/d/19J_4-brYnzn3fjOf5Y_EbUPBYblHK4Hv/view?usp=drivesdk</v>
      </c>
      <c r="L337" s="3" t="str">
        <f>IFERROR(__xludf.DUMMYFUNCTION("""COMPUTED_VALUE"""),"macet body valve facd")</f>
        <v>macet body valve facd</v>
      </c>
      <c r="M337" s="3" t="str">
        <f>IFERROR(__xludf.DUMMYFUNCTION("""COMPUTED_VALUE"""),"Approve")</f>
        <v>Approve</v>
      </c>
      <c r="N337" s="3" t="str">
        <f>IFERROR(__xludf.DUMMYFUNCTION("""COMPUTED_VALUE"""),"Normal")</f>
        <v>Normal</v>
      </c>
      <c r="O337" s="3" t="str">
        <f>IFERROR(__xludf.DUMMYFUNCTION("""COMPUTED_VALUE"""),"Non Urgent")</f>
        <v>Non Urgent</v>
      </c>
      <c r="P337" s="7">
        <f>IFERROR(__xludf.DUMMYFUNCTION("""COMPUTED_VALUE"""),45944.98168372685)</f>
        <v>45944.98168</v>
      </c>
    </row>
    <row r="338">
      <c r="A338" s="4">
        <f>IFERROR(__xludf.DUMMYFUNCTION("""COMPUTED_VALUE"""),45938.666689837955)</f>
        <v>45938.66669</v>
      </c>
      <c r="B338" s="3" t="str">
        <f>IFERROR(__xludf.DUMMYFUNCTION("""COMPUTED_VALUE"""),"RIABR0108")</f>
        <v>RIABR0108</v>
      </c>
      <c r="C338" s="3" t="str">
        <f>IFERROR(__xludf.DUMMYFUNCTION("""COMPUTED_VALUE"""),"EJO")</f>
        <v>EJO</v>
      </c>
      <c r="D338" s="3" t="str">
        <f>IFERROR(__xludf.DUMMYFUNCTION("""COMPUTED_VALUE"""),"EJO/2025/10/40")</f>
        <v>EJO/2025/10/40</v>
      </c>
      <c r="E338" s="3" t="str">
        <f>IFERROR(__xludf.DUMMYFUNCTION("""COMPUTED_VALUE"""),"WWTP")</f>
        <v>WWTP</v>
      </c>
      <c r="F338" s="3" t="str">
        <f>IFERROR(__xludf.DUMMYFUNCTION("""COMPUTED_VALUE"""),"Level Switch")</f>
        <v>Level Switch</v>
      </c>
      <c r="G338" s="3" t="str">
        <f>IFERROR(__xludf.DUMMYFUNCTION("""COMPUTED_VALUE"""),"VERTICAL FLOAT LEVEL SWITCH 1 8.500.000,00 8.500.000,00
Brand WINGEL
Model VSP-2FJ-S4-L1000-FPP45-CU4
Material Flange = PVC
Tube = PVC + Stainless Steel
Float = PP
Conn 2""Flange JIS10K
Enclosure PP+30% Glass Fiber IP66
Output 2 x SPST Contact
"&amp;"Rating 1A, 400 VAC/DC
Length 1100mm
C/W CONTROL UNIT
Model CU-4
Output Relay 4 x SPDT")</f>
        <v>VERTICAL FLOAT LEVEL SWITCH 1 8.500.000,00 8.500.000,00
Brand WINGEL
Model VSP-2FJ-S4-L1000-FPP45-CU4
Material Flange = PVC
Tube = PVC + Stainless Steel
Float = PP
Conn 2"Flange JIS10K
Enclosure PP+30% Glass Fiber IP66
Output 2 x SPST Contact
Rating 1A, 400 VAC/DC
Length 1100mm
C/W CONTROL UNIT
Model CU-4
Output Relay 4 x SPDT</v>
      </c>
      <c r="H338" s="3" t="str">
        <f>IFERROR(__xludf.DUMMYFUNCTION("""COMPUTED_VALUE"""),"Wingel")</f>
        <v>Wingel</v>
      </c>
      <c r="I338" s="3">
        <f>IFERROR(__xludf.DUMMYFUNCTION("""COMPUTED_VALUE"""),1.0)</f>
        <v>1</v>
      </c>
      <c r="J338" s="3" t="str">
        <f>IFERROR(__xludf.DUMMYFUNCTION("""COMPUTED_VALUE"""),"Set")</f>
        <v>Set</v>
      </c>
      <c r="K338" s="3" t="str">
        <f>IFERROR(__xludf.DUMMYFUNCTION("""COMPUTED_VALUE"""),"QUOTATION-VSP-4Contact-CU4-FLANGE-1100mm-PT FONKO PHARMA-0810-2025.pdf")</f>
        <v>QUOTATION-VSP-4Contact-CU4-FLANGE-1100mm-PT FONKO PHARMA-0810-2025.pdf</v>
      </c>
      <c r="L338" s="3" t="str">
        <f>IFERROR(__xludf.DUMMYFUNCTION("""COMPUTED_VALUE"""),"Level switch buat reaktor 2 WWTP")</f>
        <v>Level switch buat reaktor 2 WWTP</v>
      </c>
      <c r="M338" s="3" t="str">
        <f>IFERROR(__xludf.DUMMYFUNCTION("""COMPUTED_VALUE"""),"Approve")</f>
        <v>Approve</v>
      </c>
      <c r="N338" s="3" t="str">
        <f>IFERROR(__xludf.DUMMYFUNCTION("""COMPUTED_VALUE"""),"Normal")</f>
        <v>Normal</v>
      </c>
      <c r="O338" s="3" t="str">
        <f>IFERROR(__xludf.DUMMYFUNCTION("""COMPUTED_VALUE"""),"Non Urgent")</f>
        <v>Non Urgent</v>
      </c>
      <c r="P338" s="7">
        <f>IFERROR(__xludf.DUMMYFUNCTION("""COMPUTED_VALUE"""),46202.91992973379)</f>
        <v>46202.91993</v>
      </c>
    </row>
    <row r="339">
      <c r="A339" s="4">
        <f>IFERROR(__xludf.DUMMYFUNCTION("""COMPUTED_VALUE"""),45944.843428541666)</f>
        <v>45944.84343</v>
      </c>
      <c r="B339" s="3" t="str">
        <f>IFERROR(__xludf.DUMMYFUNCTION("""COMPUTED_VALUE"""),"SFHBR0035")</f>
        <v>SFHBR0035</v>
      </c>
      <c r="C339" s="3" t="str">
        <f>IFERROR(__xludf.DUMMYFUNCTION("""COMPUTED_VALUE"""),"Consumable")</f>
        <v>Consumable</v>
      </c>
      <c r="D339" s="3" t="str">
        <f>IFERROR(__xludf.DUMMYFUNCTION("""COMPUTED_VALUE"""),"-")</f>
        <v>-</v>
      </c>
      <c r="E339" s="3" t="str">
        <f>IFERROR(__xludf.DUMMYFUNCTION("""COMPUTED_VALUE"""),"lantai 2")</f>
        <v>lantai 2</v>
      </c>
      <c r="F339" s="3" t="str">
        <f>IFERROR(__xludf.DUMMYFUNCTION("""COMPUTED_VALUE"""),"WD-40 Specialist® Chain Lube 360ml - Pelumas Rantai Syntetic")</f>
        <v>WD-40 Specialist® Chain Lube 360ml - Pelumas Rantai Syntetic</v>
      </c>
      <c r="G339" s="3" t="str">
        <f>IFERROR(__xludf.DUMMYFUNCTION("""COMPUTED_VALUE"""),"WD-40 Specialist® Chain Lube 360ml - Pelumas Rantai Syntetic")</f>
        <v>WD-40 Specialist® Chain Lube 360ml - Pelumas Rantai Syntetic</v>
      </c>
      <c r="H339" s="3" t="str">
        <f>IFERROR(__xludf.DUMMYFUNCTION("""COMPUTED_VALUE"""),"WD-40")</f>
        <v>WD-40</v>
      </c>
      <c r="I339" s="3">
        <f>IFERROR(__xludf.DUMMYFUNCTION("""COMPUTED_VALUE"""),3.0)</f>
        <v>3</v>
      </c>
      <c r="J339" s="3" t="str">
        <f>IFERROR(__xludf.DUMMYFUNCTION("""COMPUTED_VALUE"""),"pcs")</f>
        <v>pcs</v>
      </c>
      <c r="K339" s="5" t="str">
        <f>IFERROR(__xludf.DUMMYFUNCTION("""COMPUTED_VALUE"""),"https://tk.tokopedia.com/ZSU5kPmdm/")</f>
        <v>https://tk.tokopedia.com/ZSU5kPmdm/</v>
      </c>
      <c r="L339" s="3" t="str">
        <f>IFERROR(__xludf.DUMMYFUNCTION("""COMPUTED_VALUE"""),"stock tinggal sedikit lagi buat PM forklift")</f>
        <v>stock tinggal sedikit lagi buat PM forklift</v>
      </c>
      <c r="M339" s="3" t="str">
        <f>IFERROR(__xludf.DUMMYFUNCTION("""COMPUTED_VALUE"""),"Approve")</f>
        <v>Approve</v>
      </c>
      <c r="N339" s="3" t="str">
        <f>IFERROR(__xludf.DUMMYFUNCTION("""COMPUTED_VALUE"""),"Normal")</f>
        <v>Normal</v>
      </c>
      <c r="O339" s="3" t="str">
        <f>IFERROR(__xludf.DUMMYFUNCTION("""COMPUTED_VALUE"""),"Non Urgent")</f>
        <v>Non Urgent</v>
      </c>
      <c r="P339" s="7">
        <f>IFERROR(__xludf.DUMMYFUNCTION("""COMPUTED_VALUE"""),45937.65329853009)</f>
        <v>45937.6533</v>
      </c>
    </row>
    <row r="340">
      <c r="A340" s="4">
        <f>IFERROR(__xludf.DUMMYFUNCTION("""COMPUTED_VALUE"""),45944.84759662037)</f>
        <v>45944.8476</v>
      </c>
      <c r="B340" s="3" t="str">
        <f>IFERROR(__xludf.DUMMYFUNCTION("""COMPUTED_VALUE"""),"SFHBR0037")</f>
        <v>SFHBR0037</v>
      </c>
      <c r="C340" s="3" t="str">
        <f>IFERROR(__xludf.DUMMYFUNCTION("""COMPUTED_VALUE"""),"Consumable")</f>
        <v>Consumable</v>
      </c>
      <c r="D340" s="3" t="str">
        <f>IFERROR(__xludf.DUMMYFUNCTION("""COMPUTED_VALUE"""),"-")</f>
        <v>-</v>
      </c>
      <c r="E340" s="3" t="str">
        <f>IFERROR(__xludf.DUMMYFUNCTION("""COMPUTED_VALUE"""),"lantai 2")</f>
        <v>lantai 2</v>
      </c>
      <c r="F340" s="3" t="str">
        <f>IFERROR(__xludf.DUMMYFUNCTION("""COMPUTED_VALUE"""),"PRESTONE BELT DRESSING (250ML) - V belt - Fan Belt")</f>
        <v>PRESTONE BELT DRESSING (250ML) - V belt - Fan Belt</v>
      </c>
      <c r="G340" s="3" t="str">
        <f>IFERROR(__xludf.DUMMYFUNCTION("""COMPUTED_VALUE"""),"PRESTONE BELT DRESSING (250ML) - V belt - Fan Belt")</f>
        <v>PRESTONE BELT DRESSING (250ML) - V belt - Fan Belt</v>
      </c>
      <c r="H340" s="3" t="str">
        <f>IFERROR(__xludf.DUMMYFUNCTION("""COMPUTED_VALUE"""),"prestone")</f>
        <v>prestone</v>
      </c>
      <c r="I340" s="3">
        <f>IFERROR(__xludf.DUMMYFUNCTION("""COMPUTED_VALUE"""),5.0)</f>
        <v>5</v>
      </c>
      <c r="J340" s="3" t="str">
        <f>IFERROR(__xludf.DUMMYFUNCTION("""COMPUTED_VALUE"""),"pcs")</f>
        <v>pcs</v>
      </c>
      <c r="K340" s="5" t="str">
        <f>IFERROR(__xludf.DUMMYFUNCTION("""COMPUTED_VALUE"""),"https://tk.tokopedia.com/ZSU5B1U6L/")</f>
        <v>https://tk.tokopedia.com/ZSU5B1U6L/</v>
      </c>
      <c r="L340" s="3" t="str">
        <f>IFERROR(__xludf.DUMMYFUNCTION("""COMPUTED_VALUE"""),"stock habis ")</f>
        <v>stock habis </v>
      </c>
      <c r="M340" s="3" t="str">
        <f>IFERROR(__xludf.DUMMYFUNCTION("""COMPUTED_VALUE"""),"Approve")</f>
        <v>Approve</v>
      </c>
      <c r="N340" s="3" t="str">
        <f>IFERROR(__xludf.DUMMYFUNCTION("""COMPUTED_VALUE"""),"Normal")</f>
        <v>Normal</v>
      </c>
      <c r="O340" s="3" t="str">
        <f>IFERROR(__xludf.DUMMYFUNCTION("""COMPUTED_VALUE"""),"Non Urgent")</f>
        <v>Non Urgent</v>
      </c>
      <c r="P340" s="7">
        <f>IFERROR(__xludf.DUMMYFUNCTION("""COMPUTED_VALUE"""),45944.98486592593)</f>
        <v>45944.98487</v>
      </c>
    </row>
    <row r="341">
      <c r="A341" s="4">
        <f>IFERROR(__xludf.DUMMYFUNCTION("""COMPUTED_VALUE"""),45945.2732487963)</f>
        <v>45945.27325</v>
      </c>
      <c r="B341" s="3" t="str">
        <f>IFERROR(__xludf.DUMMYFUNCTION("""COMPUTED_VALUE"""),"MRNBR0076")</f>
        <v>MRNBR0076</v>
      </c>
      <c r="C341" s="3" t="str">
        <f>IFERROR(__xludf.DUMMYFUNCTION("""COMPUTED_VALUE"""),"EJO")</f>
        <v>EJO</v>
      </c>
      <c r="D341" s="3" t="str">
        <f>IFERROR(__xludf.DUMMYFUNCTION("""COMPUTED_VALUE"""),"EJO/2025/08/191")</f>
        <v>EJO/2025/08/191</v>
      </c>
      <c r="E341" s="3" t="str">
        <f>IFERROR(__xludf.DUMMYFUNCTION("""COMPUTED_VALUE"""),"EF C1-3")</f>
        <v>EF C1-3</v>
      </c>
      <c r="F341" s="3" t="str">
        <f>IFERROR(__xludf.DUMMYFUNCTION("""COMPUTED_VALUE"""),"Motorize valve")</f>
        <v>Motorize valve</v>
      </c>
      <c r="G341" s="3" t="str">
        <f>IFERROR(__xludf.DUMMYFUNCTION("""COMPUTED_VALUE"""),"Belimo NMX120-3")</f>
        <v>Belimo NMX120-3</v>
      </c>
      <c r="H341" s="3" t="str">
        <f>IFERROR(__xludf.DUMMYFUNCTION("""COMPUTED_VALUE"""),"Belimo")</f>
        <v>Belimo</v>
      </c>
      <c r="I341" s="3">
        <f>IFERROR(__xludf.DUMMYFUNCTION("""COMPUTED_VALUE"""),1.0)</f>
        <v>1</v>
      </c>
      <c r="J341" s="3" t="str">
        <f>IFERROR(__xludf.DUMMYFUNCTION("""COMPUTED_VALUE"""),"pcs")</f>
        <v>pcs</v>
      </c>
      <c r="K341" s="5" t="str">
        <f>IFERROR(__xludf.DUMMYFUNCTION("""COMPUTED_VALUE"""),"https://www.belimo.com/us/shop/en_US/config?code=NMX120-3")</f>
        <v>https://www.belimo.com/us/shop/en_US/config?code=NMX120-3</v>
      </c>
      <c r="L341" s="3" t="str">
        <f>IFERROR(__xludf.DUMMYFUNCTION("""COMPUTED_VALUE"""),"Motorize valve rusak ini beda dengan belimo yang di order sebelumnya")</f>
        <v>Motorize valve rusak ini beda dengan belimo yang di order sebelumnya</v>
      </c>
      <c r="M341" s="3" t="str">
        <f>IFERROR(__xludf.DUMMYFUNCTION("""COMPUTED_VALUE"""),"Approve")</f>
        <v>Approve</v>
      </c>
      <c r="N341" s="3" t="str">
        <f>IFERROR(__xludf.DUMMYFUNCTION("""COMPUTED_VALUE"""),"Normal")</f>
        <v>Normal</v>
      </c>
      <c r="O341" s="3" t="str">
        <f>IFERROR(__xludf.DUMMYFUNCTION("""COMPUTED_VALUE"""),"Non Urgent")</f>
        <v>Non Urgent</v>
      </c>
      <c r="P341" s="7">
        <f>IFERROR(__xludf.DUMMYFUNCTION("""COMPUTED_VALUE"""),45947.89270149305)</f>
        <v>45947.8927</v>
      </c>
    </row>
    <row r="342">
      <c r="A342" s="4">
        <f>IFERROR(__xludf.DUMMYFUNCTION("""COMPUTED_VALUE"""),45945.34417518518)</f>
        <v>45945.34418</v>
      </c>
      <c r="B342" s="3" t="str">
        <f>IFERROR(__xludf.DUMMYFUNCTION("""COMPUTED_VALUE"""),"RIABR0109")</f>
        <v>RIABR0109</v>
      </c>
      <c r="C342" s="3" t="str">
        <f>IFERROR(__xludf.DUMMYFUNCTION("""COMPUTED_VALUE"""),"EJO")</f>
        <v>EJO</v>
      </c>
      <c r="D342" s="3" t="str">
        <f>IFERROR(__xludf.DUMMYFUNCTION("""COMPUTED_VALUE"""),"EJO/2025/10/40")</f>
        <v>EJO/2025/10/40</v>
      </c>
      <c r="E342" s="3" t="str">
        <f>IFERROR(__xludf.DUMMYFUNCTION("""COMPUTED_VALUE"""),"WWTP")</f>
        <v>WWTP</v>
      </c>
      <c r="F342" s="3" t="str">
        <f>IFERROR(__xludf.DUMMYFUNCTION("""COMPUTED_VALUE"""),"Level Switch")</f>
        <v>Level Switch</v>
      </c>
      <c r="G342" s="3" t="str">
        <f>IFERROR(__xludf.DUMMYFUNCTION("""COMPUTED_VALUE"""),"VERTICAL FLOAT LEVEL SWITCH 1 8.500.000,00 8.500.000,00
Brand WINGEL
Model VSP-2FJ-S4-L1000-FPP45-CU4
Material Flange = PVC
Tube = PVC + Stainless Steel
Float = PP
Conn 2""Flange JIS10K
Enclosure PP+30% Glass Fiber IP66
Output 2 x SPST Contact
"&amp;"Rating 1A, 400 VAC/DC
Length 1100mm
C/W CONTROL UNIT
Model CU-4
Output Relay 4 x SPDT")</f>
        <v>VERTICAL FLOAT LEVEL SWITCH 1 8.500.000,00 8.500.000,00
Brand WINGEL
Model VSP-2FJ-S4-L1000-FPP45-CU4
Material Flange = PVC
Tube = PVC + Stainless Steel
Float = PP
Conn 2"Flange JIS10K
Enclosure PP+30% Glass Fiber IP66
Output 2 x SPST Contact
Rating 1A, 400 VAC/DC
Length 1100mm
C/W CONTROL UNIT
Model CU-4
Output Relay 4 x SPDT</v>
      </c>
      <c r="H342" s="3" t="str">
        <f>IFERROR(__xludf.DUMMYFUNCTION("""COMPUTED_VALUE"""),"Wingel")</f>
        <v>Wingel</v>
      </c>
      <c r="I342" s="3">
        <f>IFERROR(__xludf.DUMMYFUNCTION("""COMPUTED_VALUE"""),1.0)</f>
        <v>1</v>
      </c>
      <c r="J342" s="3" t="str">
        <f>IFERROR(__xludf.DUMMYFUNCTION("""COMPUTED_VALUE"""),"Set")</f>
        <v>Set</v>
      </c>
      <c r="K342" s="3" t="str">
        <f>IFERROR(__xludf.DUMMYFUNCTION("""COMPUTED_VALUE"""),"QUOTATION-VSP-4Contact-CU4-FLANGE-1100mm-PT FONKO PHARMA-0810-2025.pdf")</f>
        <v>QUOTATION-VSP-4Contact-CU4-FLANGE-1100mm-PT FONKO PHARMA-0810-2025.pdf</v>
      </c>
      <c r="L342" s="3" t="str">
        <f>IFERROR(__xludf.DUMMYFUNCTION("""COMPUTED_VALUE"""),"Level switch buat reaktor 2 WWTP")</f>
        <v>Level switch buat reaktor 2 WWTP</v>
      </c>
      <c r="M342" s="3" t="str">
        <f>IFERROR(__xludf.DUMMYFUNCTION("""COMPUTED_VALUE"""),"Approve")</f>
        <v>Approve</v>
      </c>
      <c r="N342" s="3" t="str">
        <f>IFERROR(__xludf.DUMMYFUNCTION("""COMPUTED_VALUE"""),"Normal")</f>
        <v>Normal</v>
      </c>
      <c r="O342" s="3" t="str">
        <f>IFERROR(__xludf.DUMMYFUNCTION("""COMPUTED_VALUE"""),"Non Urgent")</f>
        <v>Non Urgent</v>
      </c>
      <c r="P342" s="7">
        <f>IFERROR(__xludf.DUMMYFUNCTION("""COMPUTED_VALUE"""),45947.90372144676)</f>
        <v>45947.90372</v>
      </c>
    </row>
    <row r="343">
      <c r="A343" s="4">
        <f>IFERROR(__xludf.DUMMYFUNCTION("""COMPUTED_VALUE"""),45945.346454374994)</f>
        <v>45945.34645</v>
      </c>
      <c r="B343" s="3" t="str">
        <f>IFERROR(__xludf.DUMMYFUNCTION("""COMPUTED_VALUE"""),"RIABR0110")</f>
        <v>RIABR0110</v>
      </c>
      <c r="C343" s="3" t="str">
        <f>IFERROR(__xludf.DUMMYFUNCTION("""COMPUTED_VALUE"""),"EJO")</f>
        <v>EJO</v>
      </c>
      <c r="D343" s="3" t="str">
        <f>IFERROR(__xludf.DUMMYFUNCTION("""COMPUTED_VALUE"""),"EJO/2025/10/110")</f>
        <v>EJO/2025/10/110</v>
      </c>
      <c r="E343" s="3" t="str">
        <f>IFERROR(__xludf.DUMMYFUNCTION("""COMPUTED_VALUE"""),"Lift")</f>
        <v>Lift</v>
      </c>
      <c r="F343" s="3" t="str">
        <f>IFERROR(__xludf.DUMMYFUNCTION("""COMPUTED_VALUE"""),"Tombol")</f>
        <v>Tombol</v>
      </c>
      <c r="G343" s="3" t="str">
        <f>IFERROR(__xludf.DUMMYFUNCTION("""COMPUTED_VALUE"""),"LOP Button Lift")</f>
        <v>LOP Button Lift</v>
      </c>
      <c r="H343" s="3" t="str">
        <f>IFERROR(__xludf.DUMMYFUNCTION("""COMPUTED_VALUE"""),"Schindler")</f>
        <v>Schindler</v>
      </c>
      <c r="I343" s="3">
        <f>IFERROR(__xludf.DUMMYFUNCTION("""COMPUTED_VALUE"""),1.0)</f>
        <v>1</v>
      </c>
      <c r="J343" s="3" t="str">
        <f>IFERROR(__xludf.DUMMYFUNCTION("""COMPUTED_VALUE"""),"Set")</f>
        <v>Set</v>
      </c>
      <c r="K343" s="3" t="str">
        <f>IFERROR(__xludf.DUMMYFUNCTION("""COMPUTED_VALUE"""),"FONKO PHARMA - QUOT X-027 - 12102025.pdf")</f>
        <v>FONKO PHARMA - QUOT X-027 - 12102025.pdf</v>
      </c>
      <c r="L343" s="3" t="str">
        <f>IFERROR(__xludf.DUMMYFUNCTION("""COMPUTED_VALUE"""),"Untuk perbaikan lift tombol kurang sensitif")</f>
        <v>Untuk perbaikan lift tombol kurang sensitif</v>
      </c>
      <c r="M343" s="3" t="str">
        <f>IFERROR(__xludf.DUMMYFUNCTION("""COMPUTED_VALUE"""),"Approve")</f>
        <v>Approve</v>
      </c>
      <c r="N343" s="3" t="str">
        <f>IFERROR(__xludf.DUMMYFUNCTION("""COMPUTED_VALUE"""),"Normal")</f>
        <v>Normal</v>
      </c>
      <c r="O343" s="3" t="str">
        <f>IFERROR(__xludf.DUMMYFUNCTION("""COMPUTED_VALUE"""),"Non Urgent")</f>
        <v>Non Urgent</v>
      </c>
      <c r="P343" s="7">
        <f>IFERROR(__xludf.DUMMYFUNCTION("""COMPUTED_VALUE"""),45947.90399125)</f>
        <v>45947.90399</v>
      </c>
    </row>
    <row r="344">
      <c r="A344" s="4">
        <f>IFERROR(__xludf.DUMMYFUNCTION("""COMPUTED_VALUE"""),45946.302757708334)</f>
        <v>45946.30276</v>
      </c>
      <c r="B344" s="3" t="str">
        <f>IFERROR(__xludf.DUMMYFUNCTION("""COMPUTED_VALUE"""),"MRNBR0077")</f>
        <v>MRNBR0077</v>
      </c>
      <c r="C344" s="3" t="str">
        <f>IFERROR(__xludf.DUMMYFUNCTION("""COMPUTED_VALUE"""),"EJO")</f>
        <v>EJO</v>
      </c>
      <c r="D344" s="3" t="str">
        <f>IFERROR(__xludf.DUMMYFUNCTION("""COMPUTED_VALUE"""),"EJO/2025/10/95")</f>
        <v>EJO/2025/10/95</v>
      </c>
      <c r="E344" s="3" t="str">
        <f>IFERROR(__xludf.DUMMYFUNCTION("""COMPUTED_VALUE"""),"Dehum")</f>
        <v>Dehum</v>
      </c>
      <c r="F344" s="3" t="str">
        <f>IFERROR(__xludf.DUMMYFUNCTION("""COMPUTED_VALUE"""),"Bag filter")</f>
        <v>Bag filter</v>
      </c>
      <c r="G344" s="3" t="str">
        <f>IFERROR(__xludf.DUMMYFUNCTION("""COMPUTED_VALUE"""),"892 x 492 x 360 mm")</f>
        <v>892 x 492 x 360 mm</v>
      </c>
      <c r="H344" s="3" t="str">
        <f>IFERROR(__xludf.DUMMYFUNCTION("""COMPUTED_VALUE"""),"IAF")</f>
        <v>IAF</v>
      </c>
      <c r="I344" s="3">
        <f>IFERROR(__xludf.DUMMYFUNCTION("""COMPUTED_VALUE"""),2.0)</f>
        <v>2</v>
      </c>
      <c r="J344" s="3" t="str">
        <f>IFERROR(__xludf.DUMMYFUNCTION("""COMPUTED_VALUE"""),"pcs")</f>
        <v>pcs</v>
      </c>
      <c r="K344" s="5" t="str">
        <f>IFERROR(__xludf.DUMMYFUNCTION("""COMPUTED_VALUE"""),"https://infiltracoiaf.com/product/")</f>
        <v>https://infiltracoiaf.com/product/</v>
      </c>
      <c r="L344" s="3" t="str">
        <f>IFERROR(__xludf.DUMMYFUNCTION("""COMPUTED_VALUE"""),"Untuk dehum OSD sering alarm")</f>
        <v>Untuk dehum OSD sering alarm</v>
      </c>
      <c r="M344" s="3" t="str">
        <f>IFERROR(__xludf.DUMMYFUNCTION("""COMPUTED_VALUE"""),"Approve")</f>
        <v>Approve</v>
      </c>
      <c r="N344" s="3" t="str">
        <f>IFERROR(__xludf.DUMMYFUNCTION("""COMPUTED_VALUE"""),"Normal")</f>
        <v>Normal</v>
      </c>
      <c r="O344" s="3" t="str">
        <f>IFERROR(__xludf.DUMMYFUNCTION("""COMPUTED_VALUE"""),"Non Urgent")</f>
        <v>Non Urgent</v>
      </c>
      <c r="P344" s="7">
        <f>IFERROR(__xludf.DUMMYFUNCTION("""COMPUTED_VALUE"""),45947.9032684375)</f>
        <v>45947.90327</v>
      </c>
    </row>
    <row r="345">
      <c r="A345" s="4">
        <f>IFERROR(__xludf.DUMMYFUNCTION("""COMPUTED_VALUE"""),45946.30447243056)</f>
        <v>45946.30447</v>
      </c>
      <c r="B345" s="3" t="str">
        <f>IFERROR(__xludf.DUMMYFUNCTION("""COMPUTED_VALUE"""),"MRNBR0078")</f>
        <v>MRNBR0078</v>
      </c>
      <c r="C345" s="3" t="str">
        <f>IFERROR(__xludf.DUMMYFUNCTION("""COMPUTED_VALUE"""),"EJO")</f>
        <v>EJO</v>
      </c>
      <c r="D345" s="3" t="str">
        <f>IFERROR(__xludf.DUMMYFUNCTION("""COMPUTED_VALUE"""),"EJO/2025/10/95")</f>
        <v>EJO/2025/10/95</v>
      </c>
      <c r="E345" s="3" t="str">
        <f>IFERROR(__xludf.DUMMYFUNCTION("""COMPUTED_VALUE"""),"Dehum")</f>
        <v>Dehum</v>
      </c>
      <c r="F345" s="3" t="str">
        <f>IFERROR(__xludf.DUMMYFUNCTION("""COMPUTED_VALUE"""),"Bag filter")</f>
        <v>Bag filter</v>
      </c>
      <c r="G345" s="3" t="str">
        <f>IFERROR(__xludf.DUMMYFUNCTION("""COMPUTED_VALUE"""),"592 x 287 x 360mm")</f>
        <v>592 x 287 x 360mm</v>
      </c>
      <c r="H345" s="3" t="str">
        <f>IFERROR(__xludf.DUMMYFUNCTION("""COMPUTED_VALUE"""),"IAF")</f>
        <v>IAF</v>
      </c>
      <c r="I345" s="3">
        <f>IFERROR(__xludf.DUMMYFUNCTION("""COMPUTED_VALUE"""),2.0)</f>
        <v>2</v>
      </c>
      <c r="J345" s="3" t="str">
        <f>IFERROR(__xludf.DUMMYFUNCTION("""COMPUTED_VALUE"""),"pcs")</f>
        <v>pcs</v>
      </c>
      <c r="K345" s="5" t="str">
        <f>IFERROR(__xludf.DUMMYFUNCTION("""COMPUTED_VALUE"""),"https://infiltracoiaf.com/product/")</f>
        <v>https://infiltracoiaf.com/product/</v>
      </c>
      <c r="L345" s="3" t="str">
        <f>IFERROR(__xludf.DUMMYFUNCTION("""COMPUTED_VALUE"""),"Untuk dehum OSD sering alarm")</f>
        <v>Untuk dehum OSD sering alarm</v>
      </c>
      <c r="M345" s="3" t="str">
        <f>IFERROR(__xludf.DUMMYFUNCTION("""COMPUTED_VALUE"""),"Approve")</f>
        <v>Approve</v>
      </c>
      <c r="N345" s="3" t="str">
        <f>IFERROR(__xludf.DUMMYFUNCTION("""COMPUTED_VALUE"""),"Normal")</f>
        <v>Normal</v>
      </c>
      <c r="O345" s="3" t="str">
        <f>IFERROR(__xludf.DUMMYFUNCTION("""COMPUTED_VALUE"""),"Non Urgent")</f>
        <v>Non Urgent</v>
      </c>
      <c r="P345" s="7">
        <f>IFERROR(__xludf.DUMMYFUNCTION("""COMPUTED_VALUE"""),45947.90346702546)</f>
        <v>45947.90347</v>
      </c>
    </row>
    <row r="346">
      <c r="A346" s="4">
        <f>IFERROR(__xludf.DUMMYFUNCTION("""COMPUTED_VALUE"""),45946.367363344914)</f>
        <v>45946.36736</v>
      </c>
      <c r="B346" s="3" t="str">
        <f>IFERROR(__xludf.DUMMYFUNCTION("""COMPUTED_VALUE"""),"ANOBR0038")</f>
        <v>ANOBR0038</v>
      </c>
      <c r="C346" s="3" t="str">
        <f>IFERROR(__xludf.DUMMYFUNCTION("""COMPUTED_VALUE"""),"Consumable")</f>
        <v>Consumable</v>
      </c>
      <c r="D346" s="3" t="str">
        <f>IFERROR(__xludf.DUMMYFUNCTION("""COMPUTED_VALUE"""),"-")</f>
        <v>-</v>
      </c>
      <c r="E346" s="3" t="str">
        <f>IFERROR(__xludf.DUMMYFUNCTION("""COMPUTED_VALUE"""),"mixing tank")</f>
        <v>mixing tank</v>
      </c>
      <c r="F346" s="3" t="str">
        <f>IFERROR(__xludf.DUMMYFUNCTION("""COMPUTED_VALUE"""),"vesel light MV60")</f>
        <v>vesel light MV60</v>
      </c>
      <c r="G346" s="3" t="str">
        <f>IFERROR(__xludf.DUMMYFUNCTION("""COMPUTED_VALUE"""),"Fitting Soket Kabel Putih 2Pin Bulat GU5.3 - Lampu LED / Halogen MR16")</f>
        <v>Fitting Soket Kabel Putih 2Pin Bulat GU5.3 - Lampu LED / Halogen MR16</v>
      </c>
      <c r="H346" s="3" t="str">
        <f>IFERROR(__xludf.DUMMYFUNCTION("""COMPUTED_VALUE"""),"-")</f>
        <v>-</v>
      </c>
      <c r="I346" s="3">
        <f>IFERROR(__xludf.DUMMYFUNCTION("""COMPUTED_VALUE"""),5.0)</f>
        <v>5</v>
      </c>
      <c r="J346" s="3" t="str">
        <f>IFERROR(__xludf.DUMMYFUNCTION("""COMPUTED_VALUE"""),"pcs")</f>
        <v>pcs</v>
      </c>
      <c r="K346" s="5" t="str">
        <f>IFERROR(__xludf.DUMMYFUNCTION("""COMPUTED_VALUE"""),"https://tk.tokopedia.com/ZSUu97FgQ/")</f>
        <v>https://tk.tokopedia.com/ZSUu97FgQ/</v>
      </c>
      <c r="L346" s="3" t="str">
        <f>IFERROR(__xludf.DUMMYFUNCTION("""COMPUTED_VALUE"""),"Untuk keperluan mengganti fitting vesel light jika ada kerusakan ;agi")</f>
        <v>Untuk keperluan mengganti fitting vesel light jika ada kerusakan ;agi</v>
      </c>
      <c r="M346" s="3" t="str">
        <f>IFERROR(__xludf.DUMMYFUNCTION("""COMPUTED_VALUE"""),"Approve")</f>
        <v>Approve</v>
      </c>
      <c r="N346" s="3" t="str">
        <f>IFERROR(__xludf.DUMMYFUNCTION("""COMPUTED_VALUE"""),"Normal")</f>
        <v>Normal</v>
      </c>
      <c r="O346" s="3" t="str">
        <f>IFERROR(__xludf.DUMMYFUNCTION("""COMPUTED_VALUE"""),"Non Urgent")</f>
        <v>Non Urgent</v>
      </c>
      <c r="P346" s="7">
        <f>IFERROR(__xludf.DUMMYFUNCTION("""COMPUTED_VALUE"""),45951.45635818287)</f>
        <v>45951.45636</v>
      </c>
    </row>
    <row r="347">
      <c r="A347" s="4">
        <f>IFERROR(__xludf.DUMMYFUNCTION("""COMPUTED_VALUE"""),45946.95129831019)</f>
        <v>45946.9513</v>
      </c>
      <c r="B347" s="3" t="str">
        <f>IFERROR(__xludf.DUMMYFUNCTION("""COMPUTED_VALUE"""),"INNBR0043")</f>
        <v>INNBR0043</v>
      </c>
      <c r="C347" s="3" t="str">
        <f>IFERROR(__xludf.DUMMYFUNCTION("""COMPUTED_VALUE"""),"EJO")</f>
        <v>EJO</v>
      </c>
      <c r="D347" s="3" t="str">
        <f>IFERROR(__xludf.DUMMYFUNCTION("""COMPUTED_VALUE"""),"EJO/2025/10/69")</f>
        <v>EJO/2025/10/69</v>
      </c>
      <c r="E347" s="3" t="str">
        <f>IFERROR(__xludf.DUMMYFUNCTION("""COMPUTED_VALUE"""),"Filling ")</f>
        <v>Filling </v>
      </c>
      <c r="F347" s="3" t="str">
        <f>IFERROR(__xludf.DUMMYFUNCTION("""COMPUTED_VALUE"""),"Female connector, M8, 4-pin, straight, A-coded DOS-0804-G p/n:  6009974 SICK")</f>
        <v>Female connector, M8, 4-pin, straight, A-coded DOS-0804-G p/n:  6009974 SICK</v>
      </c>
      <c r="G347" s="3" t="str">
        <f>IFERROR(__xludf.DUMMYFUNCTION("""COMPUTED_VALUE"""),"Sesuai Penwaran")</f>
        <v>Sesuai Penwaran</v>
      </c>
      <c r="H347" s="3" t="str">
        <f>IFERROR(__xludf.DUMMYFUNCTION("""COMPUTED_VALUE"""),"SIck")</f>
        <v>SIck</v>
      </c>
      <c r="I347" s="3">
        <f>IFERROR(__xludf.DUMMYFUNCTION("""COMPUTED_VALUE"""),2.0)</f>
        <v>2</v>
      </c>
      <c r="J347" s="3" t="str">
        <f>IFERROR(__xludf.DUMMYFUNCTION("""COMPUTED_VALUE"""),"Pcs")</f>
        <v>Pcs</v>
      </c>
      <c r="K347" s="5" t="str">
        <f>IFERROR(__xludf.DUMMYFUNCTION("""COMPUTED_VALUE"""),"https://drive.google.com/file/d/1zrW0nPFhCh5PAoOfV2vAlockqb6SIJeX/view?usp=drive_link")</f>
        <v>https://drive.google.com/file/d/1zrW0nPFhCh5PAoOfV2vAlockqb6SIJeX/view?usp=drive_link</v>
      </c>
      <c r="L347" s="3" t="str">
        <f>IFERROR(__xludf.DUMMYFUNCTION("""COMPUTED_VALUE"""),"Untuk Ion Shower")</f>
        <v>Untuk Ion Shower</v>
      </c>
      <c r="M347" s="3" t="str">
        <f>IFERROR(__xludf.DUMMYFUNCTION("""COMPUTED_VALUE"""),"Approve")</f>
        <v>Approve</v>
      </c>
      <c r="N347" s="3" t="str">
        <f>IFERROR(__xludf.DUMMYFUNCTION("""COMPUTED_VALUE"""),"Normal")</f>
        <v>Normal</v>
      </c>
      <c r="O347" s="3" t="str">
        <f>IFERROR(__xludf.DUMMYFUNCTION("""COMPUTED_VALUE"""),"Non Urgent")</f>
        <v>Non Urgent</v>
      </c>
      <c r="P347" s="7">
        <f>IFERROR(__xludf.DUMMYFUNCTION("""COMPUTED_VALUE"""),45951.453269826394)</f>
        <v>45951.45327</v>
      </c>
    </row>
    <row r="348">
      <c r="A348" s="4">
        <f>IFERROR(__xludf.DUMMYFUNCTION("""COMPUTED_VALUE"""),45947.24364872685)</f>
        <v>45947.24365</v>
      </c>
      <c r="B348" s="3" t="str">
        <f>IFERROR(__xludf.DUMMYFUNCTION("""COMPUTED_VALUE"""),"MRNBR0080")</f>
        <v>MRNBR0080</v>
      </c>
      <c r="C348" s="3" t="str">
        <f>IFERROR(__xludf.DUMMYFUNCTION("""COMPUTED_VALUE"""),"EJO")</f>
        <v>EJO</v>
      </c>
      <c r="D348" s="3" t="str">
        <f>IFERROR(__xludf.DUMMYFUNCTION("""COMPUTED_VALUE"""),"EJO/2025/08/165")</f>
        <v>EJO/2025/08/165</v>
      </c>
      <c r="E348" s="3" t="str">
        <f>IFERROR(__xludf.DUMMYFUNCTION("""COMPUTED_VALUE"""),"AHU")</f>
        <v>AHU</v>
      </c>
      <c r="F348" s="3" t="str">
        <f>IFERROR(__xludf.DUMMYFUNCTION("""COMPUTED_VALUE"""),"Cat semprot")</f>
        <v>Cat semprot</v>
      </c>
      <c r="G348" s="3" t="str">
        <f>IFERROR(__xludf.DUMMYFUNCTION("""COMPUTED_VALUE"""),"metalic black 1139")</f>
        <v>metalic black 1139</v>
      </c>
      <c r="H348" s="3" t="str">
        <f>IFERROR(__xludf.DUMMYFUNCTION("""COMPUTED_VALUE"""),"Samurai")</f>
        <v>Samurai</v>
      </c>
      <c r="I348" s="3">
        <f>IFERROR(__xludf.DUMMYFUNCTION("""COMPUTED_VALUE"""),10.0)</f>
        <v>10</v>
      </c>
      <c r="J348" s="3" t="str">
        <f>IFERROR(__xludf.DUMMYFUNCTION("""COMPUTED_VALUE"""),"pcs")</f>
        <v>pcs</v>
      </c>
      <c r="K348" s="5" t="str">
        <f>IFERROR(__xludf.DUMMYFUNCTION("""COMPUTED_VALUE"""),"https://www.tokopedia.com/samuraipaintofficial/samurai-paint-metallic-black-1139-metallic-hitam?extParam=ivf%3Dfalse%26keyword%3Dsamurai+black+metallic%26search_id%3D2025101622511537BC2F75BF1BCF222GWB%26src%3Dsearch%26whid%3D10682866")</f>
        <v>https://www.tokopedia.com/samuraipaintofficial/samurai-paint-metallic-black-1139-metallic-hitam?extParam=ivf%3Dfalse%26keyword%3Dsamurai+black+metallic%26search_id%3D2025101622511537BC2F75BF1BCF222GWB%26src%3Dsearch%26whid%3D10682866</v>
      </c>
      <c r="L348" s="3" t="str">
        <f>IFERROR(__xludf.DUMMYFUNCTION("""COMPUTED_VALUE"""),"Untuk AHu berkarat")</f>
        <v>Untuk AHu berkarat</v>
      </c>
      <c r="M348" s="3" t="str">
        <f>IFERROR(__xludf.DUMMYFUNCTION("""COMPUTED_VALUE"""),"Approve")</f>
        <v>Approve</v>
      </c>
      <c r="N348" s="3" t="str">
        <f>IFERROR(__xludf.DUMMYFUNCTION("""COMPUTED_VALUE"""),"Normal")</f>
        <v>Normal</v>
      </c>
      <c r="O348" s="3" t="str">
        <f>IFERROR(__xludf.DUMMYFUNCTION("""COMPUTED_VALUE"""),"Non Urgent")</f>
        <v>Non Urgent</v>
      </c>
      <c r="P348" s="7">
        <f>IFERROR(__xludf.DUMMYFUNCTION("""COMPUTED_VALUE"""),45951.44216528935)</f>
        <v>45951.44217</v>
      </c>
    </row>
    <row r="349">
      <c r="A349" s="4">
        <f>IFERROR(__xludf.DUMMYFUNCTION("""COMPUTED_VALUE"""),45947.24492538194)</f>
        <v>45947.24493</v>
      </c>
      <c r="B349" s="3" t="str">
        <f>IFERROR(__xludf.DUMMYFUNCTION("""COMPUTED_VALUE"""),"MRNBR0081")</f>
        <v>MRNBR0081</v>
      </c>
      <c r="C349" s="3" t="str">
        <f>IFERROR(__xludf.DUMMYFUNCTION("""COMPUTED_VALUE"""),"EJO")</f>
        <v>EJO</v>
      </c>
      <c r="D349" s="3" t="str">
        <f>IFERROR(__xludf.DUMMYFUNCTION("""COMPUTED_VALUE"""),"EJO/2025/08/165")</f>
        <v>EJO/2025/08/165</v>
      </c>
      <c r="E349" s="3" t="str">
        <f>IFERROR(__xludf.DUMMYFUNCTION("""COMPUTED_VALUE"""),"AHU")</f>
        <v>AHU</v>
      </c>
      <c r="F349" s="3" t="str">
        <f>IFERROR(__xludf.DUMMYFUNCTION("""COMPUTED_VALUE"""),"Cat semprot")</f>
        <v>Cat semprot</v>
      </c>
      <c r="G349" s="3" t="str">
        <f>IFERROR(__xludf.DUMMYFUNCTION("""COMPUTED_VALUE"""),"Premium Green Relax V9488")</f>
        <v>Premium Green Relax V9488</v>
      </c>
      <c r="H349" s="3" t="str">
        <f>IFERROR(__xludf.DUMMYFUNCTION("""COMPUTED_VALUE"""),"Diton")</f>
        <v>Diton</v>
      </c>
      <c r="I349" s="3">
        <f>IFERROR(__xludf.DUMMYFUNCTION("""COMPUTED_VALUE"""),10.0)</f>
        <v>10</v>
      </c>
      <c r="J349" s="3" t="str">
        <f>IFERROR(__xludf.DUMMYFUNCTION("""COMPUTED_VALUE"""),"pcs")</f>
        <v>pcs</v>
      </c>
      <c r="K349" s="5" t="str">
        <f>IFERROR(__xludf.DUMMYFUNCTION("""COMPUTED_VALUE"""),"https://www.tokopedia.com/suryamakmurmotor/pilok-pilox-diton-premium-vespa-green-relax-v9488-hijau-cat-semprot?extParam=ivf%3Dfalse%26keyword%3Dcat+hijau+telur+asin%26search_id%3D20251016230446577BCC914F9E5513E4T1%26src%3Dsearch")</f>
        <v>https://www.tokopedia.com/suryamakmurmotor/pilok-pilox-diton-premium-vespa-green-relax-v9488-hijau-cat-semprot?extParam=ivf%3Dfalse%26keyword%3Dcat+hijau+telur+asin%26search_id%3D20251016230446577BCC914F9E5513E4T1%26src%3Dsearch</v>
      </c>
      <c r="L349" s="3" t="str">
        <f>IFERROR(__xludf.DUMMYFUNCTION("""COMPUTED_VALUE"""),"Untuk AHu berkarat")</f>
        <v>Untuk AHu berkarat</v>
      </c>
      <c r="M349" s="3" t="str">
        <f>IFERROR(__xludf.DUMMYFUNCTION("""COMPUTED_VALUE"""),"Approve")</f>
        <v>Approve</v>
      </c>
      <c r="N349" s="3" t="str">
        <f>IFERROR(__xludf.DUMMYFUNCTION("""COMPUTED_VALUE"""),"Normal")</f>
        <v>Normal</v>
      </c>
      <c r="O349" s="3" t="str">
        <f>IFERROR(__xludf.DUMMYFUNCTION("""COMPUTED_VALUE"""),"Non Urgent")</f>
        <v>Non Urgent</v>
      </c>
      <c r="P349" s="7">
        <f>IFERROR(__xludf.DUMMYFUNCTION("""COMPUTED_VALUE"""),45951.44234466435)</f>
        <v>45951.44234</v>
      </c>
    </row>
    <row r="350">
      <c r="A350" s="4">
        <f>IFERROR(__xludf.DUMMYFUNCTION("""COMPUTED_VALUE"""),45947.25592511574)</f>
        <v>45947.25593</v>
      </c>
      <c r="B350" s="3" t="str">
        <f>IFERROR(__xludf.DUMMYFUNCTION("""COMPUTED_VALUE"""),"MRNBR0082")</f>
        <v>MRNBR0082</v>
      </c>
      <c r="C350" s="3" t="str">
        <f>IFERROR(__xludf.DUMMYFUNCTION("""COMPUTED_VALUE"""),"EJO")</f>
        <v>EJO</v>
      </c>
      <c r="D350" s="3" t="str">
        <f>IFERROR(__xludf.DUMMYFUNCTION("""COMPUTED_VALUE"""),"EJO/2025/08/165")</f>
        <v>EJO/2025/08/165</v>
      </c>
      <c r="E350" s="3" t="str">
        <f>IFERROR(__xludf.DUMMYFUNCTION("""COMPUTED_VALUE"""),"AHU")</f>
        <v>AHU</v>
      </c>
      <c r="F350" s="3" t="str">
        <f>IFERROR(__xludf.DUMMYFUNCTION("""COMPUTED_VALUE"""),"sikat kawat")</f>
        <v>sikat kawat</v>
      </c>
      <c r="G350" s="3" t="str">
        <f>IFERROR(__xludf.DUMMYFUNCTION("""COMPUTED_VALUE"""),"Mata Bor Brush Sikat Mangkok")</f>
        <v>Mata Bor Brush Sikat Mangkok</v>
      </c>
      <c r="H350" s="3" t="str">
        <f>IFERROR(__xludf.DUMMYFUNCTION("""COMPUTED_VALUE"""),"JLD")</f>
        <v>JLD</v>
      </c>
      <c r="I350" s="3">
        <f>IFERROR(__xludf.DUMMYFUNCTION("""COMPUTED_VALUE"""),1.0)</f>
        <v>1</v>
      </c>
      <c r="J350" s="3" t="str">
        <f>IFERROR(__xludf.DUMMYFUNCTION("""COMPUTED_VALUE"""),"pack")</f>
        <v>pack</v>
      </c>
      <c r="K350" s="5" t="str">
        <f>IFERROR(__xludf.DUMMYFUNCTION("""COMPUTED_VALUE"""),"https://www.tokopedia.com/jld-tool-shop/jld-wire-brush-set-5pcs-sikat-endbrush-mata-bor-brush-sikat-mangkok-gepeng-3pc-wire-brush-sikat-tangkai-bor-sikat-kawat-baja-bulu-kuningan-end-brush-crimped-wire-shank-bor-pembesih-karat-besi-1729969355487283479?ext"&amp;"Param=ivf%3Dfalse%26keyword%3Dbrush+borr%26search_id%3D2025101623081634ED066DF378EF206JX1%26src%3Dsearch&amp;t_id=1760656099990&amp;t_st=1&amp;t_pp=search_result&amp;t_efo=search_pure_goods_card&amp;t_ef=goods_search&amp;t_sm=&amp;t_spt=search_result")</f>
        <v>https://www.tokopedia.com/jld-tool-shop/jld-wire-brush-set-5pcs-sikat-endbrush-mata-bor-brush-sikat-mangkok-gepeng-3pc-wire-brush-sikat-tangkai-bor-sikat-kawat-baja-bulu-kuningan-end-brush-crimped-wire-shank-bor-pembesih-karat-besi-1729969355487283479?extParam=ivf%3Dfalse%26keyword%3Dbrush+borr%26search_id%3D2025101623081634ED066DF378EF206JX1%26src%3Dsearch&amp;t_id=1760656099990&amp;t_st=1&amp;t_pp=search_result&amp;t_efo=search_pure_goods_card&amp;t_ef=goods_search&amp;t_sm=&amp;t_spt=search_result</v>
      </c>
      <c r="L350" s="3" t="str">
        <f>IFERROR(__xludf.DUMMYFUNCTION("""COMPUTED_VALUE"""),"Untuk AHu berkarat")</f>
        <v>Untuk AHu berkarat</v>
      </c>
      <c r="M350" s="3" t="str">
        <f>IFERROR(__xludf.DUMMYFUNCTION("""COMPUTED_VALUE"""),"Approve")</f>
        <v>Approve</v>
      </c>
      <c r="N350" s="3" t="str">
        <f>IFERROR(__xludf.DUMMYFUNCTION("""COMPUTED_VALUE"""),"Normal")</f>
        <v>Normal</v>
      </c>
      <c r="O350" s="3" t="str">
        <f>IFERROR(__xludf.DUMMYFUNCTION("""COMPUTED_VALUE"""),"Non Urgent")</f>
        <v>Non Urgent</v>
      </c>
      <c r="P350" s="7">
        <f>IFERROR(__xludf.DUMMYFUNCTION("""COMPUTED_VALUE"""),45951.44265549768)</f>
        <v>45951.44266</v>
      </c>
    </row>
    <row r="351">
      <c r="A351" s="4">
        <f>IFERROR(__xludf.DUMMYFUNCTION("""COMPUTED_VALUE"""),45947.25845518518)</f>
        <v>45947.25846</v>
      </c>
      <c r="B351" s="3" t="str">
        <f>IFERROR(__xludf.DUMMYFUNCTION("""COMPUTED_VALUE"""),"MRNBR0083")</f>
        <v>MRNBR0083</v>
      </c>
      <c r="C351" s="3" t="str">
        <f>IFERROR(__xludf.DUMMYFUNCTION("""COMPUTED_VALUE"""),"EJO")</f>
        <v>EJO</v>
      </c>
      <c r="D351" s="3" t="str">
        <f>IFERROR(__xludf.DUMMYFUNCTION("""COMPUTED_VALUE"""),"EJO/2025/08/165")</f>
        <v>EJO/2025/08/165</v>
      </c>
      <c r="E351" s="3" t="str">
        <f>IFERROR(__xludf.DUMMYFUNCTION("""COMPUTED_VALUE"""),"AHU")</f>
        <v>AHU</v>
      </c>
      <c r="F351" s="3" t="str">
        <f>IFERROR(__xludf.DUMMYFUNCTION("""COMPUTED_VALUE"""),"Heat gun")</f>
        <v>Heat gun</v>
      </c>
      <c r="G351" s="3" t="str">
        <f>IFERROR(__xludf.DUMMYFUNCTION("""COMPUTED_VALUE"""),"Bosch Cordless Hot Gun Pemanas Baterai 18V 500C GHG 18V-50 Set Baterai Procore 8 AH")</f>
        <v>Bosch Cordless Hot Gun Pemanas Baterai 18V 500C GHG 18V-50 Set Baterai Procore 8 AH</v>
      </c>
      <c r="H351" s="3" t="str">
        <f>IFERROR(__xludf.DUMMYFUNCTION("""COMPUTED_VALUE"""),"Bosch")</f>
        <v>Bosch</v>
      </c>
      <c r="I351" s="3">
        <f>IFERROR(__xludf.DUMMYFUNCTION("""COMPUTED_VALUE"""),1.0)</f>
        <v>1</v>
      </c>
      <c r="J351" s="3" t="str">
        <f>IFERROR(__xludf.DUMMYFUNCTION("""COMPUTED_VALUE"""),"pcs")</f>
        <v>pcs</v>
      </c>
      <c r="K351" s="5" t="str">
        <f>IFERROR(__xludf.DUMMYFUNCTION("""COMPUTED_VALUE"""),"https://www.tokopedia.com/bosch-tools-authorized-bts/bosch-cordless-hot-gun-pemanas-baterai-18v-500c-ghg-18v-50-set-baterai-procore-8-ah-1730846796853249703?extParam=ivf%3Dfalse%26keyword%3Dheat+gun+cordless+bosch%26search_id%3D20251016231134432ACA3A1E345"&amp;"E129MP6%26src%3Dsearch&amp;t_id=1760656099990&amp;t_st=4&amp;t_pp=search_result&amp;t_efo=search_pure_goods_card&amp;t_ef=goods_search&amp;t_sm=&amp;t_spt=search_result")</f>
        <v>https://www.tokopedia.com/bosch-tools-authorized-bts/bosch-cordless-hot-gun-pemanas-baterai-18v-500c-ghg-18v-50-set-baterai-procore-8-ah-1730846796853249703?extParam=ivf%3Dfalse%26keyword%3Dheat+gun+cordless+bosch%26search_id%3D20251016231134432ACA3A1E345E129MP6%26src%3Dsearch&amp;t_id=1760656099990&amp;t_st=4&amp;t_pp=search_result&amp;t_efo=search_pure_goods_card&amp;t_ef=goods_search&amp;t_sm=&amp;t_spt=search_result</v>
      </c>
      <c r="L351" s="3" t="str">
        <f>IFERROR(__xludf.DUMMYFUNCTION("""COMPUTED_VALUE"""),"Untuk AHu berkarat dan solasi bakar")</f>
        <v>Untuk AHu berkarat dan solasi bakar</v>
      </c>
      <c r="M351" s="3" t="str">
        <f>IFERROR(__xludf.DUMMYFUNCTION("""COMPUTED_VALUE"""),"Approve")</f>
        <v>Approve</v>
      </c>
      <c r="N351" s="3" t="str">
        <f>IFERROR(__xludf.DUMMYFUNCTION("""COMPUTED_VALUE"""),"Normal")</f>
        <v>Normal</v>
      </c>
      <c r="O351" s="3" t="str">
        <f>IFERROR(__xludf.DUMMYFUNCTION("""COMPUTED_VALUE"""),"Non Urgent")</f>
        <v>Non Urgent</v>
      </c>
      <c r="P351" s="7">
        <f>IFERROR(__xludf.DUMMYFUNCTION("""COMPUTED_VALUE"""),45951.57243273148)</f>
        <v>45951.57243</v>
      </c>
    </row>
    <row r="352">
      <c r="A352" s="4">
        <f>IFERROR(__xludf.DUMMYFUNCTION("""COMPUTED_VALUE"""),45947.992890486115)</f>
        <v>45947.99289</v>
      </c>
      <c r="B352" s="3" t="str">
        <f>IFERROR(__xludf.DUMMYFUNCTION("""COMPUTED_VALUE"""),"INNBR0044")</f>
        <v>INNBR0044</v>
      </c>
      <c r="C352" s="3" t="str">
        <f>IFERROR(__xludf.DUMMYFUNCTION("""COMPUTED_VALUE"""),"Critical Part")</f>
        <v>Critical Part</v>
      </c>
      <c r="D352" s="3" t="str">
        <f>IFERROR(__xludf.DUMMYFUNCTION("""COMPUTED_VALUE"""),"Na")</f>
        <v>Na</v>
      </c>
      <c r="E352" s="3" t="str">
        <f>IFERROR(__xludf.DUMMYFUNCTION("""COMPUTED_VALUE"""),"VideoJet")</f>
        <v>VideoJet</v>
      </c>
      <c r="F352" s="3" t="str">
        <f>IFERROR(__xludf.DUMMYFUNCTION("""COMPUTED_VALUE"""),"Gutter Pump P/N: 399-171")</f>
        <v>Gutter Pump P/N: 399-171</v>
      </c>
      <c r="G352" s="3" t="str">
        <f>IFERROR(__xludf.DUMMYFUNCTION("""COMPUTED_VALUE"""),"Sesuai Penawaran")</f>
        <v>Sesuai Penawaran</v>
      </c>
      <c r="H352" s="3" t="str">
        <f>IFERROR(__xludf.DUMMYFUNCTION("""COMPUTED_VALUE"""),"Markindo")</f>
        <v>Markindo</v>
      </c>
      <c r="I352" s="3">
        <f>IFERROR(__xludf.DUMMYFUNCTION("""COMPUTED_VALUE"""),1.0)</f>
        <v>1</v>
      </c>
      <c r="J352" s="3" t="str">
        <f>IFERROR(__xludf.DUMMYFUNCTION("""COMPUTED_VALUE"""),"Unit")</f>
        <v>Unit</v>
      </c>
      <c r="K352" s="5" t="str">
        <f>IFERROR(__xludf.DUMMYFUNCTION("""COMPUTED_VALUE"""),"https://drive.google.com/file/d/1lXN9j-NaVNMNhl8I8tzQ6cQ8wbui2LhZ/view?usp=drive_link")</f>
        <v>https://drive.google.com/file/d/1lXN9j-NaVNMNhl8I8tzQ6cQ8wbui2LhZ/view?usp=drive_link</v>
      </c>
      <c r="L352" s="3" t="str">
        <f>IFERROR(__xludf.DUMMYFUNCTION("""COMPUTED_VALUE"""),"Untuk VideoJet Packhall")</f>
        <v>Untuk VideoJet Packhall</v>
      </c>
      <c r="M352" s="3" t="str">
        <f>IFERROR(__xludf.DUMMYFUNCTION("""COMPUTED_VALUE"""),"Approve")</f>
        <v>Approve</v>
      </c>
      <c r="N352" s="3" t="str">
        <f>IFERROR(__xludf.DUMMYFUNCTION("""COMPUTED_VALUE"""),"Normal")</f>
        <v>Normal</v>
      </c>
      <c r="O352" s="3" t="str">
        <f>IFERROR(__xludf.DUMMYFUNCTION("""COMPUTED_VALUE"""),"Non Urgent")</f>
        <v>Non Urgent</v>
      </c>
      <c r="P352" s="7">
        <f>IFERROR(__xludf.DUMMYFUNCTION("""COMPUTED_VALUE"""),45951.453942685184)</f>
        <v>45951.45394</v>
      </c>
    </row>
    <row r="353">
      <c r="A353" s="4">
        <f>IFERROR(__xludf.DUMMYFUNCTION("""COMPUTED_VALUE"""),45950.68093871528)</f>
        <v>45950.68094</v>
      </c>
      <c r="B353" s="3" t="str">
        <f>IFERROR(__xludf.DUMMYFUNCTION("""COMPUTED_VALUE"""),"ANOBR0039")</f>
        <v>ANOBR0039</v>
      </c>
      <c r="C353" s="3" t="str">
        <f>IFERROR(__xludf.DUMMYFUNCTION("""COMPUTED_VALUE"""),"EJO")</f>
        <v>EJO</v>
      </c>
      <c r="D353" s="3" t="str">
        <f>IFERROR(__xludf.DUMMYFUNCTION("""COMPUTED_VALUE"""),"EJO/2025/10/61")</f>
        <v>EJO/2025/10/61</v>
      </c>
      <c r="E353" s="3" t="str">
        <f>IFERROR(__xludf.DUMMYFUNCTION("""COMPUTED_VALUE"""),"Dispensing isolator OSD")</f>
        <v>Dispensing isolator OSD</v>
      </c>
      <c r="F353" s="3" t="str">
        <f>IFERROR(__xludf.DUMMYFUNCTION("""COMPUTED_VALUE"""),"Cover sensor RH")</f>
        <v>Cover sensor RH</v>
      </c>
      <c r="G353" s="3" t="str">
        <f>IFERROR(__xludf.DUMMYFUNCTION("""COMPUTED_VALUE"""),"Spesifikasi drawing sudah tertera di penawaran")</f>
        <v>Spesifikasi drawing sudah tertera di penawaran</v>
      </c>
      <c r="H353" s="3" t="str">
        <f>IFERROR(__xludf.DUMMYFUNCTION("""COMPUTED_VALUE"""),"-")</f>
        <v>-</v>
      </c>
      <c r="I353" s="3">
        <f>IFERROR(__xludf.DUMMYFUNCTION("""COMPUTED_VALUE"""),1.0)</f>
        <v>1</v>
      </c>
      <c r="J353" s="3" t="str">
        <f>IFERROR(__xludf.DUMMYFUNCTION("""COMPUTED_VALUE"""),"PCS")</f>
        <v>PCS</v>
      </c>
      <c r="K353" s="5" t="str">
        <f>IFERROR(__xludf.DUMMYFUNCTION("""COMPUTED_VALUE"""),"https://drive.google.com/drive/folders/13e3ZZfcph5xMZnHVYig3bFbAg8xg3yWb?usp=drive_link")</f>
        <v>https://drive.google.com/drive/folders/13e3ZZfcph5xMZnHVYig3bFbAg8xg3yWb?usp=drive_link</v>
      </c>
      <c r="L353" s="3" t="str">
        <f>IFERROR(__xludf.DUMMYFUNCTION("""COMPUTED_VALUE"""),"untuk keperluan mengcover sensor RH di isolator dispensing OSD")</f>
        <v>untuk keperluan mengcover sensor RH di isolator dispensing OSD</v>
      </c>
      <c r="M353" s="3" t="str">
        <f>IFERROR(__xludf.DUMMYFUNCTION("""COMPUTED_VALUE"""),"Approve")</f>
        <v>Approve</v>
      </c>
      <c r="N353" s="3" t="str">
        <f>IFERROR(__xludf.DUMMYFUNCTION("""COMPUTED_VALUE"""),"Normal")</f>
        <v>Normal</v>
      </c>
      <c r="O353" s="3" t="str">
        <f>IFERROR(__xludf.DUMMYFUNCTION("""COMPUTED_VALUE"""),"Non Urgent")</f>
        <v>Non Urgent</v>
      </c>
      <c r="P353" s="7">
        <f>IFERROR(__xludf.DUMMYFUNCTION("""COMPUTED_VALUE"""),45951.45684857639)</f>
        <v>45951.45685</v>
      </c>
    </row>
    <row r="354">
      <c r="A354" s="4">
        <f>IFERROR(__xludf.DUMMYFUNCTION("""COMPUTED_VALUE"""),45952.64881773148)</f>
        <v>45952.64882</v>
      </c>
      <c r="B354" s="3" t="str">
        <f>IFERROR(__xludf.DUMMYFUNCTION("""COMPUTED_VALUE"""),"ROSBR0043")</f>
        <v>ROSBR0043</v>
      </c>
      <c r="C354" s="3" t="str">
        <f>IFERROR(__xludf.DUMMYFUNCTION("""COMPUTED_VALUE"""),"EJO")</f>
        <v>EJO</v>
      </c>
      <c r="D354" s="3" t="str">
        <f>IFERROR(__xludf.DUMMYFUNCTION("""COMPUTED_VALUE"""),"EJO/2025/10/37")</f>
        <v>EJO/2025/10/37</v>
      </c>
      <c r="E354" s="3" t="str">
        <f>IFERROR(__xludf.DUMMYFUNCTION("""COMPUTED_VALUE"""),"cover kabel timbangan isolator sampling ")</f>
        <v>cover kabel timbangan isolator sampling </v>
      </c>
      <c r="F354" s="3" t="str">
        <f>IFERROR(__xludf.DUMMYFUNCTION("""COMPUTED_VALUE"""),"Cover kabel timbangan ")</f>
        <v>Cover kabel timbangan </v>
      </c>
      <c r="G354" s="3" t="str">
        <f>IFERROR(__xludf.DUMMYFUNCTION("""COMPUTED_VALUE"""),"Machining Plate Mat'l SUS 304
Proses Laser Cutting
Profil Bending Tray
Assembling Welding
Finishing")</f>
        <v>Machining Plate Mat'l SUS 304
Proses Laser Cutting
Profil Bending Tray
Assembling Welding
Finishing</v>
      </c>
      <c r="H354" s="3" t="str">
        <f>IFERROR(__xludf.DUMMYFUNCTION("""COMPUTED_VALUE"""),"Lokal ")</f>
        <v>Lokal </v>
      </c>
      <c r="I354" s="3">
        <f>IFERROR(__xludf.DUMMYFUNCTION("""COMPUTED_VALUE"""),1.0)</f>
        <v>1</v>
      </c>
      <c r="J354" s="3" t="str">
        <f>IFERROR(__xludf.DUMMYFUNCTION("""COMPUTED_VALUE"""),"set")</f>
        <v>set</v>
      </c>
      <c r="K354" s="5" t="str">
        <f>IFERROR(__xludf.DUMMYFUNCTION("""COMPUTED_VALUE"""),"https://drive.google.com/file/d/1ka3V2CAfW9ccfwA8qZN36iHCbkqQtCB9/view?usp=drive_link")</f>
        <v>https://drive.google.com/file/d/1ka3V2CAfW9ccfwA8qZN36iHCbkqQtCB9/view?usp=drive_link</v>
      </c>
      <c r="L354" s="3" t="str">
        <f>IFERROR(__xludf.DUMMYFUNCTION("""COMPUTED_VALUE"""),"-")</f>
        <v>-</v>
      </c>
      <c r="M354" s="3" t="str">
        <f>IFERROR(__xludf.DUMMYFUNCTION("""COMPUTED_VALUE"""),"Approve")</f>
        <v>Approve</v>
      </c>
      <c r="N354" s="3" t="str">
        <f>IFERROR(__xludf.DUMMYFUNCTION("""COMPUTED_VALUE"""),"Normal")</f>
        <v>Normal</v>
      </c>
      <c r="O354" s="3" t="str">
        <f>IFERROR(__xludf.DUMMYFUNCTION("""COMPUTED_VALUE"""),"Non Urgent")</f>
        <v>Non Urgent</v>
      </c>
      <c r="P354" s="7">
        <f>IFERROR(__xludf.DUMMYFUNCTION("""COMPUTED_VALUE"""),45976.21925439815)</f>
        <v>45976.21925</v>
      </c>
    </row>
    <row r="355">
      <c r="A355" s="4">
        <f>IFERROR(__xludf.DUMMYFUNCTION("""COMPUTED_VALUE"""),45953.6555884838)</f>
        <v>45953.65559</v>
      </c>
      <c r="B355" s="3" t="str">
        <f>IFERROR(__xludf.DUMMYFUNCTION("""COMPUTED_VALUE"""),"ANOBR0040")</f>
        <v>ANOBR0040</v>
      </c>
      <c r="C355" s="3" t="str">
        <f>IFERROR(__xludf.DUMMYFUNCTION("""COMPUTED_VALUE"""),"EJO")</f>
        <v>EJO</v>
      </c>
      <c r="D355" s="3" t="str">
        <f>IFERROR(__xludf.DUMMYFUNCTION("""COMPUTED_VALUE"""),"EJO/2025/10/41")</f>
        <v>EJO/2025/10/41</v>
      </c>
      <c r="E355" s="3" t="str">
        <f>IFERROR(__xludf.DUMMYFUNCTION("""COMPUTED_VALUE"""),"Dispensing isolator Steril")</f>
        <v>Dispensing isolator Steril</v>
      </c>
      <c r="F355" s="3" t="str">
        <f>IFERROR(__xludf.DUMMYFUNCTION("""COMPUTED_VALUE"""),"baut pengunci pintu ")</f>
        <v>baut pengunci pintu </v>
      </c>
      <c r="G355" s="3" t="str">
        <f>IFERROR(__xludf.DUMMYFUNCTION("""COMPUTED_VALUE"""),"M6x10mm stailess 304")</f>
        <v>M6x10mm stailess 304</v>
      </c>
      <c r="H355" s="3" t="str">
        <f>IFERROR(__xludf.DUMMYFUNCTION("""COMPUTED_VALUE"""),"-")</f>
        <v>-</v>
      </c>
      <c r="I355" s="3">
        <f>IFERROR(__xludf.DUMMYFUNCTION("""COMPUTED_VALUE"""),1.0)</f>
        <v>1</v>
      </c>
      <c r="J355" s="3" t="str">
        <f>IFERROR(__xludf.DUMMYFUNCTION("""COMPUTED_VALUE"""),"box")</f>
        <v>box</v>
      </c>
      <c r="K355" s="5" t="str">
        <f>IFERROR(__xludf.DUMMYFUNCTION("""COMPUTED_VALUE"""),"https://shopee.co.id/product/291890345/13550838706?gads_t_sig=VTJGc2RHVmtYMTlxTFVSVVRrdENkWVp3RFo3Mkw5czd4Z0hzdEF1WVFibXlIZDIybHBoZTNaeElKbFpUNEp0MmtRUkNMWkhOY2pPS3lGbnhWeTNiSTdML3ZBVGpuTUFXTE4vYVBYdjN0Z29SY0I5cVFTSFpna1lIQTR2YVpRZFBqQU56dEZ0dStnZ1U0R0c4U"&amp;"XdRaEF3PT0&amp;gad_source=1&amp;gad_campaignid=22178753687&amp;gbraid=0AAAAADPpU81syoE8dRjMVcgEdipHEmkxe&amp;gclid=CjwKCAjwpOfHBhAxEiwAm1SwEgfAVvIQg1zmYwAFfNaXv2_TId8ydd7T5CpCqXqEkNOVhQshqUx7CxoCGHUQAvD_BwE")</f>
        <v>https://shopee.co.id/product/291890345/13550838706?gads_t_sig=VTJGc2RHVmtYMTlxTFVSVVRrdENkWVp3RFo3Mkw5czd4Z0hzdEF1WVFibXlIZDIybHBoZTNaeElKbFpUNEp0MmtRUkNMWkhOY2pPS3lGbnhWeTNiSTdML3ZBVGpuTUFXTE4vYVBYdjN0Z29SY0I5cVFTSFpna1lIQTR2YVpRZFBqQU56dEZ0dStnZ1U0R0c4UXdRaEF3PT0&amp;gad_source=1&amp;gad_campaignid=22178753687&amp;gbraid=0AAAAADPpU81syoE8dRjMVcgEdipHEmkxe&amp;gclid=CjwKCAjwpOfHBhAxEiwAm1SwEgfAVvIQg1zmYwAFfNaXv2_TId8ydd7T5CpCqXqEkNOVhQshqUx7CxoCGHUQAvD_BwE</v>
      </c>
      <c r="L355" s="3" t="str">
        <f>IFERROR(__xludf.DUMMYFUNCTION("""COMPUTED_VALUE"""),"keperluan penggantian baut pengunci pintu islolator dispensing sterill")</f>
        <v>keperluan penggantian baut pengunci pintu islolator dispensing sterill</v>
      </c>
      <c r="M355" s="3" t="str">
        <f>IFERROR(__xludf.DUMMYFUNCTION("""COMPUTED_VALUE"""),"Approve")</f>
        <v>Approve</v>
      </c>
      <c r="N355" s="3" t="str">
        <f>IFERROR(__xludf.DUMMYFUNCTION("""COMPUTED_VALUE"""),"Normal")</f>
        <v>Normal</v>
      </c>
      <c r="O355" s="3" t="str">
        <f>IFERROR(__xludf.DUMMYFUNCTION("""COMPUTED_VALUE"""),"Non Urgent")</f>
        <v>Non Urgent</v>
      </c>
      <c r="P355" s="7">
        <f>IFERROR(__xludf.DUMMYFUNCTION("""COMPUTED_VALUE"""),45976.21846325231)</f>
        <v>45976.21846</v>
      </c>
    </row>
    <row r="356">
      <c r="A356" s="4">
        <f>IFERROR(__xludf.DUMMYFUNCTION("""COMPUTED_VALUE"""),45957.510968587965)</f>
        <v>45957.51097</v>
      </c>
      <c r="B356" s="3" t="str">
        <f>IFERROR(__xludf.DUMMYFUNCTION("""COMPUTED_VALUE"""),"MOBBR0047")</f>
        <v>MOBBR0047</v>
      </c>
      <c r="C356" s="3" t="str">
        <f>IFERROR(__xludf.DUMMYFUNCTION("""COMPUTED_VALUE"""),"Critical Part")</f>
        <v>Critical Part</v>
      </c>
      <c r="D356" s="3" t="str">
        <f>IFERROR(__xludf.DUMMYFUNCTION("""COMPUTED_VALUE"""),"Spare")</f>
        <v>Spare</v>
      </c>
      <c r="E356" s="3" t="str">
        <f>IFERROR(__xludf.DUMMYFUNCTION("""COMPUTED_VALUE"""),"PW SKID dan WFI SKID")</f>
        <v>PW SKID dan WFI SKID</v>
      </c>
      <c r="F356" s="3" t="str">
        <f>IFERROR(__xludf.DUMMYFUNCTION("""COMPUTED_VALUE"""),"Inverter Circulation Pump")</f>
        <v>Inverter Circulation Pump</v>
      </c>
      <c r="G356" s="3" t="str">
        <f>IFERROR(__xludf.DUMMYFUNCTION("""COMPUTED_VALUE"""),"VLT2980PT4B20STR0DBF00A21C1 (11KW 15HP)")</f>
        <v>VLT2980PT4B20STR0DBF00A21C1 (11KW 15HP)</v>
      </c>
      <c r="H356" s="3" t="str">
        <f>IFERROR(__xludf.DUMMYFUNCTION("""COMPUTED_VALUE"""),"Danfoss")</f>
        <v>Danfoss</v>
      </c>
      <c r="I356" s="3">
        <f>IFERROR(__xludf.DUMMYFUNCTION("""COMPUTED_VALUE"""),1.0)</f>
        <v>1</v>
      </c>
      <c r="J356" s="3" t="str">
        <f>IFERROR(__xludf.DUMMYFUNCTION("""COMPUTED_VALUE"""),"Pcs")</f>
        <v>Pcs</v>
      </c>
      <c r="K356" s="5" t="str">
        <f>IFERROR(__xludf.DUMMYFUNCTION("""COMPUTED_VALUE"""),"https://store.danfoss.com/en/VLT2980PT4B20STR0DBF00A21C1/p/195N2191")</f>
        <v>https://store.danfoss.com/en/VLT2980PT4B20STR0DBF00A21C1/p/195N2191</v>
      </c>
      <c r="L356" s="3" t="str">
        <f>IFERROR(__xludf.DUMMYFUNCTION("""COMPUTED_VALUE"""),"Spare PW SKID dan WFI SKID")</f>
        <v>Spare PW SKID dan WFI SKID</v>
      </c>
      <c r="M356" s="3" t="str">
        <f>IFERROR(__xludf.DUMMYFUNCTION("""COMPUTED_VALUE"""),"Approve")</f>
        <v>Approve</v>
      </c>
      <c r="N356" s="3" t="str">
        <f>IFERROR(__xludf.DUMMYFUNCTION("""COMPUTED_VALUE"""),"Normal")</f>
        <v>Normal</v>
      </c>
      <c r="O356" s="3" t="str">
        <f>IFERROR(__xludf.DUMMYFUNCTION("""COMPUTED_VALUE"""),"Non Urgent")</f>
        <v>Non Urgent</v>
      </c>
      <c r="P356" s="7">
        <f>IFERROR(__xludf.DUMMYFUNCTION("""COMPUTED_VALUE"""),45958.49157315972)</f>
        <v>45958.49157</v>
      </c>
    </row>
    <row r="357">
      <c r="A357" s="4">
        <f>IFERROR(__xludf.DUMMYFUNCTION("""COMPUTED_VALUE"""),45958.661331296295)</f>
        <v>45958.66133</v>
      </c>
      <c r="B357" s="3" t="str">
        <f>IFERROR(__xludf.DUMMYFUNCTION("""COMPUTED_VALUE"""),"ROSBR0044")</f>
        <v>ROSBR0044</v>
      </c>
      <c r="C357" s="3" t="str">
        <f>IFERROR(__xludf.DUMMYFUNCTION("""COMPUTED_VALUE"""),"Consumable")</f>
        <v>Consumable</v>
      </c>
      <c r="D357" s="3" t="str">
        <f>IFERROR(__xludf.DUMMYFUNCTION("""COMPUTED_VALUE"""),"NA ")</f>
        <v>NA </v>
      </c>
      <c r="E357" s="3" t="str">
        <f>IFERROR(__xludf.DUMMYFUNCTION("""COMPUTED_VALUE"""),"Autoclave Service ")</f>
        <v>Autoclave Service </v>
      </c>
      <c r="F357" s="3" t="str">
        <f>IFERROR(__xludf.DUMMYFUNCTION("""COMPUTED_VALUE"""),"Oil Seal valve modulating ")</f>
        <v>Oil Seal valve modulating </v>
      </c>
      <c r="G357" s="3" t="str">
        <f>IFERROR(__xludf.DUMMYFUNCTION("""COMPUTED_VALUE"""),"Oil Seal valve modulating 
type : UPI 
Material : Viton
ID : 20mm
OD : 28mm
tebal : 5.5mm ")</f>
        <v>Oil Seal valve modulating 
type : UPI 
Material : Viton
ID : 20mm
OD : 28mm
tebal : 5.5mm </v>
      </c>
      <c r="H357" s="3" t="str">
        <f>IFERROR(__xludf.DUMMYFUNCTION("""COMPUTED_VALUE"""),"Nordex")</f>
        <v>Nordex</v>
      </c>
      <c r="I357" s="3">
        <f>IFERROR(__xludf.DUMMYFUNCTION("""COMPUTED_VALUE"""),5.0)</f>
        <v>5</v>
      </c>
      <c r="J357" s="3" t="str">
        <f>IFERROR(__xludf.DUMMYFUNCTION("""COMPUTED_VALUE"""),"pcs")</f>
        <v>pcs</v>
      </c>
      <c r="K357" s="5" t="str">
        <f>IFERROR(__xludf.DUMMYFUNCTION("""COMPUTED_VALUE"""),"https://drive.google.com/drive/folders/1XckZUYeeAEETc2mQSR_pARUUolsPGBVs?usp=drive_link")</f>
        <v>https://drive.google.com/drive/folders/1XckZUYeeAEETc2mQSR_pARUUolsPGBVs?usp=drive_link</v>
      </c>
      <c r="L357" s="3" t="str">
        <f>IFERROR(__xludf.DUMMYFUNCTION("""COMPUTED_VALUE"""),"tolong carikan sesuai gambar dan ukuran ya
untuk merk kalau bisa yang UPI sesuai dengan bawaan ")</f>
        <v>tolong carikan sesuai gambar dan ukuran ya
untuk merk kalau bisa yang UPI sesuai dengan bawaan </v>
      </c>
      <c r="M357" s="3" t="str">
        <f>IFERROR(__xludf.DUMMYFUNCTION("""COMPUTED_VALUE"""),"Approve")</f>
        <v>Approve</v>
      </c>
      <c r="N357" s="3" t="str">
        <f>IFERROR(__xludf.DUMMYFUNCTION("""COMPUTED_VALUE"""),"Normal")</f>
        <v>Normal</v>
      </c>
      <c r="O357" s="3" t="str">
        <f>IFERROR(__xludf.DUMMYFUNCTION("""COMPUTED_VALUE"""),"Non Urgent")</f>
        <v>Non Urgent</v>
      </c>
      <c r="P357" s="7">
        <f>IFERROR(__xludf.DUMMYFUNCTION("""COMPUTED_VALUE"""),45976.21966811342)</f>
        <v>45976.21967</v>
      </c>
    </row>
    <row r="358">
      <c r="A358" s="4">
        <f>IFERROR(__xludf.DUMMYFUNCTION("""COMPUTED_VALUE"""),45958.6625225)</f>
        <v>45958.66252</v>
      </c>
      <c r="B358" s="3" t="str">
        <f>IFERROR(__xludf.DUMMYFUNCTION("""COMPUTED_VALUE"""),"INNBR0046")</f>
        <v>INNBR0046</v>
      </c>
      <c r="C358" s="3" t="str">
        <f>IFERROR(__xludf.DUMMYFUNCTION("""COMPUTED_VALUE"""),"EJO")</f>
        <v>EJO</v>
      </c>
      <c r="D358" s="3" t="str">
        <f>IFERROR(__xludf.DUMMYFUNCTION("""COMPUTED_VALUE"""),"EJO/2025/10/104")</f>
        <v>EJO/2025/10/104</v>
      </c>
      <c r="E358" s="3" t="str">
        <f>IFERROR(__xludf.DUMMYFUNCTION("""COMPUTED_VALUE"""),"HPLC 4")</f>
        <v>HPLC 4</v>
      </c>
      <c r="F358" s="3" t="str">
        <f>IFERROR(__xludf.DUMMYFUNCTION("""COMPUTED_VALUE"""),"Engine, Heater/Cooler P/N : 700002139")</f>
        <v>Engine, Heater/Cooler P/N : 700002139</v>
      </c>
      <c r="G358" s="3" t="str">
        <f>IFERROR(__xludf.DUMMYFUNCTION("""COMPUTED_VALUE"""),"Minta penawaran ke kromtek")</f>
        <v>Minta penawaran ke kromtek</v>
      </c>
      <c r="H358" s="3" t="str">
        <f>IFERROR(__xludf.DUMMYFUNCTION("""COMPUTED_VALUE"""),"Kromtek")</f>
        <v>Kromtek</v>
      </c>
      <c r="I358" s="3">
        <f>IFERROR(__xludf.DUMMYFUNCTION("""COMPUTED_VALUE"""),2.0)</f>
        <v>2</v>
      </c>
      <c r="J358" s="3" t="str">
        <f>IFERROR(__xludf.DUMMYFUNCTION("""COMPUTED_VALUE"""),"Unit")</f>
        <v>Unit</v>
      </c>
      <c r="K358" s="3" t="str">
        <f>IFERROR(__xludf.DUMMYFUNCTION("""COMPUTED_VALUE"""),"NA")</f>
        <v>NA</v>
      </c>
      <c r="L358" s="3" t="str">
        <f>IFERROR(__xludf.DUMMYFUNCTION("""COMPUTED_VALUE"""),"Untuk Coloum sample HPLC")</f>
        <v>Untuk Coloum sample HPLC</v>
      </c>
      <c r="M358" s="3" t="str">
        <f>IFERROR(__xludf.DUMMYFUNCTION("""COMPUTED_VALUE"""),"Approve")</f>
        <v>Approve</v>
      </c>
      <c r="N358" s="3" t="str">
        <f>IFERROR(__xludf.DUMMYFUNCTION("""COMPUTED_VALUE"""),"Normal")</f>
        <v>Normal</v>
      </c>
      <c r="O358" s="3" t="str">
        <f>IFERROR(__xludf.DUMMYFUNCTION("""COMPUTED_VALUE"""),"Non Urgent")</f>
        <v>Non Urgent</v>
      </c>
      <c r="P358" s="7">
        <f>IFERROR(__xludf.DUMMYFUNCTION("""COMPUTED_VALUE"""),45976.21706649306)</f>
        <v>45976.21707</v>
      </c>
    </row>
    <row r="359">
      <c r="A359" s="4">
        <f>IFERROR(__xludf.DUMMYFUNCTION("""COMPUTED_VALUE"""),45962.43386340277)</f>
        <v>45962.43386</v>
      </c>
      <c r="B359" s="3" t="str">
        <f>IFERROR(__xludf.DUMMYFUNCTION("""COMPUTED_VALUE"""),"SFHBR0038")</f>
        <v>SFHBR0038</v>
      </c>
      <c r="C359" s="3" t="str">
        <f>IFERROR(__xludf.DUMMYFUNCTION("""COMPUTED_VALUE"""),"EJO")</f>
        <v>EJO</v>
      </c>
      <c r="D359" s="3" t="str">
        <f>IFERROR(__xludf.DUMMYFUNCTION("""COMPUTED_VALUE"""),"EJO/2025/08/02")</f>
        <v>EJO/2025/08/02</v>
      </c>
      <c r="E359" s="3" t="str">
        <f>IFERROR(__xludf.DUMMYFUNCTION("""COMPUTED_VALUE"""),"lantai 2")</f>
        <v>lantai 2</v>
      </c>
      <c r="F359" s="3" t="str">
        <f>IFERROR(__xludf.DUMMYFUNCTION("""COMPUTED_VALUE"""),"Sika SikaTop Seal 107 - 2 Komponen (20kg Semen + 5kg Cairan) - Kantor")</f>
        <v>Sika SikaTop Seal 107 - 2 Komponen (20kg Semen + 5kg Cairan) - Kantor</v>
      </c>
      <c r="G359" s="3" t="str">
        <f>IFERROR(__xludf.DUMMYFUNCTION("""COMPUTED_VALUE"""),"Sika SikaTop Seal 107 - 2 Komponen (20kg Semen + 5kg Cairan) - Kantor")</f>
        <v>Sika SikaTop Seal 107 - 2 Komponen (20kg Semen + 5kg Cairan) - Kantor</v>
      </c>
      <c r="H359" s="3" t="str">
        <f>IFERROR(__xludf.DUMMYFUNCTION("""COMPUTED_VALUE"""),"SIKA")</f>
        <v>SIKA</v>
      </c>
      <c r="I359" s="3">
        <f>IFERROR(__xludf.DUMMYFUNCTION("""COMPUTED_VALUE"""),20.0)</f>
        <v>20</v>
      </c>
      <c r="J359" s="3" t="str">
        <f>IFERROR(__xludf.DUMMYFUNCTION("""COMPUTED_VALUE"""),"kg")</f>
        <v>kg</v>
      </c>
      <c r="K359" s="5" t="str">
        <f>IFERROR(__xludf.DUMMYFUNCTION("""COMPUTED_VALUE"""),"https://tk.tokopedia.com/ZSy62HdQb/")</f>
        <v>https://tk.tokopedia.com/ZSy62HdQb/</v>
      </c>
      <c r="L359" s="3" t="str">
        <f>IFERROR(__xludf.DUMMYFUNCTION("""COMPUTED_VALUE"""),"-")</f>
        <v>-</v>
      </c>
      <c r="M359" s="3" t="str">
        <f>IFERROR(__xludf.DUMMYFUNCTION("""COMPUTED_VALUE"""),"Approve")</f>
        <v>Approve</v>
      </c>
      <c r="N359" s="3" t="str">
        <f>IFERROR(__xludf.DUMMYFUNCTION("""COMPUTED_VALUE"""),"Normal")</f>
        <v>Normal</v>
      </c>
      <c r="O359" s="3" t="str">
        <f>IFERROR(__xludf.DUMMYFUNCTION("""COMPUTED_VALUE"""),"Non Urgent")</f>
        <v>Non Urgent</v>
      </c>
      <c r="P359" s="7">
        <f>IFERROR(__xludf.DUMMYFUNCTION("""COMPUTED_VALUE"""),45964.842853368056)</f>
        <v>45964.84285</v>
      </c>
    </row>
    <row r="360">
      <c r="A360" s="4">
        <f>IFERROR(__xludf.DUMMYFUNCTION("""COMPUTED_VALUE"""),45962.44112657407)</f>
        <v>45962.44113</v>
      </c>
      <c r="B360" s="3" t="str">
        <f>IFERROR(__xludf.DUMMYFUNCTION("""COMPUTED_VALUE"""),"SFHBR0039")</f>
        <v>SFHBR0039</v>
      </c>
      <c r="C360" s="3" t="str">
        <f>IFERROR(__xludf.DUMMYFUNCTION("""COMPUTED_VALUE"""),"EJO")</f>
        <v>EJO</v>
      </c>
      <c r="D360" s="3" t="str">
        <f>IFERROR(__xludf.DUMMYFUNCTION("""COMPUTED_VALUE"""),"EJO/2025/08/02")</f>
        <v>EJO/2025/08/02</v>
      </c>
      <c r="E360" s="3" t="str">
        <f>IFERROR(__xludf.DUMMYFUNCTION("""COMPUTED_VALUE"""),"lantai 2")</f>
        <v>lantai 2</v>
      </c>
      <c r="F360" s="3" t="str">
        <f>IFERROR(__xludf.DUMMYFUNCTION("""COMPUTED_VALUE"""),"Aqualuxe Lem Anti Bocor 1kg Transparan Waterproof Nano Serbaguna untuk Tembok Atap &amp; Lantai Super Kuat Teknologi Nano Particle Invisible Tahan Air")</f>
        <v>Aqualuxe Lem Anti Bocor 1kg Transparan Waterproof Nano Serbaguna untuk Tembok Atap &amp; Lantai Super Kuat Teknologi Nano Particle Invisible Tahan Air</v>
      </c>
      <c r="G360" s="3" t="str">
        <f>IFERROR(__xludf.DUMMYFUNCTION("""COMPUTED_VALUE"""),"Aqualuxe Lem Anti Bocor 1kg Transparan Waterproof Nano Serbaguna untuk Tembok Atap &amp; Lantai Super Kuat Teknologi Nano Particle Invisible Tahan Air")</f>
        <v>Aqualuxe Lem Anti Bocor 1kg Transparan Waterproof Nano Serbaguna untuk Tembok Atap &amp; Lantai Super Kuat Teknologi Nano Particle Invisible Tahan Air</v>
      </c>
      <c r="H360" s="3" t="str">
        <f>IFERROR(__xludf.DUMMYFUNCTION("""COMPUTED_VALUE"""),"aqualuxe")</f>
        <v>aqualuxe</v>
      </c>
      <c r="I360" s="3">
        <f>IFERROR(__xludf.DUMMYFUNCTION("""COMPUTED_VALUE"""),5.0)</f>
        <v>5</v>
      </c>
      <c r="J360" s="3" t="str">
        <f>IFERROR(__xludf.DUMMYFUNCTION("""COMPUTED_VALUE"""),"kg")</f>
        <v>kg</v>
      </c>
      <c r="K360" s="5" t="str">
        <f>IFERROR(__xludf.DUMMYFUNCTION("""COMPUTED_VALUE"""),"https://tk.tokopedia.com/ZSy6jMxHp/")</f>
        <v>https://tk.tokopedia.com/ZSy6jMxHp/</v>
      </c>
      <c r="L360" s="3" t="str">
        <f>IFERROR(__xludf.DUMMYFUNCTION("""COMPUTED_VALUE"""),"-")</f>
        <v>-</v>
      </c>
      <c r="M360" s="3" t="str">
        <f>IFERROR(__xludf.DUMMYFUNCTION("""COMPUTED_VALUE"""),"Approve")</f>
        <v>Approve</v>
      </c>
      <c r="N360" s="3" t="str">
        <f>IFERROR(__xludf.DUMMYFUNCTION("""COMPUTED_VALUE"""),"Normal")</f>
        <v>Normal</v>
      </c>
      <c r="O360" s="3" t="str">
        <f>IFERROR(__xludf.DUMMYFUNCTION("""COMPUTED_VALUE"""),"Non Urgent")</f>
        <v>Non Urgent</v>
      </c>
      <c r="P360" s="7">
        <f>IFERROR(__xludf.DUMMYFUNCTION("""COMPUTED_VALUE"""),45964.84255743056)</f>
        <v>45964.84256</v>
      </c>
    </row>
    <row r="361">
      <c r="A361" s="4">
        <f>IFERROR(__xludf.DUMMYFUNCTION("""COMPUTED_VALUE"""),45965.43246111111)</f>
        <v>45965.43246</v>
      </c>
      <c r="B361" s="3" t="str">
        <f>IFERROR(__xludf.DUMMYFUNCTION("""COMPUTED_VALUE"""),"ROSBR0045")</f>
        <v>ROSBR0045</v>
      </c>
      <c r="C361" s="3" t="str">
        <f>IFERROR(__xludf.DUMMYFUNCTION("""COMPUTED_VALUE"""),"Consumable")</f>
        <v>Consumable</v>
      </c>
      <c r="D361" s="3" t="str">
        <f>IFERROR(__xludf.DUMMYFUNCTION("""COMPUTED_VALUE"""),"NA")</f>
        <v>NA</v>
      </c>
      <c r="E361" s="3" t="str">
        <f>IFERROR(__xludf.DUMMYFUNCTION("""COMPUTED_VALUE"""),"plab coating ")</f>
        <v>plab coating </v>
      </c>
      <c r="F361" s="3" t="str">
        <f>IFERROR(__xludf.DUMMYFUNCTION("""COMPUTED_VALUE"""),"Oring cover Shaft Line washing coating ")</f>
        <v>Oring cover Shaft Line washing coating </v>
      </c>
      <c r="G361" s="3" t="str">
        <f>IFERROR(__xludf.DUMMYFUNCTION("""COMPUTED_VALUE"""),"Oring Cover shaft line washing Coating 
Material : EPDM 
ID : 51mm
OD : 56mm
tebal : 2.5 mm ")</f>
        <v>Oring Cover shaft line washing Coating 
Material : EPDM 
ID : 51mm
OD : 56mm
tebal : 2.5 mm </v>
      </c>
      <c r="H361" s="3" t="str">
        <f>IFERROR(__xludf.DUMMYFUNCTION("""COMPUTED_VALUE"""),"EPDM ")</f>
        <v>EPDM </v>
      </c>
      <c r="I361" s="3">
        <f>IFERROR(__xludf.DUMMYFUNCTION("""COMPUTED_VALUE"""),5.0)</f>
        <v>5</v>
      </c>
      <c r="J361" s="3" t="str">
        <f>IFERROR(__xludf.DUMMYFUNCTION("""COMPUTED_VALUE"""),"pcs")</f>
        <v>pcs</v>
      </c>
      <c r="K361" s="3" t="str">
        <f>IFERROR(__xludf.DUMMYFUNCTION("""COMPUTED_VALUE"""),"-")</f>
        <v>-</v>
      </c>
      <c r="L361" s="3" t="str">
        <f>IFERROR(__xludf.DUMMYFUNCTION("""COMPUTED_VALUE"""),"-")</f>
        <v>-</v>
      </c>
      <c r="M361" s="3" t="str">
        <f>IFERROR(__xludf.DUMMYFUNCTION("""COMPUTED_VALUE"""),"Approve")</f>
        <v>Approve</v>
      </c>
      <c r="N361" s="3" t="str">
        <f>IFERROR(__xludf.DUMMYFUNCTION("""COMPUTED_VALUE"""),"Normal")</f>
        <v>Normal</v>
      </c>
      <c r="O361" s="3" t="str">
        <f>IFERROR(__xludf.DUMMYFUNCTION("""COMPUTED_VALUE"""),"Non Urgent")</f>
        <v>Non Urgent</v>
      </c>
      <c r="P361" s="7">
        <f>IFERROR(__xludf.DUMMYFUNCTION("""COMPUTED_VALUE"""),45976.22034482639)</f>
        <v>45976.22034</v>
      </c>
    </row>
    <row r="362">
      <c r="A362" s="4">
        <f>IFERROR(__xludf.DUMMYFUNCTION("""COMPUTED_VALUE"""),45972.40130546296)</f>
        <v>45972.40131</v>
      </c>
      <c r="B362" s="3" t="str">
        <f>IFERROR(__xludf.DUMMYFUNCTION("""COMPUTED_VALUE"""),"RIABR0115")</f>
        <v>RIABR0115</v>
      </c>
      <c r="C362" s="3" t="str">
        <f>IFERROR(__xludf.DUMMYFUNCTION("""COMPUTED_VALUE"""),"Consumable")</f>
        <v>Consumable</v>
      </c>
      <c r="D362" s="3" t="str">
        <f>IFERROR(__xludf.DUMMYFUNCTION("""COMPUTED_VALUE"""),"-")</f>
        <v>-</v>
      </c>
      <c r="E362" s="3" t="str">
        <f>IFERROR(__xludf.DUMMYFUNCTION("""COMPUTED_VALUE"""),"All Area")</f>
        <v>All Area</v>
      </c>
      <c r="F362" s="3" t="str">
        <f>IFERROR(__xludf.DUMMYFUNCTION("""COMPUTED_VALUE"""),"Head Lamp")</f>
        <v>Head Lamp</v>
      </c>
      <c r="G362" s="3" t="str">
        <f>IFERROR(__xludf.DUMMYFUNCTION("""COMPUTED_VALUE"""),"Headlamp Bosch")</f>
        <v>Headlamp Bosch</v>
      </c>
      <c r="H362" s="3" t="str">
        <f>IFERROR(__xludf.DUMMYFUNCTION("""COMPUTED_VALUE"""),"Bosch")</f>
        <v>Bosch</v>
      </c>
      <c r="I362" s="3">
        <f>IFERROR(__xludf.DUMMYFUNCTION("""COMPUTED_VALUE"""),3.0)</f>
        <v>3</v>
      </c>
      <c r="J362" s="3" t="str">
        <f>IFERROR(__xludf.DUMMYFUNCTION("""COMPUTED_VALUE"""),"Pcs")</f>
        <v>Pcs</v>
      </c>
      <c r="K362" s="5" t="str">
        <f>IFERROR(__xludf.DUMMYFUNCTION("""COMPUTED_VALUE"""),"https://www.tokopedia.com/bosch-tools-authorized-bts/bosch-head-lamp-torch-headlight-190lm-ipx-4-lampu-kerja-senter-kepala?extParam=ivf%3Dfalse%26keyword%3Dbosch+senter+kepala%26search_id%3D2025111102370211B9842E0A271F20EVMM%26src%3Dsearch&amp;t_id=1762828426"&amp;"571&amp;t_st=2&amp;t_pp=search_result&amp;t_efo=search_pure_goods_card&amp;t_ef=goods_search&amp;t_sm=&amp;t_spt=search_result")</f>
        <v>https://www.tokopedia.com/bosch-tools-authorized-bts/bosch-head-lamp-torch-headlight-190lm-ipx-4-lampu-kerja-senter-kepala?extParam=ivf%3Dfalse%26keyword%3Dbosch+senter+kepala%26search_id%3D2025111102370211B9842E0A271F20EVMM%26src%3Dsearch&amp;t_id=1762828426571&amp;t_st=2&amp;t_pp=search_result&amp;t_efo=search_pure_goods_card&amp;t_ef=goods_search&amp;t_sm=&amp;t_spt=search_result</v>
      </c>
      <c r="L362" s="3" t="str">
        <f>IFERROR(__xludf.DUMMYFUNCTION("""COMPUTED_VALUE"""),"Untuk mengerjakan di tempat minim cahaya dan lebih enak daripada menggunakan flash HP")</f>
        <v>Untuk mengerjakan di tempat minim cahaya dan lebih enak daripada menggunakan flash HP</v>
      </c>
      <c r="M362" s="3" t="str">
        <f>IFERROR(__xludf.DUMMYFUNCTION("""COMPUTED_VALUE"""),"Approve")</f>
        <v>Approve</v>
      </c>
      <c r="N362" s="3" t="str">
        <f>IFERROR(__xludf.DUMMYFUNCTION("""COMPUTED_VALUE"""),"Normal")</f>
        <v>Normal</v>
      </c>
      <c r="O362" s="3" t="str">
        <f>IFERROR(__xludf.DUMMYFUNCTION("""COMPUTED_VALUE"""),"Non Urgent")</f>
        <v>Non Urgent</v>
      </c>
      <c r="P362" s="7">
        <f>IFERROR(__xludf.DUMMYFUNCTION("""COMPUTED_VALUE"""),45972.590040995376)</f>
        <v>45972.59004</v>
      </c>
    </row>
    <row r="363">
      <c r="A363" s="4">
        <f>IFERROR(__xludf.DUMMYFUNCTION("""COMPUTED_VALUE"""),45973.88009362268)</f>
        <v>45973.88009</v>
      </c>
      <c r="B363" s="3" t="str">
        <f>IFERROR(__xludf.DUMMYFUNCTION("""COMPUTED_VALUE"""),"ROSBR0046")</f>
        <v>ROSBR0046</v>
      </c>
      <c r="C363" s="3" t="str">
        <f>IFERROR(__xludf.DUMMYFUNCTION("""COMPUTED_VALUE"""),"Consumable")</f>
        <v>Consumable</v>
      </c>
      <c r="D363" s="3" t="str">
        <f>IFERROR(__xludf.DUMMYFUNCTION("""COMPUTED_VALUE"""),"NA")</f>
        <v>NA</v>
      </c>
      <c r="E363" s="3" t="str">
        <f>IFERROR(__xludf.DUMMYFUNCTION("""COMPUTED_VALUE"""),"Membran Crabs ")</f>
        <v>Membran Crabs </v>
      </c>
      <c r="F363" s="3" t="str">
        <f>IFERROR(__xludf.DUMMYFUNCTION("""COMPUTED_VALUE"""),"tang Riveter nuts guns")</f>
        <v>tang Riveter nuts guns</v>
      </c>
      <c r="G363" s="3" t="str">
        <f>IFERROR(__xludf.DUMMYFUNCTION("""COMPUTED_VALUE"""),"Tang Riveter Nuts Guns 
material : Baja &amp; logam ")</f>
        <v>Tang Riveter Nuts Guns 
material : Baja &amp; logam </v>
      </c>
      <c r="H363" s="3" t="str">
        <f>IFERROR(__xludf.DUMMYFUNCTION("""COMPUTED_VALUE"""),"Universal ")</f>
        <v>Universal </v>
      </c>
      <c r="I363" s="3">
        <f>IFERROR(__xludf.DUMMYFUNCTION("""COMPUTED_VALUE"""),1.0)</f>
        <v>1</v>
      </c>
      <c r="J363" s="3" t="str">
        <f>IFERROR(__xludf.DUMMYFUNCTION("""COMPUTED_VALUE"""),"set")</f>
        <v>set</v>
      </c>
      <c r="K363" s="5" t="str">
        <f>IFERROR(__xludf.DUMMYFUNCTION("""COMPUTED_VALUE"""),"https://shopee.co.id/Tang-Riveter-nuts-guns-with-nuts-110-pcs-i.1350425502.29814821242?extraParams=%7B%22display_model_id%22%3A207900299653%2C%22model_selection_logic%22%3A3%7D&amp;sp_atk=132c58a9-1d7f-452f-9eb1-021003caed19&amp;xptdk=132c58a9-1d7f-452f-9eb1-0210"&amp;"03caed19")</f>
        <v>https://shopee.co.id/Tang-Riveter-nuts-guns-with-nuts-110-pcs-i.1350425502.29814821242?extraParams=%7B%22display_model_id%22%3A207900299653%2C%22model_selection_logic%22%3A3%7D&amp;sp_atk=132c58a9-1d7f-452f-9eb1-021003caed19&amp;xptdk=132c58a9-1d7f-452f-9eb1-021003caed19</v>
      </c>
      <c r="L363" s="3" t="str">
        <f>IFERROR(__xludf.DUMMYFUNCTION("""COMPUTED_VALUE"""),"Tolong belikan rivet Nut gun buat pergantian Nuts membran Crabs ")</f>
        <v>Tolong belikan rivet Nut gun buat pergantian Nuts membran Crabs </v>
      </c>
      <c r="M363" s="3" t="str">
        <f>IFERROR(__xludf.DUMMYFUNCTION("""COMPUTED_VALUE"""),"Approve")</f>
        <v>Approve</v>
      </c>
      <c r="N363" s="3" t="str">
        <f>IFERROR(__xludf.DUMMYFUNCTION("""COMPUTED_VALUE"""),"Normal")</f>
        <v>Normal</v>
      </c>
      <c r="O363" s="3" t="str">
        <f>IFERROR(__xludf.DUMMYFUNCTION("""COMPUTED_VALUE"""),"Non Urgent")</f>
        <v>Non Urgent</v>
      </c>
      <c r="P363" s="7">
        <f>IFERROR(__xludf.DUMMYFUNCTION("""COMPUTED_VALUE"""),46010.24771673611)</f>
        <v>46010.24772</v>
      </c>
    </row>
    <row r="364">
      <c r="A364" s="4">
        <f>IFERROR(__xludf.DUMMYFUNCTION("""COMPUTED_VALUE"""),45973.891167546295)</f>
        <v>45973.89117</v>
      </c>
      <c r="B364" s="3" t="str">
        <f>IFERROR(__xludf.DUMMYFUNCTION("""COMPUTED_VALUE"""),"ROSBR0047")</f>
        <v>ROSBR0047</v>
      </c>
      <c r="C364" s="3" t="str">
        <f>IFERROR(__xludf.DUMMYFUNCTION("""COMPUTED_VALUE"""),"Consumable")</f>
        <v>Consumable</v>
      </c>
      <c r="D364" s="3" t="str">
        <f>IFERROR(__xludf.DUMMYFUNCTION("""COMPUTED_VALUE"""),"NA")</f>
        <v>NA</v>
      </c>
      <c r="E364" s="3" t="str">
        <f>IFERROR(__xludf.DUMMYFUNCTION("""COMPUTED_VALUE"""),"Membran Crabs ")</f>
        <v>Membran Crabs </v>
      </c>
      <c r="F364" s="3" t="str">
        <f>IFERROR(__xludf.DUMMYFUNCTION("""COMPUTED_VALUE"""),"Mur nuts rivet ")</f>
        <v>Mur nuts rivet </v>
      </c>
      <c r="G364" s="3" t="str">
        <f>IFERROR(__xludf.DUMMYFUNCTION("""COMPUTED_VALUE"""),"Mur nuts rivet Stainless
material : stainless
ukuran M5")</f>
        <v>Mur nuts rivet Stainless
material : stainless
ukuran M5</v>
      </c>
      <c r="H364" s="3" t="str">
        <f>IFERROR(__xludf.DUMMYFUNCTION("""COMPUTED_VALUE"""),"Universal ")</f>
        <v>Universal </v>
      </c>
      <c r="I364" s="3">
        <f>IFERROR(__xludf.DUMMYFUNCTION("""COMPUTED_VALUE"""),2.0)</f>
        <v>2</v>
      </c>
      <c r="J364" s="3" t="str">
        <f>IFERROR(__xludf.DUMMYFUNCTION("""COMPUTED_VALUE"""),"pak")</f>
        <v>pak</v>
      </c>
      <c r="K364" s="5" t="str">
        <f>IFERROR(__xludf.DUMMYFUNCTION("""COMPUTED_VALUE"""),"https://www.tokopedia.com/avo2001/1pack-100pcs-m5-mur-rivet-stainles-ss-304-mur-furniture-ss-304-rivet-nut-stainless-304-1731042401031521814?extParam=ivf%3Dfalse%26keyword%3Drivet+nuts+mur+m5+stainlees%26search_id%3D2025111214133120F07591C6FCB21550U5%26sr"&amp;"c%3Dsearch&amp;t_id=1762956816005&amp;t_st=2&amp;t_pp=search_result&amp;t_efo=search_pure_goods_card&amp;t_ef=goods_search&amp;t_sm=&amp;t_spt=search_result")</f>
        <v>https://www.tokopedia.com/avo2001/1pack-100pcs-m5-mur-rivet-stainles-ss-304-mur-furniture-ss-304-rivet-nut-stainless-304-1731042401031521814?extParam=ivf%3Dfalse%26keyword%3Drivet+nuts+mur+m5+stainlees%26search_id%3D2025111214133120F07591C6FCB21550U5%26src%3Dsearch&amp;t_id=1762956816005&amp;t_st=2&amp;t_pp=search_result&amp;t_efo=search_pure_goods_card&amp;t_ef=goods_search&amp;t_sm=&amp;t_spt=search_result</v>
      </c>
      <c r="L364" s="3" t="str">
        <f>IFERROR(__xludf.DUMMYFUNCTION("""COMPUTED_VALUE"""),"Tolong belikan mur nuts rivet material stainless ukuran M5, sebanyak 2pak tiap pak isi 100pcs")</f>
        <v>Tolong belikan mur nuts rivet material stainless ukuran M5, sebanyak 2pak tiap pak isi 100pcs</v>
      </c>
      <c r="M364" s="3" t="str">
        <f>IFERROR(__xludf.DUMMYFUNCTION("""COMPUTED_VALUE"""),"Approve")</f>
        <v>Approve</v>
      </c>
      <c r="N364" s="3" t="str">
        <f>IFERROR(__xludf.DUMMYFUNCTION("""COMPUTED_VALUE"""),"Normal")</f>
        <v>Normal</v>
      </c>
      <c r="O364" s="3" t="str">
        <f>IFERROR(__xludf.DUMMYFUNCTION("""COMPUTED_VALUE"""),"Non Urgent")</f>
        <v>Non Urgent</v>
      </c>
      <c r="P364" s="7">
        <f>IFERROR(__xludf.DUMMYFUNCTION("""COMPUTED_VALUE"""),46010.247950613426)</f>
        <v>46010.24795</v>
      </c>
    </row>
    <row r="365">
      <c r="A365" s="4">
        <f>IFERROR(__xludf.DUMMYFUNCTION("""COMPUTED_VALUE"""),45973.923991261574)</f>
        <v>45973.92399</v>
      </c>
      <c r="B365" s="3" t="str">
        <f>IFERROR(__xludf.DUMMYFUNCTION("""COMPUTED_VALUE"""),"ROSBR0048")</f>
        <v>ROSBR0048</v>
      </c>
      <c r="C365" s="3" t="str">
        <f>IFERROR(__xludf.DUMMYFUNCTION("""COMPUTED_VALUE"""),"Consumable")</f>
        <v>Consumable</v>
      </c>
      <c r="D365" s="3" t="str">
        <f>IFERROR(__xludf.DUMMYFUNCTION("""COMPUTED_VALUE"""),"NA")</f>
        <v>NA</v>
      </c>
      <c r="E365" s="3" t="str">
        <f>IFERROR(__xludf.DUMMYFUNCTION("""COMPUTED_VALUE"""),"Membran Crabs ")</f>
        <v>Membran Crabs </v>
      </c>
      <c r="F365" s="3" t="str">
        <f>IFERROR(__xludf.DUMMYFUNCTION("""COMPUTED_VALUE"""),"GB5789 Serrated Flanged Hexagon Bolt Stainless Steel SUS304 M5x16")</f>
        <v>GB5789 Serrated Flanged Hexagon Bolt Stainless Steel SUS304 M5x16</v>
      </c>
      <c r="G365" s="3" t="str">
        <f>IFERROR(__xludf.DUMMYFUNCTION("""COMPUTED_VALUE"""),"GB5789 Serrated Flanged Hexagon Bolt Stainless Steel SUS304 M5x16
Standard : GB5789
Material : Stainless Steel (SUS304)
Shape : Flanged and Serrated Bolt
Diameter Ulir : M5
Panjang Ulir : 16mm")</f>
        <v>GB5789 Serrated Flanged Hexagon Bolt Stainless Steel SUS304 M5x16
Standard : GB5789
Material : Stainless Steel (SUS304)
Shape : Flanged and Serrated Bolt
Diameter Ulir : M5
Panjang Ulir : 16mm</v>
      </c>
      <c r="H365" s="3" t="str">
        <f>IFERROR(__xludf.DUMMYFUNCTION("""COMPUTED_VALUE"""),"Misumi")</f>
        <v>Misumi</v>
      </c>
      <c r="I365" s="3">
        <f>IFERROR(__xludf.DUMMYFUNCTION("""COMPUTED_VALUE"""),100.0)</f>
        <v>100</v>
      </c>
      <c r="J365" s="3" t="str">
        <f>IFERROR(__xludf.DUMMYFUNCTION("""COMPUTED_VALUE"""),"pcs")</f>
        <v>pcs</v>
      </c>
      <c r="K365" s="5" t="str">
        <f>IFERROR(__xludf.DUMMYFUNCTION("""COMPUTED_VALUE"""),"https://www.tokopedia.com/indomakers/gb5789-serrated-flanged-hexagon-bolt-stainless-steel-sus304-m5x16-isi-10pcs-1731645178796410672?extParam=ivf%3Dfalse%26keyword%3Dgb5789+%26search_id%3D2026012615170637BC2F75BF1BCF0E5LSC%26src%3Dsearch&amp;t_id=176944067742"&amp;"4&amp;t_st=1&amp;t_pp=search_result&amp;t_efo=search_pure_goods_card&amp;t_ef=goods_search&amp;t_sm=&amp;t_spt=search_result")</f>
        <v>https://www.tokopedia.com/indomakers/gb5789-serrated-flanged-hexagon-bolt-stainless-steel-sus304-m5x16-isi-10pcs-1731645178796410672?extParam=ivf%3Dfalse%26keyword%3Dgb5789+%26search_id%3D2026012615170637BC2F75BF1BCF0E5LSC%26src%3Dsearch&amp;t_id=1769440677424&amp;t_st=1&amp;t_pp=search_result&amp;t_efo=search_pure_goods_card&amp;t_ef=goods_search&amp;t_sm=&amp;t_spt=search_result</v>
      </c>
      <c r="L365" s="3" t="str">
        <f>IFERROR(__xludf.DUMMYFUNCTION("""COMPUTED_VALUE"""),"Tolong belikan baut hexagonal ukuran M5x16 sebanyak 100 pcs
Link pembelian sudah ku kasihyang baru ya")</f>
        <v>Tolong belikan baut hexagonal ukuran M5x16 sebanyak 100 pcs
Link pembelian sudah ku kasihyang baru ya</v>
      </c>
      <c r="M365" s="3" t="str">
        <f>IFERROR(__xludf.DUMMYFUNCTION("""COMPUTED_VALUE"""),"Approve")</f>
        <v>Approve</v>
      </c>
      <c r="N365" s="3" t="str">
        <f>IFERROR(__xludf.DUMMYFUNCTION("""COMPUTED_VALUE"""),"Normal")</f>
        <v>Normal</v>
      </c>
      <c r="O365" s="3" t="str">
        <f>IFERROR(__xludf.DUMMYFUNCTION("""COMPUTED_VALUE"""),"Non Urgent")</f>
        <v>Non Urgent</v>
      </c>
      <c r="P365" s="7">
        <f>IFERROR(__xludf.DUMMYFUNCTION("""COMPUTED_VALUE"""),46010.248172638894)</f>
        <v>46010.24817</v>
      </c>
    </row>
    <row r="366">
      <c r="A366" s="4">
        <f>IFERROR(__xludf.DUMMYFUNCTION("""COMPUTED_VALUE"""),45975.68165363426)</f>
        <v>45975.68165</v>
      </c>
      <c r="B366" s="3" t="str">
        <f>IFERROR(__xludf.DUMMYFUNCTION("""COMPUTED_VALUE"""),"MRNBR0087")</f>
        <v>MRNBR0087</v>
      </c>
      <c r="C366" s="3" t="str">
        <f>IFERROR(__xludf.DUMMYFUNCTION("""COMPUTED_VALUE"""),"EJO")</f>
        <v>EJO</v>
      </c>
      <c r="D366" s="3" t="str">
        <f>IFERROR(__xludf.DUMMYFUNCTION("""COMPUTED_VALUE"""),"EJO/2025/08/114")</f>
        <v>EJO/2025/08/114</v>
      </c>
      <c r="E366" s="3" t="str">
        <f>IFERROR(__xludf.DUMMYFUNCTION("""COMPUTED_VALUE"""),"hot water")</f>
        <v>hot water</v>
      </c>
      <c r="F366" s="3" t="str">
        <f>IFERROR(__xludf.DUMMYFUNCTION("""COMPUTED_VALUE"""),"Valve ball")</f>
        <v>Valve ball</v>
      </c>
      <c r="G366" s="3" t="str">
        <f>IFERROR(__xludf.DUMMYFUNCTION("""COMPUTED_VALUE"""),"stainless steel 1/4 inch")</f>
        <v>stainless steel 1/4 inch</v>
      </c>
      <c r="H366" s="3" t="str">
        <f>IFERROR(__xludf.DUMMYFUNCTION("""COMPUTED_VALUE"""),"kitz")</f>
        <v>kitz</v>
      </c>
      <c r="I366" s="3">
        <f>IFERROR(__xludf.DUMMYFUNCTION("""COMPUTED_VALUE"""),2.0)</f>
        <v>2</v>
      </c>
      <c r="J366" s="3" t="str">
        <f>IFERROR(__xludf.DUMMYFUNCTION("""COMPUTED_VALUE"""),"pcs")</f>
        <v>pcs</v>
      </c>
      <c r="K366" s="5" t="str">
        <f>IFERROR(__xludf.DUMMYFUNCTION("""COMPUTED_VALUE"""),"https://www.tokopedia.com/kitzvalve/kitz-stainless-ball-valve-fig-600-utkm-1-4-8a-8mm-drat-screw?extParam=ivf%3Dfalse%26keyword%3Dvalve+kitz+stainless+1%2F4%26search_id%3D2025111409255834ED066DF378EF31620N%26src%3Dsearch&amp;t_id=1763111423290&amp;t_st=2&amp;t_pp=sea"&amp;"rch_result&amp;t_efo=search_pure_goods_card&amp;t_ef=goods_search&amp;t_sm=&amp;t_spt=search_result")</f>
        <v>https://www.tokopedia.com/kitzvalve/kitz-stainless-ball-valve-fig-600-utkm-1-4-8a-8mm-drat-screw?extParam=ivf%3Dfalse%26keyword%3Dvalve+kitz+stainless+1%2F4%26search_id%3D2025111409255834ED066DF378EF31620N%26src%3Dsearch&amp;t_id=1763111423290&amp;t_st=2&amp;t_pp=search_result&amp;t_efo=search_pure_goods_card&amp;t_ef=goods_search&amp;t_sm=&amp;t_spt=search_result</v>
      </c>
      <c r="L366" s="3" t="str">
        <f>IFERROR(__xludf.DUMMYFUNCTION("""COMPUTED_VALUE"""),"Untuk kalibrasi pressure gauge agar tidak perlu matikan pompa hanya tutup valve aja")</f>
        <v>Untuk kalibrasi pressure gauge agar tidak perlu matikan pompa hanya tutup valve aja</v>
      </c>
      <c r="M366" s="3" t="str">
        <f>IFERROR(__xludf.DUMMYFUNCTION("""COMPUTED_VALUE"""),"Approve")</f>
        <v>Approve</v>
      </c>
      <c r="N366" s="3" t="str">
        <f>IFERROR(__xludf.DUMMYFUNCTION("""COMPUTED_VALUE"""),"Normal")</f>
        <v>Normal</v>
      </c>
      <c r="O366" s="3" t="str">
        <f>IFERROR(__xludf.DUMMYFUNCTION("""COMPUTED_VALUE"""),"Non Urgent")</f>
        <v>Non Urgent</v>
      </c>
      <c r="P366" s="7">
        <f>IFERROR(__xludf.DUMMYFUNCTION("""COMPUTED_VALUE"""),45978.67151234954)</f>
        <v>45978.67151</v>
      </c>
    </row>
    <row r="367">
      <c r="A367" s="4">
        <f>IFERROR(__xludf.DUMMYFUNCTION("""COMPUTED_VALUE"""),45975.690408194445)</f>
        <v>45975.69041</v>
      </c>
      <c r="B367" s="3" t="str">
        <f>IFERROR(__xludf.DUMMYFUNCTION("""COMPUTED_VALUE"""),"MRNBR0088")</f>
        <v>MRNBR0088</v>
      </c>
      <c r="C367" s="3" t="str">
        <f>IFERROR(__xludf.DUMMYFUNCTION("""COMPUTED_VALUE"""),"EJO")</f>
        <v>EJO</v>
      </c>
      <c r="D367" s="3" t="str">
        <f>IFERROR(__xludf.DUMMYFUNCTION("""COMPUTED_VALUE"""),"EJO/2025/08/114")</f>
        <v>EJO/2025/08/114</v>
      </c>
      <c r="E367" s="3" t="str">
        <f>IFERROR(__xludf.DUMMYFUNCTION("""COMPUTED_VALUE"""),"-")</f>
        <v>-</v>
      </c>
      <c r="F367" s="3" t="str">
        <f>IFERROR(__xludf.DUMMYFUNCTION("""COMPUTED_VALUE"""),"valve ball")</f>
        <v>valve ball</v>
      </c>
      <c r="G367" s="3" t="str">
        <f>IFERROR(__xludf.DUMMYFUNCTION("""COMPUTED_VALUE"""),"Stainless steel 3/8 inch")</f>
        <v>Stainless steel 3/8 inch</v>
      </c>
      <c r="H367" s="3" t="str">
        <f>IFERROR(__xludf.DUMMYFUNCTION("""COMPUTED_VALUE"""),"kitz")</f>
        <v>kitz</v>
      </c>
      <c r="I367" s="3">
        <f>IFERROR(__xludf.DUMMYFUNCTION("""COMPUTED_VALUE"""),2.0)</f>
        <v>2</v>
      </c>
      <c r="J367" s="3" t="str">
        <f>IFERROR(__xludf.DUMMYFUNCTION("""COMPUTED_VALUE"""),"pcs")</f>
        <v>pcs</v>
      </c>
      <c r="K367" s="5" t="str">
        <f>IFERROR(__xludf.DUMMYFUNCTION("""COMPUTED_VALUE"""),"https://www.tokopedia.com/kitzvalve/kitz-stainless-ball-valve-fig-600-utkm-3-8-10mm-drat-screw?extParam=ivf%3Dfalse%26keyword%3Dvalve+kitz+stainless+3%2F8%26search_id%3D2025111409354020F07591C6FCB2067RS6%26src%3Dsearch&amp;t_id=1763111423290&amp;t_st=3&amp;t_pp=searc"&amp;"h_result&amp;t_efo=search_pure_goods_card&amp;t_ef=goods_search&amp;t_sm=&amp;t_spt=search_result")</f>
        <v>https://www.tokopedia.com/kitzvalve/kitz-stainless-ball-valve-fig-600-utkm-3-8-10mm-drat-screw?extParam=ivf%3Dfalse%26keyword%3Dvalve+kitz+stainless+3%2F8%26search_id%3D2025111409354020F07591C6FCB2067RS6%26src%3Dsearch&amp;t_id=1763111423290&amp;t_st=3&amp;t_pp=search_result&amp;t_efo=search_pure_goods_card&amp;t_ef=goods_search&amp;t_sm=&amp;t_spt=search_result</v>
      </c>
      <c r="L367" s="3" t="str">
        <f>IFERROR(__xludf.DUMMYFUNCTION("""COMPUTED_VALUE"""),"untuk kalibrasi pressure gauge agar tidak perlu matikan pompa hanya tutup valve aja")</f>
        <v>untuk kalibrasi pressure gauge agar tidak perlu matikan pompa hanya tutup valve aja</v>
      </c>
      <c r="M367" s="3" t="str">
        <f>IFERROR(__xludf.DUMMYFUNCTION("""COMPUTED_VALUE"""),"Approve")</f>
        <v>Approve</v>
      </c>
      <c r="N367" s="3" t="str">
        <f>IFERROR(__xludf.DUMMYFUNCTION("""COMPUTED_VALUE"""),"Normal")</f>
        <v>Normal</v>
      </c>
      <c r="O367" s="3" t="str">
        <f>IFERROR(__xludf.DUMMYFUNCTION("""COMPUTED_VALUE"""),"Non Urgent")</f>
        <v>Non Urgent</v>
      </c>
      <c r="P367" s="7">
        <f>IFERROR(__xludf.DUMMYFUNCTION("""COMPUTED_VALUE"""),45978.671384050926)</f>
        <v>45978.67138</v>
      </c>
    </row>
    <row r="368">
      <c r="A368" s="4">
        <f>IFERROR(__xludf.DUMMYFUNCTION("""COMPUTED_VALUE"""),45975.9534983912)</f>
        <v>45975.9535</v>
      </c>
      <c r="B368" s="3" t="str">
        <f>IFERROR(__xludf.DUMMYFUNCTION("""COMPUTED_VALUE"""),"ROSBR0049")</f>
        <v>ROSBR0049</v>
      </c>
      <c r="C368" s="3" t="str">
        <f>IFERROR(__xludf.DUMMYFUNCTION("""COMPUTED_VALUE"""),"Consumable")</f>
        <v>Consumable</v>
      </c>
      <c r="D368" s="3" t="str">
        <f>IFERROR(__xludf.DUMMYFUNCTION("""COMPUTED_VALUE"""),"NA")</f>
        <v>NA</v>
      </c>
      <c r="E368" s="3" t="str">
        <f>IFERROR(__xludf.DUMMYFUNCTION("""COMPUTED_VALUE"""),"Base Plate Capping")</f>
        <v>Base Plate Capping</v>
      </c>
      <c r="F368" s="3" t="str">
        <f>IFERROR(__xludf.DUMMYFUNCTION("""COMPUTED_VALUE"""),"Baut L 
hexagon Socket head Cap screws")</f>
        <v>Baut L 
hexagon Socket head Cap screws</v>
      </c>
      <c r="G368" s="3" t="str">
        <f>IFERROR(__xludf.DUMMYFUNCTION("""COMPUTED_VALUE"""),"Baut L M5x50mm
Material : Stainless Steel
MxP : 5 x 0.8
MxL : 5 x 50 ")</f>
        <v>Baut L M5x50mm
Material : Stainless Steel
MxP : 5 x 0.8
MxL : 5 x 50 </v>
      </c>
      <c r="H368" s="3" t="str">
        <f>IFERROR(__xludf.DUMMYFUNCTION("""COMPUTED_VALUE"""),"Universal ")</f>
        <v>Universal </v>
      </c>
      <c r="I368" s="3">
        <f>IFERROR(__xludf.DUMMYFUNCTION("""COMPUTED_VALUE"""),50.0)</f>
        <v>50</v>
      </c>
      <c r="J368" s="3" t="str">
        <f>IFERROR(__xludf.DUMMYFUNCTION("""COMPUTED_VALUE"""),"pac/pcs")</f>
        <v>pac/pcs</v>
      </c>
      <c r="K368" s="5" t="str">
        <f>IFERROR(__xludf.DUMMYFUNCTION("""COMPUTED_VALUE"""),"https://www.tokopedia.com/cahayabajabersinar/baut-l-stainless-steel-304-m5-x-40mm-50mm-ht-socket-cap-screw-m5-x-50mm-676dd?extParam=ivf%3Dfalse%26keyword%3Dbaut+l+m5x50%26search_id%3D2025111412384134ED066DF378EF152KKJ%26src%3Dsearch&amp;t_id=1763123932206&amp;t_s"&amp;"t=3&amp;t_pp=search_result&amp;t_efo=search_pure_goods_card&amp;t_ef=goods_search&amp;t_sm=&amp;t_spt=search_result")</f>
        <v>https://www.tokopedia.com/cahayabajabersinar/baut-l-stainless-steel-304-m5-x-40mm-50mm-ht-socket-cap-screw-m5-x-50mm-676dd?extParam=ivf%3Dfalse%26keyword%3Dbaut+l+m5x50%26search_id%3D2025111412384134ED066DF378EF152KKJ%26src%3Dsearch&amp;t_id=1763123932206&amp;t_st=3&amp;t_pp=search_result&amp;t_efo=search_pure_goods_card&amp;t_ef=goods_search&amp;t_sm=&amp;t_spt=search_result</v>
      </c>
      <c r="L368" s="3" t="str">
        <f>IFERROR(__xludf.DUMMYFUNCTION("""COMPUTED_VALUE"""),"-")</f>
        <v>-</v>
      </c>
      <c r="M368" s="3" t="str">
        <f>IFERROR(__xludf.DUMMYFUNCTION("""COMPUTED_VALUE"""),"Approve")</f>
        <v>Approve</v>
      </c>
      <c r="N368" s="3" t="str">
        <f>IFERROR(__xludf.DUMMYFUNCTION("""COMPUTED_VALUE"""),"Normal")</f>
        <v>Normal</v>
      </c>
      <c r="O368" s="3" t="str">
        <f>IFERROR(__xludf.DUMMYFUNCTION("""COMPUTED_VALUE"""),"Non Urgent")</f>
        <v>Non Urgent</v>
      </c>
      <c r="P368" s="7">
        <f>IFERROR(__xludf.DUMMYFUNCTION("""COMPUTED_VALUE"""),45976.22124277778)</f>
        <v>45976.22124</v>
      </c>
    </row>
    <row r="369">
      <c r="A369" s="4">
        <f>IFERROR(__xludf.DUMMYFUNCTION("""COMPUTED_VALUE"""),45977.83608590278)</f>
        <v>45977.83609</v>
      </c>
      <c r="B369" s="3" t="str">
        <f>IFERROR(__xludf.DUMMYFUNCTION("""COMPUTED_VALUE"""),"NDSBR0034")</f>
        <v>NDSBR0034</v>
      </c>
      <c r="C369" s="3" t="str">
        <f>IFERROR(__xludf.DUMMYFUNCTION("""COMPUTED_VALUE"""),"Consumable")</f>
        <v>Consumable</v>
      </c>
      <c r="D369" s="3" t="str">
        <f>IFERROR(__xludf.DUMMYFUNCTION("""COMPUTED_VALUE"""),"-")</f>
        <v>-</v>
      </c>
      <c r="E369" s="3" t="str">
        <f>IFERROR(__xludf.DUMMYFUNCTION("""COMPUTED_VALUE"""),"Chiller Blister")</f>
        <v>Chiller Blister</v>
      </c>
      <c r="F369" s="3" t="str">
        <f>IFERROR(__xludf.DUMMYFUNCTION("""COMPUTED_VALUE"""),"Sensor Suhu Chiller")</f>
        <v>Sensor Suhu Chiller</v>
      </c>
      <c r="G369" s="3" t="str">
        <f>IFERROR(__xludf.DUMMYFUNCTION("""COMPUTED_VALUE"""),"Sesuai Gambar")</f>
        <v>Sesuai Gambar</v>
      </c>
      <c r="H369" s="3" t="str">
        <f>IFERROR(__xludf.DUMMYFUNCTION("""COMPUTED_VALUE"""),"-")</f>
        <v>-</v>
      </c>
      <c r="I369" s="3">
        <f>IFERROR(__xludf.DUMMYFUNCTION("""COMPUTED_VALUE"""),2.0)</f>
        <v>2</v>
      </c>
      <c r="J369" s="3" t="str">
        <f>IFERROR(__xludf.DUMMYFUNCTION("""COMPUTED_VALUE"""),"Pcs")</f>
        <v>Pcs</v>
      </c>
      <c r="K369" s="5" t="str">
        <f>IFERROR(__xludf.DUMMYFUNCTION("""COMPUTED_VALUE"""),"https://shopee.co.id/product/138926279/25359413619?gads_t_sig=VTJGc2RHVmtYMTlxTFVSVVRrdENkWVp3RFo3Mkw5czd4Z0hzdEF1WVFia1ZaQnFDSDhMcEFUR0pZV3I4S1NNc2VvNmh5VUVVbzFVbnQ0NkZ0eFFmREdWTDh4ZnNDZUNiNUlOVDNDeC9LQmRXUW81dkNWZ2FiVm05cmpLb2RTSE5WV2dJa3NoVFpHUUVUNi84Q"&amp;"m5WQnhnb0l2eE4vcjA3ZGI3ZSsyaXkxVXJRPQ&amp;share_channel_code=1&amp;uls_trackid=547171d1013e&amp;utm_campaign=id_CDrijdr49t&amp;utm_content=----&amp;utm_medium=affiliates&amp;utm_source=an_11323310810&amp;utm_term=dyw3zcexhve3")</f>
        <v>https://shopee.co.id/product/138926279/25359413619?gads_t_sig=VTJGc2RHVmtYMTlxTFVSVVRrdENkWVp3RFo3Mkw5czd4Z0hzdEF1WVFia1ZaQnFDSDhMcEFUR0pZV3I4S1NNc2VvNmh5VUVVbzFVbnQ0NkZ0eFFmREdWTDh4ZnNDZUNiNUlOVDNDeC9LQmRXUW81dkNWZ2FiVm05cmpLb2RTSE5WV2dJa3NoVFpHUUVUNi84Qm5WQnhnb0l2eE4vcjA3ZGI3ZSsyaXkxVXJRPQ&amp;share_channel_code=1&amp;uls_trackid=547171d1013e&amp;utm_campaign=id_CDrijdr49t&amp;utm_content=----&amp;utm_medium=affiliates&amp;utm_source=an_11323310810&amp;utm_term=dyw3zcexhve3</v>
      </c>
      <c r="L369" s="3" t="str">
        <f>IFERROR(__xludf.DUMMYFUNCTION("""COMPUTED_VALUE"""),"-")</f>
        <v>-</v>
      </c>
      <c r="M369" s="3" t="str">
        <f>IFERROR(__xludf.DUMMYFUNCTION("""COMPUTED_VALUE"""),"Approve")</f>
        <v>Approve</v>
      </c>
      <c r="N369" s="3" t="str">
        <f>IFERROR(__xludf.DUMMYFUNCTION("""COMPUTED_VALUE"""),"Normal")</f>
        <v>Normal</v>
      </c>
      <c r="O369" s="3" t="str">
        <f>IFERROR(__xludf.DUMMYFUNCTION("""COMPUTED_VALUE"""),"Non Urgent")</f>
        <v>Non Urgent</v>
      </c>
      <c r="P369" s="7">
        <f>IFERROR(__xludf.DUMMYFUNCTION("""COMPUTED_VALUE"""),46027.74721570602)</f>
        <v>46027.74722</v>
      </c>
    </row>
    <row r="370">
      <c r="A370" s="4">
        <f>IFERROR(__xludf.DUMMYFUNCTION("""COMPUTED_VALUE"""),45979.66681965278)</f>
        <v>45979.66682</v>
      </c>
      <c r="B370" s="3" t="str">
        <f>IFERROR(__xludf.DUMMYFUNCTION("""COMPUTED_VALUE"""),"NDSBR0035")</f>
        <v>NDSBR0035</v>
      </c>
      <c r="C370" s="3" t="str">
        <f>IFERROR(__xludf.DUMMYFUNCTION("""COMPUTED_VALUE"""),"EJO")</f>
        <v>EJO</v>
      </c>
      <c r="D370" s="3" t="str">
        <f>IFERROR(__xludf.DUMMYFUNCTION("""COMPUTED_VALUE"""),"EJO/2025/11/10")</f>
        <v>EJO/2025/11/10</v>
      </c>
      <c r="E370" s="3" t="str">
        <f>IFERROR(__xludf.DUMMYFUNCTION("""COMPUTED_VALUE"""),"Washing Tunnel")</f>
        <v>Washing Tunnel</v>
      </c>
      <c r="F370" s="3" t="str">
        <f>IFERROR(__xludf.DUMMYFUNCTION("""COMPUTED_VALUE"""),"Kabel Duct")</f>
        <v>Kabel Duct</v>
      </c>
      <c r="G370" s="3" t="str">
        <f>IFERROR(__xludf.DUMMYFUNCTION("""COMPUTED_VALUE"""),"Sesuai Gambar")</f>
        <v>Sesuai Gambar</v>
      </c>
      <c r="H370" s="3" t="str">
        <f>IFERROR(__xludf.DUMMYFUNCTION("""COMPUTED_VALUE"""),"-")</f>
        <v>-</v>
      </c>
      <c r="I370" s="3">
        <f>IFERROR(__xludf.DUMMYFUNCTION("""COMPUTED_VALUE"""),1.0)</f>
        <v>1</v>
      </c>
      <c r="J370" s="3" t="str">
        <f>IFERROR(__xludf.DUMMYFUNCTION("""COMPUTED_VALUE"""),"Pcs")</f>
        <v>Pcs</v>
      </c>
      <c r="K370" s="5" t="str">
        <f>IFERROR(__xludf.DUMMYFUNCTION("""COMPUTED_VALUE"""),"https://drive.google.com/drive/folders/1yuEl7iXhO2CNHBU_QX3E2WIoVpf9adEo?usp=sharing")</f>
        <v>https://drive.google.com/drive/folders/1yuEl7iXhO2CNHBU_QX3E2WIoVpf9adEo?usp=sharing</v>
      </c>
      <c r="L370" s="3" t="str">
        <f>IFERROR(__xludf.DUMMYFUNCTION("""COMPUTED_VALUE"""),"-")</f>
        <v>-</v>
      </c>
      <c r="M370" s="3" t="str">
        <f>IFERROR(__xludf.DUMMYFUNCTION("""COMPUTED_VALUE"""),"Approve")</f>
        <v>Approve</v>
      </c>
      <c r="N370" s="3" t="str">
        <f>IFERROR(__xludf.DUMMYFUNCTION("""COMPUTED_VALUE"""),"Normal")</f>
        <v>Normal</v>
      </c>
      <c r="O370" s="3" t="str">
        <f>IFERROR(__xludf.DUMMYFUNCTION("""COMPUTED_VALUE"""),"Non Urgent")</f>
        <v>Non Urgent</v>
      </c>
      <c r="P370" s="7">
        <f>IFERROR(__xludf.DUMMYFUNCTION("""COMPUTED_VALUE"""),46027.764268391205)</f>
        <v>46027.76427</v>
      </c>
    </row>
    <row r="371">
      <c r="A371" s="4">
        <f>IFERROR(__xludf.DUMMYFUNCTION("""COMPUTED_VALUE"""),45979.67283787037)</f>
        <v>45979.67284</v>
      </c>
      <c r="B371" s="3" t="str">
        <f>IFERROR(__xludf.DUMMYFUNCTION("""COMPUTED_VALUE"""),"RIABR0116")</f>
        <v>RIABR0116</v>
      </c>
      <c r="C371" s="3" t="str">
        <f>IFERROR(__xludf.DUMMYFUNCTION("""COMPUTED_VALUE"""),"EJO")</f>
        <v>EJO</v>
      </c>
      <c r="D371" s="3" t="str">
        <f>IFERROR(__xludf.DUMMYFUNCTION("""COMPUTED_VALUE"""),"EJO/2025/09/16")</f>
        <v>EJO/2025/09/16</v>
      </c>
      <c r="E371" s="3" t="str">
        <f>IFERROR(__xludf.DUMMYFUNCTION("""COMPUTED_VALUE"""),"PWG")</f>
        <v>PWG</v>
      </c>
      <c r="F371" s="3" t="str">
        <f>IFERROR(__xludf.DUMMYFUNCTION("""COMPUTED_VALUE"""),"Pressure Gauge")</f>
        <v>Pressure Gauge</v>
      </c>
      <c r="G371" s="3" t="str">
        <f>IFERROR(__xludf.DUMMYFUNCTION("""COMPUTED_VALUE"""),"Pressure Gauge GMT 10 Bar 3/4 inch")</f>
        <v>Pressure Gauge GMT 10 Bar 3/4 inch</v>
      </c>
      <c r="H371" s="3" t="str">
        <f>IFERROR(__xludf.DUMMYFUNCTION("""COMPUTED_VALUE"""),"GMT")</f>
        <v>GMT</v>
      </c>
      <c r="I371" s="3">
        <f>IFERROR(__xludf.DUMMYFUNCTION("""COMPUTED_VALUE"""),1.0)</f>
        <v>1</v>
      </c>
      <c r="J371" s="3" t="str">
        <f>IFERROR(__xludf.DUMMYFUNCTION("""COMPUTED_VALUE"""),"Pcs")</f>
        <v>Pcs</v>
      </c>
      <c r="K371" s="3" t="str">
        <f>IFERROR(__xludf.DUMMYFUNCTION("""COMPUTED_VALUE"""),"QT-25-1202-Fonko.pdf")</f>
        <v>QT-25-1202-Fonko.pdf</v>
      </c>
      <c r="L371" s="3" t="str">
        <f>IFERROR(__xludf.DUMMYFUNCTION("""COMPUTED_VALUE"""),"Untuk PG PWG yang dari BQ MOB di reject")</f>
        <v>Untuk PG PWG yang dari BQ MOB di reject</v>
      </c>
      <c r="M371" s="3" t="str">
        <f>IFERROR(__xludf.DUMMYFUNCTION("""COMPUTED_VALUE"""),"Approve")</f>
        <v>Approve</v>
      </c>
      <c r="N371" s="3" t="str">
        <f>IFERROR(__xludf.DUMMYFUNCTION("""COMPUTED_VALUE"""),"Normal")</f>
        <v>Normal</v>
      </c>
      <c r="O371" s="3" t="str">
        <f>IFERROR(__xludf.DUMMYFUNCTION("""COMPUTED_VALUE"""),"Non Urgent")</f>
        <v>Non Urgent</v>
      </c>
      <c r="P371" s="7">
        <f>IFERROR(__xludf.DUMMYFUNCTION("""COMPUTED_VALUE"""),45981.89044990741)</f>
        <v>45981.89045</v>
      </c>
    </row>
    <row r="372">
      <c r="A372" s="4">
        <f>IFERROR(__xludf.DUMMYFUNCTION("""COMPUTED_VALUE"""),45979.71473649306)</f>
        <v>45979.71474</v>
      </c>
      <c r="B372" s="3" t="str">
        <f>IFERROR(__xludf.DUMMYFUNCTION("""COMPUTED_VALUE"""),"RIABR0117")</f>
        <v>RIABR0117</v>
      </c>
      <c r="C372" s="3" t="str">
        <f>IFERROR(__xludf.DUMMYFUNCTION("""COMPUTED_VALUE"""),"Consumable")</f>
        <v>Consumable</v>
      </c>
      <c r="D372" s="3" t="str">
        <f>IFERROR(__xludf.DUMMYFUNCTION("""COMPUTED_VALUE"""),"-")</f>
        <v>-</v>
      </c>
      <c r="E372" s="3" t="str">
        <f>IFERROR(__xludf.DUMMYFUNCTION("""COMPUTED_VALUE"""),"Cooling Water")</f>
        <v>Cooling Water</v>
      </c>
      <c r="F372" s="3" t="str">
        <f>IFERROR(__xludf.DUMMYFUNCTION("""COMPUTED_VALUE"""),"Mechseal")</f>
        <v>Mechseal</v>
      </c>
      <c r="G372" s="3" t="str">
        <f>IFERROR(__xludf.DUMMYFUNCTION("""COMPUTED_VALUE"""),"Shaft seal CR/N 32/45/64/90HQQE")</f>
        <v>Shaft seal CR/N 32/45/64/90HQQE</v>
      </c>
      <c r="H372" s="3" t="str">
        <f>IFERROR(__xludf.DUMMYFUNCTION("""COMPUTED_VALUE"""),"Grundfoss")</f>
        <v>Grundfoss</v>
      </c>
      <c r="I372" s="3">
        <f>IFERROR(__xludf.DUMMYFUNCTION("""COMPUTED_VALUE"""),1.0)</f>
        <v>1</v>
      </c>
      <c r="J372" s="3" t="str">
        <f>IFERROR(__xludf.DUMMYFUNCTION("""COMPUTED_VALUE"""),"Set")</f>
        <v>Set</v>
      </c>
      <c r="K372" s="3" t="str">
        <f>IFERROR(__xludf.DUMMYFUNCTION("""COMPUTED_VALUE"""),"PENAWARAN HARGA SHAFT SEAL GRUNDFOS PT. FONKO INTERNATIONAL PHARMACEUTICALS.pdf")</f>
        <v>PENAWARAN HARGA SHAFT SEAL GRUNDFOS PT. FONKO INTERNATIONAL PHARMACEUTICALS.pdf</v>
      </c>
      <c r="L372" s="3" t="str">
        <f>IFERROR(__xludf.DUMMYFUNCTION("""COMPUTED_VALUE"""),"Untuk ganti mechseal pompa cooling water yang rusak")</f>
        <v>Untuk ganti mechseal pompa cooling water yang rusak</v>
      </c>
      <c r="M372" s="3" t="str">
        <f>IFERROR(__xludf.DUMMYFUNCTION("""COMPUTED_VALUE"""),"Approve")</f>
        <v>Approve</v>
      </c>
      <c r="N372" s="3" t="str">
        <f>IFERROR(__xludf.DUMMYFUNCTION("""COMPUTED_VALUE"""),"Normal")</f>
        <v>Normal</v>
      </c>
      <c r="O372" s="3" t="str">
        <f>IFERROR(__xludf.DUMMYFUNCTION("""COMPUTED_VALUE"""),"Non Urgent")</f>
        <v>Non Urgent</v>
      </c>
      <c r="P372" s="7">
        <f>IFERROR(__xludf.DUMMYFUNCTION("""COMPUTED_VALUE"""),45981.890310208335)</f>
        <v>45981.89031</v>
      </c>
    </row>
    <row r="373">
      <c r="A373" s="4">
        <f>IFERROR(__xludf.DUMMYFUNCTION("""COMPUTED_VALUE"""),45979.72622349537)</f>
        <v>45979.72622</v>
      </c>
      <c r="B373" s="3" t="str">
        <f>IFERROR(__xludf.DUMMYFUNCTION("""COMPUTED_VALUE"""),"RIABR0118")</f>
        <v>RIABR0118</v>
      </c>
      <c r="C373" s="3" t="str">
        <f>IFERROR(__xludf.DUMMYFUNCTION("""COMPUTED_VALUE"""),"Consumable")</f>
        <v>Consumable</v>
      </c>
      <c r="D373" s="3" t="str">
        <f>IFERROR(__xludf.DUMMYFUNCTION("""COMPUTED_VALUE"""),"-")</f>
        <v>-</v>
      </c>
      <c r="E373" s="3" t="str">
        <f>IFERROR(__xludf.DUMMYFUNCTION("""COMPUTED_VALUE"""),"Hot Water")</f>
        <v>Hot Water</v>
      </c>
      <c r="F373" s="3" t="str">
        <f>IFERROR(__xludf.DUMMYFUNCTION("""COMPUTED_VALUE"""),"Pressure Gauge + Pressure Transmiter")</f>
        <v>Pressure Gauge + Pressure Transmiter</v>
      </c>
      <c r="G373" s="3" t="str">
        <f>IFERROR(__xludf.DUMMYFUNCTION("""COMPUTED_VALUE"""),"Pressure Gauge with Electric Contact. Alat ini merupakan perpaduan antara pressure gauge dan pressure switch.
Spec :
- Display Size : 4 Inch | 101,6 mm
- Dual Electric Contact ON OFF
- Voltase Input : MAX 380 V
- Voltase Output : 30 VA
- Ranges "&amp;": 0 - 10 Kg/Cm2 | 0 - 150 Psi
- Resolution : 0,5 Kg | 10 Psi
- Mounting : Bottom / Raket
- Drat : 1/2 inch
- Material Drat : Brass (Kuningan)")</f>
        <v>Pressure Gauge with Electric Contact. Alat ini merupakan perpaduan antara pressure gauge dan pressure switch.
Spec :
- Display Size : 4 Inch | 101,6 mm
- Dual Electric Contact ON OFF
- Voltase Input : MAX 380 V
- Voltase Output : 30 VA
- Ranges : 0 - 10 Kg/Cm2 | 0 - 150 Psi
- Resolution : 0,5 Kg | 10 Psi
- Mounting : Bottom / Raket
- Drat : 1/2 inch
- Material Drat : Brass (Kuningan)</v>
      </c>
      <c r="H373" s="3" t="str">
        <f>IFERROR(__xludf.DUMMYFUNCTION("""COMPUTED_VALUE"""),"Lokal")</f>
        <v>Lokal</v>
      </c>
      <c r="I373" s="3">
        <f>IFERROR(__xludf.DUMMYFUNCTION("""COMPUTED_VALUE"""),1.0)</f>
        <v>1</v>
      </c>
      <c r="J373" s="3" t="str">
        <f>IFERROR(__xludf.DUMMYFUNCTION("""COMPUTED_VALUE"""),"Pcs")</f>
        <v>Pcs</v>
      </c>
      <c r="K373" s="5" t="str">
        <f>IFERROR(__xludf.DUMMYFUNCTION("""COMPUTED_VALUE"""),"https://www.tokopedia.com/dhuhateknik/pressure-gauge-with-electric-contact-pressure-gauge-switch-armatherm-10kg-4-inch-drat-1-2-inch-1731482437069014204?extParam=ivf%3Dfalse%26keyword%3Dpressure+switch+pressure+gauge%26search_id%3D2025111810211737BC2F75BF"&amp;"1BCF078ARN%26src%3Dsearch&amp;t_id=1763461286390&amp;t_st=3&amp;t_pp=search_result&amp;t_efo=search_pure_goods_card&amp;t_ef=goods_search&amp;t_sm=&amp;t_spt=search_result")</f>
        <v>https://www.tokopedia.com/dhuhateknik/pressure-gauge-with-electric-contact-pressure-gauge-switch-armatherm-10kg-4-inch-drat-1-2-inch-1731482437069014204?extParam=ivf%3Dfalse%26keyword%3Dpressure+switch+pressure+gauge%26search_id%3D2025111810211737BC2F75BF1BCF078ARN%26src%3Dsearch&amp;t_id=1763461286390&amp;t_st=3&amp;t_pp=search_result&amp;t_efo=search_pure_goods_card&amp;t_ef=goods_search&amp;t_sm=&amp;t_spt=search_result</v>
      </c>
      <c r="L373" s="3" t="str">
        <f>IFERROR(__xludf.DUMMYFUNCTION("""COMPUTED_VALUE"""),"Buat interlock heater dan boiler")</f>
        <v>Buat interlock heater dan boiler</v>
      </c>
      <c r="M373" s="3" t="str">
        <f>IFERROR(__xludf.DUMMYFUNCTION("""COMPUTED_VALUE"""),"Approve")</f>
        <v>Approve</v>
      </c>
      <c r="N373" s="3" t="str">
        <f>IFERROR(__xludf.DUMMYFUNCTION("""COMPUTED_VALUE"""),"Normal")</f>
        <v>Normal</v>
      </c>
      <c r="O373" s="3" t="str">
        <f>IFERROR(__xludf.DUMMYFUNCTION("""COMPUTED_VALUE"""),"Non Urgent")</f>
        <v>Non Urgent</v>
      </c>
      <c r="P373" s="7">
        <f>IFERROR(__xludf.DUMMYFUNCTION("""COMPUTED_VALUE"""),45981.89015611111)</f>
        <v>45981.89016</v>
      </c>
    </row>
    <row r="374">
      <c r="A374" s="4">
        <f>IFERROR(__xludf.DUMMYFUNCTION("""COMPUTED_VALUE"""),45979.732386365744)</f>
        <v>45979.73239</v>
      </c>
      <c r="B374" s="3" t="str">
        <f>IFERROR(__xludf.DUMMYFUNCTION("""COMPUTED_VALUE"""),"RIABR0121")</f>
        <v>RIABR0121</v>
      </c>
      <c r="C374" s="3" t="str">
        <f>IFERROR(__xludf.DUMMYFUNCTION("""COMPUTED_VALUE"""),"Consumable")</f>
        <v>Consumable</v>
      </c>
      <c r="D374" s="3" t="str">
        <f>IFERROR(__xludf.DUMMYFUNCTION("""COMPUTED_VALUE"""),"-")</f>
        <v>-</v>
      </c>
      <c r="E374" s="3" t="str">
        <f>IFERROR(__xludf.DUMMYFUNCTION("""COMPUTED_VALUE"""),"AHU OS E1-1")</f>
        <v>AHU OS E1-1</v>
      </c>
      <c r="F374" s="3" t="str">
        <f>IFERROR(__xludf.DUMMYFUNCTION("""COMPUTED_VALUE"""),"Magnehelic")</f>
        <v>Magnehelic</v>
      </c>
      <c r="G374" s="3" t="str">
        <f>IFERROR(__xludf.DUMMYFUNCTION("""COMPUTED_VALUE"""),"Magnehelic Dwyer 0-1000 Pascal")</f>
        <v>Magnehelic Dwyer 0-1000 Pascal</v>
      </c>
      <c r="H374" s="3" t="str">
        <f>IFERROR(__xludf.DUMMYFUNCTION("""COMPUTED_VALUE"""),"Dwyer")</f>
        <v>Dwyer</v>
      </c>
      <c r="I374" s="3">
        <f>IFERROR(__xludf.DUMMYFUNCTION("""COMPUTED_VALUE"""),3.0)</f>
        <v>3</v>
      </c>
      <c r="J374" s="3" t="str">
        <f>IFERROR(__xludf.DUMMYFUNCTION("""COMPUTED_VALUE"""),"Pcs")</f>
        <v>Pcs</v>
      </c>
      <c r="K374" s="5" t="str">
        <f>IFERROR(__xludf.DUMMYFUNCTION("""COMPUTED_VALUE"""),"https://www.tokopedia.com/dwyerofficial/dwyer-magnehelic-0-1000-pascal-differential-pressure-gauge?extParam=ivf%3Dfalse%26keyword%3Dmagnehelic+0+-+1000+dwyer%26search_id%3D20251118103347EF0D3930A7B6C93D01WY%26src%3Dsearch&amp;t_id=1763461286390&amp;t_st=8&amp;t_pp=se"&amp;"arch_result&amp;t_efo=search_pure_goods_card&amp;t_ef=goods_search&amp;t_sm=&amp;t_spt=search_result")</f>
        <v>https://www.tokopedia.com/dwyerofficial/dwyer-magnehelic-0-1000-pascal-differential-pressure-gauge?extParam=ivf%3Dfalse%26keyword%3Dmagnehelic+0+-+1000+dwyer%26search_id%3D20251118103347EF0D3930A7B6C93D01WY%26src%3Dsearch&amp;t_id=1763461286390&amp;t_st=8&amp;t_pp=search_result&amp;t_efo=search_pure_goods_card&amp;t_ef=goods_search&amp;t_sm=&amp;t_spt=search_result</v>
      </c>
      <c r="L374" s="3" t="str">
        <f>IFERROR(__xludf.DUMMYFUNCTION("""COMPUTED_VALUE"""),"Buat ganti yang oos di kalibrasi")</f>
        <v>Buat ganti yang oos di kalibrasi</v>
      </c>
      <c r="M374" s="3" t="str">
        <f>IFERROR(__xludf.DUMMYFUNCTION("""COMPUTED_VALUE"""),"Approve")</f>
        <v>Approve</v>
      </c>
      <c r="N374" s="3" t="str">
        <f>IFERROR(__xludf.DUMMYFUNCTION("""COMPUTED_VALUE"""),"Normal")</f>
        <v>Normal</v>
      </c>
      <c r="O374" s="3" t="str">
        <f>IFERROR(__xludf.DUMMYFUNCTION("""COMPUTED_VALUE"""),"Non Urgent")</f>
        <v>Non Urgent</v>
      </c>
      <c r="P374" s="7">
        <f>IFERROR(__xludf.DUMMYFUNCTION("""COMPUTED_VALUE"""),45981.889252939814)</f>
        <v>45981.88925</v>
      </c>
    </row>
    <row r="375">
      <c r="A375" s="4">
        <f>IFERROR(__xludf.DUMMYFUNCTION("""COMPUTED_VALUE"""),45979.73319178241)</f>
        <v>45979.73319</v>
      </c>
      <c r="B375" s="3" t="str">
        <f>IFERROR(__xludf.DUMMYFUNCTION("""COMPUTED_VALUE"""),"RIABR0122")</f>
        <v>RIABR0122</v>
      </c>
      <c r="C375" s="3" t="str">
        <f>IFERROR(__xludf.DUMMYFUNCTION("""COMPUTED_VALUE"""),"Consumable")</f>
        <v>Consumable</v>
      </c>
      <c r="D375" s="3" t="str">
        <f>IFERROR(__xludf.DUMMYFUNCTION("""COMPUTED_VALUE"""),"-")</f>
        <v>-</v>
      </c>
      <c r="E375" s="3" t="str">
        <f>IFERROR(__xludf.DUMMYFUNCTION("""COMPUTED_VALUE"""),"Tool")</f>
        <v>Tool</v>
      </c>
      <c r="F375" s="3" t="str">
        <f>IFERROR(__xludf.DUMMYFUNCTION("""COMPUTED_VALUE"""),"Tang Buaya")</f>
        <v>Tang Buaya</v>
      </c>
      <c r="G375" s="3" t="str">
        <f>IFERROR(__xludf.DUMMYFUNCTION("""COMPUTED_VALUE"""),"Tang Buaya Tekiro")</f>
        <v>Tang Buaya Tekiro</v>
      </c>
      <c r="H375" s="3" t="str">
        <f>IFERROR(__xludf.DUMMYFUNCTION("""COMPUTED_VALUE"""),"Tekiro")</f>
        <v>Tekiro</v>
      </c>
      <c r="I375" s="3">
        <f>IFERROR(__xludf.DUMMYFUNCTION("""COMPUTED_VALUE"""),4.0)</f>
        <v>4</v>
      </c>
      <c r="J375" s="3" t="str">
        <f>IFERROR(__xludf.DUMMYFUNCTION("""COMPUTED_VALUE"""),"Pcs")</f>
        <v>Pcs</v>
      </c>
      <c r="K375" s="5" t="str">
        <f>IFERROR(__xludf.DUMMYFUNCTION("""COMPUTED_VALUE"""),"https://www.tokopedia.com/tekiro-rexco/tekiro-tang-buaya-bengkok-10-inch-tang-buaya-tang-jepit?extParam=ivf%3Dfalse%26keyword%3Dtang+buaya+tekiro%26search_id%3D20251118103515D81F9C1BE2E0890FCAG5%26src%3Dsearch&amp;t_id=1763461286390&amp;t_st=9&amp;t_pp=search_result&amp;"&amp;"t_efo=search_pure_goods_card&amp;t_ef=goods_search&amp;t_sm=&amp;t_spt=search_result")</f>
        <v>https://www.tokopedia.com/tekiro-rexco/tekiro-tang-buaya-bengkok-10-inch-tang-buaya-tang-jepit?extParam=ivf%3Dfalse%26keyword%3Dtang+buaya+tekiro%26search_id%3D20251118103515D81F9C1BE2E0890FCAG5%26src%3Dsearch&amp;t_id=1763461286390&amp;t_st=9&amp;t_pp=search_result&amp;t_efo=search_pure_goods_card&amp;t_ef=goods_search&amp;t_sm=&amp;t_spt=search_result</v>
      </c>
      <c r="L375" s="3" t="str">
        <f>IFERROR(__xludf.DUMMYFUNCTION("""COMPUTED_VALUE"""),"Buat tool karena tang buaya sudah jelek")</f>
        <v>Buat tool karena tang buaya sudah jelek</v>
      </c>
      <c r="M375" s="3" t="str">
        <f>IFERROR(__xludf.DUMMYFUNCTION("""COMPUTED_VALUE"""),"Approve")</f>
        <v>Approve</v>
      </c>
      <c r="N375" s="3" t="str">
        <f>IFERROR(__xludf.DUMMYFUNCTION("""COMPUTED_VALUE"""),"Normal")</f>
        <v>Normal</v>
      </c>
      <c r="O375" s="3" t="str">
        <f>IFERROR(__xludf.DUMMYFUNCTION("""COMPUTED_VALUE"""),"Non Urgent")</f>
        <v>Non Urgent</v>
      </c>
      <c r="P375" s="7">
        <f>IFERROR(__xludf.DUMMYFUNCTION("""COMPUTED_VALUE"""),45981.88903643518)</f>
        <v>45981.88904</v>
      </c>
    </row>
    <row r="376">
      <c r="A376" s="4">
        <f>IFERROR(__xludf.DUMMYFUNCTION("""COMPUTED_VALUE"""),45980.92822083333)</f>
        <v>45980.92822</v>
      </c>
      <c r="B376" s="3" t="str">
        <f>IFERROR(__xludf.DUMMYFUNCTION("""COMPUTED_VALUE"""),"NDSBR0038")</f>
        <v>NDSBR0038</v>
      </c>
      <c r="C376" s="3" t="str">
        <f>IFERROR(__xludf.DUMMYFUNCTION("""COMPUTED_VALUE"""),"EJO")</f>
        <v>EJO</v>
      </c>
      <c r="D376" s="3" t="str">
        <f>IFERROR(__xludf.DUMMYFUNCTION("""COMPUTED_VALUE"""),"EJO/2025/11/109")</f>
        <v>EJO/2025/11/109</v>
      </c>
      <c r="E376" s="3" t="str">
        <f>IFERROR(__xludf.DUMMYFUNCTION("""COMPUTED_VALUE"""),"Cartoning")</f>
        <v>Cartoning</v>
      </c>
      <c r="F376" s="3" t="str">
        <f>IFERROR(__xludf.DUMMYFUNCTION("""COMPUTED_VALUE"""),"Metal Finger")</f>
        <v>Metal Finger</v>
      </c>
      <c r="G376" s="3" t="str">
        <f>IFERROR(__xludf.DUMMYFUNCTION("""COMPUTED_VALUE"""),"Sesuai Penawaran")</f>
        <v>Sesuai Penawaran</v>
      </c>
      <c r="H376" s="3" t="str">
        <f>IFERROR(__xludf.DUMMYFUNCTION("""COMPUTED_VALUE"""),"-")</f>
        <v>-</v>
      </c>
      <c r="I376" s="3">
        <f>IFERROR(__xludf.DUMMYFUNCTION("""COMPUTED_VALUE"""),5.0)</f>
        <v>5</v>
      </c>
      <c r="J376" s="3" t="str">
        <f>IFERROR(__xludf.DUMMYFUNCTION("""COMPUTED_VALUE"""),"Pcs")</f>
        <v>Pcs</v>
      </c>
      <c r="K376" s="5" t="str">
        <f>IFERROR(__xludf.DUMMYFUNCTION("""COMPUTED_VALUE"""),"https://drive.google.com/file/d/14v-JLYNTKcxGSHDY3i1U6DDR6e2IC6uZ/view?usp=drive_link")</f>
        <v>https://drive.google.com/file/d/14v-JLYNTKcxGSHDY3i1U6DDR6e2IC6uZ/view?usp=drive_link</v>
      </c>
      <c r="L376" s="3" t="str">
        <f>IFERROR(__xludf.DUMMYFUNCTION("""COMPUTED_VALUE"""),"3M0YI000001")</f>
        <v>3M0YI000001</v>
      </c>
      <c r="M376" s="3" t="str">
        <f>IFERROR(__xludf.DUMMYFUNCTION("""COMPUTED_VALUE"""),"Approve")</f>
        <v>Approve</v>
      </c>
      <c r="N376" s="3" t="str">
        <f>IFERROR(__xludf.DUMMYFUNCTION("""COMPUTED_VALUE"""),"Normal")</f>
        <v>Normal</v>
      </c>
      <c r="O376" s="3" t="str">
        <f>IFERROR(__xludf.DUMMYFUNCTION("""COMPUTED_VALUE"""),"Non Urgent")</f>
        <v>Non Urgent</v>
      </c>
      <c r="P376" s="7">
        <f>IFERROR(__xludf.DUMMYFUNCTION("""COMPUTED_VALUE"""),46027.76283961805)</f>
        <v>46027.76284</v>
      </c>
    </row>
    <row r="377">
      <c r="A377" s="4">
        <f>IFERROR(__xludf.DUMMYFUNCTION("""COMPUTED_VALUE"""),45980.92952231481)</f>
        <v>45980.92952</v>
      </c>
      <c r="B377" s="3" t="str">
        <f>IFERROR(__xludf.DUMMYFUNCTION("""COMPUTED_VALUE"""),"NDSBR0039")</f>
        <v>NDSBR0039</v>
      </c>
      <c r="C377" s="3" t="str">
        <f>IFERROR(__xludf.DUMMYFUNCTION("""COMPUTED_VALUE"""),"EJO")</f>
        <v>EJO</v>
      </c>
      <c r="D377" s="3" t="str">
        <f>IFERROR(__xludf.DUMMYFUNCTION("""COMPUTED_VALUE"""),"EJO/2025/11/109")</f>
        <v>EJO/2025/11/109</v>
      </c>
      <c r="E377" s="3" t="str">
        <f>IFERROR(__xludf.DUMMYFUNCTION("""COMPUTED_VALUE"""),"Cartoning")</f>
        <v>Cartoning</v>
      </c>
      <c r="F377" s="3" t="str">
        <f>IFERROR(__xludf.DUMMYFUNCTION("""COMPUTED_VALUE"""),"Metal Finger")</f>
        <v>Metal Finger</v>
      </c>
      <c r="G377" s="3" t="str">
        <f>IFERROR(__xludf.DUMMYFUNCTION("""COMPUTED_VALUE"""),"Sesuai Penawaran")</f>
        <v>Sesuai Penawaran</v>
      </c>
      <c r="H377" s="3" t="str">
        <f>IFERROR(__xludf.DUMMYFUNCTION("""COMPUTED_VALUE"""),"-")</f>
        <v>-</v>
      </c>
      <c r="I377" s="3">
        <f>IFERROR(__xludf.DUMMYFUNCTION("""COMPUTED_VALUE"""),2.0)</f>
        <v>2</v>
      </c>
      <c r="J377" s="3" t="str">
        <f>IFERROR(__xludf.DUMMYFUNCTION("""COMPUTED_VALUE"""),"Pcs")</f>
        <v>Pcs</v>
      </c>
      <c r="K377" s="5" t="str">
        <f>IFERROR(__xludf.DUMMYFUNCTION("""COMPUTED_VALUE"""),"https://drive.google.com/file/d/14v-JLYNTKcxGSHDY3i1U6DDR6e2IC6uZ/view?usp=drive_link")</f>
        <v>https://drive.google.com/file/d/14v-JLYNTKcxGSHDY3i1U6DDR6e2IC6uZ/view?usp=drive_link</v>
      </c>
      <c r="L377" s="3" t="str">
        <f>IFERROR(__xludf.DUMMYFUNCTION("""COMPUTED_VALUE"""),"3M0YI000002")</f>
        <v>3M0YI000002</v>
      </c>
      <c r="M377" s="3" t="str">
        <f>IFERROR(__xludf.DUMMYFUNCTION("""COMPUTED_VALUE"""),"Approve")</f>
        <v>Approve</v>
      </c>
      <c r="N377" s="3" t="str">
        <f>IFERROR(__xludf.DUMMYFUNCTION("""COMPUTED_VALUE"""),"Normal")</f>
        <v>Normal</v>
      </c>
      <c r="O377" s="3" t="str">
        <f>IFERROR(__xludf.DUMMYFUNCTION("""COMPUTED_VALUE"""),"Non Urgent")</f>
        <v>Non Urgent</v>
      </c>
      <c r="P377" s="7">
        <f>IFERROR(__xludf.DUMMYFUNCTION("""COMPUTED_VALUE"""),46027.763134085646)</f>
        <v>46027.76313</v>
      </c>
    </row>
    <row r="378">
      <c r="A378" s="4">
        <f>IFERROR(__xludf.DUMMYFUNCTION("""COMPUTED_VALUE"""),45981.6397477662)</f>
        <v>45981.63975</v>
      </c>
      <c r="B378" s="3" t="str">
        <f>IFERROR(__xludf.DUMMYFUNCTION("""COMPUTED_VALUE"""),"NDSBR0040")</f>
        <v>NDSBR0040</v>
      </c>
      <c r="C378" s="3" t="str">
        <f>IFERROR(__xludf.DUMMYFUNCTION("""COMPUTED_VALUE"""),"EJO")</f>
        <v>EJO</v>
      </c>
      <c r="D378" s="3" t="str">
        <f>IFERROR(__xludf.DUMMYFUNCTION("""COMPUTED_VALUE"""),"EJO/2025/11/10")</f>
        <v>EJO/2025/11/10</v>
      </c>
      <c r="E378" s="3" t="str">
        <f>IFERROR(__xludf.DUMMYFUNCTION("""COMPUTED_VALUE"""),"Washing Tunnel")</f>
        <v>Washing Tunnel</v>
      </c>
      <c r="F378" s="3" t="str">
        <f>IFERROR(__xludf.DUMMYFUNCTION("""COMPUTED_VALUE"""),"Manual Valve Washing")</f>
        <v>Manual Valve Washing</v>
      </c>
      <c r="G378" s="3" t="str">
        <f>IFERROR(__xludf.DUMMYFUNCTION("""COMPUTED_VALUE"""),"3/4 inch")</f>
        <v>3/4 inch</v>
      </c>
      <c r="H378" s="3" t="str">
        <f>IFERROR(__xludf.DUMMYFUNCTION("""COMPUTED_VALUE"""),"-")</f>
        <v>-</v>
      </c>
      <c r="I378" s="3">
        <f>IFERROR(__xludf.DUMMYFUNCTION("""COMPUTED_VALUE"""),1.0)</f>
        <v>1</v>
      </c>
      <c r="J378" s="3" t="str">
        <f>IFERROR(__xludf.DUMMYFUNCTION("""COMPUTED_VALUE"""),"Pcs")</f>
        <v>Pcs</v>
      </c>
      <c r="K378" s="5" t="str">
        <f>IFERROR(__xludf.DUMMYFUNCTION("""COMPUTED_VALUE"""),"https://www.google.com/search?sca_esv=d0ca274367ee7348&amp;rlz=1C1GCEA_enID1076ID1076&amp;sxsrf=AE3TifOf34lCmv28ARxFtg2sGvWfjzdvVg:1763567935840&amp;udm=2&amp;fbs=AIIjpHz7wsNGIr2JtZ-cHhz0krGlm2QhyjMco2nIu0lirb5Sihx-b0oAhyDYmGb5K9FIrXnzOgwGXLvOhrKVu2C30f2dzKv7C4XgSQa1hl_U"&amp;"JAwH8FSU7s3FbDlJqp4LylrMOnYM2i_-JwM11ZJ21P2QhQMkb49PeI80SCQfL7ZganQG_WCfAHvDGGECtj5XnaFS65y6uz3gAd9UiMSjjPJJQv1Jsrm45A&amp;q=manual+valve+3/4+inch+ferrule&amp;sa=X&amp;ved=2ahUKEwiZlenCyv6QAxXTRmwGHShuMvkQtKgLegQIFRAB&amp;biw=1366&amp;bih=653&amp;dpr=1#vhid=rKAph7mQY51eKM&amp;vssid="&amp;"mosaic")</f>
        <v>https://www.google.com/search?sca_esv=d0ca274367ee7348&amp;rlz=1C1GCEA_enID1076ID1076&amp;sxsrf=AE3TifOf34lCmv28ARxFtg2sGvWfjzdvVg:1763567935840&amp;udm=2&amp;fbs=AIIjpHz7wsNGIr2JtZ-cHhz0krGlm2QhyjMco2nIu0lirb5Sihx-b0oAhyDYmGb5K9FIrXnzOgwGXLvOhrKVu2C30f2dzKv7C4XgSQa1hl_UJAwH8FSU7s3FbDlJqp4LylrMOnYM2i_-JwM11ZJ21P2QhQMkb49PeI80SCQfL7ZganQG_WCfAHvDGGECtj5XnaFS65y6uz3gAd9UiMSjjPJJQv1Jsrm45A&amp;q=manual+valve+3/4+inch+ferrule&amp;sa=X&amp;ved=2ahUKEwiZlenCyv6QAxXTRmwGHShuMvkQtKgLegQIFRAB&amp;biw=1366&amp;bih=653&amp;dpr=1#vhid=rKAph7mQY51eKM&amp;vssid=mosaic</v>
      </c>
      <c r="L378" s="3" t="str">
        <f>IFERROR(__xludf.DUMMYFUNCTION("""COMPUTED_VALUE"""),"- (REJECT BY MFH KARENA ATTACHMENT HANYA LINK GOOGLE SEARCH, TIDAK JELAS YANG MANA)")</f>
        <v>- (REJECT BY MFH KARENA ATTACHMENT HANYA LINK GOOGLE SEARCH, TIDAK JELAS YANG MANA)</v>
      </c>
      <c r="M378" s="3" t="str">
        <f>IFERROR(__xludf.DUMMYFUNCTION("""COMPUTED_VALUE"""),"Approve")</f>
        <v>Approve</v>
      </c>
      <c r="N378" s="3" t="str">
        <f>IFERROR(__xludf.DUMMYFUNCTION("""COMPUTED_VALUE"""),"Normal")</f>
        <v>Normal</v>
      </c>
      <c r="O378" s="3" t="str">
        <f>IFERROR(__xludf.DUMMYFUNCTION("""COMPUTED_VALUE"""),"Non Urgent")</f>
        <v>Non Urgent</v>
      </c>
      <c r="P378" s="7">
        <f>IFERROR(__xludf.DUMMYFUNCTION("""COMPUTED_VALUE"""),46027.763552268516)</f>
        <v>46027.76355</v>
      </c>
    </row>
    <row r="379">
      <c r="A379" s="4">
        <f>IFERROR(__xludf.DUMMYFUNCTION("""COMPUTED_VALUE"""),45981.64048634259)</f>
        <v>45981.64049</v>
      </c>
      <c r="B379" s="3" t="str">
        <f>IFERROR(__xludf.DUMMYFUNCTION("""COMPUTED_VALUE"""),"NDSBR0041")</f>
        <v>NDSBR0041</v>
      </c>
      <c r="C379" s="3" t="str">
        <f>IFERROR(__xludf.DUMMYFUNCTION("""COMPUTED_VALUE"""),"EJO")</f>
        <v>EJO</v>
      </c>
      <c r="D379" s="3" t="str">
        <f>IFERROR(__xludf.DUMMYFUNCTION("""COMPUTED_VALUE"""),"EJO/2025/11/10")</f>
        <v>EJO/2025/11/10</v>
      </c>
      <c r="E379" s="3" t="str">
        <f>IFERROR(__xludf.DUMMYFUNCTION("""COMPUTED_VALUE"""),"Washing Tunnel")</f>
        <v>Washing Tunnel</v>
      </c>
      <c r="F379" s="3" t="str">
        <f>IFERROR(__xludf.DUMMYFUNCTION("""COMPUTED_VALUE"""),"Manual Valve Washing")</f>
        <v>Manual Valve Washing</v>
      </c>
      <c r="G379" s="3" t="str">
        <f>IFERROR(__xludf.DUMMYFUNCTION("""COMPUTED_VALUE"""),"1 Inch")</f>
        <v>1 Inch</v>
      </c>
      <c r="H379" s="3" t="str">
        <f>IFERROR(__xludf.DUMMYFUNCTION("""COMPUTED_VALUE"""),"-")</f>
        <v>-</v>
      </c>
      <c r="I379" s="3">
        <f>IFERROR(__xludf.DUMMYFUNCTION("""COMPUTED_VALUE"""),1.0)</f>
        <v>1</v>
      </c>
      <c r="J379" s="3" t="str">
        <f>IFERROR(__xludf.DUMMYFUNCTION("""COMPUTED_VALUE"""),"Pcs")</f>
        <v>Pcs</v>
      </c>
      <c r="K379" s="5" t="str">
        <f>IFERROR(__xludf.DUMMYFUNCTION("""COMPUTED_VALUE"""),"https://www.google.com/search?sca_esv=d0ca274367ee7348&amp;rlz=1C1GCEA_enID1076ID1076&amp;sxsrf=AE3TifMqYmMtTlX4o6O-5GrYaCa2X7HpAg:1763567922732&amp;udm=2&amp;fbs=AIIjpHyT_SxYVhARa94nMDCzZuVE0arryPEhLekpbC7r6xABFKLMG1ndy20DTaZoCITXw-7Umq0xEnhBV2mOt0ZDIF3BngdbAxmde7z5iFP4"&amp;"cTWIomlRxRk8T0CaDKOMnnJbN9-xI4O-tGFAu-VgUMsFQYIGeqkHj2-j1_CbOz26lBWYuXTKANLLaZd0u3M75FUAjXncuTp2Nloxmkd7QETLxlC4kWGHCA&amp;q=manual+valve+ferrule+1+inch&amp;sa=X&amp;ved=2ahUKEwiTlMm8yv6QAxXra2wGHTtNMngQtKgLegQIFRAB&amp;biw=1366&amp;bih=611&amp;dpr=1")</f>
        <v>https://www.google.com/search?sca_esv=d0ca274367ee7348&amp;rlz=1C1GCEA_enID1076ID1076&amp;sxsrf=AE3TifMqYmMtTlX4o6O-5GrYaCa2X7HpAg:1763567922732&amp;udm=2&amp;fbs=AIIjpHyT_SxYVhARa94nMDCzZuVE0arryPEhLekpbC7r6xABFKLMG1ndy20DTaZoCITXw-7Umq0xEnhBV2mOt0ZDIF3BngdbAxmde7z5iFP4cTWIomlRxRk8T0CaDKOMnnJbN9-xI4O-tGFAu-VgUMsFQYIGeqkHj2-j1_CbOz26lBWYuXTKANLLaZd0u3M75FUAjXncuTp2Nloxmkd7QETLxlC4kWGHCA&amp;q=manual+valve+ferrule+1+inch&amp;sa=X&amp;ved=2ahUKEwiTlMm8yv6QAxXra2wGHTtNMngQtKgLegQIFRAB&amp;biw=1366&amp;bih=611&amp;dpr=1</v>
      </c>
      <c r="L379" s="3" t="str">
        <f>IFERROR(__xludf.DUMMYFUNCTION("""COMPUTED_VALUE"""),"- (REJECT BY MFH KARENA ATTACHMENT HANYA LINK GOOGLE SEARCH, TIDAK JELAS YANG MANA)")</f>
        <v>- (REJECT BY MFH KARENA ATTACHMENT HANYA LINK GOOGLE SEARCH, TIDAK JELAS YANG MANA)</v>
      </c>
      <c r="M379" s="3" t="str">
        <f>IFERROR(__xludf.DUMMYFUNCTION("""COMPUTED_VALUE"""),"Approve")</f>
        <v>Approve</v>
      </c>
      <c r="N379" s="3" t="str">
        <f>IFERROR(__xludf.DUMMYFUNCTION("""COMPUTED_VALUE"""),"Normal")</f>
        <v>Normal</v>
      </c>
      <c r="O379" s="3" t="str">
        <f>IFERROR(__xludf.DUMMYFUNCTION("""COMPUTED_VALUE"""),"Non Urgent")</f>
        <v>Non Urgent</v>
      </c>
      <c r="P379" s="7">
        <f>IFERROR(__xludf.DUMMYFUNCTION("""COMPUTED_VALUE"""),46027.76376793982)</f>
        <v>46027.76377</v>
      </c>
    </row>
    <row r="380">
      <c r="A380" s="4">
        <f>IFERROR(__xludf.DUMMYFUNCTION("""COMPUTED_VALUE"""),45991.93372652777)</f>
        <v>45991.93373</v>
      </c>
      <c r="B380" s="3" t="str">
        <f>IFERROR(__xludf.DUMMYFUNCTION("""COMPUTED_VALUE"""),"ROSBR0050")</f>
        <v>ROSBR0050</v>
      </c>
      <c r="C380" s="3" t="str">
        <f>IFERROR(__xludf.DUMMYFUNCTION("""COMPUTED_VALUE"""),"Consumable")</f>
        <v>Consumable</v>
      </c>
      <c r="D380" s="3" t="str">
        <f>IFERROR(__xludf.DUMMYFUNCTION("""COMPUTED_VALUE"""),"NA ")</f>
        <v>NA </v>
      </c>
      <c r="E380" s="3" t="str">
        <f>IFERROR(__xludf.DUMMYFUNCTION("""COMPUTED_VALUE"""),"Bor baterai ")</f>
        <v>Bor baterai </v>
      </c>
      <c r="F380" s="3" t="str">
        <f>IFERROR(__xludf.DUMMYFUNCTION("""COMPUTED_VALUE"""),"Mata Bor Socket Hex Nut / Baut Roofing Adaptor")</f>
        <v>Mata Bor Socket Hex Nut / Baut Roofing Adaptor</v>
      </c>
      <c r="G380" s="3" t="str">
        <f>IFERROR(__xludf.DUMMYFUNCTION("""COMPUTED_VALUE"""),"Bahan: CRV chrome vanadium
Warna: perak
Ukuran: 
9pcs set")</f>
        <v>Bahan: CRV chrome vanadium
Warna: perak
Ukuran: 
9pcs set</v>
      </c>
      <c r="H380" s="3" t="str">
        <f>IFERROR(__xludf.DUMMYFUNCTION("""COMPUTED_VALUE"""),"Universal ")</f>
        <v>Universal </v>
      </c>
      <c r="I380" s="3">
        <f>IFERROR(__xludf.DUMMYFUNCTION("""COMPUTED_VALUE"""),1.0)</f>
        <v>1</v>
      </c>
      <c r="J380" s="3" t="str">
        <f>IFERROR(__xludf.DUMMYFUNCTION("""COMPUTED_VALUE"""),"Set")</f>
        <v>Set</v>
      </c>
      <c r="K380" s="5" t="str">
        <f>IFERROR(__xludf.DUMMYFUNCTION("""COMPUTED_VALUE"""),"https://shopee.co.id/Set-9Pcs-14Pcs-Mata-Bor-Socket-Hex-Nut-Baut-Roofing-Adaptor-i.1514659270.40365584142?xptdk=069a1f88-4933-4931-baeb-af00f66848e1")</f>
        <v>https://shopee.co.id/Set-9Pcs-14Pcs-Mata-Bor-Socket-Hex-Nut-Baut-Roofing-Adaptor-i.1514659270.40365584142?xptdk=069a1f88-4933-4931-baeb-af00f66848e1</v>
      </c>
      <c r="L380" s="3" t="str">
        <f>IFERROR(__xludf.DUMMYFUNCTION("""COMPUTED_VALUE"""),"- ")</f>
        <v>- </v>
      </c>
      <c r="M380" s="3" t="str">
        <f>IFERROR(__xludf.DUMMYFUNCTION("""COMPUTED_VALUE"""),"Approve")</f>
        <v>Approve</v>
      </c>
      <c r="N380" s="3" t="str">
        <f>IFERROR(__xludf.DUMMYFUNCTION("""COMPUTED_VALUE"""),"Normal")</f>
        <v>Normal</v>
      </c>
      <c r="O380" s="3" t="str">
        <f>IFERROR(__xludf.DUMMYFUNCTION("""COMPUTED_VALUE"""),"Non Urgent")</f>
        <v>Non Urgent</v>
      </c>
      <c r="P380" s="7">
        <f>IFERROR(__xludf.DUMMYFUNCTION("""COMPUTED_VALUE"""),46010.24990333333)</f>
        <v>46010.2499</v>
      </c>
    </row>
    <row r="381">
      <c r="A381" s="4">
        <f>IFERROR(__xludf.DUMMYFUNCTION("""COMPUTED_VALUE"""),45993.49638828704)</f>
        <v>45993.49639</v>
      </c>
      <c r="B381" s="3" t="str">
        <f>IFERROR(__xludf.DUMMYFUNCTION("""COMPUTED_VALUE"""),"MOBBR0049")</f>
        <v>MOBBR0049</v>
      </c>
      <c r="C381" s="3" t="str">
        <f>IFERROR(__xludf.DUMMYFUNCTION("""COMPUTED_VALUE"""),"Consumable")</f>
        <v>Consumable</v>
      </c>
      <c r="D381" s="3" t="str">
        <f>IFERROR(__xludf.DUMMYFUNCTION("""COMPUTED_VALUE"""),"-")</f>
        <v>-</v>
      </c>
      <c r="E381" s="3" t="str">
        <f>IFERROR(__xludf.DUMMYFUNCTION("""COMPUTED_VALUE"""),"Pneumatic Fitting")</f>
        <v>Pneumatic Fitting</v>
      </c>
      <c r="F381" s="3" t="str">
        <f>IFERROR(__xludf.DUMMYFUNCTION("""COMPUTED_VALUE"""),"QS")</f>
        <v>QS</v>
      </c>
      <c r="G381" s="3" t="str">
        <f>IFERROR(__xludf.DUMMYFUNCTION("""COMPUTED_VALUE"""),"1/2-8")</f>
        <v>1/2-8</v>
      </c>
      <c r="H381" s="3" t="str">
        <f>IFERROR(__xludf.DUMMYFUNCTION("""COMPUTED_VALUE"""),"Festo")</f>
        <v>Festo</v>
      </c>
      <c r="I381" s="3">
        <f>IFERROR(__xludf.DUMMYFUNCTION("""COMPUTED_VALUE"""),10.0)</f>
        <v>10</v>
      </c>
      <c r="J381" s="3" t="str">
        <f>IFERROR(__xludf.DUMMYFUNCTION("""COMPUTED_VALUE"""),"Pcs")</f>
        <v>Pcs</v>
      </c>
      <c r="K381" s="5" t="str">
        <f>IFERROR(__xludf.DUMMYFUNCTION("""COMPUTED_VALUE"""),"https://www.tokopedia.com/tokofitting/pneumatic-push-in-8mm-x-1-2-festo-qs-1-2-8?utm_source=google&amp;utm_medium=organic&amp;utm_campaign=pdp")</f>
        <v>https://www.tokopedia.com/tokofitting/pneumatic-push-in-8mm-x-1-2-festo-qs-1-2-8?utm_source=google&amp;utm_medium=organic&amp;utm_campaign=pdp</v>
      </c>
      <c r="L381" s="3" t="str">
        <f>IFERROR(__xludf.DUMMYFUNCTION("""COMPUTED_VALUE"""),"Consumable ")</f>
        <v>Consumable </v>
      </c>
      <c r="M381" s="3" t="str">
        <f>IFERROR(__xludf.DUMMYFUNCTION("""COMPUTED_VALUE"""),"Approve")</f>
        <v>Approve</v>
      </c>
      <c r="N381" s="3" t="str">
        <f>IFERROR(__xludf.DUMMYFUNCTION("""COMPUTED_VALUE"""),"Normal")</f>
        <v>Normal</v>
      </c>
      <c r="O381" s="3" t="str">
        <f>IFERROR(__xludf.DUMMYFUNCTION("""COMPUTED_VALUE"""),"Non Urgent")</f>
        <v>Non Urgent</v>
      </c>
      <c r="P381" s="7">
        <f>IFERROR(__xludf.DUMMYFUNCTION("""COMPUTED_VALUE"""),46002.46435789352)</f>
        <v>46002.46436</v>
      </c>
    </row>
    <row r="382">
      <c r="A382" s="4">
        <f>IFERROR(__xludf.DUMMYFUNCTION("""COMPUTED_VALUE"""),45993.499915659726)</f>
        <v>45993.49992</v>
      </c>
      <c r="B382" s="3" t="str">
        <f>IFERROR(__xludf.DUMMYFUNCTION("""COMPUTED_VALUE"""),"MOBBR0051")</f>
        <v>MOBBR0051</v>
      </c>
      <c r="C382" s="3" t="str">
        <f>IFERROR(__xludf.DUMMYFUNCTION("""COMPUTED_VALUE"""),"Consumable")</f>
        <v>Consumable</v>
      </c>
      <c r="D382" s="3" t="str">
        <f>IFERROR(__xludf.DUMMYFUNCTION("""COMPUTED_VALUE"""),"-")</f>
        <v>-</v>
      </c>
      <c r="E382" s="3" t="str">
        <f>IFERROR(__xludf.DUMMYFUNCTION("""COMPUTED_VALUE"""),"Pneumatic Fitting")</f>
        <v>Pneumatic Fitting</v>
      </c>
      <c r="F382" s="3" t="str">
        <f>IFERROR(__xludf.DUMMYFUNCTION("""COMPUTED_VALUE"""),"QS")</f>
        <v>QS</v>
      </c>
      <c r="G382" s="3" t="str">
        <f>IFERROR(__xludf.DUMMYFUNCTION("""COMPUTED_VALUE"""),"1/4-8")</f>
        <v>1/4-8</v>
      </c>
      <c r="H382" s="3" t="str">
        <f>IFERROR(__xludf.DUMMYFUNCTION("""COMPUTED_VALUE"""),"Festo")</f>
        <v>Festo</v>
      </c>
      <c r="I382" s="3">
        <f>IFERROR(__xludf.DUMMYFUNCTION("""COMPUTED_VALUE"""),10.0)</f>
        <v>10</v>
      </c>
      <c r="J382" s="3" t="str">
        <f>IFERROR(__xludf.DUMMYFUNCTION("""COMPUTED_VALUE"""),"Pcs")</f>
        <v>Pcs</v>
      </c>
      <c r="K382" s="5" t="str">
        <f>IFERROR(__xludf.DUMMYFUNCTION("""COMPUTED_VALUE"""),"https://shopee.co.id/FESTO-PUSH-IN-FITTING-QS-1-4-8-(-153005-)-i.269561947.5036462597")</f>
        <v>https://shopee.co.id/FESTO-PUSH-IN-FITTING-QS-1-4-8-(-153005-)-i.269561947.5036462597</v>
      </c>
      <c r="L382" s="3" t="str">
        <f>IFERROR(__xludf.DUMMYFUNCTION("""COMPUTED_VALUE"""),"Consumable ")</f>
        <v>Consumable </v>
      </c>
      <c r="M382" s="3" t="str">
        <f>IFERROR(__xludf.DUMMYFUNCTION("""COMPUTED_VALUE"""),"Approve")</f>
        <v>Approve</v>
      </c>
      <c r="N382" s="3" t="str">
        <f>IFERROR(__xludf.DUMMYFUNCTION("""COMPUTED_VALUE"""),"Normal")</f>
        <v>Normal</v>
      </c>
      <c r="O382" s="3" t="str">
        <f>IFERROR(__xludf.DUMMYFUNCTION("""COMPUTED_VALUE"""),"Non Urgent")</f>
        <v>Non Urgent</v>
      </c>
      <c r="P382" s="7">
        <f>IFERROR(__xludf.DUMMYFUNCTION("""COMPUTED_VALUE"""),46002.464720613425)</f>
        <v>46002.46472</v>
      </c>
    </row>
    <row r="383">
      <c r="A383" s="4">
        <f>IFERROR(__xludf.DUMMYFUNCTION("""COMPUTED_VALUE"""),45995.88686731482)</f>
        <v>45995.88687</v>
      </c>
      <c r="B383" s="3" t="str">
        <f>IFERROR(__xludf.DUMMYFUNCTION("""COMPUTED_VALUE"""),"MRNBR0090")</f>
        <v>MRNBR0090</v>
      </c>
      <c r="C383" s="3" t="str">
        <f>IFERROR(__xludf.DUMMYFUNCTION("""COMPUTED_VALUE"""),"EJO")</f>
        <v>EJO</v>
      </c>
      <c r="D383" s="3" t="str">
        <f>IFERROR(__xludf.DUMMYFUNCTION("""COMPUTED_VALUE"""),"EJO/2025/11/120")</f>
        <v>EJO/2025/11/120</v>
      </c>
      <c r="E383" s="3" t="str">
        <f>IFERROR(__xludf.DUMMYFUNCTION("""COMPUTED_VALUE"""),"AHU F2-4")</f>
        <v>AHU F2-4</v>
      </c>
      <c r="F383" s="3" t="str">
        <f>IFERROR(__xludf.DUMMYFUNCTION("""COMPUTED_VALUE"""),"Trafo Step Down")</f>
        <v>Trafo Step Down</v>
      </c>
      <c r="G383" s="3" t="str">
        <f>IFERROR(__xludf.DUMMYFUNCTION("""COMPUTED_VALUE"""),"220VAC to 24VAC 5A")</f>
        <v>220VAC to 24VAC 5A</v>
      </c>
      <c r="H383" s="3" t="str">
        <f>IFERROR(__xludf.DUMMYFUNCTION("""COMPUTED_VALUE"""),"NA")</f>
        <v>NA</v>
      </c>
      <c r="I383" s="3">
        <f>IFERROR(__xludf.DUMMYFUNCTION("""COMPUTED_VALUE"""),1.0)</f>
        <v>1</v>
      </c>
      <c r="J383" s="3" t="str">
        <f>IFERROR(__xludf.DUMMYFUNCTION("""COMPUTED_VALUE"""),"pcs")</f>
        <v>pcs</v>
      </c>
      <c r="K383" s="5" t="str">
        <f>IFERROR(__xludf.DUMMYFUNCTION("""COMPUTED_VALUE"""),"https://www.tokopedia.com/tojilasman/5a-nol-b-travo-trafo-inverter-step-up-down-carger-cash-charger-aki-accu-5a-murni-besar-original-kurae-100-tembaga-cu-1729847549261284609?extParam=ivf%3Dfalse%26keyword%3Dtravo+step+down%26search_id%3D20251204141134B396"&amp;"7A0E938DC21506AH%26src%3Dsearch")</f>
        <v>https://www.tokopedia.com/tojilasman/5a-nol-b-travo-trafo-inverter-step-up-down-carger-cash-charger-aki-accu-5a-murni-besar-original-kurae-100-tembaga-cu-1729847549261284609?extParam=ivf%3Dfalse%26keyword%3Dtravo+step+down%26search_id%3D20251204141134B3967A0E938DC21506AH%26src%3Dsearch</v>
      </c>
      <c r="L383" s="3" t="str">
        <f>IFERROR(__xludf.DUMMYFUNCTION("""COMPUTED_VALUE"""),"Untuk perbaikan pada AHU F2-4")</f>
        <v>Untuk perbaikan pada AHU F2-4</v>
      </c>
      <c r="M383" s="3" t="str">
        <f>IFERROR(__xludf.DUMMYFUNCTION("""COMPUTED_VALUE"""),"Approve")</f>
        <v>Approve</v>
      </c>
      <c r="N383" s="3" t="str">
        <f>IFERROR(__xludf.DUMMYFUNCTION("""COMPUTED_VALUE"""),"Normal")</f>
        <v>Normal</v>
      </c>
      <c r="O383" s="3" t="str">
        <f>IFERROR(__xludf.DUMMYFUNCTION("""COMPUTED_VALUE"""),"Non Urgent")</f>
        <v>Non Urgent</v>
      </c>
      <c r="P383" s="7">
        <f>IFERROR(__xludf.DUMMYFUNCTION("""COMPUTED_VALUE"""),46002.465424236114)</f>
        <v>46002.46542</v>
      </c>
    </row>
    <row r="384">
      <c r="A384" s="4">
        <f>IFERROR(__xludf.DUMMYFUNCTION("""COMPUTED_VALUE"""),46003.3452017824)</f>
        <v>46003.3452</v>
      </c>
      <c r="B384" s="3" t="str">
        <f>IFERROR(__xludf.DUMMYFUNCTION("""COMPUTED_VALUE"""),"RIABR0124")</f>
        <v>RIABR0124</v>
      </c>
      <c r="C384" s="3" t="str">
        <f>IFERROR(__xludf.DUMMYFUNCTION("""COMPUTED_VALUE"""),"EJO")</f>
        <v>EJO</v>
      </c>
      <c r="D384" s="3" t="str">
        <f>IFERROR(__xludf.DUMMYFUNCTION("""COMPUTED_VALUE"""),"EJO/2025/08/133")</f>
        <v>EJO/2025/08/133</v>
      </c>
      <c r="E384" s="3" t="str">
        <f>IFERROR(__xludf.DUMMYFUNCTION("""COMPUTED_VALUE"""),"PWG")</f>
        <v>PWG</v>
      </c>
      <c r="F384" s="3" t="str">
        <f>IFERROR(__xludf.DUMMYFUNCTION("""COMPUTED_VALUE"""),"Pressure Gauge")</f>
        <v>Pressure Gauge</v>
      </c>
      <c r="G384" s="3" t="str">
        <f>IFERROR(__xludf.DUMMYFUNCTION("""COMPUTED_VALUE"""),"Pressure Gauge GMT 10 Bar 3/4 inch")</f>
        <v>Pressure Gauge GMT 10 Bar 3/4 inch</v>
      </c>
      <c r="H384" s="3" t="str">
        <f>IFERROR(__xludf.DUMMYFUNCTION("""COMPUTED_VALUE"""),"GMT")</f>
        <v>GMT</v>
      </c>
      <c r="I384" s="3">
        <f>IFERROR(__xludf.DUMMYFUNCTION("""COMPUTED_VALUE"""),1.0)</f>
        <v>1</v>
      </c>
      <c r="J384" s="3" t="str">
        <f>IFERROR(__xludf.DUMMYFUNCTION("""COMPUTED_VALUE"""),"Pcs")</f>
        <v>Pcs</v>
      </c>
      <c r="K384" s="3" t="str">
        <f>IFERROR(__xludf.DUMMYFUNCTION("""COMPUTED_VALUE"""),"QT-25-1202-Fonko (1).pdf")</f>
        <v>QT-25-1202-Fonko (1).pdf</v>
      </c>
      <c r="L384" s="3" t="str">
        <f>IFERROR(__xludf.DUMMYFUNCTION("""COMPUTED_VALUE"""),"Buat PG TMS kalibrasi")</f>
        <v>Buat PG TMS kalibrasi</v>
      </c>
      <c r="M384" s="3" t="str">
        <f>IFERROR(__xludf.DUMMYFUNCTION("""COMPUTED_VALUE"""),"Approve")</f>
        <v>Approve</v>
      </c>
      <c r="N384" s="3" t="str">
        <f>IFERROR(__xludf.DUMMYFUNCTION("""COMPUTED_VALUE"""),"Normal")</f>
        <v>Normal</v>
      </c>
      <c r="O384" s="3" t="str">
        <f>IFERROR(__xludf.DUMMYFUNCTION("""COMPUTED_VALUE"""),"Non Urgent")</f>
        <v>Non Urgent</v>
      </c>
      <c r="P384" s="7">
        <f>IFERROR(__xludf.DUMMYFUNCTION("""COMPUTED_VALUE"""),46003.66614560185)</f>
        <v>46003.66615</v>
      </c>
    </row>
    <row r="385">
      <c r="A385" s="4">
        <f>IFERROR(__xludf.DUMMYFUNCTION("""COMPUTED_VALUE"""),46005.657085555555)</f>
        <v>46005.65709</v>
      </c>
      <c r="B385" s="3" t="str">
        <f>IFERROR(__xludf.DUMMYFUNCTION("""COMPUTED_VALUE"""),"MRNBR0091")</f>
        <v>MRNBR0091</v>
      </c>
      <c r="C385" s="3" t="str">
        <f>IFERROR(__xludf.DUMMYFUNCTION("""COMPUTED_VALUE"""),"EJO")</f>
        <v>EJO</v>
      </c>
      <c r="D385" s="3" t="str">
        <f>IFERROR(__xludf.DUMMYFUNCTION("""COMPUTED_VALUE"""),"EJO/2025/10/02")</f>
        <v>EJO/2025/10/02</v>
      </c>
      <c r="E385" s="3" t="str">
        <f>IFERROR(__xludf.DUMMYFUNCTION("""COMPUTED_VALUE"""),"Deep frezzer API")</f>
        <v>Deep frezzer API</v>
      </c>
      <c r="F385" s="3" t="str">
        <f>IFERROR(__xludf.DUMMYFUNCTION("""COMPUTED_VALUE"""),"Dinamo fan")</f>
        <v>Dinamo fan</v>
      </c>
      <c r="G385" s="3" t="str">
        <f>IFERROR(__xludf.DUMMYFUNCTION("""COMPUTED_VALUE"""),"fan f61-10 asp")</f>
        <v>fan f61-10 asp</v>
      </c>
      <c r="H385" s="3" t="str">
        <f>IFERROR(__xludf.DUMMYFUNCTION("""COMPUTED_VALUE"""),"NA")</f>
        <v>NA</v>
      </c>
      <c r="I385" s="3">
        <f>IFERROR(__xludf.DUMMYFUNCTION("""COMPUTED_VALUE"""),5.0)</f>
        <v>5</v>
      </c>
      <c r="J385" s="3" t="str">
        <f>IFERROR(__xludf.DUMMYFUNCTION("""COMPUTED_VALUE"""),"pcs")</f>
        <v>pcs</v>
      </c>
      <c r="K385" s="5" t="str">
        <f>IFERROR(__xludf.DUMMYFUNCTION("""COMPUTED_VALUE"""),"https://www.tokopedia.com/grosirlegend/fan-motor-kulkas-polytron-f61-10?aff_unique_id=&amp;channel=others&amp;chain_key=")</f>
        <v>https://www.tokopedia.com/grosirlegend/fan-motor-kulkas-polytron-f61-10?aff_unique_id=&amp;channel=others&amp;chain_key=</v>
      </c>
      <c r="L385" s="3" t="str">
        <f>IFERROR(__xludf.DUMMYFUNCTION("""COMPUTED_VALUE"""),"untuk cold fan deep freezer API")</f>
        <v>untuk cold fan deep freezer API</v>
      </c>
      <c r="M385" s="3" t="str">
        <f>IFERROR(__xludf.DUMMYFUNCTION("""COMPUTED_VALUE"""),"Approve")</f>
        <v>Approve</v>
      </c>
      <c r="N385" s="3" t="str">
        <f>IFERROR(__xludf.DUMMYFUNCTION("""COMPUTED_VALUE"""),"Normal")</f>
        <v>Normal</v>
      </c>
      <c r="O385" s="3" t="str">
        <f>IFERROR(__xludf.DUMMYFUNCTION("""COMPUTED_VALUE"""),"Non Urgent")</f>
        <v>Non Urgent</v>
      </c>
      <c r="P385" s="7">
        <f>IFERROR(__xludf.DUMMYFUNCTION("""COMPUTED_VALUE"""),46010.40739758102)</f>
        <v>46010.4074</v>
      </c>
    </row>
    <row r="386">
      <c r="A386" s="4">
        <f>IFERROR(__xludf.DUMMYFUNCTION("""COMPUTED_VALUE"""),46008.26701225694)</f>
        <v>46008.26701</v>
      </c>
      <c r="B386" s="3" t="str">
        <f>IFERROR(__xludf.DUMMYFUNCTION("""COMPUTED_VALUE"""),"RIABR0125")</f>
        <v>RIABR0125</v>
      </c>
      <c r="C386" s="3" t="str">
        <f>IFERROR(__xludf.DUMMYFUNCTION("""COMPUTED_VALUE"""),"EJO")</f>
        <v>EJO</v>
      </c>
      <c r="D386" s="3" t="str">
        <f>IFERROR(__xludf.DUMMYFUNCTION("""COMPUTED_VALUE"""),"EJO/2025/11/121")</f>
        <v>EJO/2025/11/121</v>
      </c>
      <c r="E386" s="3" t="str">
        <f>IFERROR(__xludf.DUMMYFUNCTION("""COMPUTED_VALUE"""),"BIBO C1-3")</f>
        <v>BIBO C1-3</v>
      </c>
      <c r="F386" s="3" t="str">
        <f>IFERROR(__xludf.DUMMYFUNCTION("""COMPUTED_VALUE"""),"Magnehelic")</f>
        <v>Magnehelic</v>
      </c>
      <c r="G386" s="3" t="str">
        <f>IFERROR(__xludf.DUMMYFUNCTION("""COMPUTED_VALUE"""),"Magnehelic Diff. Pressure Indicating Transmitter
Model : 605-3
Range : 0 to 3.0 in w.c.
Mfg : Dwyer")</f>
        <v>Magnehelic Diff. Pressure Indicating Transmitter
Model : 605-3
Range : 0 to 3.0 in w.c.
Mfg : Dwyer</v>
      </c>
      <c r="H386" s="3" t="str">
        <f>IFERROR(__xludf.DUMMYFUNCTION("""COMPUTED_VALUE"""),"Dwyer")</f>
        <v>Dwyer</v>
      </c>
      <c r="I386" s="3">
        <f>IFERROR(__xludf.DUMMYFUNCTION("""COMPUTED_VALUE"""),3.0)</f>
        <v>3</v>
      </c>
      <c r="J386" s="3" t="str">
        <f>IFERROR(__xludf.DUMMYFUNCTION("""COMPUTED_VALUE"""),"Pcs")</f>
        <v>Pcs</v>
      </c>
      <c r="K386" s="3" t="str">
        <f>IFERROR(__xludf.DUMMYFUNCTION("""COMPUTED_VALUE"""),"QENS-SHGI-251004.pdf")</f>
        <v>QENS-SHGI-251004.pdf</v>
      </c>
      <c r="L386" s="3" t="str">
        <f>IFERROR(__xludf.DUMMYFUNCTION("""COMPUTED_VALUE"""),"Buat magnehelic transmitter")</f>
        <v>Buat magnehelic transmitter</v>
      </c>
      <c r="M386" s="3" t="str">
        <f>IFERROR(__xludf.DUMMYFUNCTION("""COMPUTED_VALUE"""),"Approve")</f>
        <v>Approve</v>
      </c>
      <c r="N386" s="3" t="str">
        <f>IFERROR(__xludf.DUMMYFUNCTION("""COMPUTED_VALUE"""),"Normal")</f>
        <v>Normal</v>
      </c>
      <c r="O386" s="3" t="str">
        <f>IFERROR(__xludf.DUMMYFUNCTION("""COMPUTED_VALUE"""),"Non Urgent")</f>
        <v>Non Urgent</v>
      </c>
      <c r="P386" s="7">
        <f>IFERROR(__xludf.DUMMYFUNCTION("""COMPUTED_VALUE"""),46010.40679681713)</f>
        <v>46010.4068</v>
      </c>
    </row>
    <row r="387">
      <c r="A387" s="4">
        <f>IFERROR(__xludf.DUMMYFUNCTION("""COMPUTED_VALUE"""),46008.26784240741)</f>
        <v>46008.26784</v>
      </c>
      <c r="B387" s="3" t="str">
        <f>IFERROR(__xludf.DUMMYFUNCTION("""COMPUTED_VALUE"""),"RIABR0126")</f>
        <v>RIABR0126</v>
      </c>
      <c r="C387" s="3" t="str">
        <f>IFERROR(__xludf.DUMMYFUNCTION("""COMPUTED_VALUE"""),"Consumable")</f>
        <v>Consumable</v>
      </c>
      <c r="D387" s="3" t="str">
        <f>IFERROR(__xludf.DUMMYFUNCTION("""COMPUTED_VALUE"""),"-")</f>
        <v>-</v>
      </c>
      <c r="E387" s="3" t="str">
        <f>IFERROR(__xludf.DUMMYFUNCTION("""COMPUTED_VALUE"""),"AHU OS E1-1")</f>
        <v>AHU OS E1-1</v>
      </c>
      <c r="F387" s="3" t="str">
        <f>IFERROR(__xludf.DUMMYFUNCTION("""COMPUTED_VALUE"""),"Magnehelic")</f>
        <v>Magnehelic</v>
      </c>
      <c r="G387" s="3" t="str">
        <f>IFERROR(__xludf.DUMMYFUNCTION("""COMPUTED_VALUE"""),"Magnehelic Diff. Pressure Gages
Model : 2000-250PA
Range : 0-250 Pascal
Mfg : Dwyer")</f>
        <v>Magnehelic Diff. Pressure Gages
Model : 2000-250PA
Range : 0-250 Pascal
Mfg : Dwyer</v>
      </c>
      <c r="H387" s="3" t="str">
        <f>IFERROR(__xludf.DUMMYFUNCTION("""COMPUTED_VALUE"""),"Dwyer")</f>
        <v>Dwyer</v>
      </c>
      <c r="I387" s="3">
        <f>IFERROR(__xludf.DUMMYFUNCTION("""COMPUTED_VALUE"""),3.0)</f>
        <v>3</v>
      </c>
      <c r="J387" s="3" t="str">
        <f>IFERROR(__xludf.DUMMYFUNCTION("""COMPUTED_VALUE"""),"Pcs")</f>
        <v>Pcs</v>
      </c>
      <c r="K387" s="3" t="str">
        <f>IFERROR(__xludf.DUMMYFUNCTION("""COMPUTED_VALUE"""),"QENS-SHGI-251004.pdf")</f>
        <v>QENS-SHGI-251004.pdf</v>
      </c>
      <c r="L387" s="3" t="str">
        <f>IFERROR(__xludf.DUMMYFUNCTION("""COMPUTED_VALUE"""),"Buat magnehelic osd")</f>
        <v>Buat magnehelic osd</v>
      </c>
      <c r="M387" s="3" t="str">
        <f>IFERROR(__xludf.DUMMYFUNCTION("""COMPUTED_VALUE"""),"Approve")</f>
        <v>Approve</v>
      </c>
      <c r="N387" s="3" t="str">
        <f>IFERROR(__xludf.DUMMYFUNCTION("""COMPUTED_VALUE"""),"Normal")</f>
        <v>Normal</v>
      </c>
      <c r="O387" s="3" t="str">
        <f>IFERROR(__xludf.DUMMYFUNCTION("""COMPUTED_VALUE"""),"Non Urgent")</f>
        <v>Non Urgent</v>
      </c>
      <c r="P387" s="7">
        <f>IFERROR(__xludf.DUMMYFUNCTION("""COMPUTED_VALUE"""),46010.407085046296)</f>
        <v>46010.40709</v>
      </c>
    </row>
    <row r="388">
      <c r="A388" s="4">
        <f>IFERROR(__xludf.DUMMYFUNCTION("""COMPUTED_VALUE"""),46008.26853159723)</f>
        <v>46008.26853</v>
      </c>
      <c r="B388" s="3" t="str">
        <f>IFERROR(__xludf.DUMMYFUNCTION("""COMPUTED_VALUE"""),"RIABR0127")</f>
        <v>RIABR0127</v>
      </c>
      <c r="C388" s="3" t="str">
        <f>IFERROR(__xludf.DUMMYFUNCTION("""COMPUTED_VALUE"""),"Consumable")</f>
        <v>Consumable</v>
      </c>
      <c r="D388" s="3" t="str">
        <f>IFERROR(__xludf.DUMMYFUNCTION("""COMPUTED_VALUE"""),"-")</f>
        <v>-</v>
      </c>
      <c r="E388" s="3" t="str">
        <f>IFERROR(__xludf.DUMMYFUNCTION("""COMPUTED_VALUE"""),"AHU OS E1-1")</f>
        <v>AHU OS E1-1</v>
      </c>
      <c r="F388" s="3" t="str">
        <f>IFERROR(__xludf.DUMMYFUNCTION("""COMPUTED_VALUE"""),"Magnehelic")</f>
        <v>Magnehelic</v>
      </c>
      <c r="G388" s="3" t="str">
        <f>IFERROR(__xludf.DUMMYFUNCTION("""COMPUTED_VALUE"""),"Magnehelic Diff. Pressure Gages
Model : 2000-500PA
Range : 0-500 Pascal
Mfg : Dwyer")</f>
        <v>Magnehelic Diff. Pressure Gages
Model : 2000-500PA
Range : 0-500 Pascal
Mfg : Dwyer</v>
      </c>
      <c r="H388" s="3" t="str">
        <f>IFERROR(__xludf.DUMMYFUNCTION("""COMPUTED_VALUE"""),"Dwyer")</f>
        <v>Dwyer</v>
      </c>
      <c r="I388" s="3">
        <f>IFERROR(__xludf.DUMMYFUNCTION("""COMPUTED_VALUE"""),3.0)</f>
        <v>3</v>
      </c>
      <c r="J388" s="3" t="str">
        <f>IFERROR(__xludf.DUMMYFUNCTION("""COMPUTED_VALUE"""),"Pcs")</f>
        <v>Pcs</v>
      </c>
      <c r="K388" s="3" t="str">
        <f>IFERROR(__xludf.DUMMYFUNCTION("""COMPUTED_VALUE"""),"QENS-SHGI-251004.pdf")</f>
        <v>QENS-SHGI-251004.pdf</v>
      </c>
      <c r="L388" s="3" t="str">
        <f>IFERROR(__xludf.DUMMYFUNCTION("""COMPUTED_VALUE"""),"Buat magnehelic osd")</f>
        <v>Buat magnehelic osd</v>
      </c>
      <c r="M388" s="3" t="str">
        <f>IFERROR(__xludf.DUMMYFUNCTION("""COMPUTED_VALUE"""),"Approve")</f>
        <v>Approve</v>
      </c>
      <c r="N388" s="3" t="str">
        <f>IFERROR(__xludf.DUMMYFUNCTION("""COMPUTED_VALUE"""),"Normal")</f>
        <v>Normal</v>
      </c>
      <c r="O388" s="3" t="str">
        <f>IFERROR(__xludf.DUMMYFUNCTION("""COMPUTED_VALUE"""),"Non Urgent")</f>
        <v>Non Urgent</v>
      </c>
      <c r="P388" s="7">
        <f>IFERROR(__xludf.DUMMYFUNCTION("""COMPUTED_VALUE"""),46010.40723341436)</f>
        <v>46010.40723</v>
      </c>
    </row>
    <row r="389">
      <c r="A389" s="4">
        <f>IFERROR(__xludf.DUMMYFUNCTION("""COMPUTED_VALUE"""),46009.38019087963)</f>
        <v>46009.38019</v>
      </c>
      <c r="B389" s="3" t="str">
        <f>IFERROR(__xludf.DUMMYFUNCTION("""COMPUTED_VALUE"""),"ANOBR0041")</f>
        <v>ANOBR0041</v>
      </c>
      <c r="C389" s="3" t="str">
        <f>IFERROR(__xludf.DUMMYFUNCTION("""COMPUTED_VALUE"""),"Critical Part")</f>
        <v>Critical Part</v>
      </c>
      <c r="D389" s="3" t="str">
        <f>IFERROR(__xludf.DUMMYFUNCTION("""COMPUTED_VALUE"""),"-")</f>
        <v>-</v>
      </c>
      <c r="E389" s="3" t="str">
        <f>IFERROR(__xludf.DUMMYFUNCTION("""COMPUTED_VALUE"""),"Chiler Blistering")</f>
        <v>Chiler Blistering</v>
      </c>
      <c r="F389" s="3" t="str">
        <f>IFERROR(__xludf.DUMMYFUNCTION("""COMPUTED_VALUE"""),"Elbow Ornamen SS 201 dia. 4""")</f>
        <v>Elbow Ornamen SS 201 dia. 4"</v>
      </c>
      <c r="G389" s="3" t="str">
        <f>IFERROR(__xludf.DUMMYFUNCTION("""COMPUTED_VALUE"""),"Elbow Ornamen SS 201 dia. 4""")</f>
        <v>Elbow Ornamen SS 201 dia. 4"</v>
      </c>
      <c r="H389" s="3" t="str">
        <f>IFERROR(__xludf.DUMMYFUNCTION("""COMPUTED_VALUE"""),"-")</f>
        <v>-</v>
      </c>
      <c r="I389" s="3">
        <f>IFERROR(__xludf.DUMMYFUNCTION("""COMPUTED_VALUE"""),2.0)</f>
        <v>2</v>
      </c>
      <c r="J389" s="3" t="str">
        <f>IFERROR(__xludf.DUMMYFUNCTION("""COMPUTED_VALUE"""),"PCS")</f>
        <v>PCS</v>
      </c>
      <c r="K389" s="5" t="str">
        <f>IFERROR(__xludf.DUMMYFUNCTION("""COMPUTED_VALUE"""),"https://drive.google.com/drive/folders/1A8-gVEjIpkZjnnwnsdSh3Nem54SXtuLb?usp=drive_link")</f>
        <v>https://drive.google.com/drive/folders/1A8-gVEjIpkZjnnwnsdSh3Nem54SXtuLb?usp=drive_link</v>
      </c>
      <c r="L389" s="3" t="str">
        <f>IFERROR(__xludf.DUMMYFUNCTION("""COMPUTED_VALUE"""),"untuk keperluan membuat jalur exhaust di chiler blistering")</f>
        <v>untuk keperluan membuat jalur exhaust di chiler blistering</v>
      </c>
      <c r="M389" s="3" t="str">
        <f>IFERROR(__xludf.DUMMYFUNCTION("""COMPUTED_VALUE"""),"Approve")</f>
        <v>Approve</v>
      </c>
      <c r="N389" s="3" t="str">
        <f>IFERROR(__xludf.DUMMYFUNCTION("""COMPUTED_VALUE"""),"Normal")</f>
        <v>Normal</v>
      </c>
      <c r="O389" s="3" t="str">
        <f>IFERROR(__xludf.DUMMYFUNCTION("""COMPUTED_VALUE"""),"Non Urgent")</f>
        <v>Non Urgent</v>
      </c>
      <c r="P389" s="7">
        <f>IFERROR(__xludf.DUMMYFUNCTION("""COMPUTED_VALUE"""),46010.257401435185)</f>
        <v>46010.2574</v>
      </c>
    </row>
    <row r="390">
      <c r="A390" s="4">
        <f>IFERROR(__xludf.DUMMYFUNCTION("""COMPUTED_VALUE"""),46009.391036678244)</f>
        <v>46009.39104</v>
      </c>
      <c r="B390" s="3" t="str">
        <f>IFERROR(__xludf.DUMMYFUNCTION("""COMPUTED_VALUE"""),"ANOBR0042")</f>
        <v>ANOBR0042</v>
      </c>
      <c r="C390" s="3" t="str">
        <f>IFERROR(__xludf.DUMMYFUNCTION("""COMPUTED_VALUE"""),"Critical Part")</f>
        <v>Critical Part</v>
      </c>
      <c r="D390" s="3" t="str">
        <f>IFERROR(__xludf.DUMMYFUNCTION("""COMPUTED_VALUE"""),"-")</f>
        <v>-</v>
      </c>
      <c r="E390" s="3" t="str">
        <f>IFERROR(__xludf.DUMMYFUNCTION("""COMPUTED_VALUE"""),"Chiler Blistering")</f>
        <v>Chiler Blistering</v>
      </c>
      <c r="F390" s="3" t="str">
        <f>IFERROR(__xludf.DUMMYFUNCTION("""COMPUTED_VALUE"""),"03-Round Pipe Hanger with Blue Rubber Seat and Base SS 304 dia. 4""")</f>
        <v>03-Round Pipe Hanger with Blue Rubber Seat and Base SS 304 dia. 4"</v>
      </c>
      <c r="G390" s="3" t="str">
        <f>IFERROR(__xludf.DUMMYFUNCTION("""COMPUTED_VALUE"""),"03-Round Pipe Hanger with Blue Rubber Seat and Base SS 304 dia. 4""")</f>
        <v>03-Round Pipe Hanger with Blue Rubber Seat and Base SS 304 dia. 4"</v>
      </c>
      <c r="H390" s="3" t="str">
        <f>IFERROR(__xludf.DUMMYFUNCTION("""COMPUTED_VALUE"""),"-")</f>
        <v>-</v>
      </c>
      <c r="I390" s="3">
        <f>IFERROR(__xludf.DUMMYFUNCTION("""COMPUTED_VALUE"""),3.0)</f>
        <v>3</v>
      </c>
      <c r="J390" s="3" t="str">
        <f>IFERROR(__xludf.DUMMYFUNCTION("""COMPUTED_VALUE"""),"PCS")</f>
        <v>PCS</v>
      </c>
      <c r="K390" s="5" t="str">
        <f>IFERROR(__xludf.DUMMYFUNCTION("""COMPUTED_VALUE"""),"https://drive.google.com/drive/folders/1A8-gVEjIpkZjnnwnsdSh3Nem54SXtuLb?usp=drive_link")</f>
        <v>https://drive.google.com/drive/folders/1A8-gVEjIpkZjnnwnsdSh3Nem54SXtuLb?usp=drive_link</v>
      </c>
      <c r="L390" s="3" t="str">
        <f>IFERROR(__xludf.DUMMYFUNCTION("""COMPUTED_VALUE"""),"untuk keperluan membuat jalur exhaust di chiler blistering")</f>
        <v>untuk keperluan membuat jalur exhaust di chiler blistering</v>
      </c>
      <c r="M390" s="3" t="str">
        <f>IFERROR(__xludf.DUMMYFUNCTION("""COMPUTED_VALUE"""),"Approve")</f>
        <v>Approve</v>
      </c>
      <c r="N390" s="3" t="str">
        <f>IFERROR(__xludf.DUMMYFUNCTION("""COMPUTED_VALUE"""),"Normal")</f>
        <v>Normal</v>
      </c>
      <c r="O390" s="3" t="str">
        <f>IFERROR(__xludf.DUMMYFUNCTION("""COMPUTED_VALUE"""),"Non Urgent")</f>
        <v>Non Urgent</v>
      </c>
      <c r="P390" s="7">
        <f>IFERROR(__xludf.DUMMYFUNCTION("""COMPUTED_VALUE"""),46010.25768833334)</f>
        <v>46010.25769</v>
      </c>
    </row>
    <row r="391">
      <c r="A391" s="4">
        <f>IFERROR(__xludf.DUMMYFUNCTION("""COMPUTED_VALUE"""),46009.3948921875)</f>
        <v>46009.39489</v>
      </c>
      <c r="B391" s="3" t="str">
        <f>IFERROR(__xludf.DUMMYFUNCTION("""COMPUTED_VALUE"""),"INNBR0047")</f>
        <v>INNBR0047</v>
      </c>
      <c r="C391" s="3" t="str">
        <f>IFERROR(__xludf.DUMMYFUNCTION("""COMPUTED_VALUE"""),"EJO")</f>
        <v>EJO</v>
      </c>
      <c r="D391" s="3" t="str">
        <f>IFERROR(__xludf.DUMMYFUNCTION("""COMPUTED_VALUE"""),"EJO/2025/09/91")</f>
        <v>EJO/2025/09/91</v>
      </c>
      <c r="E391" s="3" t="str">
        <f>IFERROR(__xludf.DUMMYFUNCTION("""COMPUTED_VALUE"""),"HPLC 3")</f>
        <v>HPLC 3</v>
      </c>
      <c r="F391" s="3" t="str">
        <f>IFERROR(__xludf.DUMMYFUNCTION("""COMPUTED_VALUE"""),"WAT073109 SYRINGE, 250 uL W/ SHRINK WRAP PLUNGER")</f>
        <v>WAT073109 SYRINGE, 250 uL W/ SHRINK WRAP PLUNGER</v>
      </c>
      <c r="G391" s="3" t="str">
        <f>IFERROR(__xludf.DUMMYFUNCTION("""COMPUTED_VALUE"""),"Minta penawaran ke kromtek")</f>
        <v>Minta penawaran ke kromtek</v>
      </c>
      <c r="H391" s="3" t="str">
        <f>IFERROR(__xludf.DUMMYFUNCTION("""COMPUTED_VALUE"""),"Kromtek")</f>
        <v>Kromtek</v>
      </c>
      <c r="I391" s="3">
        <f>IFERROR(__xludf.DUMMYFUNCTION("""COMPUTED_VALUE"""),1.0)</f>
        <v>1</v>
      </c>
      <c r="J391" s="3" t="str">
        <f>IFERROR(__xludf.DUMMYFUNCTION("""COMPUTED_VALUE"""),"Pcs")</f>
        <v>Pcs</v>
      </c>
      <c r="K391" s="3" t="str">
        <f>IFERROR(__xludf.DUMMYFUNCTION("""COMPUTED_VALUE"""),"NA")</f>
        <v>NA</v>
      </c>
      <c r="L391" s="3" t="str">
        <f>IFERROR(__xludf.DUMMYFUNCTION("""COMPUTED_VALUE"""),"Untuk syringe rembes")</f>
        <v>Untuk syringe rembes</v>
      </c>
      <c r="M391" s="3" t="str">
        <f>IFERROR(__xludf.DUMMYFUNCTION("""COMPUTED_VALUE"""),"Approve")</f>
        <v>Approve</v>
      </c>
      <c r="N391" s="3" t="str">
        <f>IFERROR(__xludf.DUMMYFUNCTION("""COMPUTED_VALUE"""),"Normal")</f>
        <v>Normal</v>
      </c>
      <c r="O391" s="3" t="str">
        <f>IFERROR(__xludf.DUMMYFUNCTION("""COMPUTED_VALUE"""),"Non Urgent")</f>
        <v>Non Urgent</v>
      </c>
      <c r="P391" s="7">
        <f>IFERROR(__xludf.DUMMYFUNCTION("""COMPUTED_VALUE"""),46010.86646377315)</f>
        <v>46010.86646</v>
      </c>
    </row>
    <row r="392">
      <c r="A392" s="4">
        <f>IFERROR(__xludf.DUMMYFUNCTION("""COMPUTED_VALUE"""),46010.25584149305)</f>
        <v>46010.25584</v>
      </c>
      <c r="B392" s="3" t="str">
        <f>IFERROR(__xludf.DUMMYFUNCTION("""COMPUTED_VALUE"""),"RIABR0128")</f>
        <v>RIABR0128</v>
      </c>
      <c r="C392" s="3" t="str">
        <f>IFERROR(__xludf.DUMMYFUNCTION("""COMPUTED_VALUE"""),"Consumable")</f>
        <v>Consumable</v>
      </c>
      <c r="D392" s="3" t="str">
        <f>IFERROR(__xludf.DUMMYFUNCTION("""COMPUTED_VALUE"""),"-")</f>
        <v>-</v>
      </c>
      <c r="E392" s="3" t="str">
        <f>IFERROR(__xludf.DUMMYFUNCTION("""COMPUTED_VALUE"""),"All Area")</f>
        <v>All Area</v>
      </c>
      <c r="F392" s="3" t="str">
        <f>IFERROR(__xludf.DUMMYFUNCTION("""COMPUTED_VALUE"""),"Ventilator Portable")</f>
        <v>Ventilator Portable</v>
      </c>
      <c r="G392" s="3" t="str">
        <f>IFERROR(__xludf.DUMMYFUNCTION("""COMPUTED_VALUE"""),"PORTABLE VENTILATOR AXIAL FAN
WEKA Germany
Spesifikasi :
- Type : CTF-45
- Power : 1500 Watt
- Frequency : 50 Hz
- Total Pressure : 170 pa
- Insulation Grade : F
- Diameter : 450 Mm
- Voltage : 220 V
- Flowrate : 167 m³/h
- Speed : 2900 r"&amp;"/min")</f>
        <v>PORTABLE VENTILATOR AXIAL FAN
WEKA Germany
Spesifikasi :
- Type : CTF-45
- Power : 1500 Watt
- Frequency : 50 Hz
- Total Pressure : 170 pa
- Insulation Grade : F
- Diameter : 450 Mm
- Voltage : 220 V
- Flowrate : 167 m³/h
- Speed : 2900 r/min</v>
      </c>
      <c r="H392" s="3" t="str">
        <f>IFERROR(__xludf.DUMMYFUNCTION("""COMPUTED_VALUE"""),"Weka")</f>
        <v>Weka</v>
      </c>
      <c r="I392" s="3">
        <f>IFERROR(__xludf.DUMMYFUNCTION("""COMPUTED_VALUE"""),2.0)</f>
        <v>2</v>
      </c>
      <c r="J392" s="3" t="str">
        <f>IFERROR(__xludf.DUMMYFUNCTION("""COMPUTED_VALUE"""),"Set")</f>
        <v>Set</v>
      </c>
      <c r="K392" s="5" t="str">
        <f>IFERROR(__xludf.DUMMYFUNCTION("""COMPUTED_VALUE"""),"https://www.tokopedia.com/centraltechnicofficial/kipas-portable-ventilator-blower-18-inch-plus-flexible-duct-10-meter?extParam=ivf%3Dfalse%26keyword%3Dventilator+portable%26search_id%3D202512182307048D3BBA7425E7C93C16GQ%26src%3Dsearch&amp;t_id=1766099190886&amp;t"&amp;"_st=2&amp;t_pp=search_result&amp;t_efo=search_pure_goods_card&amp;t_ef=goods_search&amp;t_sm=&amp;t_spt=search_result")</f>
        <v>https://www.tokopedia.com/centraltechnicofficial/kipas-portable-ventilator-blower-18-inch-plus-flexible-duct-10-meter?extParam=ivf%3Dfalse%26keyword%3Dventilator+portable%26search_id%3D202512182307048D3BBA7425E7C93C16GQ%26src%3Dsearch&amp;t_id=1766099190886&amp;t_st=2&amp;t_pp=search_result&amp;t_efo=search_pure_goods_card&amp;t_ef=goods_search&amp;t_sm=&amp;t_spt=search_result</v>
      </c>
      <c r="L392" s="3" t="str">
        <f>IFERROR(__xludf.DUMMYFUNCTION("""COMPUTED_VALUE"""),"Untuk kebutuhan jika ada cat atau pm kondensat yang perlu blower")</f>
        <v>Untuk kebutuhan jika ada cat atau pm kondensat yang perlu blower</v>
      </c>
      <c r="M392" s="3" t="str">
        <f>IFERROR(__xludf.DUMMYFUNCTION("""COMPUTED_VALUE"""),"Approve")</f>
        <v>Approve</v>
      </c>
      <c r="N392" s="3" t="str">
        <f>IFERROR(__xludf.DUMMYFUNCTION("""COMPUTED_VALUE"""),"Normal")</f>
        <v>Normal</v>
      </c>
      <c r="O392" s="3" t="str">
        <f>IFERROR(__xludf.DUMMYFUNCTION("""COMPUTED_VALUE"""),"Non Urgent")</f>
        <v>Non Urgent</v>
      </c>
      <c r="P392" s="7">
        <f>IFERROR(__xludf.DUMMYFUNCTION("""COMPUTED_VALUE"""),46010.41213681713)</f>
        <v>46010.41214</v>
      </c>
    </row>
    <row r="393">
      <c r="A393" s="4">
        <f>IFERROR(__xludf.DUMMYFUNCTION("""COMPUTED_VALUE"""),46010.26237335648)</f>
        <v>46010.26237</v>
      </c>
      <c r="B393" s="3" t="str">
        <f>IFERROR(__xludf.DUMMYFUNCTION("""COMPUTED_VALUE"""),"RIABR0131")</f>
        <v>RIABR0131</v>
      </c>
      <c r="C393" s="3" t="str">
        <f>IFERROR(__xludf.DUMMYFUNCTION("""COMPUTED_VALUE"""),"Consumable")</f>
        <v>Consumable</v>
      </c>
      <c r="D393" s="3" t="str">
        <f>IFERROR(__xludf.DUMMYFUNCTION("""COMPUTED_VALUE"""),"-")</f>
        <v>-</v>
      </c>
      <c r="E393" s="3" t="str">
        <f>IFERROR(__xludf.DUMMYFUNCTION("""COMPUTED_VALUE"""),"All Area")</f>
        <v>All Area</v>
      </c>
      <c r="F393" s="3" t="str">
        <f>IFERROR(__xludf.DUMMYFUNCTION("""COMPUTED_VALUE"""),"MCB Finder")</f>
        <v>MCB Finder</v>
      </c>
      <c r="G393" s="3" t="str">
        <f>IFERROR(__xludf.DUMMYFUNCTION("""COMPUTED_VALUE"""),"Brand Name : NOYAFA
Model Number : NF-827S
Origin : Mainland China
Certification : CE
is_customized : Yes
Is Smart Device : No
Hign-concerned Chemical : None
Power: : 9V Battery(Not Include)")</f>
        <v>Brand Name : NOYAFA
Model Number : NF-827S
Origin : Mainland China
Certification : CE
is_customized : Yes
Is Smart Device : No
Hign-concerned Chemical : None
Power: : 9V Battery(Not Include)</v>
      </c>
      <c r="H393" s="3" t="str">
        <f>IFERROR(__xludf.DUMMYFUNCTION("""COMPUTED_VALUE"""),"Noyafa")</f>
        <v>Noyafa</v>
      </c>
      <c r="I393" s="3">
        <f>IFERROR(__xludf.DUMMYFUNCTION("""COMPUTED_VALUE"""),1.0)</f>
        <v>1</v>
      </c>
      <c r="J393" s="3" t="str">
        <f>IFERROR(__xludf.DUMMYFUNCTION("""COMPUTED_VALUE"""),"Set")</f>
        <v>Set</v>
      </c>
      <c r="K393" s="5" t="str">
        <f>IFERROR(__xludf.DUMMYFUNCTION("""COMPUTED_VALUE"""),"https://www.tokopedia.com/pyendiro/noyafa-automatic-circuit-breaker-finder-nf-827s-fuse-socket-tester-us-120v-circuit-switch-finder-electrician-diagnostic-tool-1731417965998868184?extParam=ivf%3Dfalse%26keyword%3Dmcb+finder%26search_id%3D20251218231516432"&amp;"ACA3A1E345E05EY36%26src%3Dsearch&amp;t_id=1766099190886&amp;t_st=10&amp;t_pp=search_result&amp;t_efo=search_pure_goods_card&amp;t_ef=goods_search&amp;t_sm=&amp;t_spt=search_result")</f>
        <v>https://www.tokopedia.com/pyendiro/noyafa-automatic-circuit-breaker-finder-nf-827s-fuse-socket-tester-us-120v-circuit-switch-finder-electrician-diagnostic-tool-1731417965998868184?extParam=ivf%3Dfalse%26keyword%3Dmcb+finder%26search_id%3D20251218231516432ACA3A1E345E05EY36%26src%3Dsearch&amp;t_id=1766099190886&amp;t_st=10&amp;t_pp=search_result&amp;t_efo=search_pure_goods_card&amp;t_ef=goods_search&amp;t_sm=&amp;t_spt=search_result</v>
      </c>
      <c r="L393" s="3" t="str">
        <f>IFERROR(__xludf.DUMMYFUNCTION("""COMPUTED_VALUE"""),"Untuk cari MCB dari colokan biar lebih cepat saat troubleshooting")</f>
        <v>Untuk cari MCB dari colokan biar lebih cepat saat troubleshooting</v>
      </c>
      <c r="M393" s="3" t="str">
        <f>IFERROR(__xludf.DUMMYFUNCTION("""COMPUTED_VALUE"""),"Approve")</f>
        <v>Approve</v>
      </c>
      <c r="N393" s="3" t="str">
        <f>IFERROR(__xludf.DUMMYFUNCTION("""COMPUTED_VALUE"""),"Normal")</f>
        <v>Normal</v>
      </c>
      <c r="O393" s="3" t="str">
        <f>IFERROR(__xludf.DUMMYFUNCTION("""COMPUTED_VALUE"""),"Non Urgent")</f>
        <v>Non Urgent</v>
      </c>
      <c r="P393" s="7">
        <f>IFERROR(__xludf.DUMMYFUNCTION("""COMPUTED_VALUE"""),46015.37696512732)</f>
        <v>46015.37697</v>
      </c>
    </row>
    <row r="394">
      <c r="A394" s="4">
        <f>IFERROR(__xludf.DUMMYFUNCTION("""COMPUTED_VALUE"""),46010.26792935185)</f>
        <v>46010.26793</v>
      </c>
      <c r="B394" s="3" t="str">
        <f>IFERROR(__xludf.DUMMYFUNCTION("""COMPUTED_VALUE"""),"RIABR0132")</f>
        <v>RIABR0132</v>
      </c>
      <c r="C394" s="3" t="str">
        <f>IFERROR(__xludf.DUMMYFUNCTION("""COMPUTED_VALUE"""),"Consumable")</f>
        <v>Consumable</v>
      </c>
      <c r="D394" s="3" t="str">
        <f>IFERROR(__xludf.DUMMYFUNCTION("""COMPUTED_VALUE"""),"-")</f>
        <v>-</v>
      </c>
      <c r="E394" s="3" t="str">
        <f>IFERROR(__xludf.DUMMYFUNCTION("""COMPUTED_VALUE"""),"All Area")</f>
        <v>All Area</v>
      </c>
      <c r="F394" s="3" t="str">
        <f>IFERROR(__xludf.DUMMYFUNCTION("""COMPUTED_VALUE"""),"Stop Kontak Tester")</f>
        <v>Stop Kontak Tester</v>
      </c>
      <c r="G394" s="3" t="str">
        <f>IFERROR(__xludf.DUMMYFUNCTION("""COMPUTED_VALUE"""),"Spesifikasi:
Nama produk: Penguji Soket
Nama Merek: HABOTEST
Warna hitam
Model:HM56D
Bahan: ABS Tahan Api
Rentang Tegangan: AC 48~250V
Pengukuran Tegangan: 48~250V
Pengukuran frekuensi: (45~65Hz)
Tegangan Kebocoran: 0~99V
Akurasi: ± (2,0%+2)
La"&amp;"yar LCD: YA
Uji RCD: &gt;30mA
Tegangan Kerja RCD: 220V±20V
Tegangan Kerja GFCI: 110V±20V
Lingkungan Kerja: 0℃ ～ 40℃, 20% ～75%RH
Lingkungan Penyimpanan: -10℃ ～ 50℃, 20% ～80%RH
Ukuran Barang: 68*65*60mm / 2.7*2.6*2,4 inci
Berat Barang: 74g/2.6oz")</f>
        <v>Spesifikasi:
Nama produk: Penguji Soket
Nama Merek: HABOTEST
Warna hitam
Model:HM56D
Bahan: ABS Tahan Api
Rentang Tegangan: AC 48~250V
Pengukuran Tegangan: 48~250V
Pengukuran frekuensi: (45~65Hz)
Tegangan Kebocoran: 0~99V
Akurasi: ± (2,0%+2)
Layar LCD: YA
Uji RCD: &gt;30mA
Tegangan Kerja RCD: 220V±20V
Tegangan Kerja GFCI: 110V±20V
Lingkungan Kerja: 0℃ ～ 40℃, 20% ～75%RH
Lingkungan Penyimpanan: -10℃ ～ 50℃, 20% ～80%RH
Ukuran Barang: 68*65*60mm / 2.7*2.6*2,4 inci
Berat Barang: 74g/2.6oz</v>
      </c>
      <c r="H394" s="3" t="str">
        <f>IFERROR(__xludf.DUMMYFUNCTION("""COMPUTED_VALUE"""),"Habotest")</f>
        <v>Habotest</v>
      </c>
      <c r="I394" s="3">
        <f>IFERROR(__xludf.DUMMYFUNCTION("""COMPUTED_VALUE"""),2.0)</f>
        <v>2</v>
      </c>
      <c r="J394" s="3" t="str">
        <f>IFERROR(__xludf.DUMMYFUNCTION("""COMPUTED_VALUE"""),"Pcs")</f>
        <v>Pcs</v>
      </c>
      <c r="K394" s="5" t="str">
        <f>IFERROR(__xludf.DUMMYFUNCTION("""COMPUTED_VALUE"""),"https://www.tokopedia.com/habotest-store-id/diskon-50-habotest-ht106d-socket-tester-pro-voltage-test-digital-outlet-socket-detect-eu-plug-ground-zero-line-plug-polarity-phase-check-1729731898346013952?utm_source=whatsapp&amp;utm_medium=share&amp;utm_campaign=pdp-"&amp;"8ewhhik467s5-100094952832--10000")</f>
        <v>https://www.tokopedia.com/habotest-store-id/diskon-50-habotest-ht106d-socket-tester-pro-voltage-test-digital-outlet-socket-detect-eu-plug-ground-zero-line-plug-polarity-phase-check-1729731898346013952?utm_source=whatsapp&amp;utm_medium=share&amp;utm_campaign=pdp-8ewhhik467s5-100094952832--10000</v>
      </c>
      <c r="L394" s="3" t="str">
        <f>IFERROR(__xludf.DUMMYFUNCTION("""COMPUTED_VALUE"""),"Untuk test stop kontak dan pm stop kontak biar lebih detail")</f>
        <v>Untuk test stop kontak dan pm stop kontak biar lebih detail</v>
      </c>
      <c r="M394" s="3" t="str">
        <f>IFERROR(__xludf.DUMMYFUNCTION("""COMPUTED_VALUE"""),"Approve")</f>
        <v>Approve</v>
      </c>
      <c r="N394" s="3" t="str">
        <f>IFERROR(__xludf.DUMMYFUNCTION("""COMPUTED_VALUE"""),"Normal")</f>
        <v>Normal</v>
      </c>
      <c r="O394" s="3" t="str">
        <f>IFERROR(__xludf.DUMMYFUNCTION("""COMPUTED_VALUE"""),"Non Urgent")</f>
        <v>Non Urgent</v>
      </c>
      <c r="P394" s="7">
        <f>IFERROR(__xludf.DUMMYFUNCTION("""COMPUTED_VALUE"""),46015.42953011574)</f>
        <v>46015.42953</v>
      </c>
    </row>
    <row r="395">
      <c r="A395" s="4">
        <f>IFERROR(__xludf.DUMMYFUNCTION("""COMPUTED_VALUE"""),46010.27164604166)</f>
        <v>46010.27165</v>
      </c>
      <c r="B395" s="3" t="str">
        <f>IFERROR(__xludf.DUMMYFUNCTION("""COMPUTED_VALUE"""),"RIABR0133")</f>
        <v>RIABR0133</v>
      </c>
      <c r="C395" s="3" t="str">
        <f>IFERROR(__xludf.DUMMYFUNCTION("""COMPUTED_VALUE"""),"Consumable")</f>
        <v>Consumable</v>
      </c>
      <c r="D395" s="3" t="str">
        <f>IFERROR(__xludf.DUMMYFUNCTION("""COMPUTED_VALUE"""),"-")</f>
        <v>-</v>
      </c>
      <c r="E395" s="3" t="str">
        <f>IFERROR(__xludf.DUMMYFUNCTION("""COMPUTED_VALUE"""),"All Area")</f>
        <v>All Area</v>
      </c>
      <c r="F395" s="3" t="str">
        <f>IFERROR(__xludf.DUMMYFUNCTION("""COMPUTED_VALUE"""),"Thermal Mobile Cam")</f>
        <v>Thermal Mobile Cam</v>
      </c>
      <c r="G395" s="3" t="str">
        <f>IFERROR(__xludf.DUMMYFUNCTION("""COMPUTED_VALUE"""),"FITUR
- 256 x 192 piksel, kualitas gambar yang detail, dan frame rate 25 Hz untuk perekaman video yang mulus
- Mendeteksi panas hingga 550 °C (1022 °F), cocok untuk digunakan dalam banyak aplikasi
- Sensitivitas termal 50 mK (0,05 °C) untuk perbedaan y"&amp;"ang halus dan akurasi ± 2% atau ± 2 °C untuk memastikan hasil yang andal
- Menyesuaikan tampilan gambar dengan lebih dari 10 palet warna standar atau khusus
- Desain ringkas, bodi ringan 22 g
SPESIFIKASI
- Tipe: Kamera Thermal
- Brand: FLUKE
- N"&amp;"ama: TC01B
- Resolusi IR: 256 x 192
- Ukuran Pixel: 12 μm
- Rentang Temperatur: -20 °C to 550 °C/-4 °F to 1022 °F
- Frame Rate: 25 Hz
- Waktu Pemanasan: 1 menit
- Panjang Lensa Focal: Fixed focal length 3.2 mm
- Shutter Mode: Internal
- Sensitivit"&amp;"as Thermal: 50 mK
- Tipe USB: Lightning
- Konsumsi Daya: 200 mW
- Lolos uji drop test 1 m
- Tingkat Perlindungan: IP56")</f>
        <v>FITUR
- 256 x 192 piksel, kualitas gambar yang detail, dan frame rate 25 Hz untuk perekaman video yang mulus
- Mendeteksi panas hingga 550 °C (1022 °F), cocok untuk digunakan dalam banyak aplikasi
- Sensitivitas termal 50 mK (0,05 °C) untuk perbedaan yang halus dan akurasi ± 2% atau ± 2 °C untuk memastikan hasil yang andal
- Menyesuaikan tampilan gambar dengan lebih dari 10 palet warna standar atau khusus
- Desain ringkas, bodi ringan 22 g
SPESIFIKASI
- Tipe: Kamera Thermal
- Brand: FLUKE
- Nama: TC01B
- Resolusi IR: 256 x 192
- Ukuran Pixel: 12 μm
- Rentang Temperatur: -20 °C to 550 °C/-4 °F to 1022 °F
- Frame Rate: 25 Hz
- Waktu Pemanasan: 1 menit
- Panjang Lensa Focal: Fixed focal length 3.2 mm
- Shutter Mode: Internal
- Sensitivitas Thermal: 50 mK
- Tipe USB: Lightning
- Konsumsi Daya: 200 mW
- Lolos uji drop test 1 m
- Tingkat Perlindungan: IP56</v>
      </c>
      <c r="H395" s="3" t="str">
        <f>IFERROR(__xludf.DUMMYFUNCTION("""COMPUTED_VALUE"""),"Fluke")</f>
        <v>Fluke</v>
      </c>
      <c r="I395" s="3">
        <f>IFERROR(__xludf.DUMMYFUNCTION("""COMPUTED_VALUE"""),1.0)</f>
        <v>1</v>
      </c>
      <c r="J395" s="3" t="str">
        <f>IFERROR(__xludf.DUMMYFUNCTION("""COMPUTED_VALUE"""),"Pcs")</f>
        <v>Pcs</v>
      </c>
      <c r="K395" s="5" t="str">
        <f>IFERROR(__xludf.DUMMYFUNCTION("""COMPUTED_VALUE"""),"https://www.tokopedia.com/fluke/fluke-tc01b-isee-mobile-thermal-camera-kamera-termal-mobile-cctv-wifi-1731259834351715946?extParam=ivf%3Dfalse%26keyword%3Dkamera+thermograph+fluke%26search_id%3D202512182328235B8ADD2A5D98B13D11WC%26src%3Dsearch&amp;t_id=176609"&amp;"9190886&amp;t_st=14&amp;t_pp=search_result&amp;t_efo=search_pure_goods_card&amp;t_ef=goods_search&amp;t_sm=&amp;t_spt=search_result")</f>
        <v>https://www.tokopedia.com/fluke/fluke-tc01b-isee-mobile-thermal-camera-kamera-termal-mobile-cctv-wifi-1731259834351715946?extParam=ivf%3Dfalse%26keyword%3Dkamera+thermograph+fluke%26search_id%3D202512182328235B8ADD2A5D98B13D11WC%26src%3Dsearch&amp;t_id=1766099190886&amp;t_st=14&amp;t_pp=search_result&amp;t_efo=search_pure_goods_card&amp;t_ef=goods_search&amp;t_sm=&amp;t_spt=search_result</v>
      </c>
      <c r="L395" s="3" t="str">
        <f>IFERROR(__xludf.DUMMYFUNCTION("""COMPUTED_VALUE"""),"Buat Thermal imager biar pm panel dan cek komponen jadi semakin mudah, buat report juga gampang dan bisa konek hp yang simple ")</f>
        <v>Buat Thermal imager biar pm panel dan cek komponen jadi semakin mudah, buat report juga gampang dan bisa konek hp yang simple </v>
      </c>
      <c r="M395" s="3" t="str">
        <f>IFERROR(__xludf.DUMMYFUNCTION("""COMPUTED_VALUE"""),"Approve")</f>
        <v>Approve</v>
      </c>
      <c r="N395" s="3" t="str">
        <f>IFERROR(__xludf.DUMMYFUNCTION("""COMPUTED_VALUE"""),"Normal")</f>
        <v>Normal</v>
      </c>
      <c r="O395" s="3" t="str">
        <f>IFERROR(__xludf.DUMMYFUNCTION("""COMPUTED_VALUE"""),"Non Urgent")</f>
        <v>Non Urgent</v>
      </c>
      <c r="P395" s="7">
        <f>IFERROR(__xludf.DUMMYFUNCTION("""COMPUTED_VALUE"""),46015.476760289355)</f>
        <v>46015.47676</v>
      </c>
    </row>
    <row r="396">
      <c r="A396" s="4">
        <f>IFERROR(__xludf.DUMMYFUNCTION("""COMPUTED_VALUE"""),46010.59134186342)</f>
        <v>46010.59134</v>
      </c>
      <c r="B396" s="3" t="str">
        <f>IFERROR(__xludf.DUMMYFUNCTION("""COMPUTED_VALUE"""),"NDSBR0046")</f>
        <v>NDSBR0046</v>
      </c>
      <c r="C396" s="3" t="str">
        <f>IFERROR(__xludf.DUMMYFUNCTION("""COMPUTED_VALUE"""),"EJO")</f>
        <v>EJO</v>
      </c>
      <c r="D396" s="3" t="str">
        <f>IFERROR(__xludf.DUMMYFUNCTION("""COMPUTED_VALUE"""),"EJO/2025/10/180")</f>
        <v>EJO/2025/10/180</v>
      </c>
      <c r="E396" s="3" t="str">
        <f>IFERROR(__xludf.DUMMYFUNCTION("""COMPUTED_VALUE"""),"Intermediat OSD")</f>
        <v>Intermediat OSD</v>
      </c>
      <c r="F396" s="3" t="str">
        <f>IFERROR(__xludf.DUMMYFUNCTION("""COMPUTED_VALUE"""),"Bracket Timbangan VGA")</f>
        <v>Bracket Timbangan VGA</v>
      </c>
      <c r="G396" s="3" t="str">
        <f>IFERROR(__xludf.DUMMYFUNCTION("""COMPUTED_VALUE"""),"Sesuai Gambar ")</f>
        <v>Sesuai Gambar </v>
      </c>
      <c r="H396" s="3" t="str">
        <f>IFERROR(__xludf.DUMMYFUNCTION("""COMPUTED_VALUE"""),"-")</f>
        <v>-</v>
      </c>
      <c r="I396" s="3">
        <f>IFERROR(__xludf.DUMMYFUNCTION("""COMPUTED_VALUE"""),1.0)</f>
        <v>1</v>
      </c>
      <c r="J396" s="3" t="str">
        <f>IFERROR(__xludf.DUMMYFUNCTION("""COMPUTED_VALUE"""),"PCS")</f>
        <v>PCS</v>
      </c>
      <c r="K396" s="5" t="str">
        <f>IFERROR(__xludf.DUMMYFUNCTION("""COMPUTED_VALUE"""),"https://drive.google.com/drive/folders/1R5D6E0xCYQ3hTRBeNH6nkAXT0hPd-1u4?usp=sharing")</f>
        <v>https://drive.google.com/drive/folders/1R5D6E0xCYQ3hTRBeNH6nkAXT0hPd-1u4?usp=sharing</v>
      </c>
      <c r="L396" s="3" t="str">
        <f>IFERROR(__xludf.DUMMYFUNCTION("""COMPUTED_VALUE"""),"-")</f>
        <v>-</v>
      </c>
      <c r="M396" s="3" t="str">
        <f>IFERROR(__xludf.DUMMYFUNCTION("""COMPUTED_VALUE"""),"Approve")</f>
        <v>Approve</v>
      </c>
      <c r="N396" s="3" t="str">
        <f>IFERROR(__xludf.DUMMYFUNCTION("""COMPUTED_VALUE"""),"Normal")</f>
        <v>Normal</v>
      </c>
      <c r="O396" s="3" t="str">
        <f>IFERROR(__xludf.DUMMYFUNCTION("""COMPUTED_VALUE"""),"Non Urgent")</f>
        <v>Non Urgent</v>
      </c>
      <c r="P396" s="7">
        <f>IFERROR(__xludf.DUMMYFUNCTION("""COMPUTED_VALUE"""),46027.760486018524)</f>
        <v>46027.76049</v>
      </c>
    </row>
    <row r="397">
      <c r="A397" s="4">
        <f>IFERROR(__xludf.DUMMYFUNCTION("""COMPUTED_VALUE"""),46017.358376909724)</f>
        <v>46017.35838</v>
      </c>
      <c r="B397" s="3" t="str">
        <f>IFERROR(__xludf.DUMMYFUNCTION("""COMPUTED_VALUE"""),"ROSBR0052")</f>
        <v>ROSBR0052</v>
      </c>
      <c r="C397" s="3" t="str">
        <f>IFERROR(__xludf.DUMMYFUNCTION("""COMPUTED_VALUE"""),"Consumable")</f>
        <v>Consumable</v>
      </c>
      <c r="D397" s="3" t="str">
        <f>IFERROR(__xludf.DUMMYFUNCTION("""COMPUTED_VALUE"""),"NA")</f>
        <v>NA</v>
      </c>
      <c r="E397" s="3" t="str">
        <f>IFERROR(__xludf.DUMMYFUNCTION("""COMPUTED_VALUE"""),"Cylinder Outfeed Washing ")</f>
        <v>Cylinder Outfeed Washing </v>
      </c>
      <c r="F397" s="3" t="str">
        <f>IFERROR(__xludf.DUMMYFUNCTION("""COMPUTED_VALUE"""),"Push-in fitting")</f>
        <v>Push-in fitting</v>
      </c>
      <c r="G397" s="3" t="str">
        <f>IFERROR(__xludf.DUMMYFUNCTION("""COMPUTED_VALUE"""),"QSM-M5-4
material Number 153304")</f>
        <v>QSM-M5-4
material Number 153304</v>
      </c>
      <c r="H397" s="3" t="str">
        <f>IFERROR(__xludf.DUMMYFUNCTION("""COMPUTED_VALUE"""),"festo")</f>
        <v>festo</v>
      </c>
      <c r="I397" s="3">
        <f>IFERROR(__xludf.DUMMYFUNCTION("""COMPUTED_VALUE"""),10.0)</f>
        <v>10</v>
      </c>
      <c r="J397" s="3" t="str">
        <f>IFERROR(__xludf.DUMMYFUNCTION("""COMPUTED_VALUE"""),"pcs")</f>
        <v>pcs</v>
      </c>
      <c r="K397" s="5" t="str">
        <f>IFERROR(__xludf.DUMMYFUNCTION("""COMPUTED_VALUE"""),"https://drive.google.com/file/d/1qSip2j0jetKJrTvoeclb-Wu_0lMvjKsK/view?usp=drive_link")</f>
        <v>https://drive.google.com/file/d/1qSip2j0jetKJrTvoeclb-Wu_0lMvjKsK/view?usp=drive_link</v>
      </c>
      <c r="L397" s="3" t="str">
        <f>IFERROR(__xludf.DUMMYFUNCTION("""COMPUTED_VALUE"""),"-")</f>
        <v>-</v>
      </c>
      <c r="M397" s="3" t="str">
        <f>IFERROR(__xludf.DUMMYFUNCTION("""COMPUTED_VALUE"""),"Approve")</f>
        <v>Approve</v>
      </c>
      <c r="N397" s="3" t="str">
        <f>IFERROR(__xludf.DUMMYFUNCTION("""COMPUTED_VALUE"""),"Normal")</f>
        <v>Normal</v>
      </c>
      <c r="O397" s="3" t="str">
        <f>IFERROR(__xludf.DUMMYFUNCTION("""COMPUTED_VALUE"""),"Non Urgent")</f>
        <v>Non Urgent</v>
      </c>
      <c r="P397" s="7">
        <f>IFERROR(__xludf.DUMMYFUNCTION("""COMPUTED_VALUE"""),46027.7848984375)</f>
        <v>46027.7849</v>
      </c>
    </row>
    <row r="398">
      <c r="A398" s="4">
        <f>IFERROR(__xludf.DUMMYFUNCTION("""COMPUTED_VALUE"""),46017.3594032176)</f>
        <v>46017.3594</v>
      </c>
      <c r="B398" s="3" t="str">
        <f>IFERROR(__xludf.DUMMYFUNCTION("""COMPUTED_VALUE"""),"ROSBR0053")</f>
        <v>ROSBR0053</v>
      </c>
      <c r="C398" s="3" t="str">
        <f>IFERROR(__xludf.DUMMYFUNCTION("""COMPUTED_VALUE"""),"Consumable")</f>
        <v>Consumable</v>
      </c>
      <c r="D398" s="3" t="str">
        <f>IFERROR(__xludf.DUMMYFUNCTION("""COMPUTED_VALUE"""),"NA")</f>
        <v>NA</v>
      </c>
      <c r="E398" s="3" t="str">
        <f>IFERROR(__xludf.DUMMYFUNCTION("""COMPUTED_VALUE"""),"Cylinder Outfeed Washing ")</f>
        <v>Cylinder Outfeed Washing </v>
      </c>
      <c r="F398" s="3" t="str">
        <f>IFERROR(__xludf.DUMMYFUNCTION("""COMPUTED_VALUE"""),"Push-in fitting")</f>
        <v>Push-in fitting</v>
      </c>
      <c r="G398" s="3" t="str">
        <f>IFERROR(__xludf.DUMMYFUNCTION("""COMPUTED_VALUE"""),"QSM-M5-6
material Number : 153306")</f>
        <v>QSM-M5-6
material Number : 153306</v>
      </c>
      <c r="H398" s="3" t="str">
        <f>IFERROR(__xludf.DUMMYFUNCTION("""COMPUTED_VALUE"""),"festo")</f>
        <v>festo</v>
      </c>
      <c r="I398" s="3">
        <f>IFERROR(__xludf.DUMMYFUNCTION("""COMPUTED_VALUE"""),10.0)</f>
        <v>10</v>
      </c>
      <c r="J398" s="3" t="str">
        <f>IFERROR(__xludf.DUMMYFUNCTION("""COMPUTED_VALUE"""),"pcs")</f>
        <v>pcs</v>
      </c>
      <c r="K398" s="5" t="str">
        <f>IFERROR(__xludf.DUMMYFUNCTION("""COMPUTED_VALUE"""),"https://drive.google.com/file/d/1qSip2j0jetKJrTvoeclb-Wu_0lMvjKsK/view?usp=drive_link")</f>
        <v>https://drive.google.com/file/d/1qSip2j0jetKJrTvoeclb-Wu_0lMvjKsK/view?usp=drive_link</v>
      </c>
      <c r="L398" s="3" t="str">
        <f>IFERROR(__xludf.DUMMYFUNCTION("""COMPUTED_VALUE"""),"-")</f>
        <v>-</v>
      </c>
      <c r="M398" s="3" t="str">
        <f>IFERROR(__xludf.DUMMYFUNCTION("""COMPUTED_VALUE"""),"Approve")</f>
        <v>Approve</v>
      </c>
      <c r="N398" s="3" t="str">
        <f>IFERROR(__xludf.DUMMYFUNCTION("""COMPUTED_VALUE"""),"Normal")</f>
        <v>Normal</v>
      </c>
      <c r="O398" s="3" t="str">
        <f>IFERROR(__xludf.DUMMYFUNCTION("""COMPUTED_VALUE"""),"Non Urgent")</f>
        <v>Non Urgent</v>
      </c>
      <c r="P398" s="7">
        <f>IFERROR(__xludf.DUMMYFUNCTION("""COMPUTED_VALUE"""),46027.785303564815)</f>
        <v>46027.7853</v>
      </c>
    </row>
    <row r="399">
      <c r="A399" s="4">
        <f>IFERROR(__xludf.DUMMYFUNCTION("""COMPUTED_VALUE"""),46024.655250138894)</f>
        <v>46024.65525</v>
      </c>
      <c r="B399" s="3" t="str">
        <f>IFERROR(__xludf.DUMMYFUNCTION("""COMPUTED_VALUE"""),"ROSBR0055")</f>
        <v>ROSBR0055</v>
      </c>
      <c r="C399" s="3" t="str">
        <f>IFERROR(__xludf.DUMMYFUNCTION("""COMPUTED_VALUE"""),"Consumable")</f>
        <v>Consumable</v>
      </c>
      <c r="D399" s="3" t="str">
        <f>IFERROR(__xludf.DUMMYFUNCTION("""COMPUTED_VALUE"""),"NA")</f>
        <v>NA</v>
      </c>
      <c r="E399" s="3" t="str">
        <f>IFERROR(__xludf.DUMMYFUNCTION("""COMPUTED_VALUE"""),"Stoper rubber filling ")</f>
        <v>Stoper rubber filling </v>
      </c>
      <c r="F399" s="3" t="str">
        <f>IFERROR(__xludf.DUMMYFUNCTION("""COMPUTED_VALUE"""),"Oring Head stoper rubber")</f>
        <v>Oring Head stoper rubber</v>
      </c>
      <c r="G399" s="3" t="str">
        <f>IFERROR(__xludf.DUMMYFUNCTION("""COMPUTED_VALUE"""),"Oring Head Stoper Rubber 
ID 6,96mm
Ketebelan : 1,69mm
OD : 10,34mm
material silicone merah ")</f>
        <v>Oring Head Stoper Rubber 
ID 6,96mm
Ketebelan : 1,69mm
OD : 10,34mm
material silicone merah </v>
      </c>
      <c r="H399" s="3" t="str">
        <f>IFERROR(__xludf.DUMMYFUNCTION("""COMPUTED_VALUE"""),"Silicone merah ")</f>
        <v>Silicone merah </v>
      </c>
      <c r="I399" s="3">
        <f>IFERROR(__xludf.DUMMYFUNCTION("""COMPUTED_VALUE"""),20.0)</f>
        <v>20</v>
      </c>
      <c r="J399" s="3" t="str">
        <f>IFERROR(__xludf.DUMMYFUNCTION("""COMPUTED_VALUE"""),"pcs")</f>
        <v>pcs</v>
      </c>
      <c r="K399" s="3" t="str">
        <f>IFERROR(__xludf.DUMMYFUNCTION("""COMPUTED_VALUE"""),"-")</f>
        <v>-</v>
      </c>
      <c r="L399" s="3" t="str">
        <f>IFERROR(__xludf.DUMMYFUNCTION("""COMPUTED_VALUE"""),"minta tolong beliin Oring head stoper material silicone merah ")</f>
        <v>minta tolong beliin Oring head stoper material silicone merah </v>
      </c>
      <c r="M399" s="3" t="str">
        <f>IFERROR(__xludf.DUMMYFUNCTION("""COMPUTED_VALUE"""),"Approve")</f>
        <v>Approve</v>
      </c>
      <c r="N399" s="3" t="str">
        <f>IFERROR(__xludf.DUMMYFUNCTION("""COMPUTED_VALUE"""),"Normal")</f>
        <v>Normal</v>
      </c>
      <c r="O399" s="3" t="str">
        <f>IFERROR(__xludf.DUMMYFUNCTION("""COMPUTED_VALUE"""),"Non Urgent")</f>
        <v>Non Urgent</v>
      </c>
      <c r="P399" s="7">
        <f>IFERROR(__xludf.DUMMYFUNCTION("""COMPUTED_VALUE"""),46027.787619826384)</f>
        <v>46027.78762</v>
      </c>
    </row>
    <row r="400">
      <c r="A400" s="4">
        <f>IFERROR(__xludf.DUMMYFUNCTION("""COMPUTED_VALUE"""),46024.97027935185)</f>
        <v>46024.97028</v>
      </c>
      <c r="B400" s="3" t="str">
        <f>IFERROR(__xludf.DUMMYFUNCTION("""COMPUTED_VALUE"""),"ROSBR0056")</f>
        <v>ROSBR0056</v>
      </c>
      <c r="C400" s="3" t="str">
        <f>IFERROR(__xludf.DUMMYFUNCTION("""COMPUTED_VALUE"""),"Consumable")</f>
        <v>Consumable</v>
      </c>
      <c r="D400" s="3" t="str">
        <f>IFERROR(__xludf.DUMMYFUNCTION("""COMPUTED_VALUE"""),"NA")</f>
        <v>NA</v>
      </c>
      <c r="E400" s="3" t="str">
        <f>IFERROR(__xludf.DUMMYFUNCTION("""COMPUTED_VALUE"""),"BOD 3")</f>
        <v>BOD 3</v>
      </c>
      <c r="F400" s="3" t="str">
        <f>IFERROR(__xludf.DUMMYFUNCTION("""COMPUTED_VALUE"""),"Swinghandle BOD 3")</f>
        <v>Swinghandle BOD 3</v>
      </c>
      <c r="G400" s="3" t="str">
        <f>IFERROR(__xludf.DUMMYFUNCTION("""COMPUTED_VALUE"""),"Swing handle Soutcho 
Type : H3-60-421-050
size large 
Panjang : 177mm
lebar  ; 39.6mm
")</f>
        <v>Swing handle Soutcho 
Type : H3-60-421-050
size large 
Panjang : 177mm
lebar  ; 39.6mm
</v>
      </c>
      <c r="H400" s="3" t="str">
        <f>IFERROR(__xludf.DUMMYFUNCTION("""COMPUTED_VALUE"""),"Soutcho")</f>
        <v>Soutcho</v>
      </c>
      <c r="I400" s="3">
        <f>IFERROR(__xludf.DUMMYFUNCTION("""COMPUTED_VALUE"""),2.0)</f>
        <v>2</v>
      </c>
      <c r="J400" s="3" t="str">
        <f>IFERROR(__xludf.DUMMYFUNCTION("""COMPUTED_VALUE"""),"set")</f>
        <v>set</v>
      </c>
      <c r="K400" s="5" t="str">
        <f>IFERROR(__xludf.DUMMYFUNCTION("""COMPUTED_VALUE"""),"https://drive.google.com/drive/folders/13YkPIvi0AFW5vg6bJ7XU1h2I-czKTUGE?usp=drive_link")</f>
        <v>https://drive.google.com/drive/folders/13YkPIvi0AFW5vg6bJ7XU1h2I-czKTUGE?usp=drive_link</v>
      </c>
      <c r="L400" s="5" t="str">
        <f>IFERROR(__xludf.DUMMYFUNCTION("""COMPUTED_VALUE"""),"https://southco.com/en_any_int/h3-60-421-050")</f>
        <v>https://southco.com/en_any_int/h3-60-421-050</v>
      </c>
      <c r="M400" s="3" t="str">
        <f>IFERROR(__xludf.DUMMYFUNCTION("""COMPUTED_VALUE"""),"Approve")</f>
        <v>Approve</v>
      </c>
      <c r="N400" s="3" t="str">
        <f>IFERROR(__xludf.DUMMYFUNCTION("""COMPUTED_VALUE"""),"Normal")</f>
        <v>Normal</v>
      </c>
      <c r="O400" s="3" t="str">
        <f>IFERROR(__xludf.DUMMYFUNCTION("""COMPUTED_VALUE"""),"Non Urgent")</f>
        <v>Non Urgent</v>
      </c>
      <c r="P400" s="7">
        <f>IFERROR(__xludf.DUMMYFUNCTION("""COMPUTED_VALUE"""),46027.788053888886)</f>
        <v>46027.78805</v>
      </c>
    </row>
    <row r="401">
      <c r="A401" s="4">
        <f>IFERROR(__xludf.DUMMYFUNCTION("""COMPUTED_VALUE"""),46027.6861356713)</f>
        <v>46027.68614</v>
      </c>
      <c r="B401" s="3" t="str">
        <f>IFERROR(__xludf.DUMMYFUNCTION("""COMPUTED_VALUE"""),"AAABR0029")</f>
        <v>AAABR0029</v>
      </c>
      <c r="C401" s="3" t="str">
        <f>IFERROR(__xludf.DUMMYFUNCTION("""COMPUTED_VALUE"""),"EJO")</f>
        <v>EJO</v>
      </c>
      <c r="D401" s="3" t="str">
        <f>IFERROR(__xludf.DUMMYFUNCTION("""COMPUTED_VALUE"""),"Menyusul")</f>
        <v>Menyusul</v>
      </c>
      <c r="E401" s="3" t="str">
        <f>IFERROR(__xludf.DUMMYFUNCTION("""COMPUTED_VALUE"""),"dissolution tester")</f>
        <v>dissolution tester</v>
      </c>
      <c r="F401" s="3" t="str">
        <f>IFERROR(__xludf.DUMMYFUNCTION("""COMPUTED_VALUE"""),"refill board DSR auto sampler ")</f>
        <v>refill board DSR auto sampler </v>
      </c>
      <c r="G401" s="3" t="str">
        <f>IFERROR(__xludf.DUMMYFUNCTION("""COMPUTED_VALUE"""),"Part number : 317-0133 ")</f>
        <v>Part number : 317-0133 </v>
      </c>
      <c r="H401" s="3" t="str">
        <f>IFERROR(__xludf.DUMMYFUNCTION("""COMPUTED_VALUE"""),"brand Pharma test")</f>
        <v>brand Pharma test</v>
      </c>
      <c r="I401" s="3">
        <f>IFERROR(__xludf.DUMMYFUNCTION("""COMPUTED_VALUE"""),1.0)</f>
        <v>1</v>
      </c>
      <c r="J401" s="3" t="str">
        <f>IFERROR(__xludf.DUMMYFUNCTION("""COMPUTED_VALUE"""),"unit")</f>
        <v>unit</v>
      </c>
      <c r="K401" s="3" t="str">
        <f>IFERROR(__xludf.DUMMYFUNCTION("""COMPUTED_VALUE"""),"folder penawaran AAA")</f>
        <v>folder penawaran AAA</v>
      </c>
      <c r="L401" s="3" t="str">
        <f>IFERROR(__xludf.DUMMYFUNCTION("""COMPUTED_VALUE"""),"Needed date : 05-Feb-26")</f>
        <v>Needed date : 05-Feb-26</v>
      </c>
      <c r="M401" s="3" t="str">
        <f>IFERROR(__xludf.DUMMYFUNCTION("""COMPUTED_VALUE"""),"Approve")</f>
        <v>Approve</v>
      </c>
      <c r="N401" s="3" t="str">
        <f>IFERROR(__xludf.DUMMYFUNCTION("""COMPUTED_VALUE"""),"Normal")</f>
        <v>Normal</v>
      </c>
      <c r="O401" s="3" t="str">
        <f>IFERROR(__xludf.DUMMYFUNCTION("""COMPUTED_VALUE"""),"Non Urgent")</f>
        <v>Non Urgent</v>
      </c>
      <c r="P401" s="7">
        <f>IFERROR(__xludf.DUMMYFUNCTION("""COMPUTED_VALUE"""),46050.279857245376)</f>
        <v>46050.27986</v>
      </c>
    </row>
    <row r="402">
      <c r="A402" s="4">
        <f>IFERROR(__xludf.DUMMYFUNCTION("""COMPUTED_VALUE"""),46029.51480841436)</f>
        <v>46029.51481</v>
      </c>
      <c r="B402" s="3" t="str">
        <f>IFERROR(__xludf.DUMMYFUNCTION("""COMPUTED_VALUE"""),"ROSBR0057")</f>
        <v>ROSBR0057</v>
      </c>
      <c r="C402" s="3" t="str">
        <f>IFERROR(__xludf.DUMMYFUNCTION("""COMPUTED_VALUE"""),"Consumable")</f>
        <v>Consumable</v>
      </c>
      <c r="D402" s="3" t="str">
        <f>IFERROR(__xludf.DUMMYFUNCTION("""COMPUTED_VALUE"""),"NA")</f>
        <v>NA</v>
      </c>
      <c r="E402" s="3" t="str">
        <f>IFERROR(__xludf.DUMMYFUNCTION("""COMPUTED_VALUE"""),"Paku rivet ")</f>
        <v>Paku rivet </v>
      </c>
      <c r="F402" s="3" t="str">
        <f>IFERROR(__xludf.DUMMYFUNCTION("""COMPUTED_VALUE"""),"Paku rivet ")</f>
        <v>Paku rivet </v>
      </c>
      <c r="G402" s="3" t="str">
        <f>IFERROR(__xludf.DUMMYFUNCTION("""COMPUTED_VALUE"""),"paku rivet 
ukuran size : 4mmx8mm
code 529")</f>
        <v>paku rivet 
ukuran size : 4mmx8mm
code 529</v>
      </c>
      <c r="H402" s="3" t="str">
        <f>IFERROR(__xludf.DUMMYFUNCTION("""COMPUTED_VALUE"""),"SIP BRAND")</f>
        <v>SIP BRAND</v>
      </c>
      <c r="I402" s="3">
        <f>IFERROR(__xludf.DUMMYFUNCTION("""COMPUTED_VALUE"""),1.0)</f>
        <v>1</v>
      </c>
      <c r="J402" s="3" t="str">
        <f>IFERROR(__xludf.DUMMYFUNCTION("""COMPUTED_VALUE"""),"pac")</f>
        <v>pac</v>
      </c>
      <c r="K402" s="5" t="str">
        <f>IFERROR(__xludf.DUMMYFUNCTION("""COMPUTED_VALUE"""),"https://shopee.co.id/Paku-Rivet-SIP-Brand-No-435-440-450-540-550-isi-1000-pcs-No-635-650-665-675-isi-500-pcs-i.258990646.25891744617?xptdk=ac2b6cea-64fe-4dc4-a699-7b5d32d682c9")</f>
        <v>https://shopee.co.id/Paku-Rivet-SIP-Brand-No-435-440-450-540-550-isi-1000-pcs-No-635-650-665-675-isi-500-pcs-i.258990646.25891744617?xptdk=ac2b6cea-64fe-4dc4-a699-7b5d32d682c9</v>
      </c>
      <c r="L402" s="3" t="str">
        <f>IFERROR(__xludf.DUMMYFUNCTION("""COMPUTED_VALUE"""),"tolong beliin paku rivet buat stok ya fadil")</f>
        <v>tolong beliin paku rivet buat stok ya fadil</v>
      </c>
      <c r="M402" s="3" t="str">
        <f>IFERROR(__xludf.DUMMYFUNCTION("""COMPUTED_VALUE"""),"Approve")</f>
        <v>Approve</v>
      </c>
      <c r="N402" s="3" t="str">
        <f>IFERROR(__xludf.DUMMYFUNCTION("""COMPUTED_VALUE"""),"Normal")</f>
        <v>Normal</v>
      </c>
      <c r="O402" s="3" t="str">
        <f>IFERROR(__xludf.DUMMYFUNCTION("""COMPUTED_VALUE"""),"Non Urgent")</f>
        <v>Non Urgent</v>
      </c>
      <c r="P402" s="7">
        <f>IFERROR(__xludf.DUMMYFUNCTION("""COMPUTED_VALUE"""),46030.50310611111)</f>
        <v>46030.50311</v>
      </c>
    </row>
    <row r="403">
      <c r="A403" s="4">
        <f>IFERROR(__xludf.DUMMYFUNCTION("""COMPUTED_VALUE"""),46029.51480841436)</f>
        <v>46029.51481</v>
      </c>
      <c r="B403" s="3" t="str">
        <f>IFERROR(__xludf.DUMMYFUNCTION("""COMPUTED_VALUE"""),"ROSBR0058")</f>
        <v>ROSBR0058</v>
      </c>
      <c r="C403" s="3" t="str">
        <f>IFERROR(__xludf.DUMMYFUNCTION("""COMPUTED_VALUE"""),"Consumable")</f>
        <v>Consumable</v>
      </c>
      <c r="D403" s="3" t="str">
        <f>IFERROR(__xludf.DUMMYFUNCTION("""COMPUTED_VALUE"""),"NA")</f>
        <v>NA</v>
      </c>
      <c r="E403" s="3" t="str">
        <f>IFERROR(__xludf.DUMMYFUNCTION("""COMPUTED_VALUE"""),"Paku rivet ")</f>
        <v>Paku rivet </v>
      </c>
      <c r="F403" s="3" t="str">
        <f>IFERROR(__xludf.DUMMYFUNCTION("""COMPUTED_VALUE"""),"Paku rivet ")</f>
        <v>Paku rivet </v>
      </c>
      <c r="G403" s="3" t="str">
        <f>IFERROR(__xludf.DUMMYFUNCTION("""COMPUTED_VALUE"""),"paku rivet 
ukuran size : 3,2mm x 9,5mm
code 435")</f>
        <v>paku rivet 
ukuran size : 3,2mm x 9,5mm
code 435</v>
      </c>
      <c r="H403" s="3" t="str">
        <f>IFERROR(__xludf.DUMMYFUNCTION("""COMPUTED_VALUE"""),"SIP BRAND")</f>
        <v>SIP BRAND</v>
      </c>
      <c r="I403" s="3">
        <f>IFERROR(__xludf.DUMMYFUNCTION("""COMPUTED_VALUE"""),1.0)</f>
        <v>1</v>
      </c>
      <c r="J403" s="3" t="str">
        <f>IFERROR(__xludf.DUMMYFUNCTION("""COMPUTED_VALUE"""),"pac")</f>
        <v>pac</v>
      </c>
      <c r="K403" s="5" t="str">
        <f>IFERROR(__xludf.DUMMYFUNCTION("""COMPUTED_VALUE"""),"https://shopee.co.id/Paku-Rivet-SIP-Brand-No-435-440-450-540-550-isi-1000-pcs-No-635-650-665-675-isi-500-pcs-i.258990646.25891744617?xptdk=ac2b6cea-64fe-4dc4-a699-7b5d32d682c9")</f>
        <v>https://shopee.co.id/Paku-Rivet-SIP-Brand-No-435-440-450-540-550-isi-1000-pcs-No-635-650-665-675-isi-500-pcs-i.258990646.25891744617?xptdk=ac2b6cea-64fe-4dc4-a699-7b5d32d682c9</v>
      </c>
      <c r="L403" s="3" t="str">
        <f>IFERROR(__xludf.DUMMYFUNCTION("""COMPUTED_VALUE"""),"tolong beliin paku rivet buat stok ya fadil")</f>
        <v>tolong beliin paku rivet buat stok ya fadil</v>
      </c>
      <c r="M403" s="3" t="str">
        <f>IFERROR(__xludf.DUMMYFUNCTION("""COMPUTED_VALUE"""),"Approve")</f>
        <v>Approve</v>
      </c>
      <c r="N403" s="3" t="str">
        <f>IFERROR(__xludf.DUMMYFUNCTION("""COMPUTED_VALUE"""),"Normal")</f>
        <v>Normal</v>
      </c>
      <c r="O403" s="3" t="str">
        <f>IFERROR(__xludf.DUMMYFUNCTION("""COMPUTED_VALUE"""),"Non Urgent")</f>
        <v>Non Urgent</v>
      </c>
      <c r="P403" s="7">
        <f>IFERROR(__xludf.DUMMYFUNCTION("""COMPUTED_VALUE"""),46030.503285046296)</f>
        <v>46030.50329</v>
      </c>
    </row>
    <row r="404">
      <c r="A404" s="4">
        <f>IFERROR(__xludf.DUMMYFUNCTION("""COMPUTED_VALUE"""),46029.52208690972)</f>
        <v>46029.52209</v>
      </c>
      <c r="B404" s="3" t="str">
        <f>IFERROR(__xludf.DUMMYFUNCTION("""COMPUTED_VALUE"""),"ROSBR0060")</f>
        <v>ROSBR0060</v>
      </c>
      <c r="C404" s="3" t="str">
        <f>IFERROR(__xludf.DUMMYFUNCTION("""COMPUTED_VALUE"""),"Consumable")</f>
        <v>Consumable</v>
      </c>
      <c r="D404" s="3" t="str">
        <f>IFERROR(__xludf.DUMMYFUNCTION("""COMPUTED_VALUE"""),"NA")</f>
        <v>NA</v>
      </c>
      <c r="E404" s="3" t="str">
        <f>IFERROR(__xludf.DUMMYFUNCTION("""COMPUTED_VALUE"""),"Kunci L bintang ")</f>
        <v>Kunci L bintang </v>
      </c>
      <c r="F404" s="3" t="str">
        <f>IFERROR(__xludf.DUMMYFUNCTION("""COMPUTED_VALUE"""),"KUNCI L BINTANG SET LUBANG")</f>
        <v>KUNCI L BINTANG SET LUBANG</v>
      </c>
      <c r="G404" s="3" t="str">
        <f>IFERROR(__xludf.DUMMYFUNCTION("""COMPUTED_VALUE"""),"Kunci L bintang 
code HK-TA1206")</f>
        <v>Kunci L bintang 
code HK-TA1206</v>
      </c>
      <c r="H404" s="3" t="str">
        <f>IFERROR(__xludf.DUMMYFUNCTION("""COMPUTED_VALUE"""),"Tekiro")</f>
        <v>Tekiro</v>
      </c>
      <c r="I404" s="3">
        <f>IFERROR(__xludf.DUMMYFUNCTION("""COMPUTED_VALUE"""),1.0)</f>
        <v>1</v>
      </c>
      <c r="J404" s="3" t="str">
        <f>IFERROR(__xludf.DUMMYFUNCTION("""COMPUTED_VALUE"""),"set")</f>
        <v>set</v>
      </c>
      <c r="K404" s="5" t="str">
        <f>IFERROR(__xludf.DUMMYFUNCTION("""COMPUTED_VALUE"""),"https://shopee.co.id/TEKIRO-SET-KUNCI-L-TORX-DENGAN-LUBANG-9-PCS-KUNCI-L-BINTANG-SET-LUBANG-TOOLS-ALAT-PERKAKAS-i.73061699.9726689915?extraParams=%7B%22display_model_id%22%3A74192270566%2C%22model_selection_logic%22%3A3%7D&amp;sp_atk=9cc6eb24-0b20-41d6-a48d-8"&amp;"8e2722da858&amp;xptdk=9cc6eb24-0b20-41d6-a48d-88e2722da858")</f>
        <v>https://shopee.co.id/TEKIRO-SET-KUNCI-L-TORX-DENGAN-LUBANG-9-PCS-KUNCI-L-BINTANG-SET-LUBANG-TOOLS-ALAT-PERKAKAS-i.73061699.9726689915?extraParams=%7B%22display_model_id%22%3A74192270566%2C%22model_selection_logic%22%3A3%7D&amp;sp_atk=9cc6eb24-0b20-41d6-a48d-88e2722da858&amp;xptdk=9cc6eb24-0b20-41d6-a48d-88e2722da858</v>
      </c>
      <c r="L404" s="3" t="str">
        <f>IFERROR(__xludf.DUMMYFUNCTION("""COMPUTED_VALUE"""),"-")</f>
        <v>-</v>
      </c>
      <c r="M404" s="3" t="str">
        <f>IFERROR(__xludf.DUMMYFUNCTION("""COMPUTED_VALUE"""),"Approve")</f>
        <v>Approve</v>
      </c>
      <c r="N404" s="3" t="str">
        <f>IFERROR(__xludf.DUMMYFUNCTION("""COMPUTED_VALUE"""),"Normal")</f>
        <v>Normal</v>
      </c>
      <c r="O404" s="3" t="str">
        <f>IFERROR(__xludf.DUMMYFUNCTION("""COMPUTED_VALUE"""),"Non Urgent")</f>
        <v>Non Urgent</v>
      </c>
      <c r="P404" s="7">
        <f>IFERROR(__xludf.DUMMYFUNCTION("""COMPUTED_VALUE"""),46030.56064773149)</f>
        <v>46030.56065</v>
      </c>
    </row>
    <row r="405">
      <c r="A405" s="4">
        <f>IFERROR(__xludf.DUMMYFUNCTION("""COMPUTED_VALUE"""),46029.583617199074)</f>
        <v>46029.58362</v>
      </c>
      <c r="B405" s="3" t="str">
        <f>IFERROR(__xludf.DUMMYFUNCTION("""COMPUTED_VALUE"""),"ROSBR0061")</f>
        <v>ROSBR0061</v>
      </c>
      <c r="C405" s="3" t="str">
        <f>IFERROR(__xludf.DUMMYFUNCTION("""COMPUTED_VALUE"""),"Consumable")</f>
        <v>Consumable</v>
      </c>
      <c r="D405" s="3" t="str">
        <f>IFERROR(__xludf.DUMMYFUNCTION("""COMPUTED_VALUE"""),"NA")</f>
        <v>NA</v>
      </c>
      <c r="E405" s="3" t="str">
        <f>IFERROR(__xludf.DUMMYFUNCTION("""COMPUTED_VALUE"""),"Obeng minus dan plus")</f>
        <v>Obeng minus dan plus</v>
      </c>
      <c r="F405" s="3" t="str">
        <f>IFERROR(__xludf.DUMMYFUNCTION("""COMPUTED_VALUE"""),"Krisbow Screwdriver Obeng Plus &amp; Minus 8 Pcs - Kuning Lrsst8")</f>
        <v>Krisbow Screwdriver Obeng Plus &amp; Minus 8 Pcs - Kuning Lrsst8</v>
      </c>
      <c r="G405" s="3" t="str">
        <f>IFERROR(__xludf.DUMMYFUNCTION("""COMPUTED_VALUE"""),"Jenis : set obeng 
Material tip : CR-Vanadium steel 
Material gagang : TPR 
Jenis tip : mix 
Tip magnetic : ya 
Panjang : 38.5 cm
Lebar : 37 cm
Tinggi : 4.5 cm
SKU : KW0102648")</f>
        <v>Jenis : set obeng 
Material tip : CR-Vanadium steel 
Material gagang : TPR 
Jenis tip : mix 
Tip magnetic : ya 
Panjang : 38.5 cm
Lebar : 37 cm
Tinggi : 4.5 cm
SKU : KW0102648</v>
      </c>
      <c r="H405" s="3" t="str">
        <f>IFERROR(__xludf.DUMMYFUNCTION("""COMPUTED_VALUE"""),"Krisbow ")</f>
        <v>Krisbow </v>
      </c>
      <c r="I405" s="3">
        <f>IFERROR(__xludf.DUMMYFUNCTION("""COMPUTED_VALUE"""),2.0)</f>
        <v>2</v>
      </c>
      <c r="J405" s="3" t="str">
        <f>IFERROR(__xludf.DUMMYFUNCTION("""COMPUTED_VALUE"""),"set")</f>
        <v>set</v>
      </c>
      <c r="K405" s="5" t="str">
        <f>IFERROR(__xludf.DUMMYFUNCTION("""COMPUTED_VALUE"""),"https://shopee.co.id/Krisbow-Screwdriver-Obeng-Plus-Minus-8-Pcs-Kuning-Lrsst8-i.182588931.3878356755?extraParams=%7B%22display_model_id%22%3A63572325641%7D")</f>
        <v>https://shopee.co.id/Krisbow-Screwdriver-Obeng-Plus-Minus-8-Pcs-Kuning-Lrsst8-i.182588931.3878356755?extraParams=%7B%22display_model_id%22%3A63572325641%7D</v>
      </c>
      <c r="L405" s="3" t="str">
        <f>IFERROR(__xludf.DUMMYFUNCTION("""COMPUTED_VALUE"""),"minta tolong beliiin ini buat pengganti obeng toolbox yang di produksi dan non produksi sudah rusak karena lifetime ")</f>
        <v>minta tolong beliiin ini buat pengganti obeng toolbox yang di produksi dan non produksi sudah rusak karena lifetime </v>
      </c>
      <c r="M405" s="3" t="str">
        <f>IFERROR(__xludf.DUMMYFUNCTION("""COMPUTED_VALUE"""),"Approve")</f>
        <v>Approve</v>
      </c>
      <c r="N405" s="3" t="str">
        <f>IFERROR(__xludf.DUMMYFUNCTION("""COMPUTED_VALUE"""),"Normal")</f>
        <v>Normal</v>
      </c>
      <c r="O405" s="3" t="str">
        <f>IFERROR(__xludf.DUMMYFUNCTION("""COMPUTED_VALUE"""),"Non Urgent")</f>
        <v>Non Urgent</v>
      </c>
      <c r="P405" s="7">
        <f>IFERROR(__xludf.DUMMYFUNCTION("""COMPUTED_VALUE"""),46030.56394912037)</f>
        <v>46030.56395</v>
      </c>
    </row>
    <row r="406">
      <c r="A406" s="4">
        <f>IFERROR(__xludf.DUMMYFUNCTION("""COMPUTED_VALUE"""),46029.58978219907)</f>
        <v>46029.58978</v>
      </c>
      <c r="B406" s="3" t="str">
        <f>IFERROR(__xludf.DUMMYFUNCTION("""COMPUTED_VALUE"""),"ROSBR0062")</f>
        <v>ROSBR0062</v>
      </c>
      <c r="C406" s="3" t="str">
        <f>IFERROR(__xludf.DUMMYFUNCTION("""COMPUTED_VALUE"""),"Consumable")</f>
        <v>Consumable</v>
      </c>
      <c r="D406" s="3" t="str">
        <f>IFERROR(__xludf.DUMMYFUNCTION("""COMPUTED_VALUE"""),"NA ")</f>
        <v>NA </v>
      </c>
      <c r="E406" s="3" t="str">
        <f>IFERROR(__xludf.DUMMYFUNCTION("""COMPUTED_VALUE"""),"Tang tekiro bengkok")</f>
        <v>Tang tekiro bengkok</v>
      </c>
      <c r="F406" s="3" t="str">
        <f>IFERROR(__xludf.DUMMYFUNCTION("""COMPUTED_VALUE"""),"TEKIRO TANG BUAYA BENGKOK 10 INCH /")</f>
        <v>TEKIRO TANG BUAYA BENGKOK 10 INCH /</v>
      </c>
      <c r="G406" s="3" t="str">
        <f>IFERROR(__xludf.DUMMYFUNCTION("""COMPUTED_VALUE"""),"Kode : PL-LG0770
Nama : Tang Buaya Bengkok
Merk : TEKIRO
Tipe : 10 inch")</f>
        <v>Kode : PL-LG0770
Nama : Tang Buaya Bengkok
Merk : TEKIRO
Tipe : 10 inch</v>
      </c>
      <c r="H406" s="3" t="str">
        <f>IFERROR(__xludf.DUMMYFUNCTION("""COMPUTED_VALUE"""),"Tekiro")</f>
        <v>Tekiro</v>
      </c>
      <c r="I406" s="3">
        <f>IFERROR(__xludf.DUMMYFUNCTION("""COMPUTED_VALUE"""),2.0)</f>
        <v>2</v>
      </c>
      <c r="J406" s="3" t="str">
        <f>IFERROR(__xludf.DUMMYFUNCTION("""COMPUTED_VALUE"""),"pcs")</f>
        <v>pcs</v>
      </c>
      <c r="K406" s="5" t="str">
        <f>IFERROR(__xludf.DUMMYFUNCTION("""COMPUTED_VALUE"""),"https://shopee.co.id/TEKIRO-TANG-BUAYA-BENGKOK-10-INCH-TANG-BUAYA-TANG-JEPIT-TOOLS-ALAT-PERKAKAS-i.73061699.1237546636?xptdk=f32b04bf-7656-4a2b-a0d5-d3b3095fcde4")</f>
        <v>https://shopee.co.id/TEKIRO-TANG-BUAYA-BENGKOK-10-INCH-TANG-BUAYA-TANG-JEPIT-TOOLS-ALAT-PERKAKAS-i.73061699.1237546636?xptdk=f32b04bf-7656-4a2b-a0d5-d3b3095fcde4</v>
      </c>
      <c r="L406" s="3" t="str">
        <f>IFERROR(__xludf.DUMMYFUNCTION("""COMPUTED_VALUE"""),"minta tolong beliin ini buat pengganti punya team Engineering gigi tangnya sudah rontok dan sudah slek ")</f>
        <v>minta tolong beliin ini buat pengganti punya team Engineering gigi tangnya sudah rontok dan sudah slek </v>
      </c>
      <c r="M406" s="3" t="str">
        <f>IFERROR(__xludf.DUMMYFUNCTION("""COMPUTED_VALUE"""),"Approve")</f>
        <v>Approve</v>
      </c>
      <c r="N406" s="3" t="str">
        <f>IFERROR(__xludf.DUMMYFUNCTION("""COMPUTED_VALUE"""),"Normal")</f>
        <v>Normal</v>
      </c>
      <c r="O406" s="3" t="str">
        <f>IFERROR(__xludf.DUMMYFUNCTION("""COMPUTED_VALUE"""),"Non Urgent")</f>
        <v>Non Urgent</v>
      </c>
      <c r="P406" s="7">
        <f>IFERROR(__xludf.DUMMYFUNCTION("""COMPUTED_VALUE"""),46030.564154328706)</f>
        <v>46030.56415</v>
      </c>
    </row>
    <row r="407">
      <c r="A407" s="4">
        <f>IFERROR(__xludf.DUMMYFUNCTION("""COMPUTED_VALUE"""),46030.47601230324)</f>
        <v>46030.47601</v>
      </c>
      <c r="B407" s="3" t="str">
        <f>IFERROR(__xludf.DUMMYFUNCTION("""COMPUTED_VALUE"""),"ROSBR0064")</f>
        <v>ROSBR0064</v>
      </c>
      <c r="C407" s="3" t="str">
        <f>IFERROR(__xludf.DUMMYFUNCTION("""COMPUTED_VALUE"""),"Consumable")</f>
        <v>Consumable</v>
      </c>
      <c r="D407" s="3" t="str">
        <f>IFERROR(__xludf.DUMMYFUNCTION("""COMPUTED_VALUE"""),"NA")</f>
        <v>NA</v>
      </c>
      <c r="E407" s="3" t="str">
        <f>IFERROR(__xludf.DUMMYFUNCTION("""COMPUTED_VALUE"""),"Gloove Port Orabs ")</f>
        <v>Gloove Port Orabs </v>
      </c>
      <c r="F407" s="3" t="str">
        <f>IFERROR(__xludf.DUMMYFUNCTION("""COMPUTED_VALUE"""),"O-Ring Sleeve Orabs  Gloove port ")</f>
        <v>O-Ring Sleeve Orabs  Gloove port </v>
      </c>
      <c r="G407" s="3" t="str">
        <f>IFERROR(__xludf.DUMMYFUNCTION("""COMPUTED_VALUE"""),"Oring Sleeve Orabs gloove port 
Material EPDM
ID 200 mm
Tebal 6,5 mm")</f>
        <v>Oring Sleeve Orabs gloove port 
Material EPDM
ID 200 mm
Tebal 6,5 mm</v>
      </c>
      <c r="H407" s="3" t="str">
        <f>IFERROR(__xludf.DUMMYFUNCTION("""COMPUTED_VALUE"""),"universal ")</f>
        <v>universal </v>
      </c>
      <c r="I407" s="3">
        <f>IFERROR(__xludf.DUMMYFUNCTION("""COMPUTED_VALUE"""),5.0)</f>
        <v>5</v>
      </c>
      <c r="J407" s="3" t="str">
        <f>IFERROR(__xludf.DUMMYFUNCTION("""COMPUTED_VALUE"""),"pcs")</f>
        <v>pcs</v>
      </c>
      <c r="K407" s="3" t="str">
        <f>IFERROR(__xludf.DUMMYFUNCTION("""COMPUTED_VALUE"""),"-")</f>
        <v>-</v>
      </c>
      <c r="L407" s="3" t="str">
        <f>IFERROR(__xludf.DUMMYFUNCTION("""COMPUTED_VALUE"""),"-")</f>
        <v>-</v>
      </c>
      <c r="M407" s="3" t="str">
        <f>IFERROR(__xludf.DUMMYFUNCTION("""COMPUTED_VALUE"""),"Approve")</f>
        <v>Approve</v>
      </c>
      <c r="N407" s="3" t="str">
        <f>IFERROR(__xludf.DUMMYFUNCTION("""COMPUTED_VALUE"""),"Normal")</f>
        <v>Normal</v>
      </c>
      <c r="O407" s="3" t="str">
        <f>IFERROR(__xludf.DUMMYFUNCTION("""COMPUTED_VALUE"""),"Non Urgent")</f>
        <v>Non Urgent</v>
      </c>
      <c r="P407" s="7">
        <f>IFERROR(__xludf.DUMMYFUNCTION("""COMPUTED_VALUE"""),46030.564615104166)</f>
        <v>46030.56462</v>
      </c>
    </row>
    <row r="408">
      <c r="A408" s="4">
        <f>IFERROR(__xludf.DUMMYFUNCTION("""COMPUTED_VALUE"""),46030.476465057865)</f>
        <v>46030.47647</v>
      </c>
      <c r="B408" s="3" t="str">
        <f>IFERROR(__xludf.DUMMYFUNCTION("""COMPUTED_VALUE"""),"ROSBR0065")</f>
        <v>ROSBR0065</v>
      </c>
      <c r="C408" s="3" t="str">
        <f>IFERROR(__xludf.DUMMYFUNCTION("""COMPUTED_VALUE"""),"Consumable")</f>
        <v>Consumable</v>
      </c>
      <c r="D408" s="3" t="str">
        <f>IFERROR(__xludf.DUMMYFUNCTION("""COMPUTED_VALUE"""),"NA ")</f>
        <v>NA </v>
      </c>
      <c r="E408" s="3" t="str">
        <f>IFERROR(__xludf.DUMMYFUNCTION("""COMPUTED_VALUE"""),"Gloove Port Orabs ")</f>
        <v>Gloove Port Orabs </v>
      </c>
      <c r="F408" s="3" t="str">
        <f>IFERROR(__xludf.DUMMYFUNCTION("""COMPUTED_VALUE"""),"O-ring Gloove port Orabs ")</f>
        <v>O-ring Gloove port Orabs </v>
      </c>
      <c r="G408" s="3" t="str">
        <f>IFERROR(__xludf.DUMMYFUNCTION("""COMPUTED_VALUE"""),"Oring Gloove port Orabs 
Material EPDM
ID 260 mm
Tebal 4.65 mm")</f>
        <v>Oring Gloove port Orabs 
Material EPDM
ID 260 mm
Tebal 4.65 mm</v>
      </c>
      <c r="H408" s="3" t="str">
        <f>IFERROR(__xludf.DUMMYFUNCTION("""COMPUTED_VALUE"""),"universal ")</f>
        <v>universal </v>
      </c>
      <c r="I408" s="3">
        <f>IFERROR(__xludf.DUMMYFUNCTION("""COMPUTED_VALUE"""),10.0)</f>
        <v>10</v>
      </c>
      <c r="J408" s="3" t="str">
        <f>IFERROR(__xludf.DUMMYFUNCTION("""COMPUTED_VALUE"""),"pcs")</f>
        <v>pcs</v>
      </c>
      <c r="K408" s="3" t="str">
        <f>IFERROR(__xludf.DUMMYFUNCTION("""COMPUTED_VALUE"""),"-")</f>
        <v>-</v>
      </c>
      <c r="L408" s="3" t="str">
        <f>IFERROR(__xludf.DUMMYFUNCTION("""COMPUTED_VALUE"""),"-")</f>
        <v>-</v>
      </c>
      <c r="M408" s="3" t="str">
        <f>IFERROR(__xludf.DUMMYFUNCTION("""COMPUTED_VALUE"""),"Approve")</f>
        <v>Approve</v>
      </c>
      <c r="N408" s="3" t="str">
        <f>IFERROR(__xludf.DUMMYFUNCTION("""COMPUTED_VALUE"""),"Normal")</f>
        <v>Normal</v>
      </c>
      <c r="O408" s="3" t="str">
        <f>IFERROR(__xludf.DUMMYFUNCTION("""COMPUTED_VALUE"""),"Non Urgent")</f>
        <v>Non Urgent</v>
      </c>
      <c r="P408" s="7">
        <f>IFERROR(__xludf.DUMMYFUNCTION("""COMPUTED_VALUE"""),46030.564990555555)</f>
        <v>46030.56499</v>
      </c>
    </row>
    <row r="409">
      <c r="A409" s="4">
        <f>IFERROR(__xludf.DUMMYFUNCTION("""COMPUTED_VALUE"""),46030.49320335648)</f>
        <v>46030.4932</v>
      </c>
      <c r="B409" s="3" t="str">
        <f>IFERROR(__xludf.DUMMYFUNCTION("""COMPUTED_VALUE"""),"ROSBR0066")</f>
        <v>ROSBR0066</v>
      </c>
      <c r="C409" s="3" t="str">
        <f>IFERROR(__xludf.DUMMYFUNCTION("""COMPUTED_VALUE"""),"Consumable")</f>
        <v>Consumable</v>
      </c>
      <c r="D409" s="3" t="str">
        <f>IFERROR(__xludf.DUMMYFUNCTION("""COMPUTED_VALUE"""),"NA")</f>
        <v>NA</v>
      </c>
      <c r="E409" s="3" t="str">
        <f>IFERROR(__xludf.DUMMYFUNCTION("""COMPUTED_VALUE"""),"Toolbox Maintenance ")</f>
        <v>Toolbox Maintenance </v>
      </c>
      <c r="F409" s="3" t="str">
        <f>IFERROR(__xludf.DUMMYFUNCTION("""COMPUTED_VALUE"""),"TEKIRO TANG POTONG 6 INCH (N - R)")</f>
        <v>TEKIRO TANG POTONG 6 INCH (N - R)</v>
      </c>
      <c r="G409" s="3" t="str">
        <f>IFERROR(__xludf.DUMMYFUNCTION("""COMPUTED_VALUE"""),"Tang Potong 
Material : Chrome vanadium
Dimensi Produk200mm 23mm 130mm
Tang Potong / Pemotong / Diagonal Pliers / Cutting
Quantity: 1 Piece / 1 Buah
Ukuran: 6”
Dimensi:
Panjang Gagang 110MM
Tebal Gagang 15MM
Lebar Tang Tutup 20MM
Tebal Tang 10MM
Merek: TE"&amp;"KIRO
type ")</f>
        <v>Tang Potong 
Material : Chrome vanadium
Dimensi Produk200mm 23mm 130mm
Tang Potong / Pemotong / Diagonal Pliers / Cutting
Quantity: 1 Piece / 1 Buah
Ukuran: 6”
Dimensi:
Panjang Gagang 110MM
Tebal Gagang 15MM
Lebar Tang Tutup 20MM
Tebal Tang 10MM
Merek: TEKIRO
type </v>
      </c>
      <c r="H409" s="3" t="str">
        <f>IFERROR(__xludf.DUMMYFUNCTION("""COMPUTED_VALUE"""),"Tekiro")</f>
        <v>Tekiro</v>
      </c>
      <c r="I409" s="3">
        <f>IFERROR(__xludf.DUMMYFUNCTION("""COMPUTED_VALUE"""),1.0)</f>
        <v>1</v>
      </c>
      <c r="J409" s="3" t="str">
        <f>IFERROR(__xludf.DUMMYFUNCTION("""COMPUTED_VALUE"""),"pcs")</f>
        <v>pcs</v>
      </c>
      <c r="K409" s="5" t="str">
        <f>IFERROR(__xludf.DUMMYFUNCTION("""COMPUTED_VALUE"""),"https://shopee.co.id/TEKIRO-TANG-POTONG-6-INCH-(N-R)-TANG-POTONG-TOOLS-ALAT-PERKAKAS-i.73061699.6153970432?xptdk=73778dc6-c3b6-482f-8065-94da195c1548")</f>
        <v>https://shopee.co.id/TEKIRO-TANG-POTONG-6-INCH-(N-R)-TANG-POTONG-TOOLS-ALAT-PERKAKAS-i.73061699.6153970432?xptdk=73778dc6-c3b6-482f-8065-94da195c1548</v>
      </c>
      <c r="L409" s="3" t="str">
        <f>IFERROR(__xludf.DUMMYFUNCTION("""COMPUTED_VALUE"""),"-")</f>
        <v>-</v>
      </c>
      <c r="M409" s="3" t="str">
        <f>IFERROR(__xludf.DUMMYFUNCTION("""COMPUTED_VALUE"""),"Approve")</f>
        <v>Approve</v>
      </c>
      <c r="N409" s="3" t="str">
        <f>IFERROR(__xludf.DUMMYFUNCTION("""COMPUTED_VALUE"""),"Normal")</f>
        <v>Normal</v>
      </c>
      <c r="O409" s="3" t="str">
        <f>IFERROR(__xludf.DUMMYFUNCTION("""COMPUTED_VALUE"""),"Non Urgent")</f>
        <v>Non Urgent</v>
      </c>
      <c r="P409" s="7">
        <f>IFERROR(__xludf.DUMMYFUNCTION("""COMPUTED_VALUE"""),46030.56648543982)</f>
        <v>46030.56649</v>
      </c>
    </row>
    <row r="410">
      <c r="A410" s="4">
        <f>IFERROR(__xludf.DUMMYFUNCTION("""COMPUTED_VALUE"""),46030.493779143515)</f>
        <v>46030.49378</v>
      </c>
      <c r="B410" s="3" t="str">
        <f>IFERROR(__xludf.DUMMYFUNCTION("""COMPUTED_VALUE"""),"ROSBR0067")</f>
        <v>ROSBR0067</v>
      </c>
      <c r="C410" s="3" t="str">
        <f>IFERROR(__xludf.DUMMYFUNCTION("""COMPUTED_VALUE"""),"Consumable")</f>
        <v>Consumable</v>
      </c>
      <c r="D410" s="3" t="str">
        <f>IFERROR(__xludf.DUMMYFUNCTION("""COMPUTED_VALUE"""),"NA")</f>
        <v>NA</v>
      </c>
      <c r="E410" s="3" t="str">
        <f>IFERROR(__xludf.DUMMYFUNCTION("""COMPUTED_VALUE"""),"Toolbox Maintenance ")</f>
        <v>Toolbox Maintenance </v>
      </c>
      <c r="F410" s="3" t="str">
        <f>IFERROR(__xludf.DUMMYFUNCTION("""COMPUTED_VALUE"""),"TEKIRO TANG KOMBINASI 7 INCH (N - R")</f>
        <v>TEKIRO TANG KOMBINASI 7 INCH (N - R</v>
      </c>
      <c r="G410" s="3" t="str">
        <f>IFERROR(__xludf.DUMMYFUNCTION("""COMPUTED_VALUE"""),"Tang Kombinasi 
type : PL-LM0758")</f>
        <v>Tang Kombinasi 
type : PL-LM0758</v>
      </c>
      <c r="H410" s="3" t="str">
        <f>IFERROR(__xludf.DUMMYFUNCTION("""COMPUTED_VALUE"""),"Tekiro")</f>
        <v>Tekiro</v>
      </c>
      <c r="I410" s="3">
        <f>IFERROR(__xludf.DUMMYFUNCTION("""COMPUTED_VALUE"""),2.0)</f>
        <v>2</v>
      </c>
      <c r="J410" s="3" t="str">
        <f>IFERROR(__xludf.DUMMYFUNCTION("""COMPUTED_VALUE"""),"pcs")</f>
        <v>pcs</v>
      </c>
      <c r="K410" s="5" t="str">
        <f>IFERROR(__xludf.DUMMYFUNCTION("""COMPUTED_VALUE"""),"https://shopee.co.id/TEKIRO-TANG-KOMBINASI-7-INCH-(N-R)-TANG-KOMBINASI-TOOLS-ALAT-PERKAKAS-i.73061699.1237545170?xptdk=ea01e3bf-f478-4cfe-8ff7-2c5f9955ba2c")</f>
        <v>https://shopee.co.id/TEKIRO-TANG-KOMBINASI-7-INCH-(N-R)-TANG-KOMBINASI-TOOLS-ALAT-PERKAKAS-i.73061699.1237545170?xptdk=ea01e3bf-f478-4cfe-8ff7-2c5f9955ba2c</v>
      </c>
      <c r="L410" s="3" t="str">
        <f>IFERROR(__xludf.DUMMYFUNCTION("""COMPUTED_VALUE"""),"-")</f>
        <v>-</v>
      </c>
      <c r="M410" s="3" t="str">
        <f>IFERROR(__xludf.DUMMYFUNCTION("""COMPUTED_VALUE"""),"Approve")</f>
        <v>Approve</v>
      </c>
      <c r="N410" s="3" t="str">
        <f>IFERROR(__xludf.DUMMYFUNCTION("""COMPUTED_VALUE"""),"Normal")</f>
        <v>Normal</v>
      </c>
      <c r="O410" s="3" t="str">
        <f>IFERROR(__xludf.DUMMYFUNCTION("""COMPUTED_VALUE"""),"Non Urgent")</f>
        <v>Non Urgent</v>
      </c>
      <c r="P410" s="7">
        <f>IFERROR(__xludf.DUMMYFUNCTION("""COMPUTED_VALUE"""),46030.56670899305)</f>
        <v>46030.56671</v>
      </c>
    </row>
    <row r="411">
      <c r="A411" s="4">
        <f>IFERROR(__xludf.DUMMYFUNCTION("""COMPUTED_VALUE"""),46030.495596469904)</f>
        <v>46030.4956</v>
      </c>
      <c r="B411" s="3" t="str">
        <f>IFERROR(__xludf.DUMMYFUNCTION("""COMPUTED_VALUE"""),"ROSBR0068")</f>
        <v>ROSBR0068</v>
      </c>
      <c r="C411" s="3" t="str">
        <f>IFERROR(__xludf.DUMMYFUNCTION("""COMPUTED_VALUE"""),"Consumable")</f>
        <v>Consumable</v>
      </c>
      <c r="D411" s="3" t="str">
        <f>IFERROR(__xludf.DUMMYFUNCTION("""COMPUTED_VALUE"""),"NA")</f>
        <v>NA</v>
      </c>
      <c r="E411" s="3" t="str">
        <f>IFERROR(__xludf.DUMMYFUNCTION("""COMPUTED_VALUE"""),"Toolbox Maintenance ")</f>
        <v>Toolbox Maintenance </v>
      </c>
      <c r="F411" s="3" t="str">
        <f>IFERROR(__xludf.DUMMYFUNCTION("""COMPUTED_VALUE"""),"TEKIRO TANG LANCIP 6 INCH (N - R)")</f>
        <v>TEKIRO TANG LANCIP 6 INCH (N - R)</v>
      </c>
      <c r="G411" s="3" t="str">
        <f>IFERROR(__xludf.DUMMYFUNCTION("""COMPUTED_VALUE"""),"Tang Lancip
Material : heat treated alloy stell
Dimensi : 150mm 18mm 90mm
type : PL-LN0760")</f>
        <v>Tang Lancip
Material : heat treated alloy stell
Dimensi : 150mm 18mm 90mm
type : PL-LN0760</v>
      </c>
      <c r="H411" s="3" t="str">
        <f>IFERROR(__xludf.DUMMYFUNCTION("""COMPUTED_VALUE"""),"Tekiro")</f>
        <v>Tekiro</v>
      </c>
      <c r="I411" s="3">
        <f>IFERROR(__xludf.DUMMYFUNCTION("""COMPUTED_VALUE"""),1.0)</f>
        <v>1</v>
      </c>
      <c r="J411" s="3" t="str">
        <f>IFERROR(__xludf.DUMMYFUNCTION("""COMPUTED_VALUE"""),"Pcs")</f>
        <v>Pcs</v>
      </c>
      <c r="K411" s="5" t="str">
        <f>IFERROR(__xludf.DUMMYFUNCTION("""COMPUTED_VALUE"""),"https://shopee.co.id/TEKIRO-TANG-LANCIP-6-INCH-(N-R)-TANG-LANCIP-TOOLS-ALAT-PERKAKAS-KUNCI-ALAT-PERTUKANGAN-i.73061699.1237545117?xptdk=b0c511a1-1522-4987-b417-4f3bfbf6df49")</f>
        <v>https://shopee.co.id/TEKIRO-TANG-LANCIP-6-INCH-(N-R)-TANG-LANCIP-TOOLS-ALAT-PERKAKAS-KUNCI-ALAT-PERTUKANGAN-i.73061699.1237545117?xptdk=b0c511a1-1522-4987-b417-4f3bfbf6df49</v>
      </c>
      <c r="L411" s="3" t="str">
        <f>IFERROR(__xludf.DUMMYFUNCTION("""COMPUTED_VALUE"""),"-")</f>
        <v>-</v>
      </c>
      <c r="M411" s="3" t="str">
        <f>IFERROR(__xludf.DUMMYFUNCTION("""COMPUTED_VALUE"""),"Approve")</f>
        <v>Approve</v>
      </c>
      <c r="N411" s="3" t="str">
        <f>IFERROR(__xludf.DUMMYFUNCTION("""COMPUTED_VALUE"""),"Normal")</f>
        <v>Normal</v>
      </c>
      <c r="O411" s="3" t="str">
        <f>IFERROR(__xludf.DUMMYFUNCTION("""COMPUTED_VALUE"""),"Non Urgent")</f>
        <v>Non Urgent</v>
      </c>
      <c r="P411" s="7">
        <f>IFERROR(__xludf.DUMMYFUNCTION("""COMPUTED_VALUE"""),46030.56706429398)</f>
        <v>46030.56706</v>
      </c>
    </row>
    <row r="412">
      <c r="A412" s="4">
        <f>IFERROR(__xludf.DUMMYFUNCTION("""COMPUTED_VALUE"""),46030.84627806713)</f>
        <v>46030.84628</v>
      </c>
      <c r="B412" s="3" t="str">
        <f>IFERROR(__xludf.DUMMYFUNCTION("""COMPUTED_VALUE"""),"ROSBR0069")</f>
        <v>ROSBR0069</v>
      </c>
      <c r="C412" s="3" t="str">
        <f>IFERROR(__xludf.DUMMYFUNCTION("""COMPUTED_VALUE"""),"Consumable")</f>
        <v>Consumable</v>
      </c>
      <c r="D412" s="3" t="str">
        <f>IFERROR(__xludf.DUMMYFUNCTION("""COMPUTED_VALUE"""),"NA")</f>
        <v>NA</v>
      </c>
      <c r="E412" s="3" t="str">
        <f>IFERROR(__xludf.DUMMYFUNCTION("""COMPUTED_VALUE"""),"Toolbox Maintenance ")</f>
        <v>Toolbox Maintenance </v>
      </c>
      <c r="F412" s="3" t="str">
        <f>IFERROR(__xludf.DUMMYFUNCTION("""COMPUTED_VALUE"""),"OBENG KETOK SET TEKIRO IMPACT DRIVE 11 PCS")</f>
        <v>OBENG KETOK SET TEKIRO IMPACT DRIVE 11 PCS</v>
      </c>
      <c r="G412" s="3" t="str">
        <f>IFERROR(__xludf.DUMMYFUNCTION("""COMPUTED_VALUE"""),"Obeng ketok (impact driver)
Type : SD-IM0921")</f>
        <v>Obeng ketok (impact driver)
Type : SD-IM0921</v>
      </c>
      <c r="H412" s="3" t="str">
        <f>IFERROR(__xludf.DUMMYFUNCTION("""COMPUTED_VALUE"""),"Tekiroi")</f>
        <v>Tekiroi</v>
      </c>
      <c r="I412" s="3">
        <f>IFERROR(__xludf.DUMMYFUNCTION("""COMPUTED_VALUE"""),1.0)</f>
        <v>1</v>
      </c>
      <c r="J412" s="3" t="str">
        <f>IFERROR(__xludf.DUMMYFUNCTION("""COMPUTED_VALUE"""),"Set")</f>
        <v>Set</v>
      </c>
      <c r="K412" s="5" t="str">
        <f>IFERROR(__xludf.DUMMYFUNCTION("""COMPUTED_VALUE"""),"https://shopee.co.id/TEKIRO-IMPACT-DRIVE-11-PCS-OBENG-KETOK-TOOLS-ALAT-PERKAKAS-i.73061699.1237545205?extraParams=%7B%22display_model_id%22%3A31563425734%2C%22model_selection_logic%22%3A3%7D&amp;sp_atk=faa8f2e3-089b-400d-b5c4-e05e946f0449&amp;xptdk=faa8f2e3-089b-"&amp;"400d-b5c4-e05e946f0449")</f>
        <v>https://shopee.co.id/TEKIRO-IMPACT-DRIVE-11-PCS-OBENG-KETOK-TOOLS-ALAT-PERKAKAS-i.73061699.1237545205?extraParams=%7B%22display_model_id%22%3A31563425734%2C%22model_selection_logic%22%3A3%7D&amp;sp_atk=faa8f2e3-089b-400d-b5c4-e05e946f0449&amp;xptdk=faa8f2e3-089b-400d-b5c4-e05e946f0449</v>
      </c>
      <c r="L412" s="3" t="str">
        <f>IFERROR(__xludf.DUMMYFUNCTION("""COMPUTED_VALUE"""),"-")</f>
        <v>-</v>
      </c>
      <c r="M412" s="3" t="str">
        <f>IFERROR(__xludf.DUMMYFUNCTION("""COMPUTED_VALUE"""),"Approve")</f>
        <v>Approve</v>
      </c>
      <c r="N412" s="3" t="str">
        <f>IFERROR(__xludf.DUMMYFUNCTION("""COMPUTED_VALUE"""),"Normal")</f>
        <v>Normal</v>
      </c>
      <c r="O412" s="3" t="str">
        <f>IFERROR(__xludf.DUMMYFUNCTION("""COMPUTED_VALUE"""),"Non Urgent")</f>
        <v>Non Urgent</v>
      </c>
      <c r="P412" s="7">
        <f>IFERROR(__xludf.DUMMYFUNCTION("""COMPUTED_VALUE"""),46034.295567407404)</f>
        <v>46034.29557</v>
      </c>
    </row>
    <row r="413">
      <c r="A413" s="4">
        <f>IFERROR(__xludf.DUMMYFUNCTION("""COMPUTED_VALUE"""),46031.64408528935)</f>
        <v>46031.64409</v>
      </c>
      <c r="B413" s="3" t="str">
        <f>IFERROR(__xludf.DUMMYFUNCTION("""COMPUTED_VALUE"""),"ANOBR0045")</f>
        <v>ANOBR0045</v>
      </c>
      <c r="C413" s="3" t="str">
        <f>IFERROR(__xludf.DUMMYFUNCTION("""COMPUTED_VALUE"""),"EJO")</f>
        <v>EJO</v>
      </c>
      <c r="D413" s="3" t="str">
        <f>IFERROR(__xludf.DUMMYFUNCTION("""COMPUTED_VALUE"""),"EJO/2026/01/16")</f>
        <v>EJO/2026/01/16</v>
      </c>
      <c r="E413" s="3" t="str">
        <f>IFERROR(__xludf.DUMMYFUNCTION("""COMPUTED_VALUE"""),"passbox capping")</f>
        <v>passbox capping</v>
      </c>
      <c r="F413" s="3" t="str">
        <f>IFERROR(__xludf.DUMMYFUNCTION("""COMPUTED_VALUE"""),"lampu passbox capping")</f>
        <v>lampu passbox capping</v>
      </c>
      <c r="G413" s="3" t="str">
        <f>IFERROR(__xludf.DUMMYFUNCTION("""COMPUTED_VALUE"""),"philips TCH086/114 EV")</f>
        <v>philips TCH086/114 EV</v>
      </c>
      <c r="H413" s="3" t="str">
        <f>IFERROR(__xludf.DUMMYFUNCTION("""COMPUTED_VALUE"""),"-")</f>
        <v>-</v>
      </c>
      <c r="I413" s="3">
        <f>IFERROR(__xludf.DUMMYFUNCTION("""COMPUTED_VALUE"""),3.0)</f>
        <v>3</v>
      </c>
      <c r="J413" s="3" t="str">
        <f>IFERROR(__xludf.DUMMYFUNCTION("""COMPUTED_VALUE"""),"PCS")</f>
        <v>PCS</v>
      </c>
      <c r="K413" s="5" t="str">
        <f>IFERROR(__xludf.DUMMYFUNCTION("""COMPUTED_VALUE"""),"https://shopee.co.id/product/7131578/16169387000?gads_t_sig=VTJGc2RHVmtYMTlxTFVSVVRrdENkVEg0SDd3VWo1MDQyT052d3EvY1B4YkQ4V2NxNE1VVGRjZnNreUFCTjkyR1M1RThxVWkwYWRIVjFsR1F6VHoxbkJaWUpFMmpvencwS0cvQkYrYyt5OG1IdVE3b0V3UUdXWVhEd1V0d2lWRlo")</f>
        <v>https://shopee.co.id/product/7131578/16169387000?gads_t_sig=VTJGc2RHVmtYMTlxTFVSVVRrdENkVEg0SDd3VWo1MDQyT052d3EvY1B4YkQ4V2NxNE1VVGRjZnNreUFCTjkyR1M1RThxVWkwYWRIVjFsR1F6VHoxbkJaWUpFMmpvencwS0cvQkYrYyt5OG1IdVE3b0V3UUdXWVhEd1V0d2lWRlo</v>
      </c>
      <c r="L413" s="3" t="str">
        <f>IFERROR(__xludf.DUMMYFUNCTION("""COMPUTED_VALUE"""),"untuk keperluan mengganti lampu passbox capping yang mati")</f>
        <v>untuk keperluan mengganti lampu passbox capping yang mati</v>
      </c>
      <c r="M413" s="3" t="str">
        <f>IFERROR(__xludf.DUMMYFUNCTION("""COMPUTED_VALUE"""),"Approve")</f>
        <v>Approve</v>
      </c>
      <c r="N413" s="3" t="str">
        <f>IFERROR(__xludf.DUMMYFUNCTION("""COMPUTED_VALUE"""),"Normal")</f>
        <v>Normal</v>
      </c>
      <c r="O413" s="3" t="str">
        <f>IFERROR(__xludf.DUMMYFUNCTION("""COMPUTED_VALUE"""),"Non Urgent")</f>
        <v>Non Urgent</v>
      </c>
      <c r="P413" s="7">
        <f>IFERROR(__xludf.DUMMYFUNCTION("""COMPUTED_VALUE"""),46034.29268427083)</f>
        <v>46034.29268</v>
      </c>
    </row>
    <row r="414">
      <c r="A414" s="4">
        <f>IFERROR(__xludf.DUMMYFUNCTION("""COMPUTED_VALUE"""),46032.826918113424)</f>
        <v>46032.82692</v>
      </c>
      <c r="B414" s="3" t="str">
        <f>IFERROR(__xludf.DUMMYFUNCTION("""COMPUTED_VALUE"""),"MRNBR0092")</f>
        <v>MRNBR0092</v>
      </c>
      <c r="C414" s="3" t="str">
        <f>IFERROR(__xludf.DUMMYFUNCTION("""COMPUTED_VALUE"""),"EJO")</f>
        <v>EJO</v>
      </c>
      <c r="D414" s="3" t="str">
        <f>IFERROR(__xludf.DUMMYFUNCTION("""COMPUTED_VALUE"""),"EJO/2025/07/105")</f>
        <v>EJO/2025/07/105</v>
      </c>
      <c r="E414" s="3" t="str">
        <f>IFERROR(__xludf.DUMMYFUNCTION("""COMPUTED_VALUE"""),"pipa hot water")</f>
        <v>pipa hot water</v>
      </c>
      <c r="F414" s="3" t="str">
        <f>IFERROR(__xludf.DUMMYFUNCTION("""COMPUTED_VALUE"""),"Tee SS lass")</f>
        <v>Tee SS lass</v>
      </c>
      <c r="G414" s="3" t="str">
        <f>IFERROR(__xludf.DUMMYFUNCTION("""COMPUTED_VALUE"""),"1 inch")</f>
        <v>1 inch</v>
      </c>
      <c r="H414" s="3" t="str">
        <f>IFERROR(__xludf.DUMMYFUNCTION("""COMPUTED_VALUE"""),"NA")</f>
        <v>NA</v>
      </c>
      <c r="I414" s="3">
        <f>IFERROR(__xludf.DUMMYFUNCTION("""COMPUTED_VALUE"""),4.0)</f>
        <v>4</v>
      </c>
      <c r="J414" s="3" t="str">
        <f>IFERROR(__xludf.DUMMYFUNCTION("""COMPUTED_VALUE"""),"pcs")</f>
        <v>pcs</v>
      </c>
      <c r="K414" s="5" t="str">
        <f>IFERROR(__xludf.DUMMYFUNCTION("""COMPUTED_VALUE"""),"https://www.tokopedia.com/andriyanliu/tee-las-stainless-ss-304-sch-10-1-inchi?extParam=ivf%3Dfalse%26keyword%3Dtee+las+stainless+sch10+ss304+1+inch%26search_id%3D2026011012525337BC2F75BF1BCF341MBY%26src%3Dsearch&amp;t_id=1768049558738&amp;t_st=2&amp;t_pp=search_resul"&amp;"t&amp;t_efo=search_pure_goods_card&amp;t_ef=goods_search&amp;t_sm=&amp;t_spt=search_result")</f>
        <v>https://www.tokopedia.com/andriyanliu/tee-las-stainless-ss-304-sch-10-1-inchi?extParam=ivf%3Dfalse%26keyword%3Dtee+las+stainless+sch10+ss304+1+inch%26search_id%3D2026011012525337BC2F75BF1BCF341MBY%26src%3Dsearch&amp;t_id=1768049558738&amp;t_st=2&amp;t_pp=search_result&amp;t_efo=search_pure_goods_card&amp;t_ef=goods_search&amp;t_sm=&amp;t_spt=search_result</v>
      </c>
      <c r="L414" s="3" t="str">
        <f>IFERROR(__xludf.DUMMYFUNCTION("""COMPUTED_VALUE"""),"untuk penyambungan pipa")</f>
        <v>untuk penyambungan pipa</v>
      </c>
      <c r="M414" s="3" t="str">
        <f>IFERROR(__xludf.DUMMYFUNCTION("""COMPUTED_VALUE"""),"Approve")</f>
        <v>Approve</v>
      </c>
      <c r="N414" s="3" t="str">
        <f>IFERROR(__xludf.DUMMYFUNCTION("""COMPUTED_VALUE"""),"Normal")</f>
        <v>Normal</v>
      </c>
      <c r="O414" s="3" t="str">
        <f>IFERROR(__xludf.DUMMYFUNCTION("""COMPUTED_VALUE"""),"Non Urgent")</f>
        <v>Non Urgent</v>
      </c>
      <c r="P414" s="7">
        <f>IFERROR(__xludf.DUMMYFUNCTION("""COMPUTED_VALUE"""),46036.536320949075)</f>
        <v>46036.53632</v>
      </c>
    </row>
    <row r="415">
      <c r="A415" s="4">
        <f>IFERROR(__xludf.DUMMYFUNCTION("""COMPUTED_VALUE"""),46032.83043792824)</f>
        <v>46032.83044</v>
      </c>
      <c r="B415" s="3" t="str">
        <f>IFERROR(__xludf.DUMMYFUNCTION("""COMPUTED_VALUE"""),"MRNBR0093")</f>
        <v>MRNBR0093</v>
      </c>
      <c r="C415" s="3" t="str">
        <f>IFERROR(__xludf.DUMMYFUNCTION("""COMPUTED_VALUE"""),"EJO")</f>
        <v>EJO</v>
      </c>
      <c r="D415" s="3" t="str">
        <f>IFERROR(__xludf.DUMMYFUNCTION("""COMPUTED_VALUE"""),"EJO/2025/07/105")</f>
        <v>EJO/2025/07/105</v>
      </c>
      <c r="E415" s="3" t="str">
        <f>IFERROR(__xludf.DUMMYFUNCTION("""COMPUTED_VALUE"""),"pipa hot water")</f>
        <v>pipa hot water</v>
      </c>
      <c r="F415" s="3" t="str">
        <f>IFERROR(__xludf.DUMMYFUNCTION("""COMPUTED_VALUE"""),"Pipa hot water")</f>
        <v>Pipa hot water</v>
      </c>
      <c r="G415" s="3" t="str">
        <f>IFERROR(__xludf.DUMMYFUNCTION("""COMPUTED_VALUE"""),"Penetrant SKD-S2 Developer")</f>
        <v>Penetrant SKD-S2 Developer</v>
      </c>
      <c r="H415" s="3" t="str">
        <f>IFERROR(__xludf.DUMMYFUNCTION("""COMPUTED_VALUE"""),"Magnaflux Spotcheck")</f>
        <v>Magnaflux Spotcheck</v>
      </c>
      <c r="I415" s="3">
        <f>IFERROR(__xludf.DUMMYFUNCTION("""COMPUTED_VALUE"""),5.0)</f>
        <v>5</v>
      </c>
      <c r="J415" s="3" t="str">
        <f>IFERROR(__xludf.DUMMYFUNCTION("""COMPUTED_VALUE"""),"pcs")</f>
        <v>pcs</v>
      </c>
      <c r="K415" s="5" t="str">
        <f>IFERROR(__xludf.DUMMYFUNCTION("""COMPUTED_VALUE"""),"https://www.tokopedia.com/jfd-shop/magnaflux-spotcheck-skd-s2-developer-400ml-1731535556437902791?extParam=ivf%3Dfalse%26keyword%3Dmagnaflux+skd+s2%26search_id%3D202601101302440BB4AEC17105211487JJ%26src%3Dsearch&amp;t_id=1768049558738&amp;t_st=5&amp;t_pp=search_resul"&amp;"t&amp;t_efo=search_pure_goods_card&amp;t_ef=goods_search&amp;t_sm=&amp;t_spt=search_result")</f>
        <v>https://www.tokopedia.com/jfd-shop/magnaflux-spotcheck-skd-s2-developer-400ml-1731535556437902791?extParam=ivf%3Dfalse%26keyword%3Dmagnaflux+skd+s2%26search_id%3D202601101302440BB4AEC17105211487JJ%26src%3Dsearch&amp;t_id=1768049558738&amp;t_st=5&amp;t_pp=search_result&amp;t_efo=search_pure_goods_card&amp;t_ef=goods_search&amp;t_sm=&amp;t_spt=search_result</v>
      </c>
      <c r="L415" s="3" t="str">
        <f>IFERROR(__xludf.DUMMYFUNCTION("""COMPUTED_VALUE"""),"untuk penyambungan pipa")</f>
        <v>untuk penyambungan pipa</v>
      </c>
      <c r="M415" s="3" t="str">
        <f>IFERROR(__xludf.DUMMYFUNCTION("""COMPUTED_VALUE"""),"Approve")</f>
        <v>Approve</v>
      </c>
      <c r="N415" s="3" t="str">
        <f>IFERROR(__xludf.DUMMYFUNCTION("""COMPUTED_VALUE"""),"Normal")</f>
        <v>Normal</v>
      </c>
      <c r="O415" s="3" t="str">
        <f>IFERROR(__xludf.DUMMYFUNCTION("""COMPUTED_VALUE"""),"Non Urgent")</f>
        <v>Non Urgent</v>
      </c>
      <c r="P415" s="7">
        <f>IFERROR(__xludf.DUMMYFUNCTION("""COMPUTED_VALUE"""),46036.5354840162)</f>
        <v>46036.53548</v>
      </c>
    </row>
    <row r="416">
      <c r="A416" s="4">
        <f>IFERROR(__xludf.DUMMYFUNCTION("""COMPUTED_VALUE"""),46032.83837027778)</f>
        <v>46032.83837</v>
      </c>
      <c r="B416" s="3" t="str">
        <f>IFERROR(__xludf.DUMMYFUNCTION("""COMPUTED_VALUE"""),"MRNBR0094")</f>
        <v>MRNBR0094</v>
      </c>
      <c r="C416" s="3" t="str">
        <f>IFERROR(__xludf.DUMMYFUNCTION("""COMPUTED_VALUE"""),"EJO")</f>
        <v>EJO</v>
      </c>
      <c r="D416" s="3" t="str">
        <f>IFERROR(__xludf.DUMMYFUNCTION("""COMPUTED_VALUE"""),"EJO/2025/07/105")</f>
        <v>EJO/2025/07/105</v>
      </c>
      <c r="E416" s="3" t="str">
        <f>IFERROR(__xludf.DUMMYFUNCTION("""COMPUTED_VALUE"""),"pipa hot water")</f>
        <v>pipa hot water</v>
      </c>
      <c r="F416" s="3" t="str">
        <f>IFERROR(__xludf.DUMMYFUNCTION("""COMPUTED_VALUE"""),"Pipa hot water")</f>
        <v>Pipa hot water</v>
      </c>
      <c r="G416" s="3" t="str">
        <f>IFERROR(__xludf.DUMMYFUNCTION("""COMPUTED_VALUE"""),"cleaner SKC-S")</f>
        <v>cleaner SKC-S</v>
      </c>
      <c r="H416" s="3" t="str">
        <f>IFERROR(__xludf.DUMMYFUNCTION("""COMPUTED_VALUE"""),"Magnaflux Spotcheck")</f>
        <v>Magnaflux Spotcheck</v>
      </c>
      <c r="I416" s="3">
        <f>IFERROR(__xludf.DUMMYFUNCTION("""COMPUTED_VALUE"""),5.0)</f>
        <v>5</v>
      </c>
      <c r="J416" s="3" t="str">
        <f>IFERROR(__xludf.DUMMYFUNCTION("""COMPUTED_VALUE"""),"pcs")</f>
        <v>pcs</v>
      </c>
      <c r="K416" s="5" t="str">
        <f>IFERROR(__xludf.DUMMYFUNCTION("""COMPUTED_VALUE"""),"https://www.tokopedia.com/kimiadanteknik/magnaflux-spotcheck-cleaner-skc-s-400ml?extParam=ivf%3Dfalse%26keyword%3D+spotcheck+skcs%26search_id%3D202601101301208DD48D6A2E2CAD361ICM%26src%3Dsearch&amp;t_id=1768050008571&amp;t_st=3&amp;t_pp=search_result&amp;t_efo=search_pur"&amp;"e_goods_card&amp;t_ef=goods_search&amp;t_sm=&amp;t_spt=search_result")</f>
        <v>https://www.tokopedia.com/kimiadanteknik/magnaflux-spotcheck-cleaner-skc-s-400ml?extParam=ivf%3Dfalse%26keyword%3D+spotcheck+skcs%26search_id%3D202601101301208DD48D6A2E2CAD361ICM%26src%3Dsearch&amp;t_id=1768050008571&amp;t_st=3&amp;t_pp=search_result&amp;t_efo=search_pure_goods_card&amp;t_ef=goods_search&amp;t_sm=&amp;t_spt=search_result</v>
      </c>
      <c r="L416" s="3" t="str">
        <f>IFERROR(__xludf.DUMMYFUNCTION("""COMPUTED_VALUE"""),"untuk penyambungan pipa")</f>
        <v>untuk penyambungan pipa</v>
      </c>
      <c r="M416" s="3" t="str">
        <f>IFERROR(__xludf.DUMMYFUNCTION("""COMPUTED_VALUE"""),"Approve")</f>
        <v>Approve</v>
      </c>
      <c r="N416" s="3" t="str">
        <f>IFERROR(__xludf.DUMMYFUNCTION("""COMPUTED_VALUE"""),"Normal")</f>
        <v>Normal</v>
      </c>
      <c r="O416" s="3" t="str">
        <f>IFERROR(__xludf.DUMMYFUNCTION("""COMPUTED_VALUE"""),"Non Urgent")</f>
        <v>Non Urgent</v>
      </c>
      <c r="P416" s="7">
        <f>IFERROR(__xludf.DUMMYFUNCTION("""COMPUTED_VALUE"""),46036.535237881944)</f>
        <v>46036.53524</v>
      </c>
    </row>
    <row r="417">
      <c r="A417" s="4">
        <f>IFERROR(__xludf.DUMMYFUNCTION("""COMPUTED_VALUE"""),46032.83897131944)</f>
        <v>46032.83897</v>
      </c>
      <c r="B417" s="3" t="str">
        <f>IFERROR(__xludf.DUMMYFUNCTION("""COMPUTED_VALUE"""),"MRNBR0095")</f>
        <v>MRNBR0095</v>
      </c>
      <c r="C417" s="3" t="str">
        <f>IFERROR(__xludf.DUMMYFUNCTION("""COMPUTED_VALUE"""),"EJO")</f>
        <v>EJO</v>
      </c>
      <c r="D417" s="3" t="str">
        <f>IFERROR(__xludf.DUMMYFUNCTION("""COMPUTED_VALUE"""),"EJO/2025/07/105")</f>
        <v>EJO/2025/07/105</v>
      </c>
      <c r="E417" s="3" t="str">
        <f>IFERROR(__xludf.DUMMYFUNCTION("""COMPUTED_VALUE"""),"pipa hot water")</f>
        <v>pipa hot water</v>
      </c>
      <c r="F417" s="3" t="str">
        <f>IFERROR(__xludf.DUMMYFUNCTION("""COMPUTED_VALUE"""),"Pipa hot water")</f>
        <v>Pipa hot water</v>
      </c>
      <c r="G417" s="3" t="str">
        <f>IFERROR(__xludf.DUMMYFUNCTION("""COMPUTED_VALUE"""),"spotcheck red penetrant SKL-SP")</f>
        <v>spotcheck red penetrant SKL-SP</v>
      </c>
      <c r="H417" s="3" t="str">
        <f>IFERROR(__xludf.DUMMYFUNCTION("""COMPUTED_VALUE"""),"Magnaflux Spotcheck")</f>
        <v>Magnaflux Spotcheck</v>
      </c>
      <c r="I417" s="3">
        <f>IFERROR(__xludf.DUMMYFUNCTION("""COMPUTED_VALUE"""),5.0)</f>
        <v>5</v>
      </c>
      <c r="J417" s="3" t="str">
        <f>IFERROR(__xludf.DUMMYFUNCTION("""COMPUTED_VALUE"""),"pcs")</f>
        <v>pcs</v>
      </c>
      <c r="K417" s="5" t="str">
        <f>IFERROR(__xludf.DUMMYFUNCTION("""COMPUTED_VALUE"""),"https://www.tokopedia.com/kimiadanteknik/magnaflux-spotcheck-red-penetrant-skl-sp2-400ml?extParam=ivf%3Dfalse%26keyword%3Dspotcheck+skl-sp2%26search_id%3D202601101301579687864F542F113B6V4M%26src%3Dsearch&amp;t_id=1768050121681&amp;t_st=1&amp;t_pp=search_result&amp;t_efo="&amp;"search_pure_goods_card&amp;t_ef=goods_search&amp;t_sm=&amp;t_spt=search_result")</f>
        <v>https://www.tokopedia.com/kimiadanteknik/magnaflux-spotcheck-red-penetrant-skl-sp2-400ml?extParam=ivf%3Dfalse%26keyword%3Dspotcheck+skl-sp2%26search_id%3D202601101301579687864F542F113B6V4M%26src%3Dsearch&amp;t_id=1768050121681&amp;t_st=1&amp;t_pp=search_result&amp;t_efo=search_pure_goods_card&amp;t_ef=goods_search&amp;t_sm=&amp;t_spt=search_result</v>
      </c>
      <c r="L417" s="3" t="str">
        <f>IFERROR(__xludf.DUMMYFUNCTION("""COMPUTED_VALUE"""),"untuk penyambungan pipa")</f>
        <v>untuk penyambungan pipa</v>
      </c>
      <c r="M417" s="3" t="str">
        <f>IFERROR(__xludf.DUMMYFUNCTION("""COMPUTED_VALUE"""),"Approve")</f>
        <v>Approve</v>
      </c>
      <c r="N417" s="3" t="str">
        <f>IFERROR(__xludf.DUMMYFUNCTION("""COMPUTED_VALUE"""),"Normal")</f>
        <v>Normal</v>
      </c>
      <c r="O417" s="3" t="str">
        <f>IFERROR(__xludf.DUMMYFUNCTION("""COMPUTED_VALUE"""),"Non Urgent")</f>
        <v>Non Urgent</v>
      </c>
      <c r="P417" s="7">
        <f>IFERROR(__xludf.DUMMYFUNCTION("""COMPUTED_VALUE"""),46036.53501658565)</f>
        <v>46036.53502</v>
      </c>
    </row>
    <row r="418">
      <c r="A418" s="4">
        <f>IFERROR(__xludf.DUMMYFUNCTION("""COMPUTED_VALUE"""),46034.490454375)</f>
        <v>46034.49045</v>
      </c>
      <c r="B418" s="3" t="str">
        <f>IFERROR(__xludf.DUMMYFUNCTION("""COMPUTED_VALUE"""),"ANOBR0046")</f>
        <v>ANOBR0046</v>
      </c>
      <c r="C418" s="3" t="str">
        <f>IFERROR(__xludf.DUMMYFUNCTION("""COMPUTED_VALUE"""),"Critical Part")</f>
        <v>Critical Part</v>
      </c>
      <c r="D418" s="3" t="str">
        <f>IFERROR(__xludf.DUMMYFUNCTION("""COMPUTED_VALUE"""),"-")</f>
        <v>-</v>
      </c>
      <c r="E418" s="3" t="str">
        <f>IFERROR(__xludf.DUMMYFUNCTION("""COMPUTED_VALUE"""),"Chiler Blistering")</f>
        <v>Chiler Blistering</v>
      </c>
      <c r="F418" s="3" t="str">
        <f>IFERROR(__xludf.DUMMYFUNCTION("""COMPUTED_VALUE"""),"ferrule 1 set ss304 dia 4""")</f>
        <v>ferrule 1 set ss304 dia 4"</v>
      </c>
      <c r="G418" s="3" t="str">
        <f>IFERROR(__xludf.DUMMYFUNCTION("""COMPUTED_VALUE"""),"ferrule 1 set ss304 dia 4""")</f>
        <v>ferrule 1 set ss304 dia 4"</v>
      </c>
      <c r="H418" s="3" t="str">
        <f>IFERROR(__xludf.DUMMYFUNCTION("""COMPUTED_VALUE"""),"-")</f>
        <v>-</v>
      </c>
      <c r="I418" s="3">
        <f>IFERROR(__xludf.DUMMYFUNCTION("""COMPUTED_VALUE"""),1.0)</f>
        <v>1</v>
      </c>
      <c r="J418" s="3" t="str">
        <f>IFERROR(__xludf.DUMMYFUNCTION("""COMPUTED_VALUE"""),"set")</f>
        <v>set</v>
      </c>
      <c r="K418" s="5" t="str">
        <f>IFERROR(__xludf.DUMMYFUNCTION("""COMPUTED_VALUE"""),"https://drive.google.com/drive/folders/1ouyRHXj-L2SeBSCEdOe913jtrUFx0HrO?usp=drive_link")</f>
        <v>https://drive.google.com/drive/folders/1ouyRHXj-L2SeBSCEdOe913jtrUFx0HrO?usp=drive_link</v>
      </c>
      <c r="L418" s="3" t="str">
        <f>IFERROR(__xludf.DUMMYFUNCTION("""COMPUTED_VALUE"""),"untuk keperluan membuat jalur exhaust di chiler blistering")</f>
        <v>untuk keperluan membuat jalur exhaust di chiler blistering</v>
      </c>
      <c r="M418" s="3" t="str">
        <f>IFERROR(__xludf.DUMMYFUNCTION("""COMPUTED_VALUE"""),"Approve")</f>
        <v>Approve</v>
      </c>
      <c r="N418" s="3" t="str">
        <f>IFERROR(__xludf.DUMMYFUNCTION("""COMPUTED_VALUE"""),"Normal")</f>
        <v>Normal</v>
      </c>
      <c r="O418" s="3" t="str">
        <f>IFERROR(__xludf.DUMMYFUNCTION("""COMPUTED_VALUE"""),"Non Urgent")</f>
        <v>Non Urgent</v>
      </c>
      <c r="P418" s="7">
        <f>IFERROR(__xludf.DUMMYFUNCTION("""COMPUTED_VALUE"""),46035.97370027778)</f>
        <v>46035.9737</v>
      </c>
    </row>
    <row r="419">
      <c r="A419" s="4">
        <f>IFERROR(__xludf.DUMMYFUNCTION("""COMPUTED_VALUE"""),46034.81387712963)</f>
        <v>46034.81388</v>
      </c>
      <c r="B419" s="3" t="str">
        <f>IFERROR(__xludf.DUMMYFUNCTION("""COMPUTED_VALUE"""),"ANOBR0047")</f>
        <v>ANOBR0047</v>
      </c>
      <c r="C419" s="3" t="str">
        <f>IFERROR(__xludf.DUMMYFUNCTION("""COMPUTED_VALUE"""),"Critical Part")</f>
        <v>Critical Part</v>
      </c>
      <c r="D419" s="3" t="str">
        <f>IFERROR(__xludf.DUMMYFUNCTION("""COMPUTED_VALUE"""),"-")</f>
        <v>-</v>
      </c>
      <c r="E419" s="3" t="str">
        <f>IFERROR(__xludf.DUMMYFUNCTION("""COMPUTED_VALUE"""),"Chiler Blistering")</f>
        <v>Chiler Blistering</v>
      </c>
      <c r="F419" s="3" t="str">
        <f>IFERROR(__xludf.DUMMYFUNCTION("""COMPUTED_VALUE"""),"rifet nut M10")</f>
        <v>rifet nut M10</v>
      </c>
      <c r="G419" s="3" t="str">
        <f>IFERROR(__xludf.DUMMYFUNCTION("""COMPUTED_VALUE"""),"RIFFET NUT M10")</f>
        <v>RIFFET NUT M10</v>
      </c>
      <c r="H419" s="3" t="str">
        <f>IFERROR(__xludf.DUMMYFUNCTION("""COMPUTED_VALUE"""),"-")</f>
        <v>-</v>
      </c>
      <c r="I419" s="3">
        <f>IFERROR(__xludf.DUMMYFUNCTION("""COMPUTED_VALUE"""),1.0)</f>
        <v>1</v>
      </c>
      <c r="J419" s="3" t="str">
        <f>IFERROR(__xludf.DUMMYFUNCTION("""COMPUTED_VALUE"""),"PACK")</f>
        <v>PACK</v>
      </c>
      <c r="K419" s="5" t="str">
        <f>IFERROR(__xludf.DUMMYFUNCTION("""COMPUTED_VALUE"""),"https://shopee.co.id/product/9018742/42056488537?gads_t_sig=VTJGc2RHVmtYMTlxTFVSVVRrdENkVEg0SDd3VWo1MDQyT052d3EvY1B4YU9kM25CcFplT1VYR2I1bnM1NHlOcnhRbGpETGNXaWZVMUxMdXJ4UFZpbmZETzBtNlZFN2VDMUpnVjFYb0dlWHdDNFc4aDlLUlNFTm95aFJqM3VaUmM&amp;gad_source=1&amp;gad_campai"&amp;"gnid=23295573554&amp;gbraid=0AAAAADPpU83y3aTaX-AnLs2Q9PVezaSFB&amp;gclid=Cj0KCQiA1JLLBhCDARIsAAVfy7jf3rL7fVRSiu_qxNUqsZWMso1XWxuzV7uGXQoVCjavABDLO365wt8aAujDEALw_wcB")</f>
        <v>https://shopee.co.id/product/9018742/42056488537?gads_t_sig=VTJGc2RHVmtYMTlxTFVSVVRrdENkVEg0SDd3VWo1MDQyT052d3EvY1B4YU9kM25CcFplT1VYR2I1bnM1NHlOcnhRbGpETGNXaWZVMUxMdXJ4UFZpbmZETzBtNlZFN2VDMUpnVjFYb0dlWHdDNFc4aDlLUlNFTm95aFJqM3VaUmM&amp;gad_source=1&amp;gad_campaignid=23295573554&amp;gbraid=0AAAAADPpU83y3aTaX-AnLs2Q9PVezaSFB&amp;gclid=Cj0KCQiA1JLLBhCDARIsAAVfy7jf3rL7fVRSiu_qxNUqsZWMso1XWxuzV7uGXQoVCjavABDLO365wt8aAujDEALw_wcB</v>
      </c>
      <c r="L419" s="3" t="str">
        <f>IFERROR(__xludf.DUMMYFUNCTION("""COMPUTED_VALUE"""),"untuk keperluan membuat jalur exhaust di chiler blistering")</f>
        <v>untuk keperluan membuat jalur exhaust di chiler blistering</v>
      </c>
      <c r="M419" s="3" t="str">
        <f>IFERROR(__xludf.DUMMYFUNCTION("""COMPUTED_VALUE"""),"Approve")</f>
        <v>Approve</v>
      </c>
      <c r="N419" s="3" t="str">
        <f>IFERROR(__xludf.DUMMYFUNCTION("""COMPUTED_VALUE"""),"Normal")</f>
        <v>Normal</v>
      </c>
      <c r="O419" s="3" t="str">
        <f>IFERROR(__xludf.DUMMYFUNCTION("""COMPUTED_VALUE"""),"Non Urgent")</f>
        <v>Non Urgent</v>
      </c>
      <c r="P419" s="7">
        <f>IFERROR(__xludf.DUMMYFUNCTION("""COMPUTED_VALUE"""),46050.88258842593)</f>
        <v>46050.88259</v>
      </c>
    </row>
    <row r="420">
      <c r="A420" s="4">
        <f>IFERROR(__xludf.DUMMYFUNCTION("""COMPUTED_VALUE"""),46034.8150003588)</f>
        <v>46034.815</v>
      </c>
      <c r="B420" s="3" t="str">
        <f>IFERROR(__xludf.DUMMYFUNCTION("""COMPUTED_VALUE"""),"ANOBR0048")</f>
        <v>ANOBR0048</v>
      </c>
      <c r="C420" s="3" t="str">
        <f>IFERROR(__xludf.DUMMYFUNCTION("""COMPUTED_VALUE"""),"Critical Part")</f>
        <v>Critical Part</v>
      </c>
      <c r="D420" s="3" t="str">
        <f>IFERROR(__xludf.DUMMYFUNCTION("""COMPUTED_VALUE"""),"-")</f>
        <v>-</v>
      </c>
      <c r="E420" s="3" t="str">
        <f>IFERROR(__xludf.DUMMYFUNCTION("""COMPUTED_VALUE"""),"Chiler Blistering")</f>
        <v>Chiler Blistering</v>
      </c>
      <c r="F420" s="3" t="str">
        <f>IFERROR(__xludf.DUMMYFUNCTION("""COMPUTED_VALUE"""),"rifet nut M10")</f>
        <v>rifet nut M10</v>
      </c>
      <c r="G420" s="3" t="str">
        <f>IFERROR(__xludf.DUMMYFUNCTION("""COMPUTED_VALUE"""),"hole saw 115 MM. pipa 4""")</f>
        <v>hole saw 115 MM. pipa 4"</v>
      </c>
      <c r="H420" s="3" t="str">
        <f>IFERROR(__xludf.DUMMYFUNCTION("""COMPUTED_VALUE"""),"-")</f>
        <v>-</v>
      </c>
      <c r="I420" s="3">
        <f>IFERROR(__xludf.DUMMYFUNCTION("""COMPUTED_VALUE"""),1.0)</f>
        <v>1</v>
      </c>
      <c r="J420" s="3" t="str">
        <f>IFERROR(__xludf.DUMMYFUNCTION("""COMPUTED_VALUE"""),"PCS")</f>
        <v>PCS</v>
      </c>
      <c r="K420" s="5" t="str">
        <f>IFERROR(__xludf.DUMMYFUNCTION("""COMPUTED_VALUE"""),"https://shopee.co.id/product/1030439901/24466009946?gads_t_sig=VTJGc2RHVmtYMTlxTFVSVVRrdENkVHQ3ZkZSUTMrR3pBWmZZNzdrcnRBM1YyaTFFK1FnUjRyeXdrZkF3ZmJuOGFmMFFOaEdxbm10MHhONCtjMGZuUVZUeU5wazE4WFI3OVVZbG5xU2FmbS9wYlE1Q0oxL2lDd0cxTmYzZTc2NWdSZ0VINFg3TzE1S0FKZFds"&amp;"WGhEQmRBPT0&amp;gad_source=1&amp;gad_campaignid=23290582497&amp;gbraid=0AAAAADPpU83ax10uNyQZEUxaOrg2eLoHc&amp;gclid=Cj0KCQiA1JLLBhCDARIsAAVfy7j-0ZBxbYZKYdtZDBsr1YIx6WKCUjLqLS1cXqKhDbmUUWwIdVf3F9YaAjJAEALw_wcB")</f>
        <v>https://shopee.co.id/product/1030439901/24466009946?gads_t_sig=VTJGc2RHVmtYMTlxTFVSVVRrdENkVHQ3ZkZSUTMrR3pBWmZZNzdrcnRBM1YyaTFFK1FnUjRyeXdrZkF3ZmJuOGFmMFFOaEdxbm10MHhONCtjMGZuUVZUeU5wazE4WFI3OVVZbG5xU2FmbS9wYlE1Q0oxL2lDd0cxTmYzZTc2NWdSZ0VINFg3TzE1S0FKZFdsWGhEQmRBPT0&amp;gad_source=1&amp;gad_campaignid=23290582497&amp;gbraid=0AAAAADPpU83ax10uNyQZEUxaOrg2eLoHc&amp;gclid=Cj0KCQiA1JLLBhCDARIsAAVfy7j-0ZBxbYZKYdtZDBsr1YIx6WKCUjLqLS1cXqKhDbmUUWwIdVf3F9YaAjJAEALw_wcB</v>
      </c>
      <c r="L420" s="3" t="str">
        <f>IFERROR(__xludf.DUMMYFUNCTION("""COMPUTED_VALUE"""),"untuk keperluan membuat jalur exhaust di chiler blistering")</f>
        <v>untuk keperluan membuat jalur exhaust di chiler blistering</v>
      </c>
      <c r="M420" s="3" t="str">
        <f>IFERROR(__xludf.DUMMYFUNCTION("""COMPUTED_VALUE"""),"Approve")</f>
        <v>Approve</v>
      </c>
      <c r="N420" s="3" t="str">
        <f>IFERROR(__xludf.DUMMYFUNCTION("""COMPUTED_VALUE"""),"Normal")</f>
        <v>Normal</v>
      </c>
      <c r="O420" s="3" t="str">
        <f>IFERROR(__xludf.DUMMYFUNCTION("""COMPUTED_VALUE"""),"Non Urgent")</f>
        <v>Non Urgent</v>
      </c>
      <c r="P420" s="7">
        <f>IFERROR(__xludf.DUMMYFUNCTION("""COMPUTED_VALUE"""),46036.00451738426)</f>
        <v>46036.00452</v>
      </c>
    </row>
    <row r="421">
      <c r="A421" s="4">
        <f>IFERROR(__xludf.DUMMYFUNCTION("""COMPUTED_VALUE"""),46035.65791913194)</f>
        <v>46035.65792</v>
      </c>
      <c r="B421" s="3" t="str">
        <f>IFERROR(__xludf.DUMMYFUNCTION("""COMPUTED_VALUE"""),"ROSBR0070")</f>
        <v>ROSBR0070</v>
      </c>
      <c r="C421" s="3" t="str">
        <f>IFERROR(__xludf.DUMMYFUNCTION("""COMPUTED_VALUE"""),"Critical Part")</f>
        <v>Critical Part</v>
      </c>
      <c r="D421" s="3" t="str">
        <f>IFERROR(__xludf.DUMMYFUNCTION("""COMPUTED_VALUE"""),"NA")</f>
        <v>NA</v>
      </c>
      <c r="E421" s="3" t="str">
        <f>IFERROR(__xludf.DUMMYFUNCTION("""COMPUTED_VALUE"""),"Washing ")</f>
        <v>Washing </v>
      </c>
      <c r="F421" s="3" t="str">
        <f>IFERROR(__xludf.DUMMYFUNCTION("""COMPUTED_VALUE"""),"Tubing ")</f>
        <v>Tubing </v>
      </c>
      <c r="G421" s="3" t="str">
        <f>IFERROR(__xludf.DUMMYFUNCTION("""COMPUTED_VALUE"""),"tubing ukuran 4
PUN-H-4X0,75-NT
Sold in packages of 50 M")</f>
        <v>tubing ukuran 4
PUN-H-4X0,75-NT
Sold in packages of 50 M</v>
      </c>
      <c r="H421" s="3" t="str">
        <f>IFERROR(__xludf.DUMMYFUNCTION("""COMPUTED_VALUE"""),"Festo ")</f>
        <v>Festo </v>
      </c>
      <c r="I421" s="3">
        <f>IFERROR(__xludf.DUMMYFUNCTION("""COMPUTED_VALUE"""),100.0)</f>
        <v>100</v>
      </c>
      <c r="J421" s="3" t="str">
        <f>IFERROR(__xludf.DUMMYFUNCTION("""COMPUTED_VALUE"""),"meter")</f>
        <v>meter</v>
      </c>
      <c r="K421" s="5" t="str">
        <f>IFERROR(__xludf.DUMMYFUNCTION("""COMPUTED_VALUE"""),"https://drive.google.com/drive/folders/1WFva2OWKG2hBAFPmJ7tgDIRpESf_EYtL?usp=drive_link")</f>
        <v>https://drive.google.com/drive/folders/1WFva2OWKG2hBAFPmJ7tgDIRpESf_EYtL?usp=drive_link</v>
      </c>
      <c r="L421" s="3" t="str">
        <f>IFERROR(__xludf.DUMMYFUNCTION("""COMPUTED_VALUE"""),"Tolong belikan tubing buat peremajaan mesin washing ")</f>
        <v>Tolong belikan tubing buat peremajaan mesin washing </v>
      </c>
      <c r="M421" s="3" t="str">
        <f>IFERROR(__xludf.DUMMYFUNCTION("""COMPUTED_VALUE"""),"Approve")</f>
        <v>Approve</v>
      </c>
      <c r="N421" s="3" t="str">
        <f>IFERROR(__xludf.DUMMYFUNCTION("""COMPUTED_VALUE"""),"Normal")</f>
        <v>Normal</v>
      </c>
      <c r="O421" s="3" t="str">
        <f>IFERROR(__xludf.DUMMYFUNCTION("""COMPUTED_VALUE"""),"Non Urgent")</f>
        <v>Non Urgent</v>
      </c>
      <c r="P421" s="7">
        <f>IFERROR(__xludf.DUMMYFUNCTION("""COMPUTED_VALUE"""),46050.9528146875)</f>
        <v>46050.95281</v>
      </c>
    </row>
    <row r="422">
      <c r="A422" s="4">
        <f>IFERROR(__xludf.DUMMYFUNCTION("""COMPUTED_VALUE"""),46035.65811038194)</f>
        <v>46035.65811</v>
      </c>
      <c r="B422" s="3" t="str">
        <f>IFERROR(__xludf.DUMMYFUNCTION("""COMPUTED_VALUE"""),"ROSBR0071")</f>
        <v>ROSBR0071</v>
      </c>
      <c r="C422" s="3" t="str">
        <f>IFERROR(__xludf.DUMMYFUNCTION("""COMPUTED_VALUE"""),"Critical Part")</f>
        <v>Critical Part</v>
      </c>
      <c r="D422" s="3" t="str">
        <f>IFERROR(__xludf.DUMMYFUNCTION("""COMPUTED_VALUE"""),"NA")</f>
        <v>NA</v>
      </c>
      <c r="E422" s="3" t="str">
        <f>IFERROR(__xludf.DUMMYFUNCTION("""COMPUTED_VALUE"""),"Washing ")</f>
        <v>Washing </v>
      </c>
      <c r="F422" s="3" t="str">
        <f>IFERROR(__xludf.DUMMYFUNCTION("""COMPUTED_VALUE"""),"Tubing ")</f>
        <v>Tubing </v>
      </c>
      <c r="G422" s="3" t="str">
        <f>IFERROR(__xludf.DUMMYFUNCTION("""COMPUTED_VALUE"""),"Tubing ukura 6
PUN-H-6X1-NTn 6 
Sold in packages of 50 M")</f>
        <v>Tubing ukura 6
PUN-H-6X1-NTn 6 
Sold in packages of 50 M</v>
      </c>
      <c r="H422" s="3" t="str">
        <f>IFERROR(__xludf.DUMMYFUNCTION("""COMPUTED_VALUE"""),"festo")</f>
        <v>festo</v>
      </c>
      <c r="I422" s="3">
        <f>IFERROR(__xludf.DUMMYFUNCTION("""COMPUTED_VALUE"""),100.0)</f>
        <v>100</v>
      </c>
      <c r="J422" s="3" t="str">
        <f>IFERROR(__xludf.DUMMYFUNCTION("""COMPUTED_VALUE"""),"meter")</f>
        <v>meter</v>
      </c>
      <c r="K422" s="5" t="str">
        <f>IFERROR(__xludf.DUMMYFUNCTION("""COMPUTED_VALUE"""),"https://drive.google.com/drive/folders/1WFva2OWKG2hBAFPmJ7tgDIRpESf_EYtL?usp=drive_link")</f>
        <v>https://drive.google.com/drive/folders/1WFva2OWKG2hBAFPmJ7tgDIRpESf_EYtL?usp=drive_link</v>
      </c>
      <c r="L422" s="3" t="str">
        <f>IFERROR(__xludf.DUMMYFUNCTION("""COMPUTED_VALUE"""),"Tolong belikan tubing buat peremajaan mesin washing ")</f>
        <v>Tolong belikan tubing buat peremajaan mesin washing </v>
      </c>
      <c r="M422" s="3" t="str">
        <f>IFERROR(__xludf.DUMMYFUNCTION("""COMPUTED_VALUE"""),"Approve")</f>
        <v>Approve</v>
      </c>
      <c r="N422" s="3" t="str">
        <f>IFERROR(__xludf.DUMMYFUNCTION("""COMPUTED_VALUE"""),"Normal")</f>
        <v>Normal</v>
      </c>
      <c r="O422" s="3" t="str">
        <f>IFERROR(__xludf.DUMMYFUNCTION("""COMPUTED_VALUE"""),"Non Urgent")</f>
        <v>Non Urgent</v>
      </c>
      <c r="P422" s="7">
        <f>IFERROR(__xludf.DUMMYFUNCTION("""COMPUTED_VALUE"""),46050.888506539355)</f>
        <v>46050.88851</v>
      </c>
    </row>
    <row r="423">
      <c r="A423" s="4">
        <f>IFERROR(__xludf.DUMMYFUNCTION("""COMPUTED_VALUE"""),46035.65954763888)</f>
        <v>46035.65955</v>
      </c>
      <c r="B423" s="3" t="str">
        <f>IFERROR(__xludf.DUMMYFUNCTION("""COMPUTED_VALUE"""),"ROSBR0072")</f>
        <v>ROSBR0072</v>
      </c>
      <c r="C423" s="3" t="str">
        <f>IFERROR(__xludf.DUMMYFUNCTION("""COMPUTED_VALUE"""),"Critical Part")</f>
        <v>Critical Part</v>
      </c>
      <c r="D423" s="3" t="str">
        <f>IFERROR(__xludf.DUMMYFUNCTION("""COMPUTED_VALUE"""),"NA")</f>
        <v>NA</v>
      </c>
      <c r="E423" s="3" t="str">
        <f>IFERROR(__xludf.DUMMYFUNCTION("""COMPUTED_VALUE"""),"Washing ")</f>
        <v>Washing </v>
      </c>
      <c r="F423" s="3" t="str">
        <f>IFERROR(__xludf.DUMMYFUNCTION("""COMPUTED_VALUE"""),"Tubing ")</f>
        <v>Tubing </v>
      </c>
      <c r="G423" s="3" t="str">
        <f>IFERROR(__xludf.DUMMYFUNCTION("""COMPUTED_VALUE"""),"tubing ukuran 8 
PUN-H-8X1,25-NT
Sold in packages of 50 M")</f>
        <v>tubing ukuran 8 
PUN-H-8X1,25-NT
Sold in packages of 50 M</v>
      </c>
      <c r="H423" s="3" t="str">
        <f>IFERROR(__xludf.DUMMYFUNCTION("""COMPUTED_VALUE"""),"festo")</f>
        <v>festo</v>
      </c>
      <c r="I423" s="3">
        <f>IFERROR(__xludf.DUMMYFUNCTION("""COMPUTED_VALUE"""),100.0)</f>
        <v>100</v>
      </c>
      <c r="J423" s="3" t="str">
        <f>IFERROR(__xludf.DUMMYFUNCTION("""COMPUTED_VALUE"""),"meter")</f>
        <v>meter</v>
      </c>
      <c r="K423" s="5" t="str">
        <f>IFERROR(__xludf.DUMMYFUNCTION("""COMPUTED_VALUE"""),"https://drive.google.com/drive/folders/1WFva2OWKG2hBAFPmJ7tgDIRpESf_EYtL?usp=drive_link")</f>
        <v>https://drive.google.com/drive/folders/1WFva2OWKG2hBAFPmJ7tgDIRpESf_EYtL?usp=drive_link</v>
      </c>
      <c r="L423" s="3" t="str">
        <f>IFERROR(__xludf.DUMMYFUNCTION("""COMPUTED_VALUE"""),"Tolong belikan tubing buat peremajaan mesin washing ")</f>
        <v>Tolong belikan tubing buat peremajaan mesin washing </v>
      </c>
      <c r="M423" s="3" t="str">
        <f>IFERROR(__xludf.DUMMYFUNCTION("""COMPUTED_VALUE"""),"Approve")</f>
        <v>Approve</v>
      </c>
      <c r="N423" s="3" t="str">
        <f>IFERROR(__xludf.DUMMYFUNCTION("""COMPUTED_VALUE"""),"Normal")</f>
        <v>Normal</v>
      </c>
      <c r="O423" s="3" t="str">
        <f>IFERROR(__xludf.DUMMYFUNCTION("""COMPUTED_VALUE"""),"Non Urgent")</f>
        <v>Non Urgent</v>
      </c>
      <c r="P423" s="7">
        <f>IFERROR(__xludf.DUMMYFUNCTION("""COMPUTED_VALUE"""),46050.953058865736)</f>
        <v>46050.95306</v>
      </c>
    </row>
    <row r="424">
      <c r="A424" s="4">
        <f>IFERROR(__xludf.DUMMYFUNCTION("""COMPUTED_VALUE"""),46035.70744361111)</f>
        <v>46035.70744</v>
      </c>
      <c r="B424" s="3" t="str">
        <f>IFERROR(__xludf.DUMMYFUNCTION("""COMPUTED_VALUE"""),"MOBBR0052")</f>
        <v>MOBBR0052</v>
      </c>
      <c r="C424" s="3" t="str">
        <f>IFERROR(__xludf.DUMMYFUNCTION("""COMPUTED_VALUE"""),"EJO")</f>
        <v>EJO</v>
      </c>
      <c r="D424" s="3" t="str">
        <f>IFERROR(__xludf.DUMMYFUNCTION("""COMPUTED_VALUE"""),"Menyusul")</f>
        <v>Menyusul</v>
      </c>
      <c r="E424" s="3" t="str">
        <f>IFERROR(__xludf.DUMMYFUNCTION("""COMPUTED_VALUE"""),"Hot water")</f>
        <v>Hot water</v>
      </c>
      <c r="F424" s="3" t="str">
        <f>IFERROR(__xludf.DUMMYFUNCTION("""COMPUTED_VALUE"""),"PRV")</f>
        <v>PRV</v>
      </c>
      <c r="G424" s="3" t="str">
        <f>IFERROR(__xludf.DUMMYFUNCTION("""COMPUTED_VALUE"""),"25P PN16 DN50")</f>
        <v>25P PN16 DN50</v>
      </c>
      <c r="H424" s="3" t="str">
        <f>IFERROR(__xludf.DUMMYFUNCTION("""COMPUTED_VALUE"""),"Spirax Sarco")</f>
        <v>Spirax Sarco</v>
      </c>
      <c r="I424" s="3">
        <f>IFERROR(__xludf.DUMMYFUNCTION("""COMPUTED_VALUE"""),1.0)</f>
        <v>1</v>
      </c>
      <c r="J424" s="3" t="str">
        <f>IFERROR(__xludf.DUMMYFUNCTION("""COMPUTED_VALUE"""),"Pcs")</f>
        <v>Pcs</v>
      </c>
      <c r="K424" s="5" t="str">
        <f>IFERROR(__xludf.DUMMYFUNCTION("""COMPUTED_VALUE"""),"https://www.tokopedia.com/cemerlangintijaya/pressure-reducing-valve-spirax-sarco-25p-pn16-dn50-prv-spirax-sarco-25p-2-inch?utm_source=google&amp;utm_medium=organic&amp;utm_campaign=pdp")</f>
        <v>https://www.tokopedia.com/cemerlangintijaya/pressure-reducing-valve-spirax-sarco-25p-pn16-dn50-prv-spirax-sarco-25p-2-inch?utm_source=google&amp;utm_medium=organic&amp;utm_campaign=pdp</v>
      </c>
      <c r="L424" s="3" t="str">
        <f>IFERROR(__xludf.DUMMYFUNCTION("""COMPUTED_VALUE"""),"Penggantian PRV PHE Hot water")</f>
        <v>Penggantian PRV PHE Hot water</v>
      </c>
      <c r="M424" s="3" t="str">
        <f>IFERROR(__xludf.DUMMYFUNCTION("""COMPUTED_VALUE"""),"Approve")</f>
        <v>Approve</v>
      </c>
      <c r="N424" s="3" t="str">
        <f>IFERROR(__xludf.DUMMYFUNCTION("""COMPUTED_VALUE"""),"Normal")</f>
        <v>Normal</v>
      </c>
      <c r="O424" s="3" t="str">
        <f>IFERROR(__xludf.DUMMYFUNCTION("""COMPUTED_VALUE"""),"Non Urgent")</f>
        <v>Non Urgent</v>
      </c>
      <c r="P424" s="7">
        <f>IFERROR(__xludf.DUMMYFUNCTION("""COMPUTED_VALUE"""),46036.534351724535)</f>
        <v>46036.53435</v>
      </c>
    </row>
    <row r="425">
      <c r="A425" s="4">
        <f>IFERROR(__xludf.DUMMYFUNCTION("""COMPUTED_VALUE"""),46035.70894765046)</f>
        <v>46035.70895</v>
      </c>
      <c r="B425" s="3" t="str">
        <f>IFERROR(__xludf.DUMMYFUNCTION("""COMPUTED_VALUE"""),"MOBBR0053")</f>
        <v>MOBBR0053</v>
      </c>
      <c r="C425" s="3" t="str">
        <f>IFERROR(__xludf.DUMMYFUNCTION("""COMPUTED_VALUE"""),"EJO")</f>
        <v>EJO</v>
      </c>
      <c r="D425" s="3" t="str">
        <f>IFERROR(__xludf.DUMMYFUNCTION("""COMPUTED_VALUE"""),"Menyusul")</f>
        <v>Menyusul</v>
      </c>
      <c r="E425" s="3" t="str">
        <f>IFERROR(__xludf.DUMMYFUNCTION("""COMPUTED_VALUE"""),"Gas QC")</f>
        <v>Gas QC</v>
      </c>
      <c r="F425" s="3" t="str">
        <f>IFERROR(__xludf.DUMMYFUNCTION("""COMPUTED_VALUE"""),"Valve")</f>
        <v>Valve</v>
      </c>
      <c r="G425" s="3" t="str">
        <f>IFERROR(__xludf.DUMMYFUNCTION("""COMPUTED_VALUE"""),"NEW SWAGELOK SS-18RS12 NEEDLE VALVE SS18RS12")</f>
        <v>NEW SWAGELOK SS-18RS12 NEEDLE VALVE SS18RS12</v>
      </c>
      <c r="H425" s="3" t="str">
        <f>IFERROR(__xludf.DUMMYFUNCTION("""COMPUTED_VALUE"""),"SWAGELOK")</f>
        <v>SWAGELOK</v>
      </c>
      <c r="I425" s="3">
        <f>IFERROR(__xludf.DUMMYFUNCTION("""COMPUTED_VALUE"""),1.0)</f>
        <v>1</v>
      </c>
      <c r="J425" s="3" t="str">
        <f>IFERROR(__xludf.DUMMYFUNCTION("""COMPUTED_VALUE"""),"Pcs")</f>
        <v>Pcs</v>
      </c>
      <c r="K425" s="5" t="str">
        <f>IFERROR(__xludf.DUMMYFUNCTION("""COMPUTED_VALUE"""),"https://sbindustrialsupply.com/shop/new-swagelok-ss-18rs12-needle-valve-ss18rs12/?srsltid=AfmBOopSSiFirw9ebXl0Mk-8TsctcCYILCsDQKlydstY0am-VOxTbObl")</f>
        <v>https://sbindustrialsupply.com/shop/new-swagelok-ss-18rs12-needle-valve-ss18rs12/?srsltid=AfmBOopSSiFirw9ebXl0Mk-8TsctcCYILCsDQKlydstY0am-VOxTbObl</v>
      </c>
      <c r="L425" s="3" t="str">
        <f>IFERROR(__xludf.DUMMYFUNCTION("""COMPUTED_VALUE"""),"Penggantian Jalur Gas He yang Bocor")</f>
        <v>Penggantian Jalur Gas He yang Bocor</v>
      </c>
      <c r="M425" s="3" t="str">
        <f>IFERROR(__xludf.DUMMYFUNCTION("""COMPUTED_VALUE"""),"Approve")</f>
        <v>Approve</v>
      </c>
      <c r="N425" s="3" t="str">
        <f>IFERROR(__xludf.DUMMYFUNCTION("""COMPUTED_VALUE"""),"Normal")</f>
        <v>Normal</v>
      </c>
      <c r="O425" s="3" t="str">
        <f>IFERROR(__xludf.DUMMYFUNCTION("""COMPUTED_VALUE"""),"Non Urgent")</f>
        <v>Non Urgent</v>
      </c>
      <c r="P425" s="7">
        <f>IFERROR(__xludf.DUMMYFUNCTION("""COMPUTED_VALUE"""),46036.53418136574)</f>
        <v>46036.53418</v>
      </c>
    </row>
    <row r="426">
      <c r="A426" s="4">
        <f>IFERROR(__xludf.DUMMYFUNCTION("""COMPUTED_VALUE"""),46036.4085400463)</f>
        <v>46036.40854</v>
      </c>
      <c r="B426" s="3" t="str">
        <f>IFERROR(__xludf.DUMMYFUNCTION("""COMPUTED_VALUE"""),"RIABR0134")</f>
        <v>RIABR0134</v>
      </c>
      <c r="C426" s="3" t="str">
        <f>IFERROR(__xludf.DUMMYFUNCTION("""COMPUTED_VALUE"""),"EJO")</f>
        <v>EJO</v>
      </c>
      <c r="D426" s="3" t="str">
        <f>IFERROR(__xludf.DUMMYFUNCTION("""COMPUTED_VALUE"""),"EJO/2026/01/78")</f>
        <v>EJO/2026/01/78</v>
      </c>
      <c r="E426" s="3" t="str">
        <f>IFERROR(__xludf.DUMMYFUNCTION("""COMPUTED_VALUE"""),"N2 Generator")</f>
        <v>N2 Generator</v>
      </c>
      <c r="F426" s="3" t="str">
        <f>IFERROR(__xludf.DUMMYFUNCTION("""COMPUTED_VALUE"""),"Sensor Flow")</f>
        <v>Sensor Flow</v>
      </c>
      <c r="G426" s="3" t="str">
        <f>IFERROR(__xludf.DUMMYFUNCTION("""COMPUTED_VALUE"""),"Socket Sensor Flow 5 Lubang")</f>
        <v>Socket Sensor Flow 5 Lubang</v>
      </c>
      <c r="H426" s="3" t="str">
        <f>IFERROR(__xludf.DUMMYFUNCTION("""COMPUTED_VALUE"""),"Na")</f>
        <v>Na</v>
      </c>
      <c r="I426" s="3">
        <f>IFERROR(__xludf.DUMMYFUNCTION("""COMPUTED_VALUE"""),2.0)</f>
        <v>2</v>
      </c>
      <c r="J426" s="3" t="str">
        <f>IFERROR(__xludf.DUMMYFUNCTION("""COMPUTED_VALUE"""),"Pcs")</f>
        <v>Pcs</v>
      </c>
      <c r="K426" s="3" t="str">
        <f>IFERROR(__xludf.DUMMYFUNCTION("""COMPUTED_VALUE"""),"Socket Sensor Flow N2")</f>
        <v>Socket Sensor Flow N2</v>
      </c>
      <c r="L426" s="3" t="str">
        <f>IFERROR(__xludf.DUMMYFUNCTION("""COMPUTED_VALUE"""),"Tolong carikan ya dhil ini aku cari tokped shopee tidak ada yang sama persis, di dalam folder itu sudah lengkap dengan ukurannya, bila ada yang perlu ditanyakan info aja ya")</f>
        <v>Tolong carikan ya dhil ini aku cari tokped shopee tidak ada yang sama persis, di dalam folder itu sudah lengkap dengan ukurannya, bila ada yang perlu ditanyakan info aja ya</v>
      </c>
      <c r="M426" s="3" t="str">
        <f>IFERROR(__xludf.DUMMYFUNCTION("""COMPUTED_VALUE"""),"Approve")</f>
        <v>Approve</v>
      </c>
      <c r="N426" s="3" t="str">
        <f>IFERROR(__xludf.DUMMYFUNCTION("""COMPUTED_VALUE"""),"Normal")</f>
        <v>Normal</v>
      </c>
      <c r="O426" s="3" t="str">
        <f>IFERROR(__xludf.DUMMYFUNCTION("""COMPUTED_VALUE"""),"Non Urgent")</f>
        <v>Non Urgent</v>
      </c>
      <c r="P426" s="7">
        <f>IFERROR(__xludf.DUMMYFUNCTION("""COMPUTED_VALUE"""),46037.4114768287)</f>
        <v>46037.41148</v>
      </c>
    </row>
    <row r="427">
      <c r="A427" s="4">
        <f>IFERROR(__xludf.DUMMYFUNCTION("""COMPUTED_VALUE"""),46036.413528125)</f>
        <v>46036.41353</v>
      </c>
      <c r="B427" s="3" t="str">
        <f>IFERROR(__xludf.DUMMYFUNCTION("""COMPUTED_VALUE"""),"RIABR0135")</f>
        <v>RIABR0135</v>
      </c>
      <c r="C427" s="3" t="str">
        <f>IFERROR(__xludf.DUMMYFUNCTION("""COMPUTED_VALUE"""),"Consumable")</f>
        <v>Consumable</v>
      </c>
      <c r="D427" s="3" t="str">
        <f>IFERROR(__xludf.DUMMYFUNCTION("""COMPUTED_VALUE"""),"-")</f>
        <v>-</v>
      </c>
      <c r="E427" s="3" t="str">
        <f>IFERROR(__xludf.DUMMYFUNCTION("""COMPUTED_VALUE"""),"All Area")</f>
        <v>All Area</v>
      </c>
      <c r="F427" s="3" t="str">
        <f>IFERROR(__xludf.DUMMYFUNCTION("""COMPUTED_VALUE"""),"Blower")</f>
        <v>Blower</v>
      </c>
      <c r="G427" s="3" t="str">
        <f>IFERROR(__xludf.DUMMYFUNCTION("""COMPUTED_VALUE"""),"Blower portable")</f>
        <v>Blower portable</v>
      </c>
      <c r="H427" s="3" t="str">
        <f>IFERROR(__xludf.DUMMYFUNCTION("""COMPUTED_VALUE"""),"Bosch")</f>
        <v>Bosch</v>
      </c>
      <c r="I427" s="3">
        <f>IFERROR(__xludf.DUMMYFUNCTION("""COMPUTED_VALUE"""),1.0)</f>
        <v>1</v>
      </c>
      <c r="J427" s="3" t="str">
        <f>IFERROR(__xludf.DUMMYFUNCTION("""COMPUTED_VALUE"""),"Set")</f>
        <v>Set</v>
      </c>
      <c r="K427" s="5" t="str">
        <f>IFERROR(__xludf.DUMMYFUNCTION("""COMPUTED_VALUE"""),"https://www.tokopedia.com/bosch-tools-authorized-snt/bosch-mesin-blower-tangan-cordless-gbl-18v-750-hand-blower-18-v-gbl18v-unit-only-1731137586110039528?extParam=ivf%3Dfalse%26keyword%3Dblower+portable+bosch%26search_id%3D202511110233215B8ADD2A5D98B1224A"&amp;"LM%26src%3Dsearch&amp;t_id=1762828426571&amp;t_st=1&amp;t_pp=search_result&amp;t_efo=search_pure_goods_card&amp;t_ef=goods_search&amp;t_sm=&amp;t_spt=search_result")</f>
        <v>https://www.tokopedia.com/bosch-tools-authorized-snt/bosch-mesin-blower-tangan-cordless-gbl-18v-750-hand-blower-18-v-gbl18v-unit-only-1731137586110039528?extParam=ivf%3Dfalse%26keyword%3Dblower+portable+bosch%26search_id%3D202511110233215B8ADD2A5D98B1224ALM%26src%3Dsearch&amp;t_id=1762828426571&amp;t_st=1&amp;t_pp=search_result&amp;t_efo=search_pure_goods_card&amp;t_ef=goods_search&amp;t_sm=&amp;t_spt=search_result</v>
      </c>
      <c r="L427" s="3" t="str">
        <f>IFERROR(__xludf.DUMMYFUNCTION("""COMPUTED_VALUE"""),"Untuk cleaning panel, cleaning AC, dll untuk cleaning yg tidak bisa menggunakan air")</f>
        <v>Untuk cleaning panel, cleaning AC, dll untuk cleaning yg tidak bisa menggunakan air</v>
      </c>
      <c r="M427" s="3" t="str">
        <f>IFERROR(__xludf.DUMMYFUNCTION("""COMPUTED_VALUE"""),"Approve")</f>
        <v>Approve</v>
      </c>
      <c r="N427" s="3" t="str">
        <f>IFERROR(__xludf.DUMMYFUNCTION("""COMPUTED_VALUE"""),"Normal")</f>
        <v>Normal</v>
      </c>
      <c r="O427" s="3" t="str">
        <f>IFERROR(__xludf.DUMMYFUNCTION("""COMPUTED_VALUE"""),"Non Urgent")</f>
        <v>Non Urgent</v>
      </c>
      <c r="P427" s="7">
        <f>IFERROR(__xludf.DUMMYFUNCTION("""COMPUTED_VALUE"""),46037.41597880787)</f>
        <v>46037.41598</v>
      </c>
    </row>
    <row r="428">
      <c r="A428" s="4">
        <f>IFERROR(__xludf.DUMMYFUNCTION("""COMPUTED_VALUE"""),46040.00858920139)</f>
        <v>46040.00859</v>
      </c>
      <c r="B428" s="3" t="str">
        <f>IFERROR(__xludf.DUMMYFUNCTION("""COMPUTED_VALUE"""),"ROSBR0073")</f>
        <v>ROSBR0073</v>
      </c>
      <c r="C428" s="3" t="str">
        <f>IFERROR(__xludf.DUMMYFUNCTION("""COMPUTED_VALUE"""),"EJO")</f>
        <v>EJO</v>
      </c>
      <c r="D428" s="3" t="str">
        <f>IFERROR(__xludf.DUMMYFUNCTION("""COMPUTED_VALUE"""),"EJO/2026/01/71")</f>
        <v>EJO/2026/01/71</v>
      </c>
      <c r="E428" s="3" t="str">
        <f>IFERROR(__xludf.DUMMYFUNCTION("""COMPUTED_VALUE"""),"Filling")</f>
        <v>Filling</v>
      </c>
      <c r="F428" s="3" t="str">
        <f>IFERROR(__xludf.DUMMYFUNCTION("""COMPUTED_VALUE"""),"Gasket ferrule ")</f>
        <v>Gasket ferrule </v>
      </c>
      <c r="G428" s="3" t="str">
        <f>IFERROR(__xludf.DUMMYFUNCTION("""COMPUTED_VALUE"""),"gasket feruule 
3/4 inch
material silicone
warna putih ")</f>
        <v>gasket feruule 
3/4 inch
material silicone
warna putih </v>
      </c>
      <c r="H428" s="3" t="str">
        <f>IFERROR(__xludf.DUMMYFUNCTION("""COMPUTED_VALUE"""),"universal ")</f>
        <v>universal </v>
      </c>
      <c r="I428" s="3">
        <f>IFERROR(__xludf.DUMMYFUNCTION("""COMPUTED_VALUE"""),25.0)</f>
        <v>25</v>
      </c>
      <c r="J428" s="3" t="str">
        <f>IFERROR(__xludf.DUMMYFUNCTION("""COMPUTED_VALUE"""),"pcs")</f>
        <v>pcs</v>
      </c>
      <c r="K428" s="3" t="str">
        <f>IFERROR(__xludf.DUMMYFUNCTION("""COMPUTED_VALUE"""),"-")</f>
        <v>-</v>
      </c>
      <c r="L428" s="3" t="str">
        <f>IFERROR(__xludf.DUMMYFUNCTION("""COMPUTED_VALUE"""),"tolong belikan gasket ferrule buat filling yang material silikone yang berwarna putih ")</f>
        <v>tolong belikan gasket ferrule buat filling yang material silikone yang berwarna putih </v>
      </c>
      <c r="M428" s="3" t="str">
        <f>IFERROR(__xludf.DUMMYFUNCTION("""COMPUTED_VALUE"""),"Approve")</f>
        <v>Approve</v>
      </c>
      <c r="N428" s="3" t="str">
        <f>IFERROR(__xludf.DUMMYFUNCTION("""COMPUTED_VALUE"""),"Normal")</f>
        <v>Normal</v>
      </c>
      <c r="O428" s="3" t="str">
        <f>IFERROR(__xludf.DUMMYFUNCTION("""COMPUTED_VALUE"""),"Non Urgent")</f>
        <v>Non Urgent</v>
      </c>
      <c r="P428" s="7">
        <f>IFERROR(__xludf.DUMMYFUNCTION("""COMPUTED_VALUE"""),46050.9537024537)</f>
        <v>46050.9537</v>
      </c>
    </row>
    <row r="429">
      <c r="A429" s="4">
        <f>IFERROR(__xludf.DUMMYFUNCTION("""COMPUTED_VALUE"""),46040.02310868056)</f>
        <v>46040.02311</v>
      </c>
      <c r="B429" s="3" t="str">
        <f>IFERROR(__xludf.DUMMYFUNCTION("""COMPUTED_VALUE"""),"ROSBR0074")</f>
        <v>ROSBR0074</v>
      </c>
      <c r="C429" s="3" t="str">
        <f>IFERROR(__xludf.DUMMYFUNCTION("""COMPUTED_VALUE"""),"Critical Part")</f>
        <v>Critical Part</v>
      </c>
      <c r="D429" s="3" t="str">
        <f>IFERROR(__xludf.DUMMYFUNCTION("""COMPUTED_VALUE"""),"NA")</f>
        <v>NA</v>
      </c>
      <c r="E429" s="3" t="str">
        <f>IFERROR(__xludf.DUMMYFUNCTION("""COMPUTED_VALUE"""),"capping")</f>
        <v>capping</v>
      </c>
      <c r="F429" s="3" t="str">
        <f>IFERROR(__xludf.DUMMYFUNCTION("""COMPUTED_VALUE"""),"Oring capping zometa")</f>
        <v>Oring capping zometa</v>
      </c>
      <c r="G429" s="3" t="str">
        <f>IFERROR(__xludf.DUMMYFUNCTION("""COMPUTED_VALUE"""),"oring capping Zometa 
ID: 31.71mm
tebal: 2.5mm
material: silicone merah")</f>
        <v>oring capping Zometa 
ID: 31.71mm
tebal: 2.5mm
material: silicone merah</v>
      </c>
      <c r="H429" s="3" t="str">
        <f>IFERROR(__xludf.DUMMYFUNCTION("""COMPUTED_VALUE"""),"universal ")</f>
        <v>universal </v>
      </c>
      <c r="I429" s="3">
        <f>IFERROR(__xludf.DUMMYFUNCTION("""COMPUTED_VALUE"""),25.0)</f>
        <v>25</v>
      </c>
      <c r="J429" s="3" t="str">
        <f>IFERROR(__xludf.DUMMYFUNCTION("""COMPUTED_VALUE"""),"pcs")</f>
        <v>pcs</v>
      </c>
      <c r="K429" s="3" t="str">
        <f>IFERROR(__xludf.DUMMYFUNCTION("""COMPUTED_VALUE"""),"-")</f>
        <v>-</v>
      </c>
      <c r="L429" s="3" t="str">
        <f>IFERROR(__xludf.DUMMYFUNCTION("""COMPUTED_VALUE"""),"-")</f>
        <v>-</v>
      </c>
      <c r="M429" s="3" t="str">
        <f>IFERROR(__xludf.DUMMYFUNCTION("""COMPUTED_VALUE"""),"Approve")</f>
        <v>Approve</v>
      </c>
      <c r="N429" s="3" t="str">
        <f>IFERROR(__xludf.DUMMYFUNCTION("""COMPUTED_VALUE"""),"Normal")</f>
        <v>Normal</v>
      </c>
      <c r="O429" s="3" t="str">
        <f>IFERROR(__xludf.DUMMYFUNCTION("""COMPUTED_VALUE"""),"Non Urgent")</f>
        <v>Non Urgent</v>
      </c>
      <c r="P429" s="7">
        <f>IFERROR(__xludf.DUMMYFUNCTION("""COMPUTED_VALUE"""),46050.954008472225)</f>
        <v>46050.95401</v>
      </c>
    </row>
    <row r="430">
      <c r="A430" s="4">
        <f>IFERROR(__xludf.DUMMYFUNCTION("""COMPUTED_VALUE"""),46041.40846489583)</f>
        <v>46041.40846</v>
      </c>
      <c r="B430" s="3" t="str">
        <f>IFERROR(__xludf.DUMMYFUNCTION("""COMPUTED_VALUE"""),"MRNBR0096")</f>
        <v>MRNBR0096</v>
      </c>
      <c r="C430" s="3" t="str">
        <f>IFERROR(__xludf.DUMMYFUNCTION("""COMPUTED_VALUE"""),"EJO")</f>
        <v>EJO</v>
      </c>
      <c r="D430" s="3" t="str">
        <f>IFERROR(__xludf.DUMMYFUNCTION("""COMPUTED_VALUE"""),"EJO/2025/09/129")</f>
        <v>EJO/2025/09/129</v>
      </c>
      <c r="E430" s="3" t="str">
        <f>IFERROR(__xludf.DUMMYFUNCTION("""COMPUTED_VALUE"""),"POU IPC")</f>
        <v>POU IPC</v>
      </c>
      <c r="F430" s="3" t="str">
        <f>IFERROR(__xludf.DUMMYFUNCTION("""COMPUTED_VALUE"""),"Diaphragm valve")</f>
        <v>Diaphragm valve</v>
      </c>
      <c r="G430" s="3" t="str">
        <f>IFERROR(__xludf.DUMMYFUNCTION("""COMPUTED_VALUE"""),"9612 10M 01TS")</f>
        <v>9612 10M 01TS</v>
      </c>
      <c r="H430" s="3" t="str">
        <f>IFERROR(__xludf.DUMMYFUNCTION("""COMPUTED_VALUE"""),"GEMU")</f>
        <v>GEMU</v>
      </c>
      <c r="I430" s="3">
        <f>IFERROR(__xludf.DUMMYFUNCTION("""COMPUTED_VALUE"""),2.0)</f>
        <v>2</v>
      </c>
      <c r="J430" s="3" t="str">
        <f>IFERROR(__xludf.DUMMYFUNCTION("""COMPUTED_VALUE"""),"pcs")</f>
        <v>pcs</v>
      </c>
      <c r="K430" s="5" t="str">
        <f>IFERROR(__xludf.DUMMYFUNCTION("""COMPUTED_VALUE"""),"https://www.gemu-group.com/en_SE/shop/replacement-actuators-for-diaphragm-valves/gemu-9612-/9612-10m01ts/pid-88079321")</f>
        <v>https://www.gemu-group.com/en_SE/shop/replacement-actuators-for-diaphragm-valves/gemu-9612-/9612-10m01ts/pid-88079321</v>
      </c>
      <c r="L430" s="3" t="str">
        <f>IFERROR(__xludf.DUMMYFUNCTION("""COMPUTED_VALUE"""),"Untuk mengganti stock filling dan spare utility")</f>
        <v>Untuk mengganti stock filling dan spare utility</v>
      </c>
      <c r="M430" s="3" t="str">
        <f>IFERROR(__xludf.DUMMYFUNCTION("""COMPUTED_VALUE"""),"Approve")</f>
        <v>Approve</v>
      </c>
      <c r="N430" s="3" t="str">
        <f>IFERROR(__xludf.DUMMYFUNCTION("""COMPUTED_VALUE"""),"Normal")</f>
        <v>Normal</v>
      </c>
      <c r="O430" s="3" t="str">
        <f>IFERROR(__xludf.DUMMYFUNCTION("""COMPUTED_VALUE"""),"Non Urgent")</f>
        <v>Non Urgent</v>
      </c>
      <c r="P430" s="7">
        <f>IFERROR(__xludf.DUMMYFUNCTION("""COMPUTED_VALUE"""),46048.623099641205)</f>
        <v>46048.6231</v>
      </c>
    </row>
    <row r="431">
      <c r="A431" s="4">
        <f>IFERROR(__xludf.DUMMYFUNCTION("""COMPUTED_VALUE"""),46041.41471111111)</f>
        <v>46041.41471</v>
      </c>
      <c r="B431" s="3" t="str">
        <f>IFERROR(__xludf.DUMMYFUNCTION("""COMPUTED_VALUE"""),"MRNBR0097")</f>
        <v>MRNBR0097</v>
      </c>
      <c r="C431" s="3" t="str">
        <f>IFERROR(__xludf.DUMMYFUNCTION("""COMPUTED_VALUE"""),"EJO")</f>
        <v>EJO</v>
      </c>
      <c r="D431" s="3" t="str">
        <f>IFERROR(__xludf.DUMMYFUNCTION("""COMPUTED_VALUE"""),"EJO/2025/11/139")</f>
        <v>EJO/2025/11/139</v>
      </c>
      <c r="E431" s="3" t="str">
        <f>IFERROR(__xludf.DUMMYFUNCTION("""COMPUTED_VALUE"""),"Toilet")</f>
        <v>Toilet</v>
      </c>
      <c r="F431" s="3" t="str">
        <f>IFERROR(__xludf.DUMMYFUNCTION("""COMPUTED_VALUE"""),"Drain cleaner")</f>
        <v>Drain cleaner</v>
      </c>
      <c r="G431" s="3" t="str">
        <f>IFERROR(__xludf.DUMMYFUNCTION("""COMPUTED_VALUE"""),"Mesin saluran pipa air mampet electric drain cleaner GQ 75 - Paket 30 Meter")</f>
        <v>Mesin saluran pipa air mampet electric drain cleaner GQ 75 - Paket 30 Meter</v>
      </c>
      <c r="H431" s="3" t="str">
        <f>IFERROR(__xludf.DUMMYFUNCTION("""COMPUTED_VALUE"""),"krisbow")</f>
        <v>krisbow</v>
      </c>
      <c r="I431" s="3">
        <f>IFERROR(__xludf.DUMMYFUNCTION("""COMPUTED_VALUE"""),1.0)</f>
        <v>1</v>
      </c>
      <c r="J431" s="3" t="str">
        <f>IFERROR(__xludf.DUMMYFUNCTION("""COMPUTED_VALUE"""),"unit")</f>
        <v>unit</v>
      </c>
      <c r="K431" s="5" t="str">
        <f>IFERROR(__xludf.DUMMYFUNCTION("""COMPUTED_VALUE"""),"https://www.tokopedia.com/sumberpompateknik/mesin-saluran-pipa-air-mampet-electric-drain-cleaner-gq-75-1731874439253165951?extParam=ivf%3Dfalse%26keyword%3Ddrain+cleaner%26search_id%3D20260119024343EF0D3930A7B6C905837W%26src%3Dsearch&amp;t_id=1768790653941&amp;t_"&amp;"st=5&amp;t_pp=search_result&amp;t_efo=search_pure_goods_card&amp;t_ef=goods_search&amp;t_sm=&amp;t_spt=search_result")</f>
        <v>https://www.tokopedia.com/sumberpompateknik/mesin-saluran-pipa-air-mampet-electric-drain-cleaner-gq-75-1731874439253165951?extParam=ivf%3Dfalse%26keyword%3Ddrain+cleaner%26search_id%3D20260119024343EF0D3930A7B6C905837W%26src%3Dsearch&amp;t_id=1768790653941&amp;t_st=5&amp;t_pp=search_result&amp;t_efo=search_pure_goods_card&amp;t_ef=goods_search&amp;t_sm=&amp;t_spt=search_result</v>
      </c>
      <c r="L431" s="3" t="str">
        <f>IFERROR(__xludf.DUMMYFUNCTION("""COMPUTED_VALUE"""),"Untuk toilet mampet di produksi")</f>
        <v>Untuk toilet mampet di produksi</v>
      </c>
      <c r="M431" s="3" t="str">
        <f>IFERROR(__xludf.DUMMYFUNCTION("""COMPUTED_VALUE"""),"Approve")</f>
        <v>Approve</v>
      </c>
      <c r="N431" s="3" t="str">
        <f>IFERROR(__xludf.DUMMYFUNCTION("""COMPUTED_VALUE"""),"Normal")</f>
        <v>Normal</v>
      </c>
      <c r="O431" s="3" t="str">
        <f>IFERROR(__xludf.DUMMYFUNCTION("""COMPUTED_VALUE"""),"Non Urgent")</f>
        <v>Non Urgent</v>
      </c>
      <c r="P431" s="7">
        <f>IFERROR(__xludf.DUMMYFUNCTION("""COMPUTED_VALUE"""),46048.62226775463)</f>
        <v>46048.62227</v>
      </c>
    </row>
    <row r="432">
      <c r="A432" s="4">
        <f>IFERROR(__xludf.DUMMYFUNCTION("""COMPUTED_VALUE"""),46043.298426030095)</f>
        <v>46043.29843</v>
      </c>
      <c r="B432" s="3" t="str">
        <f>IFERROR(__xludf.DUMMYFUNCTION("""COMPUTED_VALUE"""),"NDSBR0049")</f>
        <v>NDSBR0049</v>
      </c>
      <c r="C432" s="3" t="str">
        <f>IFERROR(__xludf.DUMMYFUNCTION("""COMPUTED_VALUE"""),"EJO")</f>
        <v>EJO</v>
      </c>
      <c r="D432" s="3" t="str">
        <f>IFERROR(__xludf.DUMMYFUNCTION("""COMPUTED_VALUE"""),"EJO/2026/01/52")</f>
        <v>EJO/2026/01/52</v>
      </c>
      <c r="E432" s="3" t="str">
        <f>IFERROR(__xludf.DUMMYFUNCTION("""COMPUTED_VALUE"""),"Fumehood")</f>
        <v>Fumehood</v>
      </c>
      <c r="F432" s="3" t="str">
        <f>IFERROR(__xludf.DUMMYFUNCTION("""COMPUTED_VALUE"""),"Lampu LED 25 Watt")</f>
        <v>Lampu LED 25 Watt</v>
      </c>
      <c r="G432" s="3" t="str">
        <f>IFERROR(__xludf.DUMMYFUNCTION("""COMPUTED_VALUE"""),"Sesuai Gambar ")</f>
        <v>Sesuai Gambar </v>
      </c>
      <c r="H432" s="3" t="str">
        <f>IFERROR(__xludf.DUMMYFUNCTION("""COMPUTED_VALUE"""),"-")</f>
        <v>-</v>
      </c>
      <c r="I432" s="3">
        <f>IFERROR(__xludf.DUMMYFUNCTION("""COMPUTED_VALUE"""),3.0)</f>
        <v>3</v>
      </c>
      <c r="J432" s="3" t="str">
        <f>IFERROR(__xludf.DUMMYFUNCTION("""COMPUTED_VALUE"""),"Pcs")</f>
        <v>Pcs</v>
      </c>
      <c r="K432" s="5" t="str">
        <f>IFERROR(__xludf.DUMMYFUNCTION("""COMPUTED_VALUE"""),"https://www.tokopedia.com/led-lighting-store/philips-tforce-true-force-essential-led-25-w-25-w-25-watt-e27-6500-k?extParam=ivf%3Dfalse%26keyword%3Dlampu+led+philip+25+watt%26search_id%3D20260108065631320722549D17512858C2%26src%3Dsearch")</f>
        <v>https://www.tokopedia.com/led-lighting-store/philips-tforce-true-force-essential-led-25-w-25-w-25-watt-e27-6500-k?extParam=ivf%3Dfalse%26keyword%3Dlampu+led+philip+25+watt%26search_id%3D20260108065631320722549D17512858C2%26src%3Dsearch</v>
      </c>
      <c r="L432" s="3" t="str">
        <f>IFERROR(__xludf.DUMMYFUNCTION("""COMPUTED_VALUE"""),"25 watt")</f>
        <v>25 watt</v>
      </c>
      <c r="M432" s="3" t="str">
        <f>IFERROR(__xludf.DUMMYFUNCTION("""COMPUTED_VALUE"""),"Approve")</f>
        <v>Approve</v>
      </c>
      <c r="N432" s="3" t="str">
        <f>IFERROR(__xludf.DUMMYFUNCTION("""COMPUTED_VALUE"""),"Normal")</f>
        <v>Normal</v>
      </c>
      <c r="O432" s="3" t="str">
        <f>IFERROR(__xludf.DUMMYFUNCTION("""COMPUTED_VALUE"""),"Non Urgent")</f>
        <v>Non Urgent</v>
      </c>
      <c r="P432" s="7">
        <f>IFERROR(__xludf.DUMMYFUNCTION("""COMPUTED_VALUE"""),46050.261325590276)</f>
        <v>46050.26133</v>
      </c>
    </row>
    <row r="433">
      <c r="A433" s="4">
        <f>IFERROR(__xludf.DUMMYFUNCTION("""COMPUTED_VALUE"""),46043.96991226852)</f>
        <v>46043.96991</v>
      </c>
      <c r="B433" s="3" t="str">
        <f>IFERROR(__xludf.DUMMYFUNCTION("""COMPUTED_VALUE"""),"ANOBR0049")</f>
        <v>ANOBR0049</v>
      </c>
      <c r="C433" s="3" t="str">
        <f>IFERROR(__xludf.DUMMYFUNCTION("""COMPUTED_VALUE"""),"EJO")</f>
        <v>EJO</v>
      </c>
      <c r="D433" s="3" t="str">
        <f>IFERROR(__xludf.DUMMYFUNCTION("""COMPUTED_VALUE"""),"EJO/2025/12/105")</f>
        <v>EJO/2025/12/105</v>
      </c>
      <c r="E433" s="3" t="str">
        <f>IFERROR(__xludf.DUMMYFUNCTION("""COMPUTED_VALUE"""),"Isolator sampling")</f>
        <v>Isolator sampling</v>
      </c>
      <c r="F433" s="3" t="str">
        <f>IFERROR(__xludf.DUMMYFUNCTION("""COMPUTED_VALUE"""),"manual valve 1.5 inch")</f>
        <v>manual valve 1.5 inch</v>
      </c>
      <c r="G433" s="3" t="str">
        <f>IFERROR(__xludf.DUMMYFUNCTION("""COMPUTED_VALUE"""),"manual valve CMB 1.5"" SS 316L ")</f>
        <v>manual valve CMB 1.5" SS 316L </v>
      </c>
      <c r="H433" s="3" t="str">
        <f>IFERROR(__xludf.DUMMYFUNCTION("""COMPUTED_VALUE"""),"-")</f>
        <v>-</v>
      </c>
      <c r="I433" s="3">
        <f>IFERROR(__xludf.DUMMYFUNCTION("""COMPUTED_VALUE"""),2.0)</f>
        <v>2</v>
      </c>
      <c r="J433" s="3" t="str">
        <f>IFERROR(__xludf.DUMMYFUNCTION("""COMPUTED_VALUE"""),"PCS")</f>
        <v>PCS</v>
      </c>
      <c r="K433" s="5" t="str">
        <f>IFERROR(__xludf.DUMMYFUNCTION("""COMPUTED_VALUE"""),"https://www.ebay.com/itm/224340714321")</f>
        <v>https://www.ebay.com/itm/224340714321</v>
      </c>
      <c r="L433" s="3" t="str">
        <f>IFERROR(__xludf.DUMMYFUNCTION("""COMPUTED_VALUE"""),"Keperluan untuk ganti manual valve di jalur PW  untuk bilas cacth port")</f>
        <v>Keperluan untuk ganti manual valve di jalur PW  untuk bilas cacth port</v>
      </c>
      <c r="M433" s="3" t="str">
        <f>IFERROR(__xludf.DUMMYFUNCTION("""COMPUTED_VALUE"""),"Approve")</f>
        <v>Approve</v>
      </c>
      <c r="N433" s="3" t="str">
        <f>IFERROR(__xludf.DUMMYFUNCTION("""COMPUTED_VALUE"""),"Normal")</f>
        <v>Normal</v>
      </c>
      <c r="O433" s="3" t="str">
        <f>IFERROR(__xludf.DUMMYFUNCTION("""COMPUTED_VALUE"""),"Non Urgent")</f>
        <v>Non Urgent</v>
      </c>
      <c r="P433" s="7">
        <f>IFERROR(__xludf.DUMMYFUNCTION("""COMPUTED_VALUE"""),46050.88319275463)</f>
        <v>46050.88319</v>
      </c>
    </row>
    <row r="434">
      <c r="A434" s="4">
        <f>IFERROR(__xludf.DUMMYFUNCTION("""COMPUTED_VALUE"""),46044.487892129626)</f>
        <v>46044.48789</v>
      </c>
      <c r="B434" s="3" t="str">
        <f>IFERROR(__xludf.DUMMYFUNCTION("""COMPUTED_VALUE"""),"RIABR0136")</f>
        <v>RIABR0136</v>
      </c>
      <c r="C434" s="3" t="str">
        <f>IFERROR(__xludf.DUMMYFUNCTION("""COMPUTED_VALUE"""),"EJO")</f>
        <v>EJO</v>
      </c>
      <c r="D434" s="3" t="str">
        <f>IFERROR(__xludf.DUMMYFUNCTION("""COMPUTED_VALUE"""),"EJO/2026/01/140")</f>
        <v>EJO/2026/01/140</v>
      </c>
      <c r="E434" s="3" t="str">
        <f>IFERROR(__xludf.DUMMYFUNCTION("""COMPUTED_VALUE"""),"Power Stacker Warehouse")</f>
        <v>Power Stacker Warehouse</v>
      </c>
      <c r="F434" s="3" t="str">
        <f>IFERROR(__xludf.DUMMYFUNCTION("""COMPUTED_VALUE"""),"Baterai")</f>
        <v>Baterai</v>
      </c>
      <c r="G434" s="3" t="str">
        <f>IFERROR(__xludf.DUMMYFUNCTION("""COMPUTED_VALUE"""),"Spesifikasi Aki Mobil GS Gold Shine N100 (95E41R) Maintenance Free: Jis
Type: N100 (95E41R)
Tegangan: 12 V (Volt)
Kapasitas: 100 Ah (Ampere Hour)
Dimensi Panjang x Lebar x Tinggi : 415 x 173 x 206 mm
Total Height: 237 mm
Remaks: handle Acid
Volume("&amp;"Liter): 7.20")</f>
        <v>Spesifikasi Aki Mobil GS Gold Shine N100 (95E41R) Maintenance Free: Jis
Type: N100 (95E41R)
Tegangan: 12 V (Volt)
Kapasitas: 100 Ah (Ampere Hour)
Dimensi Panjang x Lebar x Tinggi : 415 x 173 x 206 mm
Total Height: 237 mm
Remaks: handle Acid
Volume(Liter): 7.20</v>
      </c>
      <c r="H434" s="3" t="str">
        <f>IFERROR(__xludf.DUMMYFUNCTION("""COMPUTED_VALUE"""),"Gold Shine")</f>
        <v>Gold Shine</v>
      </c>
      <c r="I434" s="3">
        <f>IFERROR(__xludf.DUMMYFUNCTION("""COMPUTED_VALUE"""),2.0)</f>
        <v>2</v>
      </c>
      <c r="J434" s="3" t="str">
        <f>IFERROR(__xludf.DUMMYFUNCTION("""COMPUTED_VALUE"""),"Pcs")</f>
        <v>Pcs</v>
      </c>
      <c r="K434" s="5" t="str">
        <f>IFERROR(__xludf.DUMMYFUNCTION("""COMPUTED_VALUE"""),"https://www.tokopedia.com/udmajubersamaaki/aki-mobil-n-100-95e41r-gs-gold-shine-aki-kering-n100-genset-excavator?extParam=ivf%3Dfalse%26keyword%3D95e41r%26search_id%3D202601220440527A614FD06C32542A25AY%26src%3Dsearch&amp;t_id=1769056452383&amp;t_st=5&amp;t_pp=search_"&amp;"result&amp;t_efo=search_pure_goods_card&amp;t_ef=goods_search&amp;t_sm=&amp;t_spt=search_result")</f>
        <v>https://www.tokopedia.com/udmajubersamaaki/aki-mobil-n-100-95e41r-gs-gold-shine-aki-kering-n100-genset-excavator?extParam=ivf%3Dfalse%26keyword%3D95e41r%26search_id%3D202601220440527A614FD06C32542A25AY%26src%3Dsearch&amp;t_id=1769056452383&amp;t_st=5&amp;t_pp=search_result&amp;t_efo=search_pure_goods_card&amp;t_ef=goods_search&amp;t_sm=&amp;t_spt=search_result</v>
      </c>
      <c r="L434" s="3" t="str">
        <f>IFERROR(__xludf.DUMMYFUNCTION("""COMPUTED_VALUE"""),"Untuk ganti baterai power stacker yang besar")</f>
        <v>Untuk ganti baterai power stacker yang besar</v>
      </c>
      <c r="M434" s="3" t="str">
        <f>IFERROR(__xludf.DUMMYFUNCTION("""COMPUTED_VALUE"""),"Approve")</f>
        <v>Approve</v>
      </c>
      <c r="N434" s="3" t="str">
        <f>IFERROR(__xludf.DUMMYFUNCTION("""COMPUTED_VALUE"""),"Normal")</f>
        <v>Normal</v>
      </c>
      <c r="O434" s="3" t="str">
        <f>IFERROR(__xludf.DUMMYFUNCTION("""COMPUTED_VALUE"""),"Non Urgent")</f>
        <v>Non Urgent</v>
      </c>
      <c r="P434" s="7">
        <f>IFERROR(__xludf.DUMMYFUNCTION("""COMPUTED_VALUE"""),46048.62328075232)</f>
        <v>46048.62328</v>
      </c>
    </row>
    <row r="435">
      <c r="A435" s="4">
        <f>IFERROR(__xludf.DUMMYFUNCTION("""COMPUTED_VALUE"""),46045.70816630787)</f>
        <v>46045.70817</v>
      </c>
      <c r="B435" s="3" t="str">
        <f>IFERROR(__xludf.DUMMYFUNCTION("""COMPUTED_VALUE"""),"ROSBR0075")</f>
        <v>ROSBR0075</v>
      </c>
      <c r="C435" s="3" t="str">
        <f>IFERROR(__xludf.DUMMYFUNCTION("""COMPUTED_VALUE"""),"Critical Part")</f>
        <v>Critical Part</v>
      </c>
      <c r="D435" s="3" t="str">
        <f>IFERROR(__xludf.DUMMYFUNCTION("""COMPUTED_VALUE"""),"NA")</f>
        <v>NA</v>
      </c>
      <c r="E435" s="3" t="str">
        <f>IFERROR(__xludf.DUMMYFUNCTION("""COMPUTED_VALUE"""),"Washing ")</f>
        <v>Washing </v>
      </c>
      <c r="F435" s="3" t="str">
        <f>IFERROR(__xludf.DUMMYFUNCTION("""COMPUTED_VALUE"""),"Shaft Puhser Washing")</f>
        <v>Shaft Puhser Washing</v>
      </c>
      <c r="G435" s="3" t="str">
        <f>IFERROR(__xludf.DUMMYFUNCTION("""COMPUTED_VALUE"""),"Shaft Puhser Washing Uk 10 x 14X 52 mm
Machining Plate Mat'l SUS 304
")</f>
        <v>Shaft Puhser Washing Uk 10 x 14X 52 mm
Machining Plate Mat'l SUS 304
</v>
      </c>
      <c r="H435" s="3" t="str">
        <f>IFERROR(__xludf.DUMMYFUNCTION("""COMPUTED_VALUE"""),"Agru")</f>
        <v>Agru</v>
      </c>
      <c r="I435" s="3">
        <f>IFERROR(__xludf.DUMMYFUNCTION("""COMPUTED_VALUE"""),1.0)</f>
        <v>1</v>
      </c>
      <c r="J435" s="3" t="str">
        <f>IFERROR(__xludf.DUMMYFUNCTION("""COMPUTED_VALUE"""),"set")</f>
        <v>set</v>
      </c>
      <c r="K435" s="5" t="str">
        <f>IFERROR(__xludf.DUMMYFUNCTION("""COMPUTED_VALUE"""),"https://drive.google.com/drive/folders/1m7cuEfuIYcCM-b0C9rT7fPMFnzzvke3B?usp=drive_link")</f>
        <v>https://drive.google.com/drive/folders/1m7cuEfuIYcCM-b0C9rT7fPMFnzzvke3B?usp=drive_link</v>
      </c>
      <c r="L435" s="3" t="str">
        <f>IFERROR(__xludf.DUMMYFUNCTION("""COMPUTED_VALUE"""),"-")</f>
        <v>-</v>
      </c>
      <c r="M435" s="3" t="str">
        <f>IFERROR(__xludf.DUMMYFUNCTION("""COMPUTED_VALUE"""),"Approve")</f>
        <v>Approve</v>
      </c>
      <c r="N435" s="3" t="str">
        <f>IFERROR(__xludf.DUMMYFUNCTION("""COMPUTED_VALUE"""),"Normal")</f>
        <v>Normal</v>
      </c>
      <c r="O435" s="3" t="str">
        <f>IFERROR(__xludf.DUMMYFUNCTION("""COMPUTED_VALUE"""),"Non Urgent")</f>
        <v>Non Urgent</v>
      </c>
      <c r="P435" s="7">
        <f>IFERROR(__xludf.DUMMYFUNCTION("""COMPUTED_VALUE"""),46050.95464265047)</f>
        <v>46050.95464</v>
      </c>
    </row>
    <row r="436">
      <c r="A436" s="4">
        <f>IFERROR(__xludf.DUMMYFUNCTION("""COMPUTED_VALUE"""),46045.720527638885)</f>
        <v>46045.72053</v>
      </c>
      <c r="B436" s="3" t="str">
        <f>IFERROR(__xludf.DUMMYFUNCTION("""COMPUTED_VALUE"""),"NDSBR0050")</f>
        <v>NDSBR0050</v>
      </c>
      <c r="C436" s="3" t="str">
        <f>IFERROR(__xludf.DUMMYFUNCTION("""COMPUTED_VALUE"""),"EJO")</f>
        <v>EJO</v>
      </c>
      <c r="D436" s="3" t="str">
        <f>IFERROR(__xludf.DUMMYFUNCTION("""COMPUTED_VALUE"""),"EJO/2025/10/130")</f>
        <v>EJO/2025/10/130</v>
      </c>
      <c r="E436" s="3" t="str">
        <f>IFERROR(__xludf.DUMMYFUNCTION("""COMPUTED_VALUE"""),"Blister")</f>
        <v>Blister</v>
      </c>
      <c r="F436" s="3" t="str">
        <f>IFERROR(__xludf.DUMMYFUNCTION("""COMPUTED_VALUE"""),"Cover Seluncuran Pass through")</f>
        <v>Cover Seluncuran Pass through</v>
      </c>
      <c r="G436" s="3" t="str">
        <f>IFERROR(__xludf.DUMMYFUNCTION("""COMPUTED_VALUE"""),"Sesuai Gambar")</f>
        <v>Sesuai Gambar</v>
      </c>
      <c r="H436" s="3" t="str">
        <f>IFERROR(__xludf.DUMMYFUNCTION("""COMPUTED_VALUE"""),"-")</f>
        <v>-</v>
      </c>
      <c r="I436" s="3">
        <f>IFERROR(__xludf.DUMMYFUNCTION("""COMPUTED_VALUE"""),1.0)</f>
        <v>1</v>
      </c>
      <c r="J436" s="3" t="str">
        <f>IFERROR(__xludf.DUMMYFUNCTION("""COMPUTED_VALUE"""),"Pcs")</f>
        <v>Pcs</v>
      </c>
      <c r="K436" s="5" t="str">
        <f>IFERROR(__xludf.DUMMYFUNCTION("""COMPUTED_VALUE"""),"https://drive.google.com/drive/folders/1hjUKIVwNO-DLtFx2BFYHuQqIDNZnbISy?usp=drive_link")</f>
        <v>https://drive.google.com/drive/folders/1hjUKIVwNO-DLtFx2BFYHuQqIDNZnbISy?usp=drive_link</v>
      </c>
      <c r="L436" s="3" t="str">
        <f>IFERROR(__xludf.DUMMYFUNCTION("""COMPUTED_VALUE"""),"-")</f>
        <v>-</v>
      </c>
      <c r="M436" s="3" t="str">
        <f>IFERROR(__xludf.DUMMYFUNCTION("""COMPUTED_VALUE"""),"Approve")</f>
        <v>Approve</v>
      </c>
      <c r="N436" s="3" t="str">
        <f>IFERROR(__xludf.DUMMYFUNCTION("""COMPUTED_VALUE"""),"Normal")</f>
        <v>Normal</v>
      </c>
      <c r="O436" s="3" t="str">
        <f>IFERROR(__xludf.DUMMYFUNCTION("""COMPUTED_VALUE"""),"Non Urgent")</f>
        <v>Non Urgent</v>
      </c>
      <c r="P436" s="7">
        <f>IFERROR(__xludf.DUMMYFUNCTION("""COMPUTED_VALUE"""),46050.27945408565)</f>
        <v>46050.27945</v>
      </c>
    </row>
    <row r="437">
      <c r="A437" s="4">
        <f>IFERROR(__xludf.DUMMYFUNCTION("""COMPUTED_VALUE"""),46046.32567832176)</f>
        <v>46046.32568</v>
      </c>
      <c r="B437" s="3" t="str">
        <f>IFERROR(__xludf.DUMMYFUNCTION("""COMPUTED_VALUE"""),"ROSBR0076")</f>
        <v>ROSBR0076</v>
      </c>
      <c r="C437" s="3" t="str">
        <f>IFERROR(__xludf.DUMMYFUNCTION("""COMPUTED_VALUE"""),"Consumable")</f>
        <v>Consumable</v>
      </c>
      <c r="D437" s="3" t="str">
        <f>IFERROR(__xludf.DUMMYFUNCTION("""COMPUTED_VALUE"""),"NA ")</f>
        <v>NA </v>
      </c>
      <c r="E437" s="3" t="str">
        <f>IFERROR(__xludf.DUMMYFUNCTION("""COMPUTED_VALUE"""),"Autoclave Service ")</f>
        <v>Autoclave Service </v>
      </c>
      <c r="F437" s="3" t="str">
        <f>IFERROR(__xludf.DUMMYFUNCTION("""COMPUTED_VALUE"""),"Oil Seal valve modulating ")</f>
        <v>Oil Seal valve modulating </v>
      </c>
      <c r="G437" s="3" t="str">
        <f>IFERROR(__xludf.DUMMYFUNCTION("""COMPUTED_VALUE"""),"Oil Seal valve modulating 
Material : Viton
ID : 20mm
OD : 28mm
tinggi : 5mm ")</f>
        <v>Oil Seal valve modulating 
Material : Viton
ID : 20mm
OD : 28mm
tinggi : 5mm </v>
      </c>
      <c r="H437" s="3" t="str">
        <f>IFERROR(__xludf.DUMMYFUNCTION("""COMPUTED_VALUE"""),"viton")</f>
        <v>viton</v>
      </c>
      <c r="I437" s="3">
        <f>IFERROR(__xludf.DUMMYFUNCTION("""COMPUTED_VALUE"""),20.0)</f>
        <v>20</v>
      </c>
      <c r="J437" s="3" t="str">
        <f>IFERROR(__xludf.DUMMYFUNCTION("""COMPUTED_VALUE"""),"pcs")</f>
        <v>pcs</v>
      </c>
      <c r="K437" s="5" t="str">
        <f>IFERROR(__xludf.DUMMYFUNCTION("""COMPUTED_VALUE"""),"https://shopee.co.id/Oil-seal-TC-VITON-ID-20-OD-28-T-5-i.496394644.45000098139?xptdk=0b4bb3b5-300e-4757-b398-c8eaa2f9da98")</f>
        <v>https://shopee.co.id/Oil-seal-TC-VITON-ID-20-OD-28-T-5-i.496394644.45000098139?xptdk=0b4bb3b5-300e-4757-b398-c8eaa2f9da98</v>
      </c>
      <c r="L437" s="3" t="str">
        <f>IFERROR(__xludf.DUMMYFUNCTION("""COMPUTED_VALUE"""),"tolong belikan Oilseal vitonsesuai spesifikasi, buat peremajaan oil seal mesin autoclave service dan terminal 
belikan Oil seal saja, sebelumnya sudah pernah beli pakai patycash dengan link ini ")</f>
        <v>tolong belikan Oilseal vitonsesuai spesifikasi, buat peremajaan oil seal mesin autoclave service dan terminal 
belikan Oil seal saja, sebelumnya sudah pernah beli pakai patycash dengan link ini </v>
      </c>
      <c r="M437" s="3" t="str">
        <f>IFERROR(__xludf.DUMMYFUNCTION("""COMPUTED_VALUE"""),"Approve")</f>
        <v>Approve</v>
      </c>
      <c r="N437" s="3" t="str">
        <f>IFERROR(__xludf.DUMMYFUNCTION("""COMPUTED_VALUE"""),"Normal")</f>
        <v>Normal</v>
      </c>
      <c r="O437" s="3" t="str">
        <f>IFERROR(__xludf.DUMMYFUNCTION("""COMPUTED_VALUE"""),"Non Urgent")</f>
        <v>Non Urgent</v>
      </c>
      <c r="P437" s="7">
        <f>IFERROR(__xludf.DUMMYFUNCTION("""COMPUTED_VALUE"""),46050.95491854167)</f>
        <v>46050.95492</v>
      </c>
    </row>
    <row r="438">
      <c r="A438" s="4">
        <f>IFERROR(__xludf.DUMMYFUNCTION("""COMPUTED_VALUE"""),46047.86876768519)</f>
        <v>46047.86877</v>
      </c>
      <c r="B438" s="3" t="str">
        <f>IFERROR(__xludf.DUMMYFUNCTION("""COMPUTED_VALUE"""),"MRNBR0098")</f>
        <v>MRNBR0098</v>
      </c>
      <c r="C438" s="3" t="str">
        <f>IFERROR(__xludf.DUMMYFUNCTION("""COMPUTED_VALUE"""),"EJO")</f>
        <v>EJO</v>
      </c>
      <c r="D438" s="3" t="str">
        <f>IFERROR(__xludf.DUMMYFUNCTION("""COMPUTED_VALUE"""),"EJO/2025/12/99")</f>
        <v>EJO/2025/12/99</v>
      </c>
      <c r="E438" s="3" t="str">
        <f>IFERROR(__xludf.DUMMYFUNCTION("""COMPUTED_VALUE"""),"Roll opack")</f>
        <v>Roll opack</v>
      </c>
      <c r="F438" s="3" t="str">
        <f>IFERROR(__xludf.DUMMYFUNCTION("""COMPUTED_VALUE"""),"Rantai")</f>
        <v>Rantai</v>
      </c>
      <c r="G438" s="3" t="str">
        <f>IFERROR(__xludf.DUMMYFUNCTION("""COMPUTED_VALUE"""),"Rantai RS 35")</f>
        <v>Rantai RS 35</v>
      </c>
      <c r="H438" s="3" t="str">
        <f>IFERROR(__xludf.DUMMYFUNCTION("""COMPUTED_VALUE"""),"NA")</f>
        <v>NA</v>
      </c>
      <c r="I438" s="3">
        <f>IFERROR(__xludf.DUMMYFUNCTION("""COMPUTED_VALUE"""),1.0)</f>
        <v>1</v>
      </c>
      <c r="J438" s="3" t="str">
        <f>IFERROR(__xludf.DUMMYFUNCTION("""COMPUTED_VALUE"""),"set")</f>
        <v>set</v>
      </c>
      <c r="K438" s="5" t="str">
        <f>IFERROR(__xludf.DUMMYFUNCTION("""COMPUTED_VALUE"""),"https://www.tokopedia.com/primajayasentosa/rantai-rs-35-1-roller-chain-rs-35-single-1729809497911362949?extParam=ivf%3Dfalse%26keyword%3Drantai+rs+35%26search_id%3D2026012513524263923F49E524131501ZD%26src%3Dsearch&amp;t_id=1769348218558&amp;t_st=3&amp;t_pp=search_res"&amp;"ult&amp;t_efo=search_pure_goods_card&amp;t_ef=goods_search&amp;t_sm=&amp;t_spt=search_result")</f>
        <v>https://www.tokopedia.com/primajayasentosa/rantai-rs-35-1-roller-chain-rs-35-single-1729809497911362949?extParam=ivf%3Dfalse%26keyword%3Drantai+rs+35%26search_id%3D2026012513524263923F49E524131501ZD%26src%3Dsearch&amp;t_id=1769348218558&amp;t_st=3&amp;t_pp=search_result&amp;t_efo=search_pure_goods_card&amp;t_ef=goods_search&amp;t_sm=&amp;t_spt=search_result</v>
      </c>
      <c r="L438" s="3" t="str">
        <f>IFERROR(__xludf.DUMMYFUNCTION("""COMPUTED_VALUE"""),"Untuk lemari roll opack")</f>
        <v>Untuk lemari roll opack</v>
      </c>
      <c r="M438" s="3" t="str">
        <f>IFERROR(__xludf.DUMMYFUNCTION("""COMPUTED_VALUE"""),"Approve")</f>
        <v>Approve</v>
      </c>
      <c r="N438" s="3" t="str">
        <f>IFERROR(__xludf.DUMMYFUNCTION("""COMPUTED_VALUE"""),"Normal")</f>
        <v>Normal</v>
      </c>
      <c r="O438" s="3" t="str">
        <f>IFERROR(__xludf.DUMMYFUNCTION("""COMPUTED_VALUE"""),"Non Urgent")</f>
        <v>Non Urgent</v>
      </c>
      <c r="P438" s="7">
        <f>IFERROR(__xludf.DUMMYFUNCTION("""COMPUTED_VALUE"""),46048.61972805556)</f>
        <v>46048.61973</v>
      </c>
    </row>
    <row r="439">
      <c r="A439" s="4">
        <f>IFERROR(__xludf.DUMMYFUNCTION("""COMPUTED_VALUE"""),46049.929765520836)</f>
        <v>46049.92977</v>
      </c>
      <c r="B439" s="3" t="str">
        <f>IFERROR(__xludf.DUMMYFUNCTION("""COMPUTED_VALUE"""),"SFHBR0043")</f>
        <v>SFHBR0043</v>
      </c>
      <c r="C439" s="3" t="str">
        <f>IFERROR(__xludf.DUMMYFUNCTION("""COMPUTED_VALUE"""),"EJO")</f>
        <v>EJO</v>
      </c>
      <c r="D439" s="3" t="str">
        <f>IFERROR(__xludf.DUMMYFUNCTION("""COMPUTED_VALUE"""),"EJO/2025/05/64")</f>
        <v>EJO/2025/05/64</v>
      </c>
      <c r="E439" s="3" t="str">
        <f>IFERROR(__xludf.DUMMYFUNCTION("""COMPUTED_VALUE"""),"lantai 2")</f>
        <v>lantai 2</v>
      </c>
      <c r="F439" s="3" t="str">
        <f>IFERROR(__xludf.DUMMYFUNCTION("""COMPUTED_VALUE"""),"Cat Epoxy lantai PROPAN POLYFLOOR PRIMER PFP-241 2K SB(20KG - SET)")</f>
        <v>Cat Epoxy lantai PROPAN POLYFLOOR PRIMER PFP-241 2K SB(20KG - SET)</v>
      </c>
      <c r="G439" s="3" t="str">
        <f>IFERROR(__xludf.DUMMYFUNCTION("""COMPUTED_VALUE"""),"Cat Epoxy lantai PROPAN POLYFLOOR PRIMER PFP-241 2K SB(20KG - SET)")</f>
        <v>Cat Epoxy lantai PROPAN POLYFLOOR PRIMER PFP-241 2K SB(20KG - SET)</v>
      </c>
      <c r="H439" s="3" t="str">
        <f>IFERROR(__xludf.DUMMYFUNCTION("""COMPUTED_VALUE"""),"propan")</f>
        <v>propan</v>
      </c>
      <c r="I439" s="3">
        <f>IFERROR(__xludf.DUMMYFUNCTION("""COMPUTED_VALUE"""),2.0)</f>
        <v>2</v>
      </c>
      <c r="J439" s="3" t="str">
        <f>IFERROR(__xludf.DUMMYFUNCTION("""COMPUTED_VALUE"""),"pel")</f>
        <v>pel</v>
      </c>
      <c r="K439" s="5" t="str">
        <f>IFERROR(__xludf.DUMMYFUNCTION("""COMPUTED_VALUE"""),"https://tk.tokopedia.com/ZSamF1pXP/")</f>
        <v>https://tk.tokopedia.com/ZSamF1pXP/</v>
      </c>
      <c r="L439" s="3" t="str">
        <f>IFERROR(__xludf.DUMMYFUNCTION("""COMPUTED_VALUE"""),"-")</f>
        <v>-</v>
      </c>
      <c r="M439" s="3" t="str">
        <f>IFERROR(__xludf.DUMMYFUNCTION("""COMPUTED_VALUE"""),"Approve")</f>
        <v>Approve</v>
      </c>
      <c r="N439" s="3" t="str">
        <f>IFERROR(__xludf.DUMMYFUNCTION("""COMPUTED_VALUE"""),"Normal")</f>
        <v>Normal</v>
      </c>
      <c r="O439" s="3" t="str">
        <f>IFERROR(__xludf.DUMMYFUNCTION("""COMPUTED_VALUE"""),"Non Urgent")</f>
        <v>Non Urgent</v>
      </c>
      <c r="P439" s="7">
        <f>IFERROR(__xludf.DUMMYFUNCTION("""COMPUTED_VALUE"""),46050.71933076389)</f>
        <v>46050.71933</v>
      </c>
    </row>
    <row r="440">
      <c r="A440" s="4">
        <f>IFERROR(__xludf.DUMMYFUNCTION("""COMPUTED_VALUE"""),46049.96787770833)</f>
        <v>46049.96788</v>
      </c>
      <c r="B440" s="3" t="str">
        <f>IFERROR(__xludf.DUMMYFUNCTION("""COMPUTED_VALUE"""),"ROSBR0077")</f>
        <v>ROSBR0077</v>
      </c>
      <c r="C440" s="3" t="str">
        <f>IFERROR(__xludf.DUMMYFUNCTION("""COMPUTED_VALUE"""),"Critical Part")</f>
        <v>Critical Part</v>
      </c>
      <c r="D440" s="3" t="str">
        <f>IFERROR(__xludf.DUMMYFUNCTION("""COMPUTED_VALUE"""),"NA")</f>
        <v>NA</v>
      </c>
      <c r="E440" s="3" t="str">
        <f>IFERROR(__xludf.DUMMYFUNCTION("""COMPUTED_VALUE"""),"Mixing")</f>
        <v>Mixing</v>
      </c>
      <c r="F440" s="3" t="str">
        <f>IFERROR(__xludf.DUMMYFUNCTION("""COMPUTED_VALUE"""),"Oring port dop Mixing")</f>
        <v>Oring port dop Mixing</v>
      </c>
      <c r="G440" s="3" t="str">
        <f>IFERROR(__xludf.DUMMYFUNCTION("""COMPUTED_VALUE"""),"Oring port dop Mixing 
material EPDM
tebal 3mm
OD 25.4mm")</f>
        <v>Oring port dop Mixing 
material EPDM
tebal 3mm
OD 25.4mm</v>
      </c>
      <c r="H440" s="3" t="str">
        <f>IFERROR(__xludf.DUMMYFUNCTION("""COMPUTED_VALUE"""),"universal ")</f>
        <v>universal </v>
      </c>
      <c r="I440" s="3">
        <f>IFERROR(__xludf.DUMMYFUNCTION("""COMPUTED_VALUE"""),10.0)</f>
        <v>10</v>
      </c>
      <c r="J440" s="3" t="str">
        <f>IFERROR(__xludf.DUMMYFUNCTION("""COMPUTED_VALUE"""),"Pcs")</f>
        <v>Pcs</v>
      </c>
      <c r="K440" s="3" t="str">
        <f>IFERROR(__xludf.DUMMYFUNCTION("""COMPUTED_VALUE"""),"-")</f>
        <v>-</v>
      </c>
      <c r="L440" s="3" t="str">
        <f>IFERROR(__xludf.DUMMYFUNCTION("""COMPUTED_VALUE"""),"tolong orderin buat oring dop port mixing ")</f>
        <v>tolong orderin buat oring dop port mixing </v>
      </c>
      <c r="M440" s="3" t="str">
        <f>IFERROR(__xludf.DUMMYFUNCTION("""COMPUTED_VALUE"""),"Approve")</f>
        <v>Approve</v>
      </c>
      <c r="N440" s="3" t="str">
        <f>IFERROR(__xludf.DUMMYFUNCTION("""COMPUTED_VALUE"""),"Normal")</f>
        <v>Normal</v>
      </c>
      <c r="O440" s="3" t="str">
        <f>IFERROR(__xludf.DUMMYFUNCTION("""COMPUTED_VALUE"""),"Non Urgent")</f>
        <v>Non Urgent</v>
      </c>
      <c r="P440" s="7">
        <f>IFERROR(__xludf.DUMMYFUNCTION("""COMPUTED_VALUE"""),46050.955227071754)</f>
        <v>46050.95523</v>
      </c>
    </row>
    <row r="441">
      <c r="A441" s="4">
        <f>IFERROR(__xludf.DUMMYFUNCTION("""COMPUTED_VALUE"""),46050.58623450232)</f>
        <v>46050.58623</v>
      </c>
      <c r="B441" s="3" t="str">
        <f>IFERROR(__xludf.DUMMYFUNCTION("""COMPUTED_VALUE"""),"NDSBR0051")</f>
        <v>NDSBR0051</v>
      </c>
      <c r="C441" s="3" t="str">
        <f>IFERROR(__xludf.DUMMYFUNCTION("""COMPUTED_VALUE"""),"EJO")</f>
        <v>EJO</v>
      </c>
      <c r="D441" s="3" t="str">
        <f>IFERROR(__xludf.DUMMYFUNCTION("""COMPUTED_VALUE"""),"EJO/2026/02/18")</f>
        <v>EJO/2026/02/18</v>
      </c>
      <c r="E441" s="3" t="str">
        <f>IFERROR(__xludf.DUMMYFUNCTION("""COMPUTED_VALUE"""),"Blister")</f>
        <v>Blister</v>
      </c>
      <c r="F441" s="3" t="str">
        <f>IFERROR(__xludf.DUMMYFUNCTION("""COMPUTED_VALUE"""),"Filter Regulator")</f>
        <v>Filter Regulator</v>
      </c>
      <c r="G441" s="3" t="str">
        <f>IFERROR(__xludf.DUMMYFUNCTION("""COMPUTED_VALUE"""),"AW30-03G-D")</f>
        <v>AW30-03G-D</v>
      </c>
      <c r="H441" s="3" t="str">
        <f>IFERROR(__xludf.DUMMYFUNCTION("""COMPUTED_VALUE"""),"SMC")</f>
        <v>SMC</v>
      </c>
      <c r="I441" s="3">
        <f>IFERROR(__xludf.DUMMYFUNCTION("""COMPUTED_VALUE"""),1.0)</f>
        <v>1</v>
      </c>
      <c r="J441" s="3" t="str">
        <f>IFERROR(__xludf.DUMMYFUNCTION("""COMPUTED_VALUE"""),"Pcs")</f>
        <v>Pcs</v>
      </c>
      <c r="K441" s="5" t="str">
        <f>IFERROR(__xludf.DUMMYFUNCTION("""COMPUTED_VALUE"""),"https://drive.google.com/drive/folders/1ZRj5fiO6TVaEqrDRawB57QX6Lkod426T?usp=drive_link")</f>
        <v>https://drive.google.com/drive/folders/1ZRj5fiO6TVaEqrDRawB57QX6Lkod426T?usp=drive_link</v>
      </c>
      <c r="L441" s="3" t="str">
        <f>IFERROR(__xludf.DUMMYFUNCTION("""COMPUTED_VALUE"""),"- (EDITED BY MFH KARENA PEMINTAAN 2 ITEM TAPI BQ HANYA 1 LINE, MOHON UNTUK FITTING DIBUATKAN LAGI BQNYA TERPISAH)")</f>
        <v>- (EDITED BY MFH KARENA PEMINTAAN 2 ITEM TAPI BQ HANYA 1 LINE, MOHON UNTUK FITTING DIBUATKAN LAGI BQNYA TERPISAH)</v>
      </c>
      <c r="M441" s="3" t="str">
        <f>IFERROR(__xludf.DUMMYFUNCTION("""COMPUTED_VALUE"""),"Approve")</f>
        <v>Approve</v>
      </c>
      <c r="N441" s="3" t="str">
        <f>IFERROR(__xludf.DUMMYFUNCTION("""COMPUTED_VALUE"""),"Normal")</f>
        <v>Normal</v>
      </c>
      <c r="O441" s="3" t="str">
        <f>IFERROR(__xludf.DUMMYFUNCTION("""COMPUTED_VALUE"""),"Non Urgent")</f>
        <v>Non Urgent</v>
      </c>
      <c r="P441" s="7">
        <f>IFERROR(__xludf.DUMMYFUNCTION("""COMPUTED_VALUE"""),46050.87343502315)</f>
        <v>46050.87344</v>
      </c>
    </row>
    <row r="442">
      <c r="A442" s="4">
        <f>IFERROR(__xludf.DUMMYFUNCTION("""COMPUTED_VALUE"""),46050.9636718287)</f>
        <v>46050.96367</v>
      </c>
      <c r="B442" s="3" t="str">
        <f>IFERROR(__xludf.DUMMYFUNCTION("""COMPUTED_VALUE"""),"KFFBR0002")</f>
        <v>KFFBR0002</v>
      </c>
      <c r="C442" s="3" t="str">
        <f>IFERROR(__xludf.DUMMYFUNCTION("""COMPUTED_VALUE"""),"EJO")</f>
        <v>EJO</v>
      </c>
      <c r="D442" s="3" t="str">
        <f>IFERROR(__xludf.DUMMYFUNCTION("""COMPUTED_VALUE"""),"EJO/2026/02/33")</f>
        <v>EJO/2026/02/33</v>
      </c>
      <c r="E442" s="3" t="str">
        <f>IFERROR(__xludf.DUMMYFUNCTION("""COMPUTED_VALUE"""),"Capping")</f>
        <v>Capping</v>
      </c>
      <c r="F442" s="3" t="str">
        <f>IFERROR(__xludf.DUMMYFUNCTION("""COMPUTED_VALUE"""),"Helicoil ")</f>
        <v>Helicoil </v>
      </c>
      <c r="G442" s="3" t="str">
        <f>IFERROR(__xludf.DUMMYFUNCTION("""COMPUTED_VALUE"""),"Drat helicoil ")</f>
        <v>Drat helicoil </v>
      </c>
      <c r="H442" s="3" t="str">
        <f>IFERROR(__xludf.DUMMYFUNCTION("""COMPUTED_VALUE"""),"universal")</f>
        <v>universal</v>
      </c>
      <c r="I442" s="3">
        <f>IFERROR(__xludf.DUMMYFUNCTION("""COMPUTED_VALUE"""),1.0)</f>
        <v>1</v>
      </c>
      <c r="J442" s="3" t="str">
        <f>IFERROR(__xludf.DUMMYFUNCTION("""COMPUTED_VALUE"""),"set")</f>
        <v>set</v>
      </c>
      <c r="K442" s="5" t="str">
        <f>IFERROR(__xludf.DUMMYFUNCTION("""COMPUTED_VALUE"""),"https://tk.tokopedia.com/ZSaY6QkYS/")</f>
        <v>https://tk.tokopedia.com/ZSaY6QkYS/</v>
      </c>
      <c r="L442" s="3" t="str">
        <f>IFERROR(__xludf.DUMMYFUNCTION("""COMPUTED_VALUE"""),"perbaikan handwheel capping dan stok tidak ada lagi ")</f>
        <v>perbaikan handwheel capping dan stok tidak ada lagi </v>
      </c>
      <c r="M442" s="3" t="str">
        <f>IFERROR(__xludf.DUMMYFUNCTION("""COMPUTED_VALUE"""),"Approve")</f>
        <v>Approve</v>
      </c>
      <c r="N442" s="3" t="str">
        <f>IFERROR(__xludf.DUMMYFUNCTION("""COMPUTED_VALUE"""),"Normal")</f>
        <v>Normal</v>
      </c>
      <c r="O442" s="3" t="str">
        <f>IFERROR(__xludf.DUMMYFUNCTION("""COMPUTED_VALUE"""),"Non Urgent")</f>
        <v>Non Urgent</v>
      </c>
      <c r="P442" s="7">
        <f>IFERROR(__xludf.DUMMYFUNCTION("""COMPUTED_VALUE"""),46069.63451960648)</f>
        <v>46069.63452</v>
      </c>
    </row>
    <row r="443">
      <c r="A443" s="4">
        <f>IFERROR(__xludf.DUMMYFUNCTION("""COMPUTED_VALUE"""),46050.964547442134)</f>
        <v>46050.96455</v>
      </c>
      <c r="B443" s="3" t="str">
        <f>IFERROR(__xludf.DUMMYFUNCTION("""COMPUTED_VALUE"""),"KFFBR0001")</f>
        <v>KFFBR0001</v>
      </c>
      <c r="C443" s="3" t="str">
        <f>IFERROR(__xludf.DUMMYFUNCTION("""COMPUTED_VALUE"""),"EJO")</f>
        <v>EJO</v>
      </c>
      <c r="D443" s="3" t="str">
        <f>IFERROR(__xludf.DUMMYFUNCTION("""COMPUTED_VALUE"""),"EJO/2026/01/100")</f>
        <v>EJO/2026/01/100</v>
      </c>
      <c r="E443" s="3" t="str">
        <f>IFERROR(__xludf.DUMMYFUNCTION("""COMPUTED_VALUE"""),"Blistering OSD ")</f>
        <v>Blistering OSD </v>
      </c>
      <c r="F443" s="3" t="str">
        <f>IFERROR(__xludf.DUMMYFUNCTION("""COMPUTED_VALUE"""),"penggaris siku")</f>
        <v>penggaris siku</v>
      </c>
      <c r="G443" s="3" t="str">
        <f>IFERROR(__xludf.DUMMYFUNCTION("""COMPUTED_VALUE"""),"Penggaris Siku Profesional 306 ss ")</f>
        <v>Penggaris Siku Profesional 306 ss </v>
      </c>
      <c r="H443" s="3" t="str">
        <f>IFERROR(__xludf.DUMMYFUNCTION("""COMPUTED_VALUE"""),"Stanley")</f>
        <v>Stanley</v>
      </c>
      <c r="I443" s="3">
        <f>IFERROR(__xludf.DUMMYFUNCTION("""COMPUTED_VALUE"""),1.0)</f>
        <v>1</v>
      </c>
      <c r="J443" s="3" t="str">
        <f>IFERROR(__xludf.DUMMYFUNCTION("""COMPUTED_VALUE"""),"pcs")</f>
        <v>pcs</v>
      </c>
      <c r="K443" s="5" t="str">
        <f>IFERROR(__xludf.DUMMYFUNCTION("""COMPUTED_VALUE"""),"https://tk.tokopedia.com/ZS5Wroa1E/")</f>
        <v>https://tk.tokopedia.com/ZS5Wroa1E/</v>
      </c>
      <c r="L443" s="3" t="str">
        <f>IFERROR(__xludf.DUMMYFUNCTION("""COMPUTED_VALUE"""),"untuk project exhaust blister dan stok terbaru ")</f>
        <v>untuk project exhaust blister dan stok terbaru </v>
      </c>
      <c r="M443" s="3" t="str">
        <f>IFERROR(__xludf.DUMMYFUNCTION("""COMPUTED_VALUE"""),"Approve")</f>
        <v>Approve</v>
      </c>
      <c r="N443" s="3" t="str">
        <f>IFERROR(__xludf.DUMMYFUNCTION("""COMPUTED_VALUE"""),"Normal")</f>
        <v>Normal</v>
      </c>
      <c r="O443" s="3" t="str">
        <f>IFERROR(__xludf.DUMMYFUNCTION("""COMPUTED_VALUE"""),"Non Urgent")</f>
        <v>Non Urgent</v>
      </c>
      <c r="P443" s="7">
        <f>IFERROR(__xludf.DUMMYFUNCTION("""COMPUTED_VALUE"""),46051.06442122685)</f>
        <v>46051.06442</v>
      </c>
    </row>
    <row r="444">
      <c r="A444" s="4">
        <f>IFERROR(__xludf.DUMMYFUNCTION("""COMPUTED_VALUE"""),46050.97148141204)</f>
        <v>46050.97148</v>
      </c>
      <c r="B444" s="3" t="str">
        <f>IFERROR(__xludf.DUMMYFUNCTION("""COMPUTED_VALUE"""),"KFFBR0004")</f>
        <v>KFFBR0004</v>
      </c>
      <c r="C444" s="3" t="str">
        <f>IFERROR(__xludf.DUMMYFUNCTION("""COMPUTED_VALUE"""),"EJO")</f>
        <v>EJO</v>
      </c>
      <c r="D444" s="3" t="str">
        <f>IFERROR(__xludf.DUMMYFUNCTION("""COMPUTED_VALUE"""),"EJO/2025/09/131")</f>
        <v>EJO/2025/09/131</v>
      </c>
      <c r="E444" s="3" t="str">
        <f>IFERROR(__xludf.DUMMYFUNCTION("""COMPUTED_VALUE"""),"HPLC ")</f>
        <v>HPLC </v>
      </c>
      <c r="F444" s="3" t="str">
        <f>IFERROR(__xludf.DUMMYFUNCTION("""COMPUTED_VALUE"""),"Plat SS316 ")</f>
        <v>Plat SS316 </v>
      </c>
      <c r="G444" s="3" t="str">
        <f>IFERROR(__xludf.DUMMYFUNCTION("""COMPUTED_VALUE"""),"SS 316 Tebal 1.2mm tipe 316L ukuran 4 x 8 ft (1220 x 2440mm)")</f>
        <v>SS 316 Tebal 1.2mm tipe 316L ukuran 4 x 8 ft (1220 x 2440mm)</v>
      </c>
      <c r="H444" s="3" t="str">
        <f>IFERROR(__xludf.DUMMYFUNCTION("""COMPUTED_VALUE"""),"universal")</f>
        <v>universal</v>
      </c>
      <c r="I444" s="3">
        <f>IFERROR(__xludf.DUMMYFUNCTION("""COMPUTED_VALUE"""),1.0)</f>
        <v>1</v>
      </c>
      <c r="J444" s="3" t="str">
        <f>IFERROR(__xludf.DUMMYFUNCTION("""COMPUTED_VALUE"""),"sheet")</f>
        <v>sheet</v>
      </c>
      <c r="K444" s="5" t="str">
        <f>IFERROR(__xludf.DUMMYFUNCTION("""COMPUTED_VALUE"""),"https://tk.tokopedia.com/ZSaHUbyMS/")</f>
        <v>https://tk.tokopedia.com/ZSaHUbyMS/</v>
      </c>
      <c r="L444" s="3" t="str">
        <f>IFERROR(__xludf.DUMMYFUNCTION("""COMPUTED_VALUE"""),"pembuatan trolly jerigen limbah mesin HPLC, ULPC dan LPC")</f>
        <v>pembuatan trolly jerigen limbah mesin HPLC, ULPC dan LPC</v>
      </c>
      <c r="M444" s="3" t="str">
        <f>IFERROR(__xludf.DUMMYFUNCTION("""COMPUTED_VALUE"""),"Approve")</f>
        <v>Approve</v>
      </c>
      <c r="N444" s="3" t="str">
        <f>IFERROR(__xludf.DUMMYFUNCTION("""COMPUTED_VALUE"""),"Normal")</f>
        <v>Normal</v>
      </c>
      <c r="O444" s="3" t="str">
        <f>IFERROR(__xludf.DUMMYFUNCTION("""COMPUTED_VALUE"""),"Non Urgent")</f>
        <v>Non Urgent</v>
      </c>
      <c r="P444" s="7">
        <f>IFERROR(__xludf.DUMMYFUNCTION("""COMPUTED_VALUE"""),46069.62070291667)</f>
        <v>46069.6207</v>
      </c>
    </row>
    <row r="445">
      <c r="A445" s="4">
        <f>IFERROR(__xludf.DUMMYFUNCTION("""COMPUTED_VALUE"""),46056.464922708336)</f>
        <v>46056.46492</v>
      </c>
      <c r="B445" s="3" t="str">
        <f>IFERROR(__xludf.DUMMYFUNCTION("""COMPUTED_VALUE"""),"RIABR0137")</f>
        <v>RIABR0137</v>
      </c>
      <c r="C445" s="3" t="str">
        <f>IFERROR(__xludf.DUMMYFUNCTION("""COMPUTED_VALUE"""),"EJO")</f>
        <v>EJO</v>
      </c>
      <c r="D445" s="3" t="str">
        <f>IFERROR(__xludf.DUMMYFUNCTION("""COMPUTED_VALUE"""),"EJO/2026/02/14")</f>
        <v>EJO/2026/02/14</v>
      </c>
      <c r="E445" s="3" t="str">
        <f>IFERROR(__xludf.DUMMYFUNCTION("""COMPUTED_VALUE"""),"N2 Generator")</f>
        <v>N2 Generator</v>
      </c>
      <c r="F445" s="3" t="str">
        <f>IFERROR(__xludf.DUMMYFUNCTION("""COMPUTED_VALUE"""),"Display Flow Meter")</f>
        <v>Display Flow Meter</v>
      </c>
      <c r="G445" s="3" t="str">
        <f>IFERROR(__xludf.DUMMYFUNCTION("""COMPUTED_VALUE"""),"CS Instrument DS350")</f>
        <v>CS Instrument DS350</v>
      </c>
      <c r="H445" s="3" t="str">
        <f>IFERROR(__xludf.DUMMYFUNCTION("""COMPUTED_VALUE"""),"CS Instrument")</f>
        <v>CS Instrument</v>
      </c>
      <c r="I445" s="3">
        <f>IFERROR(__xludf.DUMMYFUNCTION("""COMPUTED_VALUE"""),1.0)</f>
        <v>1</v>
      </c>
      <c r="J445" s="3" t="str">
        <f>IFERROR(__xludf.DUMMYFUNCTION("""COMPUTED_VALUE"""),"Pcs")</f>
        <v>Pcs</v>
      </c>
      <c r="K445" s="3" t="str">
        <f>IFERROR(__xludf.DUMMYFUNCTION("""COMPUTED_VALUE"""),"DS350 CS Instrument Display Flow Meter N2 Gen")</f>
        <v>DS350 CS Instrument Display Flow Meter N2 Gen</v>
      </c>
      <c r="L445" s="3" t="str">
        <f>IFERROR(__xludf.DUMMYFUNCTION("""COMPUTED_VALUE"""),"Minta tolong dicarikan penawaran untuk display ini karena sudah cek tokped dan google tidak nemu, hanya nemu yang portable saja, butuhnya cuma displaynya itu saja. Itu difolder udah tak kasih foto dan tipenya, bila masih ada kurang info saja")</f>
        <v>Minta tolong dicarikan penawaran untuk display ini karena sudah cek tokped dan google tidak nemu, hanya nemu yang portable saja, butuhnya cuma displaynya itu saja. Itu difolder udah tak kasih foto dan tipenya, bila masih ada kurang info saja</v>
      </c>
      <c r="M445" s="3" t="str">
        <f>IFERROR(__xludf.DUMMYFUNCTION("""COMPUTED_VALUE"""),"Approve")</f>
        <v>Approve</v>
      </c>
      <c r="N445" s="3" t="str">
        <f>IFERROR(__xludf.DUMMYFUNCTION("""COMPUTED_VALUE"""),"Normal")</f>
        <v>Normal</v>
      </c>
      <c r="O445" s="3" t="str">
        <f>IFERROR(__xludf.DUMMYFUNCTION("""COMPUTED_VALUE"""),"Non Urgent")</f>
        <v>Non Urgent</v>
      </c>
      <c r="P445" s="7">
        <f>IFERROR(__xludf.DUMMYFUNCTION("""COMPUTED_VALUE"""),46202.91588027778)</f>
        <v>46202.91588</v>
      </c>
    </row>
    <row r="446">
      <c r="A446" s="4">
        <f>IFERROR(__xludf.DUMMYFUNCTION("""COMPUTED_VALUE"""),46056.69940715278)</f>
        <v>46056.69941</v>
      </c>
      <c r="B446" s="3" t="str">
        <f>IFERROR(__xludf.DUMMYFUNCTION("""COMPUTED_VALUE"""),"ROSBR0079")</f>
        <v>ROSBR0079</v>
      </c>
      <c r="C446" s="3" t="str">
        <f>IFERROR(__xludf.DUMMYFUNCTION("""COMPUTED_VALUE"""),"Critical Part")</f>
        <v>Critical Part</v>
      </c>
      <c r="D446" s="3" t="str">
        <f>IFERROR(__xludf.DUMMYFUNCTION("""COMPUTED_VALUE"""),"NA")</f>
        <v>NA</v>
      </c>
      <c r="E446" s="3" t="str">
        <f>IFERROR(__xludf.DUMMYFUNCTION("""COMPUTED_VALUE"""),"Autoclave preparasi dan decontam 
Lab Micro ")</f>
        <v>Autoclave preparasi dan decontam 
Lab Micro </v>
      </c>
      <c r="F446" s="3" t="str">
        <f>IFERROR(__xludf.DUMMYFUNCTION("""COMPUTED_VALUE"""),"Water Presence Probe Kit and OR Seal")</f>
        <v>Water Presence Probe Kit and OR Seal</v>
      </c>
      <c r="G446" s="3" t="str">
        <f>IFERROR(__xludf.DUMMYFUNCTION("""COMPUTED_VALUE"""),"Water Presence Probe Kit and OR Seal
Product Code:
KK000080")</f>
        <v>Water Presence Probe Kit and OR Seal
Product Code:
KK000080</v>
      </c>
      <c r="H446" s="3" t="str">
        <f>IFERROR(__xludf.DUMMYFUNCTION("""COMPUTED_VALUE"""),"fedegari ")</f>
        <v>fedegari </v>
      </c>
      <c r="I446" s="3">
        <f>IFERROR(__xludf.DUMMYFUNCTION("""COMPUTED_VALUE"""),10.0)</f>
        <v>10</v>
      </c>
      <c r="J446" s="3" t="str">
        <f>IFERROR(__xludf.DUMMYFUNCTION("""COMPUTED_VALUE"""),"Set")</f>
        <v>Set</v>
      </c>
      <c r="K446" s="5" t="str">
        <f>IFERROR(__xludf.DUMMYFUNCTION("""COMPUTED_VALUE"""),"https://drive.google.com/drive/folders/1eCct3940FpMgMSRcHKv41fBAZmeRBUST?usp=drive_link")</f>
        <v>https://drive.google.com/drive/folders/1eCct3940FpMgMSRcHKv41fBAZmeRBUST?usp=drive_link</v>
      </c>
      <c r="L446" s="3" t="str">
        <f>IFERROR(__xludf.DUMMYFUNCTION("""COMPUTED_VALUE"""),"tolong belikan Oring kit sensor level untuk mesin autoclave preparasi dan decontam
Series Mesin 
ini no series mesin FVA/A1")</f>
        <v>tolong belikan Oring kit sensor level untuk mesin autoclave preparasi dan decontam
Series Mesin 
ini no series mesin FVA/A1</v>
      </c>
      <c r="M446" s="3" t="str">
        <f>IFERROR(__xludf.DUMMYFUNCTION("""COMPUTED_VALUE"""),"Approve")</f>
        <v>Approve</v>
      </c>
      <c r="N446" s="3" t="str">
        <f>IFERROR(__xludf.DUMMYFUNCTION("""COMPUTED_VALUE"""),"Normal")</f>
        <v>Normal</v>
      </c>
      <c r="O446" s="3" t="str">
        <f>IFERROR(__xludf.DUMMYFUNCTION("""COMPUTED_VALUE"""),"Non Urgent")</f>
        <v>Non Urgent</v>
      </c>
      <c r="P446" s="7">
        <f>IFERROR(__xludf.DUMMYFUNCTION("""COMPUTED_VALUE"""),46064.99641225694)</f>
        <v>46064.99641</v>
      </c>
    </row>
    <row r="447">
      <c r="A447" s="4">
        <f>IFERROR(__xludf.DUMMYFUNCTION("""COMPUTED_VALUE"""),46056.709090289354)</f>
        <v>46056.70909</v>
      </c>
      <c r="B447" s="3" t="str">
        <f>IFERROR(__xludf.DUMMYFUNCTION("""COMPUTED_VALUE"""),"ROSBR0080")</f>
        <v>ROSBR0080</v>
      </c>
      <c r="C447" s="3" t="str">
        <f>IFERROR(__xludf.DUMMYFUNCTION("""COMPUTED_VALUE"""),"Critical Part")</f>
        <v>Critical Part</v>
      </c>
      <c r="D447" s="3" t="str">
        <f>IFERROR(__xludf.DUMMYFUNCTION("""COMPUTED_VALUE"""),"NA")</f>
        <v>NA</v>
      </c>
      <c r="E447" s="3" t="str">
        <f>IFERROR(__xludf.DUMMYFUNCTION("""COMPUTED_VALUE"""),"Printer head autoclave prepaarasi")</f>
        <v>Printer head autoclave prepaarasi</v>
      </c>
      <c r="F447" s="3" t="str">
        <f>IFERROR(__xludf.DUMMYFUNCTION("""COMPUTED_VALUE"""),"PROFACE PRINTER")</f>
        <v>PROFACE PRINTER</v>
      </c>
      <c r="G447" s="3" t="str">
        <f>IFERROR(__xludf.DUMMYFUNCTION("""COMPUTED_VALUE"""),"PROFACE PRINTER
Product Code: GP400736")</f>
        <v>PROFACE PRINTER
Product Code: GP400736</v>
      </c>
      <c r="H447" s="3" t="str">
        <f>IFERROR(__xludf.DUMMYFUNCTION("""COMPUTED_VALUE"""),"fedegari ")</f>
        <v>fedegari </v>
      </c>
      <c r="I447" s="3">
        <f>IFERROR(__xludf.DUMMYFUNCTION("""COMPUTED_VALUE"""),2.0)</f>
        <v>2</v>
      </c>
      <c r="J447" s="3" t="str">
        <f>IFERROR(__xludf.DUMMYFUNCTION("""COMPUTED_VALUE"""),"set")</f>
        <v>set</v>
      </c>
      <c r="K447" s="5" t="str">
        <f>IFERROR(__xludf.DUMMYFUNCTION("""COMPUTED_VALUE"""),"https://drive.google.com/drive/folders/1bNO_4ubS9oTp1rlIV0UiO31ztN-JfCMi")</f>
        <v>https://drive.google.com/drive/folders/1bNO_4ubS9oTp1rlIV0UiO31ztN-JfCMi</v>
      </c>
      <c r="L447" s="3" t="str">
        <f>IFERROR(__xludf.DUMMYFUNCTION("""COMPUTED_VALUE"""),"tolong belikan print head buatmesin autoclave preparasi dan 1 buat spare ")</f>
        <v>tolong belikan print head buatmesin autoclave preparasi dan 1 buat spare </v>
      </c>
      <c r="M447" s="3" t="str">
        <f>IFERROR(__xludf.DUMMYFUNCTION("""COMPUTED_VALUE"""),"Approve")</f>
        <v>Approve</v>
      </c>
      <c r="N447" s="3" t="str">
        <f>IFERROR(__xludf.DUMMYFUNCTION("""COMPUTED_VALUE"""),"Normal")</f>
        <v>Normal</v>
      </c>
      <c r="O447" s="3" t="str">
        <f>IFERROR(__xludf.DUMMYFUNCTION("""COMPUTED_VALUE"""),"Non Urgent")</f>
        <v>Non Urgent</v>
      </c>
      <c r="P447" s="7">
        <f>IFERROR(__xludf.DUMMYFUNCTION("""COMPUTED_VALUE"""),46064.996788634264)</f>
        <v>46064.99679</v>
      </c>
    </row>
    <row r="448">
      <c r="A448" s="4">
        <f>IFERROR(__xludf.DUMMYFUNCTION("""COMPUTED_VALUE"""),46062.37783008102)</f>
        <v>46062.37783</v>
      </c>
      <c r="B448" s="3" t="str">
        <f>IFERROR(__xludf.DUMMYFUNCTION("""COMPUTED_VALUE"""),"MFHBR0020")</f>
        <v>MFHBR0020</v>
      </c>
      <c r="C448" s="3" t="str">
        <f>IFERROR(__xludf.DUMMYFUNCTION("""COMPUTED_VALUE"""),"Critical Part")</f>
        <v>Critical Part</v>
      </c>
      <c r="D448" s="3" t="str">
        <f>IFERROR(__xludf.DUMMYFUNCTION("""COMPUTED_VALUE"""),"-")</f>
        <v>-</v>
      </c>
      <c r="E448" s="3" t="str">
        <f>IFERROR(__xludf.DUMMYFUNCTION("""COMPUTED_VALUE"""),"Building")</f>
        <v>Building</v>
      </c>
      <c r="F448" s="3" t="str">
        <f>IFERROR(__xludf.DUMMYFUNCTION("""COMPUTED_VALUE"""),"Renovation - Penambahan AHU B1-3")</f>
        <v>Renovation - Penambahan AHU B1-3</v>
      </c>
      <c r="G448" s="3" t="str">
        <f>IFERROR(__xludf.DUMMYFUNCTION("""COMPUTED_VALUE"""),"-")</f>
        <v>-</v>
      </c>
      <c r="H448" s="3" t="str">
        <f>IFERROR(__xludf.DUMMYFUNCTION("""COMPUTED_VALUE"""),"KPE")</f>
        <v>KPE</v>
      </c>
      <c r="I448" s="3">
        <f>IFERROR(__xludf.DUMMYFUNCTION("""COMPUTED_VALUE"""),1.0)</f>
        <v>1</v>
      </c>
      <c r="J448" s="3" t="str">
        <f>IFERROR(__xludf.DUMMYFUNCTION("""COMPUTED_VALUE"""),"Lot")</f>
        <v>Lot</v>
      </c>
      <c r="K448" s="3" t="str">
        <f>IFERROR(__xludf.DUMMYFUNCTION("""COMPUTED_VALUE"""),"Email Pak Kris")</f>
        <v>Email Pak Kris</v>
      </c>
      <c r="L448" s="3" t="str">
        <f>IFERROR(__xludf.DUMMYFUNCTION("""COMPUTED_VALUE"""),"2865 121703291 - APPROVED R-71002-00")</f>
        <v>2865 121703291 - APPROVED R-71002-00</v>
      </c>
      <c r="M448" s="3" t="str">
        <f>IFERROR(__xludf.DUMMYFUNCTION("""COMPUTED_VALUE"""),"Approve")</f>
        <v>Approve</v>
      </c>
      <c r="N448" s="3" t="str">
        <f>IFERROR(__xludf.DUMMYFUNCTION("""COMPUTED_VALUE"""),"Normal")</f>
        <v>Normal</v>
      </c>
      <c r="O448" s="3" t="str">
        <f>IFERROR(__xludf.DUMMYFUNCTION("""COMPUTED_VALUE"""),"Non Urgent")</f>
        <v>Non Urgent</v>
      </c>
      <c r="P448" s="7">
        <f>IFERROR(__xludf.DUMMYFUNCTION("""COMPUTED_VALUE"""),46047.89274121528)</f>
        <v>46047.89274</v>
      </c>
    </row>
    <row r="449">
      <c r="A449" s="4">
        <f>IFERROR(__xludf.DUMMYFUNCTION("""COMPUTED_VALUE"""),46062.37783008102)</f>
        <v>46062.37783</v>
      </c>
      <c r="B449" s="3" t="str">
        <f>IFERROR(__xludf.DUMMYFUNCTION("""COMPUTED_VALUE"""),"MFHBR0021")</f>
        <v>MFHBR0021</v>
      </c>
      <c r="C449" s="3" t="str">
        <f>IFERROR(__xludf.DUMMYFUNCTION("""COMPUTED_VALUE"""),"Critical Part")</f>
        <v>Critical Part</v>
      </c>
      <c r="D449" s="3" t="str">
        <f>IFERROR(__xludf.DUMMYFUNCTION("""COMPUTED_VALUE"""),"-")</f>
        <v>-</v>
      </c>
      <c r="E449" s="3" t="str">
        <f>IFERROR(__xludf.DUMMYFUNCTION("""COMPUTED_VALUE"""),"FD")</f>
        <v>FD</v>
      </c>
      <c r="F449" s="3" t="str">
        <f>IFERROR(__xludf.DUMMYFUNCTION("""COMPUTED_VALUE"""),"Machine Equipment; ; ; - Suplai dan Instalasi Sistim Exhaust untuk Chimney, BIBO/Safe Change + Preparasi")</f>
        <v>Machine Equipment; ; ; - Suplai dan Instalasi Sistim Exhaust untuk Chimney, BIBO/Safe Change + Preparasi</v>
      </c>
      <c r="G449" s="3" t="str">
        <f>IFERROR(__xludf.DUMMYFUNCTION("""COMPUTED_VALUE"""),"-")</f>
        <v>-</v>
      </c>
      <c r="H449" s="3" t="str">
        <f>IFERROR(__xludf.DUMMYFUNCTION("""COMPUTED_VALUE"""),"KPE")</f>
        <v>KPE</v>
      </c>
      <c r="I449" s="3">
        <f>IFERROR(__xludf.DUMMYFUNCTION("""COMPUTED_VALUE"""),1.0)</f>
        <v>1</v>
      </c>
      <c r="J449" s="3" t="str">
        <f>IFERROR(__xludf.DUMMYFUNCTION("""COMPUTED_VALUE"""),"Lot")</f>
        <v>Lot</v>
      </c>
      <c r="K449" s="3" t="str">
        <f>IFERROR(__xludf.DUMMYFUNCTION("""COMPUTED_VALUE"""),"Email Pak Kris")</f>
        <v>Email Pak Kris</v>
      </c>
      <c r="L449" s="3" t="str">
        <f>IFERROR(__xludf.DUMMYFUNCTION("""COMPUTED_VALUE"""),"3120 121703500 - APPROVED R-20024-00")</f>
        <v>3120 121703500 - APPROVED R-20024-00</v>
      </c>
      <c r="M449" s="3" t="str">
        <f>IFERROR(__xludf.DUMMYFUNCTION("""COMPUTED_VALUE"""),"Approve")</f>
        <v>Approve</v>
      </c>
      <c r="N449" s="3" t="str">
        <f>IFERROR(__xludf.DUMMYFUNCTION("""COMPUTED_VALUE"""),"Normal")</f>
        <v>Normal</v>
      </c>
      <c r="O449" s="3" t="str">
        <f>IFERROR(__xludf.DUMMYFUNCTION("""COMPUTED_VALUE"""),"Non Urgent")</f>
        <v>Non Urgent</v>
      </c>
      <c r="P449" s="7">
        <f>IFERROR(__xludf.DUMMYFUNCTION("""COMPUTED_VALUE"""),46047.892823842594)</f>
        <v>46047.89282</v>
      </c>
    </row>
    <row r="450">
      <c r="A450" s="4">
        <f>IFERROR(__xludf.DUMMYFUNCTION("""COMPUTED_VALUE"""),46062.37783008102)</f>
        <v>46062.37783</v>
      </c>
      <c r="B450" s="3" t="str">
        <f>IFERROR(__xludf.DUMMYFUNCTION("""COMPUTED_VALUE"""),"MFHBR0022")</f>
        <v>MFHBR0022</v>
      </c>
      <c r="C450" s="3" t="str">
        <f>IFERROR(__xludf.DUMMYFUNCTION("""COMPUTED_VALUE"""),"Critical Part")</f>
        <v>Critical Part</v>
      </c>
      <c r="D450" s="3" t="str">
        <f>IFERROR(__xludf.DUMMYFUNCTION("""COMPUTED_VALUE"""),"-")</f>
        <v>-</v>
      </c>
      <c r="E450" s="3" t="str">
        <f>IFERROR(__xludf.DUMMYFUNCTION("""COMPUTED_VALUE"""),"Water System")</f>
        <v>Water System</v>
      </c>
      <c r="F450" s="3" t="str">
        <f>IFERROR(__xludf.DUMMYFUNCTION("""COMPUTED_VALUE"""),"Inverter")</f>
        <v>Inverter</v>
      </c>
      <c r="G450" s="3" t="str">
        <f>IFERROR(__xludf.DUMMYFUNCTION("""COMPUTED_VALUE"""),"Utility Equipment; ; ; - FC-102P11KT4E20H2XGXXXXSXXXXAXBXCXXXXDX - FC-102P11KT4E20H2XGXXXXSXXXXAXBXCXXXXDX")</f>
        <v>Utility Equipment; ; ; - FC-102P11KT4E20H2XGXXXXSXXXXAXBXCXXXXDX - FC-102P11KT4E20H2XGXXXXSXXXXAXBXCXXXXDX</v>
      </c>
      <c r="H450" s="3" t="str">
        <f>IFERROR(__xludf.DUMMYFUNCTION("""COMPUTED_VALUE"""),"Danfoss")</f>
        <v>Danfoss</v>
      </c>
      <c r="I450" s="3">
        <f>IFERROR(__xludf.DUMMYFUNCTION("""COMPUTED_VALUE"""),1.0)</f>
        <v>1</v>
      </c>
      <c r="J450" s="3" t="str">
        <f>IFERROR(__xludf.DUMMYFUNCTION("""COMPUTED_VALUE"""),"Unit")</f>
        <v>Unit</v>
      </c>
      <c r="K450" s="3" t="str">
        <f>IFERROR(__xludf.DUMMYFUNCTION("""COMPUTED_VALUE"""),"BQ")</f>
        <v>BQ</v>
      </c>
      <c r="L450" s="3" t="str">
        <f>IFERROR(__xludf.DUMMYFUNCTION("""COMPUTED_VALUE"""),"3146 121703545 - APPROVED R-21013-00")</f>
        <v>3146 121703545 - APPROVED R-21013-00</v>
      </c>
      <c r="M450" s="3" t="str">
        <f>IFERROR(__xludf.DUMMYFUNCTION("""COMPUTED_VALUE"""),"Approve")</f>
        <v>Approve</v>
      </c>
      <c r="N450" s="3" t="str">
        <f>IFERROR(__xludf.DUMMYFUNCTION("""COMPUTED_VALUE"""),"Normal")</f>
        <v>Normal</v>
      </c>
      <c r="O450" s="3" t="str">
        <f>IFERROR(__xludf.DUMMYFUNCTION("""COMPUTED_VALUE"""),"Non Urgent")</f>
        <v>Non Urgent</v>
      </c>
      <c r="P450" s="7">
        <f>IFERROR(__xludf.DUMMYFUNCTION("""COMPUTED_VALUE"""),46047.892903368054)</f>
        <v>46047.8929</v>
      </c>
    </row>
    <row r="451">
      <c r="A451" s="4">
        <f>IFERROR(__xludf.DUMMYFUNCTION("""COMPUTED_VALUE"""),46062.37783008102)</f>
        <v>46062.37783</v>
      </c>
      <c r="B451" s="3" t="str">
        <f>IFERROR(__xludf.DUMMYFUNCTION("""COMPUTED_VALUE"""),"MFHBR0023")</f>
        <v>MFHBR0023</v>
      </c>
      <c r="C451" s="3" t="str">
        <f>IFERROR(__xludf.DUMMYFUNCTION("""COMPUTED_VALUE"""),"Critical Part")</f>
        <v>Critical Part</v>
      </c>
      <c r="D451" s="3" t="str">
        <f>IFERROR(__xludf.DUMMYFUNCTION("""COMPUTED_VALUE"""),"-")</f>
        <v>-</v>
      </c>
      <c r="E451" s="3" t="str">
        <f>IFERROR(__xludf.DUMMYFUNCTION("""COMPUTED_VALUE"""),"Building")</f>
        <v>Building</v>
      </c>
      <c r="F451" s="3" t="str">
        <f>IFERROR(__xludf.DUMMYFUNCTION("""COMPUTED_VALUE"""),"Machine Equipment; ; ; - Addtitional Project Pipa Utilitas - Addtitional Project Pipa Utilitas - Addtitional Project Pipa Utilitas - Addtitional Project Pipa Utilitas - Addtitional Project Pipa Utilitas - Addtitional Project Pipa Utilitas")</f>
        <v>Machine Equipment; ; ; - Addtitional Project Pipa Utilitas - Addtitional Project Pipa Utilitas - Addtitional Project Pipa Utilitas - Addtitional Project Pipa Utilitas - Addtitional Project Pipa Utilitas - Addtitional Project Pipa Utilitas</v>
      </c>
      <c r="G451" s="3" t="str">
        <f>IFERROR(__xludf.DUMMYFUNCTION("""COMPUTED_VALUE"""),"-")</f>
        <v>-</v>
      </c>
      <c r="H451" s="3" t="str">
        <f>IFERROR(__xludf.DUMMYFUNCTION("""COMPUTED_VALUE"""),"TSP")</f>
        <v>TSP</v>
      </c>
      <c r="I451" s="3">
        <f>IFERROR(__xludf.DUMMYFUNCTION("""COMPUTED_VALUE"""),1.0)</f>
        <v>1</v>
      </c>
      <c r="J451" s="3" t="str">
        <f>IFERROR(__xludf.DUMMYFUNCTION("""COMPUTED_VALUE"""),"Lot")</f>
        <v>Lot</v>
      </c>
      <c r="K451" s="3" t="str">
        <f>IFERROR(__xludf.DUMMYFUNCTION("""COMPUTED_VALUE"""),"Email Pak Kris")</f>
        <v>Email Pak Kris</v>
      </c>
      <c r="L451" s="3" t="str">
        <f>IFERROR(__xludf.DUMMYFUNCTION("""COMPUTED_VALUE"""),"3187 121703584 - APPROVED R-20024-00")</f>
        <v>3187 121703584 - APPROVED R-20024-00</v>
      </c>
      <c r="M451" s="3" t="str">
        <f>IFERROR(__xludf.DUMMYFUNCTION("""COMPUTED_VALUE"""),"Approve")</f>
        <v>Approve</v>
      </c>
      <c r="N451" s="3" t="str">
        <f>IFERROR(__xludf.DUMMYFUNCTION("""COMPUTED_VALUE"""),"Normal")</f>
        <v>Normal</v>
      </c>
      <c r="O451" s="3" t="str">
        <f>IFERROR(__xludf.DUMMYFUNCTION("""COMPUTED_VALUE"""),"Non Urgent")</f>
        <v>Non Urgent</v>
      </c>
      <c r="P451" s="7">
        <f>IFERROR(__xludf.DUMMYFUNCTION("""COMPUTED_VALUE"""),46047.892979375)</f>
        <v>46047.89298</v>
      </c>
    </row>
    <row r="452">
      <c r="A452" s="4">
        <f>IFERROR(__xludf.DUMMYFUNCTION("""COMPUTED_VALUE"""),46062.37783008102)</f>
        <v>46062.37783</v>
      </c>
      <c r="B452" s="3" t="str">
        <f>IFERROR(__xludf.DUMMYFUNCTION("""COMPUTED_VALUE"""),"MFHBR0024")</f>
        <v>MFHBR0024</v>
      </c>
      <c r="C452" s="3" t="str">
        <f>IFERROR(__xludf.DUMMYFUNCTION("""COMPUTED_VALUE"""),"Critical Part")</f>
        <v>Critical Part</v>
      </c>
      <c r="D452" s="3" t="str">
        <f>IFERROR(__xludf.DUMMYFUNCTION("""COMPUTED_VALUE"""),"-")</f>
        <v>-</v>
      </c>
      <c r="E452" s="3" t="str">
        <f>IFERROR(__xludf.DUMMYFUNCTION("""COMPUTED_VALUE"""),"Building")</f>
        <v>Building</v>
      </c>
      <c r="F452" s="3" t="str">
        <f>IFERROR(__xludf.DUMMYFUNCTION("""COMPUTED_VALUE"""),"Flow Meter")</f>
        <v>Flow Meter</v>
      </c>
      <c r="G452" s="3" t="str">
        <f>IFERROR(__xludf.DUMMYFUNCTION("""COMPUTED_VALUE"""),"Utility Equipment; ; ; - VORTEX FLOWMETER, REMOTE TYPE DISPLAY, CABLE LENGTH 20M CONN FLANGE PN16 DN80, OUTPUT 4-20MA +RS485, PWR 24 VDC, SS304, EX PROOF, SPV NO: VOFT80S32R1D - VORTEX FLOWMETER, REMOTE TYPE DISPLAY, CABLE LENGTH 20M CONN F")</f>
        <v>Utility Equipment; ; ; - VORTEX FLOWMETER, REMOTE TYPE DISPLAY, CABLE LENGTH 20M CONN FLANGE PN16 DN80, OUTPUT 4-20MA +RS485, PWR 24 VDC, SS304, EX PROOF, SPV NO: VOFT80S32R1D - VORTEX FLOWMETER, REMOTE TYPE DISPLAY, CABLE LENGTH 20M CONN F</v>
      </c>
      <c r="H452" s="3" t="str">
        <f>IFERROR(__xludf.DUMMYFUNCTION("""COMPUTED_VALUE"""),"SSPV")</f>
        <v>SSPV</v>
      </c>
      <c r="I452" s="3">
        <f>IFERROR(__xludf.DUMMYFUNCTION("""COMPUTED_VALUE"""),1.0)</f>
        <v>1</v>
      </c>
      <c r="J452" s="3" t="str">
        <f>IFERROR(__xludf.DUMMYFUNCTION("""COMPUTED_VALUE"""),"Unit")</f>
        <v>Unit</v>
      </c>
      <c r="K452" s="3" t="str">
        <f>IFERROR(__xludf.DUMMYFUNCTION("""COMPUTED_VALUE"""),"Email Mas Ken")</f>
        <v>Email Mas Ken</v>
      </c>
      <c r="L452" s="3" t="str">
        <f>IFERROR(__xludf.DUMMYFUNCTION("""COMPUTED_VALUE"""),"3191 121703597 - APPROVED R-21013-00")</f>
        <v>3191 121703597 - APPROVED R-21013-00</v>
      </c>
      <c r="M452" s="3" t="str">
        <f>IFERROR(__xludf.DUMMYFUNCTION("""COMPUTED_VALUE"""),"Approve")</f>
        <v>Approve</v>
      </c>
      <c r="N452" s="3" t="str">
        <f>IFERROR(__xludf.DUMMYFUNCTION("""COMPUTED_VALUE"""),"Normal")</f>
        <v>Normal</v>
      </c>
      <c r="O452" s="3" t="str">
        <f>IFERROR(__xludf.DUMMYFUNCTION("""COMPUTED_VALUE"""),"Non Urgent")</f>
        <v>Non Urgent</v>
      </c>
      <c r="P452" s="7">
        <f>IFERROR(__xludf.DUMMYFUNCTION("""COMPUTED_VALUE"""),46047.893060428236)</f>
        <v>46047.89306</v>
      </c>
    </row>
    <row r="453">
      <c r="A453" s="4">
        <f>IFERROR(__xludf.DUMMYFUNCTION("""COMPUTED_VALUE"""),46062.37783008102)</f>
        <v>46062.37783</v>
      </c>
      <c r="B453" s="3" t="str">
        <f>IFERROR(__xludf.DUMMYFUNCTION("""COMPUTED_VALUE"""),"MFHBR0025")</f>
        <v>MFHBR0025</v>
      </c>
      <c r="C453" s="3" t="str">
        <f>IFERROR(__xludf.DUMMYFUNCTION("""COMPUTED_VALUE"""),"Critical Part")</f>
        <v>Critical Part</v>
      </c>
      <c r="D453" s="3" t="str">
        <f>IFERROR(__xludf.DUMMYFUNCTION("""COMPUTED_VALUE"""),"-")</f>
        <v>-</v>
      </c>
      <c r="E453" s="3" t="str">
        <f>IFERROR(__xludf.DUMMYFUNCTION("""COMPUTED_VALUE"""),"Building")</f>
        <v>Building</v>
      </c>
      <c r="F453" s="3" t="str">
        <f>IFERROR(__xludf.DUMMYFUNCTION("""COMPUTED_VALUE"""),"Flow Meter")</f>
        <v>Flow Meter</v>
      </c>
      <c r="G453" s="3" t="str">
        <f>IFERROR(__xludf.DUMMYFUNCTION("""COMPUTED_VALUE"""),"Utility Equipment; ; ; - FLOWMETER ULTRASONIC, MODEL MUF-2000 SERIES, WALL MOUNTED, CLAMP ON, MIDDLE SIZE DN50-700,10 MT CABLE, OUTPUT PULSE+4-20MA+RS485, COMPLETE PACKAGE")</f>
        <v>Utility Equipment; ; ; - FLOWMETER ULTRASONIC, MODEL MUF-2000 SERIES, WALL MOUNTED, CLAMP ON, MIDDLE SIZE DN50-700,10 MT CABLE, OUTPUT PULSE+4-20MA+RS485, COMPLETE PACKAGE</v>
      </c>
      <c r="H453" s="3" t="str">
        <f>IFERROR(__xludf.DUMMYFUNCTION("""COMPUTED_VALUE"""),"SSPV")</f>
        <v>SSPV</v>
      </c>
      <c r="I453" s="3">
        <f>IFERROR(__xludf.DUMMYFUNCTION("""COMPUTED_VALUE"""),1.0)</f>
        <v>1</v>
      </c>
      <c r="J453" s="3" t="str">
        <f>IFERROR(__xludf.DUMMYFUNCTION("""COMPUTED_VALUE"""),"Unit")</f>
        <v>Unit</v>
      </c>
      <c r="K453" s="3" t="str">
        <f>IFERROR(__xludf.DUMMYFUNCTION("""COMPUTED_VALUE"""),"Email Mas Ken")</f>
        <v>Email Mas Ken</v>
      </c>
      <c r="L453" s="3" t="str">
        <f>IFERROR(__xludf.DUMMYFUNCTION("""COMPUTED_VALUE"""),"3192 121703600 - APPROVED R-21013-00")</f>
        <v>3192 121703600 - APPROVED R-21013-00</v>
      </c>
      <c r="M453" s="3" t="str">
        <f>IFERROR(__xludf.DUMMYFUNCTION("""COMPUTED_VALUE"""),"Approve")</f>
        <v>Approve</v>
      </c>
      <c r="N453" s="3" t="str">
        <f>IFERROR(__xludf.DUMMYFUNCTION("""COMPUTED_VALUE"""),"Normal")</f>
        <v>Normal</v>
      </c>
      <c r="O453" s="3" t="str">
        <f>IFERROR(__xludf.DUMMYFUNCTION("""COMPUTED_VALUE"""),"Non Urgent")</f>
        <v>Non Urgent</v>
      </c>
      <c r="P453" s="7">
        <f>IFERROR(__xludf.DUMMYFUNCTION("""COMPUTED_VALUE"""),46047.893142835645)</f>
        <v>46047.89314</v>
      </c>
    </row>
    <row r="454">
      <c r="A454" s="4">
        <f>IFERROR(__xludf.DUMMYFUNCTION("""COMPUTED_VALUE"""),46062.37783008102)</f>
        <v>46062.37783</v>
      </c>
      <c r="B454" s="3" t="str">
        <f>IFERROR(__xludf.DUMMYFUNCTION("""COMPUTED_VALUE"""),"MFHBR0026")</f>
        <v>MFHBR0026</v>
      </c>
      <c r="C454" s="3" t="str">
        <f>IFERROR(__xludf.DUMMYFUNCTION("""COMPUTED_VALUE"""),"Critical Part")</f>
        <v>Critical Part</v>
      </c>
      <c r="D454" s="3" t="str">
        <f>IFERROR(__xludf.DUMMYFUNCTION("""COMPUTED_VALUE"""),"-")</f>
        <v>-</v>
      </c>
      <c r="E454" s="3" t="str">
        <f>IFERROR(__xludf.DUMMYFUNCTION("""COMPUTED_VALUE"""),"Water System")</f>
        <v>Water System</v>
      </c>
      <c r="F454" s="3" t="str">
        <f>IFERROR(__xludf.DUMMYFUNCTION("""COMPUTED_VALUE"""),"Pompa")</f>
        <v>Pompa</v>
      </c>
      <c r="G454" s="3" t="str">
        <f>IFERROR(__xludf.DUMMYFUNCTION("""COMPUTED_VALUE"""),"Utility Equipment; ; ; - Pompa Grundfos CRN1-6 EFO-CX-A-F-HQQE 3x230/400 50HZ")</f>
        <v>Utility Equipment; ; ; - Pompa Grundfos CRN1-6 EFO-CX-A-F-HQQE 3x230/400 50HZ</v>
      </c>
      <c r="H454" s="3" t="str">
        <f>IFERROR(__xludf.DUMMYFUNCTION("""COMPUTED_VALUE"""),"Grundfoss")</f>
        <v>Grundfoss</v>
      </c>
      <c r="I454" s="3">
        <f>IFERROR(__xludf.DUMMYFUNCTION("""COMPUTED_VALUE"""),1.0)</f>
        <v>1</v>
      </c>
      <c r="J454" s="3" t="str">
        <f>IFERROR(__xludf.DUMMYFUNCTION("""COMPUTED_VALUE"""),"Unit")</f>
        <v>Unit</v>
      </c>
      <c r="K454" s="3" t="str">
        <f>IFERROR(__xludf.DUMMYFUNCTION("""COMPUTED_VALUE"""),"Email Mas Ken")</f>
        <v>Email Mas Ken</v>
      </c>
      <c r="L454" s="3" t="str">
        <f>IFERROR(__xludf.DUMMYFUNCTION("""COMPUTED_VALUE"""),"3207 121703620 - APPROVED R-21013-00")</f>
        <v>3207 121703620 - APPROVED R-21013-00</v>
      </c>
      <c r="M454" s="3" t="str">
        <f>IFERROR(__xludf.DUMMYFUNCTION("""COMPUTED_VALUE"""),"Approve")</f>
        <v>Approve</v>
      </c>
      <c r="N454" s="3" t="str">
        <f>IFERROR(__xludf.DUMMYFUNCTION("""COMPUTED_VALUE"""),"Normal")</f>
        <v>Normal</v>
      </c>
      <c r="O454" s="3" t="str">
        <f>IFERROR(__xludf.DUMMYFUNCTION("""COMPUTED_VALUE"""),"Non Urgent")</f>
        <v>Non Urgent</v>
      </c>
      <c r="P454" s="7">
        <f>IFERROR(__xludf.DUMMYFUNCTION("""COMPUTED_VALUE"""),46047.893252951384)</f>
        <v>46047.89325</v>
      </c>
    </row>
    <row r="455">
      <c r="A455" s="4">
        <f>IFERROR(__xludf.DUMMYFUNCTION("""COMPUTED_VALUE"""),46062.37783008102)</f>
        <v>46062.37783</v>
      </c>
      <c r="B455" s="3" t="str">
        <f>IFERROR(__xludf.DUMMYFUNCTION("""COMPUTED_VALUE"""),"MFHBR0027")</f>
        <v>MFHBR0027</v>
      </c>
      <c r="C455" s="3" t="str">
        <f>IFERROR(__xludf.DUMMYFUNCTION("""COMPUTED_VALUE"""),"Critical Part")</f>
        <v>Critical Part</v>
      </c>
      <c r="D455" s="3" t="str">
        <f>IFERROR(__xludf.DUMMYFUNCTION("""COMPUTED_VALUE"""),"-")</f>
        <v>-</v>
      </c>
      <c r="E455" s="3" t="str">
        <f>IFERROR(__xludf.DUMMYFUNCTION("""COMPUTED_VALUE"""),"Water System")</f>
        <v>Water System</v>
      </c>
      <c r="F455" s="3" t="str">
        <f>IFERROR(__xludf.DUMMYFUNCTION("""COMPUTED_VALUE"""),"Upgrade Sensor Ozone")</f>
        <v>Upgrade Sensor Ozone</v>
      </c>
      <c r="G455" s="3" t="str">
        <f>IFERROR(__xludf.DUMMYFUNCTION("""COMPUTED_VALUE"""),"Utility Equipment; ; ; - Transmitter M300 Water 2-CH 1/4DIN 30280778")</f>
        <v>Utility Equipment; ; ; - Transmitter M300 Water 2-CH 1/4DIN 30280778</v>
      </c>
      <c r="H455" s="3" t="str">
        <f>IFERROR(__xludf.DUMMYFUNCTION("""COMPUTED_VALUE"""),"Mettler")</f>
        <v>Mettler</v>
      </c>
      <c r="I455" s="3">
        <f>IFERROR(__xludf.DUMMYFUNCTION("""COMPUTED_VALUE"""),1.0)</f>
        <v>1</v>
      </c>
      <c r="J455" s="3" t="str">
        <f>IFERROR(__xludf.DUMMYFUNCTION("""COMPUTED_VALUE"""),"Unit")</f>
        <v>Unit</v>
      </c>
      <c r="K455" s="3" t="str">
        <f>IFERROR(__xludf.DUMMYFUNCTION("""COMPUTED_VALUE"""),"Email Mas Ken")</f>
        <v>Email Mas Ken</v>
      </c>
      <c r="L455" s="3" t="str">
        <f>IFERROR(__xludf.DUMMYFUNCTION("""COMPUTED_VALUE"""),"3255 121703680 - APPROVED R21013-00")</f>
        <v>3255 121703680 - APPROVED R21013-00</v>
      </c>
      <c r="M455" s="3" t="str">
        <f>IFERROR(__xludf.DUMMYFUNCTION("""COMPUTED_VALUE"""),"Approve")</f>
        <v>Approve</v>
      </c>
      <c r="N455" s="3" t="str">
        <f>IFERROR(__xludf.DUMMYFUNCTION("""COMPUTED_VALUE"""),"Normal")</f>
        <v>Normal</v>
      </c>
      <c r="O455" s="3" t="str">
        <f>IFERROR(__xludf.DUMMYFUNCTION("""COMPUTED_VALUE"""),"Non Urgent")</f>
        <v>Non Urgent</v>
      </c>
      <c r="P455" s="7">
        <f>IFERROR(__xludf.DUMMYFUNCTION("""COMPUTED_VALUE"""),46047.893337002315)</f>
        <v>46047.89334</v>
      </c>
    </row>
    <row r="456">
      <c r="A456" s="4">
        <f>IFERROR(__xludf.DUMMYFUNCTION("""COMPUTED_VALUE"""),46062.37783008102)</f>
        <v>46062.37783</v>
      </c>
      <c r="B456" s="3" t="str">
        <f>IFERROR(__xludf.DUMMYFUNCTION("""COMPUTED_VALUE"""),"MFHBR0028")</f>
        <v>MFHBR0028</v>
      </c>
      <c r="C456" s="3" t="str">
        <f>IFERROR(__xludf.DUMMYFUNCTION("""COMPUTED_VALUE"""),"Critical Part")</f>
        <v>Critical Part</v>
      </c>
      <c r="D456" s="3" t="str">
        <f>IFERROR(__xludf.DUMMYFUNCTION("""COMPUTED_VALUE"""),"-")</f>
        <v>-</v>
      </c>
      <c r="E456" s="3" t="str">
        <f>IFERROR(__xludf.DUMMYFUNCTION("""COMPUTED_VALUE"""),"Water System")</f>
        <v>Water System</v>
      </c>
      <c r="F456" s="3" t="str">
        <f>IFERROR(__xludf.DUMMYFUNCTION("""COMPUTED_VALUE"""),"Upgrade Sensor Ozone")</f>
        <v>Upgrade Sensor Ozone</v>
      </c>
      <c r="G456" s="3" t="str">
        <f>IFERROR(__xludf.DUMMYFUNCTION("""COMPUTED_VALUE"""),"Utility Equipment; ; ; - O3 Sensor Probe, pureO3/12/120 30139305")</f>
        <v>Utility Equipment; ; ; - O3 Sensor Probe, pureO3/12/120 30139305</v>
      </c>
      <c r="H456" s="3" t="str">
        <f>IFERROR(__xludf.DUMMYFUNCTION("""COMPUTED_VALUE"""),"Mettler")</f>
        <v>Mettler</v>
      </c>
      <c r="I456" s="3">
        <f>IFERROR(__xludf.DUMMYFUNCTION("""COMPUTED_VALUE"""),1.0)</f>
        <v>1</v>
      </c>
      <c r="J456" s="3" t="str">
        <f>IFERROR(__xludf.DUMMYFUNCTION("""COMPUTED_VALUE"""),"Unit")</f>
        <v>Unit</v>
      </c>
      <c r="K456" s="3" t="str">
        <f>IFERROR(__xludf.DUMMYFUNCTION("""COMPUTED_VALUE"""),"Email Mas Ken")</f>
        <v>Email Mas Ken</v>
      </c>
      <c r="L456" s="3" t="str">
        <f>IFERROR(__xludf.DUMMYFUNCTION("""COMPUTED_VALUE"""),"3256 121703680 - APPROVED R21013-00")</f>
        <v>3256 121703680 - APPROVED R21013-00</v>
      </c>
      <c r="M456" s="3" t="str">
        <f>IFERROR(__xludf.DUMMYFUNCTION("""COMPUTED_VALUE"""),"Approve")</f>
        <v>Approve</v>
      </c>
      <c r="N456" s="3" t="str">
        <f>IFERROR(__xludf.DUMMYFUNCTION("""COMPUTED_VALUE"""),"Normal")</f>
        <v>Normal</v>
      </c>
      <c r="O456" s="3" t="str">
        <f>IFERROR(__xludf.DUMMYFUNCTION("""COMPUTED_VALUE"""),"Non Urgent")</f>
        <v>Non Urgent</v>
      </c>
      <c r="P456" s="7">
        <f>IFERROR(__xludf.DUMMYFUNCTION("""COMPUTED_VALUE"""),46047.89429628472)</f>
        <v>46047.8943</v>
      </c>
    </row>
    <row r="457">
      <c r="A457" s="4">
        <f>IFERROR(__xludf.DUMMYFUNCTION("""COMPUTED_VALUE"""),46062.37783008102)</f>
        <v>46062.37783</v>
      </c>
      <c r="B457" s="3" t="str">
        <f>IFERROR(__xludf.DUMMYFUNCTION("""COMPUTED_VALUE"""),"MFHBR0029")</f>
        <v>MFHBR0029</v>
      </c>
      <c r="C457" s="3" t="str">
        <f>IFERROR(__xludf.DUMMYFUNCTION("""COMPUTED_VALUE"""),"Critical Part")</f>
        <v>Critical Part</v>
      </c>
      <c r="D457" s="3" t="str">
        <f>IFERROR(__xludf.DUMMYFUNCTION("""COMPUTED_VALUE"""),"-")</f>
        <v>-</v>
      </c>
      <c r="E457" s="3" t="str">
        <f>IFERROR(__xludf.DUMMYFUNCTION("""COMPUTED_VALUE"""),"Water System")</f>
        <v>Water System</v>
      </c>
      <c r="F457" s="3" t="str">
        <f>IFERROR(__xludf.DUMMYFUNCTION("""COMPUTED_VALUE"""),"Upgrade Sensor Ozone")</f>
        <v>Upgrade Sensor Ozone</v>
      </c>
      <c r="G457" s="3" t="str">
        <f>IFERROR(__xludf.DUMMYFUNCTION("""COMPUTED_VALUE"""),"Utility Equipment; ; ; - Cable AK9/10m 59902230")</f>
        <v>Utility Equipment; ; ; - Cable AK9/10m 59902230</v>
      </c>
      <c r="H457" s="3" t="str">
        <f>IFERROR(__xludf.DUMMYFUNCTION("""COMPUTED_VALUE"""),"Mettler")</f>
        <v>Mettler</v>
      </c>
      <c r="I457" s="3">
        <f>IFERROR(__xludf.DUMMYFUNCTION("""COMPUTED_VALUE"""),1.0)</f>
        <v>1</v>
      </c>
      <c r="J457" s="3" t="str">
        <f>IFERROR(__xludf.DUMMYFUNCTION("""COMPUTED_VALUE"""),"Unit")</f>
        <v>Unit</v>
      </c>
      <c r="K457" s="3" t="str">
        <f>IFERROR(__xludf.DUMMYFUNCTION("""COMPUTED_VALUE"""),"Email Mas Ken")</f>
        <v>Email Mas Ken</v>
      </c>
      <c r="L457" s="3" t="str">
        <f>IFERROR(__xludf.DUMMYFUNCTION("""COMPUTED_VALUE"""),"3257 121703680 - APPROVED R21013-00")</f>
        <v>3257 121703680 - APPROVED R21013-00</v>
      </c>
      <c r="M457" s="3" t="str">
        <f>IFERROR(__xludf.DUMMYFUNCTION("""COMPUTED_VALUE"""),"Approve")</f>
        <v>Approve</v>
      </c>
      <c r="N457" s="3" t="str">
        <f>IFERROR(__xludf.DUMMYFUNCTION("""COMPUTED_VALUE"""),"Normal")</f>
        <v>Normal</v>
      </c>
      <c r="O457" s="3" t="str">
        <f>IFERROR(__xludf.DUMMYFUNCTION("""COMPUTED_VALUE"""),"Non Urgent")</f>
        <v>Non Urgent</v>
      </c>
      <c r="P457" s="7">
        <f>IFERROR(__xludf.DUMMYFUNCTION("""COMPUTED_VALUE"""),46089.983068263886)</f>
        <v>46089.98307</v>
      </c>
    </row>
    <row r="458">
      <c r="A458" s="4">
        <f>IFERROR(__xludf.DUMMYFUNCTION("""COMPUTED_VALUE"""),46062.37783008102)</f>
        <v>46062.37783</v>
      </c>
      <c r="B458" s="3" t="str">
        <f>IFERROR(__xludf.DUMMYFUNCTION("""COMPUTED_VALUE"""),"MFHBR0030")</f>
        <v>MFHBR0030</v>
      </c>
      <c r="C458" s="3" t="str">
        <f>IFERROR(__xludf.DUMMYFUNCTION("""COMPUTED_VALUE"""),"Critical Part")</f>
        <v>Critical Part</v>
      </c>
      <c r="D458" s="3" t="str">
        <f>IFERROR(__xludf.DUMMYFUNCTION("""COMPUTED_VALUE"""),"-")</f>
        <v>-</v>
      </c>
      <c r="E458" s="3" t="str">
        <f>IFERROR(__xludf.DUMMYFUNCTION("""COMPUTED_VALUE"""),"Water System")</f>
        <v>Water System</v>
      </c>
      <c r="F458" s="3" t="str">
        <f>IFERROR(__xludf.DUMMYFUNCTION("""COMPUTED_VALUE"""),"Upgrade Sensor Ozone")</f>
        <v>Upgrade Sensor Ozone</v>
      </c>
      <c r="G458" s="3" t="str">
        <f>IFERROR(__xludf.DUMMYFUNCTION("""COMPUTED_VALUE"""),"Utility Equipment; ; ; - Setup Standard Configuration EA")</f>
        <v>Utility Equipment; ; ; - Setup Standard Configuration EA</v>
      </c>
      <c r="H458" s="3" t="str">
        <f>IFERROR(__xludf.DUMMYFUNCTION("""COMPUTED_VALUE"""),"Mettler")</f>
        <v>Mettler</v>
      </c>
      <c r="I458" s="3">
        <f>IFERROR(__xludf.DUMMYFUNCTION("""COMPUTED_VALUE"""),1.0)</f>
        <v>1</v>
      </c>
      <c r="J458" s="3" t="str">
        <f>IFERROR(__xludf.DUMMYFUNCTION("""COMPUTED_VALUE"""),"Unit")</f>
        <v>Unit</v>
      </c>
      <c r="K458" s="3" t="str">
        <f>IFERROR(__xludf.DUMMYFUNCTION("""COMPUTED_VALUE"""),"Email Mas Ken")</f>
        <v>Email Mas Ken</v>
      </c>
      <c r="L458" s="3" t="str">
        <f>IFERROR(__xludf.DUMMYFUNCTION("""COMPUTED_VALUE"""),"3258 121703680 - APPROVED R21013-00")</f>
        <v>3258 121703680 - APPROVED R21013-00</v>
      </c>
      <c r="M458" s="3" t="str">
        <f>IFERROR(__xludf.DUMMYFUNCTION("""COMPUTED_VALUE"""),"Approve")</f>
        <v>Approve</v>
      </c>
      <c r="N458" s="3" t="str">
        <f>IFERROR(__xludf.DUMMYFUNCTION("""COMPUTED_VALUE"""),"Normal")</f>
        <v>Normal</v>
      </c>
      <c r="O458" s="3" t="str">
        <f>IFERROR(__xludf.DUMMYFUNCTION("""COMPUTED_VALUE"""),"Non Urgent")</f>
        <v>Non Urgent</v>
      </c>
      <c r="P458" s="7">
        <f>IFERROR(__xludf.DUMMYFUNCTION("""COMPUTED_VALUE"""),46047.89449179398)</f>
        <v>46047.89449</v>
      </c>
    </row>
    <row r="459">
      <c r="A459" s="4">
        <f>IFERROR(__xludf.DUMMYFUNCTION("""COMPUTED_VALUE"""),46062.37783008102)</f>
        <v>46062.37783</v>
      </c>
      <c r="B459" s="3" t="str">
        <f>IFERROR(__xludf.DUMMYFUNCTION("""COMPUTED_VALUE"""),"MFHBR0031")</f>
        <v>MFHBR0031</v>
      </c>
      <c r="C459" s="3" t="str">
        <f>IFERROR(__xludf.DUMMYFUNCTION("""COMPUTED_VALUE"""),"Critical Part")</f>
        <v>Critical Part</v>
      </c>
      <c r="D459" s="3" t="str">
        <f>IFERROR(__xludf.DUMMYFUNCTION("""COMPUTED_VALUE"""),"-")</f>
        <v>-</v>
      </c>
      <c r="E459" s="3" t="str">
        <f>IFERROR(__xludf.DUMMYFUNCTION("""COMPUTED_VALUE"""),"Water System")</f>
        <v>Water System</v>
      </c>
      <c r="F459" s="3" t="str">
        <f>IFERROR(__xludf.DUMMYFUNCTION("""COMPUTED_VALUE"""),"Upgrade Sensor Ozone")</f>
        <v>Upgrade Sensor Ozone</v>
      </c>
      <c r="G459" s="3" t="str">
        <f>IFERROR(__xludf.DUMMYFUNCTION("""COMPUTED_VALUE"""),"Utility Equipment; ; ; - Calibrate Sensor OnSite")</f>
        <v>Utility Equipment; ; ; - Calibrate Sensor OnSite</v>
      </c>
      <c r="H459" s="3" t="str">
        <f>IFERROR(__xludf.DUMMYFUNCTION("""COMPUTED_VALUE"""),"Mettler")</f>
        <v>Mettler</v>
      </c>
      <c r="I459" s="3">
        <f>IFERROR(__xludf.DUMMYFUNCTION("""COMPUTED_VALUE"""),1.0)</f>
        <v>1</v>
      </c>
      <c r="J459" s="3" t="str">
        <f>IFERROR(__xludf.DUMMYFUNCTION("""COMPUTED_VALUE"""),"Unit")</f>
        <v>Unit</v>
      </c>
      <c r="K459" s="3" t="str">
        <f>IFERROR(__xludf.DUMMYFUNCTION("""COMPUTED_VALUE"""),"Email Mas Ken")</f>
        <v>Email Mas Ken</v>
      </c>
      <c r="L459" s="3" t="str">
        <f>IFERROR(__xludf.DUMMYFUNCTION("""COMPUTED_VALUE"""),"3259 121703680 - APPROVED R21013-00")</f>
        <v>3259 121703680 - APPROVED R21013-00</v>
      </c>
      <c r="M459" s="3" t="str">
        <f>IFERROR(__xludf.DUMMYFUNCTION("""COMPUTED_VALUE"""),"Approve")</f>
        <v>Approve</v>
      </c>
      <c r="N459" s="3" t="str">
        <f>IFERROR(__xludf.DUMMYFUNCTION("""COMPUTED_VALUE"""),"Normal")</f>
        <v>Normal</v>
      </c>
      <c r="O459" s="3" t="str">
        <f>IFERROR(__xludf.DUMMYFUNCTION("""COMPUTED_VALUE"""),"Non Urgent")</f>
        <v>Non Urgent</v>
      </c>
      <c r="P459" s="7">
        <f>IFERROR(__xludf.DUMMYFUNCTION("""COMPUTED_VALUE"""),46047.894578402775)</f>
        <v>46047.89458</v>
      </c>
    </row>
    <row r="460">
      <c r="A460" s="4">
        <f>IFERROR(__xludf.DUMMYFUNCTION("""COMPUTED_VALUE"""),46062.37783008102)</f>
        <v>46062.37783</v>
      </c>
      <c r="B460" s="3" t="str">
        <f>IFERROR(__xludf.DUMMYFUNCTION("""COMPUTED_VALUE"""),"MFHBR0032")</f>
        <v>MFHBR0032</v>
      </c>
      <c r="C460" s="3" t="str">
        <f>IFERROR(__xludf.DUMMYFUNCTION("""COMPUTED_VALUE"""),"Critical Part")</f>
        <v>Critical Part</v>
      </c>
      <c r="D460" s="3" t="str">
        <f>IFERROR(__xludf.DUMMYFUNCTION("""COMPUTED_VALUE"""),"-")</f>
        <v>-</v>
      </c>
      <c r="E460" s="3" t="str">
        <f>IFERROR(__xludf.DUMMYFUNCTION("""COMPUTED_VALUE"""),"FD")</f>
        <v>FD</v>
      </c>
      <c r="F460" s="3" t="str">
        <f>IFERROR(__xludf.DUMMYFUNCTION("""COMPUTED_VALUE"""),"Machine Equipment; ; ; - Exhaust Freeze Dryer")</f>
        <v>Machine Equipment; ; ; - Exhaust Freeze Dryer</v>
      </c>
      <c r="G460" s="3" t="str">
        <f>IFERROR(__xludf.DUMMYFUNCTION("""COMPUTED_VALUE"""),"-")</f>
        <v>-</v>
      </c>
      <c r="H460" s="3" t="str">
        <f>IFERROR(__xludf.DUMMYFUNCTION("""COMPUTED_VALUE"""),"KPE")</f>
        <v>KPE</v>
      </c>
      <c r="I460" s="3">
        <f>IFERROR(__xludf.DUMMYFUNCTION("""COMPUTED_VALUE"""),1.0)</f>
        <v>1</v>
      </c>
      <c r="J460" s="3" t="str">
        <f>IFERROR(__xludf.DUMMYFUNCTION("""COMPUTED_VALUE"""),"Unit")</f>
        <v>Unit</v>
      </c>
      <c r="K460" s="3" t="str">
        <f>IFERROR(__xludf.DUMMYFUNCTION("""COMPUTED_VALUE"""),"Email Mas Ken")</f>
        <v>Email Mas Ken</v>
      </c>
      <c r="L460" s="3" t="str">
        <f>IFERROR(__xludf.DUMMYFUNCTION("""COMPUTED_VALUE"""),"3261 121703686 - APPROVED R-20024-00")</f>
        <v>3261 121703686 - APPROVED R-20024-00</v>
      </c>
      <c r="M460" s="3" t="str">
        <f>IFERROR(__xludf.DUMMYFUNCTION("""COMPUTED_VALUE"""),"Approve")</f>
        <v>Approve</v>
      </c>
      <c r="N460" s="3" t="str">
        <f>IFERROR(__xludf.DUMMYFUNCTION("""COMPUTED_VALUE"""),"Normal")</f>
        <v>Normal</v>
      </c>
      <c r="O460" s="3" t="str">
        <f>IFERROR(__xludf.DUMMYFUNCTION("""COMPUTED_VALUE"""),"Non Urgent")</f>
        <v>Non Urgent</v>
      </c>
      <c r="P460" s="7">
        <f>IFERROR(__xludf.DUMMYFUNCTION("""COMPUTED_VALUE"""),46047.89465901621)</f>
        <v>46047.89466</v>
      </c>
    </row>
    <row r="461">
      <c r="A461" s="4">
        <f>IFERROR(__xludf.DUMMYFUNCTION("""COMPUTED_VALUE"""),46062.37783008102)</f>
        <v>46062.37783</v>
      </c>
      <c r="B461" s="3" t="str">
        <f>IFERROR(__xludf.DUMMYFUNCTION("""COMPUTED_VALUE"""),"MFHBR0033")</f>
        <v>MFHBR0033</v>
      </c>
      <c r="C461" s="3" t="str">
        <f>IFERROR(__xludf.DUMMYFUNCTION("""COMPUTED_VALUE"""),"Critical Part")</f>
        <v>Critical Part</v>
      </c>
      <c r="D461" s="3" t="str">
        <f>IFERROR(__xludf.DUMMYFUNCTION("""COMPUTED_VALUE"""),"-")</f>
        <v>-</v>
      </c>
      <c r="E461" s="3" t="str">
        <f>IFERROR(__xludf.DUMMYFUNCTION("""COMPUTED_VALUE"""),"Office")</f>
        <v>Office</v>
      </c>
      <c r="F461" s="3" t="str">
        <f>IFERROR(__xludf.DUMMYFUNCTION("""COMPUTED_VALUE"""),"TC ENG")</f>
        <v>TC ENG</v>
      </c>
      <c r="G461" s="3" t="str">
        <f>IFERROR(__xludf.DUMMYFUNCTION("""COMPUTED_VALUE"""),"Monitor - Dell Monitor E2225H 21.5"" Widescreen")</f>
        <v>Monitor - Dell Monitor E2225H 21.5" Widescreen</v>
      </c>
      <c r="H461" s="3" t="str">
        <f>IFERROR(__xludf.DUMMYFUNCTION("""COMPUTED_VALUE"""),"Dell")</f>
        <v>Dell</v>
      </c>
      <c r="I461" s="3">
        <f>IFERROR(__xludf.DUMMYFUNCTION("""COMPUTED_VALUE"""),2.0)</f>
        <v>2</v>
      </c>
      <c r="J461" s="3" t="str">
        <f>IFERROR(__xludf.DUMMYFUNCTION("""COMPUTED_VALUE"""),"Unit")</f>
        <v>Unit</v>
      </c>
      <c r="K461" s="3" t="str">
        <f>IFERROR(__xludf.DUMMYFUNCTION("""COMPUTED_VALUE"""),"PO QA")</f>
        <v>PO QA</v>
      </c>
      <c r="L461" s="3" t="str">
        <f>IFERROR(__xludf.DUMMYFUNCTION("""COMPUTED_VALUE"""),"3275 121703695 - APPROVED R-62003-00")</f>
        <v>3275 121703695 - APPROVED R-62003-00</v>
      </c>
      <c r="M461" s="3" t="str">
        <f>IFERROR(__xludf.DUMMYFUNCTION("""COMPUTED_VALUE"""),"Approve")</f>
        <v>Approve</v>
      </c>
      <c r="N461" s="3" t="str">
        <f>IFERROR(__xludf.DUMMYFUNCTION("""COMPUTED_VALUE"""),"Normal")</f>
        <v>Normal</v>
      </c>
      <c r="O461" s="3" t="str">
        <f>IFERROR(__xludf.DUMMYFUNCTION("""COMPUTED_VALUE"""),"Non Urgent")</f>
        <v>Non Urgent</v>
      </c>
      <c r="P461" s="7">
        <f>IFERROR(__xludf.DUMMYFUNCTION("""COMPUTED_VALUE"""),46047.89475114583)</f>
        <v>46047.89475</v>
      </c>
    </row>
    <row r="462">
      <c r="A462" s="4">
        <f>IFERROR(__xludf.DUMMYFUNCTION("""COMPUTED_VALUE"""),46062.37783008102)</f>
        <v>46062.37783</v>
      </c>
      <c r="B462" s="3" t="str">
        <f>IFERROR(__xludf.DUMMYFUNCTION("""COMPUTED_VALUE"""),"MFHBR0034")</f>
        <v>MFHBR0034</v>
      </c>
      <c r="C462" s="3" t="str">
        <f>IFERROR(__xludf.DUMMYFUNCTION("""COMPUTED_VALUE"""),"Critical Part")</f>
        <v>Critical Part</v>
      </c>
      <c r="D462" s="3" t="str">
        <f>IFERROR(__xludf.DUMMYFUNCTION("""COMPUTED_VALUE"""),"-")</f>
        <v>-</v>
      </c>
      <c r="E462" s="3" t="str">
        <f>IFERROR(__xludf.DUMMYFUNCTION("""COMPUTED_VALUE"""),"Office")</f>
        <v>Office</v>
      </c>
      <c r="F462" s="3" t="str">
        <f>IFERROR(__xludf.DUMMYFUNCTION("""COMPUTED_VALUE"""),"TC ENG")</f>
        <v>TC ENG</v>
      </c>
      <c r="G462" s="3" t="str">
        <f>IFERROR(__xludf.DUMMYFUNCTION("""COMPUTED_VALUE"""),"Thin Client - Thin Client HP Pro T550 (Linux)")</f>
        <v>Thin Client - Thin Client HP Pro T550 (Linux)</v>
      </c>
      <c r="H462" s="3" t="str">
        <f>IFERROR(__xludf.DUMMYFUNCTION("""COMPUTED_VALUE"""),"HP")</f>
        <v>HP</v>
      </c>
      <c r="I462" s="3">
        <f>IFERROR(__xludf.DUMMYFUNCTION("""COMPUTED_VALUE"""),2.0)</f>
        <v>2</v>
      </c>
      <c r="J462" s="3" t="str">
        <f>IFERROR(__xludf.DUMMYFUNCTION("""COMPUTED_VALUE"""),"Unit")</f>
        <v>Unit</v>
      </c>
      <c r="K462" s="3" t="str">
        <f>IFERROR(__xludf.DUMMYFUNCTION("""COMPUTED_VALUE"""),"PO QA")</f>
        <v>PO QA</v>
      </c>
      <c r="L462" s="3" t="str">
        <f>IFERROR(__xludf.DUMMYFUNCTION("""COMPUTED_VALUE"""),"3276 121703695 - APPROVED R-62019-00")</f>
        <v>3276 121703695 - APPROVED R-62019-00</v>
      </c>
      <c r="M462" s="3" t="str">
        <f>IFERROR(__xludf.DUMMYFUNCTION("""COMPUTED_VALUE"""),"Approve")</f>
        <v>Approve</v>
      </c>
      <c r="N462" s="3" t="str">
        <f>IFERROR(__xludf.DUMMYFUNCTION("""COMPUTED_VALUE"""),"Normal")</f>
        <v>Normal</v>
      </c>
      <c r="O462" s="3" t="str">
        <f>IFERROR(__xludf.DUMMYFUNCTION("""COMPUTED_VALUE"""),"Non Urgent")</f>
        <v>Non Urgent</v>
      </c>
      <c r="P462" s="7">
        <f>IFERROR(__xludf.DUMMYFUNCTION("""COMPUTED_VALUE"""),46062.379736620365)</f>
        <v>46062.37974</v>
      </c>
    </row>
    <row r="463">
      <c r="A463" s="4">
        <f>IFERROR(__xludf.DUMMYFUNCTION("""COMPUTED_VALUE"""),46062.37800035879)</f>
        <v>46062.378</v>
      </c>
      <c r="B463" s="3" t="str">
        <f>IFERROR(__xludf.DUMMYFUNCTION("""COMPUTED_VALUE"""),"MFHBR0019")</f>
        <v>MFHBR0019</v>
      </c>
      <c r="C463" s="3" t="str">
        <f>IFERROR(__xludf.DUMMYFUNCTION("""COMPUTED_VALUE"""),"Critical Part")</f>
        <v>Critical Part</v>
      </c>
      <c r="D463" s="3" t="str">
        <f>IFERROR(__xludf.DUMMYFUNCTION("""COMPUTED_VALUE"""),"EJO/2026/02/01")</f>
        <v>EJO/2026/02/01</v>
      </c>
      <c r="E463" s="3" t="str">
        <f>IFERROR(__xludf.DUMMYFUNCTION("""COMPUTED_VALUE"""),"Coating")</f>
        <v>Coating</v>
      </c>
      <c r="F463" s="3" t="str">
        <f>IFERROR(__xludf.DUMMYFUNCTION("""COMPUTED_VALUE"""),"Coating PLAB - Directional Control Valve; SMC; VNA101A-F6A; 1 Pc")</f>
        <v>Coating PLAB - Directional Control Valve; SMC; VNA101A-F6A; 1 Pc</v>
      </c>
      <c r="G463" s="3" t="str">
        <f>IFERROR(__xludf.DUMMYFUNCTION("""COMPUTED_VALUE"""),"-")</f>
        <v>-</v>
      </c>
      <c r="H463" s="3" t="str">
        <f>IFERROR(__xludf.DUMMYFUNCTION("""COMPUTED_VALUE"""),"-")</f>
        <v>-</v>
      </c>
      <c r="I463" s="3">
        <f>IFERROR(__xludf.DUMMYFUNCTION("""COMPUTED_VALUE"""),3.0)</f>
        <v>3</v>
      </c>
      <c r="J463" s="3" t="str">
        <f>IFERROR(__xludf.DUMMYFUNCTION("""COMPUTED_VALUE"""),"Pcs")</f>
        <v>Pcs</v>
      </c>
      <c r="K463" s="3" t="str">
        <f>IFERROR(__xludf.DUMMYFUNCTION("""COMPUTED_VALUE"""),"WA Mas Umar")</f>
        <v>WA Mas Umar</v>
      </c>
      <c r="L463" s="3" t="str">
        <f>IFERROR(__xludf.DUMMYFUNCTION("""COMPUTED_VALUE"""),"3272 121703690 O-21305-00")</f>
        <v>3272 121703690 O-21305-00</v>
      </c>
      <c r="M463" s="3" t="str">
        <f>IFERROR(__xludf.DUMMYFUNCTION("""COMPUTED_VALUE"""),"Approve")</f>
        <v>Approve</v>
      </c>
      <c r="N463" s="3" t="str">
        <f>IFERROR(__xludf.DUMMYFUNCTION("""COMPUTED_VALUE"""),"Normal")</f>
        <v>Normal</v>
      </c>
      <c r="O463" s="3" t="str">
        <f>IFERROR(__xludf.DUMMYFUNCTION("""COMPUTED_VALUE"""),"Non Urgent")</f>
        <v>Non Urgent</v>
      </c>
      <c r="P463" s="7">
        <f>IFERROR(__xludf.DUMMYFUNCTION("""COMPUTED_VALUE"""),46047.89265155092)</f>
        <v>46047.89265</v>
      </c>
    </row>
    <row r="464">
      <c r="A464" s="4">
        <f>IFERROR(__xludf.DUMMYFUNCTION("""COMPUTED_VALUE"""),46062.63300458333)</f>
        <v>46062.633</v>
      </c>
      <c r="B464" s="3" t="str">
        <f>IFERROR(__xludf.DUMMYFUNCTION("""COMPUTED_VALUE"""),"RIABR0139")</f>
        <v>RIABR0139</v>
      </c>
      <c r="C464" s="3" t="str">
        <f>IFERROR(__xludf.DUMMYFUNCTION("""COMPUTED_VALUE"""),"EJO")</f>
        <v>EJO</v>
      </c>
      <c r="D464" s="3" t="str">
        <f>IFERROR(__xludf.DUMMYFUNCTION("""COMPUTED_VALUE"""),"EJO/2026/02/70")</f>
        <v>EJO/2026/02/70</v>
      </c>
      <c r="E464" s="3" t="str">
        <f>IFERROR(__xludf.DUMMYFUNCTION("""COMPUTED_VALUE"""),"WWTP")</f>
        <v>WWTP</v>
      </c>
      <c r="F464" s="3" t="str">
        <f>IFERROR(__xludf.DUMMYFUNCTION("""COMPUTED_VALUE"""),"Solenoid Valve")</f>
        <v>Solenoid Valve</v>
      </c>
      <c r="G464" s="3" t="str">
        <f>IFERROR(__xludf.DUMMYFUNCTION("""COMPUTED_VALUE"""),"""Solenoid Valve Kuningan 220VAC/24VDC NORMAL OPEN uk 1 inch (32mm) Drat Female Female
* Media : Air, Water, and Oil
* Valve body : Brass
* Working Pressure : 0 - 7 bar
* Max Pressure : 0 - 10 bar
* Port Size : 1 Inch
* Initial State : Normal Open"&amp;"
* Voltage: 220 VAC/24VDC/Dc 12")</f>
        <v>"Solenoid Valve Kuningan 220VAC/24VDC NORMAL OPEN uk 1 inch (32mm) Drat Female Female
* Media : Air, Water, and Oil
* Valve body : Brass
* Working Pressure : 0 - 7 bar
* Max Pressure : 0 - 10 bar
* Port Size : 1 Inch
* Initial State : Normal Open
* Voltage: 220 VAC/24VDC/Dc 12</v>
      </c>
      <c r="H464" s="3" t="str">
        <f>IFERROR(__xludf.DUMMYFUNCTION("""COMPUTED_VALUE"""),"Lokal")</f>
        <v>Lokal</v>
      </c>
      <c r="I464" s="3">
        <f>IFERROR(__xludf.DUMMYFUNCTION("""COMPUTED_VALUE"""),2.0)</f>
        <v>2</v>
      </c>
      <c r="J464" s="3" t="str">
        <f>IFERROR(__xludf.DUMMYFUNCTION("""COMPUTED_VALUE"""),"Pcs")</f>
        <v>Pcs</v>
      </c>
      <c r="K464" s="5" t="str">
        <f>IFERROR(__xludf.DUMMYFUNCTION("""COMPUTED_VALUE"""),"https://www.tokopedia.com/trenindonesia/solenoid-valve-2-way-kuningan-normal-open-1-inch-voltase-ac220-pamy-1729954728013825858?extParam=ivf%3Dfalse%26keyword%3Dsolenoid+valve+1+inch+normaly+open+220+vac%26search_id%3D202602090804246DA37DD3139AA4011VYJ%26"&amp;"src%3Dsearch&amp;t_id=1770624288381&amp;t_st=2&amp;t_pp=search_result&amp;t_efo=search_pure_goods_card&amp;t_ef=goods_search&amp;t_sm=&amp;t_spt=search_result")</f>
        <v>https://www.tokopedia.com/trenindonesia/solenoid-valve-2-way-kuningan-normal-open-1-inch-voltase-ac220-pamy-1729954728013825858?extParam=ivf%3Dfalse%26keyword%3Dsolenoid+valve+1+inch+normaly+open+220+vac%26search_id%3D202602090804246DA37DD3139AA4011VYJ%26src%3Dsearch&amp;t_id=1770624288381&amp;t_st=2&amp;t_pp=search_result&amp;t_efo=search_pure_goods_card&amp;t_ef=goods_search&amp;t_sm=&amp;t_spt=search_result</v>
      </c>
      <c r="L464" s="3" t="str">
        <f>IFERROR(__xludf.DUMMYFUNCTION("""COMPUTED_VALUE"""),"Untuk SV di Reaktor 2 beli yang NO ya 220 VAC")</f>
        <v>Untuk SV di Reaktor 2 beli yang NO ya 220 VAC</v>
      </c>
      <c r="M464" s="3" t="str">
        <f>IFERROR(__xludf.DUMMYFUNCTION("""COMPUTED_VALUE"""),"Approve")</f>
        <v>Approve</v>
      </c>
      <c r="N464" s="3" t="str">
        <f>IFERROR(__xludf.DUMMYFUNCTION("""COMPUTED_VALUE"""),"Normal")</f>
        <v>Normal</v>
      </c>
      <c r="O464" s="3" t="str">
        <f>IFERROR(__xludf.DUMMYFUNCTION("""COMPUTED_VALUE"""),"Non Urgent")</f>
        <v>Non Urgent</v>
      </c>
      <c r="P464" s="7">
        <f>IFERROR(__xludf.DUMMYFUNCTION("""COMPUTED_VALUE"""),46072.99029052083)</f>
        <v>46072.99029</v>
      </c>
    </row>
    <row r="465">
      <c r="A465" s="4">
        <f>IFERROR(__xludf.DUMMYFUNCTION("""COMPUTED_VALUE"""),46062.97194194444)</f>
        <v>46062.97194</v>
      </c>
      <c r="B465" s="3" t="str">
        <f>IFERROR(__xludf.DUMMYFUNCTION("""COMPUTED_VALUE"""),"RIABR0140")</f>
        <v>RIABR0140</v>
      </c>
      <c r="C465" s="3" t="str">
        <f>IFERROR(__xludf.DUMMYFUNCTION("""COMPUTED_VALUE"""),"EJO")</f>
        <v>EJO</v>
      </c>
      <c r="D465" s="3" t="str">
        <f>IFERROR(__xludf.DUMMYFUNCTION("""COMPUTED_VALUE"""),"EJO/2026/01/92")</f>
        <v>EJO/2026/01/92</v>
      </c>
      <c r="E465" s="3" t="str">
        <f>IFERROR(__xludf.DUMMYFUNCTION("""COMPUTED_VALUE"""),"Hot Water")</f>
        <v>Hot Water</v>
      </c>
      <c r="F465" s="3" t="str">
        <f>IFERROR(__xludf.DUMMYFUNCTION("""COMPUTED_VALUE"""),"Insulasi")</f>
        <v>Insulasi</v>
      </c>
      <c r="G465" s="3" t="str">
        <f>IFERROR(__xludf.DUMMYFUNCTION("""COMPUTED_VALUE"""),"Thermaflex Uk 1""x3/4"" (34mmx20mm), kebutuhan 5 mtr")</f>
        <v>Thermaflex Uk 1"x3/4" (34mmx20mm), kebutuhan 5 mtr</v>
      </c>
      <c r="H465" s="3" t="str">
        <f>IFERROR(__xludf.DUMMYFUNCTION("""COMPUTED_VALUE"""),"Thermaflex")</f>
        <v>Thermaflex</v>
      </c>
      <c r="I465" s="3">
        <f>IFERROR(__xludf.DUMMYFUNCTION("""COMPUTED_VALUE"""),3.0)</f>
        <v>3</v>
      </c>
      <c r="J465" s="3" t="str">
        <f>IFERROR(__xludf.DUMMYFUNCTION("""COMPUTED_VALUE"""),"Btg")</f>
        <v>Btg</v>
      </c>
      <c r="K465" s="3" t="str">
        <f>IFERROR(__xludf.DUMMYFUNCTION("""COMPUTED_VALUE"""),"Quote- 0049-PT Fongko international pharmaceuticals.pdf")</f>
        <v>Quote- 0049-PT Fongko international pharmaceuticals.pdf</v>
      </c>
      <c r="L465" s="3" t="str">
        <f>IFERROR(__xludf.DUMMYFUNCTION("""COMPUTED_VALUE"""),"Buat insulasi pipa hot water")</f>
        <v>Buat insulasi pipa hot water</v>
      </c>
      <c r="M465" s="3" t="str">
        <f>IFERROR(__xludf.DUMMYFUNCTION("""COMPUTED_VALUE"""),"Approve")</f>
        <v>Approve</v>
      </c>
      <c r="N465" s="3" t="str">
        <f>IFERROR(__xludf.DUMMYFUNCTION("""COMPUTED_VALUE"""),"Normal")</f>
        <v>Normal</v>
      </c>
      <c r="O465" s="3" t="str">
        <f>IFERROR(__xludf.DUMMYFUNCTION("""COMPUTED_VALUE"""),"Non Urgent")</f>
        <v>Non Urgent</v>
      </c>
      <c r="P465" s="7">
        <f>IFERROR(__xludf.DUMMYFUNCTION("""COMPUTED_VALUE"""),46072.990085)</f>
        <v>46072.99009</v>
      </c>
    </row>
    <row r="466">
      <c r="A466" s="4">
        <f>IFERROR(__xludf.DUMMYFUNCTION("""COMPUTED_VALUE"""),46062.97194194444)</f>
        <v>46062.97194</v>
      </c>
      <c r="B466" s="3" t="str">
        <f>IFERROR(__xludf.DUMMYFUNCTION("""COMPUTED_VALUE"""),"RIABR0141")</f>
        <v>RIABR0141</v>
      </c>
      <c r="C466" s="3" t="str">
        <f>IFERROR(__xludf.DUMMYFUNCTION("""COMPUTED_VALUE"""),"EJO")</f>
        <v>EJO</v>
      </c>
      <c r="D466" s="3" t="str">
        <f>IFERROR(__xludf.DUMMYFUNCTION("""COMPUTED_VALUE"""),"EJO/2026/01/92")</f>
        <v>EJO/2026/01/92</v>
      </c>
      <c r="E466" s="3" t="str">
        <f>IFERROR(__xludf.DUMMYFUNCTION("""COMPUTED_VALUE"""),"Hot Water")</f>
        <v>Hot Water</v>
      </c>
      <c r="F466" s="3" t="str">
        <f>IFERROR(__xludf.DUMMYFUNCTION("""COMPUTED_VALUE"""),"Insulasi")</f>
        <v>Insulasi</v>
      </c>
      <c r="G466" s="3" t="str">
        <f>IFERROR(__xludf.DUMMYFUNCTION("""COMPUTED_VALUE"""),"Thermaflex Uk 2""x3/4"" (60mmx20mm),kebutuhan 5 mtr")</f>
        <v>Thermaflex Uk 2"x3/4" (60mmx20mm),kebutuhan 5 mtr</v>
      </c>
      <c r="H466" s="3" t="str">
        <f>IFERROR(__xludf.DUMMYFUNCTION("""COMPUTED_VALUE"""),"Thermaflex")</f>
        <v>Thermaflex</v>
      </c>
      <c r="I466" s="3">
        <f>IFERROR(__xludf.DUMMYFUNCTION("""COMPUTED_VALUE"""),3.0)</f>
        <v>3</v>
      </c>
      <c r="J466" s="3" t="str">
        <f>IFERROR(__xludf.DUMMYFUNCTION("""COMPUTED_VALUE"""),"Btg")</f>
        <v>Btg</v>
      </c>
      <c r="K466" s="3" t="str">
        <f>IFERROR(__xludf.DUMMYFUNCTION("""COMPUTED_VALUE"""),"Quote- 0049-PT Fongko international pharmaceuticals.pdf")</f>
        <v>Quote- 0049-PT Fongko international pharmaceuticals.pdf</v>
      </c>
      <c r="L466" s="3" t="str">
        <f>IFERROR(__xludf.DUMMYFUNCTION("""COMPUTED_VALUE"""),"Buat insulasi pipa hot water")</f>
        <v>Buat insulasi pipa hot water</v>
      </c>
      <c r="M466" s="3" t="str">
        <f>IFERROR(__xludf.DUMMYFUNCTION("""COMPUTED_VALUE"""),"Approve")</f>
        <v>Approve</v>
      </c>
      <c r="N466" s="3" t="str">
        <f>IFERROR(__xludf.DUMMYFUNCTION("""COMPUTED_VALUE"""),"Normal")</f>
        <v>Normal</v>
      </c>
      <c r="O466" s="3" t="str">
        <f>IFERROR(__xludf.DUMMYFUNCTION("""COMPUTED_VALUE"""),"Non Urgent")</f>
        <v>Non Urgent</v>
      </c>
      <c r="P466" s="7">
        <f>IFERROR(__xludf.DUMMYFUNCTION("""COMPUTED_VALUE"""),46072.9894259838)</f>
        <v>46072.98943</v>
      </c>
    </row>
    <row r="467">
      <c r="A467" s="4">
        <f>IFERROR(__xludf.DUMMYFUNCTION("""COMPUTED_VALUE"""),46062.97194194444)</f>
        <v>46062.97194</v>
      </c>
      <c r="B467" s="3" t="str">
        <f>IFERROR(__xludf.DUMMYFUNCTION("""COMPUTED_VALUE"""),"RIABR0142")</f>
        <v>RIABR0142</v>
      </c>
      <c r="C467" s="3" t="str">
        <f>IFERROR(__xludf.DUMMYFUNCTION("""COMPUTED_VALUE"""),"EJO")</f>
        <v>EJO</v>
      </c>
      <c r="D467" s="3" t="str">
        <f>IFERROR(__xludf.DUMMYFUNCTION("""COMPUTED_VALUE"""),"EJO/2026/01/92")</f>
        <v>EJO/2026/01/92</v>
      </c>
      <c r="E467" s="3" t="str">
        <f>IFERROR(__xludf.DUMMYFUNCTION("""COMPUTED_VALUE"""),"Hot Water")</f>
        <v>Hot Water</v>
      </c>
      <c r="F467" s="3" t="str">
        <f>IFERROR(__xludf.DUMMYFUNCTION("""COMPUTED_VALUE"""),"Insulasi")</f>
        <v>Insulasi</v>
      </c>
      <c r="G467" s="3" t="str">
        <f>IFERROR(__xludf.DUMMYFUNCTION("""COMPUTED_VALUE"""),"Thermaflex Uk 2 1/2""x3/4"" (76mmx20mm), kebutuhan 5 mtr")</f>
        <v>Thermaflex Uk 2 1/2"x3/4" (76mmx20mm), kebutuhan 5 mtr</v>
      </c>
      <c r="H467" s="3" t="str">
        <f>IFERROR(__xludf.DUMMYFUNCTION("""COMPUTED_VALUE"""),"Thermaflex")</f>
        <v>Thermaflex</v>
      </c>
      <c r="I467" s="3">
        <f>IFERROR(__xludf.DUMMYFUNCTION("""COMPUTED_VALUE"""),3.0)</f>
        <v>3</v>
      </c>
      <c r="J467" s="3" t="str">
        <f>IFERROR(__xludf.DUMMYFUNCTION("""COMPUTED_VALUE"""),"Btg")</f>
        <v>Btg</v>
      </c>
      <c r="K467" s="3" t="str">
        <f>IFERROR(__xludf.DUMMYFUNCTION("""COMPUTED_VALUE"""),"Quote- 0049-PT Fongko international pharmaceuticals.pdf")</f>
        <v>Quote- 0049-PT Fongko international pharmaceuticals.pdf</v>
      </c>
      <c r="L467" s="3" t="str">
        <f>IFERROR(__xludf.DUMMYFUNCTION("""COMPUTED_VALUE"""),"Buat insulasi pipa hot water")</f>
        <v>Buat insulasi pipa hot water</v>
      </c>
      <c r="M467" s="3" t="str">
        <f>IFERROR(__xludf.DUMMYFUNCTION("""COMPUTED_VALUE"""),"Approve")</f>
        <v>Approve</v>
      </c>
      <c r="N467" s="3" t="str">
        <f>IFERROR(__xludf.DUMMYFUNCTION("""COMPUTED_VALUE"""),"Normal")</f>
        <v>Normal</v>
      </c>
      <c r="O467" s="3" t="str">
        <f>IFERROR(__xludf.DUMMYFUNCTION("""COMPUTED_VALUE"""),"Non Urgent")</f>
        <v>Non Urgent</v>
      </c>
      <c r="P467" s="7">
        <f>IFERROR(__xludf.DUMMYFUNCTION("""COMPUTED_VALUE"""),46072.987642418986)</f>
        <v>46072.98764</v>
      </c>
    </row>
    <row r="468">
      <c r="A468" s="4">
        <f>IFERROR(__xludf.DUMMYFUNCTION("""COMPUTED_VALUE"""),46062.97194194444)</f>
        <v>46062.97194</v>
      </c>
      <c r="B468" s="3" t="str">
        <f>IFERROR(__xludf.DUMMYFUNCTION("""COMPUTED_VALUE"""),"RIABR0143")</f>
        <v>RIABR0143</v>
      </c>
      <c r="C468" s="3" t="str">
        <f>IFERROR(__xludf.DUMMYFUNCTION("""COMPUTED_VALUE"""),"EJO")</f>
        <v>EJO</v>
      </c>
      <c r="D468" s="3" t="str">
        <f>IFERROR(__xludf.DUMMYFUNCTION("""COMPUTED_VALUE"""),"EJO/2026/01/92")</f>
        <v>EJO/2026/01/92</v>
      </c>
      <c r="E468" s="3" t="str">
        <f>IFERROR(__xludf.DUMMYFUNCTION("""COMPUTED_VALUE"""),"Hot Water")</f>
        <v>Hot Water</v>
      </c>
      <c r="F468" s="3" t="str">
        <f>IFERROR(__xludf.DUMMYFUNCTION("""COMPUTED_VALUE"""),"Insulasi")</f>
        <v>Insulasi</v>
      </c>
      <c r="G468" s="3" t="str">
        <f>IFERROR(__xludf.DUMMYFUNCTION("""COMPUTED_VALUE"""),"Elbow 2 1/2"" , Kebutuhan 2 Pcs
Thermaflex uk 2 1/2"" x3/4"" (76mmx20mm)")</f>
        <v>Elbow 2 1/2" , Kebutuhan 2 Pcs
Thermaflex uk 2 1/2" x3/4" (76mmx20mm)</v>
      </c>
      <c r="H468" s="3" t="str">
        <f>IFERROR(__xludf.DUMMYFUNCTION("""COMPUTED_VALUE"""),"Thermaflex")</f>
        <v>Thermaflex</v>
      </c>
      <c r="I468" s="3">
        <f>IFERROR(__xludf.DUMMYFUNCTION("""COMPUTED_VALUE"""),1.0)</f>
        <v>1</v>
      </c>
      <c r="J468" s="3" t="str">
        <f>IFERROR(__xludf.DUMMYFUNCTION("""COMPUTED_VALUE"""),"Btg")</f>
        <v>Btg</v>
      </c>
      <c r="K468" s="3" t="str">
        <f>IFERROR(__xludf.DUMMYFUNCTION("""COMPUTED_VALUE"""),"Quote- 0049-PT Fongko international pharmaceuticals.pdf")</f>
        <v>Quote- 0049-PT Fongko international pharmaceuticals.pdf</v>
      </c>
      <c r="L468" s="3" t="str">
        <f>IFERROR(__xludf.DUMMYFUNCTION("""COMPUTED_VALUE"""),"Buat insulasi pipa hot water")</f>
        <v>Buat insulasi pipa hot water</v>
      </c>
      <c r="M468" s="3" t="str">
        <f>IFERROR(__xludf.DUMMYFUNCTION("""COMPUTED_VALUE"""),"Approve")</f>
        <v>Approve</v>
      </c>
      <c r="N468" s="3" t="str">
        <f>IFERROR(__xludf.DUMMYFUNCTION("""COMPUTED_VALUE"""),"Normal")</f>
        <v>Normal</v>
      </c>
      <c r="O468" s="3" t="str">
        <f>IFERROR(__xludf.DUMMYFUNCTION("""COMPUTED_VALUE"""),"Non Urgent")</f>
        <v>Non Urgent</v>
      </c>
      <c r="P468" s="7">
        <f>IFERROR(__xludf.DUMMYFUNCTION("""COMPUTED_VALUE"""),46072.98739634259)</f>
        <v>46072.9874</v>
      </c>
    </row>
    <row r="469">
      <c r="A469" s="4">
        <f>IFERROR(__xludf.DUMMYFUNCTION("""COMPUTED_VALUE"""),46062.97194194444)</f>
        <v>46062.97194</v>
      </c>
      <c r="B469" s="3" t="str">
        <f>IFERROR(__xludf.DUMMYFUNCTION("""COMPUTED_VALUE"""),"RIABR0144")</f>
        <v>RIABR0144</v>
      </c>
      <c r="C469" s="3" t="str">
        <f>IFERROR(__xludf.DUMMYFUNCTION("""COMPUTED_VALUE"""),"EJO")</f>
        <v>EJO</v>
      </c>
      <c r="D469" s="3" t="str">
        <f>IFERROR(__xludf.DUMMYFUNCTION("""COMPUTED_VALUE"""),"EJO/2026/01/92")</f>
        <v>EJO/2026/01/92</v>
      </c>
      <c r="E469" s="3" t="str">
        <f>IFERROR(__xludf.DUMMYFUNCTION("""COMPUTED_VALUE"""),"Hot Water")</f>
        <v>Hot Water</v>
      </c>
      <c r="F469" s="3" t="str">
        <f>IFERROR(__xludf.DUMMYFUNCTION("""COMPUTED_VALUE"""),"Insulasi")</f>
        <v>Insulasi</v>
      </c>
      <c r="G469" s="3" t="str">
        <f>IFERROR(__xludf.DUMMYFUNCTION("""COMPUTED_VALUE"""),"Elbow 1"" , kebutuhan 4 Pcs
Thermaflex uk 1"" x3/4"" (34mmx20mm)")</f>
        <v>Elbow 1" , kebutuhan 4 Pcs
Thermaflex uk 1" x3/4" (34mmx20mm)</v>
      </c>
      <c r="H469" s="3" t="str">
        <f>IFERROR(__xludf.DUMMYFUNCTION("""COMPUTED_VALUE"""),"Thermaflex")</f>
        <v>Thermaflex</v>
      </c>
      <c r="I469" s="3">
        <f>IFERROR(__xludf.DUMMYFUNCTION("""COMPUTED_VALUE"""),1.0)</f>
        <v>1</v>
      </c>
      <c r="J469" s="3" t="str">
        <f>IFERROR(__xludf.DUMMYFUNCTION("""COMPUTED_VALUE"""),"Btg")</f>
        <v>Btg</v>
      </c>
      <c r="K469" s="3" t="str">
        <f>IFERROR(__xludf.DUMMYFUNCTION("""COMPUTED_VALUE"""),"Quote- 0049-PT Fongko international pharmaceuticals.pdf")</f>
        <v>Quote- 0049-PT Fongko international pharmaceuticals.pdf</v>
      </c>
      <c r="L469" s="3" t="str">
        <f>IFERROR(__xludf.DUMMYFUNCTION("""COMPUTED_VALUE"""),"Buat insulasi pipa hot water")</f>
        <v>Buat insulasi pipa hot water</v>
      </c>
      <c r="M469" s="3" t="str">
        <f>IFERROR(__xludf.DUMMYFUNCTION("""COMPUTED_VALUE"""),"Approve")</f>
        <v>Approve</v>
      </c>
      <c r="N469" s="3" t="str">
        <f>IFERROR(__xludf.DUMMYFUNCTION("""COMPUTED_VALUE"""),"Normal")</f>
        <v>Normal</v>
      </c>
      <c r="O469" s="3" t="str">
        <f>IFERROR(__xludf.DUMMYFUNCTION("""COMPUTED_VALUE"""),"Non Urgent")</f>
        <v>Non Urgent</v>
      </c>
      <c r="P469" s="7">
        <f>IFERROR(__xludf.DUMMYFUNCTION("""COMPUTED_VALUE"""),46072.98716160879)</f>
        <v>46072.98716</v>
      </c>
    </row>
    <row r="470">
      <c r="A470" s="4">
        <f>IFERROR(__xludf.DUMMYFUNCTION("""COMPUTED_VALUE"""),46062.97194194444)</f>
        <v>46062.97194</v>
      </c>
      <c r="B470" s="3" t="str">
        <f>IFERROR(__xludf.DUMMYFUNCTION("""COMPUTED_VALUE"""),"RIABR0145")</f>
        <v>RIABR0145</v>
      </c>
      <c r="C470" s="3" t="str">
        <f>IFERROR(__xludf.DUMMYFUNCTION("""COMPUTED_VALUE"""),"EJO")</f>
        <v>EJO</v>
      </c>
      <c r="D470" s="3" t="str">
        <f>IFERROR(__xludf.DUMMYFUNCTION("""COMPUTED_VALUE"""),"EJO/2026/01/92")</f>
        <v>EJO/2026/01/92</v>
      </c>
      <c r="E470" s="3" t="str">
        <f>IFERROR(__xludf.DUMMYFUNCTION("""COMPUTED_VALUE"""),"Hot Water")</f>
        <v>Hot Water</v>
      </c>
      <c r="F470" s="3" t="str">
        <f>IFERROR(__xludf.DUMMYFUNCTION("""COMPUTED_VALUE"""),"Insulasi")</f>
        <v>Insulasi</v>
      </c>
      <c r="G470" s="3" t="str">
        <f>IFERROR(__xludf.DUMMYFUNCTION("""COMPUTED_VALUE"""),"Flange JIS10K 2,5""(175mm)
Thermaflex sheet sh 20mmx1500mm")</f>
        <v>Flange JIS10K 2,5"(175mm)
Thermaflex sheet sh 20mmx1500mm</v>
      </c>
      <c r="H470" s="3" t="str">
        <f>IFERROR(__xludf.DUMMYFUNCTION("""COMPUTED_VALUE"""),"Thermaflex")</f>
        <v>Thermaflex</v>
      </c>
      <c r="I470" s="3">
        <f>IFERROR(__xludf.DUMMYFUNCTION("""COMPUTED_VALUE"""),1.0)</f>
        <v>1</v>
      </c>
      <c r="J470" s="3" t="str">
        <f>IFERROR(__xludf.DUMMYFUNCTION("""COMPUTED_VALUE"""),"Mtr")</f>
        <v>Mtr</v>
      </c>
      <c r="K470" s="3" t="str">
        <f>IFERROR(__xludf.DUMMYFUNCTION("""COMPUTED_VALUE"""),"Quote- 0049-PT Fongko international pharmaceuticals.pdf")</f>
        <v>Quote- 0049-PT Fongko international pharmaceuticals.pdf</v>
      </c>
      <c r="L470" s="3" t="str">
        <f>IFERROR(__xludf.DUMMYFUNCTION("""COMPUTED_VALUE"""),"Buat insulasi pipa hot water")</f>
        <v>Buat insulasi pipa hot water</v>
      </c>
      <c r="M470" s="3" t="str">
        <f>IFERROR(__xludf.DUMMYFUNCTION("""COMPUTED_VALUE"""),"Approve")</f>
        <v>Approve</v>
      </c>
      <c r="N470" s="3" t="str">
        <f>IFERROR(__xludf.DUMMYFUNCTION("""COMPUTED_VALUE"""),"Normal")</f>
        <v>Normal</v>
      </c>
      <c r="O470" s="3" t="str">
        <f>IFERROR(__xludf.DUMMYFUNCTION("""COMPUTED_VALUE"""),"Non Urgent")</f>
        <v>Non Urgent</v>
      </c>
      <c r="P470" s="7">
        <f>IFERROR(__xludf.DUMMYFUNCTION("""COMPUTED_VALUE"""),46072.98701711805)</f>
        <v>46072.98702</v>
      </c>
    </row>
    <row r="471">
      <c r="A471" s="4">
        <f>IFERROR(__xludf.DUMMYFUNCTION("""COMPUTED_VALUE"""),46066.361161863424)</f>
        <v>46066.36116</v>
      </c>
      <c r="B471" s="3" t="str">
        <f>IFERROR(__xludf.DUMMYFUNCTION("""COMPUTED_VALUE"""),"SFHBR0044")</f>
        <v>SFHBR0044</v>
      </c>
      <c r="C471" s="3" t="str">
        <f>IFERROR(__xludf.DUMMYFUNCTION("""COMPUTED_VALUE"""),"Consumable")</f>
        <v>Consumable</v>
      </c>
      <c r="D471" s="3" t="str">
        <f>IFERROR(__xludf.DUMMYFUNCTION("""COMPUTED_VALUE"""),"-")</f>
        <v>-</v>
      </c>
      <c r="E471" s="3" t="str">
        <f>IFERROR(__xludf.DUMMYFUNCTION("""COMPUTED_VALUE"""),"lantai 2")</f>
        <v>lantai 2</v>
      </c>
      <c r="F471" s="3" t="str">
        <f>IFERROR(__xludf.DUMMYFUNCTION("""COMPUTED_VALUE"""),"kasa flafon")</f>
        <v>kasa flafon</v>
      </c>
      <c r="G471" s="3" t="str">
        <f>IFERROR(__xludf.DUMMYFUNCTION("""COMPUTED_VALUE"""),"Kasa gipsum tanpa lem serat fiber anti bocor fiberglass kasa plafon gypsum murah bagus - Kasa gipsum 1 in")</f>
        <v>Kasa gipsum tanpa lem serat fiber anti bocor fiberglass kasa plafon gypsum murah bagus - Kasa gipsum 1 in</v>
      </c>
      <c r="H471" s="3" t="str">
        <f>IFERROR(__xludf.DUMMYFUNCTION("""COMPUTED_VALUE"""),"kasa gypsum")</f>
        <v>kasa gypsum</v>
      </c>
      <c r="I471" s="3">
        <f>IFERROR(__xludf.DUMMYFUNCTION("""COMPUTED_VALUE"""),5.0)</f>
        <v>5</v>
      </c>
      <c r="J471" s="3" t="str">
        <f>IFERROR(__xludf.DUMMYFUNCTION("""COMPUTED_VALUE"""),"Roll")</f>
        <v>Roll</v>
      </c>
      <c r="K471" s="5" t="str">
        <f>IFERROR(__xludf.DUMMYFUNCTION("""COMPUTED_VALUE"""),"https://tk.tokopedia.com/ZSm2LbBkq/")</f>
        <v>https://tk.tokopedia.com/ZSm2LbBkq/</v>
      </c>
      <c r="L471" s="3" t="str">
        <f>IFERROR(__xludf.DUMMYFUNCTION("""COMPUTED_VALUE"""),"-")</f>
        <v>-</v>
      </c>
      <c r="M471" s="3" t="str">
        <f>IFERROR(__xludf.DUMMYFUNCTION("""COMPUTED_VALUE"""),"Approve")</f>
        <v>Approve</v>
      </c>
      <c r="N471" s="3" t="str">
        <f>IFERROR(__xludf.DUMMYFUNCTION("""COMPUTED_VALUE"""),"Normal")</f>
        <v>Normal</v>
      </c>
      <c r="O471" s="3" t="str">
        <f>IFERROR(__xludf.DUMMYFUNCTION("""COMPUTED_VALUE"""),"Non Urgent")</f>
        <v>Non Urgent</v>
      </c>
      <c r="P471" s="7">
        <f>IFERROR(__xludf.DUMMYFUNCTION("""COMPUTED_VALUE"""),46072.98538219907)</f>
        <v>46072.98538</v>
      </c>
    </row>
    <row r="472">
      <c r="A472" s="4">
        <f>IFERROR(__xludf.DUMMYFUNCTION("""COMPUTED_VALUE"""),46066.44875253472)</f>
        <v>46066.44875</v>
      </c>
      <c r="B472" s="3" t="str">
        <f>IFERROR(__xludf.DUMMYFUNCTION("""COMPUTED_VALUE"""),"SFHBR0045")</f>
        <v>SFHBR0045</v>
      </c>
      <c r="C472" s="3" t="str">
        <f>IFERROR(__xludf.DUMMYFUNCTION("""COMPUTED_VALUE"""),"Consumable")</f>
        <v>Consumable</v>
      </c>
      <c r="D472" s="3" t="str">
        <f>IFERROR(__xludf.DUMMYFUNCTION("""COMPUTED_VALUE"""),"-")</f>
        <v>-</v>
      </c>
      <c r="E472" s="3" t="str">
        <f>IFERROR(__xludf.DUMMYFUNCTION("""COMPUTED_VALUE"""),"lantai 2")</f>
        <v>lantai 2</v>
      </c>
      <c r="F472" s="3" t="str">
        <f>IFERROR(__xludf.DUMMYFUNCTION("""COMPUTED_VALUE"""),"slot pintu kaca toilet")</f>
        <v>slot pintu kaca toilet</v>
      </c>
      <c r="G472" s="3" t="str">
        <f>IFERROR(__xludf.DUMMYFUNCTION("""COMPUTED_VALUE"""),"Kunci Grendel Slot kaca kaca &amp; kaca tembok 10-12 mm - KT")</f>
        <v>Kunci Grendel Slot kaca kaca &amp; kaca tembok 10-12 mm - KT</v>
      </c>
      <c r="H472" s="3" t="str">
        <f>IFERROR(__xludf.DUMMYFUNCTION("""COMPUTED_VALUE"""),"artkey")</f>
        <v>artkey</v>
      </c>
      <c r="I472" s="3">
        <f>IFERROR(__xludf.DUMMYFUNCTION("""COMPUTED_VALUE"""),5.0)</f>
        <v>5</v>
      </c>
      <c r="J472" s="3" t="str">
        <f>IFERROR(__xludf.DUMMYFUNCTION("""COMPUTED_VALUE"""),"pcs")</f>
        <v>pcs</v>
      </c>
      <c r="K472" s="5" t="str">
        <f>IFERROR(__xludf.DUMMYFUNCTION("""COMPUTED_VALUE"""),"https://tk.tokopedia.com/ZSm2AKPxK/")</f>
        <v>https://tk.tokopedia.com/ZSm2AKPxK/</v>
      </c>
      <c r="L472" s="3" t="str">
        <f>IFERROR(__xludf.DUMMYFUNCTION("""COMPUTED_VALUE"""),"untuk toilet")</f>
        <v>untuk toilet</v>
      </c>
      <c r="M472" s="3" t="str">
        <f>IFERROR(__xludf.DUMMYFUNCTION("""COMPUTED_VALUE"""),"Approve")</f>
        <v>Approve</v>
      </c>
      <c r="N472" s="3" t="str">
        <f>IFERROR(__xludf.DUMMYFUNCTION("""COMPUTED_VALUE"""),"Normal")</f>
        <v>Normal</v>
      </c>
      <c r="O472" s="3" t="str">
        <f>IFERROR(__xludf.DUMMYFUNCTION("""COMPUTED_VALUE"""),"Non Urgent")</f>
        <v>Non Urgent</v>
      </c>
      <c r="P472" s="7">
        <f>IFERROR(__xludf.DUMMYFUNCTION("""COMPUTED_VALUE"""),46072.98365234953)</f>
        <v>46072.98365</v>
      </c>
    </row>
    <row r="473">
      <c r="A473" s="4">
        <f>IFERROR(__xludf.DUMMYFUNCTION("""COMPUTED_VALUE"""),46068.685726678246)</f>
        <v>46068.68573</v>
      </c>
      <c r="B473" s="3" t="str">
        <f>IFERROR(__xludf.DUMMYFUNCTION("""COMPUTED_VALUE"""),"RIABR0146")</f>
        <v>RIABR0146</v>
      </c>
      <c r="C473" s="3" t="str">
        <f>IFERROR(__xludf.DUMMYFUNCTION("""COMPUTED_VALUE"""),"EJO")</f>
        <v>EJO</v>
      </c>
      <c r="D473" s="3" t="str">
        <f>IFERROR(__xludf.DUMMYFUNCTION("""COMPUTED_VALUE"""),"EJO/2025/08/56")</f>
        <v>EJO/2025/08/56</v>
      </c>
      <c r="E473" s="3" t="str">
        <f>IFERROR(__xludf.DUMMYFUNCTION("""COMPUTED_VALUE"""),"WWTP")</f>
        <v>WWTP</v>
      </c>
      <c r="F473" s="3" t="str">
        <f>IFERROR(__xludf.DUMMYFUNCTION("""COMPUTED_VALUE"""),"Selector Switch 3 Posisi YW1S-3E20")</f>
        <v>Selector Switch 3 Posisi YW1S-3E20</v>
      </c>
      <c r="G473" s="3" t="str">
        <f>IFERROR(__xludf.DUMMYFUNCTION("""COMPUTED_VALUE"""),"Selector Switch 3 Posisi YW1S-3E20")</f>
        <v>Selector Switch 3 Posisi YW1S-3E20</v>
      </c>
      <c r="H473" s="3" t="str">
        <f>IFERROR(__xludf.DUMMYFUNCTION("""COMPUTED_VALUE"""),"Idec")</f>
        <v>Idec</v>
      </c>
      <c r="I473" s="3">
        <f>IFERROR(__xludf.DUMMYFUNCTION("""COMPUTED_VALUE"""),3.0)</f>
        <v>3</v>
      </c>
      <c r="J473" s="3" t="str">
        <f>IFERROR(__xludf.DUMMYFUNCTION("""COMPUTED_VALUE"""),"Pcs")</f>
        <v>Pcs</v>
      </c>
      <c r="K473" s="5" t="str">
        <f>IFERROR(__xludf.DUMMYFUNCTION("""COMPUTED_VALUE"""),"https://www.tokopedia.com/kedaielect/idec-selector-switch-3posisi-22mm-yw1s-3e20?extParam=ivf%3Dfalse%26keyword%3Dselector+switch+3+posisi+22+mm+idec%26search_id%3D2025071309512563923F49E524130BE7D6%26src%3Dsearch&amp;t_id=1752399739361&amp;t_st=7&amp;t_pp=search_res"&amp;"ult&amp;t_efo=search_pure_goods_card&amp;t_ef=goods_search&amp;t_sm=&amp;t_spt=search_result")</f>
        <v>https://www.tokopedia.com/kedaielect/idec-selector-switch-3posisi-22mm-yw1s-3e20?extParam=ivf%3Dfalse%26keyword%3Dselector+switch+3+posisi+22+mm+idec%26search_id%3D2025071309512563923F49E524130BE7D6%26src%3Dsearch&amp;t_id=1752399739361&amp;t_st=7&amp;t_pp=search_result&amp;t_efo=search_pure_goods_card&amp;t_ef=goods_search&amp;t_sm=&amp;t_spt=search_result</v>
      </c>
      <c r="L473" s="3" t="str">
        <f>IFERROR(__xludf.DUMMYFUNCTION("""COMPUTED_VALUE"""),"Aku mau re order tapi item code belum ada, ini tk bq ulangkarena dipakai sebagian buat mixing")</f>
        <v>Aku mau re order tapi item code belum ada, ini tk bq ulangkarena dipakai sebagian buat mixing</v>
      </c>
      <c r="M473" s="3" t="str">
        <f>IFERROR(__xludf.DUMMYFUNCTION("""COMPUTED_VALUE"""),"Approve")</f>
        <v>Approve</v>
      </c>
      <c r="N473" s="3" t="str">
        <f>IFERROR(__xludf.DUMMYFUNCTION("""COMPUTED_VALUE"""),"Normal")</f>
        <v>Normal</v>
      </c>
      <c r="O473" s="3" t="str">
        <f>IFERROR(__xludf.DUMMYFUNCTION("""COMPUTED_VALUE"""),"Non Urgent")</f>
        <v>Non Urgent</v>
      </c>
      <c r="P473" s="7">
        <f>IFERROR(__xludf.DUMMYFUNCTION("""COMPUTED_VALUE"""),46072.982614953704)</f>
        <v>46072.98261</v>
      </c>
    </row>
    <row r="474">
      <c r="A474" s="4">
        <f>IFERROR(__xludf.DUMMYFUNCTION("""COMPUTED_VALUE"""),46070.42437122685)</f>
        <v>46070.42437</v>
      </c>
      <c r="B474" s="3" t="str">
        <f>IFERROR(__xludf.DUMMYFUNCTION("""COMPUTED_VALUE"""),"ROSBR0082")</f>
        <v>ROSBR0082</v>
      </c>
      <c r="C474" s="3" t="str">
        <f>IFERROR(__xludf.DUMMYFUNCTION("""COMPUTED_VALUE"""),"EJO")</f>
        <v>EJO</v>
      </c>
      <c r="D474" s="3" t="str">
        <f>IFERROR(__xludf.DUMMYFUNCTION("""COMPUTED_VALUE"""),"2025/11/142")</f>
        <v>2025/11/142</v>
      </c>
      <c r="E474" s="3" t="str">
        <f>IFERROR(__xludf.DUMMYFUNCTION("""COMPUTED_VALUE"""),"Isolator Skan ")</f>
        <v>Isolator Skan </v>
      </c>
      <c r="F474" s="3" t="str">
        <f>IFERROR(__xludf.DUMMYFUNCTION("""COMPUTED_VALUE"""),"Dudukan equinox New")</f>
        <v>Dudukan equinox New</v>
      </c>
      <c r="G474" s="3" t="str">
        <f>IFERROR(__xludf.DUMMYFUNCTION("""COMPUTED_VALUE"""),"Machining Plate Mat'l SUS 304
Proses Laser Cutting
Profil Support Equinok
Assembly Welding
Finishing")</f>
        <v>Machining Plate Mat'l SUS 304
Proses Laser Cutting
Profil Support Equinok
Assembly Welding
Finishing</v>
      </c>
      <c r="H474" s="3" t="str">
        <f>IFERROR(__xludf.DUMMYFUNCTION("""COMPUTED_VALUE"""),"Agru")</f>
        <v>Agru</v>
      </c>
      <c r="I474" s="3">
        <f>IFERROR(__xludf.DUMMYFUNCTION("""COMPUTED_VALUE"""),1.0)</f>
        <v>1</v>
      </c>
      <c r="J474" s="3" t="str">
        <f>IFERROR(__xludf.DUMMYFUNCTION("""COMPUTED_VALUE"""),"set")</f>
        <v>set</v>
      </c>
      <c r="K474" s="5" t="str">
        <f>IFERROR(__xludf.DUMMYFUNCTION("""COMPUTED_VALUE"""),"https://drive.google.com/file/d/18nXIf_NpRdqgVFBLyZ6mGEMeLOWjq_X_/view?usp=drive_link")</f>
        <v>https://drive.google.com/file/d/18nXIf_NpRdqgVFBLyZ6mGEMeLOWjq_X_/view?usp=drive_link</v>
      </c>
      <c r="L474" s="5" t="str">
        <f>IFERROR(__xludf.DUMMYFUNCTION("""COMPUTED_VALUE"""),"https://drive.google.com/file/d/1mxFXDVuXTaI_HIgHyEpfeI6o1TdTjTRv/view?usp=drive_link")</f>
        <v>https://drive.google.com/file/d/1mxFXDVuXTaI_HIgHyEpfeI6o1TdTjTRv/view?usp=drive_link</v>
      </c>
      <c r="M474" s="3" t="str">
        <f>IFERROR(__xludf.DUMMYFUNCTION("""COMPUTED_VALUE"""),"Approve")</f>
        <v>Approve</v>
      </c>
      <c r="N474" s="3" t="str">
        <f>IFERROR(__xludf.DUMMYFUNCTION("""COMPUTED_VALUE"""),"Normal")</f>
        <v>Normal</v>
      </c>
      <c r="O474" s="3" t="str">
        <f>IFERROR(__xludf.DUMMYFUNCTION("""COMPUTED_VALUE"""),"Non Urgent")</f>
        <v>Non Urgent</v>
      </c>
      <c r="P474" s="7">
        <f>IFERROR(__xludf.DUMMYFUNCTION("""COMPUTED_VALUE"""),46077.65953875)</f>
        <v>46077.65954</v>
      </c>
    </row>
    <row r="475">
      <c r="A475" s="4">
        <f>IFERROR(__xludf.DUMMYFUNCTION("""COMPUTED_VALUE"""),46071.63137935185)</f>
        <v>46071.63138</v>
      </c>
      <c r="B475" s="3" t="str">
        <f>IFERROR(__xludf.DUMMYFUNCTION("""COMPUTED_VALUE"""),"RIABR0147")</f>
        <v>RIABR0147</v>
      </c>
      <c r="C475" s="3" t="str">
        <f>IFERROR(__xludf.DUMMYFUNCTION("""COMPUTED_VALUE"""),"EJO")</f>
        <v>EJO</v>
      </c>
      <c r="D475" s="3" t="str">
        <f>IFERROR(__xludf.DUMMYFUNCTION("""COMPUTED_VALUE"""),"EJO/2026/02/166")</f>
        <v>EJO/2026/02/166</v>
      </c>
      <c r="E475" s="3" t="str">
        <f>IFERROR(__xludf.DUMMYFUNCTION("""COMPUTED_VALUE"""),"Rolling Door")</f>
        <v>Rolling Door</v>
      </c>
      <c r="F475" s="3" t="str">
        <f>IFERROR(__xludf.DUMMYFUNCTION("""COMPUTED_VALUE"""),"Emergency Stop + Junction Box")</f>
        <v>Emergency Stop + Junction Box</v>
      </c>
      <c r="G475" s="3" t="str">
        <f>IFERROR(__xludf.DUMMYFUNCTION("""COMPUTED_VALUE"""),"Saklar Emergency Stop + Box 1NC + 1NO Panel Box
size box : 7,5cm x 7cm x 6,4cm")</f>
        <v>Saklar Emergency Stop + Box 1NC + 1NO Panel Box
size box : 7,5cm x 7cm x 6,4cm</v>
      </c>
      <c r="H475" s="3" t="str">
        <f>IFERROR(__xludf.DUMMYFUNCTION("""COMPUTED_VALUE"""),"Fort")</f>
        <v>Fort</v>
      </c>
      <c r="I475" s="3">
        <f>IFERROR(__xludf.DUMMYFUNCTION("""COMPUTED_VALUE"""),5.0)</f>
        <v>5</v>
      </c>
      <c r="J475" s="3" t="str">
        <f>IFERROR(__xludf.DUMMYFUNCTION("""COMPUTED_VALUE"""),"Pcs")</f>
        <v>Pcs</v>
      </c>
      <c r="K475" s="5" t="str">
        <f>IFERROR(__xludf.DUMMYFUNCTION("""COMPUTED_VALUE"""),"https://www.tokopedia.com/onoshop/saklar-emergency-stop-box-1nc-1no-panel-box?extParam=ivf%3Dfalse%26keyword%3Djunction+box+emergency+stop%26search_id%3D202602180808127F100B7B36092F047W3W%26src%3Dsearch&amp;t_id=1771402097871&amp;t_st=1&amp;t_pp=search_result&amp;t_efo=s"&amp;"earch_pure_goods_card&amp;t_ef=goods_search&amp;t_sm=&amp;t_spt=search_result")</f>
        <v>https://www.tokopedia.com/onoshop/saklar-emergency-stop-box-1nc-1no-panel-box?extParam=ivf%3Dfalse%26keyword%3Djunction+box+emergency+stop%26search_id%3D202602180808127F100B7B36092F047W3W%26src%3Dsearch&amp;t_id=1771402097871&amp;t_st=1&amp;t_pp=search_result&amp;t_efo=search_pure_goods_card&amp;t_ef=goods_search&amp;t_sm=&amp;t_spt=search_result</v>
      </c>
      <c r="L475" s="3" t="str">
        <f>IFERROR(__xludf.DUMMYFUNCTION("""COMPUTED_VALUE"""),"Untuk rolling door warehouse ada 2 rolling door minimal beliin 2 ya, yang lain buat spare saja")</f>
        <v>Untuk rolling door warehouse ada 2 rolling door minimal beliin 2 ya, yang lain buat spare saja</v>
      </c>
      <c r="M475" s="3" t="str">
        <f>IFERROR(__xludf.DUMMYFUNCTION("""COMPUTED_VALUE"""),"Approve")</f>
        <v>Approve</v>
      </c>
      <c r="N475" s="3" t="str">
        <f>IFERROR(__xludf.DUMMYFUNCTION("""COMPUTED_VALUE"""),"Normal")</f>
        <v>Normal</v>
      </c>
      <c r="O475" s="3" t="str">
        <f>IFERROR(__xludf.DUMMYFUNCTION("""COMPUTED_VALUE"""),"Non Urgent")</f>
        <v>Non Urgent</v>
      </c>
      <c r="P475" s="7">
        <f>IFERROR(__xludf.DUMMYFUNCTION("""COMPUTED_VALUE"""),46072.99164951389)</f>
        <v>46072.99165</v>
      </c>
    </row>
    <row r="476">
      <c r="A476" s="4">
        <f>IFERROR(__xludf.DUMMYFUNCTION("""COMPUTED_VALUE"""),46077.95242194445)</f>
        <v>46077.95242</v>
      </c>
      <c r="B476" s="3" t="str">
        <f>IFERROR(__xludf.DUMMYFUNCTION("""COMPUTED_VALUE"""),"KFFBR0008")</f>
        <v>KFFBR0008</v>
      </c>
      <c r="C476" s="3" t="str">
        <f>IFERROR(__xludf.DUMMYFUNCTION("""COMPUTED_VALUE"""),"EJO")</f>
        <v>EJO</v>
      </c>
      <c r="D476" s="3" t="str">
        <f>IFERROR(__xludf.DUMMYFUNCTION("""COMPUTED_VALUE"""),"EJO/2025/09/131")</f>
        <v>EJO/2025/09/131</v>
      </c>
      <c r="E476" s="3" t="str">
        <f>IFERROR(__xludf.DUMMYFUNCTION("""COMPUTED_VALUE"""),"HPLC ")</f>
        <v>HPLC </v>
      </c>
      <c r="F476" s="3" t="str">
        <f>IFERROR(__xludf.DUMMYFUNCTION("""COMPUTED_VALUE"""),"Pipa Hollo ")</f>
        <v>Pipa Hollo </v>
      </c>
      <c r="G476" s="3" t="str">
        <f>IFERROR(__xludf.DUMMYFUNCTION("""COMPUTED_VALUE"""),"Pipa hollow stainless 304 30 x 30 x 1,5 mm panjang 6 meter / 3 x 3 cm - hollow 304 mirror / kilap")</f>
        <v>Pipa hollow stainless 304 30 x 30 x 1,5 mm panjang 6 meter / 3 x 3 cm - hollow 304 mirror / kilap</v>
      </c>
      <c r="H476" s="3" t="str">
        <f>IFERROR(__xludf.DUMMYFUNCTION("""COMPUTED_VALUE"""),"universal")</f>
        <v>universal</v>
      </c>
      <c r="I476" s="3">
        <f>IFERROR(__xludf.DUMMYFUNCTION("""COMPUTED_VALUE"""),2.0)</f>
        <v>2</v>
      </c>
      <c r="J476" s="3" t="str">
        <f>IFERROR(__xludf.DUMMYFUNCTION("""COMPUTED_VALUE"""),"btg")</f>
        <v>btg</v>
      </c>
      <c r="K476" s="5" t="str">
        <f>IFERROR(__xludf.DUMMYFUNCTION("""COMPUTED_VALUE"""),"https://tk.tokopedia.com/ZSm4H4Fnd/")</f>
        <v>https://tk.tokopedia.com/ZSm4H4Fnd/</v>
      </c>
      <c r="L476" s="3" t="str">
        <f>IFERROR(__xludf.DUMMYFUNCTION("""COMPUTED_VALUE"""),"pembuatan trolly jerigen limbah mesin HPLC, ULPC dan LPC")</f>
        <v>pembuatan trolly jerigen limbah mesin HPLC, ULPC dan LPC</v>
      </c>
      <c r="M476" s="3" t="str">
        <f>IFERROR(__xludf.DUMMYFUNCTION("""COMPUTED_VALUE"""),"Approve")</f>
        <v>Approve</v>
      </c>
      <c r="N476" s="3" t="str">
        <f>IFERROR(__xludf.DUMMYFUNCTION("""COMPUTED_VALUE"""),"Normal")</f>
        <v>Normal</v>
      </c>
      <c r="O476" s="3" t="str">
        <f>IFERROR(__xludf.DUMMYFUNCTION("""COMPUTED_VALUE"""),"Non Urgent")</f>
        <v>Non Urgent</v>
      </c>
      <c r="P476" s="7">
        <f>IFERROR(__xludf.DUMMYFUNCTION("""COMPUTED_VALUE"""),46080.94719604167)</f>
        <v>46080.9472</v>
      </c>
    </row>
    <row r="477">
      <c r="A477" s="4">
        <f>IFERROR(__xludf.DUMMYFUNCTION("""COMPUTED_VALUE"""),46078.68495199074)</f>
        <v>46078.68495</v>
      </c>
      <c r="B477" s="3" t="str">
        <f>IFERROR(__xludf.DUMMYFUNCTION("""COMPUTED_VALUE"""),"RIABR0148")</f>
        <v>RIABR0148</v>
      </c>
      <c r="C477" s="3" t="str">
        <f>IFERROR(__xludf.DUMMYFUNCTION("""COMPUTED_VALUE"""),"EJO")</f>
        <v>EJO</v>
      </c>
      <c r="D477" s="3" t="str">
        <f>IFERROR(__xludf.DUMMYFUNCTION("""COMPUTED_VALUE"""),"-")</f>
        <v>-</v>
      </c>
      <c r="E477" s="3" t="str">
        <f>IFERROR(__xludf.DUMMYFUNCTION("""COMPUTED_VALUE"""),"All Area")</f>
        <v>All Area</v>
      </c>
      <c r="F477" s="3" t="str">
        <f>IFERROR(__xludf.DUMMYFUNCTION("""COMPUTED_VALUE"""),"Pilox")</f>
        <v>Pilox</v>
      </c>
      <c r="G477" s="3" t="str">
        <f>IFERROR(__xludf.DUMMYFUNCTION("""COMPUTED_VALUE"""),"Samurai Signal Red 23")</f>
        <v>Samurai Signal Red 23</v>
      </c>
      <c r="H477" s="3" t="str">
        <f>IFERROR(__xludf.DUMMYFUNCTION("""COMPUTED_VALUE"""),"Samurai")</f>
        <v>Samurai</v>
      </c>
      <c r="I477" s="3">
        <f>IFERROR(__xludf.DUMMYFUNCTION("""COMPUTED_VALUE"""),5.0)</f>
        <v>5</v>
      </c>
      <c r="J477" s="3" t="str">
        <f>IFERROR(__xludf.DUMMYFUNCTION("""COMPUTED_VALUE"""),"Pcs")</f>
        <v>Pcs</v>
      </c>
      <c r="K477" s="5" t="str">
        <f>IFERROR(__xludf.DUMMYFUNCTION("""COMPUTED_VALUE"""),"https://www.tokopedia.com/jesjave/pilox-samurai-paint-kurobushi-400ml-warna-glossy-metallic-doff-dll-signal-red-23?extParam=ivf%3Dfalse%26keyword%3Dpilox+samurai%26search_id%3D20260225092520432ACA3A1E345E12B7NA%26src%3Dsearch&amp;t_id=1772011525644&amp;t_st=2&amp;t_p"&amp;"p=search_result&amp;t_efo=search_pure_goods_card&amp;t_ef=goods_search&amp;t_sm=&amp;t_spt=search_result")</f>
        <v>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v>
      </c>
      <c r="L477" s="3" t="str">
        <f>IFERROR(__xludf.DUMMYFUNCTION("""COMPUTED_VALUE"""),"Untuk Flow Pipa")</f>
        <v>Untuk Flow Pipa</v>
      </c>
      <c r="M477" s="3" t="str">
        <f>IFERROR(__xludf.DUMMYFUNCTION("""COMPUTED_VALUE"""),"Approve")</f>
        <v>Approve</v>
      </c>
      <c r="N477" s="3" t="str">
        <f>IFERROR(__xludf.DUMMYFUNCTION("""COMPUTED_VALUE"""),"Normal")</f>
        <v>Normal</v>
      </c>
      <c r="O477" s="3" t="str">
        <f>IFERROR(__xludf.DUMMYFUNCTION("""COMPUTED_VALUE"""),"Non Urgent")</f>
        <v>Non Urgent</v>
      </c>
      <c r="P477" s="7">
        <f>IFERROR(__xludf.DUMMYFUNCTION("""COMPUTED_VALUE"""),46079.61951746528)</f>
        <v>46079.61952</v>
      </c>
    </row>
    <row r="478">
      <c r="A478" s="4">
        <f>IFERROR(__xludf.DUMMYFUNCTION("""COMPUTED_VALUE"""),46078.68613465278)</f>
        <v>46078.68613</v>
      </c>
      <c r="B478" s="3" t="str">
        <f>IFERROR(__xludf.DUMMYFUNCTION("""COMPUTED_VALUE"""),"RIABR0149")</f>
        <v>RIABR0149</v>
      </c>
      <c r="C478" s="3" t="str">
        <f>IFERROR(__xludf.DUMMYFUNCTION("""COMPUTED_VALUE"""),"EJO")</f>
        <v>EJO</v>
      </c>
      <c r="D478" s="3" t="str">
        <f>IFERROR(__xludf.DUMMYFUNCTION("""COMPUTED_VALUE"""),"-")</f>
        <v>-</v>
      </c>
      <c r="E478" s="3" t="str">
        <f>IFERROR(__xludf.DUMMYFUNCTION("""COMPUTED_VALUE"""),"All Area")</f>
        <v>All Area</v>
      </c>
      <c r="F478" s="3" t="str">
        <f>IFERROR(__xludf.DUMMYFUNCTION("""COMPUTED_VALUE"""),"Pilox")</f>
        <v>Pilox</v>
      </c>
      <c r="G478" s="3" t="str">
        <f>IFERROR(__xludf.DUMMYFUNCTION("""COMPUTED_VALUE"""),"Blue 312 Samurai")</f>
        <v>Blue 312 Samurai</v>
      </c>
      <c r="H478" s="3" t="str">
        <f>IFERROR(__xludf.DUMMYFUNCTION("""COMPUTED_VALUE"""),"Samurai")</f>
        <v>Samurai</v>
      </c>
      <c r="I478" s="3">
        <f>IFERROR(__xludf.DUMMYFUNCTION("""COMPUTED_VALUE"""),3.0)</f>
        <v>3</v>
      </c>
      <c r="J478" s="3" t="str">
        <f>IFERROR(__xludf.DUMMYFUNCTION("""COMPUTED_VALUE"""),"Pcs")</f>
        <v>Pcs</v>
      </c>
      <c r="K478" s="5" t="str">
        <f>IFERROR(__xludf.DUMMYFUNCTION("""COMPUTED_VALUE"""),"https://www.tokopedia.com/jesjave/pilox-samurai-paint-kurobushi-400ml-warna-glossy-metallic-doff-dll-signal-red-23?extParam=ivf%3Dfalse%26keyword%3Dpilox+samurai%26search_id%3D20260225092520432ACA3A1E345E12B7NA%26src%3Dsearch&amp;t_id=1772011525644&amp;t_st=2&amp;t_p"&amp;"p=search_result&amp;t_efo=search_pure_goods_card&amp;t_ef=goods_search&amp;t_sm=&amp;t_spt=search_result")</f>
        <v>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v>
      </c>
      <c r="L478" s="3" t="str">
        <f>IFERROR(__xludf.DUMMYFUNCTION("""COMPUTED_VALUE"""),"Untuk Flow Pipa")</f>
        <v>Untuk Flow Pipa</v>
      </c>
      <c r="M478" s="3" t="str">
        <f>IFERROR(__xludf.DUMMYFUNCTION("""COMPUTED_VALUE"""),"Approve")</f>
        <v>Approve</v>
      </c>
      <c r="N478" s="3" t="str">
        <f>IFERROR(__xludf.DUMMYFUNCTION("""COMPUTED_VALUE"""),"Normal")</f>
        <v>Normal</v>
      </c>
      <c r="O478" s="3" t="str">
        <f>IFERROR(__xludf.DUMMYFUNCTION("""COMPUTED_VALUE"""),"Non Urgent")</f>
        <v>Non Urgent</v>
      </c>
      <c r="P478" s="7">
        <f>IFERROR(__xludf.DUMMYFUNCTION("""COMPUTED_VALUE"""),46079.619705613426)</f>
        <v>46079.61971</v>
      </c>
    </row>
    <row r="479">
      <c r="A479" s="4">
        <f>IFERROR(__xludf.DUMMYFUNCTION("""COMPUTED_VALUE"""),46078.68657689815)</f>
        <v>46078.68658</v>
      </c>
      <c r="B479" s="3" t="str">
        <f>IFERROR(__xludf.DUMMYFUNCTION("""COMPUTED_VALUE"""),"RIABR0150")</f>
        <v>RIABR0150</v>
      </c>
      <c r="C479" s="3" t="str">
        <f>IFERROR(__xludf.DUMMYFUNCTION("""COMPUTED_VALUE"""),"EJO")</f>
        <v>EJO</v>
      </c>
      <c r="D479" s="3" t="str">
        <f>IFERROR(__xludf.DUMMYFUNCTION("""COMPUTED_VALUE"""),"-")</f>
        <v>-</v>
      </c>
      <c r="E479" s="3" t="str">
        <f>IFERROR(__xludf.DUMMYFUNCTION("""COMPUTED_VALUE"""),"All Area")</f>
        <v>All Area</v>
      </c>
      <c r="F479" s="3" t="str">
        <f>IFERROR(__xludf.DUMMYFUNCTION("""COMPUTED_VALUE"""),"Pilox")</f>
        <v>Pilox</v>
      </c>
      <c r="G479" s="3" t="str">
        <f>IFERROR(__xludf.DUMMYFUNCTION("""COMPUTED_VALUE"""),"Samurai Grey 104")</f>
        <v>Samurai Grey 104</v>
      </c>
      <c r="H479" s="3" t="str">
        <f>IFERROR(__xludf.DUMMYFUNCTION("""COMPUTED_VALUE"""),"Samurai")</f>
        <v>Samurai</v>
      </c>
      <c r="I479" s="3">
        <f>IFERROR(__xludf.DUMMYFUNCTION("""COMPUTED_VALUE"""),5.0)</f>
        <v>5</v>
      </c>
      <c r="J479" s="3" t="str">
        <f>IFERROR(__xludf.DUMMYFUNCTION("""COMPUTED_VALUE"""),"Pcs")</f>
        <v>Pcs</v>
      </c>
      <c r="K479" s="5" t="str">
        <f>IFERROR(__xludf.DUMMYFUNCTION("""COMPUTED_VALUE"""),"https://www.tokopedia.com/jesjave/pilox-samurai-paint-kurobushi-400ml-warna-glossy-metallic-doff-dll-signal-red-23?extParam=ivf%3Dfalse%26keyword%3Dpilox+samurai%26search_id%3D20260225092520432ACA3A1E345E12B7NA%26src%3Dsearch&amp;t_id=1772011525644&amp;t_st=2&amp;t_p"&amp;"p=search_result&amp;t_efo=search_pure_goods_card&amp;t_ef=goods_search&amp;t_sm=&amp;t_spt=search_result")</f>
        <v>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v>
      </c>
      <c r="L479" s="3" t="str">
        <f>IFERROR(__xludf.DUMMYFUNCTION("""COMPUTED_VALUE"""),"Untuk Flow Pipa")</f>
        <v>Untuk Flow Pipa</v>
      </c>
      <c r="M479" s="3" t="str">
        <f>IFERROR(__xludf.DUMMYFUNCTION("""COMPUTED_VALUE"""),"Approve")</f>
        <v>Approve</v>
      </c>
      <c r="N479" s="3" t="str">
        <f>IFERROR(__xludf.DUMMYFUNCTION("""COMPUTED_VALUE"""),"Normal")</f>
        <v>Normal</v>
      </c>
      <c r="O479" s="3" t="str">
        <f>IFERROR(__xludf.DUMMYFUNCTION("""COMPUTED_VALUE"""),"Non Urgent")</f>
        <v>Non Urgent</v>
      </c>
      <c r="P479" s="7">
        <f>IFERROR(__xludf.DUMMYFUNCTION("""COMPUTED_VALUE"""),46079.61984962963)</f>
        <v>46079.61985</v>
      </c>
    </row>
    <row r="480">
      <c r="A480" s="4">
        <f>IFERROR(__xludf.DUMMYFUNCTION("""COMPUTED_VALUE"""),46078.68762921296)</f>
        <v>46078.68763</v>
      </c>
      <c r="B480" s="3" t="str">
        <f>IFERROR(__xludf.DUMMYFUNCTION("""COMPUTED_VALUE"""),"RIABR0151")</f>
        <v>RIABR0151</v>
      </c>
      <c r="C480" s="3" t="str">
        <f>IFERROR(__xludf.DUMMYFUNCTION("""COMPUTED_VALUE"""),"EJO")</f>
        <v>EJO</v>
      </c>
      <c r="D480" s="3" t="str">
        <f>IFERROR(__xludf.DUMMYFUNCTION("""COMPUTED_VALUE"""),"-")</f>
        <v>-</v>
      </c>
      <c r="E480" s="3" t="str">
        <f>IFERROR(__xludf.DUMMYFUNCTION("""COMPUTED_VALUE"""),"All Area")</f>
        <v>All Area</v>
      </c>
      <c r="F480" s="3" t="str">
        <f>IFERROR(__xludf.DUMMYFUNCTION("""COMPUTED_VALUE"""),"Pilox")</f>
        <v>Pilox</v>
      </c>
      <c r="G480" s="3" t="str">
        <f>IFERROR(__xludf.DUMMYFUNCTION("""COMPUTED_VALUE"""),"Samurai Scoopy Brown H391")</f>
        <v>Samurai Scoopy Brown H391</v>
      </c>
      <c r="H480" s="3" t="str">
        <f>IFERROR(__xludf.DUMMYFUNCTION("""COMPUTED_VALUE"""),"Samurai")</f>
        <v>Samurai</v>
      </c>
      <c r="I480" s="3">
        <f>IFERROR(__xludf.DUMMYFUNCTION("""COMPUTED_VALUE"""),3.0)</f>
        <v>3</v>
      </c>
      <c r="J480" s="3" t="str">
        <f>IFERROR(__xludf.DUMMYFUNCTION("""COMPUTED_VALUE"""),"Pcs")</f>
        <v>Pcs</v>
      </c>
      <c r="K480" s="5" t="str">
        <f>IFERROR(__xludf.DUMMYFUNCTION("""COMPUTED_VALUE"""),"https://www.tokopedia.com/willysmotor/samurai-paint-brown-scoopy-h391-cat-semprot-pilox-pylox?extParam=ivf%3Dfalse%26keyword%3Dpilox+samurai+coklat%26search_id%3D20260225092950D947BF06A885DB08CT6R%26src%3Dsearch&amp;t_id=1772011793678&amp;t_st=1&amp;t_pp=search_resul"&amp;"t&amp;t_efo=search_pure_goods_card&amp;t_ef=goods_search&amp;t_sm=&amp;t_spt=search_result")</f>
        <v>https://www.tokopedia.com/willysmotor/samurai-paint-brown-scoopy-h391-cat-semprot-pilox-pylox?extParam=ivf%3Dfalse%26keyword%3Dpilox+samurai+coklat%26search_id%3D20260225092950D947BF06A885DB08CT6R%26src%3Dsearch&amp;t_id=1772011793678&amp;t_st=1&amp;t_pp=search_result&amp;t_efo=search_pure_goods_card&amp;t_ef=goods_search&amp;t_sm=&amp;t_spt=search_result</v>
      </c>
      <c r="L480" s="3" t="str">
        <f>IFERROR(__xludf.DUMMYFUNCTION("""COMPUTED_VALUE"""),"Untuk Flow Pipa")</f>
        <v>Untuk Flow Pipa</v>
      </c>
      <c r="M480" s="3" t="str">
        <f>IFERROR(__xludf.DUMMYFUNCTION("""COMPUTED_VALUE"""),"Approve")</f>
        <v>Approve</v>
      </c>
      <c r="N480" s="3" t="str">
        <f>IFERROR(__xludf.DUMMYFUNCTION("""COMPUTED_VALUE"""),"Normal")</f>
        <v>Normal</v>
      </c>
      <c r="O480" s="3" t="str">
        <f>IFERROR(__xludf.DUMMYFUNCTION("""COMPUTED_VALUE"""),"Non Urgent")</f>
        <v>Non Urgent</v>
      </c>
      <c r="P480" s="7">
        <f>IFERROR(__xludf.DUMMYFUNCTION("""COMPUTED_VALUE"""),46079.620027303245)</f>
        <v>46079.62003</v>
      </c>
    </row>
    <row r="481">
      <c r="A481" s="4">
        <f>IFERROR(__xludf.DUMMYFUNCTION("""COMPUTED_VALUE"""),46078.68898643518)</f>
        <v>46078.68899</v>
      </c>
      <c r="B481" s="3" t="str">
        <f>IFERROR(__xludf.DUMMYFUNCTION("""COMPUTED_VALUE"""),"RIABR0152")</f>
        <v>RIABR0152</v>
      </c>
      <c r="C481" s="3" t="str">
        <f>IFERROR(__xludf.DUMMYFUNCTION("""COMPUTED_VALUE"""),"EJO")</f>
        <v>EJO</v>
      </c>
      <c r="D481" s="3" t="str">
        <f>IFERROR(__xludf.DUMMYFUNCTION("""COMPUTED_VALUE"""),"-")</f>
        <v>-</v>
      </c>
      <c r="E481" s="3" t="str">
        <f>IFERROR(__xludf.DUMMYFUNCTION("""COMPUTED_VALUE"""),"All Area")</f>
        <v>All Area</v>
      </c>
      <c r="F481" s="3" t="str">
        <f>IFERROR(__xludf.DUMMYFUNCTION("""COMPUTED_VALUE"""),"Pilox")</f>
        <v>Pilox</v>
      </c>
      <c r="G481" s="3" t="str">
        <f>IFERROR(__xludf.DUMMYFUNCTION("""COMPUTED_VALUE"""),"Samurai Chrome Yellow")</f>
        <v>Samurai Chrome Yellow</v>
      </c>
      <c r="H481" s="3" t="str">
        <f>IFERROR(__xludf.DUMMYFUNCTION("""COMPUTED_VALUE"""),"Samurai")</f>
        <v>Samurai</v>
      </c>
      <c r="I481" s="3">
        <f>IFERROR(__xludf.DUMMYFUNCTION("""COMPUTED_VALUE"""),3.0)</f>
        <v>3</v>
      </c>
      <c r="J481" s="3" t="str">
        <f>IFERROR(__xludf.DUMMYFUNCTION("""COMPUTED_VALUE"""),"Pcs")</f>
        <v>Pcs</v>
      </c>
      <c r="K481" s="5" t="str">
        <f>IFERROR(__xludf.DUMMYFUNCTION("""COMPUTED_VALUE"""),"https://www.tokopedia.com/jesjave/pilox-samurai-paint-kurobushi-400ml-warna-glossy-metallic-doff-dll-signal-red-23?extParam=ivf%3Dfalse%26keyword%3Dpilox+samurai%26search_id%3D20260225092520432ACA3A1E345E12B7NA%26src%3Dsearch&amp;t_id=1772011525644&amp;t_st=2&amp;t_p"&amp;"p=search_result&amp;t_efo=search_pure_goods_card&amp;t_ef=goods_search&amp;t_sm=&amp;t_spt=search_result")</f>
        <v>https://www.tokopedia.com/jesjave/pilox-samurai-paint-kurobushi-400ml-warna-glossy-metallic-doff-dll-signal-red-23?extParam=ivf%3Dfalse%26keyword%3Dpilox+samurai%26search_id%3D20260225092520432ACA3A1E345E12B7NA%26src%3Dsearch&amp;t_id=1772011525644&amp;t_st=2&amp;t_pp=search_result&amp;t_efo=search_pure_goods_card&amp;t_ef=goods_search&amp;t_sm=&amp;t_spt=search_result</v>
      </c>
      <c r="L481" s="3" t="str">
        <f>IFERROR(__xludf.DUMMYFUNCTION("""COMPUTED_VALUE"""),"Untuk Flow Pipa")</f>
        <v>Untuk Flow Pipa</v>
      </c>
      <c r="M481" s="3" t="str">
        <f>IFERROR(__xludf.DUMMYFUNCTION("""COMPUTED_VALUE"""),"Approve")</f>
        <v>Approve</v>
      </c>
      <c r="N481" s="3" t="str">
        <f>IFERROR(__xludf.DUMMYFUNCTION("""COMPUTED_VALUE"""),"Normal")</f>
        <v>Normal</v>
      </c>
      <c r="O481" s="3" t="str">
        <f>IFERROR(__xludf.DUMMYFUNCTION("""COMPUTED_VALUE"""),"Non Urgent")</f>
        <v>Non Urgent</v>
      </c>
      <c r="P481" s="7">
        <f>IFERROR(__xludf.DUMMYFUNCTION("""COMPUTED_VALUE"""),46079.62016103009)</f>
        <v>46079.62016</v>
      </c>
    </row>
    <row r="482">
      <c r="A482" s="4">
        <f>IFERROR(__xludf.DUMMYFUNCTION("""COMPUTED_VALUE"""),46078.689783726855)</f>
        <v>46078.68978</v>
      </c>
      <c r="B482" s="3" t="str">
        <f>IFERROR(__xludf.DUMMYFUNCTION("""COMPUTED_VALUE"""),"RIABR0153")</f>
        <v>RIABR0153</v>
      </c>
      <c r="C482" s="3" t="str">
        <f>IFERROR(__xludf.DUMMYFUNCTION("""COMPUTED_VALUE"""),"EJO")</f>
        <v>EJO</v>
      </c>
      <c r="D482" s="3" t="str">
        <f>IFERROR(__xludf.DUMMYFUNCTION("""COMPUTED_VALUE"""),"-")</f>
        <v>-</v>
      </c>
      <c r="E482" s="3" t="str">
        <f>IFERROR(__xludf.DUMMYFUNCTION("""COMPUTED_VALUE"""),"All Area")</f>
        <v>All Area</v>
      </c>
      <c r="F482" s="3" t="str">
        <f>IFERROR(__xludf.DUMMYFUNCTION("""COMPUTED_VALUE"""),"Pilox")</f>
        <v>Pilox</v>
      </c>
      <c r="G482" s="3" t="str">
        <f>IFERROR(__xludf.DUMMYFUNCTION("""COMPUTED_VALUE"""),"Samurai Super green 1144")</f>
        <v>Samurai Super green 1144</v>
      </c>
      <c r="H482" s="3" t="str">
        <f>IFERROR(__xludf.DUMMYFUNCTION("""COMPUTED_VALUE"""),"Samurai")</f>
        <v>Samurai</v>
      </c>
      <c r="I482" s="3">
        <f>IFERROR(__xludf.DUMMYFUNCTION("""COMPUTED_VALUE"""),10.0)</f>
        <v>10</v>
      </c>
      <c r="J482" s="3" t="str">
        <f>IFERROR(__xludf.DUMMYFUNCTION("""COMPUTED_VALUE"""),"Pcs")</f>
        <v>Pcs</v>
      </c>
      <c r="K482" s="5" t="str">
        <f>IFERROR(__xludf.DUMMYFUNCTION("""COMPUTED_VALUE"""),"https://www.tokopedia.com/cengtim/cat-semprot-aerosol-samurai-paint-hijau-tua-metalik-super-green-1144-pylox-tahan-bensin-1731425096795588007?extParam=ivf%3Dfalse%26keyword%3Dpilox+samurai+hijau+dark%26search_id%3D2026022509325704025959B191F8163PPB%26src%"&amp;"3Dsearch&amp;t_id=1772011793678&amp;t_st=2&amp;t_pp=search_result&amp;t_efo=search_pure_goods_card&amp;t_ef=goods_search&amp;t_sm=&amp;t_spt=search_result")</f>
        <v>https://www.tokopedia.com/cengtim/cat-semprot-aerosol-samurai-paint-hijau-tua-metalik-super-green-1144-pylox-tahan-bensin-1731425096795588007?extParam=ivf%3Dfalse%26keyword%3Dpilox+samurai+hijau+dark%26search_id%3D2026022509325704025959B191F8163PPB%26src%3Dsearch&amp;t_id=1772011793678&amp;t_st=2&amp;t_pp=search_result&amp;t_efo=search_pure_goods_card&amp;t_ef=goods_search&amp;t_sm=&amp;t_spt=search_result</v>
      </c>
      <c r="L482" s="3" t="str">
        <f>IFERROR(__xludf.DUMMYFUNCTION("""COMPUTED_VALUE"""),"Untuk Flow Pipa")</f>
        <v>Untuk Flow Pipa</v>
      </c>
      <c r="M482" s="3" t="str">
        <f>IFERROR(__xludf.DUMMYFUNCTION("""COMPUTED_VALUE"""),"Approve")</f>
        <v>Approve</v>
      </c>
      <c r="N482" s="3" t="str">
        <f>IFERROR(__xludf.DUMMYFUNCTION("""COMPUTED_VALUE"""),"Normal")</f>
        <v>Normal</v>
      </c>
      <c r="O482" s="3" t="str">
        <f>IFERROR(__xludf.DUMMYFUNCTION("""COMPUTED_VALUE"""),"Non Urgent")</f>
        <v>Non Urgent</v>
      </c>
      <c r="P482" s="7">
        <f>IFERROR(__xludf.DUMMYFUNCTION("""COMPUTED_VALUE"""),46202.91528903935)</f>
        <v>46202.91529</v>
      </c>
    </row>
    <row r="483">
      <c r="A483" s="4">
        <f>IFERROR(__xludf.DUMMYFUNCTION("""COMPUTED_VALUE"""),46078.69071101852)</f>
        <v>46078.69071</v>
      </c>
      <c r="B483" s="3" t="str">
        <f>IFERROR(__xludf.DUMMYFUNCTION("""COMPUTED_VALUE"""),"RIABR0154")</f>
        <v>RIABR0154</v>
      </c>
      <c r="C483" s="3" t="str">
        <f>IFERROR(__xludf.DUMMYFUNCTION("""COMPUTED_VALUE"""),"EJO")</f>
        <v>EJO</v>
      </c>
      <c r="D483" s="3" t="str">
        <f>IFERROR(__xludf.DUMMYFUNCTION("""COMPUTED_VALUE"""),"-")</f>
        <v>-</v>
      </c>
      <c r="E483" s="3" t="str">
        <f>IFERROR(__xludf.DUMMYFUNCTION("""COMPUTED_VALUE"""),"All Area")</f>
        <v>All Area</v>
      </c>
      <c r="F483" s="3" t="str">
        <f>IFERROR(__xludf.DUMMYFUNCTION("""COMPUTED_VALUE"""),"Pilox")</f>
        <v>Pilox</v>
      </c>
      <c r="G483" s="3" t="str">
        <f>IFERROR(__xludf.DUMMYFUNCTION("""COMPUTED_VALUE"""),"Samurai Deep Purplish Blue Y3973")</f>
        <v>Samurai Deep Purplish Blue Y3973</v>
      </c>
      <c r="H483" s="3" t="str">
        <f>IFERROR(__xludf.DUMMYFUNCTION("""COMPUTED_VALUE"""),"Samurai")</f>
        <v>Samurai</v>
      </c>
      <c r="I483" s="3">
        <f>IFERROR(__xludf.DUMMYFUNCTION("""COMPUTED_VALUE"""),3.0)</f>
        <v>3</v>
      </c>
      <c r="J483" s="3" t="str">
        <f>IFERROR(__xludf.DUMMYFUNCTION("""COMPUTED_VALUE"""),"Pcs")</f>
        <v>Pcs</v>
      </c>
      <c r="K483" s="5" t="str">
        <f>IFERROR(__xludf.DUMMYFUNCTION("""COMPUTED_VALUE"""),"https://www.tokopedia.com/dmostoshop-106/cat-semprot-samurai-pilok-pilox-samurai-deep-purplish-blue-y3973-3973-biru-gelap-400ml-1734313104749069892?extParam=ivf%3Dfalse%26keyword%3Dpilox+samurai+dark+blue%26search_id%3D20260225093405D947BF06A885DB3B5OUR%2"&amp;"6src%3Dsearch&amp;t_id=1772011793678&amp;t_st=3&amp;t_pp=search_result&amp;t_efo=search_pure_goods_card&amp;t_ef=goods_search&amp;t_sm=&amp;t_spt=search_result")</f>
        <v>https://www.tokopedia.com/dmostoshop-106/cat-semprot-samurai-pilok-pilox-samurai-deep-purplish-blue-y3973-3973-biru-gelap-400ml-1734313104749069892?extParam=ivf%3Dfalse%26keyword%3Dpilox+samurai+dark+blue%26search_id%3D20260225093405D947BF06A885DB3B5OUR%26src%3Dsearch&amp;t_id=1772011793678&amp;t_st=3&amp;t_pp=search_result&amp;t_efo=search_pure_goods_card&amp;t_ef=goods_search&amp;t_sm=&amp;t_spt=search_result</v>
      </c>
      <c r="L483" s="3" t="str">
        <f>IFERROR(__xludf.DUMMYFUNCTION("""COMPUTED_VALUE"""),"Untuk Flow Pipa")</f>
        <v>Untuk Flow Pipa</v>
      </c>
      <c r="M483" s="3" t="str">
        <f>IFERROR(__xludf.DUMMYFUNCTION("""COMPUTED_VALUE"""),"Approve")</f>
        <v>Approve</v>
      </c>
      <c r="N483" s="3" t="str">
        <f>IFERROR(__xludf.DUMMYFUNCTION("""COMPUTED_VALUE"""),"Normal")</f>
        <v>Normal</v>
      </c>
      <c r="O483" s="3" t="str">
        <f>IFERROR(__xludf.DUMMYFUNCTION("""COMPUTED_VALUE"""),"Non Urgent")</f>
        <v>Non Urgent</v>
      </c>
      <c r="P483" s="7">
        <f>IFERROR(__xludf.DUMMYFUNCTION("""COMPUTED_VALUE"""),46080.630341192125)</f>
        <v>46080.63034</v>
      </c>
    </row>
    <row r="484">
      <c r="A484" s="4">
        <f>IFERROR(__xludf.DUMMYFUNCTION("""COMPUTED_VALUE"""),46079.588131770826)</f>
        <v>46079.58813</v>
      </c>
      <c r="B484" s="3" t="str">
        <f>IFERROR(__xludf.DUMMYFUNCTION("""COMPUTED_VALUE"""),"AAABR0033")</f>
        <v>AAABR0033</v>
      </c>
      <c r="C484" s="3" t="str">
        <f>IFERROR(__xludf.DUMMYFUNCTION("""COMPUTED_VALUE"""),"EJO")</f>
        <v>EJO</v>
      </c>
      <c r="D484" s="3" t="str">
        <f>IFERROR(__xludf.DUMMYFUNCTION("""COMPUTED_VALUE"""),"EJO/2026/03/29")</f>
        <v>EJO/2026/03/29</v>
      </c>
      <c r="E484" s="3" t="str">
        <f>IFERROR(__xludf.DUMMYFUNCTION("""COMPUTED_VALUE"""),"washing")</f>
        <v>washing</v>
      </c>
      <c r="F484" s="3" t="str">
        <f>IFERROR(__xludf.DUMMYFUNCTION("""COMPUTED_VALUE"""),"air cylinder")</f>
        <v>air cylinder</v>
      </c>
      <c r="G484" s="3" t="str">
        <f>IFERROR(__xludf.DUMMYFUNCTION("""COMPUTED_VALUE"""),"Cylinder D=40mm, Stroke=40mm ; KD2000400040M
")</f>
        <v>Cylinder D=40mm, Stroke=40mm ; KD2000400040M
</v>
      </c>
      <c r="H484" s="3" t="str">
        <f>IFERROR(__xludf.DUMMYFUNCTION("""COMPUTED_VALUE"""),"Univer")</f>
        <v>Univer</v>
      </c>
      <c r="I484" s="3">
        <f>IFERROR(__xludf.DUMMYFUNCTION("""COMPUTED_VALUE"""),2.0)</f>
        <v>2</v>
      </c>
      <c r="J484" s="3" t="str">
        <f>IFERROR(__xludf.DUMMYFUNCTION("""COMPUTED_VALUE"""),"Pcs")</f>
        <v>Pcs</v>
      </c>
      <c r="K484" s="3"/>
      <c r="L484" s="3" t="str">
        <f>IFERROR(__xludf.DUMMYFUNCTION("""COMPUTED_VALUE"""),"untuk EJO needle not down")</f>
        <v>untuk EJO needle not down</v>
      </c>
      <c r="M484" s="3" t="str">
        <f>IFERROR(__xludf.DUMMYFUNCTION("""COMPUTED_VALUE"""),"Approve")</f>
        <v>Approve</v>
      </c>
      <c r="N484" s="3" t="str">
        <f>IFERROR(__xludf.DUMMYFUNCTION("""COMPUTED_VALUE"""),"Normal")</f>
        <v>Normal</v>
      </c>
      <c r="O484" s="3" t="str">
        <f>IFERROR(__xludf.DUMMYFUNCTION("""COMPUTED_VALUE"""),"Non Urgent")</f>
        <v>Non Urgent</v>
      </c>
      <c r="P484" s="7">
        <f>IFERROR(__xludf.DUMMYFUNCTION("""COMPUTED_VALUE"""),46080.94835791667)</f>
        <v>46080.94836</v>
      </c>
    </row>
    <row r="485">
      <c r="A485" s="4">
        <f>IFERROR(__xludf.DUMMYFUNCTION("""COMPUTED_VALUE"""),46080.655699016206)</f>
        <v>46080.6557</v>
      </c>
      <c r="B485" s="3" t="str">
        <f>IFERROR(__xludf.DUMMYFUNCTION("""COMPUTED_VALUE"""),"SFHBR0046")</f>
        <v>SFHBR0046</v>
      </c>
      <c r="C485" s="3" t="str">
        <f>IFERROR(__xludf.DUMMYFUNCTION("""COMPUTED_VALUE"""),"Consumable")</f>
        <v>Consumable</v>
      </c>
      <c r="D485" s="3" t="str">
        <f>IFERROR(__xludf.DUMMYFUNCTION("""COMPUTED_VALUE"""),"-")</f>
        <v>-</v>
      </c>
      <c r="E485" s="3" t="str">
        <f>IFERROR(__xludf.DUMMYFUNCTION("""COMPUTED_VALUE"""),"lantai 1")</f>
        <v>lantai 1</v>
      </c>
      <c r="F485" s="3" t="str">
        <f>IFERROR(__xludf.DUMMYFUNCTION("""COMPUTED_VALUE"""),"Cat dulux watershild merlin")</f>
        <v>Cat dulux watershild merlin</v>
      </c>
      <c r="G485" s="3" t="str">
        <f>IFERROR(__xludf.DUMMYFUNCTION("""COMPUTED_VALUE"""),"Cat dulux watershild merlin 20 lt 40156M")</f>
        <v>Cat dulux watershild merlin 20 lt 40156M</v>
      </c>
      <c r="H485" s="3" t="str">
        <f>IFERROR(__xludf.DUMMYFUNCTION("""COMPUTED_VALUE"""),"Dulux")</f>
        <v>Dulux</v>
      </c>
      <c r="I485" s="3">
        <f>IFERROR(__xludf.DUMMYFUNCTION("""COMPUTED_VALUE"""),1.0)</f>
        <v>1</v>
      </c>
      <c r="J485" s="3" t="str">
        <f>IFERROR(__xludf.DUMMYFUNCTION("""COMPUTED_VALUE"""),"Pel")</f>
        <v>Pel</v>
      </c>
      <c r="K485" s="5" t="str">
        <f>IFERROR(__xludf.DUMMYFUNCTION("""COMPUTED_VALUE"""),"https://tk.tokopedia.com/ZSmGRUK4E/")</f>
        <v>https://tk.tokopedia.com/ZSmGRUK4E/</v>
      </c>
      <c r="L485" s="3" t="str">
        <f>IFERROR(__xludf.DUMMYFUNCTION("""COMPUTED_VALUE"""),"untuk cat dinding  lis teras luar")</f>
        <v>untuk cat dinding  lis teras luar</v>
      </c>
      <c r="M485" s="3" t="str">
        <f>IFERROR(__xludf.DUMMYFUNCTION("""COMPUTED_VALUE"""),"Approve")</f>
        <v>Approve</v>
      </c>
      <c r="N485" s="3" t="str">
        <f>IFERROR(__xludf.DUMMYFUNCTION("""COMPUTED_VALUE"""),"Normal")</f>
        <v>Normal</v>
      </c>
      <c r="O485" s="3" t="str">
        <f>IFERROR(__xludf.DUMMYFUNCTION("""COMPUTED_VALUE"""),"Non Urgent")</f>
        <v>Non Urgent</v>
      </c>
      <c r="P485" s="7">
        <f>IFERROR(__xludf.DUMMYFUNCTION("""COMPUTED_VALUE"""),46084.860135358795)</f>
        <v>46084.86014</v>
      </c>
    </row>
    <row r="486">
      <c r="A486" s="4">
        <f>IFERROR(__xludf.DUMMYFUNCTION("""COMPUTED_VALUE"""),46081.67226850694)</f>
        <v>46081.67227</v>
      </c>
      <c r="B486" s="3" t="str">
        <f>IFERROR(__xludf.DUMMYFUNCTION("""COMPUTED_VALUE"""),"RIABR0155")</f>
        <v>RIABR0155</v>
      </c>
      <c r="C486" s="3" t="str">
        <f>IFERROR(__xludf.DUMMYFUNCTION("""COMPUTED_VALUE"""),"EJO")</f>
        <v>EJO</v>
      </c>
      <c r="D486" s="3" t="str">
        <f>IFERROR(__xludf.DUMMYFUNCTION("""COMPUTED_VALUE"""),"EJO/2026/02/142")</f>
        <v>EJO/2026/02/142</v>
      </c>
      <c r="E486" s="3" t="str">
        <f>IFERROR(__xludf.DUMMYFUNCTION("""COMPUTED_VALUE"""),"Deep Freezer")</f>
        <v>Deep Freezer</v>
      </c>
      <c r="F486" s="3" t="str">
        <f>IFERROR(__xludf.DUMMYFUNCTION("""COMPUTED_VALUE"""),"HMI")</f>
        <v>HMI</v>
      </c>
      <c r="G486" s="3" t="str">
        <f>IFERROR(__xludf.DUMMYFUNCTION("""COMPUTED_VALUE"""),"Programmed Electronic for LGPv 6520, Liebherr")</f>
        <v>Programmed Electronic for LGPv 6520, Liebherr</v>
      </c>
      <c r="H486" s="3" t="str">
        <f>IFERROR(__xludf.DUMMYFUNCTION("""COMPUTED_VALUE"""),"Liebherr")</f>
        <v>Liebherr</v>
      </c>
      <c r="I486" s="3">
        <f>IFERROR(__xludf.DUMMYFUNCTION("""COMPUTED_VALUE"""),1.0)</f>
        <v>1</v>
      </c>
      <c r="J486" s="3" t="str">
        <f>IFERROR(__xludf.DUMMYFUNCTION("""COMPUTED_VALUE"""),"Pcs")</f>
        <v>Pcs</v>
      </c>
      <c r="K486" s="3" t="str">
        <f>IFERROR(__xludf.DUMMYFUNCTION("""COMPUTED_VALUE"""),"II-092 Quotation Fonko Pharma.pdf")</f>
        <v>II-092 Quotation Fonko Pharma.pdf</v>
      </c>
      <c r="L486" s="3" t="str">
        <f>IFERROR(__xludf.DUMMYFUNCTION("""COMPUTED_VALUE"""),"Untuk Ganti HMI Deep Freezer")</f>
        <v>Untuk Ganti HMI Deep Freezer</v>
      </c>
      <c r="M486" s="3" t="str">
        <f>IFERROR(__xludf.DUMMYFUNCTION("""COMPUTED_VALUE"""),"Approve")</f>
        <v>Approve</v>
      </c>
      <c r="N486" s="3" t="str">
        <f>IFERROR(__xludf.DUMMYFUNCTION("""COMPUTED_VALUE"""),"Normal")</f>
        <v>Normal</v>
      </c>
      <c r="O486" s="3" t="str">
        <f>IFERROR(__xludf.DUMMYFUNCTION("""COMPUTED_VALUE"""),"Non Urgent")</f>
        <v>Non Urgent</v>
      </c>
      <c r="P486" s="7">
        <f>IFERROR(__xludf.DUMMYFUNCTION("""COMPUTED_VALUE"""),46084.86387412037)</f>
        <v>46084.86387</v>
      </c>
    </row>
    <row r="487">
      <c r="A487" s="4">
        <f>IFERROR(__xludf.DUMMYFUNCTION("""COMPUTED_VALUE"""),46083.64223204861)</f>
        <v>46083.64223</v>
      </c>
      <c r="B487" s="3" t="str">
        <f>IFERROR(__xludf.DUMMYFUNCTION("""COMPUTED_VALUE"""),"ROSBR0083")</f>
        <v>ROSBR0083</v>
      </c>
      <c r="C487" s="3" t="str">
        <f>IFERROR(__xludf.DUMMYFUNCTION("""COMPUTED_VALUE"""),"Consumable")</f>
        <v>Consumable</v>
      </c>
      <c r="D487" s="3" t="str">
        <f>IFERROR(__xludf.DUMMYFUNCTION("""COMPUTED_VALUE"""),"-")</f>
        <v>-</v>
      </c>
      <c r="E487" s="3" t="str">
        <f>IFERROR(__xludf.DUMMYFUNCTION("""COMPUTED_VALUE"""),"washing ")</f>
        <v>washing </v>
      </c>
      <c r="F487" s="3" t="str">
        <f>IFERROR(__xludf.DUMMYFUNCTION("""COMPUTED_VALUE"""),"QS cylinder washing ")</f>
        <v>QS cylinder washing </v>
      </c>
      <c r="G487" s="3" t="str">
        <f>IFERROR(__xludf.DUMMYFUNCTION("""COMPUTED_VALUE"""),"QS cylinder 
ukuran tubing 4 
ukuran ulir M5
material stainless
sesuai ukuran dilampiran foto")</f>
        <v>QS cylinder 
ukuran tubing 4 
ukuran ulir M5
material stainless
sesuai ukuran dilampiran foto</v>
      </c>
      <c r="H487" s="3" t="str">
        <f>IFERROR(__xludf.DUMMYFUNCTION("""COMPUTED_VALUE"""),"festo")</f>
        <v>festo</v>
      </c>
      <c r="I487" s="3">
        <f>IFERROR(__xludf.DUMMYFUNCTION("""COMPUTED_VALUE"""),30.0)</f>
        <v>30</v>
      </c>
      <c r="J487" s="3" t="str">
        <f>IFERROR(__xludf.DUMMYFUNCTION("""COMPUTED_VALUE"""),"pcs")</f>
        <v>pcs</v>
      </c>
      <c r="K487" s="5" t="str">
        <f>IFERROR(__xludf.DUMMYFUNCTION("""COMPUTED_VALUE"""),"https://drive.google.com/drive/folders/1S9MBCu7rvIZ5WYScEkf3R51aidi6viNX?usp=drive_link")</f>
        <v>https://drive.google.com/drive/folders/1S9MBCu7rvIZ5WYScEkf3R51aidi6viNX?usp=drive_link</v>
      </c>
      <c r="L487" s="3" t="str">
        <f>IFERROR(__xludf.DUMMYFUNCTION("""COMPUTED_VALUE"""),"tolong belikan QS sesuai lampiran untuk peremajaan dan pergantian QS cylinder pusher washing ")</f>
        <v>tolong belikan QS sesuai lampiran untuk peremajaan dan pergantian QS cylinder pusher washing </v>
      </c>
      <c r="M487" s="3" t="str">
        <f>IFERROR(__xludf.DUMMYFUNCTION("""COMPUTED_VALUE"""),"Approve")</f>
        <v>Approve</v>
      </c>
      <c r="N487" s="3" t="str">
        <f>IFERROR(__xludf.DUMMYFUNCTION("""COMPUTED_VALUE"""),"Normal")</f>
        <v>Normal</v>
      </c>
      <c r="O487" s="3" t="str">
        <f>IFERROR(__xludf.DUMMYFUNCTION("""COMPUTED_VALUE"""),"Non Urgent")</f>
        <v>Non Urgent</v>
      </c>
      <c r="P487" s="7">
        <f>IFERROR(__xludf.DUMMYFUNCTION("""COMPUTED_VALUE"""),46085.41693627315)</f>
        <v>46085.41694</v>
      </c>
    </row>
    <row r="488">
      <c r="A488" s="4">
        <f>IFERROR(__xludf.DUMMYFUNCTION("""COMPUTED_VALUE"""),46083.66518791667)</f>
        <v>46083.66519</v>
      </c>
      <c r="B488" s="3" t="str">
        <f>IFERROR(__xludf.DUMMYFUNCTION("""COMPUTED_VALUE"""),"BDUBR0004")</f>
        <v>BDUBR0004</v>
      </c>
      <c r="C488" s="3" t="str">
        <f>IFERROR(__xludf.DUMMYFUNCTION("""COMPUTED_VALUE"""),"EJO")</f>
        <v>EJO</v>
      </c>
      <c r="D488" s="3" t="str">
        <f>IFERROR(__xludf.DUMMYFUNCTION("""COMPUTED_VALUE"""),"EJO/2026/03/14")</f>
        <v>EJO/2026/03/14</v>
      </c>
      <c r="E488" s="3" t="str">
        <f>IFERROR(__xludf.DUMMYFUNCTION("""COMPUTED_VALUE"""),"Laundry Room")</f>
        <v>Laundry Room</v>
      </c>
      <c r="F488" s="3" t="str">
        <f>IFERROR(__xludf.DUMMYFUNCTION("""COMPUTED_VALUE"""),"LAF Curtain")</f>
        <v>LAF Curtain</v>
      </c>
      <c r="G488" s="3" t="str">
        <f>IFERROR(__xludf.DUMMYFUNCTION("""COMPUTED_VALUE"""),"warna bening, 2mm x 200mm x 100meter")</f>
        <v>warna bening, 2mm x 200mm x 100meter</v>
      </c>
      <c r="H488" s="3" t="str">
        <f>IFERROR(__xludf.DUMMYFUNCTION("""COMPUTED_VALUE"""),"-")</f>
        <v>-</v>
      </c>
      <c r="I488" s="3">
        <f>IFERROR(__xludf.DUMMYFUNCTION("""COMPUTED_VALUE"""),100.0)</f>
        <v>100</v>
      </c>
      <c r="J488" s="3" t="str">
        <f>IFERROR(__xludf.DUMMYFUNCTION("""COMPUTED_VALUE"""),"Meter")</f>
        <v>Meter</v>
      </c>
      <c r="K488" s="5" t="str">
        <f>IFERROR(__xludf.DUMMYFUNCTION("""COMPUTED_VALUE"""),"https://shopee.co.id/product/117505252/9279632448")</f>
        <v>https://shopee.co.id/product/117505252/9279632448</v>
      </c>
      <c r="L488" s="3" t="str">
        <f>IFERROR(__xludf.DUMMYFUNCTION("""COMPUTED_VALUE"""),"Untuk pergantian LAF laundry kusam")</f>
        <v>Untuk pergantian LAF laundry kusam</v>
      </c>
      <c r="M488" s="3" t="str">
        <f>IFERROR(__xludf.DUMMYFUNCTION("""COMPUTED_VALUE"""),"Approve")</f>
        <v>Approve</v>
      </c>
      <c r="N488" s="3" t="str">
        <f>IFERROR(__xludf.DUMMYFUNCTION("""COMPUTED_VALUE"""),"Normal")</f>
        <v>Normal</v>
      </c>
      <c r="O488" s="3" t="str">
        <f>IFERROR(__xludf.DUMMYFUNCTION("""COMPUTED_VALUE"""),"Non Urgent")</f>
        <v>Non Urgent</v>
      </c>
      <c r="P488" s="7">
        <f>IFERROR(__xludf.DUMMYFUNCTION("""COMPUTED_VALUE"""),46084.55897540509)</f>
        <v>46084.55898</v>
      </c>
    </row>
    <row r="489">
      <c r="A489" s="4">
        <f>IFERROR(__xludf.DUMMYFUNCTION("""COMPUTED_VALUE"""),46083.665207164355)</f>
        <v>46083.66521</v>
      </c>
      <c r="B489" s="3" t="str">
        <f>IFERROR(__xludf.DUMMYFUNCTION("""COMPUTED_VALUE"""),"BDUBR0005")</f>
        <v>BDUBR0005</v>
      </c>
      <c r="C489" s="3" t="str">
        <f>IFERROR(__xludf.DUMMYFUNCTION("""COMPUTED_VALUE"""),"EJO")</f>
        <v>EJO</v>
      </c>
      <c r="D489" s="3" t="str">
        <f>IFERROR(__xludf.DUMMYFUNCTION("""COMPUTED_VALUE"""),"EJO/2026/03/14")</f>
        <v>EJO/2026/03/14</v>
      </c>
      <c r="E489" s="3" t="str">
        <f>IFERROR(__xludf.DUMMYFUNCTION("""COMPUTED_VALUE"""),"Laundry Room")</f>
        <v>Laundry Room</v>
      </c>
      <c r="F489" s="3" t="str">
        <f>IFERROR(__xludf.DUMMYFUNCTION("""COMPUTED_VALUE"""),"Paku Rivet")</f>
        <v>Paku Rivet</v>
      </c>
      <c r="G489" s="3" t="str">
        <f>IFERROR(__xludf.DUMMYFUNCTION("""COMPUTED_VALUE"""),"4,8 mm x 12.7 mm")</f>
        <v>4,8 mm x 12.7 mm</v>
      </c>
      <c r="H489" s="3" t="str">
        <f>IFERROR(__xludf.DUMMYFUNCTION("""COMPUTED_VALUE"""),"-")</f>
        <v>-</v>
      </c>
      <c r="I489" s="3">
        <f>IFERROR(__xludf.DUMMYFUNCTION("""COMPUTED_VALUE"""),100.0)</f>
        <v>100</v>
      </c>
      <c r="J489" s="3" t="str">
        <f>IFERROR(__xludf.DUMMYFUNCTION("""COMPUTED_VALUE"""),"pcs")</f>
        <v>pcs</v>
      </c>
      <c r="K489" s="5" t="str">
        <f>IFERROR(__xludf.DUMMYFUNCTION("""COMPUTED_VALUE"""),"https://www.tokopedia.com/skenoofastener/100-gr-paku-rivet-sip-brand-2-4mm-3-2mm-4mm-dan-4-8mm-eceran-1732378493242017132?extParam=ivf%3Dfalse%26keyword%3Dpaku+rivet+4.8mm%26search_id%3D202603020903063C7781A36BCD6C0BES8T%26src%3Dsearch&amp;t_id=1772442202083&amp;"&amp;"t_st=3&amp;t_pp=search_result&amp;t_efo=search_pure_goods_card&amp;t_ef=goods_search&amp;t_sm=&amp;t_spt=search_result")</f>
        <v>https://www.tokopedia.com/skenoofastener/100-gr-paku-rivet-sip-brand-2-4mm-3-2mm-4mm-dan-4-8mm-eceran-1732378493242017132?extParam=ivf%3Dfalse%26keyword%3Dpaku+rivet+4.8mm%26search_id%3D202603020903063C7781A36BCD6C0BES8T%26src%3Dsearch&amp;t_id=1772442202083&amp;t_st=3&amp;t_pp=search_result&amp;t_efo=search_pure_goods_card&amp;t_ef=goods_search&amp;t_sm=&amp;t_spt=search_result</v>
      </c>
      <c r="L489" s="3" t="str">
        <f>IFERROR(__xludf.DUMMYFUNCTION("""COMPUTED_VALUE"""),"Untuk pemasangan LAF Laundry")</f>
        <v>Untuk pemasangan LAF Laundry</v>
      </c>
      <c r="M489" s="3" t="str">
        <f>IFERROR(__xludf.DUMMYFUNCTION("""COMPUTED_VALUE"""),"Approve")</f>
        <v>Approve</v>
      </c>
      <c r="N489" s="3" t="str">
        <f>IFERROR(__xludf.DUMMYFUNCTION("""COMPUTED_VALUE"""),"Normal")</f>
        <v>Normal</v>
      </c>
      <c r="O489" s="3" t="str">
        <f>IFERROR(__xludf.DUMMYFUNCTION("""COMPUTED_VALUE"""),"Non Urgent")</f>
        <v>Non Urgent</v>
      </c>
      <c r="P489" s="7">
        <f>IFERROR(__xludf.DUMMYFUNCTION("""COMPUTED_VALUE"""),46084.576172430556)</f>
        <v>46084.57617</v>
      </c>
    </row>
    <row r="490">
      <c r="A490" s="4">
        <f>IFERROR(__xludf.DUMMYFUNCTION("""COMPUTED_VALUE"""),46084.64543319444)</f>
        <v>46084.64543</v>
      </c>
      <c r="B490" s="3" t="str">
        <f>IFERROR(__xludf.DUMMYFUNCTION("""COMPUTED_VALUE"""),"ROSBR0085")</f>
        <v>ROSBR0085</v>
      </c>
      <c r="C490" s="3" t="str">
        <f>IFERROR(__xludf.DUMMYFUNCTION("""COMPUTED_VALUE"""),"Consumable")</f>
        <v>Consumable</v>
      </c>
      <c r="D490" s="3" t="str">
        <f>IFERROR(__xludf.DUMMYFUNCTION("""COMPUTED_VALUE"""),"-")</f>
        <v>-</v>
      </c>
      <c r="E490" s="3" t="str">
        <f>IFERROR(__xludf.DUMMYFUNCTION("""COMPUTED_VALUE"""),"Universal ")</f>
        <v>Universal </v>
      </c>
      <c r="F490" s="3" t="str">
        <f>IFERROR(__xludf.DUMMYFUNCTION("""COMPUTED_VALUE"""),"Blind ferrule 1""")</f>
        <v>Blind ferrule 1"</v>
      </c>
      <c r="G490" s="3" t="str">
        <f>IFERROR(__xludf.DUMMYFUNCTION("""COMPUTED_VALUE"""),"Bind ferrule 1""
Material SUS316L")</f>
        <v>Bind ferrule 1"
Material SUS316L</v>
      </c>
      <c r="H490" s="3" t="str">
        <f>IFERROR(__xludf.DUMMYFUNCTION("""COMPUTED_VALUE"""),"universal ")</f>
        <v>universal </v>
      </c>
      <c r="I490" s="3">
        <f>IFERROR(__xludf.DUMMYFUNCTION("""COMPUTED_VALUE"""),10.0)</f>
        <v>10</v>
      </c>
      <c r="J490" s="3" t="str">
        <f>IFERROR(__xludf.DUMMYFUNCTION("""COMPUTED_VALUE"""),"pcs")</f>
        <v>pcs</v>
      </c>
      <c r="K490" s="5" t="str">
        <f>IFERROR(__xludf.DUMMYFUNCTION("""COMPUTED_VALUE"""),"https://shopee.co.id/1-Blind-Ferrule-Sanitary-Foodgrade-Solid-End-Cap-Dop-Ferrule-Buta-Stainless-Steel-316L-Size-1-Inch-i.1037069836.54805060782?extraParams=%7B%22display_model_id%22%3A335466374070%2C%22model_selection_logic%22%3A3%7D&amp;sp_atk=66a49e53-bb0b"&amp;"-4a1b-ae87-edd6653c5c1b&amp;xptdk=66a49e53-bb0b-4a1b-ae87-edd6653c5c1b")</f>
        <v>https://shopee.co.id/1-Blind-Ferrule-Sanitary-Foodgrade-Solid-End-Cap-Dop-Ferrule-Buta-Stainless-Steel-316L-Size-1-Inch-i.1037069836.54805060782?extraParams=%7B%22display_model_id%22%3A335466374070%2C%22model_selection_logic%22%3A3%7D&amp;sp_atk=66a49e53-bb0b-4a1b-ae87-edd6653c5c1b&amp;xptdk=66a49e53-bb0b-4a1b-ae87-edd6653c5c1b</v>
      </c>
      <c r="L490" s="3" t="str">
        <f>IFERROR(__xludf.DUMMYFUNCTION("""COMPUTED_VALUE"""),"minta tolong beliin buat stok")</f>
        <v>minta tolong beliin buat stok</v>
      </c>
      <c r="M490" s="3" t="str">
        <f>IFERROR(__xludf.DUMMYFUNCTION("""COMPUTED_VALUE"""),"Approve")</f>
        <v>Approve</v>
      </c>
      <c r="N490" s="3" t="str">
        <f>IFERROR(__xludf.DUMMYFUNCTION("""COMPUTED_VALUE"""),"Normal")</f>
        <v>Normal</v>
      </c>
      <c r="O490" s="3" t="str">
        <f>IFERROR(__xludf.DUMMYFUNCTION("""COMPUTED_VALUE"""),"Non Urgent")</f>
        <v>Non Urgent</v>
      </c>
      <c r="P490" s="7">
        <f>IFERROR(__xludf.DUMMYFUNCTION("""COMPUTED_VALUE"""),46085.41776564815)</f>
        <v>46085.41777</v>
      </c>
    </row>
    <row r="491">
      <c r="A491" s="4">
        <f>IFERROR(__xludf.DUMMYFUNCTION("""COMPUTED_VALUE"""),46084.650005856485)</f>
        <v>46084.65001</v>
      </c>
      <c r="B491" s="3" t="str">
        <f>IFERROR(__xludf.DUMMYFUNCTION("""COMPUTED_VALUE"""),"ROSBR0086")</f>
        <v>ROSBR0086</v>
      </c>
      <c r="C491" s="3" t="str">
        <f>IFERROR(__xludf.DUMMYFUNCTION("""COMPUTED_VALUE"""),"Consumable")</f>
        <v>Consumable</v>
      </c>
      <c r="D491" s="3" t="str">
        <f>IFERROR(__xludf.DUMMYFUNCTION("""COMPUTED_VALUE"""),"-")</f>
        <v>-</v>
      </c>
      <c r="E491" s="3" t="str">
        <f>IFERROR(__xludf.DUMMYFUNCTION("""COMPUTED_VALUE"""),"Universal ")</f>
        <v>Universal </v>
      </c>
      <c r="F491" s="3" t="str">
        <f>IFERROR(__xludf.DUMMYFUNCTION("""COMPUTED_VALUE"""),"Blind ferrule 1/2""")</f>
        <v>Blind ferrule 1/2"</v>
      </c>
      <c r="G491" s="3" t="str">
        <f>IFERROR(__xludf.DUMMYFUNCTION("""COMPUTED_VALUE"""),"Bind ferrule 1/2""
Material SUS316L")</f>
        <v>Bind ferrule 1/2"
Material SUS316L</v>
      </c>
      <c r="H491" s="3" t="str">
        <f>IFERROR(__xludf.DUMMYFUNCTION("""COMPUTED_VALUE"""),"universal ")</f>
        <v>universal </v>
      </c>
      <c r="I491" s="3">
        <f>IFERROR(__xludf.DUMMYFUNCTION("""COMPUTED_VALUE"""),10.0)</f>
        <v>10</v>
      </c>
      <c r="J491" s="3" t="str">
        <f>IFERROR(__xludf.DUMMYFUNCTION("""COMPUTED_VALUE"""),"pcs")</f>
        <v>pcs</v>
      </c>
      <c r="K491" s="5" t="str">
        <f>IFERROR(__xludf.DUMMYFUNCTION("""COMPUTED_VALUE"""),"https://shopee.co.id/1-2-Blind-Ferrule-Sanitary-Foodgrade-Solid-End-Cap-Dop-Ferrule-Buta-Stainless-Steel-316L-Size-1-2-Inch-i.1037069836.54805060783?extraParams=%7B%22display_model_id%22%3A310466968668%2C%22model_selection_logic%22%3A3%7D&amp;sp_atk=777a7459-"&amp;"821b-4a59-9a1c-b9fee3b444ef&amp;xptdk=777a7459-821b-4a59-9a1c-b9fee3b444ef")</f>
        <v>https://shopee.co.id/1-2-Blind-Ferrule-Sanitary-Foodgrade-Solid-End-Cap-Dop-Ferrule-Buta-Stainless-Steel-316L-Size-1-2-Inch-i.1037069836.54805060783?extraParams=%7B%22display_model_id%22%3A310466968668%2C%22model_selection_logic%22%3A3%7D&amp;sp_atk=777a7459-821b-4a59-9a1c-b9fee3b444ef&amp;xptdk=777a7459-821b-4a59-9a1c-b9fee3b444ef</v>
      </c>
      <c r="L491" s="3" t="str">
        <f>IFERROR(__xludf.DUMMYFUNCTION("""COMPUTED_VALUE"""),"minta tolong beliin buat stok")</f>
        <v>minta tolong beliin buat stok</v>
      </c>
      <c r="M491" s="3" t="str">
        <f>IFERROR(__xludf.DUMMYFUNCTION("""COMPUTED_VALUE"""),"Approve")</f>
        <v>Approve</v>
      </c>
      <c r="N491" s="3" t="str">
        <f>IFERROR(__xludf.DUMMYFUNCTION("""COMPUTED_VALUE"""),"Normal")</f>
        <v>Normal</v>
      </c>
      <c r="O491" s="3" t="str">
        <f>IFERROR(__xludf.DUMMYFUNCTION("""COMPUTED_VALUE"""),"Non Urgent")</f>
        <v>Non Urgent</v>
      </c>
      <c r="P491" s="7">
        <f>IFERROR(__xludf.DUMMYFUNCTION("""COMPUTED_VALUE"""),46085.41793700232)</f>
        <v>46085.41794</v>
      </c>
    </row>
    <row r="492">
      <c r="A492" s="4">
        <f>IFERROR(__xludf.DUMMYFUNCTION("""COMPUTED_VALUE"""),46085.636620520825)</f>
        <v>46085.63662</v>
      </c>
      <c r="B492" s="3" t="str">
        <f>IFERROR(__xludf.DUMMYFUNCTION("""COMPUTED_VALUE"""),"MRNBR0102")</f>
        <v>MRNBR0102</v>
      </c>
      <c r="C492" s="3" t="str">
        <f>IFERROR(__xludf.DUMMYFUNCTION("""COMPUTED_VALUE"""),"EJO")</f>
        <v>EJO</v>
      </c>
      <c r="D492" s="3" t="str">
        <f>IFERROR(__xludf.DUMMYFUNCTION("""COMPUTED_VALUE"""),"EJO/2026/03/56")</f>
        <v>EJO/2026/03/56</v>
      </c>
      <c r="E492" s="3" t="str">
        <f>IFERROR(__xludf.DUMMYFUNCTION("""COMPUTED_VALUE"""),"EF C1-32")</f>
        <v>EF C1-32</v>
      </c>
      <c r="F492" s="3" t="str">
        <f>IFERROR(__xludf.DUMMYFUNCTION("""COMPUTED_VALUE"""),"Gasket pintu")</f>
        <v>Gasket pintu</v>
      </c>
      <c r="G492" s="3" t="str">
        <f>IFERROR(__xludf.DUMMYFUNCTION("""COMPUTED_VALUE"""),"Lis Strip Pintu Door Noise Insulation Sealing Tape 5Mx3cm - B3")</f>
        <v>Lis Strip Pintu Door Noise Insulation Sealing Tape 5Mx3cm - B3</v>
      </c>
      <c r="H492" s="3" t="str">
        <f>IFERROR(__xludf.DUMMYFUNCTION("""COMPUTED_VALUE"""),"Taffpack")</f>
        <v>Taffpack</v>
      </c>
      <c r="I492" s="3">
        <f>IFERROR(__xludf.DUMMYFUNCTION("""COMPUTED_VALUE"""),8.0)</f>
        <v>8</v>
      </c>
      <c r="J492" s="3" t="str">
        <f>IFERROR(__xludf.DUMMYFUNCTION("""COMPUTED_VALUE"""),"roll")</f>
        <v>roll</v>
      </c>
      <c r="K492" s="5" t="str">
        <f>IFERROR(__xludf.DUMMYFUNCTION("""COMPUTED_VALUE"""),"https://www.tokopedia.com/usea/usea-x-taffpack-lis-strip-pintu-door-noise-insulation-sealing-tape-5mx3cm-b35-peredam-suara-pintu-jendela-1731213568021465083?extParam=ivf%3Dfalse%26keyword%3Dsealing+tape%26search_id%3D2026030408131594F6D7E04A4D450A03ZW%26s"&amp;"rc%3Dsearch")</f>
        <v>https://www.tokopedia.com/usea/usea-x-taffpack-lis-strip-pintu-door-noise-insulation-sealing-tape-5mx3cm-b35-peredam-suara-pintu-jendela-1731213568021465083?extParam=ivf%3Dfalse%26keyword%3Dsealing+tape%26search_id%3D2026030408131594F6D7E04A4D450A03ZW%26src%3Dsearch</v>
      </c>
      <c r="L492" s="3" t="str">
        <f>IFERROR(__xludf.DUMMYFUNCTION("""COMPUTED_VALUE"""),"pintu exhaust fan getas")</f>
        <v>pintu exhaust fan getas</v>
      </c>
      <c r="M492" s="3" t="str">
        <f>IFERROR(__xludf.DUMMYFUNCTION("""COMPUTED_VALUE"""),"Approve")</f>
        <v>Approve</v>
      </c>
      <c r="N492" s="3" t="str">
        <f>IFERROR(__xludf.DUMMYFUNCTION("""COMPUTED_VALUE"""),"Normal")</f>
        <v>Normal</v>
      </c>
      <c r="O492" s="3" t="str">
        <f>IFERROR(__xludf.DUMMYFUNCTION("""COMPUTED_VALUE"""),"Non Urgent")</f>
        <v>Non Urgent</v>
      </c>
      <c r="P492" s="7">
        <f>IFERROR(__xludf.DUMMYFUNCTION("""COMPUTED_VALUE"""),46090.424240127315)</f>
        <v>46090.42424</v>
      </c>
    </row>
    <row r="493">
      <c r="A493" s="4">
        <f>IFERROR(__xludf.DUMMYFUNCTION("""COMPUTED_VALUE"""),46086.45758048611)</f>
        <v>46086.45758</v>
      </c>
      <c r="B493" s="3" t="str">
        <f>IFERROR(__xludf.DUMMYFUNCTION("""COMPUTED_VALUE"""),"MRNBR0103")</f>
        <v>MRNBR0103</v>
      </c>
      <c r="C493" s="3" t="str">
        <f>IFERROR(__xludf.DUMMYFUNCTION("""COMPUTED_VALUE"""),"EJO")</f>
        <v>EJO</v>
      </c>
      <c r="D493" s="3" t="str">
        <f>IFERROR(__xludf.DUMMYFUNCTION("""COMPUTED_VALUE"""),"EJO/2026/03/56")</f>
        <v>EJO/2026/03/56</v>
      </c>
      <c r="E493" s="3" t="str">
        <f>IFERROR(__xludf.DUMMYFUNCTION("""COMPUTED_VALUE"""),"EF micro")</f>
        <v>EF micro</v>
      </c>
      <c r="F493" s="3" t="str">
        <f>IFERROR(__xludf.DUMMYFUNCTION("""COMPUTED_VALUE"""),"Exhaust fan")</f>
        <v>Exhaust fan</v>
      </c>
      <c r="G493" s="3" t="str">
        <f>IFERROR(__xludf.DUMMYFUNCTION("""COMPUTED_VALUE"""),"nicotra GCIL 200")</f>
        <v>nicotra GCIL 200</v>
      </c>
      <c r="H493" s="3" t="str">
        <f>IFERROR(__xludf.DUMMYFUNCTION("""COMPUTED_VALUE"""),"nicotra")</f>
        <v>nicotra</v>
      </c>
      <c r="I493" s="3">
        <f>IFERROR(__xludf.DUMMYFUNCTION("""COMPUTED_VALUE"""),2.0)</f>
        <v>2</v>
      </c>
      <c r="J493" s="3" t="str">
        <f>IFERROR(__xludf.DUMMYFUNCTION("""COMPUTED_VALUE"""),"unit")</f>
        <v>unit</v>
      </c>
      <c r="K493" s="5" t="str">
        <f>IFERROR(__xludf.DUMMYFUNCTION("""COMPUTED_VALUE"""),"https://www.tokopedia.com/pacificmesin/centrifugal-duct-inline-8inch-gcil-200-nicotra-2speed-230v-gcil20-best?aff_unique_id=&amp;channel=others&amp;chain_key=")</f>
        <v>https://www.tokopedia.com/pacificmesin/centrifugal-duct-inline-8inch-gcil-200-nicotra-2speed-230v-gcil20-best?aff_unique_id=&amp;channel=others&amp;chain_key=</v>
      </c>
      <c r="L493" s="3" t="str">
        <f>IFERROR(__xludf.DUMMYFUNCTION("""COMPUTED_VALUE"""),"untuk pressure micro")</f>
        <v>untuk pressure micro</v>
      </c>
      <c r="M493" s="3" t="str">
        <f>IFERROR(__xludf.DUMMYFUNCTION("""COMPUTED_VALUE"""),"Approve")</f>
        <v>Approve</v>
      </c>
      <c r="N493" s="3" t="str">
        <f>IFERROR(__xludf.DUMMYFUNCTION("""COMPUTED_VALUE"""),"Normal")</f>
        <v>Normal</v>
      </c>
      <c r="O493" s="3" t="str">
        <f>IFERROR(__xludf.DUMMYFUNCTION("""COMPUTED_VALUE"""),"Non Urgent")</f>
        <v>Non Urgent</v>
      </c>
      <c r="P493" s="7">
        <f>IFERROR(__xludf.DUMMYFUNCTION("""COMPUTED_VALUE"""),46090.42453310185)</f>
        <v>46090.42453</v>
      </c>
    </row>
    <row r="494">
      <c r="A494" s="4">
        <f>IFERROR(__xludf.DUMMYFUNCTION("""COMPUTED_VALUE"""),46086.471976539346)</f>
        <v>46086.47198</v>
      </c>
      <c r="B494" s="3" t="str">
        <f>IFERROR(__xludf.DUMMYFUNCTION("""COMPUTED_VALUE"""),"ROSBR0087")</f>
        <v>ROSBR0087</v>
      </c>
      <c r="C494" s="3" t="str">
        <f>IFERROR(__xludf.DUMMYFUNCTION("""COMPUTED_VALUE"""),"Consumable")</f>
        <v>Consumable</v>
      </c>
      <c r="D494" s="3" t="str">
        <f>IFERROR(__xludf.DUMMYFUNCTION("""COMPUTED_VALUE"""),"-")</f>
        <v>-</v>
      </c>
      <c r="E494" s="3" t="str">
        <f>IFERROR(__xludf.DUMMYFUNCTION("""COMPUTED_VALUE"""),"Universal ")</f>
        <v>Universal </v>
      </c>
      <c r="F494" s="3" t="str">
        <f>IFERROR(__xludf.DUMMYFUNCTION("""COMPUTED_VALUE"""),"Blind ferrule 3/4""")</f>
        <v>Blind ferrule 3/4"</v>
      </c>
      <c r="G494" s="3" t="str">
        <f>IFERROR(__xludf.DUMMYFUNCTION("""COMPUTED_VALUE"""),"Bind ferrule 3/4""
Material SUS316L")</f>
        <v>Bind ferrule 3/4"
Material SUS316L</v>
      </c>
      <c r="H494" s="3" t="str">
        <f>IFERROR(__xludf.DUMMYFUNCTION("""COMPUTED_VALUE"""),"universal ")</f>
        <v>universal </v>
      </c>
      <c r="I494" s="3">
        <f>IFERROR(__xludf.DUMMYFUNCTION("""COMPUTED_VALUE"""),20.0)</f>
        <v>20</v>
      </c>
      <c r="J494" s="3" t="str">
        <f>IFERROR(__xludf.DUMMYFUNCTION("""COMPUTED_VALUE"""),"pcs")</f>
        <v>pcs</v>
      </c>
      <c r="K494" s="5" t="str">
        <f>IFERROR(__xludf.DUMMYFUNCTION("""COMPUTED_VALUE"""),"https://shopee.co.id/3-4-Blind-Ferrule-Sanitary-Foodgrade-Solid-End-Cap-Dop-Ferrule-Buta-Stainless-Steel-316L-Size-3-4-Inch-i.1319467784.51755156791?extraParams=%7B%22display_model_id%22%3A380473384257%2C%22model_selection_logic%22%3A3%7D&amp;sp_atk=23f1bb3e-"&amp;"8675-4892-b81b-ef46ef154c58&amp;xptdk=23f1bb3e-8675-4892-b81b-ef46ef154c58")</f>
        <v>https://shopee.co.id/3-4-Blind-Ferrule-Sanitary-Foodgrade-Solid-End-Cap-Dop-Ferrule-Buta-Stainless-Steel-316L-Size-3-4-Inch-i.1319467784.51755156791?extraParams=%7B%22display_model_id%22%3A380473384257%2C%22model_selection_logic%22%3A3%7D&amp;sp_atk=23f1bb3e-8675-4892-b81b-ef46ef154c58&amp;xptdk=23f1bb3e-8675-4892-b81b-ef46ef154c58</v>
      </c>
      <c r="L494" s="3" t="str">
        <f>IFERROR(__xludf.DUMMYFUNCTION("""COMPUTED_VALUE"""),"minta tolong beliin buat stok")</f>
        <v>minta tolong beliin buat stok</v>
      </c>
      <c r="M494" s="3" t="str">
        <f>IFERROR(__xludf.DUMMYFUNCTION("""COMPUTED_VALUE"""),"Approve")</f>
        <v>Approve</v>
      </c>
      <c r="N494" s="3" t="str">
        <f>IFERROR(__xludf.DUMMYFUNCTION("""COMPUTED_VALUE"""),"Normal")</f>
        <v>Normal</v>
      </c>
      <c r="O494" s="3" t="str">
        <f>IFERROR(__xludf.DUMMYFUNCTION("""COMPUTED_VALUE"""),"Non Urgent")</f>
        <v>Non Urgent</v>
      </c>
      <c r="P494" s="7">
        <f>IFERROR(__xludf.DUMMYFUNCTION("""COMPUTED_VALUE"""),46093.04292825231)</f>
        <v>46093.04293</v>
      </c>
    </row>
    <row r="495">
      <c r="A495" s="4">
        <f>IFERROR(__xludf.DUMMYFUNCTION("""COMPUTED_VALUE"""),46086.47533390047)</f>
        <v>46086.47533</v>
      </c>
      <c r="B495" s="3" t="str">
        <f>IFERROR(__xludf.DUMMYFUNCTION("""COMPUTED_VALUE"""),"ROSBR0088")</f>
        <v>ROSBR0088</v>
      </c>
      <c r="C495" s="3" t="str">
        <f>IFERROR(__xludf.DUMMYFUNCTION("""COMPUTED_VALUE"""),"Consumable")</f>
        <v>Consumable</v>
      </c>
      <c r="D495" s="3" t="str">
        <f>IFERROR(__xludf.DUMMYFUNCTION("""COMPUTED_VALUE"""),"-")</f>
        <v>-</v>
      </c>
      <c r="E495" s="3" t="str">
        <f>IFERROR(__xludf.DUMMYFUNCTION("""COMPUTED_VALUE"""),"mixing")</f>
        <v>mixing</v>
      </c>
      <c r="F495" s="3" t="str">
        <f>IFERROR(__xludf.DUMMYFUNCTION("""COMPUTED_VALUE"""),"Lampu tangki  Mixing ")</f>
        <v>Lampu tangki  Mixing </v>
      </c>
      <c r="G495" s="3" t="str">
        <f>IFERROR(__xludf.DUMMYFUNCTION("""COMPUTED_VALUE"""),"Tipe LED : COB
Voltase : DC 12-24 V
Daya / Power : 3 W
Material : Aluminium dan ABS
Warna : Warm LUX 3000k
Diameter: 65 mm
Diameter Lubang: 58 mm
Tinggi: 76 mm")</f>
        <v>Tipe LED : COB
Voltase : DC 12-24 V
Daya / Power : 3 W
Material : Aluminium dan ABS
Warna : Warm LUX 3000k
Diameter: 65 mm
Diameter Lubang: 58 mm
Tinggi: 76 mm</v>
      </c>
      <c r="H495" s="3" t="str">
        <f>IFERROR(__xludf.DUMMYFUNCTION("""COMPUTED_VALUE"""),"Liten")</f>
        <v>Liten</v>
      </c>
      <c r="I495" s="3">
        <f>IFERROR(__xludf.DUMMYFUNCTION("""COMPUTED_VALUE"""),2.0)</f>
        <v>2</v>
      </c>
      <c r="J495" s="3" t="str">
        <f>IFERROR(__xludf.DUMMYFUNCTION("""COMPUTED_VALUE"""),"unit")</f>
        <v>unit</v>
      </c>
      <c r="K495" s="5" t="str">
        <f>IFERROR(__xludf.DUMMYFUNCTION("""COMPUTED_VALUE"""),"https://shopee.co.id/Lampu-Tanam-Lantai-LED-DC-12V-12-V-Uplight-COB-Ground-Light-Outdoor-Waterproof-IP65-Lampu-Carport-Taman-Rumah-1000k-3000k-i.171115695.44458488299?xptdk=3be436bf-1efb-4162-8224-44c448c477dc")</f>
        <v>https://shopee.co.id/Lampu-Tanam-Lantai-LED-DC-12V-12-V-Uplight-COB-Ground-Light-Outdoor-Waterproof-IP65-Lampu-Carport-Taman-Rumah-1000k-3000k-i.171115695.44458488299?xptdk=3be436bf-1efb-4162-8224-44c448c477dc</v>
      </c>
      <c r="L495" s="3" t="str">
        <f>IFERROR(__xludf.DUMMYFUNCTION("""COMPUTED_VALUE"""),"Minta tolong beliin buat lampu mixing sesuai deskripsi ya ")</f>
        <v>Minta tolong beliin buat lampu mixing sesuai deskripsi ya </v>
      </c>
      <c r="M495" s="3" t="str">
        <f>IFERROR(__xludf.DUMMYFUNCTION("""COMPUTED_VALUE"""),"Approve")</f>
        <v>Approve</v>
      </c>
      <c r="N495" s="3" t="str">
        <f>IFERROR(__xludf.DUMMYFUNCTION("""COMPUTED_VALUE"""),"Normal")</f>
        <v>Normal</v>
      </c>
      <c r="O495" s="3" t="str">
        <f>IFERROR(__xludf.DUMMYFUNCTION("""COMPUTED_VALUE"""),"Non Urgent")</f>
        <v>Non Urgent</v>
      </c>
      <c r="P495" s="7">
        <f>IFERROR(__xludf.DUMMYFUNCTION("""COMPUTED_VALUE"""),46093.04333560185)</f>
        <v>46093.04334</v>
      </c>
    </row>
    <row r="496">
      <c r="A496" s="4">
        <f>IFERROR(__xludf.DUMMYFUNCTION("""COMPUTED_VALUE"""),46086.617435381944)</f>
        <v>46086.61744</v>
      </c>
      <c r="B496" s="3" t="str">
        <f>IFERROR(__xludf.DUMMYFUNCTION("""COMPUTED_VALUE"""),"ROSBR0089")</f>
        <v>ROSBR0089</v>
      </c>
      <c r="C496" s="3" t="str">
        <f>IFERROR(__xludf.DUMMYFUNCTION("""COMPUTED_VALUE"""),"Critical Part")</f>
        <v>Critical Part</v>
      </c>
      <c r="D496" s="3" t="str">
        <f>IFERROR(__xludf.DUMMYFUNCTION("""COMPUTED_VALUE"""),"-")</f>
        <v>-</v>
      </c>
      <c r="E496" s="3" t="str">
        <f>IFERROR(__xludf.DUMMYFUNCTION("""COMPUTED_VALUE"""),"BSC")</f>
        <v>BSC</v>
      </c>
      <c r="F496" s="3" t="str">
        <f>IFERROR(__xludf.DUMMYFUNCTION("""COMPUTED_VALUE"""),"EF BSC 3")</f>
        <v>EF BSC 3</v>
      </c>
      <c r="G496" s="3" t="str">
        <f>IFERROR(__xludf.DUMMYFUNCTION("""COMPUTED_VALUE"""),"exhaust BSC 3 
Type R3G220-RD53-03
Type of voltage AC
Nominal voltagein V230
Nominal voltage rangein 200V- 240V
Frequency 50/60Hz
Type of data definition maximum load
Speed in min-1 3230
Power input 168W
Current draw in A        1,4
motor : M3G055-CF
1pha"&amp;"se")</f>
        <v>exhaust BSC 3 
Type R3G220-RD53-03
Type of voltage AC
Nominal voltagein V230
Nominal voltage rangein 200V- 240V
Frequency 50/60Hz
Type of data definition maximum load
Speed in min-1 3230
Power input 168W
Current draw in A        1,4
motor : M3G055-CF
1phase</v>
      </c>
      <c r="H496" s="3" t="str">
        <f>IFERROR(__xludf.DUMMYFUNCTION("""COMPUTED_VALUE"""),"Ebmpapst")</f>
        <v>Ebmpapst</v>
      </c>
      <c r="I496" s="3">
        <f>IFERROR(__xludf.DUMMYFUNCTION("""COMPUTED_VALUE"""),2.0)</f>
        <v>2</v>
      </c>
      <c r="J496" s="3" t="str">
        <f>IFERROR(__xludf.DUMMYFUNCTION("""COMPUTED_VALUE"""),"unit ")</f>
        <v>unit </v>
      </c>
      <c r="K496" s="5" t="str">
        <f>IFERROR(__xludf.DUMMYFUNCTION("""COMPUTED_VALUE"""),"https://drive.google.com/drive/folders/16RUdl0UsA4XTftxhbjZNed8eRo4Oj33n?usp=drive_link")</f>
        <v>https://drive.google.com/drive/folders/16RUdl0UsA4XTftxhbjZNed8eRo4Oj33n?usp=drive_link</v>
      </c>
      <c r="L496" s="5" t="str">
        <f>IFERROR(__xludf.DUMMYFUNCTION("""COMPUTED_VALUE"""),"https://www.ebmpapst.com/de/en/products/centrifugal-fans/p/R3G220RD5303.html")</f>
        <v>https://www.ebmpapst.com/de/en/products/centrifugal-fans/p/R3G220RD5303.html</v>
      </c>
      <c r="M496" s="3" t="str">
        <f>IFERROR(__xludf.DUMMYFUNCTION("""COMPUTED_VALUE"""),"Approve")</f>
        <v>Approve</v>
      </c>
      <c r="N496" s="3" t="str">
        <f>IFERROR(__xludf.DUMMYFUNCTION("""COMPUTED_VALUE"""),"Normal")</f>
        <v>Normal</v>
      </c>
      <c r="O496" s="3" t="str">
        <f>IFERROR(__xludf.DUMMYFUNCTION("""COMPUTED_VALUE"""),"Non Urgent")</f>
        <v>Non Urgent</v>
      </c>
      <c r="P496" s="7">
        <f>IFERROR(__xludf.DUMMYFUNCTION("""COMPUTED_VALUE"""),46093.043765787035)</f>
        <v>46093.04377</v>
      </c>
    </row>
    <row r="497">
      <c r="A497" s="4">
        <f>IFERROR(__xludf.DUMMYFUNCTION("""COMPUTED_VALUE"""),46087.97294246528)</f>
        <v>46087.97294</v>
      </c>
      <c r="B497" s="3" t="str">
        <f>IFERROR(__xludf.DUMMYFUNCTION("""COMPUTED_VALUE"""),"SFHBR0047")</f>
        <v>SFHBR0047</v>
      </c>
      <c r="C497" s="3" t="str">
        <f>IFERROR(__xludf.DUMMYFUNCTION("""COMPUTED_VALUE"""),"Consumable")</f>
        <v>Consumable</v>
      </c>
      <c r="D497" s="3" t="str">
        <f>IFERROR(__xludf.DUMMYFUNCTION("""COMPUTED_VALUE"""),"-")</f>
        <v>-</v>
      </c>
      <c r="E497" s="3" t="str">
        <f>IFERROR(__xludf.DUMMYFUNCTION("""COMPUTED_VALUE"""),"lantai 2")</f>
        <v>lantai 2</v>
      </c>
      <c r="F497" s="3" t="str">
        <f>IFERROR(__xludf.DUMMYFUNCTION("""COMPUTED_VALUE"""),"keramik dinding buat toiltet")</f>
        <v>keramik dinding buat toiltet</v>
      </c>
      <c r="G497" s="3" t="str">
        <f>IFERROR(__xludf.DUMMYFUNCTION("""COMPUTED_VALUE"""),"keramik roman w25107 dlucido cream 20x25 kw1")</f>
        <v>keramik roman w25107 dlucido cream 20x25 kw1</v>
      </c>
      <c r="H497" s="3" t="str">
        <f>IFERROR(__xludf.DUMMYFUNCTION("""COMPUTED_VALUE"""),"Roman")</f>
        <v>Roman</v>
      </c>
      <c r="I497" s="3">
        <f>IFERROR(__xludf.DUMMYFUNCTION("""COMPUTED_VALUE"""),4.0)</f>
        <v>4</v>
      </c>
      <c r="J497" s="3" t="str">
        <f>IFERROR(__xludf.DUMMYFUNCTION("""COMPUTED_VALUE"""),"dus")</f>
        <v>dus</v>
      </c>
      <c r="K497" s="5" t="str">
        <f>IFERROR(__xludf.DUMMYFUNCTION("""COMPUTED_VALUE"""),"https://tk.tokopedia.com/ZSu85mvxp/")</f>
        <v>https://tk.tokopedia.com/ZSu85mvxp/</v>
      </c>
      <c r="L497" s="3" t="str">
        <f>IFERROR(__xludf.DUMMYFUNCTION("""COMPUTED_VALUE"""),"stock ny habis")</f>
        <v>stock ny habis</v>
      </c>
      <c r="M497" s="3" t="str">
        <f>IFERROR(__xludf.DUMMYFUNCTION("""COMPUTED_VALUE"""),"Approve")</f>
        <v>Approve</v>
      </c>
      <c r="N497" s="3" t="str">
        <f>IFERROR(__xludf.DUMMYFUNCTION("""COMPUTED_VALUE"""),"Normal")</f>
        <v>Normal</v>
      </c>
      <c r="O497" s="3" t="str">
        <f>IFERROR(__xludf.DUMMYFUNCTION("""COMPUTED_VALUE"""),"Non Urgent")</f>
        <v>Non Urgent</v>
      </c>
      <c r="P497" s="7">
        <f>IFERROR(__xludf.DUMMYFUNCTION("""COMPUTED_VALUE"""),46090.41727293981)</f>
        <v>46090.41727</v>
      </c>
    </row>
    <row r="498">
      <c r="A498" s="4">
        <f>IFERROR(__xludf.DUMMYFUNCTION("""COMPUTED_VALUE"""),46088.302281145836)</f>
        <v>46088.30228</v>
      </c>
      <c r="B498" s="3" t="str">
        <f>IFERROR(__xludf.DUMMYFUNCTION("""COMPUTED_VALUE"""),"RIABR0156")</f>
        <v>RIABR0156</v>
      </c>
      <c r="C498" s="3" t="str">
        <f>IFERROR(__xludf.DUMMYFUNCTION("""COMPUTED_VALUE"""),"EJO")</f>
        <v>EJO</v>
      </c>
      <c r="D498" s="3" t="str">
        <f>IFERROR(__xludf.DUMMYFUNCTION("""COMPUTED_VALUE"""),"-")</f>
        <v>-</v>
      </c>
      <c r="E498" s="3" t="str">
        <f>IFERROR(__xludf.DUMMYFUNCTION("""COMPUTED_VALUE"""),"Granulasi")</f>
        <v>Granulasi</v>
      </c>
      <c r="F498" s="3" t="str">
        <f>IFERROR(__xludf.DUMMYFUNCTION("""COMPUTED_VALUE"""),"Oli Mesin")</f>
        <v>Oli Mesin</v>
      </c>
      <c r="G498" s="3" t="str">
        <f>IFERROR(__xludf.DUMMYFUNCTION("""COMPUTED_VALUE"""),"Brand : Pertamina
Type : Masri RG 320
ISO VG : 320")</f>
        <v>Brand : Pertamina
Type : Masri RG 320
ISO VG : 320</v>
      </c>
      <c r="H498" s="3" t="str">
        <f>IFERROR(__xludf.DUMMYFUNCTION("""COMPUTED_VALUE"""),"Pertamina")</f>
        <v>Pertamina</v>
      </c>
      <c r="I498" s="3">
        <f>IFERROR(__xludf.DUMMYFUNCTION("""COMPUTED_VALUE"""),3.0)</f>
        <v>3</v>
      </c>
      <c r="J498" s="3" t="str">
        <f>IFERROR(__xludf.DUMMYFUNCTION("""COMPUTED_VALUE"""),"Ltr")</f>
        <v>Ltr</v>
      </c>
      <c r="K498" s="5" t="str">
        <f>IFERROR(__xludf.DUMMYFUNCTION("""COMPUTED_VALUE"""),"https://www.tokopedia.com/murnimitrasejati/pertamina-masri-rg-320-iso-vg-320-oli-gear-industri-eceran-ecer-1-l?extParam=ivf%3Dfalse%26keyword%3Doli+iso+vg+320%26search_id%3D20260307001018C042F4DB68F234220PR3%26src%3Dsearch&amp;t_id=1772842407778&amp;t_st=4&amp;t_pp=s"&amp;"earch_result&amp;t_efo=search_pure_goods_card&amp;t_ef=goods_search&amp;t_sm=&amp;t_spt=search_resultr")</f>
        <v>https://www.tokopedia.com/murnimitrasejati/pertamina-masri-rg-320-iso-vg-320-oli-gear-industri-eceran-ecer-1-l?extParam=ivf%3Dfalse%26keyword%3Doli+iso+vg+320%26search_id%3D20260307001018C042F4DB68F234220PR3%26src%3Dsearch&amp;t_id=1772842407778&amp;t_st=4&amp;t_pp=search_result&amp;t_efo=search_pure_goods_card&amp;t_ef=goods_search&amp;t_sm=&amp;t_spt=search_resultr</v>
      </c>
      <c r="L498" s="3" t="str">
        <f>IFERROR(__xludf.DUMMYFUNCTION("""COMPUTED_VALUE"""),"Untuk fill up dosing pump washkit granulasi")</f>
        <v>Untuk fill up dosing pump washkit granulasi</v>
      </c>
      <c r="M498" s="3" t="str">
        <f>IFERROR(__xludf.DUMMYFUNCTION("""COMPUTED_VALUE"""),"Approve")</f>
        <v>Approve</v>
      </c>
      <c r="N498" s="3" t="str">
        <f>IFERROR(__xludf.DUMMYFUNCTION("""COMPUTED_VALUE"""),"Normal")</f>
        <v>Normal</v>
      </c>
      <c r="O498" s="3" t="str">
        <f>IFERROR(__xludf.DUMMYFUNCTION("""COMPUTED_VALUE"""),"Non Urgent")</f>
        <v>Non Urgent</v>
      </c>
      <c r="P498" s="7">
        <f>IFERROR(__xludf.DUMMYFUNCTION("""COMPUTED_VALUE"""),46090.41742607639)</f>
        <v>46090.41743</v>
      </c>
    </row>
    <row r="499">
      <c r="A499" s="4">
        <f>IFERROR(__xludf.DUMMYFUNCTION("""COMPUTED_VALUE"""),46090.40527920139)</f>
        <v>46090.40528</v>
      </c>
      <c r="B499" s="3" t="str">
        <f>IFERROR(__xludf.DUMMYFUNCTION("""COMPUTED_VALUE"""),"NDSBR0052")</f>
        <v>NDSBR0052</v>
      </c>
      <c r="C499" s="3" t="str">
        <f>IFERROR(__xludf.DUMMYFUNCTION("""COMPUTED_VALUE"""),"EJO")</f>
        <v>EJO</v>
      </c>
      <c r="D499" s="3" t="str">
        <f>IFERROR(__xludf.DUMMYFUNCTION("""COMPUTED_VALUE"""),"EJO/2026/03/75")</f>
        <v>EJO/2026/03/75</v>
      </c>
      <c r="E499" s="3" t="str">
        <f>IFERROR(__xludf.DUMMYFUNCTION("""COMPUTED_VALUE"""),"Tablet Press")</f>
        <v>Tablet Press</v>
      </c>
      <c r="F499" s="3" t="str">
        <f>IFERROR(__xludf.DUMMYFUNCTION("""COMPUTED_VALUE"""),"Cover Upper Punch")</f>
        <v>Cover Upper Punch</v>
      </c>
      <c r="G499" s="3" t="str">
        <f>IFERROR(__xludf.DUMMYFUNCTION("""COMPUTED_VALUE"""),"Sesuai Penawaran")</f>
        <v>Sesuai Penawaran</v>
      </c>
      <c r="H499" s="3" t="str">
        <f>IFERROR(__xludf.DUMMYFUNCTION("""COMPUTED_VALUE"""),"-")</f>
        <v>-</v>
      </c>
      <c r="I499" s="3">
        <f>IFERROR(__xludf.DUMMYFUNCTION("""COMPUTED_VALUE"""),25.0)</f>
        <v>25</v>
      </c>
      <c r="J499" s="3" t="str">
        <f>IFERROR(__xludf.DUMMYFUNCTION("""COMPUTED_VALUE"""),"pcs")</f>
        <v>pcs</v>
      </c>
      <c r="K499" s="5" t="str">
        <f>IFERROR(__xludf.DUMMYFUNCTION("""COMPUTED_VALUE"""),"https://drive.google.com/file/d/1RetRhB0IiBOdKEEgDfI5zpTWBf11f2fj/view?usp=sharing")</f>
        <v>https://drive.google.com/file/d/1RetRhB0IiBOdKEEgDfI5zpTWBf11f2fj/view?usp=sharing</v>
      </c>
      <c r="L499" s="3" t="str">
        <f>IFERROR(__xludf.DUMMYFUNCTION("""COMPUTED_VALUE"""),"satu penawaran sudah tercantum 2 pcs")</f>
        <v>satu penawaran sudah tercantum 2 pcs</v>
      </c>
      <c r="M499" s="3" t="str">
        <f>IFERROR(__xludf.DUMMYFUNCTION("""COMPUTED_VALUE"""),"Approve")</f>
        <v>Approve</v>
      </c>
      <c r="N499" s="3" t="str">
        <f>IFERROR(__xludf.DUMMYFUNCTION("""COMPUTED_VALUE"""),"Normal")</f>
        <v>Normal</v>
      </c>
      <c r="O499" s="3" t="str">
        <f>IFERROR(__xludf.DUMMYFUNCTION("""COMPUTED_VALUE"""),"Non Urgent")</f>
        <v>Non Urgent</v>
      </c>
      <c r="P499" s="7">
        <f>IFERROR(__xludf.DUMMYFUNCTION("""COMPUTED_VALUE"""),46093.04980528935)</f>
        <v>46093.04981</v>
      </c>
    </row>
    <row r="500">
      <c r="A500" s="4">
        <f>IFERROR(__xludf.DUMMYFUNCTION("""COMPUTED_VALUE"""),46091.617545520836)</f>
        <v>46091.61755</v>
      </c>
      <c r="B500" s="3" t="str">
        <f>IFERROR(__xludf.DUMMYFUNCTION("""COMPUTED_VALUE"""),"ANOBR0052")</f>
        <v>ANOBR0052</v>
      </c>
      <c r="C500" s="3" t="str">
        <f>IFERROR(__xludf.DUMMYFUNCTION("""COMPUTED_VALUE"""),"EJO")</f>
        <v>EJO</v>
      </c>
      <c r="D500" s="3" t="str">
        <f>IFERROR(__xludf.DUMMYFUNCTION("""COMPUTED_VALUE"""),"EJO/2026/01/137")</f>
        <v>EJO/2026/01/137</v>
      </c>
      <c r="E500" s="3" t="str">
        <f>IFERROR(__xludf.DUMMYFUNCTION("""COMPUTED_VALUE"""),"Aerosol generator")</f>
        <v>Aerosol generator</v>
      </c>
      <c r="F500" s="3" t="str">
        <f>IFERROR(__xludf.DUMMYFUNCTION("""COMPUTED_VALUE"""),"rivet nut m4")</f>
        <v>rivet nut m4</v>
      </c>
      <c r="G500" s="3" t="str">
        <f>IFERROR(__xludf.DUMMYFUNCTION("""COMPUTED_VALUE"""),"rivet nut m4")</f>
        <v>rivet nut m4</v>
      </c>
      <c r="H500" s="3" t="str">
        <f>IFERROR(__xludf.DUMMYFUNCTION("""COMPUTED_VALUE"""),"-")</f>
        <v>-</v>
      </c>
      <c r="I500" s="3">
        <f>IFERROR(__xludf.DUMMYFUNCTION("""COMPUTED_VALUE"""),50.0)</f>
        <v>50</v>
      </c>
      <c r="J500" s="3" t="str">
        <f>IFERROR(__xludf.DUMMYFUNCTION("""COMPUTED_VALUE"""),"pcs")</f>
        <v>pcs</v>
      </c>
      <c r="K500" s="5" t="str">
        <f>IFERROR(__xludf.DUMMYFUNCTION("""COMPUTED_VALUE"""),"https://shopee.co.id/product/105221864/22620153153?gads_t_sig=VTJGc2RHVmtYMTlxTFVSVVRrdENkY0tSanlKZU1BU2Y2RTJzOS9neUtnZm9xdk1HYjhBM2ZWSDhGNTlxbXBqZEkzbkxkell0cURwRmYrQS9TWGYwY05TZ0VHTnI2aTR2Z3YwQW9jcFhFTFFMVmR3K2taTEw4QUZvU1Z5MU40RkpZU1N6Mnc1ZzJ4TVI3WlY1W"&amp;"nNsUU5BPT0&amp;gad_source=1&amp;gad_campaignid=23290582497&amp;gbraid=0AAAAADPpU81VyXAjPKX7Kjr4xcHYf0wXl&amp;gclid=Cj0KCQjwgr_NBhDFARIsAHiUWr7Y7lsCy9W-Ys5c-mochJ57DXXQ9dUb_r-2vABZmccT1pDK7Z0A60caAipfEALw_wcB")</f>
        <v>https://shopee.co.id/product/105221864/22620153153?gads_t_sig=VTJGc2RHVmtYMTlxTFVSVVRrdENkY0tSanlKZU1BU2Y2RTJzOS9neUtnZm9xdk1HYjhBM2ZWSDhGNTlxbXBqZEkzbkxkell0cURwRmYrQS9TWGYwY05TZ0VHTnI2aTR2Z3YwQW9jcFhFTFFMVmR3K2taTEw4QUZvU1Z5MU40RkpZU1N6Mnc1ZzJ4TVI3WlY1WnNsUU5BPT0&amp;gad_source=1&amp;gad_campaignid=23290582497&amp;gbraid=0AAAAADPpU81VyXAjPKX7Kjr4xcHYf0wXl&amp;gclid=Cj0KCQjwgr_NBhDFARIsAHiUWr7Y7lsCy9W-Ys5c-mochJ57DXXQ9dUb_r-2vABZmccT1pDK7Z0A60caAipfEALw_wcB</v>
      </c>
      <c r="L500" s="3" t="str">
        <f>IFERROR(__xludf.DUMMYFUNCTION("""COMPUTED_VALUE"""),"untuk keperluan penambahan baut pada cover aerosol generator")</f>
        <v>untuk keperluan penambahan baut pada cover aerosol generator</v>
      </c>
      <c r="M500" s="3" t="str">
        <f>IFERROR(__xludf.DUMMYFUNCTION("""COMPUTED_VALUE"""),"Approve")</f>
        <v>Approve</v>
      </c>
      <c r="N500" s="3" t="str">
        <f>IFERROR(__xludf.DUMMYFUNCTION("""COMPUTED_VALUE"""),"Normal")</f>
        <v>Normal</v>
      </c>
      <c r="O500" s="3" t="str">
        <f>IFERROR(__xludf.DUMMYFUNCTION("""COMPUTED_VALUE"""),"Non Urgent")</f>
        <v>Non Urgent</v>
      </c>
      <c r="P500" s="7">
        <f>IFERROR(__xludf.DUMMYFUNCTION("""COMPUTED_VALUE"""),46093.04918052083)</f>
        <v>46093.04918</v>
      </c>
    </row>
    <row r="501">
      <c r="A501" s="4">
        <f>IFERROR(__xludf.DUMMYFUNCTION("""COMPUTED_VALUE"""),46091.63665068287)</f>
        <v>46091.63665</v>
      </c>
      <c r="B501" s="3" t="str">
        <f>IFERROR(__xludf.DUMMYFUNCTION("""COMPUTED_VALUE"""),"ANOBR0053")</f>
        <v>ANOBR0053</v>
      </c>
      <c r="C501" s="3" t="str">
        <f>IFERROR(__xludf.DUMMYFUNCTION("""COMPUTED_VALUE"""),"Consumable")</f>
        <v>Consumable</v>
      </c>
      <c r="D501" s="3" t="str">
        <f>IFERROR(__xludf.DUMMYFUNCTION("""COMPUTED_VALUE"""),"-")</f>
        <v>-</v>
      </c>
      <c r="E501" s="3" t="str">
        <f>IFERROR(__xludf.DUMMYFUNCTION("""COMPUTED_VALUE"""),"alat las")</f>
        <v>alat las</v>
      </c>
      <c r="F501" s="3" t="str">
        <f>IFERROR(__xludf.DUMMYFUNCTION("""COMPUTED_VALUE"""),"kedok las ")</f>
        <v>kedok las </v>
      </c>
      <c r="G501" s="3" t="str">
        <f>IFERROR(__xludf.DUMMYFUNCTION("""COMPUTED_VALUE"""),"kedok las otomatis")</f>
        <v>kedok las otomatis</v>
      </c>
      <c r="H501" s="3" t="str">
        <f>IFERROR(__xludf.DUMMYFUNCTION("""COMPUTED_VALUE"""),"daiden")</f>
        <v>daiden</v>
      </c>
      <c r="I501" s="3">
        <f>IFERROR(__xludf.DUMMYFUNCTION("""COMPUTED_VALUE"""),1.0)</f>
        <v>1</v>
      </c>
      <c r="J501" s="3" t="str">
        <f>IFERROR(__xludf.DUMMYFUNCTION("""COMPUTED_VALUE"""),"pcs")</f>
        <v>pcs</v>
      </c>
      <c r="K501" s="5" t="str">
        <f>IFERROR(__xludf.DUMMYFUNCTION("""COMPUTED_VALUE"""),"https://www.monotaro.id/items/s045330964.html?utm_source=google&amp;utm_medium=pla&amp;utm_campaign=22608577675&amp;utm_content=180145020197&amp;utm_term=others_cat_group_2_pricebrand_group_1&amp;gad_source=4&amp;gad_campaignid=22608577675&amp;gbraid=0AAAAADJU9--igvJUcptF5cp8mmiUW_V"&amp;"w8&amp;gclid=Cj0KCQjwgr_NBhDFARIsAHiUWr5jqoFl_ND7RZJtRsLhVU2AuLYUHuHA3yKwRCUBA9OCaHZML5LOsiAaAqtFEALw_wcB")</f>
        <v>https://www.monotaro.id/items/s045330964.html?utm_source=google&amp;utm_medium=pla&amp;utm_campaign=22608577675&amp;utm_content=180145020197&amp;utm_term=others_cat_group_2_pricebrand_group_1&amp;gad_source=4&amp;gad_campaignid=22608577675&amp;gbraid=0AAAAADJU9--igvJUcptF5cp8mmiUW_Vw8&amp;gclid=Cj0KCQjwgr_NBhDFARIsAHiUWr5jqoFl_ND7RZJtRsLhVU2AuLYUHuHA3yKwRCUBA9OCaHZML5LOsiAaAqtFEALw_wcB</v>
      </c>
      <c r="L501" s="3" t="str">
        <f>IFERROR(__xludf.DUMMYFUNCTION("""COMPUTED_VALUE"""),"keperluan aktivitas las")</f>
        <v>keperluan aktivitas las</v>
      </c>
      <c r="M501" s="3" t="str">
        <f>IFERROR(__xludf.DUMMYFUNCTION("""COMPUTED_VALUE"""),"Approve")</f>
        <v>Approve</v>
      </c>
      <c r="N501" s="3" t="str">
        <f>IFERROR(__xludf.DUMMYFUNCTION("""COMPUTED_VALUE"""),"Normal")</f>
        <v>Normal</v>
      </c>
      <c r="O501" s="3" t="str">
        <f>IFERROR(__xludf.DUMMYFUNCTION("""COMPUTED_VALUE"""),"Non Urgent")</f>
        <v>Non Urgent</v>
      </c>
      <c r="P501" s="7">
        <f>IFERROR(__xludf.DUMMYFUNCTION("""COMPUTED_VALUE"""),46093.049368368054)</f>
        <v>46093.04937</v>
      </c>
    </row>
    <row r="502">
      <c r="A502" s="4">
        <f>IFERROR(__xludf.DUMMYFUNCTION("""COMPUTED_VALUE"""),46091.64007299769)</f>
        <v>46091.64007</v>
      </c>
      <c r="B502" s="3" t="str">
        <f>IFERROR(__xludf.DUMMYFUNCTION("""COMPUTED_VALUE"""),"ANOBR0050")</f>
        <v>ANOBR0050</v>
      </c>
      <c r="C502" s="3" t="str">
        <f>IFERROR(__xludf.DUMMYFUNCTION("""COMPUTED_VALUE"""),"EJO")</f>
        <v>EJO</v>
      </c>
      <c r="D502" s="3" t="str">
        <f>IFERROR(__xludf.DUMMYFUNCTION("""COMPUTED_VALUE"""),"EJO/2026/01/137")</f>
        <v>EJO/2026/01/137</v>
      </c>
      <c r="E502" s="3" t="str">
        <f>IFERROR(__xludf.DUMMYFUNCTION("""COMPUTED_VALUE"""),"Aerosol generator")</f>
        <v>Aerosol generator</v>
      </c>
      <c r="F502" s="3" t="str">
        <f>IFERROR(__xludf.DUMMYFUNCTION("""COMPUTED_VALUE"""),"gasket silicon rubber")</f>
        <v>gasket silicon rubber</v>
      </c>
      <c r="G502" s="3" t="str">
        <f>IFERROR(__xludf.DUMMYFUNCTION("""COMPUTED_VALUE"""),"gasket silicon  rubber tebal 3 mm ukuran 1meter x 1 meter")</f>
        <v>gasket silicon  rubber tebal 3 mm ukuran 1meter x 1 meter</v>
      </c>
      <c r="H502" s="3" t="str">
        <f>IFERROR(__xludf.DUMMYFUNCTION("""COMPUTED_VALUE"""),"-")</f>
        <v>-</v>
      </c>
      <c r="I502" s="3">
        <f>IFERROR(__xludf.DUMMYFUNCTION("""COMPUTED_VALUE"""),1.0)</f>
        <v>1</v>
      </c>
      <c r="J502" s="3" t="str">
        <f>IFERROR(__xludf.DUMMYFUNCTION("""COMPUTED_VALUE"""),"roll")</f>
        <v>roll</v>
      </c>
      <c r="K502" s="5" t="str">
        <f>IFERROR(__xludf.DUMMYFUNCTION("""COMPUTED_VALUE"""),"https://shopee.co.id/product/12427419/17556834730?gads_t_sig=VTJGc2RHVmtYMTlxTFVSVVRrdENkVEN2VUxrWEZOaDk0d0pqV3V0QjRydjRtZURjWlFKM3l3Mkx5SVJ2eXZaV2VuRWp3WVg3cE1rbjNoS3hZTEVTU2xaSnNoczMzRm1tVmtVNThOT29QTnNJQlltcDMvTlA0MFlEQlVZMk42M1c&amp;gad_source=1&amp;gad_campa"&amp;"ignid=23290582497&amp;gbraid=0AAAAADPpU81VyXAjPKX7Kjr4xcHYf0wXl&amp;gclid=Cj0KCQjwgr_NBhDFARIsAHiUWr7PF8eed-OEOs8_TjDiIzPi_X6ZvaqmtpuEniI0-r2tLmgAFB1gbasaAp4eEALw_wcB")</f>
        <v>https://shopee.co.id/product/12427419/17556834730?gads_t_sig=VTJGc2RHVmtYMTlxTFVSVVRrdENkVEN2VUxrWEZOaDk0d0pqV3V0QjRydjRtZURjWlFKM3l3Mkx5SVJ2eXZaV2VuRWp3WVg3cE1rbjNoS3hZTEVTU2xaSnNoczMzRm1tVmtVNThOT29QTnNJQlltcDMvTlA0MFlEQlVZMk42M1c&amp;gad_source=1&amp;gad_campaignid=23290582497&amp;gbraid=0AAAAADPpU81VyXAjPKX7Kjr4xcHYf0wXl&amp;gclid=Cj0KCQjwgr_NBhDFARIsAHiUWr7PF8eed-OEOs8_TjDiIzPi_X6ZvaqmtpuEniI0-r2tLmgAFB1gbasaAp4eEALw_wcB</v>
      </c>
      <c r="L502" s="3" t="str">
        <f>IFERROR(__xludf.DUMMYFUNCTION("""COMPUTED_VALUE"""),"untuk keperluan mengganti seal gasket pada baut pengunci cover aerosol generator")</f>
        <v>untuk keperluan mengganti seal gasket pada baut pengunci cover aerosol generator</v>
      </c>
      <c r="M502" s="3" t="str">
        <f>IFERROR(__xludf.DUMMYFUNCTION("""COMPUTED_VALUE"""),"Approve")</f>
        <v>Approve</v>
      </c>
      <c r="N502" s="3" t="str">
        <f>IFERROR(__xludf.DUMMYFUNCTION("""COMPUTED_VALUE"""),"Normal")</f>
        <v>Normal</v>
      </c>
      <c r="O502" s="3" t="str">
        <f>IFERROR(__xludf.DUMMYFUNCTION("""COMPUTED_VALUE"""),"Non Urgent")</f>
        <v>Non Urgent</v>
      </c>
      <c r="P502" s="7">
        <f>IFERROR(__xludf.DUMMYFUNCTION("""COMPUTED_VALUE"""),46093.04871679399)</f>
        <v>46093.04872</v>
      </c>
    </row>
    <row r="503">
      <c r="A503" s="4">
        <f>IFERROR(__xludf.DUMMYFUNCTION("""COMPUTED_VALUE"""),46091.64013233796)</f>
        <v>46091.64013</v>
      </c>
      <c r="B503" s="3" t="str">
        <f>IFERROR(__xludf.DUMMYFUNCTION("""COMPUTED_VALUE"""),"ANOBR0051")</f>
        <v>ANOBR0051</v>
      </c>
      <c r="C503" s="3" t="str">
        <f>IFERROR(__xludf.DUMMYFUNCTION("""COMPUTED_VALUE"""),"EJO")</f>
        <v>EJO</v>
      </c>
      <c r="D503" s="3" t="str">
        <f>IFERROR(__xludf.DUMMYFUNCTION("""COMPUTED_VALUE"""),"EJO/2026/01/137")</f>
        <v>EJO/2026/01/137</v>
      </c>
      <c r="E503" s="3" t="str">
        <f>IFERROR(__xludf.DUMMYFUNCTION("""COMPUTED_VALUE"""),"Aerosol generator")</f>
        <v>Aerosol generator</v>
      </c>
      <c r="F503" s="3" t="str">
        <f>IFERROR(__xludf.DUMMYFUNCTION("""COMPUTED_VALUE"""),"gasket silicon rubber")</f>
        <v>gasket silicon rubber</v>
      </c>
      <c r="G503" s="3" t="str">
        <f>IFERROR(__xludf.DUMMYFUNCTION("""COMPUTED_VALUE"""),"gasket silicon  rubber tebal 5 mm ukuran 1 meter x 1 meter")</f>
        <v>gasket silicon  rubber tebal 5 mm ukuran 1 meter x 1 meter</v>
      </c>
      <c r="H503" s="3" t="str">
        <f>IFERROR(__xludf.DUMMYFUNCTION("""COMPUTED_VALUE"""),"-")</f>
        <v>-</v>
      </c>
      <c r="I503" s="3">
        <f>IFERROR(__xludf.DUMMYFUNCTION("""COMPUTED_VALUE"""),1.0)</f>
        <v>1</v>
      </c>
      <c r="J503" s="3" t="str">
        <f>IFERROR(__xludf.DUMMYFUNCTION("""COMPUTED_VALUE"""),"roll")</f>
        <v>roll</v>
      </c>
      <c r="K503" s="5" t="str">
        <f>IFERROR(__xludf.DUMMYFUNCTION("""COMPUTED_VALUE"""),"https://shopee.co.id/product/1566195522/40508035156?gads_t_sig=VTJGc2RHVmtYMTlxTFVSVVRrdENkVEdTU3BlMW9zMXB6bGYrZ0J1VEdQdjl4MzJ5UFUvREsxQnRRbS94a1puNGdZMStxM1U4b0o5K2RNWVdNbTBwNVhCRUpSUk1UOVFDY0ZTVTU0Z1JlMGtyMXlqUkErd1QyZ2V0VWt0T2R1STFZZUwzNThjdnhkN3Z0TGZN"&amp;"aFh4NXJBPT0&amp;gad_source=1&amp;gad_campaignid=23290582497&amp;gbraid=0AAAAADPpU81VyXAjPKX7Kjr4xcHYf0wXl&amp;gclid=Cj0KCQjwgr_NBhDFARIsAHiUWr5E1yRcOQ8ayWbFzZq7eAggocA7ZFpSw9Tg4K-ZAFTSWyCenMqlaSUaAmMhEALw_wcB")</f>
        <v>https://shopee.co.id/product/1566195522/40508035156?gads_t_sig=VTJGc2RHVmtYMTlxTFVSVVRrdENkVEdTU3BlMW9zMXB6bGYrZ0J1VEdQdjl4MzJ5UFUvREsxQnRRbS94a1puNGdZMStxM1U4b0o5K2RNWVdNbTBwNVhCRUpSUk1UOVFDY0ZTVTU0Z1JlMGtyMXlqUkErd1QyZ2V0VWt0T2R1STFZZUwzNThjdnhkN3Z0TGZNaFh4NXJBPT0&amp;gad_source=1&amp;gad_campaignid=23290582497&amp;gbraid=0AAAAADPpU81VyXAjPKX7Kjr4xcHYf0wXl&amp;gclid=Cj0KCQjwgr_NBhDFARIsAHiUWr5E1yRcOQ8ayWbFzZq7eAggocA7ZFpSw9Tg4K-ZAFTSWyCenMqlaSUaAmMhEALw_wcB</v>
      </c>
      <c r="L503" s="3" t="str">
        <f>IFERROR(__xludf.DUMMYFUNCTION("""COMPUTED_VALUE"""),"untuk keperluan mengganti seal gasket aerosol generator")</f>
        <v>untuk keperluan mengganti seal gasket aerosol generator</v>
      </c>
      <c r="M503" s="3" t="str">
        <f>IFERROR(__xludf.DUMMYFUNCTION("""COMPUTED_VALUE"""),"Approve")</f>
        <v>Approve</v>
      </c>
      <c r="N503" s="3" t="str">
        <f>IFERROR(__xludf.DUMMYFUNCTION("""COMPUTED_VALUE"""),"Normal")</f>
        <v>Normal</v>
      </c>
      <c r="O503" s="3" t="str">
        <f>IFERROR(__xludf.DUMMYFUNCTION("""COMPUTED_VALUE"""),"Non Urgent")</f>
        <v>Non Urgent</v>
      </c>
      <c r="P503" s="7">
        <f>IFERROR(__xludf.DUMMYFUNCTION("""COMPUTED_VALUE"""),46093.04898717593)</f>
        <v>46093.04899</v>
      </c>
    </row>
    <row r="504">
      <c r="A504" s="4">
        <f>IFERROR(__xludf.DUMMYFUNCTION("""COMPUTED_VALUE"""),46093.64691605324)</f>
        <v>46093.64692</v>
      </c>
      <c r="B504" s="3" t="str">
        <f>IFERROR(__xludf.DUMMYFUNCTION("""COMPUTED_VALUE"""),"ROSBR0090")</f>
        <v>ROSBR0090</v>
      </c>
      <c r="C504" s="3" t="str">
        <f>IFERROR(__xludf.DUMMYFUNCTION("""COMPUTED_VALUE"""),"Critical Part")</f>
        <v>Critical Part</v>
      </c>
      <c r="D504" s="3" t="str">
        <f>IFERROR(__xludf.DUMMYFUNCTION("""COMPUTED_VALUE"""),"-")</f>
        <v>-</v>
      </c>
      <c r="E504" s="3" t="str">
        <f>IFERROR(__xludf.DUMMYFUNCTION("""COMPUTED_VALUE"""),"BSC")</f>
        <v>BSC</v>
      </c>
      <c r="F504" s="3" t="str">
        <f>IFERROR(__xludf.DUMMYFUNCTION("""COMPUTED_VALUE"""),"Supply motor Blower BSC ")</f>
        <v>Supply motor Blower BSC </v>
      </c>
      <c r="G504" s="3" t="str">
        <f>IFERROR(__xludf.DUMMYFUNCTION("""COMPUTED_VALUE"""),"Part code: 8115610923 -INSTRUMENT COOLING FANS R3G 250, R3G 250 AK 41-71, MAKE EBM")</f>
        <v>Part code: 8115610923 -INSTRUMENT COOLING FANS R3G 250, R3G 250 AK 41-71, MAKE EBM</v>
      </c>
      <c r="H504" s="3" t="str">
        <f>IFERROR(__xludf.DUMMYFUNCTION("""COMPUTED_VALUE"""),"Ebmpapst")</f>
        <v>Ebmpapst</v>
      </c>
      <c r="I504" s="3">
        <f>IFERROR(__xludf.DUMMYFUNCTION("""COMPUTED_VALUE"""),1.0)</f>
        <v>1</v>
      </c>
      <c r="J504" s="3" t="str">
        <f>IFERROR(__xludf.DUMMYFUNCTION("""COMPUTED_VALUE"""),"unit ")</f>
        <v>unit </v>
      </c>
      <c r="K504" s="3" t="str">
        <f>IFERROR(__xludf.DUMMYFUNCTION("""COMPUTED_VALUE"""),"Penawaran dari Pak MUN")</f>
        <v>Penawaran dari Pak MUN</v>
      </c>
      <c r="L504" s="3" t="str">
        <f>IFERROR(__xludf.DUMMYFUNCTION("""COMPUTED_VALUE"""),"-")</f>
        <v>-</v>
      </c>
      <c r="M504" s="3" t="str">
        <f>IFERROR(__xludf.DUMMYFUNCTION("""COMPUTED_VALUE"""),"Approve")</f>
        <v>Approve</v>
      </c>
      <c r="N504" s="3" t="str">
        <f>IFERROR(__xludf.DUMMYFUNCTION("""COMPUTED_VALUE"""),"Normal")</f>
        <v>Normal</v>
      </c>
      <c r="O504" s="3" t="str">
        <f>IFERROR(__xludf.DUMMYFUNCTION("""COMPUTED_VALUE"""),"Non Urgent")</f>
        <v>Non Urgent</v>
      </c>
      <c r="P504" s="7">
        <f>IFERROR(__xludf.DUMMYFUNCTION("""COMPUTED_VALUE"""),46123.28318854167)</f>
        <v>46123.28319</v>
      </c>
    </row>
    <row r="505">
      <c r="A505" s="4">
        <f>IFERROR(__xludf.DUMMYFUNCTION("""COMPUTED_VALUE"""),46093.65385894676)</f>
        <v>46093.65386</v>
      </c>
      <c r="B505" s="3" t="str">
        <f>IFERROR(__xludf.DUMMYFUNCTION("""COMPUTED_VALUE"""),"KFFBR0009")</f>
        <v>KFFBR0009</v>
      </c>
      <c r="C505" s="3" t="str">
        <f>IFERROR(__xludf.DUMMYFUNCTION("""COMPUTED_VALUE"""),"Consumable")</f>
        <v>Consumable</v>
      </c>
      <c r="D505" s="3" t="str">
        <f>IFERROR(__xludf.DUMMYFUNCTION("""COMPUTED_VALUE"""),"EJO/2025/09/131")</f>
        <v>EJO/2025/09/131</v>
      </c>
      <c r="E505" s="3" t="str">
        <f>IFERROR(__xludf.DUMMYFUNCTION("""COMPUTED_VALUE"""),"Workshop")</f>
        <v>Workshop</v>
      </c>
      <c r="F505" s="3" t="str">
        <f>IFERROR(__xludf.DUMMYFUNCTION("""COMPUTED_VALUE"""),"Tungsten electrode")</f>
        <v>Tungsten electrode</v>
      </c>
      <c r="G505" s="3" t="str">
        <f>IFERROR(__xludf.DUMMYFUNCTION("""COMPUTED_VALUE"""),"Red 2MM ")</f>
        <v>Red 2MM </v>
      </c>
      <c r="H505" s="3" t="str">
        <f>IFERROR(__xludf.DUMMYFUNCTION("""COMPUTED_VALUE"""),"universal")</f>
        <v>universal</v>
      </c>
      <c r="I505" s="3">
        <f>IFERROR(__xludf.DUMMYFUNCTION("""COMPUTED_VALUE"""),1.0)</f>
        <v>1</v>
      </c>
      <c r="J505" s="3" t="str">
        <f>IFERROR(__xludf.DUMMYFUNCTION("""COMPUTED_VALUE"""),"set")</f>
        <v>set</v>
      </c>
      <c r="K505" s="5" t="str">
        <f>IFERROR(__xludf.DUMMYFUNCTION("""COMPUTED_VALUE"""),"https://tk.tokopedia.com/ZSuAvGxmo/")</f>
        <v>https://tk.tokopedia.com/ZSuAvGxmo/</v>
      </c>
      <c r="L505" s="3" t="str">
        <f>IFERROR(__xludf.DUMMYFUNCTION("""COMPUTED_VALUE"""),"consumable untuk pengerjaan project2 yang berkaitan dengan welding ")</f>
        <v>consumable untuk pengerjaan project2 yang berkaitan dengan welding </v>
      </c>
      <c r="M505" s="3" t="str">
        <f>IFERROR(__xludf.DUMMYFUNCTION("""COMPUTED_VALUE"""),"Approve")</f>
        <v>Approve</v>
      </c>
      <c r="N505" s="3" t="str">
        <f>IFERROR(__xludf.DUMMYFUNCTION("""COMPUTED_VALUE"""),"Normal")</f>
        <v>Normal</v>
      </c>
      <c r="O505" s="3" t="str">
        <f>IFERROR(__xludf.DUMMYFUNCTION("""COMPUTED_VALUE"""),"Non Urgent")</f>
        <v>Non Urgent</v>
      </c>
      <c r="P505" s="7">
        <f>IFERROR(__xludf.DUMMYFUNCTION("""COMPUTED_VALUE"""),46123.281234814815)</f>
        <v>46123.28123</v>
      </c>
    </row>
    <row r="506">
      <c r="A506" s="4">
        <f>IFERROR(__xludf.DUMMYFUNCTION("""COMPUTED_VALUE"""),46093.65701800926)</f>
        <v>46093.65702</v>
      </c>
      <c r="B506" s="3" t="str">
        <f>IFERROR(__xludf.DUMMYFUNCTION("""COMPUTED_VALUE"""),"KFFBR0010")</f>
        <v>KFFBR0010</v>
      </c>
      <c r="C506" s="3" t="str">
        <f>IFERROR(__xludf.DUMMYFUNCTION("""COMPUTED_VALUE"""),"Consumable")</f>
        <v>Consumable</v>
      </c>
      <c r="D506" s="3" t="str">
        <f>IFERROR(__xludf.DUMMYFUNCTION("""COMPUTED_VALUE"""),"EJO/2025/09/131")</f>
        <v>EJO/2025/09/131</v>
      </c>
      <c r="E506" s="3" t="str">
        <f>IFERROR(__xludf.DUMMYFUNCTION("""COMPUTED_VALUE"""),"Workshop")</f>
        <v>Workshop</v>
      </c>
      <c r="F506" s="3" t="str">
        <f>IFERROR(__xludf.DUMMYFUNCTION("""COMPUTED_VALUE"""),"consumable welding kit ")</f>
        <v>consumable welding kit </v>
      </c>
      <c r="G506" s="3" t="str">
        <f>IFERROR(__xludf.DUMMYFUNCTION("""COMPUTED_VALUE"""),"55pcs Tig Argon Welding Torch Aksesoris Nosel Alumina Gas Lens Keramik Collet Body Untuk Wp 17 Wp18 Wp 26 - 55pc")</f>
        <v>55pcs Tig Argon Welding Torch Aksesoris Nosel Alumina Gas Lens Keramik Collet Body Untuk Wp 17 Wp18 Wp 26 - 55pc</v>
      </c>
      <c r="H506" s="3" t="str">
        <f>IFERROR(__xludf.DUMMYFUNCTION("""COMPUTED_VALUE"""),"universal")</f>
        <v>universal</v>
      </c>
      <c r="I506" s="3">
        <f>IFERROR(__xludf.DUMMYFUNCTION("""COMPUTED_VALUE"""),1.0)</f>
        <v>1</v>
      </c>
      <c r="J506" s="3" t="str">
        <f>IFERROR(__xludf.DUMMYFUNCTION("""COMPUTED_VALUE"""),"SET")</f>
        <v>SET</v>
      </c>
      <c r="K506" s="5" t="str">
        <f>IFERROR(__xludf.DUMMYFUNCTION("""COMPUTED_VALUE"""),"https://tk.tokopedia.com/ZSuA3mDHf/")</f>
        <v>https://tk.tokopedia.com/ZSuA3mDHf/</v>
      </c>
      <c r="L506" s="3" t="str">
        <f>IFERROR(__xludf.DUMMYFUNCTION("""COMPUTED_VALUE"""),"consumable stock karna tidak ada sama sekali ")</f>
        <v>consumable stock karna tidak ada sama sekali </v>
      </c>
      <c r="M506" s="3" t="str">
        <f>IFERROR(__xludf.DUMMYFUNCTION("""COMPUTED_VALUE"""),"Approve")</f>
        <v>Approve</v>
      </c>
      <c r="N506" s="3" t="str">
        <f>IFERROR(__xludf.DUMMYFUNCTION("""COMPUTED_VALUE"""),"Normal")</f>
        <v>Normal</v>
      </c>
      <c r="O506" s="3" t="str">
        <f>IFERROR(__xludf.DUMMYFUNCTION("""COMPUTED_VALUE"""),"Non Urgent")</f>
        <v>Non Urgent</v>
      </c>
      <c r="P506" s="7">
        <f>IFERROR(__xludf.DUMMYFUNCTION("""COMPUTED_VALUE"""),46123.28157099537)</f>
        <v>46123.28157</v>
      </c>
    </row>
    <row r="507">
      <c r="A507" s="4">
        <f>IFERROR(__xludf.DUMMYFUNCTION("""COMPUTED_VALUE"""),46094.916488113435)</f>
        <v>46094.91649</v>
      </c>
      <c r="B507" s="3" t="str">
        <f>IFERROR(__xludf.DUMMYFUNCTION("""COMPUTED_VALUE"""),"SFHBR0048")</f>
        <v>SFHBR0048</v>
      </c>
      <c r="C507" s="3" t="str">
        <f>IFERROR(__xludf.DUMMYFUNCTION("""COMPUTED_VALUE"""),"EJO")</f>
        <v>EJO</v>
      </c>
      <c r="D507" s="3" t="str">
        <f>IFERROR(__xludf.DUMMYFUNCTION("""COMPUTED_VALUE"""),"EJO/2026/03/42")</f>
        <v>EJO/2026/03/42</v>
      </c>
      <c r="E507" s="3" t="str">
        <f>IFERROR(__xludf.DUMMYFUNCTION("""COMPUTED_VALUE"""),"lamtai 2")</f>
        <v>lamtai 2</v>
      </c>
      <c r="F507" s="3" t="str">
        <f>IFERROR(__xludf.DUMMYFUNCTION("""COMPUTED_VALUE"""),"RODA CASTER RUBBER HITAM UNTUK TROLY yang ada Rem ny")</f>
        <v>RODA CASTER RUBBER HITAM UNTUK TROLY yang ada Rem ny</v>
      </c>
      <c r="G507" s="3" t="str">
        <f>IFERROR(__xludf.DUMMYFUNCTION("""COMPUTED_VALUE"""),"RODA CASTER RUBBER HITAM UNTUK TROLY ukuran 4 inc yang ada braker atau Rem")</f>
        <v>RODA CASTER RUBBER HITAM UNTUK TROLY ukuran 4 inc yang ada braker atau Rem</v>
      </c>
      <c r="H507" s="3" t="str">
        <f>IFERROR(__xludf.DUMMYFUNCTION("""COMPUTED_VALUE"""),"roda caster rubber")</f>
        <v>roda caster rubber</v>
      </c>
      <c r="I507" s="3">
        <f>IFERROR(__xludf.DUMMYFUNCTION("""COMPUTED_VALUE"""),2.0)</f>
        <v>2</v>
      </c>
      <c r="J507" s="3" t="str">
        <f>IFERROR(__xludf.DUMMYFUNCTION("""COMPUTED_VALUE"""),"pcs")</f>
        <v>pcs</v>
      </c>
      <c r="K507" s="5" t="str">
        <f>IFERROR(__xludf.DUMMYFUNCTION("""COMPUTED_VALUE"""),"https://tk.tokopedia.com/ZSufY5FEo/")</f>
        <v>https://tk.tokopedia.com/ZSufY5FEo/</v>
      </c>
      <c r="L507" s="3" t="str">
        <f>IFERROR(__xludf.DUMMYFUNCTION("""COMPUTED_VALUE"""),"-")</f>
        <v>-</v>
      </c>
      <c r="M507" s="3" t="str">
        <f>IFERROR(__xludf.DUMMYFUNCTION("""COMPUTED_VALUE"""),"Approve")</f>
        <v>Approve</v>
      </c>
      <c r="N507" s="3" t="str">
        <f>IFERROR(__xludf.DUMMYFUNCTION("""COMPUTED_VALUE"""),"Normal")</f>
        <v>Normal</v>
      </c>
      <c r="O507" s="3" t="str">
        <f>IFERROR(__xludf.DUMMYFUNCTION("""COMPUTED_VALUE"""),"Non Urgent")</f>
        <v>Non Urgent</v>
      </c>
      <c r="P507" s="7">
        <f>IFERROR(__xludf.DUMMYFUNCTION("""COMPUTED_VALUE"""),46206.156991932876)</f>
        <v>46206.15699</v>
      </c>
    </row>
    <row r="508">
      <c r="A508" s="4">
        <f>IFERROR(__xludf.DUMMYFUNCTION("""COMPUTED_VALUE"""),46098.82845061343)</f>
        <v>46098.82845</v>
      </c>
      <c r="B508" s="3" t="str">
        <f>IFERROR(__xludf.DUMMYFUNCTION("""COMPUTED_VALUE"""),"RIABR0158")</f>
        <v>RIABR0158</v>
      </c>
      <c r="C508" s="3" t="str">
        <f>IFERROR(__xludf.DUMMYFUNCTION("""COMPUTED_VALUE"""),"EJO")</f>
        <v>EJO</v>
      </c>
      <c r="D508" s="3" t="str">
        <f>IFERROR(__xludf.DUMMYFUNCTION("""COMPUTED_VALUE"""),"EJO/2026/01/57")</f>
        <v>EJO/2026/01/57</v>
      </c>
      <c r="E508" s="3" t="str">
        <f>IFERROR(__xludf.DUMMYFUNCTION("""COMPUTED_VALUE"""),"Lift Penumpang")</f>
        <v>Lift Penumpang</v>
      </c>
      <c r="F508" s="3" t="str">
        <f>IFERROR(__xludf.DUMMYFUNCTION("""COMPUTED_VALUE"""),"Door Shoe")</f>
        <v>Door Shoe</v>
      </c>
      <c r="G508" s="3" t="str">
        <f>IFERROR(__xludf.DUMMYFUNCTION("""COMPUTED_VALUE"""),"Door Shoe Car Door -
*Lift Office
*Kondisi aus (medium priority)
*code : iwu-000528
*stock ready tidak mengikat")</f>
        <v>Door Shoe Car Door -
*Lift Office
*Kondisi aus (medium priority)
*code : iwu-000528
*stock ready tidak mengikat</v>
      </c>
      <c r="H508" s="3" t="str">
        <f>IFERROR(__xludf.DUMMYFUNCTION("""COMPUTED_VALUE"""),"IWU")</f>
        <v>IWU</v>
      </c>
      <c r="I508" s="3">
        <f>IFERROR(__xludf.DUMMYFUNCTION("""COMPUTED_VALUE"""),4.0)</f>
        <v>4</v>
      </c>
      <c r="J508" s="3" t="str">
        <f>IFERROR(__xludf.DUMMYFUNCTION("""COMPUTED_VALUE"""),"Pcs")</f>
        <v>Pcs</v>
      </c>
      <c r="K508" s="5" t="str">
        <f>IFERROR(__xludf.DUMMYFUNCTION("""COMPUTED_VALUE"""),"https://drive.google.com/file/d/1ziyJsvvlRjeBfjIvmq8jY6sonNV3yR7y/view?usp=drive_link")</f>
        <v>https://drive.google.com/file/d/1ziyJsvvlRjeBfjIvmq8jY6sonNV3yR7y/view?usp=drive_link</v>
      </c>
      <c r="L508" s="3" t="str">
        <f>IFERROR(__xludf.DUMMYFUNCTION("""COMPUTED_VALUE"""),"Untuk Lift")</f>
        <v>Untuk Lift</v>
      </c>
      <c r="M508" s="3" t="str">
        <f>IFERROR(__xludf.DUMMYFUNCTION("""COMPUTED_VALUE"""),"Approve")</f>
        <v>Approve</v>
      </c>
      <c r="N508" s="3" t="str">
        <f>IFERROR(__xludf.DUMMYFUNCTION("""COMPUTED_VALUE"""),"Normal")</f>
        <v>Normal</v>
      </c>
      <c r="O508" s="3" t="str">
        <f>IFERROR(__xludf.DUMMYFUNCTION("""COMPUTED_VALUE"""),"Non Urgent")</f>
        <v>Non Urgent</v>
      </c>
      <c r="P508" s="7">
        <f>IFERROR(__xludf.DUMMYFUNCTION("""COMPUTED_VALUE"""),46099.64190097222)</f>
        <v>46099.6419</v>
      </c>
    </row>
    <row r="509">
      <c r="A509" s="4">
        <f>IFERROR(__xludf.DUMMYFUNCTION("""COMPUTED_VALUE"""),46108.619852129625)</f>
        <v>46108.61985</v>
      </c>
      <c r="B509" s="3" t="str">
        <f>IFERROR(__xludf.DUMMYFUNCTION("""COMPUTED_VALUE"""),"BDUBR0007")</f>
        <v>BDUBR0007</v>
      </c>
      <c r="C509" s="3" t="str">
        <f>IFERROR(__xludf.DUMMYFUNCTION("""COMPUTED_VALUE"""),"MIn Stok")</f>
        <v>MIn Stok</v>
      </c>
      <c r="D509" s="3" t="str">
        <f>IFERROR(__xludf.DUMMYFUNCTION("""COMPUTED_VALUE"""),"Stock Habis")</f>
        <v>Stock Habis</v>
      </c>
      <c r="E509" s="3" t="str">
        <f>IFERROR(__xludf.DUMMYFUNCTION("""COMPUTED_VALUE"""),"MIxing")</f>
        <v>MIxing</v>
      </c>
      <c r="F509" s="3" t="str">
        <f>IFERROR(__xludf.DUMMYFUNCTION("""COMPUTED_VALUE"""),"Power Supply")</f>
        <v>Power Supply</v>
      </c>
      <c r="G509" s="3" t="str">
        <f>IFERROR(__xludf.DUMMYFUNCTION("""COMPUTED_VALUE"""),"Input 220 VAC, Output 24VDC, 5A, 120W")</f>
        <v>Input 220 VAC, Output 24VDC, 5A, 120W</v>
      </c>
      <c r="H509" s="3" t="str">
        <f>IFERROR(__xludf.DUMMYFUNCTION("""COMPUTED_VALUE"""),"MeanWell")</f>
        <v>MeanWell</v>
      </c>
      <c r="I509" s="3">
        <f>IFERROR(__xludf.DUMMYFUNCTION("""COMPUTED_VALUE"""),2.0)</f>
        <v>2</v>
      </c>
      <c r="J509" s="3" t="str">
        <f>IFERROR(__xludf.DUMMYFUNCTION("""COMPUTED_VALUE"""),"pcs")</f>
        <v>pcs</v>
      </c>
      <c r="K509" s="3" t="str">
        <f>IFERROR(__xludf.DUMMYFUNCTION("""COMPUTED_VALUE"""),"DR-120-24")</f>
        <v>DR-120-24</v>
      </c>
      <c r="L509" s="3" t="str">
        <f>IFERROR(__xludf.DUMMYFUNCTION("""COMPUTED_VALUE"""),"Untuk stock power supply mesin, karena sudah dipakai mixing")</f>
        <v>Untuk stock power supply mesin, karena sudah dipakai mixing</v>
      </c>
      <c r="M509" s="3" t="str">
        <f>IFERROR(__xludf.DUMMYFUNCTION("""COMPUTED_VALUE"""),"Approve")</f>
        <v>Approve</v>
      </c>
      <c r="N509" s="3" t="str">
        <f>IFERROR(__xludf.DUMMYFUNCTION("""COMPUTED_VALUE"""),"Normal")</f>
        <v>Normal</v>
      </c>
      <c r="O509" s="3" t="str">
        <f>IFERROR(__xludf.DUMMYFUNCTION("""COMPUTED_VALUE"""),"Non Urgent")</f>
        <v>Non Urgent</v>
      </c>
      <c r="P509" s="7">
        <f>IFERROR(__xludf.DUMMYFUNCTION("""COMPUTED_VALUE"""),46119.26624070602)</f>
        <v>46119.26624</v>
      </c>
    </row>
    <row r="510">
      <c r="A510" s="4">
        <f>IFERROR(__xludf.DUMMYFUNCTION("""COMPUTED_VALUE"""),46108.66456697917)</f>
        <v>46108.66457</v>
      </c>
      <c r="B510" s="3" t="str">
        <f>IFERROR(__xludf.DUMMYFUNCTION("""COMPUTED_VALUE"""),"SFHBR0049")</f>
        <v>SFHBR0049</v>
      </c>
      <c r="C510" s="3" t="str">
        <f>IFERROR(__xludf.DUMMYFUNCTION("""COMPUTED_VALUE"""),"EJO")</f>
        <v>EJO</v>
      </c>
      <c r="D510" s="3" t="str">
        <f>IFERROR(__xludf.DUMMYFUNCTION("""COMPUTED_VALUE"""),"EJO/2026/02/183")</f>
        <v>EJO/2026/02/183</v>
      </c>
      <c r="E510" s="3" t="str">
        <f>IFERROR(__xludf.DUMMYFUNCTION("""COMPUTED_VALUE"""),"lantai 3")</f>
        <v>lantai 3</v>
      </c>
      <c r="F510" s="3" t="str">
        <f>IFERROR(__xludf.DUMMYFUNCTION("""COMPUTED_VALUE"""),"Lis Penutup Lubang Bawah Pintu | Door Bottom Seal | Penghalang Debu Angin Serangga | Penutup Celah Anti Kecoa Model Silikon Karet Silikon Kokoh Anti gesek")</f>
        <v>Lis Penutup Lubang Bawah Pintu | Door Bottom Seal | Penghalang Debu Angin Serangga | Penutup Celah Anti Kecoa Model Silikon Karet Silikon Kokoh Anti gesek</v>
      </c>
      <c r="G510" s="3" t="str">
        <f>IFERROR(__xludf.DUMMYFUNCTION("""COMPUTED_VALUE"""),"Lis Penutup Lubang Bawah Pintu | Door Bottom Seal | Penghalang Debu Angin Serangga | Penutup Celah Anti Kecoa Model Silikon Karet Silikon Kokoh Anti Gesekan Minimalis 5cm x 1m - Hitam")</f>
        <v>Lis Penutup Lubang Bawah Pintu | Door Bottom Seal | Penghalang Debu Angin Serangga | Penutup Celah Anti Kecoa Model Silikon Karet Silikon Kokoh Anti Gesekan Minimalis 5cm x 1m - Hitam</v>
      </c>
      <c r="H510" s="3" t="str">
        <f>IFERROR(__xludf.DUMMYFUNCTION("""COMPUTED_VALUE"""),"penutup celah")</f>
        <v>penutup celah</v>
      </c>
      <c r="I510" s="3">
        <f>IFERROR(__xludf.DUMMYFUNCTION("""COMPUTED_VALUE"""),3.0)</f>
        <v>3</v>
      </c>
      <c r="J510" s="3" t="str">
        <f>IFERROR(__xludf.DUMMYFUNCTION("""COMPUTED_VALUE"""),"roll")</f>
        <v>roll</v>
      </c>
      <c r="K510" s="5" t="str">
        <f>IFERROR(__xludf.DUMMYFUNCTION("""COMPUTED_VALUE"""),"https://tk.tokopedia.com/ZSuo1a4cR/")</f>
        <v>https://tk.tokopedia.com/ZSuo1a4cR/</v>
      </c>
      <c r="L510" s="3" t="str">
        <f>IFERROR(__xludf.DUMMYFUNCTION("""COMPUTED_VALUE"""),"-")</f>
        <v>-</v>
      </c>
      <c r="M510" s="3" t="str">
        <f>IFERROR(__xludf.DUMMYFUNCTION("""COMPUTED_VALUE"""),"Approve")</f>
        <v>Approve</v>
      </c>
      <c r="N510" s="3" t="str">
        <f>IFERROR(__xludf.DUMMYFUNCTION("""COMPUTED_VALUE"""),"Normal")</f>
        <v>Normal</v>
      </c>
      <c r="O510" s="3" t="str">
        <f>IFERROR(__xludf.DUMMYFUNCTION("""COMPUTED_VALUE"""),"Non Urgent")</f>
        <v>Non Urgent</v>
      </c>
      <c r="P510" s="7">
        <f>IFERROR(__xludf.DUMMYFUNCTION("""COMPUTED_VALUE"""),46118.61484001158)</f>
        <v>46118.61484</v>
      </c>
    </row>
    <row r="511">
      <c r="A511" s="4">
        <f>IFERROR(__xludf.DUMMYFUNCTION("""COMPUTED_VALUE"""),46111.920992997686)</f>
        <v>46111.92099</v>
      </c>
      <c r="B511" s="3" t="str">
        <f>IFERROR(__xludf.DUMMYFUNCTION("""COMPUTED_VALUE"""),"BDUBR0008")</f>
        <v>BDUBR0008</v>
      </c>
      <c r="C511" s="3" t="str">
        <f>IFERROR(__xludf.DUMMYFUNCTION("""COMPUTED_VALUE"""),"EJO")</f>
        <v>EJO</v>
      </c>
      <c r="D511" s="3" t="str">
        <f>IFERROR(__xludf.DUMMYFUNCTION("""COMPUTED_VALUE"""),"EJO/2025/10/85")</f>
        <v>EJO/2025/10/85</v>
      </c>
      <c r="E511" s="3" t="str">
        <f>IFERROR(__xludf.DUMMYFUNCTION("""COMPUTED_VALUE"""),"FD")</f>
        <v>FD</v>
      </c>
      <c r="F511" s="3" t="str">
        <f>IFERROR(__xludf.DUMMYFUNCTION("""COMPUTED_VALUE"""),"Selenoid Valve")</f>
        <v>Selenoid Valve</v>
      </c>
      <c r="G511" s="3" t="str">
        <f>IFERROR(__xludf.DUMMYFUNCTION("""COMPUTED_VALUE"""),"24VDC, 180-4E1-PLL-1L")</f>
        <v>24VDC, 180-4E1-PLL-1L</v>
      </c>
      <c r="H511" s="3" t="str">
        <f>IFERROR(__xludf.DUMMYFUNCTION("""COMPUTED_VALUE"""),"KOGANEI")</f>
        <v>KOGANEI</v>
      </c>
      <c r="I511" s="3">
        <f>IFERROR(__xludf.DUMMYFUNCTION("""COMPUTED_VALUE"""),1.0)</f>
        <v>1</v>
      </c>
      <c r="J511" s="3" t="str">
        <f>IFERROR(__xludf.DUMMYFUNCTION("""COMPUTED_VALUE"""),"pcs")</f>
        <v>pcs</v>
      </c>
      <c r="K511" s="5" t="str">
        <f>IFERROR(__xludf.DUMMYFUNCTION("""COMPUTED_VALUE"""),"https://www.tokopedia.com/pneuhydraulics/solenoid-koganei-180-4e1-pll-24vdc-koganei-solenoid-valve-180-4e1-pll?extParam=ivf%3Dfalse%26keyword%3Dkoganei+180-4e1-pll-1l%26search_id%3D202603301508314734BA6F3DE83D145H3D%26src%3Dsearch&amp;t_id=1774883266765&amp;t_st="&amp;"7&amp;t_pp=search_result&amp;t_efo=search_pure_goods_card&amp;t_ef=goods_search&amp;t_sm=&amp;t_spt=search_result")</f>
        <v>https://www.tokopedia.com/pneuhydraulics/solenoid-koganei-180-4e1-pll-24vdc-koganei-solenoid-valve-180-4e1-pll?extParam=ivf%3Dfalse%26keyword%3Dkoganei+180-4e1-pll-1l%26search_id%3D202603301508314734BA6F3DE83D145H3D%26src%3Dsearch&amp;t_id=1774883266765&amp;t_st=7&amp;t_pp=search_result&amp;t_efo=search_pure_goods_card&amp;t_ef=goods_search&amp;t_sm=&amp;t_spt=search_result</v>
      </c>
      <c r="L511" s="3" t="str">
        <f>IFERROR(__xludf.DUMMYFUNCTION("""COMPUTED_VALUE"""),"Untuk dilakukan pergantian pada sv13")</f>
        <v>Untuk dilakukan pergantian pada sv13</v>
      </c>
      <c r="M511" s="3" t="str">
        <f>IFERROR(__xludf.DUMMYFUNCTION("""COMPUTED_VALUE"""),"Approve")</f>
        <v>Approve</v>
      </c>
      <c r="N511" s="3" t="str">
        <f>IFERROR(__xludf.DUMMYFUNCTION("""COMPUTED_VALUE"""),"Normal")</f>
        <v>Normal</v>
      </c>
      <c r="O511" s="3" t="str">
        <f>IFERROR(__xludf.DUMMYFUNCTION("""COMPUTED_VALUE"""),"Non Urgent")</f>
        <v>Non Urgent</v>
      </c>
      <c r="P511" s="7">
        <f>IFERROR(__xludf.DUMMYFUNCTION("""COMPUTED_VALUE"""),46119.287864467595)</f>
        <v>46119.28786</v>
      </c>
    </row>
    <row r="512">
      <c r="A512" s="4">
        <f>IFERROR(__xludf.DUMMYFUNCTION("""COMPUTED_VALUE"""),46112.15370383102)</f>
        <v>46112.1537</v>
      </c>
      <c r="B512" s="3" t="str">
        <f>IFERROR(__xludf.DUMMYFUNCTION("""COMPUTED_VALUE"""),"ROSBR0091")</f>
        <v>ROSBR0091</v>
      </c>
      <c r="C512" s="3" t="str">
        <f>IFERROR(__xludf.DUMMYFUNCTION("""COMPUTED_VALUE"""),"EJO")</f>
        <v>EJO</v>
      </c>
      <c r="D512" s="3" t="str">
        <f>IFERROR(__xludf.DUMMYFUNCTION("""COMPUTED_VALUE"""),"EJO/2026/03/88")</f>
        <v>EJO/2026/03/88</v>
      </c>
      <c r="E512" s="3" t="str">
        <f>IFERROR(__xludf.DUMMYFUNCTION("""COMPUTED_VALUE"""),"Crabs")</f>
        <v>Crabs</v>
      </c>
      <c r="F512" s="3" t="str">
        <f>IFERROR(__xludf.DUMMYFUNCTION("""COMPUTED_VALUE"""),"Mur Hepa Crabs ")</f>
        <v>Mur Hepa Crabs </v>
      </c>
      <c r="G512" s="3" t="str">
        <f>IFERROR(__xludf.DUMMYFUNCTION("""COMPUTED_VALUE"""),"Mur  M10
Diameter dalam : 10mm
pitch : 1.5
material ss304")</f>
        <v>Mur  M10
Diameter dalam : 10mm
pitch : 1.5
material ss304</v>
      </c>
      <c r="H512" s="3" t="str">
        <f>IFERROR(__xludf.DUMMYFUNCTION("""COMPUTED_VALUE"""),"Universal ")</f>
        <v>Universal </v>
      </c>
      <c r="I512" s="3">
        <f>IFERROR(__xludf.DUMMYFUNCTION("""COMPUTED_VALUE"""),150.0)</f>
        <v>150</v>
      </c>
      <c r="J512" s="3" t="str">
        <f>IFERROR(__xludf.DUMMYFUNCTION("""COMPUTED_VALUE"""),"pcs ")</f>
        <v>pcs </v>
      </c>
      <c r="K512" s="5" t="str">
        <f>IFERROR(__xludf.DUMMYFUNCTION("""COMPUTED_VALUE"""),"https://shopee.co.id/SS304-Mur-M10-Mur-Stainless-M10-Hex-Nut-M10-SUS304-A2-70-i.11837378.25891530349?extraParams=%7B%22display_model_id%22%3A166971436616%2C%22model_selection_logic%22%3A2%7D&amp;sp_atk=60a9e104-d23e-46cf-809b-c38557f07cf7&amp;xptdk=60a9e104-d23e-"&amp;"46cf-809b-c38557f07cf7")</f>
        <v>https://shopee.co.id/SS304-Mur-M10-Mur-Stainless-M10-Hex-Nut-M10-SUS304-A2-70-i.11837378.25891530349?extraParams=%7B%22display_model_id%22%3A166971436616%2C%22model_selection_logic%22%3A2%7D&amp;sp_atk=60a9e104-d23e-46cf-809b-c38557f07cf7&amp;xptdk=60a9e104-d23e-46cf-809b-c38557f07cf7</v>
      </c>
      <c r="L512" s="3" t="str">
        <f>IFERROR(__xludf.DUMMYFUNCTION("""COMPUTED_VALUE"""),"Tolong belikan Mur m10 buat pergantian mur yang slek dan peremajaan dan buat stok ")</f>
        <v>Tolong belikan Mur m10 buat pergantian mur yang slek dan peremajaan dan buat stok </v>
      </c>
      <c r="M512" s="3" t="str">
        <f>IFERROR(__xludf.DUMMYFUNCTION("""COMPUTED_VALUE"""),"Approve")</f>
        <v>Approve</v>
      </c>
      <c r="N512" s="3" t="str">
        <f>IFERROR(__xludf.DUMMYFUNCTION("""COMPUTED_VALUE"""),"Normal")</f>
        <v>Normal</v>
      </c>
      <c r="O512" s="3" t="str">
        <f>IFERROR(__xludf.DUMMYFUNCTION("""COMPUTED_VALUE"""),"Non Urgent")</f>
        <v>Non Urgent</v>
      </c>
      <c r="P512" s="7">
        <f>IFERROR(__xludf.DUMMYFUNCTION("""COMPUTED_VALUE"""),46123.283890763894)</f>
        <v>46123.28389</v>
      </c>
    </row>
    <row r="513">
      <c r="A513" s="4">
        <f>IFERROR(__xludf.DUMMYFUNCTION("""COMPUTED_VALUE"""),46113.85694946759)</f>
        <v>46113.85695</v>
      </c>
      <c r="B513" s="3" t="str">
        <f>IFERROR(__xludf.DUMMYFUNCTION("""COMPUTED_VALUE"""),"AAABR0034")</f>
        <v>AAABR0034</v>
      </c>
      <c r="C513" s="3" t="str">
        <f>IFERROR(__xludf.DUMMYFUNCTION("""COMPUTED_VALUE"""),"EJO")</f>
        <v>EJO</v>
      </c>
      <c r="D513" s="3" t="str">
        <f>IFERROR(__xludf.DUMMYFUNCTION("""COMPUTED_VALUE"""),"EJO/2025/07/123")</f>
        <v>EJO/2025/07/123</v>
      </c>
      <c r="E513" s="3" t="str">
        <f>IFERROR(__xludf.DUMMYFUNCTION("""COMPUTED_VALUE"""),"Freeze dryer")</f>
        <v>Freeze dryer</v>
      </c>
      <c r="F513" s="3" t="str">
        <f>IFERROR(__xludf.DUMMYFUNCTION("""COMPUTED_VALUE"""),"flow switch")</f>
        <v>flow switch</v>
      </c>
      <c r="G513" s="3" t="str">
        <f>IFERROR(__xludf.DUMMYFUNCTION("""COMPUTED_VALUE"""),"IFW510-04-00 ; Pressure 0.1 ~ 0.6 MPa ; max flow rate 2 Lpm ; 5A ; 250 VAC")</f>
        <v>IFW510-04-00 ; Pressure 0.1 ~ 0.6 MPa ; max flow rate 2 Lpm ; 5A ; 250 VAC</v>
      </c>
      <c r="H513" s="3" t="str">
        <f>IFERROR(__xludf.DUMMYFUNCTION("""COMPUTED_VALUE"""),"SMC")</f>
        <v>SMC</v>
      </c>
      <c r="I513" s="3">
        <f>IFERROR(__xludf.DUMMYFUNCTION("""COMPUTED_VALUE"""),2.0)</f>
        <v>2</v>
      </c>
      <c r="J513" s="3" t="str">
        <f>IFERROR(__xludf.DUMMYFUNCTION("""COMPUTED_VALUE"""),"Pcs")</f>
        <v>Pcs</v>
      </c>
      <c r="K513" s="5" t="str">
        <f>IFERROR(__xludf.DUMMYFUNCTION("""COMPUTED_VALUE"""),"https://www.smcpneumatics.com/pdfs/IFW.pdf")</f>
        <v>https://www.smcpneumatics.com/pdfs/IFW.pdf</v>
      </c>
      <c r="L513" s="3" t="str">
        <f>IFERROR(__xludf.DUMMYFUNCTION("""COMPUTED_VALUE"""),"ejo untuk LRP FD")</f>
        <v>ejo untuk LRP FD</v>
      </c>
      <c r="M513" s="3" t="str">
        <f>IFERROR(__xludf.DUMMYFUNCTION("""COMPUTED_VALUE"""),"Approve")</f>
        <v>Approve</v>
      </c>
      <c r="N513" s="3" t="str">
        <f>IFERROR(__xludf.DUMMYFUNCTION("""COMPUTED_VALUE"""),"Normal")</f>
        <v>Normal</v>
      </c>
      <c r="O513" s="3" t="str">
        <f>IFERROR(__xludf.DUMMYFUNCTION("""COMPUTED_VALUE"""),"Non Urgent")</f>
        <v>Non Urgent</v>
      </c>
      <c r="P513" s="7">
        <f>IFERROR(__xludf.DUMMYFUNCTION("""COMPUTED_VALUE"""),46123.27027258102)</f>
        <v>46123.27027</v>
      </c>
    </row>
    <row r="514">
      <c r="A514" s="4">
        <f>IFERROR(__xludf.DUMMYFUNCTION("""COMPUTED_VALUE"""),46114.96688408565)</f>
        <v>46114.96688</v>
      </c>
      <c r="B514" s="3" t="str">
        <f>IFERROR(__xludf.DUMMYFUNCTION("""COMPUTED_VALUE"""),"RIABR0159")</f>
        <v>RIABR0159</v>
      </c>
      <c r="C514" s="3" t="str">
        <f>IFERROR(__xludf.DUMMYFUNCTION("""COMPUTED_VALUE"""),"EJO")</f>
        <v>EJO</v>
      </c>
      <c r="D514" s="3" t="str">
        <f>IFERROR(__xludf.DUMMYFUNCTION("""COMPUTED_VALUE"""),"EJO/2026/04/016")</f>
        <v>EJO/2026/04/016</v>
      </c>
      <c r="E514" s="3" t="str">
        <f>IFERROR(__xludf.DUMMYFUNCTION("""COMPUTED_VALUE"""),"WFI SKID")</f>
        <v>WFI SKID</v>
      </c>
      <c r="F514" s="3" t="str">
        <f>IFERROR(__xludf.DUMMYFUNCTION("""COMPUTED_VALUE"""),"Jacket Heater")</f>
        <v>Jacket Heater</v>
      </c>
      <c r="G514" s="3" t="str">
        <f>IFERROR(__xludf.DUMMYFUNCTION("""COMPUTED_VALUE"""),"Ø 100 x L. 160 x t. 25 mm
Industrial Jacket Electric Heater ex. United Heater
1 kW - 220 V - 1 phase (AC)")</f>
        <v>Ø 100 x L. 160 x t. 25 mm
Industrial Jacket Electric Heater ex. United Heater
1 kW - 220 V - 1 phase (AC)</v>
      </c>
      <c r="H514" s="3" t="str">
        <f>IFERROR(__xludf.DUMMYFUNCTION("""COMPUTED_VALUE"""),"United Heater")</f>
        <v>United Heater</v>
      </c>
      <c r="I514" s="3">
        <f>IFERROR(__xludf.DUMMYFUNCTION("""COMPUTED_VALUE"""),1.0)</f>
        <v>1</v>
      </c>
      <c r="J514" s="3" t="str">
        <f>IFERROR(__xludf.DUMMYFUNCTION("""COMPUTED_VALUE"""),"Pcs")</f>
        <v>Pcs</v>
      </c>
      <c r="K514" s="3" t="str">
        <f>IFERROR(__xludf.DUMMYFUNCTION("""COMPUTED_VALUE"""),"Quotation PT  Fonko IP ''Heater Jacket ''__ 26 03 2026.pdf")</f>
        <v>Quotation PT  Fonko IP ''Heater Jacket ''__ 26 03 2026.pdf</v>
      </c>
      <c r="L514" s="3" t="str">
        <f>IFERROR(__xludf.DUMMYFUNCTION("""COMPUTED_VALUE"""),"Heater Jackting Vent Filter WFI SKID")</f>
        <v>Heater Jackting Vent Filter WFI SKID</v>
      </c>
      <c r="M514" s="3" t="str">
        <f>IFERROR(__xludf.DUMMYFUNCTION("""COMPUTED_VALUE"""),"Approve")</f>
        <v>Approve</v>
      </c>
      <c r="N514" s="3" t="str">
        <f>IFERROR(__xludf.DUMMYFUNCTION("""COMPUTED_VALUE"""),"Normal")</f>
        <v>Normal</v>
      </c>
      <c r="O514" s="3" t="str">
        <f>IFERROR(__xludf.DUMMYFUNCTION("""COMPUTED_VALUE"""),"Non Urgent")</f>
        <v>Non Urgent</v>
      </c>
      <c r="P514" s="7">
        <f>IFERROR(__xludf.DUMMYFUNCTION("""COMPUTED_VALUE"""),46118.61845351852)</f>
        <v>46118.61845</v>
      </c>
    </row>
    <row r="515">
      <c r="A515" s="4">
        <f>IFERROR(__xludf.DUMMYFUNCTION("""COMPUTED_VALUE"""),46126.83815373843)</f>
        <v>46126.83815</v>
      </c>
      <c r="B515" s="3" t="str">
        <f>IFERROR(__xludf.DUMMYFUNCTION("""COMPUTED_VALUE"""),"SFHBR0050")</f>
        <v>SFHBR0050</v>
      </c>
      <c r="C515" s="3" t="str">
        <f>IFERROR(__xludf.DUMMYFUNCTION("""COMPUTED_VALUE"""),"Consumable")</f>
        <v>Consumable</v>
      </c>
      <c r="D515" s="3" t="str">
        <f>IFERROR(__xludf.DUMMYFUNCTION("""COMPUTED_VALUE"""),"-")</f>
        <v>-</v>
      </c>
      <c r="E515" s="3" t="str">
        <f>IFERROR(__xludf.DUMMYFUNCTION("""COMPUTED_VALUE"""),"lantai 2")</f>
        <v>lantai 2</v>
      </c>
      <c r="F515" s="3" t="str">
        <f>IFERROR(__xludf.DUMMYFUNCTION("""COMPUTED_VALUE"""),"MATA BOR NACHI 2M")</f>
        <v>MATA BOR NACHI 2M</v>
      </c>
      <c r="G515" s="3" t="str">
        <f>IFERROR(__xludf.DUMMYFUNCTION("""COMPUTED_VALUE"""),"MATA BOR NACHI 2M")</f>
        <v>MATA BOR NACHI 2M</v>
      </c>
      <c r="H515" s="3" t="str">
        <f>IFERROR(__xludf.DUMMYFUNCTION("""COMPUTED_VALUE"""),"nachi")</f>
        <v>nachi</v>
      </c>
      <c r="I515" s="3">
        <f>IFERROR(__xludf.DUMMYFUNCTION("""COMPUTED_VALUE"""),2.0)</f>
        <v>2</v>
      </c>
      <c r="J515" s="3" t="str">
        <f>IFERROR(__xludf.DUMMYFUNCTION("""COMPUTED_VALUE"""),"pcs")</f>
        <v>pcs</v>
      </c>
      <c r="K515" s="5" t="str">
        <f>IFERROR(__xludf.DUMMYFUNCTION("""COMPUTED_VALUE"""),"https://tk.tokopedia.com/ZSHs25bDM/")</f>
        <v>https://tk.tokopedia.com/ZSHs25bDM/</v>
      </c>
      <c r="L515" s="3" t="str">
        <f>IFERROR(__xludf.DUMMYFUNCTION("""COMPUTED_VALUE"""),"mat bor sudah patah")</f>
        <v>mat bor sudah patah</v>
      </c>
      <c r="M515" s="3" t="str">
        <f>IFERROR(__xludf.DUMMYFUNCTION("""COMPUTED_VALUE"""),"Approve")</f>
        <v>Approve</v>
      </c>
      <c r="N515" s="3" t="str">
        <f>IFERROR(__xludf.DUMMYFUNCTION("""COMPUTED_VALUE"""),"Normal")</f>
        <v>Normal</v>
      </c>
      <c r="O515" s="3" t="str">
        <f>IFERROR(__xludf.DUMMYFUNCTION("""COMPUTED_VALUE"""),"Non Urgent")</f>
        <v>Non Urgent</v>
      </c>
      <c r="P515" s="7">
        <f>IFERROR(__xludf.DUMMYFUNCTION("""COMPUTED_VALUE"""),46132.73341178241)</f>
        <v>46132.73341</v>
      </c>
    </row>
    <row r="516">
      <c r="A516" s="4">
        <f>IFERROR(__xludf.DUMMYFUNCTION("""COMPUTED_VALUE"""),46126.83976253473)</f>
        <v>46126.83976</v>
      </c>
      <c r="B516" s="3" t="str">
        <f>IFERROR(__xludf.DUMMYFUNCTION("""COMPUTED_VALUE"""),"SFHBR0051")</f>
        <v>SFHBR0051</v>
      </c>
      <c r="C516" s="3" t="str">
        <f>IFERROR(__xludf.DUMMYFUNCTION("""COMPUTED_VALUE"""),"Consumable")</f>
        <v>Consumable</v>
      </c>
      <c r="D516" s="3" t="str">
        <f>IFERROR(__xludf.DUMMYFUNCTION("""COMPUTED_VALUE"""),"-")</f>
        <v>-</v>
      </c>
      <c r="E516" s="3" t="str">
        <f>IFERROR(__xludf.DUMMYFUNCTION("""COMPUTED_VALUE"""),"lantai 2")</f>
        <v>lantai 2</v>
      </c>
      <c r="F516" s="3" t="str">
        <f>IFERROR(__xludf.DUMMYFUNCTION("""COMPUTED_VALUE"""),"MATA BOR NACHI 2.5M")</f>
        <v>MATA BOR NACHI 2.5M</v>
      </c>
      <c r="G516" s="3" t="str">
        <f>IFERROR(__xludf.DUMMYFUNCTION("""COMPUTED_VALUE"""),"MATA BOR NACHI 2.5M")</f>
        <v>MATA BOR NACHI 2.5M</v>
      </c>
      <c r="H516" s="3" t="str">
        <f>IFERROR(__xludf.DUMMYFUNCTION("""COMPUTED_VALUE"""),"nachi")</f>
        <v>nachi</v>
      </c>
      <c r="I516" s="3">
        <f>IFERROR(__xludf.DUMMYFUNCTION("""COMPUTED_VALUE"""),2.0)</f>
        <v>2</v>
      </c>
      <c r="J516" s="3" t="str">
        <f>IFERROR(__xludf.DUMMYFUNCTION("""COMPUTED_VALUE"""),"pcs")</f>
        <v>pcs</v>
      </c>
      <c r="K516" s="5" t="str">
        <f>IFERROR(__xludf.DUMMYFUNCTION("""COMPUTED_VALUE"""),"https://tk.tokopedia.com/ZSHs25bDM/")</f>
        <v>https://tk.tokopedia.com/ZSHs25bDM/</v>
      </c>
      <c r="L516" s="3" t="str">
        <f>IFERROR(__xludf.DUMMYFUNCTION("""COMPUTED_VALUE"""),"mat bor sudah patah")</f>
        <v>mat bor sudah patah</v>
      </c>
      <c r="M516" s="3" t="str">
        <f>IFERROR(__xludf.DUMMYFUNCTION("""COMPUTED_VALUE"""),"Approve")</f>
        <v>Approve</v>
      </c>
      <c r="N516" s="3" t="str">
        <f>IFERROR(__xludf.DUMMYFUNCTION("""COMPUTED_VALUE"""),"Normal")</f>
        <v>Normal</v>
      </c>
      <c r="O516" s="3" t="str">
        <f>IFERROR(__xludf.DUMMYFUNCTION("""COMPUTED_VALUE"""),"Non Urgent")</f>
        <v>Non Urgent</v>
      </c>
      <c r="P516" s="7">
        <f>IFERROR(__xludf.DUMMYFUNCTION("""COMPUTED_VALUE"""),46132.733549502314)</f>
        <v>46132.73355</v>
      </c>
    </row>
    <row r="517">
      <c r="A517" s="4">
        <f>IFERROR(__xludf.DUMMYFUNCTION("""COMPUTED_VALUE"""),46126.84115641203)</f>
        <v>46126.84116</v>
      </c>
      <c r="B517" s="3" t="str">
        <f>IFERROR(__xludf.DUMMYFUNCTION("""COMPUTED_VALUE"""),"SFHBR0052")</f>
        <v>SFHBR0052</v>
      </c>
      <c r="C517" s="3" t="str">
        <f>IFERROR(__xludf.DUMMYFUNCTION("""COMPUTED_VALUE"""),"Consumable")</f>
        <v>Consumable</v>
      </c>
      <c r="D517" s="3" t="str">
        <f>IFERROR(__xludf.DUMMYFUNCTION("""COMPUTED_VALUE"""),"-")</f>
        <v>-</v>
      </c>
      <c r="E517" s="3" t="str">
        <f>IFERROR(__xludf.DUMMYFUNCTION("""COMPUTED_VALUE"""),"lantai 2")</f>
        <v>lantai 2</v>
      </c>
      <c r="F517" s="3" t="str">
        <f>IFERROR(__xludf.DUMMYFUNCTION("""COMPUTED_VALUE"""),"MATA BOR NACHI 3MMATA BOR NACHI 3M")</f>
        <v>MATA BOR NACHI 3MMATA BOR NACHI 3M</v>
      </c>
      <c r="G517" s="3"/>
      <c r="H517" s="3" t="str">
        <f>IFERROR(__xludf.DUMMYFUNCTION("""COMPUTED_VALUE"""),"nachi")</f>
        <v>nachi</v>
      </c>
      <c r="I517" s="3">
        <f>IFERROR(__xludf.DUMMYFUNCTION("""COMPUTED_VALUE"""),2.0)</f>
        <v>2</v>
      </c>
      <c r="J517" s="3" t="str">
        <f>IFERROR(__xludf.DUMMYFUNCTION("""COMPUTED_VALUE"""),"pcs")</f>
        <v>pcs</v>
      </c>
      <c r="K517" s="5" t="str">
        <f>IFERROR(__xludf.DUMMYFUNCTION("""COMPUTED_VALUE"""),"https://tk.tokopedia.com/ZSHs2uxuR/")</f>
        <v>https://tk.tokopedia.com/ZSHs2uxuR/</v>
      </c>
      <c r="L517" s="3" t="str">
        <f>IFERROR(__xludf.DUMMYFUNCTION("""COMPUTED_VALUE"""),"mat bor sudah patah")</f>
        <v>mat bor sudah patah</v>
      </c>
      <c r="M517" s="3" t="str">
        <f>IFERROR(__xludf.DUMMYFUNCTION("""COMPUTED_VALUE"""),"Approve")</f>
        <v>Approve</v>
      </c>
      <c r="N517" s="3" t="str">
        <f>IFERROR(__xludf.DUMMYFUNCTION("""COMPUTED_VALUE"""),"Normal")</f>
        <v>Normal</v>
      </c>
      <c r="O517" s="3" t="str">
        <f>IFERROR(__xludf.DUMMYFUNCTION("""COMPUTED_VALUE"""),"Non Urgent")</f>
        <v>Non Urgent</v>
      </c>
      <c r="P517" s="7">
        <f>IFERROR(__xludf.DUMMYFUNCTION("""COMPUTED_VALUE"""),46132.73368851852)</f>
        <v>46132.73369</v>
      </c>
    </row>
    <row r="518">
      <c r="A518" s="4">
        <f>IFERROR(__xludf.DUMMYFUNCTION("""COMPUTED_VALUE"""),46126.842008078704)</f>
        <v>46126.84201</v>
      </c>
      <c r="B518" s="3" t="str">
        <f>IFERROR(__xludf.DUMMYFUNCTION("""COMPUTED_VALUE"""),"SFHBR0053")</f>
        <v>SFHBR0053</v>
      </c>
      <c r="C518" s="3" t="str">
        <f>IFERROR(__xludf.DUMMYFUNCTION("""COMPUTED_VALUE"""),"Consumable")</f>
        <v>Consumable</v>
      </c>
      <c r="D518" s="3" t="str">
        <f>IFERROR(__xludf.DUMMYFUNCTION("""COMPUTED_VALUE"""),"-")</f>
        <v>-</v>
      </c>
      <c r="E518" s="3" t="str">
        <f>IFERROR(__xludf.DUMMYFUNCTION("""COMPUTED_VALUE"""),"lantai 2")</f>
        <v>lantai 2</v>
      </c>
      <c r="F518" s="3" t="str">
        <f>IFERROR(__xludf.DUMMYFUNCTION("""COMPUTED_VALUE"""),"MATA BOR NACHI 3.5M")</f>
        <v>MATA BOR NACHI 3.5M</v>
      </c>
      <c r="G518" s="3" t="str">
        <f>IFERROR(__xludf.DUMMYFUNCTION("""COMPUTED_VALUE"""),"MATA BOR NACHI 3.5M")</f>
        <v>MATA BOR NACHI 3.5M</v>
      </c>
      <c r="H518" s="3" t="str">
        <f>IFERROR(__xludf.DUMMYFUNCTION("""COMPUTED_VALUE"""),"nachi")</f>
        <v>nachi</v>
      </c>
      <c r="I518" s="3">
        <f>IFERROR(__xludf.DUMMYFUNCTION("""COMPUTED_VALUE"""),2.0)</f>
        <v>2</v>
      </c>
      <c r="J518" s="3" t="str">
        <f>IFERROR(__xludf.DUMMYFUNCTION("""COMPUTED_VALUE"""),"pcs")</f>
        <v>pcs</v>
      </c>
      <c r="K518" s="5" t="str">
        <f>IFERROR(__xludf.DUMMYFUNCTION("""COMPUTED_VALUE"""),"https://tk.tokopedia.com/ZSHs29Urp/")</f>
        <v>https://tk.tokopedia.com/ZSHs29Urp/</v>
      </c>
      <c r="L518" s="3" t="str">
        <f>IFERROR(__xludf.DUMMYFUNCTION("""COMPUTED_VALUE"""),"mat bor sudah patah")</f>
        <v>mat bor sudah patah</v>
      </c>
      <c r="M518" s="3" t="str">
        <f>IFERROR(__xludf.DUMMYFUNCTION("""COMPUTED_VALUE"""),"Approve")</f>
        <v>Approve</v>
      </c>
      <c r="N518" s="3" t="str">
        <f>IFERROR(__xludf.DUMMYFUNCTION("""COMPUTED_VALUE"""),"Normal")</f>
        <v>Normal</v>
      </c>
      <c r="O518" s="3" t="str">
        <f>IFERROR(__xludf.DUMMYFUNCTION("""COMPUTED_VALUE"""),"Non Urgent")</f>
        <v>Non Urgent</v>
      </c>
      <c r="P518" s="7">
        <f>IFERROR(__xludf.DUMMYFUNCTION("""COMPUTED_VALUE"""),46132.73503203704)</f>
        <v>46132.73503</v>
      </c>
    </row>
    <row r="519">
      <c r="A519" s="4">
        <f>IFERROR(__xludf.DUMMYFUNCTION("""COMPUTED_VALUE"""),46126.84346361111)</f>
        <v>46126.84346</v>
      </c>
      <c r="B519" s="3" t="str">
        <f>IFERROR(__xludf.DUMMYFUNCTION("""COMPUTED_VALUE"""),"SFHBR0054")</f>
        <v>SFHBR0054</v>
      </c>
      <c r="C519" s="3" t="str">
        <f>IFERROR(__xludf.DUMMYFUNCTION("""COMPUTED_VALUE"""),"Consumable")</f>
        <v>Consumable</v>
      </c>
      <c r="D519" s="3" t="str">
        <f>IFERROR(__xludf.DUMMYFUNCTION("""COMPUTED_VALUE"""),"-")</f>
        <v>-</v>
      </c>
      <c r="E519" s="3" t="str">
        <f>IFERROR(__xludf.DUMMYFUNCTION("""COMPUTED_VALUE"""),"lantai 2")</f>
        <v>lantai 2</v>
      </c>
      <c r="F519" s="3" t="str">
        <f>IFERROR(__xludf.DUMMYFUNCTION("""COMPUTED_VALUE"""),"MATA BOR NACHI 4 M")</f>
        <v>MATA BOR NACHI 4 M</v>
      </c>
      <c r="G519" s="3" t="str">
        <f>IFERROR(__xludf.DUMMYFUNCTION("""COMPUTED_VALUE"""),"MATA BOR NACHI 4 M")</f>
        <v>MATA BOR NACHI 4 M</v>
      </c>
      <c r="H519" s="3" t="str">
        <f>IFERROR(__xludf.DUMMYFUNCTION("""COMPUTED_VALUE"""),"nachi")</f>
        <v>nachi</v>
      </c>
      <c r="I519" s="3">
        <f>IFERROR(__xludf.DUMMYFUNCTION("""COMPUTED_VALUE"""),2.0)</f>
        <v>2</v>
      </c>
      <c r="J519" s="3" t="str">
        <f>IFERROR(__xludf.DUMMYFUNCTION("""COMPUTED_VALUE"""),"pcs")</f>
        <v>pcs</v>
      </c>
      <c r="K519" s="5" t="str">
        <f>IFERROR(__xludf.DUMMYFUNCTION("""COMPUTED_VALUE"""),"https://tk.tokopedia.com/ZSHs2K5yB/")</f>
        <v>https://tk.tokopedia.com/ZSHs2K5yB/</v>
      </c>
      <c r="L519" s="3" t="str">
        <f>IFERROR(__xludf.DUMMYFUNCTION("""COMPUTED_VALUE"""),"mat bor sudah patah")</f>
        <v>mat bor sudah patah</v>
      </c>
      <c r="M519" s="3" t="str">
        <f>IFERROR(__xludf.DUMMYFUNCTION("""COMPUTED_VALUE"""),"Approve")</f>
        <v>Approve</v>
      </c>
      <c r="N519" s="3" t="str">
        <f>IFERROR(__xludf.DUMMYFUNCTION("""COMPUTED_VALUE"""),"Normal")</f>
        <v>Normal</v>
      </c>
      <c r="O519" s="3" t="str">
        <f>IFERROR(__xludf.DUMMYFUNCTION("""COMPUTED_VALUE"""),"Non Urgent")</f>
        <v>Non Urgent</v>
      </c>
      <c r="P519" s="7">
        <f>IFERROR(__xludf.DUMMYFUNCTION("""COMPUTED_VALUE"""),46132.7351778125)</f>
        <v>46132.73518</v>
      </c>
    </row>
    <row r="520">
      <c r="A520" s="4">
        <f>IFERROR(__xludf.DUMMYFUNCTION("""COMPUTED_VALUE"""),46126.84493501158)</f>
        <v>46126.84494</v>
      </c>
      <c r="B520" s="3" t="str">
        <f>IFERROR(__xludf.DUMMYFUNCTION("""COMPUTED_VALUE"""),"SFHBR0055")</f>
        <v>SFHBR0055</v>
      </c>
      <c r="C520" s="3" t="str">
        <f>IFERROR(__xludf.DUMMYFUNCTION("""COMPUTED_VALUE"""),"Consumable")</f>
        <v>Consumable</v>
      </c>
      <c r="D520" s="3" t="str">
        <f>IFERROR(__xludf.DUMMYFUNCTION("""COMPUTED_VALUE"""),"-")</f>
        <v>-</v>
      </c>
      <c r="E520" s="3" t="str">
        <f>IFERROR(__xludf.DUMMYFUNCTION("""COMPUTED_VALUE"""),"lantai 2")</f>
        <v>lantai 2</v>
      </c>
      <c r="F520" s="3" t="str">
        <f>IFERROR(__xludf.DUMMYFUNCTION("""COMPUTED_VALUE"""),"MATA BOR NACHI 4.5 M")</f>
        <v>MATA BOR NACHI 4.5 M</v>
      </c>
      <c r="G520" s="3" t="str">
        <f>IFERROR(__xludf.DUMMYFUNCTION("""COMPUTED_VALUE"""),"MATA BOR NACHI 4.5 M")</f>
        <v>MATA BOR NACHI 4.5 M</v>
      </c>
      <c r="H520" s="3" t="str">
        <f>IFERROR(__xludf.DUMMYFUNCTION("""COMPUTED_VALUE"""),"nachi")</f>
        <v>nachi</v>
      </c>
      <c r="I520" s="3">
        <f>IFERROR(__xludf.DUMMYFUNCTION("""COMPUTED_VALUE"""),2.0)</f>
        <v>2</v>
      </c>
      <c r="J520" s="3" t="str">
        <f>IFERROR(__xludf.DUMMYFUNCTION("""COMPUTED_VALUE"""),"pcs")</f>
        <v>pcs</v>
      </c>
      <c r="K520" s="5" t="str">
        <f>IFERROR(__xludf.DUMMYFUNCTION("""COMPUTED_VALUE"""),"https://tk.tokopedia.com/ZSHs2K5yB/")</f>
        <v>https://tk.tokopedia.com/ZSHs2K5yB/</v>
      </c>
      <c r="L520" s="3" t="str">
        <f>IFERROR(__xludf.DUMMYFUNCTION("""COMPUTED_VALUE"""),"mat bor sudah patah")</f>
        <v>mat bor sudah patah</v>
      </c>
      <c r="M520" s="3" t="str">
        <f>IFERROR(__xludf.DUMMYFUNCTION("""COMPUTED_VALUE"""),"Approve")</f>
        <v>Approve</v>
      </c>
      <c r="N520" s="3" t="str">
        <f>IFERROR(__xludf.DUMMYFUNCTION("""COMPUTED_VALUE"""),"Normal")</f>
        <v>Normal</v>
      </c>
      <c r="O520" s="3" t="str">
        <f>IFERROR(__xludf.DUMMYFUNCTION("""COMPUTED_VALUE"""),"Non Urgent")</f>
        <v>Non Urgent</v>
      </c>
      <c r="P520" s="7">
        <f>IFERROR(__xludf.DUMMYFUNCTION("""COMPUTED_VALUE"""),46132.73529541667)</f>
        <v>46132.7353</v>
      </c>
    </row>
    <row r="521">
      <c r="A521" s="4">
        <f>IFERROR(__xludf.DUMMYFUNCTION("""COMPUTED_VALUE"""),46126.8487374537)</f>
        <v>46126.84874</v>
      </c>
      <c r="B521" s="3" t="str">
        <f>IFERROR(__xludf.DUMMYFUNCTION("""COMPUTED_VALUE"""),"SFHBR0056")</f>
        <v>SFHBR0056</v>
      </c>
      <c r="C521" s="3" t="str">
        <f>IFERROR(__xludf.DUMMYFUNCTION("""COMPUTED_VALUE"""),"Consumable")</f>
        <v>Consumable</v>
      </c>
      <c r="D521" s="3" t="str">
        <f>IFERROR(__xludf.DUMMYFUNCTION("""COMPUTED_VALUE"""),"-")</f>
        <v>-</v>
      </c>
      <c r="E521" s="3" t="str">
        <f>IFERROR(__xludf.DUMMYFUNCTION("""COMPUTED_VALUE"""),"lantai 2")</f>
        <v>lantai 2</v>
      </c>
      <c r="F521" s="3" t="str">
        <f>IFERROR(__xludf.DUMMYFUNCTION("""COMPUTED_VALUE"""),"Kunci sok sock T 13 mm TEKIRO")</f>
        <v>Kunci sok sock T 13 mm TEKIRO</v>
      </c>
      <c r="G521" s="3" t="str">
        <f>IFERROR(__xludf.DUMMYFUNCTION("""COMPUTED_VALUE"""),"Kunci sok sock T 13 mm TEKIRO")</f>
        <v>Kunci sok sock T 13 mm TEKIRO</v>
      </c>
      <c r="H521" s="3" t="str">
        <f>IFERROR(__xludf.DUMMYFUNCTION("""COMPUTED_VALUE"""),"tekiro")</f>
        <v>tekiro</v>
      </c>
      <c r="I521" s="3">
        <f>IFERROR(__xludf.DUMMYFUNCTION("""COMPUTED_VALUE"""),2.0)</f>
        <v>2</v>
      </c>
      <c r="J521" s="3" t="str">
        <f>IFERROR(__xludf.DUMMYFUNCTION("""COMPUTED_VALUE"""),"Pcs")</f>
        <v>Pcs</v>
      </c>
      <c r="K521" s="5" t="str">
        <f>IFERROR(__xludf.DUMMYFUNCTION("""COMPUTED_VALUE"""),"https://tk.tokopedia.com/ZSHsjcGVh/")</f>
        <v>https://tk.tokopedia.com/ZSHsjcGVh/</v>
      </c>
      <c r="L521" s="3" t="str">
        <f>IFERROR(__xludf.DUMMYFUNCTION("""COMPUTED_VALUE"""),"Buat integrity hepa")</f>
        <v>Buat integrity hepa</v>
      </c>
      <c r="M521" s="3" t="str">
        <f>IFERROR(__xludf.DUMMYFUNCTION("""COMPUTED_VALUE"""),"Approve")</f>
        <v>Approve</v>
      </c>
      <c r="N521" s="3" t="str">
        <f>IFERROR(__xludf.DUMMYFUNCTION("""COMPUTED_VALUE"""),"Normal")</f>
        <v>Normal</v>
      </c>
      <c r="O521" s="3" t="str">
        <f>IFERROR(__xludf.DUMMYFUNCTION("""COMPUTED_VALUE"""),"Non Urgent")</f>
        <v>Non Urgent</v>
      </c>
      <c r="P521" s="7">
        <f>IFERROR(__xludf.DUMMYFUNCTION("""COMPUTED_VALUE"""),46132.735425300925)</f>
        <v>46132.73543</v>
      </c>
    </row>
    <row r="522">
      <c r="A522" s="4">
        <f>IFERROR(__xludf.DUMMYFUNCTION("""COMPUTED_VALUE"""),46126.851919375)</f>
        <v>46126.85192</v>
      </c>
      <c r="B522" s="3" t="str">
        <f>IFERROR(__xludf.DUMMYFUNCTION("""COMPUTED_VALUE"""),"SFHBR0057")</f>
        <v>SFHBR0057</v>
      </c>
      <c r="C522" s="3" t="str">
        <f>IFERROR(__xludf.DUMMYFUNCTION("""COMPUTED_VALUE"""),"Consumable")</f>
        <v>Consumable</v>
      </c>
      <c r="D522" s="3" t="str">
        <f>IFERROR(__xludf.DUMMYFUNCTION("""COMPUTED_VALUE"""),"-")</f>
        <v>-</v>
      </c>
      <c r="E522" s="3" t="str">
        <f>IFERROR(__xludf.DUMMYFUNCTION("""COMPUTED_VALUE"""),"lantai 2")</f>
        <v>lantai 2</v>
      </c>
      <c r="F522" s="3" t="str">
        <f>IFERROR(__xludf.DUMMYFUNCTION("""COMPUTED_VALUE"""),"Mata obeng magnet + + PH1 X 65 mm TEKIRO SD-DE 0958")</f>
        <v>Mata obeng magnet + + PH1 X 65 mm TEKIRO SD-DE 0958</v>
      </c>
      <c r="G522" s="3" t="str">
        <f>IFERROR(__xludf.DUMMYFUNCTION("""COMPUTED_VALUE"""),"Mata obeng magnet + + PH1 X 65 mm TEKIRO SD-DE 0958")</f>
        <v>Mata obeng magnet + + PH1 X 65 mm TEKIRO SD-DE 0958</v>
      </c>
      <c r="H522" s="3" t="str">
        <f>IFERROR(__xludf.DUMMYFUNCTION("""COMPUTED_VALUE"""),"tekiro")</f>
        <v>tekiro</v>
      </c>
      <c r="I522" s="3">
        <f>IFERROR(__xludf.DUMMYFUNCTION("""COMPUTED_VALUE"""),1.0)</f>
        <v>1</v>
      </c>
      <c r="J522" s="3" t="str">
        <f>IFERROR(__xludf.DUMMYFUNCTION("""COMPUTED_VALUE"""),"set")</f>
        <v>set</v>
      </c>
      <c r="K522" s="5" t="str">
        <f>IFERROR(__xludf.DUMMYFUNCTION("""COMPUTED_VALUE"""),"https://tk.tokopedia.com/ZSHs6wgr4/")</f>
        <v>https://tk.tokopedia.com/ZSHs6wgr4/</v>
      </c>
      <c r="L522" s="3" t="str">
        <f>IFERROR(__xludf.DUMMYFUNCTION("""COMPUTED_VALUE"""),"Buat integrity hepa")</f>
        <v>Buat integrity hepa</v>
      </c>
      <c r="M522" s="3" t="str">
        <f>IFERROR(__xludf.DUMMYFUNCTION("""COMPUTED_VALUE"""),"Approve")</f>
        <v>Approve</v>
      </c>
      <c r="N522" s="3" t="str">
        <f>IFERROR(__xludf.DUMMYFUNCTION("""COMPUTED_VALUE"""),"Normal")</f>
        <v>Normal</v>
      </c>
      <c r="O522" s="3" t="str">
        <f>IFERROR(__xludf.DUMMYFUNCTION("""COMPUTED_VALUE"""),"Non Urgent")</f>
        <v>Non Urgent</v>
      </c>
      <c r="P522" s="7">
        <f>IFERROR(__xludf.DUMMYFUNCTION("""COMPUTED_VALUE"""),46132.73664994213)</f>
        <v>46132.73665</v>
      </c>
    </row>
    <row r="523">
      <c r="A523" s="4">
        <f>IFERROR(__xludf.DUMMYFUNCTION("""COMPUTED_VALUE"""),46132.92472952546)</f>
        <v>46132.92473</v>
      </c>
      <c r="B523" s="3" t="str">
        <f>IFERROR(__xludf.DUMMYFUNCTION("""COMPUTED_VALUE"""),"NDSBR0056")</f>
        <v>NDSBR0056</v>
      </c>
      <c r="C523" s="3" t="str">
        <f>IFERROR(__xludf.DUMMYFUNCTION("""COMPUTED_VALUE"""),"Critical Part")</f>
        <v>Critical Part</v>
      </c>
      <c r="D523" s="3" t="str">
        <f>IFERROR(__xludf.DUMMYFUNCTION("""COMPUTED_VALUE"""),"-")</f>
        <v>-</v>
      </c>
      <c r="E523" s="3" t="str">
        <f>IFERROR(__xludf.DUMMYFUNCTION("""COMPUTED_VALUE"""),"Blister")</f>
        <v>Blister</v>
      </c>
      <c r="F523" s="3" t="str">
        <f>IFERROR(__xludf.DUMMYFUNCTION("""COMPUTED_VALUE"""),"Radius gauge")</f>
        <v>Radius gauge</v>
      </c>
      <c r="G523" s="3" t="str">
        <f>IFERROR(__xludf.DUMMYFUNCTION("""COMPUTED_VALUE"""),"sesuai gambar")</f>
        <v>sesuai gambar</v>
      </c>
      <c r="H523" s="3" t="str">
        <f>IFERROR(__xludf.DUMMYFUNCTION("""COMPUTED_VALUE"""),"mitutoyo")</f>
        <v>mitutoyo</v>
      </c>
      <c r="I523" s="3">
        <f>IFERROR(__xludf.DUMMYFUNCTION("""COMPUTED_VALUE"""),1.0)</f>
        <v>1</v>
      </c>
      <c r="J523" s="3" t="str">
        <f>IFERROR(__xludf.DUMMYFUNCTION("""COMPUTED_VALUE"""),"pcs")</f>
        <v>pcs</v>
      </c>
      <c r="K523" s="5" t="str">
        <f>IFERROR(__xludf.DUMMYFUNCTION("""COMPUTED_VALUE"""),"https://shopee.co.id/product/287681718/21308319884?gads_t_sig=gqRjZGVrxHCFomtpsTE0MjUxOnRzc19zZGtfa2V5omt20QABpGFsZ2_SAAAAZKNkZWvAomN0xEAAAAAMRvS3L9OTXdZ5FJNxILig8p7lQ7pNpXYtdZAbsM8MQrkGmzJ0eOQRwaQfuYgAF9FAqYvxRTQ9oVrOjPOJqmNpcGhlcnRleHTEcQAAAAw-R2r-8X4dM"&amp;"xBDEzJh3pQDGCIkVXaSSOa4dVheX-NNYjU1-tBPNZgcvbaRd_DqMV96QwisDCTfJN59rit3rVP5X3b8mMFsU1Z0aK816OTpAV2tGQ6-NVwsOuLQr0KGY-ptxQJ_k99fIn0IrPVE&amp;gad_source=1&amp;gad_campaignid=23631329745&amp;gbraid=0AAAAADPpU83Hg09HXhYzviD5WvOmTFOrQ&amp;gclid=CjwKCAjwnZfPBhAGEiwAzg-VzCDMhdb"&amp;"iRijeYWeh_lNAk8KJgrm9uaje72hZQemvJGOJZyZw3oyWAxoCt_EQAvD_BwE")</f>
        <v>https://shopee.co.id/product/287681718/21308319884?gads_t_sig=gqRjZGVrxHCFomtpsTE0MjUxOnRzc19zZGtfa2V5omt20QABpGFsZ2_SAAAAZKNkZWvAomN0xEAAAAAMRvS3L9OTXdZ5FJNxILig8p7lQ7pNpXYtdZAbsM8MQrkGmzJ0eOQRwaQfuYgAF9FAqYvxRTQ9oVrOjPOJqmNpcGhlcnRleHTEcQAAAAw-R2r-8X4dMxBDEzJh3pQDGCIkVXaSSOa4dVheX-NNYjU1-tBPNZgcvbaRd_DqMV96QwisDCTfJN59rit3rVP5X3b8mMFsU1Z0aK816OTpAV2tGQ6-NVwsOuLQr0KGY-ptxQJ_k99fIn0IrPVE&amp;gad_source=1&amp;gad_campaignid=23631329745&amp;gbraid=0AAAAADPpU83Hg09HXhYzviD5WvOmTFOrQ&amp;gclid=CjwKCAjwnZfPBhAGEiwAzg-VzCDMhdbiRijeYWeh_lNAk8KJgrm9uaje72hZQemvJGOJZyZw3oyWAxoCt_EQAvD_BwE</v>
      </c>
      <c r="L523" s="3" t="str">
        <f>IFERROR(__xludf.DUMMYFUNCTION("""COMPUTED_VALUE"""),"-")</f>
        <v>-</v>
      </c>
      <c r="M523" s="3" t="str">
        <f>IFERROR(__xludf.DUMMYFUNCTION("""COMPUTED_VALUE"""),"Approve")</f>
        <v>Approve</v>
      </c>
      <c r="N523" s="3" t="str">
        <f>IFERROR(__xludf.DUMMYFUNCTION("""COMPUTED_VALUE"""),"Normal")</f>
        <v>Normal</v>
      </c>
      <c r="O523" s="3" t="str">
        <f>IFERROR(__xludf.DUMMYFUNCTION("""COMPUTED_VALUE"""),"Non Urgent")</f>
        <v>Non Urgent</v>
      </c>
      <c r="P523" s="7">
        <f>IFERROR(__xludf.DUMMYFUNCTION("""COMPUTED_VALUE"""),46135.080772395835)</f>
        <v>46135.08077</v>
      </c>
    </row>
    <row r="524">
      <c r="A524" s="4">
        <f>IFERROR(__xludf.DUMMYFUNCTION("""COMPUTED_VALUE"""),46133.18225657407)</f>
        <v>46133.18226</v>
      </c>
      <c r="B524" s="3" t="str">
        <f>IFERROR(__xludf.DUMMYFUNCTION("""COMPUTED_VALUE"""),"ROSBR0093")</f>
        <v>ROSBR0093</v>
      </c>
      <c r="C524" s="3" t="str">
        <f>IFERROR(__xludf.DUMMYFUNCTION("""COMPUTED_VALUE"""),"Critical Part")</f>
        <v>Critical Part</v>
      </c>
      <c r="D524" s="3" t="str">
        <f>IFERROR(__xludf.DUMMYFUNCTION("""COMPUTED_VALUE"""),"-")</f>
        <v>-</v>
      </c>
      <c r="E524" s="3" t="str">
        <f>IFERROR(__xludf.DUMMYFUNCTION("""COMPUTED_VALUE"""),"autoclave")</f>
        <v>autoclave</v>
      </c>
      <c r="F524" s="3" t="str">
        <f>IFERROR(__xludf.DUMMYFUNCTION("""COMPUTED_VALUE"""),"valve modulating")</f>
        <v>valve modulating</v>
      </c>
      <c r="G524" s="3" t="str">
        <f>IFERROR(__xludf.DUMMYFUNCTION("""COMPUTED_VALUE"""),"DN16 Modulating Valve Spare Parts
Product Code:
KK000305")</f>
        <v>DN16 Modulating Valve Spare Parts
Product Code:
KK000305</v>
      </c>
      <c r="H524" s="3" t="str">
        <f>IFERROR(__xludf.DUMMYFUNCTION("""COMPUTED_VALUE"""),"fedegari ")</f>
        <v>fedegari </v>
      </c>
      <c r="I524" s="3">
        <f>IFERROR(__xludf.DUMMYFUNCTION("""COMPUTED_VALUE"""),5.0)</f>
        <v>5</v>
      </c>
      <c r="J524" s="3" t="str">
        <f>IFERROR(__xludf.DUMMYFUNCTION("""COMPUTED_VALUE"""),"Pcs")</f>
        <v>Pcs</v>
      </c>
      <c r="K524" s="5" t="str">
        <f>IFERROR(__xludf.DUMMYFUNCTION("""COMPUTED_VALUE"""),"https://drive.google.com/drive/folders/11118Cc_L-ROcwEY62w3m9tggLAi2Ercf?usp=drive_link")</f>
        <v>https://drive.google.com/drive/folders/11118Cc_L-ROcwEY62w3m9tggLAi2Ercf?usp=drive_link</v>
      </c>
      <c r="L524" s="3" t="str">
        <f>IFERROR(__xludf.DUMMYFUNCTION("""COMPUTED_VALUE"""),"buat pergantian peremajaan  VP3 punya service dan terminal
berikut no Series FOF5/9A TH4 ")</f>
        <v>buat pergantian peremajaan  VP3 punya service dan terminal
berikut no Series FOF5/9A TH4 </v>
      </c>
      <c r="M524" s="3" t="str">
        <f>IFERROR(__xludf.DUMMYFUNCTION("""COMPUTED_VALUE"""),"Approve")</f>
        <v>Approve</v>
      </c>
      <c r="N524" s="3" t="str">
        <f>IFERROR(__xludf.DUMMYFUNCTION("""COMPUTED_VALUE"""),"Normal")</f>
        <v>Normal</v>
      </c>
      <c r="O524" s="3" t="str">
        <f>IFERROR(__xludf.DUMMYFUNCTION("""COMPUTED_VALUE"""),"Non Urgent")</f>
        <v>Non Urgent</v>
      </c>
      <c r="P524" s="7">
        <f>IFERROR(__xludf.DUMMYFUNCTION("""COMPUTED_VALUE"""),46135.08984373843)</f>
        <v>46135.08984</v>
      </c>
    </row>
    <row r="525">
      <c r="A525" s="4">
        <f>IFERROR(__xludf.DUMMYFUNCTION("""COMPUTED_VALUE"""),46133.828057175924)</f>
        <v>46133.82806</v>
      </c>
      <c r="B525" s="3" t="str">
        <f>IFERROR(__xludf.DUMMYFUNCTION("""COMPUTED_VALUE"""),"NDSBR0057")</f>
        <v>NDSBR0057</v>
      </c>
      <c r="C525" s="3" t="str">
        <f>IFERROR(__xludf.DUMMYFUNCTION("""COMPUTED_VALUE"""),"Critical Part")</f>
        <v>Critical Part</v>
      </c>
      <c r="D525" s="3" t="str">
        <f>IFERROR(__xludf.DUMMYFUNCTION("""COMPUTED_VALUE"""),"-")</f>
        <v>-</v>
      </c>
      <c r="E525" s="3" t="str">
        <f>IFERROR(__xludf.DUMMYFUNCTION("""COMPUTED_VALUE"""),"Isolator Mixing")</f>
        <v>Isolator Mixing</v>
      </c>
      <c r="F525" s="3" t="str">
        <f>IFERROR(__xludf.DUMMYFUNCTION("""COMPUTED_VALUE"""),"Penguncu alpaport")</f>
        <v>Penguncu alpaport</v>
      </c>
      <c r="G525" s="3" t="str">
        <f>IFERROR(__xludf.DUMMYFUNCTION("""COMPUTED_VALUE"""),"Sesuai gambar ")</f>
        <v>Sesuai gambar </v>
      </c>
      <c r="H525" s="3" t="str">
        <f>IFERROR(__xludf.DUMMYFUNCTION("""COMPUTED_VALUE"""),"-")</f>
        <v>-</v>
      </c>
      <c r="I525" s="3">
        <f>IFERROR(__xludf.DUMMYFUNCTION("""COMPUTED_VALUE"""),2.0)</f>
        <v>2</v>
      </c>
      <c r="J525" s="3" t="str">
        <f>IFERROR(__xludf.DUMMYFUNCTION("""COMPUTED_VALUE"""),"pcs")</f>
        <v>pcs</v>
      </c>
      <c r="K525" s="5" t="str">
        <f>IFERROR(__xludf.DUMMYFUNCTION("""COMPUTED_VALUE"""),"https://drive.google.com/drive/folders/1YsryhUe8jgRHicPjwSsSK_nouvdeR44n?usp=sharing")</f>
        <v>https://drive.google.com/drive/folders/1YsryhUe8jgRHicPjwSsSK_nouvdeR44n?usp=sharing</v>
      </c>
      <c r="L525" s="3" t="str">
        <f>IFERROR(__xludf.DUMMYFUNCTION("""COMPUTED_VALUE"""),"-")</f>
        <v>-</v>
      </c>
      <c r="M525" s="3" t="str">
        <f>IFERROR(__xludf.DUMMYFUNCTION("""COMPUTED_VALUE"""),"Approve")</f>
        <v>Approve</v>
      </c>
      <c r="N525" s="3" t="str">
        <f>IFERROR(__xludf.DUMMYFUNCTION("""COMPUTED_VALUE"""),"Normal")</f>
        <v>Normal</v>
      </c>
      <c r="O525" s="3" t="str">
        <f>IFERROR(__xludf.DUMMYFUNCTION("""COMPUTED_VALUE"""),"Non Urgent")</f>
        <v>Non Urgent</v>
      </c>
      <c r="P525" s="7">
        <f>IFERROR(__xludf.DUMMYFUNCTION("""COMPUTED_VALUE"""),46135.08188219907)</f>
        <v>46135.08188</v>
      </c>
    </row>
    <row r="526">
      <c r="A526" s="4">
        <f>IFERROR(__xludf.DUMMYFUNCTION("""COMPUTED_VALUE"""),46133.94747658565)</f>
        <v>46133.94748</v>
      </c>
      <c r="B526" s="3" t="str">
        <f>IFERROR(__xludf.DUMMYFUNCTION("""COMPUTED_VALUE"""),"ANOBR0055")</f>
        <v>ANOBR0055</v>
      </c>
      <c r="C526" s="3" t="str">
        <f>IFERROR(__xludf.DUMMYFUNCTION("""COMPUTED_VALUE"""),"Consumable")</f>
        <v>Consumable</v>
      </c>
      <c r="D526" s="3" t="str">
        <f>IFERROR(__xludf.DUMMYFUNCTION("""COMPUTED_VALUE"""),"-")</f>
        <v>-</v>
      </c>
      <c r="E526" s="3" t="str">
        <f>IFERROR(__xludf.DUMMYFUNCTION("""COMPUTED_VALUE"""),"workshop")</f>
        <v>workshop</v>
      </c>
      <c r="F526" s="3" t="str">
        <f>IFERROR(__xludf.DUMMYFUNCTION("""COMPUTED_VALUE"""),"bor healty BOSCH")</f>
        <v>bor healty BOSCH</v>
      </c>
      <c r="G526" s="3" t="str">
        <f>IFERROR(__xludf.DUMMYFUNCTION("""COMPUTED_VALUE"""),"BOR Rotary Hammer 22mm BOSCH GBH220 / Mesin Bor Bobok Beton SDS Plus GBH-220 GBH 220 BOSCH")</f>
        <v>BOR Rotary Hammer 22mm BOSCH GBH220 / Mesin Bor Bobok Beton SDS Plus GBH-220 GBH 220 BOSCH</v>
      </c>
      <c r="H526" s="3" t="str">
        <f>IFERROR(__xludf.DUMMYFUNCTION("""COMPUTED_VALUE"""),"BOSCH")</f>
        <v>BOSCH</v>
      </c>
      <c r="I526" s="3">
        <f>IFERROR(__xludf.DUMMYFUNCTION("""COMPUTED_VALUE"""),1.0)</f>
        <v>1</v>
      </c>
      <c r="J526" s="3" t="str">
        <f>IFERROR(__xludf.DUMMYFUNCTION("""COMPUTED_VALUE"""),"UNIT")</f>
        <v>UNIT</v>
      </c>
      <c r="K526" s="5" t="str">
        <f>IFERROR(__xludf.DUMMYFUNCTION("""COMPUTED_VALUE"""),"https://www.tokopedia.com/miraclesporty/mesin-bor-beton-bosch-rotary-hammer-hammer-drill-bor-bobok-gbh-220-gbh220-bor-beton-tembok-22mm-1730590333702997662?aff_unique_id=&amp;channel=others&amp;chain_key=")</f>
        <v>https://www.tokopedia.com/miraclesporty/mesin-bor-beton-bosch-rotary-hammer-hammer-drill-bor-bobok-gbh-220-gbh220-bor-beton-tembok-22mm-1730590333702997662?aff_unique_id=&amp;channel=others&amp;chain_key=</v>
      </c>
      <c r="L526" s="3" t="str">
        <f>IFERROR(__xludf.DUMMYFUNCTION("""COMPUTED_VALUE"""),"kebutuhan project")</f>
        <v>kebutuhan project</v>
      </c>
      <c r="M526" s="3" t="str">
        <f>IFERROR(__xludf.DUMMYFUNCTION("""COMPUTED_VALUE"""),"Approve")</f>
        <v>Approve</v>
      </c>
      <c r="N526" s="3" t="str">
        <f>IFERROR(__xludf.DUMMYFUNCTION("""COMPUTED_VALUE"""),"Normal")</f>
        <v>Normal</v>
      </c>
      <c r="O526" s="3" t="str">
        <f>IFERROR(__xludf.DUMMYFUNCTION("""COMPUTED_VALUE"""),"Non Urgent")</f>
        <v>Non Urgent</v>
      </c>
      <c r="P526" s="7">
        <f>IFERROR(__xludf.DUMMYFUNCTION("""COMPUTED_VALUE"""),46206.91692177083)</f>
        <v>46206.91692</v>
      </c>
    </row>
    <row r="527">
      <c r="A527" s="4">
        <f>IFERROR(__xludf.DUMMYFUNCTION("""COMPUTED_VALUE"""),46133.94879188657)</f>
        <v>46133.94879</v>
      </c>
      <c r="B527" s="3" t="str">
        <f>IFERROR(__xludf.DUMMYFUNCTION("""COMPUTED_VALUE"""),"ANOBR0056")</f>
        <v>ANOBR0056</v>
      </c>
      <c r="C527" s="3" t="str">
        <f>IFERROR(__xludf.DUMMYFUNCTION("""COMPUTED_VALUE"""),"Consumable")</f>
        <v>Consumable</v>
      </c>
      <c r="D527" s="3" t="str">
        <f>IFERROR(__xludf.DUMMYFUNCTION("""COMPUTED_VALUE"""),"-")</f>
        <v>-</v>
      </c>
      <c r="E527" s="3" t="str">
        <f>IFERROR(__xludf.DUMMYFUNCTION("""COMPUTED_VALUE"""),"workshop")</f>
        <v>workshop</v>
      </c>
      <c r="F527" s="3" t="str">
        <f>IFERROR(__xludf.DUMMYFUNCTION("""COMPUTED_VALUE"""),"mata bor healty")</f>
        <v>mata bor healty</v>
      </c>
      <c r="G527" s="3" t="str">
        <f>IFERROR(__xludf.DUMMYFUNCTION("""COMPUTED_VALUE"""),"mata  bor beton Healthy size 6,8,10,12,14,16,18,20,22")</f>
        <v>mata  bor beton Healthy size 6,8,10,12,14,16,18,20,22</v>
      </c>
      <c r="H527" s="3" t="str">
        <f>IFERROR(__xludf.DUMMYFUNCTION("""COMPUTED_VALUE"""),"ISKU")</f>
        <v>ISKU</v>
      </c>
      <c r="I527" s="3">
        <f>IFERROR(__xludf.DUMMYFUNCTION("""COMPUTED_VALUE"""),1.0)</f>
        <v>1</v>
      </c>
      <c r="J527" s="3" t="str">
        <f>IFERROR(__xludf.DUMMYFUNCTION("""COMPUTED_VALUE"""),"SET")</f>
        <v>SET</v>
      </c>
      <c r="K527" s="5" t="str">
        <f>IFERROR(__xludf.DUMMYFUNCTION("""COMPUTED_VALUE"""),"https://shopee.co.id/product/1410113315/29720530891?gads_t_sig=gqRjZGVrxHCFomtpsTE0MjUxOnRzc19zZGtfa2V5omt20QABpGFsZ2_SAAAAZKNkZWvAomN0xEAAAAAMRvS3L9OTXdZ5FJNxILig8p7lQ7pNpXYtdZAbsM8MQrkGmzJ0eOQRwaQfuYgAF9FAqYvxRTQ9oVrOjPOJqmNpcGhlcnRleHTEcwAAAAx-KXqI_vga"&amp;"kUFeqSwGS_l1UVBW2vxYI2L3umjGBsc6CG0CagoC9jwNBZY06PuYSQkCNM9-ulPUQVzkYGzo7AtDnslO4deh5EodoDqlR9MQla4kFok1CxmZbhoDYAF4h_V_BSC69CgfPu2O4gdNjMA&amp;gad_source=1&amp;gad_campaignid=23290582497&amp;gbraid=0AAAAADPpU80bLni-osjaedmdB_ob8fKd-&amp;gclid=CjwKCAjwwJzPBhBREiwAJfHRnVN"&amp;"oiwmhXvZSxByCToE0wsUMjMpYHm7pcX8TT215i1MhUYWDtrd1JBoCqigQAvD_BwE")</f>
        <v>https://shopee.co.id/product/1410113315/29720530891?gads_t_sig=gqRjZGVrxHCFomtpsTE0MjUxOnRzc19zZGtfa2V5omt20QABpGFsZ2_SAAAAZKNkZWvAomN0xEAAAAAMRvS3L9OTXdZ5FJNxILig8p7lQ7pNpXYtdZAbsM8MQrkGmzJ0eOQRwaQfuYgAF9FAqYvxRTQ9oVrOjPOJqmNpcGhlcnRleHTEcwAAAAx-KXqI_vgakUFeqSwGS_l1UVBW2vxYI2L3umjGBsc6CG0CagoC9jwNBZY06PuYSQkCNM9-ulPUQVzkYGzo7AtDnslO4deh5EodoDqlR9MQla4kFok1CxmZbhoDYAF4h_V_BSC69CgfPu2O4gdNjMA&amp;gad_source=1&amp;gad_campaignid=23290582497&amp;gbraid=0AAAAADPpU80bLni-osjaedmdB_ob8fKd-&amp;gclid=CjwKCAjwwJzPBhBREiwAJfHRnVNoiwmhXvZSxByCToE0wsUMjMpYHm7pcX8TT215i1MhUYWDtrd1JBoCqigQAvD_BwE</v>
      </c>
      <c r="L527" s="3" t="str">
        <f>IFERROR(__xludf.DUMMYFUNCTION("""COMPUTED_VALUE"""),"kebutuhan project")</f>
        <v>kebutuhan project</v>
      </c>
      <c r="M527" s="3" t="str">
        <f>IFERROR(__xludf.DUMMYFUNCTION("""COMPUTED_VALUE"""),"Approve")</f>
        <v>Approve</v>
      </c>
      <c r="N527" s="3" t="str">
        <f>IFERROR(__xludf.DUMMYFUNCTION("""COMPUTED_VALUE"""),"Normal")</f>
        <v>Normal</v>
      </c>
      <c r="O527" s="3" t="str">
        <f>IFERROR(__xludf.DUMMYFUNCTION("""COMPUTED_VALUE"""),"Non Urgent")</f>
        <v>Non Urgent</v>
      </c>
      <c r="P527" s="7">
        <f>IFERROR(__xludf.DUMMYFUNCTION("""COMPUTED_VALUE"""),46206.91730274305)</f>
        <v>46206.9173</v>
      </c>
    </row>
    <row r="528">
      <c r="A528" s="4">
        <f>IFERROR(__xludf.DUMMYFUNCTION("""COMPUTED_VALUE"""),46133.953969594906)</f>
        <v>46133.95397</v>
      </c>
      <c r="B528" s="3" t="str">
        <f>IFERROR(__xludf.DUMMYFUNCTION("""COMPUTED_VALUE"""),"ANOBR0057")</f>
        <v>ANOBR0057</v>
      </c>
      <c r="C528" s="3" t="str">
        <f>IFERROR(__xludf.DUMMYFUNCTION("""COMPUTED_VALUE"""),"Consumable")</f>
        <v>Consumable</v>
      </c>
      <c r="D528" s="3" t="str">
        <f>IFERROR(__xludf.DUMMYFUNCTION("""COMPUTED_VALUE"""),"-")</f>
        <v>-</v>
      </c>
      <c r="E528" s="3" t="str">
        <f>IFERROR(__xludf.DUMMYFUNCTION("""COMPUTED_VALUE"""),"workshop")</f>
        <v>workshop</v>
      </c>
      <c r="F528" s="3" t="str">
        <f>IFERROR(__xludf.DUMMYFUNCTION("""COMPUTED_VALUE"""),"mata hole saw ")</f>
        <v>mata hole saw </v>
      </c>
      <c r="G528" s="3" t="str">
        <f>IFERROR(__xludf.DUMMYFUNCTION("""COMPUTED_VALUE"""),"hole saw size 16,18.5, 20,22,25,30,40,50,60")</f>
        <v>hole saw size 16,18.5, 20,22,25,30,40,50,60</v>
      </c>
      <c r="H528" s="3" t="str">
        <f>IFERROR(__xludf.DUMMYFUNCTION("""COMPUTED_VALUE"""),"TAFFWARE")</f>
        <v>TAFFWARE</v>
      </c>
      <c r="I528" s="3">
        <f>IFERROR(__xludf.DUMMYFUNCTION("""COMPUTED_VALUE"""),1.0)</f>
        <v>1</v>
      </c>
      <c r="J528" s="3" t="str">
        <f>IFERROR(__xludf.DUMMYFUNCTION("""COMPUTED_VALUE"""),"SET")</f>
        <v>SET</v>
      </c>
      <c r="K528" s="5" t="str">
        <f>IFERROR(__xludf.DUMMYFUNCTION("""COMPUTED_VALUE"""),"https://shopee.co.id/product/374626687/3477781329?gads_t_sig=gqRjZGVrxHCFomtpsTE0MjUxOnRzc19zZGtfa2V5omt20QABpGFsZ2_SAAAAZKNkZWvAomN0xEAAAAAMRvS3L9OTXdZ5FJNxILig8p7lQ7pNpXYtdZAbsM8MQrkGmzJ0eOQRwaQfuYgAF9FAqYvxRTQ9oVrOjPOJqmNpcGhlcnRleHTEbwAAAAykPENgu2UiSJ"&amp;"OdfSgVGdwS-0MS9NSHftqZS1AqUOcKOd6s7CBMim585dAwyu_mxbIvm6c0Jl_H6PwYVQ7Go1A0iyc3kjl85nHRJf-UzG6k3UqaeV4uW8JPn_KJLoG9A2V-r8UFYyezZtrU9Q&amp;gad_source=1&amp;gad_campaignid=23290582497&amp;gbraid=0AAAAADPpU80bLni-osjaedmdB_ob8fKd-&amp;gclid=CjwKCAjwwJzPBhBREiwAJfHRnRT3hlfkMp"&amp;"kJSDHZNu04tdFYMRaiNfM3ySpZw6HeLqC9IW3-0gtichoCSYAQAvD_BwE")</f>
        <v>https://shopee.co.id/product/374626687/3477781329?gads_t_sig=gqRjZGVrxHCFomtpsTE0MjUxOnRzc19zZGtfa2V5omt20QABpGFsZ2_SAAAAZKNkZWvAomN0xEAAAAAMRvS3L9OTXdZ5FJNxILig8p7lQ7pNpXYtdZAbsM8MQrkGmzJ0eOQRwaQfuYgAF9FAqYvxRTQ9oVrOjPOJqmNpcGhlcnRleHTEbwAAAAykPENgu2UiSJOdfSgVGdwS-0MS9NSHftqZS1AqUOcKOd6s7CBMim585dAwyu_mxbIvm6c0Jl_H6PwYVQ7Go1A0iyc3kjl85nHRJf-UzG6k3UqaeV4uW8JPn_KJLoG9A2V-r8UFYyezZtrU9Q&amp;gad_source=1&amp;gad_campaignid=23290582497&amp;gbraid=0AAAAADPpU80bLni-osjaedmdB_ob8fKd-&amp;gclid=CjwKCAjwwJzPBhBREiwAJfHRnRT3hlfkMpkJSDHZNu04tdFYMRaiNfM3ySpZw6HeLqC9IW3-0gtichoCSYAQAvD_BwE</v>
      </c>
      <c r="L528" s="3" t="str">
        <f>IFERROR(__xludf.DUMMYFUNCTION("""COMPUTED_VALUE"""),"Kebutuhan project")</f>
        <v>Kebutuhan project</v>
      </c>
      <c r="M528" s="3" t="str">
        <f>IFERROR(__xludf.DUMMYFUNCTION("""COMPUTED_VALUE"""),"Approve")</f>
        <v>Approve</v>
      </c>
      <c r="N528" s="3" t="str">
        <f>IFERROR(__xludf.DUMMYFUNCTION("""COMPUTED_VALUE"""),"Normal")</f>
        <v>Normal</v>
      </c>
      <c r="O528" s="3" t="str">
        <f>IFERROR(__xludf.DUMMYFUNCTION("""COMPUTED_VALUE"""),"Non Urgent")</f>
        <v>Non Urgent</v>
      </c>
      <c r="P528" s="7">
        <f>IFERROR(__xludf.DUMMYFUNCTION("""COMPUTED_VALUE"""),46206.91754916667)</f>
        <v>46206.91755</v>
      </c>
    </row>
    <row r="529">
      <c r="A529" s="4">
        <f>IFERROR(__xludf.DUMMYFUNCTION("""COMPUTED_VALUE"""),46133.95766962963)</f>
        <v>46133.95767</v>
      </c>
      <c r="B529" s="3" t="str">
        <f>IFERROR(__xludf.DUMMYFUNCTION("""COMPUTED_VALUE"""),"NDSBR0058")</f>
        <v>NDSBR0058</v>
      </c>
      <c r="C529" s="3" t="str">
        <f>IFERROR(__xludf.DUMMYFUNCTION("""COMPUTED_VALUE"""),"EJO")</f>
        <v>EJO</v>
      </c>
      <c r="D529" s="3" t="str">
        <f>IFERROR(__xludf.DUMMYFUNCTION("""COMPUTED_VALUE"""),"EJO/2026/04/029")</f>
        <v>EJO/2026/04/029</v>
      </c>
      <c r="E529" s="3" t="str">
        <f>IFERROR(__xludf.DUMMYFUNCTION("""COMPUTED_VALUE"""),"Washing Lance")</f>
        <v>Washing Lance</v>
      </c>
      <c r="F529" s="3" t="str">
        <f>IFERROR(__xludf.DUMMYFUNCTION("""COMPUTED_VALUE"""),"As Washing Lance")</f>
        <v>As Washing Lance</v>
      </c>
      <c r="G529" s="3" t="str">
        <f>IFERROR(__xludf.DUMMYFUNCTION("""COMPUTED_VALUE"""),"bahan Sanitary ")</f>
        <v>bahan Sanitary </v>
      </c>
      <c r="H529" s="3" t="str">
        <f>IFERROR(__xludf.DUMMYFUNCTION("""COMPUTED_VALUE"""),"-")</f>
        <v>-</v>
      </c>
      <c r="I529" s="3">
        <f>IFERROR(__xludf.DUMMYFUNCTION("""COMPUTED_VALUE"""),1.0)</f>
        <v>1</v>
      </c>
      <c r="J529" s="3" t="str">
        <f>IFERROR(__xludf.DUMMYFUNCTION("""COMPUTED_VALUE"""),"PCS")</f>
        <v>PCS</v>
      </c>
      <c r="K529" s="3" t="str">
        <f>IFERROR(__xludf.DUMMYFUNCTION("""COMPUTED_VALUE"""),"-")</f>
        <v>-</v>
      </c>
      <c r="L529" s="3" t="str">
        <f>IFERROR(__xludf.DUMMYFUNCTION("""COMPUTED_VALUE"""),"Dulu sudah pernah beli")</f>
        <v>Dulu sudah pernah beli</v>
      </c>
      <c r="M529" s="3" t="str">
        <f>IFERROR(__xludf.DUMMYFUNCTION("""COMPUTED_VALUE"""),"Approve")</f>
        <v>Approve</v>
      </c>
      <c r="N529" s="3" t="str">
        <f>IFERROR(__xludf.DUMMYFUNCTION("""COMPUTED_VALUE"""),"Normal")</f>
        <v>Normal</v>
      </c>
      <c r="O529" s="3" t="str">
        <f>IFERROR(__xludf.DUMMYFUNCTION("""COMPUTED_VALUE"""),"Non Urgent")</f>
        <v>Non Urgent</v>
      </c>
      <c r="P529" s="7">
        <f>IFERROR(__xludf.DUMMYFUNCTION("""COMPUTED_VALUE"""),46135.08239275463)</f>
        <v>46135.08239</v>
      </c>
    </row>
    <row r="530">
      <c r="A530" s="4">
        <f>IFERROR(__xludf.DUMMYFUNCTION("""COMPUTED_VALUE"""),46134.607008402774)</f>
        <v>46134.60701</v>
      </c>
      <c r="B530" s="3" t="str">
        <f>IFERROR(__xludf.DUMMYFUNCTION("""COMPUTED_VALUE"""),"SFHBR0058")</f>
        <v>SFHBR0058</v>
      </c>
      <c r="C530" s="3" t="str">
        <f>IFERROR(__xludf.DUMMYFUNCTION("""COMPUTED_VALUE"""),"EJO")</f>
        <v>EJO</v>
      </c>
      <c r="D530" s="3" t="str">
        <f>IFERROR(__xludf.DUMMYFUNCTION("""COMPUTED_VALUE"""),"-")</f>
        <v>-</v>
      </c>
      <c r="E530" s="3" t="str">
        <f>IFERROR(__xludf.DUMMYFUNCTION("""COMPUTED_VALUE"""),"lantai 2")</f>
        <v>lantai 2</v>
      </c>
      <c r="F530" s="3" t="str">
        <f>IFERROR(__xludf.DUMMYFUNCTION("""COMPUTED_VALUE"""),"Lem Putih Fox Biru Murah")</f>
        <v>Lem Putih Fox Biru Murah</v>
      </c>
      <c r="G530" s="3" t="str">
        <f>IFERROR(__xludf.DUMMYFUNCTION("""COMPUTED_VALUE"""),"lem putih buat campuran dempul")</f>
        <v>lem putih buat campuran dempul</v>
      </c>
      <c r="H530" s="3" t="str">
        <f>IFERROR(__xludf.DUMMYFUNCTION("""COMPUTED_VALUE"""),"fox")</f>
        <v>fox</v>
      </c>
      <c r="I530" s="3">
        <f>IFERROR(__xludf.DUMMYFUNCTION("""COMPUTED_VALUE"""),10.0)</f>
        <v>10</v>
      </c>
      <c r="J530" s="3" t="str">
        <f>IFERROR(__xludf.DUMMYFUNCTION("""COMPUTED_VALUE"""),"kg")</f>
        <v>kg</v>
      </c>
      <c r="K530" s="5" t="str">
        <f>IFERROR(__xludf.DUMMYFUNCTION("""COMPUTED_VALUE"""),"https://tk.tokopedia.com/ZS9RrKwA5/")</f>
        <v>https://tk.tokopedia.com/ZS9RrKwA5/</v>
      </c>
      <c r="L530" s="3" t="str">
        <f>IFERROR(__xludf.DUMMYFUNCTION("""COMPUTED_VALUE"""),"buat campuran dempul palfon dan dinding biar engga gampang retak")</f>
        <v>buat campuran dempul palfon dan dinding biar engga gampang retak</v>
      </c>
      <c r="M530" s="3" t="str">
        <f>IFERROR(__xludf.DUMMYFUNCTION("""COMPUTED_VALUE"""),"Approve")</f>
        <v>Approve</v>
      </c>
      <c r="N530" s="3" t="str">
        <f>IFERROR(__xludf.DUMMYFUNCTION("""COMPUTED_VALUE"""),"Normal")</f>
        <v>Normal</v>
      </c>
      <c r="O530" s="3" t="str">
        <f>IFERROR(__xludf.DUMMYFUNCTION("""COMPUTED_VALUE"""),"Non Urgent")</f>
        <v>Non Urgent</v>
      </c>
      <c r="P530" s="7">
        <f>IFERROR(__xludf.DUMMYFUNCTION("""COMPUTED_VALUE"""),46135.60084159722)</f>
        <v>46135.60084</v>
      </c>
    </row>
    <row r="531">
      <c r="A531" s="4">
        <f>IFERROR(__xludf.DUMMYFUNCTION("""COMPUTED_VALUE"""),46136.66087574074)</f>
        <v>46136.66088</v>
      </c>
      <c r="B531" s="3" t="str">
        <f>IFERROR(__xludf.DUMMYFUNCTION("""COMPUTED_VALUE"""),"RIABR0161")</f>
        <v>RIABR0161</v>
      </c>
      <c r="C531" s="3" t="str">
        <f>IFERROR(__xludf.DUMMYFUNCTION("""COMPUTED_VALUE"""),"EJO")</f>
        <v>EJO</v>
      </c>
      <c r="D531" s="3" t="str">
        <f>IFERROR(__xludf.DUMMYFUNCTION("""COMPUTED_VALUE"""),"EJO/2026/02/14")</f>
        <v>EJO/2026/02/14</v>
      </c>
      <c r="E531" s="3" t="str">
        <f>IFERROR(__xludf.DUMMYFUNCTION("""COMPUTED_VALUE"""),"N2 Generator")</f>
        <v>N2 Generator</v>
      </c>
      <c r="F531" s="3" t="str">
        <f>IFERROR(__xludf.DUMMYFUNCTION("""COMPUTED_VALUE"""),"Display Flow Meter")</f>
        <v>Display Flow Meter</v>
      </c>
      <c r="G531" s="3" t="str">
        <f>IFERROR(__xludf.DUMMYFUNCTION("""COMPUTED_VALUE"""),"Companel Display and Data Logger")</f>
        <v>Companel Display and Data Logger</v>
      </c>
      <c r="H531" s="3" t="str">
        <f>IFERROR(__xludf.DUMMYFUNCTION("""COMPUTED_VALUE"""),"Comate")</f>
        <v>Comate</v>
      </c>
      <c r="I531" s="3">
        <f>IFERROR(__xludf.DUMMYFUNCTION("""COMPUTED_VALUE"""),1.0)</f>
        <v>1</v>
      </c>
      <c r="J531" s="3" t="str">
        <f>IFERROR(__xludf.DUMMYFUNCTION("""COMPUTED_VALUE"""),"Pcs")</f>
        <v>Pcs</v>
      </c>
      <c r="K531" s="5" t="str">
        <f>IFERROR(__xludf.DUMMYFUNCTION("""COMPUTED_VALUE"""),"https://drive.google.com/file/d/1wM-9n7WDrWWYEFsPO11kqSs5Hp9UTVX8/view?usp=sharing")</f>
        <v>https://drive.google.com/file/d/1wM-9n7WDrWWYEFsPO11kqSs5Hp9UTVX8/view?usp=sharing</v>
      </c>
      <c r="L531" s="3" t="str">
        <f>IFERROR(__xludf.DUMMYFUNCTION("""COMPUTED_VALUE"""),"Untuk display n2")</f>
        <v>Untuk display n2</v>
      </c>
      <c r="M531" s="3" t="str">
        <f>IFERROR(__xludf.DUMMYFUNCTION("""COMPUTED_VALUE"""),"Approve")</f>
        <v>Approve</v>
      </c>
      <c r="N531" s="3" t="str">
        <f>IFERROR(__xludf.DUMMYFUNCTION("""COMPUTED_VALUE"""),"Normal")</f>
        <v>Normal</v>
      </c>
      <c r="O531" s="3" t="str">
        <f>IFERROR(__xludf.DUMMYFUNCTION("""COMPUTED_VALUE"""),"Non Urgent")</f>
        <v>Non Urgent</v>
      </c>
      <c r="P531" s="7">
        <f>IFERROR(__xludf.DUMMYFUNCTION("""COMPUTED_VALUE"""),46146.66698888889)</f>
        <v>46146.66699</v>
      </c>
    </row>
    <row r="532">
      <c r="A532" s="4">
        <f>IFERROR(__xludf.DUMMYFUNCTION("""COMPUTED_VALUE"""),46136.66168539351)</f>
        <v>46136.66169</v>
      </c>
      <c r="B532" s="3" t="str">
        <f>IFERROR(__xludf.DUMMYFUNCTION("""COMPUTED_VALUE"""),"RIABR0162")</f>
        <v>RIABR0162</v>
      </c>
      <c r="C532" s="3" t="str">
        <f>IFERROR(__xludf.DUMMYFUNCTION("""COMPUTED_VALUE"""),"EJO")</f>
        <v>EJO</v>
      </c>
      <c r="D532" s="3" t="str">
        <f>IFERROR(__xludf.DUMMYFUNCTION("""COMPUTED_VALUE"""),"EJO/2026/02/14")</f>
        <v>EJO/2026/02/14</v>
      </c>
      <c r="E532" s="3" t="str">
        <f>IFERROR(__xludf.DUMMYFUNCTION("""COMPUTED_VALUE"""),"N2 Generator")</f>
        <v>N2 Generator</v>
      </c>
      <c r="F532" s="3" t="str">
        <f>IFERROR(__xludf.DUMMYFUNCTION("""COMPUTED_VALUE"""),"Sensor Dew Poin")</f>
        <v>Sensor Dew Poin</v>
      </c>
      <c r="G532" s="3" t="str">
        <f>IFERROR(__xludf.DUMMYFUNCTION("""COMPUTED_VALUE"""),"Dry Air (After Dryer)
DP212 (-80°Ctd...+20°Ctd)
24VDC power, 3 wire 4~20mA +RS485 + Bluetooth
output/comm
Accuracy: ±1°C in +50°Ctd...-20°Ctd
±2°C in -20°Ctd...-50°Ctd
±3°C in -50°Ctd...-80°Ctd
Bluetooth funtion , can read, set and remote diagnosis"&amp;"
Polymer sensor with upgrade algorithm for quick
response time")</f>
        <v>Dry Air (After Dryer)
DP212 (-80°Ctd...+20°Ctd)
24VDC power, 3 wire 4~20mA +RS485 + Bluetooth
output/comm
Accuracy: ±1°C in +50°Ctd...-20°Ctd
±2°C in -20°Ctd...-50°Ctd
±3°C in -50°Ctd...-80°Ctd
Bluetooth funtion , can read, set and remote diagnosis
Polymer sensor with upgrade algorithm for quick
response time</v>
      </c>
      <c r="H532" s="3" t="str">
        <f>IFERROR(__xludf.DUMMYFUNCTION("""COMPUTED_VALUE"""),"Comate")</f>
        <v>Comate</v>
      </c>
      <c r="I532" s="3">
        <f>IFERROR(__xludf.DUMMYFUNCTION("""COMPUTED_VALUE"""),1.0)</f>
        <v>1</v>
      </c>
      <c r="J532" s="3" t="str">
        <f>IFERROR(__xludf.DUMMYFUNCTION("""COMPUTED_VALUE"""),"Pcs")</f>
        <v>Pcs</v>
      </c>
      <c r="K532" s="3" t="str">
        <f>IFERROR(__xludf.DUMMYFUNCTION("""COMPUTED_VALUE"""),"Ref.260422-IND058KT Dewpoint 212 PT FONCO.pdf")</f>
        <v>Ref.260422-IND058KT Dewpoint 212 PT FONCO.pdf</v>
      </c>
      <c r="L532" s="3" t="str">
        <f>IFERROR(__xludf.DUMMYFUNCTION("""COMPUTED_VALUE"""),"Untuk Dew Point sensor n2")</f>
        <v>Untuk Dew Point sensor n2</v>
      </c>
      <c r="M532" s="3" t="str">
        <f>IFERROR(__xludf.DUMMYFUNCTION("""COMPUTED_VALUE"""),"Approve")</f>
        <v>Approve</v>
      </c>
      <c r="N532" s="3" t="str">
        <f>IFERROR(__xludf.DUMMYFUNCTION("""COMPUTED_VALUE"""),"Normal")</f>
        <v>Normal</v>
      </c>
      <c r="O532" s="3" t="str">
        <f>IFERROR(__xludf.DUMMYFUNCTION("""COMPUTED_VALUE"""),"Non Urgent")</f>
        <v>Non Urgent</v>
      </c>
      <c r="P532" s="7">
        <f>IFERROR(__xludf.DUMMYFUNCTION("""COMPUTED_VALUE"""),46146.66718857639)</f>
        <v>46146.66719</v>
      </c>
    </row>
    <row r="533">
      <c r="A533" s="4">
        <f>IFERROR(__xludf.DUMMYFUNCTION("""COMPUTED_VALUE"""),46136.6622946412)</f>
        <v>46136.66229</v>
      </c>
      <c r="B533" s="3" t="str">
        <f>IFERROR(__xludf.DUMMYFUNCTION("""COMPUTED_VALUE"""),"RIABR0163")</f>
        <v>RIABR0163</v>
      </c>
      <c r="C533" s="3" t="str">
        <f>IFERROR(__xludf.DUMMYFUNCTION("""COMPUTED_VALUE"""),"EJO")</f>
        <v>EJO</v>
      </c>
      <c r="D533" s="3" t="str">
        <f>IFERROR(__xludf.DUMMYFUNCTION("""COMPUTED_VALUE"""),"EJO/2026/02/14")</f>
        <v>EJO/2026/02/14</v>
      </c>
      <c r="E533" s="3" t="str">
        <f>IFERROR(__xludf.DUMMYFUNCTION("""COMPUTED_VALUE"""),"N2 Generator")</f>
        <v>N2 Generator</v>
      </c>
      <c r="F533" s="3" t="str">
        <f>IFERROR(__xludf.DUMMYFUNCTION("""COMPUTED_VALUE"""),"Sensor Flow Meter")</f>
        <v>Sensor Flow Meter</v>
      </c>
      <c r="G533" s="3" t="str">
        <f>IFERROR(__xludf.DUMMYFUNCTION("""COMPUTED_VALUE"""),"Micro Flow Meter TGF260-1-B-G-15 for 15 mm pipe pipe by g male thread connection
Accuracy: 1.5% of reading + 0.3% of full scale
Repeatability: 0.3% of reading
Storage Temperature: - 20~+50°C
Transportation Temperature: - 30~60°C
Temperature of medium"&amp;": -20~100°C
Pressure of medium: 1.6 Mpa
Power Supply: 10~35 VDC / 200 mA
Response time: 160 millisecond
Communication: Pulse,4~20mA output, RS485 communication, Bluetooth,
Flow velocity: 0.3 ~ 30Nm/s
Standard flow measure range: 8.8 ~ 882..8 NL/min")</f>
        <v>Micro Flow Meter TGF260-1-B-G-15 for 15 mm pipe pipe by g male thread connection
Accuracy: 1.5% of reading + 0.3% of full scale
Repeatability: 0.3% of reading
Storage Temperature: - 20~+50°C
Transportation Temperature: - 30~60°C
Temperature of medium: -20~100°C
Pressure of medium: 1.6 Mpa
Power Supply: 10~35 VDC / 200 mA
Response time: 160 millisecond
Communication: Pulse,4~20mA output, RS485 communication, Bluetooth,
Flow velocity: 0.3 ~ 30Nm/s
Standard flow measure range: 8.8 ~ 882..8 NL/min</v>
      </c>
      <c r="H533" s="3" t="str">
        <f>IFERROR(__xludf.DUMMYFUNCTION("""COMPUTED_VALUE"""),"Comate")</f>
        <v>Comate</v>
      </c>
      <c r="I533" s="3">
        <f>IFERROR(__xludf.DUMMYFUNCTION("""COMPUTED_VALUE"""),1.0)</f>
        <v>1</v>
      </c>
      <c r="J533" s="3" t="str">
        <f>IFERROR(__xludf.DUMMYFUNCTION("""COMPUTED_VALUE"""),"Pcs")</f>
        <v>Pcs</v>
      </c>
      <c r="K533" s="3" t="str">
        <f>IFERROR(__xludf.DUMMYFUNCTION("""COMPUTED_VALUE"""),"Ref.260422-IND057JKT Flow Meter N2 PT Fonco.pdf")</f>
        <v>Ref.260422-IND057JKT Flow Meter N2 PT Fonco.pdf</v>
      </c>
      <c r="L533" s="3" t="str">
        <f>IFERROR(__xludf.DUMMYFUNCTION("""COMPUTED_VALUE"""),"Flow meter n2")</f>
        <v>Flow meter n2</v>
      </c>
      <c r="M533" s="3" t="str">
        <f>IFERROR(__xludf.DUMMYFUNCTION("""COMPUTED_VALUE"""),"Approve")</f>
        <v>Approve</v>
      </c>
      <c r="N533" s="3" t="str">
        <f>IFERROR(__xludf.DUMMYFUNCTION("""COMPUTED_VALUE"""),"Normal")</f>
        <v>Normal</v>
      </c>
      <c r="O533" s="3" t="str">
        <f>IFERROR(__xludf.DUMMYFUNCTION("""COMPUTED_VALUE"""),"Non Urgent")</f>
        <v>Non Urgent</v>
      </c>
      <c r="P533" s="7">
        <f>IFERROR(__xludf.DUMMYFUNCTION("""COMPUTED_VALUE"""),46146.66731351852)</f>
        <v>46146.66731</v>
      </c>
    </row>
    <row r="534">
      <c r="A534" s="4">
        <f>IFERROR(__xludf.DUMMYFUNCTION("""COMPUTED_VALUE"""),46141.56928729166)</f>
        <v>46141.56929</v>
      </c>
      <c r="B534" s="3" t="str">
        <f>IFERROR(__xludf.DUMMYFUNCTION("""COMPUTED_VALUE"""),"SFHBR0036")</f>
        <v>SFHBR0036</v>
      </c>
      <c r="C534" s="3" t="str">
        <f>IFERROR(__xludf.DUMMYFUNCTION("""COMPUTED_VALUE"""),"EJO")</f>
        <v>EJO</v>
      </c>
      <c r="D534" s="3" t="str">
        <f>IFERROR(__xludf.DUMMYFUNCTION("""COMPUTED_VALUE"""),"EJO/2025/138")</f>
        <v>EJO/2025/138</v>
      </c>
      <c r="E534" s="3" t="str">
        <f>IFERROR(__xludf.DUMMYFUNCTION("""COMPUTED_VALUE"""),"Lantai 3")</f>
        <v>Lantai 3</v>
      </c>
      <c r="F534" s="3" t="str">
        <f>IFERROR(__xludf.DUMMYFUNCTION("""COMPUTED_VALUE"""),"Kunci Tusuk Kunci Laci Kunci Tekan Push Lock HUBEN HL 105")</f>
        <v>Kunci Tusuk Kunci Laci Kunci Tekan Push Lock HUBEN HL 105</v>
      </c>
      <c r="G534" s="3" t="str">
        <f>IFERROR(__xludf.DUMMYFUNCTION("""COMPUTED_VALUE"""),"Kunci Tusuk Kunci Laci Kunci Tekan Push Lock HUBEN HL 105")</f>
        <v>Kunci Tusuk Kunci Laci Kunci Tekan Push Lock HUBEN HL 105</v>
      </c>
      <c r="H534" s="3" t="str">
        <f>IFERROR(__xludf.DUMMYFUNCTION("""COMPUTED_VALUE"""),"hubben")</f>
        <v>hubben</v>
      </c>
      <c r="I534" s="3">
        <f>IFERROR(__xludf.DUMMYFUNCTION("""COMPUTED_VALUE"""),5.0)</f>
        <v>5</v>
      </c>
      <c r="J534" s="3" t="str">
        <f>IFERROR(__xludf.DUMMYFUNCTION("""COMPUTED_VALUE"""),"pcs")</f>
        <v>pcs</v>
      </c>
      <c r="K534" s="5" t="str">
        <f>IFERROR(__xludf.DUMMYFUNCTION("""COMPUTED_VALUE"""),"https://tk.tokopedia.com/ZSDvcvphB/")</f>
        <v>https://tk.tokopedia.com/ZSDvcvphB/</v>
      </c>
      <c r="L534" s="3" t="str">
        <f>IFERROR(__xludf.DUMMYFUNCTION("""COMPUTED_VALUE"""),"-")</f>
        <v>-</v>
      </c>
      <c r="M534" s="3" t="str">
        <f>IFERROR(__xludf.DUMMYFUNCTION("""COMPUTED_VALUE"""),"Approve")</f>
        <v>Approve</v>
      </c>
      <c r="N534" s="3" t="str">
        <f>IFERROR(__xludf.DUMMYFUNCTION("""COMPUTED_VALUE"""),"Normal")</f>
        <v>Normal</v>
      </c>
      <c r="O534" s="3" t="str">
        <f>IFERROR(__xludf.DUMMYFUNCTION("""COMPUTED_VALUE"""),"Non Urgent")</f>
        <v>Non Urgent</v>
      </c>
      <c r="P534" s="7">
        <f>IFERROR(__xludf.DUMMYFUNCTION("""COMPUTED_VALUE"""),45944.984285659724)</f>
        <v>45944.98429</v>
      </c>
    </row>
    <row r="535">
      <c r="A535" s="4">
        <f>IFERROR(__xludf.DUMMYFUNCTION("""COMPUTED_VALUE"""),46142.63764476852)</f>
        <v>46142.63764</v>
      </c>
      <c r="B535" s="3" t="str">
        <f>IFERROR(__xludf.DUMMYFUNCTION("""COMPUTED_VALUE"""),"RIABR0166")</f>
        <v>RIABR0166</v>
      </c>
      <c r="C535" s="3" t="str">
        <f>IFERROR(__xludf.DUMMYFUNCTION("""COMPUTED_VALUE"""),"EJO")</f>
        <v>EJO</v>
      </c>
      <c r="D535" s="3" t="str">
        <f>IFERROR(__xludf.DUMMYFUNCTION("""COMPUTED_VALUE"""),"-")</f>
        <v>-</v>
      </c>
      <c r="E535" s="3" t="str">
        <f>IFERROR(__xludf.DUMMYFUNCTION("""COMPUTED_VALUE"""),"PWG")</f>
        <v>PWG</v>
      </c>
      <c r="F535" s="3" t="str">
        <f>IFERROR(__xludf.DUMMYFUNCTION("""COMPUTED_VALUE"""),"Solenoid Valve")</f>
        <v>Solenoid Valve</v>
      </c>
      <c r="G535" s="3" t="str">
        <f>IFERROR(__xludf.DUMMYFUNCTION("""COMPUTED_VALUE"""),"MAC Valve
34C-L00-GDF0-1DJ; MAC")</f>
        <v>MAC Valve
34C-L00-GDF0-1DJ; MAC</v>
      </c>
      <c r="H535" s="3" t="str">
        <f>IFERROR(__xludf.DUMMYFUNCTION("""COMPUTED_VALUE"""),"Austar")</f>
        <v>Austar</v>
      </c>
      <c r="I535" s="3">
        <f>IFERROR(__xludf.DUMMYFUNCTION("""COMPUTED_VALUE"""),5.0)</f>
        <v>5</v>
      </c>
      <c r="J535" s="3" t="str">
        <f>IFERROR(__xludf.DUMMYFUNCTION("""COMPUTED_VALUE"""),"Pcs")</f>
        <v>Pcs</v>
      </c>
      <c r="K535" s="3" t="str">
        <f>IFERROR(__xludf.DUMMYFUNCTION("""COMPUTED_VALUE"""),"BNP-FONKO-RA-SP82-04-26.pdf")</f>
        <v>BNP-FONKO-RA-SP82-04-26.pdf</v>
      </c>
      <c r="L535" s="3" t="str">
        <f>IFERROR(__xludf.DUMMYFUNCTION("""COMPUTED_VALUE"""),"Untuk ganti sv pwg yang sempat macet")</f>
        <v>Untuk ganti sv pwg yang sempat macet</v>
      </c>
      <c r="M535" s="3" t="str">
        <f>IFERROR(__xludf.DUMMYFUNCTION("""COMPUTED_VALUE"""),"Approve")</f>
        <v>Approve</v>
      </c>
      <c r="N535" s="3" t="str">
        <f>IFERROR(__xludf.DUMMYFUNCTION("""COMPUTED_VALUE"""),"Normal")</f>
        <v>Normal</v>
      </c>
      <c r="O535" s="3" t="str">
        <f>IFERROR(__xludf.DUMMYFUNCTION("""COMPUTED_VALUE"""),"Non Urgent")</f>
        <v>Non Urgent</v>
      </c>
      <c r="P535" s="7">
        <f>IFERROR(__xludf.DUMMYFUNCTION("""COMPUTED_VALUE"""),46146.66774188657)</f>
        <v>46146.66774</v>
      </c>
    </row>
    <row r="536">
      <c r="A536" s="4">
        <f>IFERROR(__xludf.DUMMYFUNCTION("""COMPUTED_VALUE"""),46147.90925295139)</f>
        <v>46147.90925</v>
      </c>
      <c r="B536" s="3" t="str">
        <f>IFERROR(__xludf.DUMMYFUNCTION("""COMPUTED_VALUE"""),"BDUBR0009")</f>
        <v>BDUBR0009</v>
      </c>
      <c r="C536" s="3" t="str">
        <f>IFERROR(__xludf.DUMMYFUNCTION("""COMPUTED_VALUE"""),"MIn Stok")</f>
        <v>MIn Stok</v>
      </c>
      <c r="D536" s="3" t="str">
        <f>IFERROR(__xludf.DUMMYFUNCTION("""COMPUTED_VALUE"""),"-")</f>
        <v>-</v>
      </c>
      <c r="E536" s="3" t="str">
        <f>IFERROR(__xludf.DUMMYFUNCTION("""COMPUTED_VALUE"""),"PC FTIR")</f>
        <v>PC FTIR</v>
      </c>
      <c r="F536" s="3" t="str">
        <f>IFERROR(__xludf.DUMMYFUNCTION("""COMPUTED_VALUE"""),"Harddisk Internal")</f>
        <v>Harddisk Internal</v>
      </c>
      <c r="G536" s="3" t="str">
        <f>IFERROR(__xludf.DUMMYFUNCTION("""COMPUTED_VALUE"""),"1Tb, 3.5 Inch")</f>
        <v>1Tb, 3.5 Inch</v>
      </c>
      <c r="H536" s="3" t="str">
        <f>IFERROR(__xludf.DUMMYFUNCTION("""COMPUTED_VALUE"""),"Seagate")</f>
        <v>Seagate</v>
      </c>
      <c r="I536" s="3">
        <f>IFERROR(__xludf.DUMMYFUNCTION("""COMPUTED_VALUE"""),3.0)</f>
        <v>3</v>
      </c>
      <c r="J536" s="3" t="str">
        <f>IFERROR(__xludf.DUMMYFUNCTION("""COMPUTED_VALUE"""),"Pcs")</f>
        <v>Pcs</v>
      </c>
      <c r="K536" s="5" t="str">
        <f>IFERROR(__xludf.DUMMYFUNCTION("""COMPUTED_VALUE"""),"https://www.tokopedia.com/it-shoponline/seagate-barracuda-35-desktop-1tb-harddisk-1729568468913260609?extParam=ivf%3Dfalse%26keyword%3Dhdd+3.5+1tb+seagate%26search_id%3D2026050305424440008B9A5380FC10CY8F%26src%3Dsearch%26whid%3D12666244&amp;t_id=1777786980558"&amp;"&amp;t_st=1&amp;t_pp=search_result&amp;t_efo=search_pure_goods_card&amp;t_ef=goods_search&amp;t_sm=&amp;t_spt=search_result")</f>
        <v>https://www.tokopedia.com/it-shoponline/seagate-barracuda-35-desktop-1tb-harddisk-1729568468913260609?extParam=ivf%3Dfalse%26keyword%3Dhdd+3.5+1tb+seagate%26search_id%3D2026050305424440008B9A5380FC10CY8F%26src%3Dsearch%26whid%3D12666244&amp;t_id=1777786980558&amp;t_st=1&amp;t_pp=search_result&amp;t_efo=search_pure_goods_card&amp;t_ef=goods_search&amp;t_sm=&amp;t_spt=search_result</v>
      </c>
      <c r="L536" s="3" t="str">
        <f>IFERROR(__xludf.DUMMYFUNCTION("""COMPUTED_VALUE"""),"Untuk Pengganti SSD yang dipakai FTIR (dan spare)")</f>
        <v>Untuk Pengganti SSD yang dipakai FTIR (dan spare)</v>
      </c>
      <c r="M536" s="3" t="str">
        <f>IFERROR(__xludf.DUMMYFUNCTION("""COMPUTED_VALUE"""),"Approve")</f>
        <v>Approve</v>
      </c>
      <c r="N536" s="3" t="str">
        <f>IFERROR(__xludf.DUMMYFUNCTION("""COMPUTED_VALUE"""),"Normal")</f>
        <v>Normal</v>
      </c>
      <c r="O536" s="3" t="str">
        <f>IFERROR(__xludf.DUMMYFUNCTION("""COMPUTED_VALUE"""),"Non Urgent")</f>
        <v>Non Urgent</v>
      </c>
      <c r="P536" s="7">
        <f>IFERROR(__xludf.DUMMYFUNCTION("""COMPUTED_VALUE"""),46153.71310224537)</f>
        <v>46153.7131</v>
      </c>
    </row>
    <row r="537">
      <c r="A537" s="4">
        <f>IFERROR(__xludf.DUMMYFUNCTION("""COMPUTED_VALUE"""),46147.90927142361)</f>
        <v>46147.90927</v>
      </c>
      <c r="B537" s="3" t="str">
        <f>IFERROR(__xludf.DUMMYFUNCTION("""COMPUTED_VALUE"""),"BDUBR0010")</f>
        <v>BDUBR0010</v>
      </c>
      <c r="C537" s="3" t="str">
        <f>IFERROR(__xludf.DUMMYFUNCTION("""COMPUTED_VALUE"""),"MIn Stok")</f>
        <v>MIn Stok</v>
      </c>
      <c r="D537" s="3" t="str">
        <f>IFERROR(__xludf.DUMMYFUNCTION("""COMPUTED_VALUE"""),"-")</f>
        <v>-</v>
      </c>
      <c r="E537" s="3" t="str">
        <f>IFERROR(__xludf.DUMMYFUNCTION("""COMPUTED_VALUE"""),"RAM PC FTIR")</f>
        <v>RAM PC FTIR</v>
      </c>
      <c r="F537" s="3" t="str">
        <f>IFERROR(__xludf.DUMMYFUNCTION("""COMPUTED_VALUE"""),"RAM DDR3")</f>
        <v>RAM DDR3</v>
      </c>
      <c r="G537" s="3" t="str">
        <f>IFERROR(__xludf.DUMMYFUNCTION("""COMPUTED_VALUE"""),"DDR3, LongDIMM, 4GB")</f>
        <v>DDR3, LongDIMM, 4GB</v>
      </c>
      <c r="H537" s="3" t="str">
        <f>IFERROR(__xludf.DUMMYFUNCTION("""COMPUTED_VALUE"""),"Kingston")</f>
        <v>Kingston</v>
      </c>
      <c r="I537" s="3">
        <f>IFERROR(__xludf.DUMMYFUNCTION("""COMPUTED_VALUE"""),1.0)</f>
        <v>1</v>
      </c>
      <c r="J537" s="3" t="str">
        <f>IFERROR(__xludf.DUMMYFUNCTION("""COMPUTED_VALUE"""),"pcs")</f>
        <v>pcs</v>
      </c>
      <c r="K537" s="5" t="str">
        <f>IFERROR(__xludf.DUMMYFUNCTION("""COMPUTED_VALUE"""),"https://www.tokopedia.com/samsungjakarta/ram-pc-kingston-ddr3-4gb-1600mhz-pc-12800-1-5v-ori-ram-komputer-ddr3-4gb-longdimm-1729819347293734825?extParam=ivf%3Dfalse%26keyword%3Dram+4+gb+ddr3%26search_id%3D2026042204152334ED066DF378EF344J00%26src%3Dsearch&amp;t"&amp;"_id=1776832320690&amp;t_st=3&amp;t_pp=search_result&amp;t_efo=search_pure_goods_card&amp;t_ef=goods_search&amp;t_sm=&amp;t_spt=search_result")</f>
        <v>https://www.tokopedia.com/samsungjakarta/ram-pc-kingston-ddr3-4gb-1600mhz-pc-12800-1-5v-ori-ram-komputer-ddr3-4gb-longdimm-1729819347293734825?extParam=ivf%3Dfalse%26keyword%3Dram+4+gb+ddr3%26search_id%3D2026042204152334ED066DF378EF344J00%26src%3Dsearch&amp;t_id=1776832320690&amp;t_st=3&amp;t_pp=search_result&amp;t_efo=search_pure_goods_card&amp;t_ef=goods_search&amp;t_sm=&amp;t_spt=search_result</v>
      </c>
      <c r="L537" s="3" t="str">
        <f>IFERROR(__xludf.DUMMYFUNCTION("""COMPUTED_VALUE"""),"Untuk Komputer FTIR (dan spare)")</f>
        <v>Untuk Komputer FTIR (dan spare)</v>
      </c>
      <c r="M537" s="3" t="str">
        <f>IFERROR(__xludf.DUMMYFUNCTION("""COMPUTED_VALUE"""),"Approve")</f>
        <v>Approve</v>
      </c>
      <c r="N537" s="3" t="str">
        <f>IFERROR(__xludf.DUMMYFUNCTION("""COMPUTED_VALUE"""),"Normal")</f>
        <v>Normal</v>
      </c>
      <c r="O537" s="3" t="str">
        <f>IFERROR(__xludf.DUMMYFUNCTION("""COMPUTED_VALUE"""),"Non Urgent")</f>
        <v>Non Urgent</v>
      </c>
      <c r="P537" s="7">
        <f>IFERROR(__xludf.DUMMYFUNCTION("""COMPUTED_VALUE"""),46153.712589097224)</f>
        <v>46153.71259</v>
      </c>
    </row>
    <row r="538">
      <c r="A538" s="4">
        <f>IFERROR(__xludf.DUMMYFUNCTION("""COMPUTED_VALUE"""),46147.90958394676)</f>
        <v>46147.90958</v>
      </c>
      <c r="B538" s="3" t="str">
        <f>IFERROR(__xludf.DUMMYFUNCTION("""COMPUTED_VALUE"""),"BDUBR0011")</f>
        <v>BDUBR0011</v>
      </c>
      <c r="C538" s="3" t="str">
        <f>IFERROR(__xludf.DUMMYFUNCTION("""COMPUTED_VALUE"""),"MIn Stok")</f>
        <v>MIn Stok</v>
      </c>
      <c r="D538" s="3" t="str">
        <f>IFERROR(__xludf.DUMMYFUNCTION("""COMPUTED_VALUE"""),"-")</f>
        <v>-</v>
      </c>
      <c r="E538" s="3" t="str">
        <f>IFERROR(__xludf.DUMMYFUNCTION("""COMPUTED_VALUE"""),"General")</f>
        <v>General</v>
      </c>
      <c r="F538" s="3" t="str">
        <f>IFERROR(__xludf.DUMMYFUNCTION("""COMPUTED_VALUE"""),"Mata bor d2,5")</f>
        <v>Mata bor d2,5</v>
      </c>
      <c r="G538" s="3" t="str">
        <f>IFERROR(__xludf.DUMMYFUNCTION("""COMPUTED_VALUE"""),"HSS, 2,5mm")</f>
        <v>HSS, 2,5mm</v>
      </c>
      <c r="H538" s="3" t="str">
        <f>IFERROR(__xludf.DUMMYFUNCTION("""COMPUTED_VALUE"""),"NACHI")</f>
        <v>NACHI</v>
      </c>
      <c r="I538" s="3">
        <f>IFERROR(__xludf.DUMMYFUNCTION("""COMPUTED_VALUE"""),10.0)</f>
        <v>10</v>
      </c>
      <c r="J538" s="3" t="str">
        <f>IFERROR(__xludf.DUMMYFUNCTION("""COMPUTED_VALUE"""),"pcs")</f>
        <v>pcs</v>
      </c>
      <c r="K538" s="5" t="str">
        <f>IFERROR(__xludf.DUMMYFUNCTION("""COMPUTED_VALUE"""),"https://www.tokopedia.com/candicestoreofficial/mata-bor-nachi-2m-2-5m-3m-3-5m-4m-4-5m-5m-5-5m-harga-1-pcs-bukan-perbungkus-mata-bor-besi-hss-nachi-2-5-mm-a8f35?extParam=ivf%3Dfalse%26keyword%3Dmatabor+hss%26search_id%3D2026050514454594F6D7E04A4D4518DF68%2"&amp;"6src%3Dsearch&amp;t_id=1777992352126&amp;t_st=1&amp;t_pp=search_result&amp;t_efo=search_pure_goods_card&amp;t_ef=goods_search&amp;t_sm=&amp;t_spt=search_result")</f>
        <v>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v>
      </c>
      <c r="L538" s="3" t="str">
        <f>IFERROR(__xludf.DUMMYFUNCTION("""COMPUTED_VALUE"""),"Untuk meleghkapi mata bor yang tidak ada (10pcs = 1 pck)")</f>
        <v>Untuk meleghkapi mata bor yang tidak ada (10pcs = 1 pck)</v>
      </c>
      <c r="M538" s="3" t="str">
        <f>IFERROR(__xludf.DUMMYFUNCTION("""COMPUTED_VALUE"""),"Approve")</f>
        <v>Approve</v>
      </c>
      <c r="N538" s="3" t="str">
        <f>IFERROR(__xludf.DUMMYFUNCTION("""COMPUTED_VALUE"""),"Normal")</f>
        <v>Normal</v>
      </c>
      <c r="O538" s="3" t="str">
        <f>IFERROR(__xludf.DUMMYFUNCTION("""COMPUTED_VALUE"""),"Non Urgent")</f>
        <v>Non Urgent</v>
      </c>
      <c r="P538" s="7">
        <f>IFERROR(__xludf.DUMMYFUNCTION("""COMPUTED_VALUE"""),46153.71242498842)</f>
        <v>46153.71242</v>
      </c>
    </row>
    <row r="539">
      <c r="A539" s="4">
        <f>IFERROR(__xludf.DUMMYFUNCTION("""COMPUTED_VALUE"""),46147.911208935184)</f>
        <v>46147.91121</v>
      </c>
      <c r="B539" s="3" t="str">
        <f>IFERROR(__xludf.DUMMYFUNCTION("""COMPUTED_VALUE"""),"BDUBR0012")</f>
        <v>BDUBR0012</v>
      </c>
      <c r="C539" s="3" t="str">
        <f>IFERROR(__xludf.DUMMYFUNCTION("""COMPUTED_VALUE"""),"MIn Stok")</f>
        <v>MIn Stok</v>
      </c>
      <c r="D539" s="3" t="str">
        <f>IFERROR(__xludf.DUMMYFUNCTION("""COMPUTED_VALUE"""),"-")</f>
        <v>-</v>
      </c>
      <c r="E539" s="3" t="str">
        <f>IFERROR(__xludf.DUMMYFUNCTION("""COMPUTED_VALUE"""),"General")</f>
        <v>General</v>
      </c>
      <c r="F539" s="3" t="str">
        <f>IFERROR(__xludf.DUMMYFUNCTION("""COMPUTED_VALUE"""),"Mata bor d3")</f>
        <v>Mata bor d3</v>
      </c>
      <c r="G539" s="3" t="str">
        <f>IFERROR(__xludf.DUMMYFUNCTION("""COMPUTED_VALUE"""),"HSS, 3 mm")</f>
        <v>HSS, 3 mm</v>
      </c>
      <c r="H539" s="3" t="str">
        <f>IFERROR(__xludf.DUMMYFUNCTION("""COMPUTED_VALUE"""),"NACHI")</f>
        <v>NACHI</v>
      </c>
      <c r="I539" s="3">
        <f>IFERROR(__xludf.DUMMYFUNCTION("""COMPUTED_VALUE"""),10.0)</f>
        <v>10</v>
      </c>
      <c r="J539" s="3" t="str">
        <f>IFERROR(__xludf.DUMMYFUNCTION("""COMPUTED_VALUE"""),"pcs")</f>
        <v>pcs</v>
      </c>
      <c r="K539" s="5" t="str">
        <f>IFERROR(__xludf.DUMMYFUNCTION("""COMPUTED_VALUE"""),"https://www.tokopedia.com/candicestoreofficial/mata-bor-nachi-2m-2-5m-3m-3-5m-4m-4-5m-5m-5-5m-harga-1-pcs-bukan-perbungkus-mata-bor-besi-hss-nachi-2-5-mm-a8f35?extParam=ivf%3Dfalse%26keyword%3Dmatabor+hss%26search_id%3D2026050514454594F6D7E04A4D4518DF68%2"&amp;"6src%3Dsearch&amp;t_id=1777992352126&amp;t_st=1&amp;t_pp=search_result&amp;t_efo=search_pure_goods_card&amp;t_ef=goods_search&amp;t_sm=&amp;t_spt=search_result")</f>
        <v>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v>
      </c>
      <c r="L539" s="3" t="str">
        <f>IFERROR(__xludf.DUMMYFUNCTION("""COMPUTED_VALUE"""),"Untuk meleghkapi mata bor yang tidak ada (10pcs = 1 pck)")</f>
        <v>Untuk meleghkapi mata bor yang tidak ada (10pcs = 1 pck)</v>
      </c>
      <c r="M539" s="3" t="str">
        <f>IFERROR(__xludf.DUMMYFUNCTION("""COMPUTED_VALUE"""),"Approve")</f>
        <v>Approve</v>
      </c>
      <c r="N539" s="3" t="str">
        <f>IFERROR(__xludf.DUMMYFUNCTION("""COMPUTED_VALUE"""),"Normal")</f>
        <v>Normal</v>
      </c>
      <c r="O539" s="3" t="str">
        <f>IFERROR(__xludf.DUMMYFUNCTION("""COMPUTED_VALUE"""),"Non Urgent")</f>
        <v>Non Urgent</v>
      </c>
      <c r="P539" s="7">
        <f>IFERROR(__xludf.DUMMYFUNCTION("""COMPUTED_VALUE"""),46153.69671701389)</f>
        <v>46153.69672</v>
      </c>
    </row>
    <row r="540">
      <c r="A540" s="4">
        <f>IFERROR(__xludf.DUMMYFUNCTION("""COMPUTED_VALUE"""),46147.9124525463)</f>
        <v>46147.91245</v>
      </c>
      <c r="B540" s="3" t="str">
        <f>IFERROR(__xludf.DUMMYFUNCTION("""COMPUTED_VALUE"""),"BDUBR0013")</f>
        <v>BDUBR0013</v>
      </c>
      <c r="C540" s="3" t="str">
        <f>IFERROR(__xludf.DUMMYFUNCTION("""COMPUTED_VALUE"""),"MIn Stok")</f>
        <v>MIn Stok</v>
      </c>
      <c r="D540" s="3" t="str">
        <f>IFERROR(__xludf.DUMMYFUNCTION("""COMPUTED_VALUE"""),"-")</f>
        <v>-</v>
      </c>
      <c r="E540" s="3" t="str">
        <f>IFERROR(__xludf.DUMMYFUNCTION("""COMPUTED_VALUE"""),"General")</f>
        <v>General</v>
      </c>
      <c r="F540" s="3" t="str">
        <f>IFERROR(__xludf.DUMMYFUNCTION("""COMPUTED_VALUE"""),"Mata bor d3,5")</f>
        <v>Mata bor d3,5</v>
      </c>
      <c r="G540" s="3" t="str">
        <f>IFERROR(__xludf.DUMMYFUNCTION("""COMPUTED_VALUE"""),"HSS, 3,5 mm")</f>
        <v>HSS, 3,5 mm</v>
      </c>
      <c r="H540" s="3" t="str">
        <f>IFERROR(__xludf.DUMMYFUNCTION("""COMPUTED_VALUE"""),"NACHI")</f>
        <v>NACHI</v>
      </c>
      <c r="I540" s="3">
        <f>IFERROR(__xludf.DUMMYFUNCTION("""COMPUTED_VALUE"""),10.0)</f>
        <v>10</v>
      </c>
      <c r="J540" s="3" t="str">
        <f>IFERROR(__xludf.DUMMYFUNCTION("""COMPUTED_VALUE"""),"pcs")</f>
        <v>pcs</v>
      </c>
      <c r="K540" s="5" t="str">
        <f>IFERROR(__xludf.DUMMYFUNCTION("""COMPUTED_VALUE"""),"https://www.tokopedia.com/candicestoreofficial/mata-bor-nachi-2m-2-5m-3m-3-5m-4m-4-5m-5m-5-5m-harga-1-pcs-bukan-perbungkus-mata-bor-besi-hss-nachi-2-5-mm-a8f35?extParam=ivf%3Dfalse%26keyword%3Dmatabor+hss%26search_id%3D2026050514454594F6D7E04A4D4518DF68%2"&amp;"6src%3Dsearch&amp;t_id=1777992352126&amp;t_st=1&amp;t_pp=search_result&amp;t_efo=search_pure_goods_card&amp;t_ef=goods_search&amp;t_sm=&amp;t_spt=search_result")</f>
        <v>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v>
      </c>
      <c r="L540" s="3" t="str">
        <f>IFERROR(__xludf.DUMMYFUNCTION("""COMPUTED_VALUE"""),"Untuk meleghkapi mata bor yang tidak ada (10pcs = 1 pck)")</f>
        <v>Untuk meleghkapi mata bor yang tidak ada (10pcs = 1 pck)</v>
      </c>
      <c r="M540" s="3" t="str">
        <f>IFERROR(__xludf.DUMMYFUNCTION("""COMPUTED_VALUE"""),"Approve")</f>
        <v>Approve</v>
      </c>
      <c r="N540" s="3" t="str">
        <f>IFERROR(__xludf.DUMMYFUNCTION("""COMPUTED_VALUE"""),"Normal")</f>
        <v>Normal</v>
      </c>
      <c r="O540" s="3" t="str">
        <f>IFERROR(__xludf.DUMMYFUNCTION("""COMPUTED_VALUE"""),"Non Urgent")</f>
        <v>Non Urgent</v>
      </c>
      <c r="P540" s="7">
        <f>IFERROR(__xludf.DUMMYFUNCTION("""COMPUTED_VALUE"""),46153.6965899537)</f>
        <v>46153.69659</v>
      </c>
    </row>
    <row r="541">
      <c r="A541" s="4">
        <f>IFERROR(__xludf.DUMMYFUNCTION("""COMPUTED_VALUE"""),46147.91601097223)</f>
        <v>46147.91601</v>
      </c>
      <c r="B541" s="3" t="str">
        <f>IFERROR(__xludf.DUMMYFUNCTION("""COMPUTED_VALUE"""),"BDUBR0014")</f>
        <v>BDUBR0014</v>
      </c>
      <c r="C541" s="3" t="str">
        <f>IFERROR(__xludf.DUMMYFUNCTION("""COMPUTED_VALUE"""),"MIn Stok")</f>
        <v>MIn Stok</v>
      </c>
      <c r="D541" s="3" t="str">
        <f>IFERROR(__xludf.DUMMYFUNCTION("""COMPUTED_VALUE"""),"-")</f>
        <v>-</v>
      </c>
      <c r="E541" s="3" t="str">
        <f>IFERROR(__xludf.DUMMYFUNCTION("""COMPUTED_VALUE"""),"General")</f>
        <v>General</v>
      </c>
      <c r="F541" s="3" t="str">
        <f>IFERROR(__xludf.DUMMYFUNCTION("""COMPUTED_VALUE"""),"Mata bor d4")</f>
        <v>Mata bor d4</v>
      </c>
      <c r="G541" s="3" t="str">
        <f>IFERROR(__xludf.DUMMYFUNCTION("""COMPUTED_VALUE"""),"HSS, 4 mm")</f>
        <v>HSS, 4 mm</v>
      </c>
      <c r="H541" s="3" t="str">
        <f>IFERROR(__xludf.DUMMYFUNCTION("""COMPUTED_VALUE"""),"NACHI")</f>
        <v>NACHI</v>
      </c>
      <c r="I541" s="3">
        <f>IFERROR(__xludf.DUMMYFUNCTION("""COMPUTED_VALUE"""),10.0)</f>
        <v>10</v>
      </c>
      <c r="J541" s="3" t="str">
        <f>IFERROR(__xludf.DUMMYFUNCTION("""COMPUTED_VALUE"""),"pcs")</f>
        <v>pcs</v>
      </c>
      <c r="K541" s="5" t="str">
        <f>IFERROR(__xludf.DUMMYFUNCTION("""COMPUTED_VALUE"""),"https://www.tokopedia.com/candicestoreofficial/mata-bor-nachi-2m-2-5m-3m-3-5m-4m-4-5m-5m-5-5m-harga-1-pcs-bukan-perbungkus-mata-bor-besi-hss-nachi-2-5-mm-a8f35?extParam=ivf%3Dfalse%26keyword%3Dmatabor+hss%26search_id%3D2026050514454594F6D7E04A4D4518DF68%2"&amp;"6src%3Dsearch&amp;t_id=1777992352126&amp;t_st=1&amp;t_pp=search_result&amp;t_efo=search_pure_goods_card&amp;t_ef=goods_search&amp;t_sm=&amp;t_spt=search_result")</f>
        <v>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v>
      </c>
      <c r="L541" s="3" t="str">
        <f>IFERROR(__xludf.DUMMYFUNCTION("""COMPUTED_VALUE"""),"Untuk meleghkapi mata bor yang tidak ada (10pcs = 1 pck)")</f>
        <v>Untuk meleghkapi mata bor yang tidak ada (10pcs = 1 pck)</v>
      </c>
      <c r="M541" s="3" t="str">
        <f>IFERROR(__xludf.DUMMYFUNCTION("""COMPUTED_VALUE"""),"Approve")</f>
        <v>Approve</v>
      </c>
      <c r="N541" s="3" t="str">
        <f>IFERROR(__xludf.DUMMYFUNCTION("""COMPUTED_VALUE"""),"Normal")</f>
        <v>Normal</v>
      </c>
      <c r="O541" s="3" t="str">
        <f>IFERROR(__xludf.DUMMYFUNCTION("""COMPUTED_VALUE"""),"Non Urgent")</f>
        <v>Non Urgent</v>
      </c>
      <c r="P541" s="7">
        <f>IFERROR(__xludf.DUMMYFUNCTION("""COMPUTED_VALUE"""),46153.69642881944)</f>
        <v>46153.69643</v>
      </c>
    </row>
    <row r="542">
      <c r="A542" s="4">
        <f>IFERROR(__xludf.DUMMYFUNCTION("""COMPUTED_VALUE"""),46147.916031562505)</f>
        <v>46147.91603</v>
      </c>
      <c r="B542" s="3" t="str">
        <f>IFERROR(__xludf.DUMMYFUNCTION("""COMPUTED_VALUE"""),"BDUBR0015")</f>
        <v>BDUBR0015</v>
      </c>
      <c r="C542" s="3" t="str">
        <f>IFERROR(__xludf.DUMMYFUNCTION("""COMPUTED_VALUE"""),"MIn Stok")</f>
        <v>MIn Stok</v>
      </c>
      <c r="D542" s="3" t="str">
        <f>IFERROR(__xludf.DUMMYFUNCTION("""COMPUTED_VALUE"""),"-")</f>
        <v>-</v>
      </c>
      <c r="E542" s="3" t="str">
        <f>IFERROR(__xludf.DUMMYFUNCTION("""COMPUTED_VALUE"""),"General")</f>
        <v>General</v>
      </c>
      <c r="F542" s="3" t="str">
        <f>IFERROR(__xludf.DUMMYFUNCTION("""COMPUTED_VALUE"""),"Mata bor d4,5")</f>
        <v>Mata bor d4,5</v>
      </c>
      <c r="G542" s="3" t="str">
        <f>IFERROR(__xludf.DUMMYFUNCTION("""COMPUTED_VALUE"""),"HSS, 4,5 mm")</f>
        <v>HSS, 4,5 mm</v>
      </c>
      <c r="H542" s="3" t="str">
        <f>IFERROR(__xludf.DUMMYFUNCTION("""COMPUTED_VALUE"""),"NACHI")</f>
        <v>NACHI</v>
      </c>
      <c r="I542" s="3">
        <f>IFERROR(__xludf.DUMMYFUNCTION("""COMPUTED_VALUE"""),10.0)</f>
        <v>10</v>
      </c>
      <c r="J542" s="3" t="str">
        <f>IFERROR(__xludf.DUMMYFUNCTION("""COMPUTED_VALUE"""),"pcs")</f>
        <v>pcs</v>
      </c>
      <c r="K542" s="5" t="str">
        <f>IFERROR(__xludf.DUMMYFUNCTION("""COMPUTED_VALUE"""),"https://www.tokopedia.com/candicestoreofficial/mata-bor-nachi-2m-2-5m-3m-3-5m-4m-4-5m-5m-5-5m-harga-1-pcs-bukan-perbungkus-mata-bor-besi-hss-nachi-2-5-mm-a8f35?extParam=ivf%3Dfalse%26keyword%3Dmatabor+hss%26search_id%3D2026050514454594F6D7E04A4D4518DF68%2"&amp;"6src%3Dsearch&amp;t_id=1777992352126&amp;t_st=1&amp;t_pp=search_result&amp;t_efo=search_pure_goods_card&amp;t_ef=goods_search&amp;t_sm=&amp;t_spt=search_result")</f>
        <v>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v>
      </c>
      <c r="L542" s="3" t="str">
        <f>IFERROR(__xludf.DUMMYFUNCTION("""COMPUTED_VALUE"""),"Untuk meleghkapi mata bor yang tidak ada (10pcs = 1 pck)")</f>
        <v>Untuk meleghkapi mata bor yang tidak ada (10pcs = 1 pck)</v>
      </c>
      <c r="M542" s="3" t="str">
        <f>IFERROR(__xludf.DUMMYFUNCTION("""COMPUTED_VALUE"""),"Approve")</f>
        <v>Approve</v>
      </c>
      <c r="N542" s="3" t="str">
        <f>IFERROR(__xludf.DUMMYFUNCTION("""COMPUTED_VALUE"""),"Normal")</f>
        <v>Normal</v>
      </c>
      <c r="O542" s="3" t="str">
        <f>IFERROR(__xludf.DUMMYFUNCTION("""COMPUTED_VALUE"""),"Non Urgent")</f>
        <v>Non Urgent</v>
      </c>
      <c r="P542" s="7">
        <f>IFERROR(__xludf.DUMMYFUNCTION("""COMPUTED_VALUE"""),46153.69618439815)</f>
        <v>46153.69618</v>
      </c>
    </row>
    <row r="543">
      <c r="A543" s="4">
        <f>IFERROR(__xludf.DUMMYFUNCTION("""COMPUTED_VALUE"""),46147.9160383912)</f>
        <v>46147.91604</v>
      </c>
      <c r="B543" s="3" t="str">
        <f>IFERROR(__xludf.DUMMYFUNCTION("""COMPUTED_VALUE"""),"BDUBR0016")</f>
        <v>BDUBR0016</v>
      </c>
      <c r="C543" s="3" t="str">
        <f>IFERROR(__xludf.DUMMYFUNCTION("""COMPUTED_VALUE"""),"MIn Stok")</f>
        <v>MIn Stok</v>
      </c>
      <c r="D543" s="3" t="str">
        <f>IFERROR(__xludf.DUMMYFUNCTION("""COMPUTED_VALUE"""),"-")</f>
        <v>-</v>
      </c>
      <c r="E543" s="3" t="str">
        <f>IFERROR(__xludf.DUMMYFUNCTION("""COMPUTED_VALUE"""),"General")</f>
        <v>General</v>
      </c>
      <c r="F543" s="3" t="str">
        <f>IFERROR(__xludf.DUMMYFUNCTION("""COMPUTED_VALUE"""),"Mata bor d5")</f>
        <v>Mata bor d5</v>
      </c>
      <c r="G543" s="3" t="str">
        <f>IFERROR(__xludf.DUMMYFUNCTION("""COMPUTED_VALUE"""),"HSS, 5 mm")</f>
        <v>HSS, 5 mm</v>
      </c>
      <c r="H543" s="3" t="str">
        <f>IFERROR(__xludf.DUMMYFUNCTION("""COMPUTED_VALUE"""),"NACHI")</f>
        <v>NACHI</v>
      </c>
      <c r="I543" s="3">
        <f>IFERROR(__xludf.DUMMYFUNCTION("""COMPUTED_VALUE"""),10.0)</f>
        <v>10</v>
      </c>
      <c r="J543" s="3" t="str">
        <f>IFERROR(__xludf.DUMMYFUNCTION("""COMPUTED_VALUE"""),"pcs")</f>
        <v>pcs</v>
      </c>
      <c r="K543" s="5" t="str">
        <f>IFERROR(__xludf.DUMMYFUNCTION("""COMPUTED_VALUE"""),"https://www.tokopedia.com/candicestoreofficial/mata-bor-nachi-2m-2-5m-3m-3-5m-4m-4-5m-5m-5-5m-harga-1-pcs-bukan-perbungkus-mata-bor-besi-hss-nachi-2-5-mm-a8f35?extParam=ivf%3Dfalse%26keyword%3Dmatabor+hss%26search_id%3D2026050514454594F6D7E04A4D4518DF68%2"&amp;"6src%3Dsearch&amp;t_id=1777992352126&amp;t_st=1&amp;t_pp=search_result&amp;t_efo=search_pure_goods_card&amp;t_ef=goods_search&amp;t_sm=&amp;t_spt=search_result")</f>
        <v>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v>
      </c>
      <c r="L543" s="3" t="str">
        <f>IFERROR(__xludf.DUMMYFUNCTION("""COMPUTED_VALUE"""),"Untuk meleghkapi mata bor yang tidak ada (10pcs = 1 pck)")</f>
        <v>Untuk meleghkapi mata bor yang tidak ada (10pcs = 1 pck)</v>
      </c>
      <c r="M543" s="3" t="str">
        <f>IFERROR(__xludf.DUMMYFUNCTION("""COMPUTED_VALUE"""),"Approve")</f>
        <v>Approve</v>
      </c>
      <c r="N543" s="3" t="str">
        <f>IFERROR(__xludf.DUMMYFUNCTION("""COMPUTED_VALUE"""),"Normal")</f>
        <v>Normal</v>
      </c>
      <c r="O543" s="3" t="str">
        <f>IFERROR(__xludf.DUMMYFUNCTION("""COMPUTED_VALUE"""),"Non Urgent")</f>
        <v>Non Urgent</v>
      </c>
      <c r="P543" s="7">
        <f>IFERROR(__xludf.DUMMYFUNCTION("""COMPUTED_VALUE"""),46153.6960184375)</f>
        <v>46153.69602</v>
      </c>
    </row>
    <row r="544">
      <c r="A544" s="4">
        <f>IFERROR(__xludf.DUMMYFUNCTION("""COMPUTED_VALUE"""),46147.91604778935)</f>
        <v>46147.91605</v>
      </c>
      <c r="B544" s="3" t="str">
        <f>IFERROR(__xludf.DUMMYFUNCTION("""COMPUTED_VALUE"""),"BDUBR0017")</f>
        <v>BDUBR0017</v>
      </c>
      <c r="C544" s="3" t="str">
        <f>IFERROR(__xludf.DUMMYFUNCTION("""COMPUTED_VALUE"""),"MIn Stok")</f>
        <v>MIn Stok</v>
      </c>
      <c r="D544" s="3" t="str">
        <f>IFERROR(__xludf.DUMMYFUNCTION("""COMPUTED_VALUE"""),"-")</f>
        <v>-</v>
      </c>
      <c r="E544" s="3" t="str">
        <f>IFERROR(__xludf.DUMMYFUNCTION("""COMPUTED_VALUE"""),"General")</f>
        <v>General</v>
      </c>
      <c r="F544" s="3" t="str">
        <f>IFERROR(__xludf.DUMMYFUNCTION("""COMPUTED_VALUE"""),"Mata bor d5,5")</f>
        <v>Mata bor d5,5</v>
      </c>
      <c r="G544" s="3" t="str">
        <f>IFERROR(__xludf.DUMMYFUNCTION("""COMPUTED_VALUE"""),"HSS, 5,5 mm")</f>
        <v>HSS, 5,5 mm</v>
      </c>
      <c r="H544" s="3" t="str">
        <f>IFERROR(__xludf.DUMMYFUNCTION("""COMPUTED_VALUE"""),"NACHI")</f>
        <v>NACHI</v>
      </c>
      <c r="I544" s="3">
        <f>IFERROR(__xludf.DUMMYFUNCTION("""COMPUTED_VALUE"""),10.0)</f>
        <v>10</v>
      </c>
      <c r="J544" s="3" t="str">
        <f>IFERROR(__xludf.DUMMYFUNCTION("""COMPUTED_VALUE"""),"pcs")</f>
        <v>pcs</v>
      </c>
      <c r="K544" s="5" t="str">
        <f>IFERROR(__xludf.DUMMYFUNCTION("""COMPUTED_VALUE"""),"https://www.tokopedia.com/candicestoreofficial/mata-bor-nachi-2m-2-5m-3m-3-5m-4m-4-5m-5m-5-5m-harga-1-pcs-bukan-perbungkus-mata-bor-besi-hss-nachi-2-5-mm-a8f35?extParam=ivf%3Dfalse%26keyword%3Dmatabor+hss%26search_id%3D2026050514454594F6D7E04A4D4518DF68%2"&amp;"6src%3Dsearch&amp;t_id=1777992352126&amp;t_st=1&amp;t_pp=search_result&amp;t_efo=search_pure_goods_card&amp;t_ef=goods_search&amp;t_sm=&amp;t_spt=search_result")</f>
        <v>https://www.tokopedia.com/candicestoreofficial/mata-bor-nachi-2m-2-5m-3m-3-5m-4m-4-5m-5m-5-5m-harga-1-pcs-bukan-perbungkus-mata-bor-besi-hss-nachi-2-5-mm-a8f35?extParam=ivf%3Dfalse%26keyword%3Dmatabor+hss%26search_id%3D2026050514454594F6D7E04A4D4518DF68%26src%3Dsearch&amp;t_id=1777992352126&amp;t_st=1&amp;t_pp=search_result&amp;t_efo=search_pure_goods_card&amp;t_ef=goods_search&amp;t_sm=&amp;t_spt=search_result</v>
      </c>
      <c r="L544" s="3" t="str">
        <f>IFERROR(__xludf.DUMMYFUNCTION("""COMPUTED_VALUE"""),"Untuk meleghkapi mata bor yang tidak ada (10pcs = 1 pck)")</f>
        <v>Untuk meleghkapi mata bor yang tidak ada (10pcs = 1 pck)</v>
      </c>
      <c r="M544" s="3" t="str">
        <f>IFERROR(__xludf.DUMMYFUNCTION("""COMPUTED_VALUE"""),"Approve")</f>
        <v>Approve</v>
      </c>
      <c r="N544" s="3" t="str">
        <f>IFERROR(__xludf.DUMMYFUNCTION("""COMPUTED_VALUE"""),"Normal")</f>
        <v>Normal</v>
      </c>
      <c r="O544" s="3" t="str">
        <f>IFERROR(__xludf.DUMMYFUNCTION("""COMPUTED_VALUE"""),"Non Urgent")</f>
        <v>Non Urgent</v>
      </c>
      <c r="P544" s="7">
        <f>IFERROR(__xludf.DUMMYFUNCTION("""COMPUTED_VALUE"""),46153.69584818287)</f>
        <v>46153.69585</v>
      </c>
    </row>
    <row r="545">
      <c r="A545" s="4">
        <f>IFERROR(__xludf.DUMMYFUNCTION("""COMPUTED_VALUE"""),46149.550700590284)</f>
        <v>46149.5507</v>
      </c>
      <c r="B545" s="3" t="str">
        <f>IFERROR(__xludf.DUMMYFUNCTION("""COMPUTED_VALUE"""),"BDUBR0018")</f>
        <v>BDUBR0018</v>
      </c>
      <c r="C545" s="3" t="str">
        <f>IFERROR(__xludf.DUMMYFUNCTION("""COMPUTED_VALUE"""),"MIn Stok")</f>
        <v>MIn Stok</v>
      </c>
      <c r="D545" s="3" t="str">
        <f>IFERROR(__xludf.DUMMYFUNCTION("""COMPUTED_VALUE"""),"-")</f>
        <v>-</v>
      </c>
      <c r="E545" s="3" t="str">
        <f>IFERROR(__xludf.DUMMYFUNCTION("""COMPUTED_VALUE"""),"General ")</f>
        <v>General </v>
      </c>
      <c r="F545" s="3" t="str">
        <f>IFERROR(__xludf.DUMMYFUNCTION("""COMPUTED_VALUE"""),"botol spray alcohol ")</f>
        <v>botol spray alcohol </v>
      </c>
      <c r="G545" s="3" t="str">
        <f>IFERROR(__xludf.DUMMYFUNCTION("""COMPUTED_VALUE"""),"500ml")</f>
        <v>500ml</v>
      </c>
      <c r="H545" s="3" t="str">
        <f>IFERROR(__xludf.DUMMYFUNCTION("""COMPUTED_VALUE"""),"-")</f>
        <v>-</v>
      </c>
      <c r="I545" s="3">
        <f>IFERROR(__xludf.DUMMYFUNCTION("""COMPUTED_VALUE"""),5.0)</f>
        <v>5</v>
      </c>
      <c r="J545" s="3" t="str">
        <f>IFERROR(__xludf.DUMMYFUNCTION("""COMPUTED_VALUE"""),"pcs")</f>
        <v>pcs</v>
      </c>
      <c r="K545" s="5" t="str">
        <f>IFERROR(__xludf.DUMMYFUNCTION("""COMPUTED_VALUE"""),"https://id.shp.ee/89Wj6fm3")</f>
        <v>https://id.shp.ee/89Wj6fm3</v>
      </c>
      <c r="L545" s="3" t="str">
        <f>IFERROR(__xludf.DUMMYFUNCTION("""COMPUTED_VALUE"""),"untuk pembersihan mesin")</f>
        <v>untuk pembersihan mesin</v>
      </c>
      <c r="M545" s="3" t="str">
        <f>IFERROR(__xludf.DUMMYFUNCTION("""COMPUTED_VALUE"""),"Approve")</f>
        <v>Approve</v>
      </c>
      <c r="N545" s="3" t="str">
        <f>IFERROR(__xludf.DUMMYFUNCTION("""COMPUTED_VALUE"""),"Normal")</f>
        <v>Normal</v>
      </c>
      <c r="O545" s="3" t="str">
        <f>IFERROR(__xludf.DUMMYFUNCTION("""COMPUTED_VALUE"""),"Non Urgent")</f>
        <v>Non Urgent</v>
      </c>
      <c r="P545" s="7">
        <f>IFERROR(__xludf.DUMMYFUNCTION("""COMPUTED_VALUE"""),46153.69569466435)</f>
        <v>46153.69569</v>
      </c>
    </row>
    <row r="546">
      <c r="A546" s="4">
        <f>IFERROR(__xludf.DUMMYFUNCTION("""COMPUTED_VALUE"""),46150.00773329861)</f>
        <v>46150.00773</v>
      </c>
      <c r="B546" s="3" t="str">
        <f>IFERROR(__xludf.DUMMYFUNCTION("""COMPUTED_VALUE"""),"ROSBR0094")</f>
        <v>ROSBR0094</v>
      </c>
      <c r="C546" s="3" t="str">
        <f>IFERROR(__xludf.DUMMYFUNCTION("""COMPUTED_VALUE"""),"Critical Part")</f>
        <v>Critical Part</v>
      </c>
      <c r="D546" s="3" t="str">
        <f>IFERROR(__xludf.DUMMYFUNCTION("""COMPUTED_VALUE"""),"-")</f>
        <v>-</v>
      </c>
      <c r="E546" s="3" t="str">
        <f>IFERROR(__xludf.DUMMYFUNCTION("""COMPUTED_VALUE"""),"Autoclave Lab Micro")</f>
        <v>Autoclave Lab Micro</v>
      </c>
      <c r="F546" s="3" t="str">
        <f>IFERROR(__xludf.DUMMYFUNCTION("""COMPUTED_VALUE"""),"Level Probe Assembly for Generator")</f>
        <v>Level Probe Assembly for Generator</v>
      </c>
      <c r="G546" s="3" t="str">
        <f>IFERROR(__xludf.DUMMYFUNCTION("""COMPUTED_VALUE"""),"Level Probe Assembly for Generator")</f>
        <v>Level Probe Assembly for Generator</v>
      </c>
      <c r="H546" s="3" t="str">
        <f>IFERROR(__xludf.DUMMYFUNCTION("""COMPUTED_VALUE"""),"fedegari ")</f>
        <v>fedegari </v>
      </c>
      <c r="I546" s="3">
        <f>IFERROR(__xludf.DUMMYFUNCTION("""COMPUTED_VALUE"""),5.0)</f>
        <v>5</v>
      </c>
      <c r="J546" s="3" t="str">
        <f>IFERROR(__xludf.DUMMYFUNCTION("""COMPUTED_VALUE"""),"pcs")</f>
        <v>pcs</v>
      </c>
      <c r="K546" s="5" t="str">
        <f>IFERROR(__xludf.DUMMYFUNCTION("""COMPUTED_VALUE"""),"https://store.fedegari.com/product/level-probe-assembly-for-generator/01t0O00000EwcybQAB")</f>
        <v>https://store.fedegari.com/product/level-probe-assembly-for-generator/01t0O00000EwcybQAB</v>
      </c>
      <c r="L546" s="3" t="str">
        <f>IFERROR(__xludf.DUMMYFUNCTION("""COMPUTED_VALUE"""),"Buat pergantian di autoclave preparasi 2pcs, peremajaan di autoclave decontam 2pcs, 1pcs buat spare ")</f>
        <v>Buat pergantian di autoclave preparasi 2pcs, peremajaan di autoclave decontam 2pcs, 1pcs buat spare </v>
      </c>
      <c r="M546" s="3" t="str">
        <f>IFERROR(__xludf.DUMMYFUNCTION("""COMPUTED_VALUE"""),"Approve")</f>
        <v>Approve</v>
      </c>
      <c r="N546" s="3" t="str">
        <f>IFERROR(__xludf.DUMMYFUNCTION("""COMPUTED_VALUE"""),"Normal")</f>
        <v>Normal</v>
      </c>
      <c r="O546" s="3" t="str">
        <f>IFERROR(__xludf.DUMMYFUNCTION("""COMPUTED_VALUE"""),"Non Urgent")</f>
        <v>Non Urgent</v>
      </c>
      <c r="P546" s="7">
        <f>IFERROR(__xludf.DUMMYFUNCTION("""COMPUTED_VALUE"""),46204.66658590278)</f>
        <v>46204.66659</v>
      </c>
    </row>
    <row r="547">
      <c r="A547" s="4">
        <f>IFERROR(__xludf.DUMMYFUNCTION("""COMPUTED_VALUE"""),46150.923330335645)</f>
        <v>46150.92333</v>
      </c>
      <c r="B547" s="3" t="str">
        <f>IFERROR(__xludf.DUMMYFUNCTION("""COMPUTED_VALUE"""),"SFHBR0059")</f>
        <v>SFHBR0059</v>
      </c>
      <c r="C547" s="3" t="str">
        <f>IFERROR(__xludf.DUMMYFUNCTION("""COMPUTED_VALUE"""),"EJO")</f>
        <v>EJO</v>
      </c>
      <c r="D547" s="3" t="str">
        <f>IFERROR(__xludf.DUMMYFUNCTION("""COMPUTED_VALUE"""),"-")</f>
        <v>-</v>
      </c>
      <c r="E547" s="3" t="str">
        <f>IFERROR(__xludf.DUMMYFUNCTION("""COMPUTED_VALUE"""),"lantai 1")</f>
        <v>lantai 1</v>
      </c>
      <c r="F547" s="3" t="str">
        <f>IFERROR(__xludf.DUMMYFUNCTION("""COMPUTED_VALUE"""),"BOSCH GSH14 C Mesin Bobok Beton Jack Hammer Demolition Hammer 28 Joule GSH 14 C")</f>
        <v>BOSCH GSH14 C Mesin Bobok Beton Jack Hammer Demolition Hammer 28 Joule GSH 14 C</v>
      </c>
      <c r="G547" s="3" t="str">
        <f>IFERROR(__xludf.DUMMYFUNCTION("""COMPUTED_VALUE"""),"BOSCH GSH14 C Mesin Bobok Beton Jack Hammer Demolition Hammer 28 Joule GSH 14 C")</f>
        <v>BOSCH GSH14 C Mesin Bobok Beton Jack Hammer Demolition Hammer 28 Joule GSH 14 C</v>
      </c>
      <c r="H547" s="3" t="str">
        <f>IFERROR(__xludf.DUMMYFUNCTION("""COMPUTED_VALUE"""),"Bosch")</f>
        <v>Bosch</v>
      </c>
      <c r="I547" s="3">
        <f>IFERROR(__xludf.DUMMYFUNCTION("""COMPUTED_VALUE"""),1.0)</f>
        <v>1</v>
      </c>
      <c r="J547" s="3" t="str">
        <f>IFERROR(__xludf.DUMMYFUNCTION("""COMPUTED_VALUE"""),"buah")</f>
        <v>buah</v>
      </c>
      <c r="K547" s="5" t="str">
        <f>IFERROR(__xludf.DUMMYFUNCTION("""COMPUTED_VALUE"""),"https://tk.tokopedia.com/ZS9tVPjjt/")</f>
        <v>https://tk.tokopedia.com/ZS9tVPjjt/</v>
      </c>
      <c r="L547" s="3" t="str">
        <f>IFERROR(__xludf.DUMMYFUNCTION("""COMPUTED_VALUE"""),"buat bobok beton")</f>
        <v>buat bobok beton</v>
      </c>
      <c r="M547" s="3" t="str">
        <f>IFERROR(__xludf.DUMMYFUNCTION("""COMPUTED_VALUE"""),"Approve")</f>
        <v>Approve</v>
      </c>
      <c r="N547" s="3" t="str">
        <f>IFERROR(__xludf.DUMMYFUNCTION("""COMPUTED_VALUE"""),"Normal")</f>
        <v>Normal</v>
      </c>
      <c r="O547" s="3" t="str">
        <f>IFERROR(__xludf.DUMMYFUNCTION("""COMPUTED_VALUE"""),"Non Urgent")</f>
        <v>Non Urgent</v>
      </c>
      <c r="P547" s="7">
        <f>IFERROR(__xludf.DUMMYFUNCTION("""COMPUTED_VALUE"""),46153.6411116088)</f>
        <v>46153.64111</v>
      </c>
    </row>
    <row r="548">
      <c r="A548" s="4">
        <f>IFERROR(__xludf.DUMMYFUNCTION("""COMPUTED_VALUE"""),46150.930133229165)</f>
        <v>46150.93013</v>
      </c>
      <c r="B548" s="3" t="str">
        <f>IFERROR(__xludf.DUMMYFUNCTION("""COMPUTED_VALUE"""),"SFHBR0060")</f>
        <v>SFHBR0060</v>
      </c>
      <c r="C548" s="3" t="str">
        <f>IFERROR(__xludf.DUMMYFUNCTION("""COMPUTED_VALUE"""),"EJO")</f>
        <v>EJO</v>
      </c>
      <c r="D548" s="3" t="str">
        <f>IFERROR(__xludf.DUMMYFUNCTION("""COMPUTED_VALUE"""),"-")</f>
        <v>-</v>
      </c>
      <c r="E548" s="3" t="str">
        <f>IFERROR(__xludf.DUMMYFUNCTION("""COMPUTED_VALUE"""),"lantai 2")</f>
        <v>lantai 2</v>
      </c>
      <c r="F548" s="3" t="str">
        <f>IFERROR(__xludf.DUMMYFUNCTION("""COMPUTED_VALUE"""),"ALTAIR 4XR MSA, Gas Detector,Portable Multigas,Gas Meter, Pertamina,Pertambangan batu bara,Industri")</f>
        <v>ALTAIR 4XR MSA, Gas Detector,Portable Multigas,Gas Meter, Pertamina,Pertambangan batu bara,Industri</v>
      </c>
      <c r="G548" s="3" t="str">
        <f>IFERROR(__xludf.DUMMYFUNCTION("""COMPUTED_VALUE"""),"ALTAIR 4XR MSA, Gas Detector,Portable Multigas,Gas Meter, Pertamina,Pertambangan batu bara,Industri")</f>
        <v>ALTAIR 4XR MSA, Gas Detector,Portable Multigas,Gas Meter, Pertamina,Pertambangan batu bara,Industri</v>
      </c>
      <c r="H548" s="3" t="str">
        <f>IFERROR(__xludf.DUMMYFUNCTION("""COMPUTED_VALUE"""),"MSA")</f>
        <v>MSA</v>
      </c>
      <c r="I548" s="3">
        <f>IFERROR(__xludf.DUMMYFUNCTION("""COMPUTED_VALUE"""),1.0)</f>
        <v>1</v>
      </c>
      <c r="J548" s="3" t="str">
        <f>IFERROR(__xludf.DUMMYFUNCTION("""COMPUTED_VALUE"""),"buah")</f>
        <v>buah</v>
      </c>
      <c r="K548" s="5" t="str">
        <f>IFERROR(__xludf.DUMMYFUNCTION("""COMPUTED_VALUE"""),"https://tk.tokopedia.com/ZS9tVnK5V/")</f>
        <v>https://tk.tokopedia.com/ZS9tVnK5V/</v>
      </c>
      <c r="L548" s="3" t="str">
        <f>IFERROR(__xludf.DUMMYFUNCTION("""COMPUTED_VALUE"""),"buat cek gas area ruang terbatas")</f>
        <v>buat cek gas area ruang terbatas</v>
      </c>
      <c r="M548" s="3" t="str">
        <f>IFERROR(__xludf.DUMMYFUNCTION("""COMPUTED_VALUE"""),"Approve")</f>
        <v>Approve</v>
      </c>
      <c r="N548" s="3" t="str">
        <f>IFERROR(__xludf.DUMMYFUNCTION("""COMPUTED_VALUE"""),"Normal")</f>
        <v>Normal</v>
      </c>
      <c r="O548" s="3" t="str">
        <f>IFERROR(__xludf.DUMMYFUNCTION("""COMPUTED_VALUE"""),"Non Urgent")</f>
        <v>Non Urgent</v>
      </c>
      <c r="P548" s="7">
        <f>IFERROR(__xludf.DUMMYFUNCTION("""COMPUTED_VALUE"""),46153.6413746412)</f>
        <v>46153.64137</v>
      </c>
    </row>
    <row r="549">
      <c r="A549" s="4">
        <f>IFERROR(__xludf.DUMMYFUNCTION("""COMPUTED_VALUE"""),46150.94247815972)</f>
        <v>46150.94248</v>
      </c>
      <c r="B549" s="3" t="str">
        <f>IFERROR(__xludf.DUMMYFUNCTION("""COMPUTED_VALUE"""),"SFHBR0061")</f>
        <v>SFHBR0061</v>
      </c>
      <c r="C549" s="3" t="str">
        <f>IFERROR(__xludf.DUMMYFUNCTION("""COMPUTED_VALUE"""),"Consumable")</f>
        <v>Consumable</v>
      </c>
      <c r="D549" s="3" t="str">
        <f>IFERROR(__xludf.DUMMYFUNCTION("""COMPUTED_VALUE"""),"-")</f>
        <v>-</v>
      </c>
      <c r="E549" s="3" t="str">
        <f>IFERROR(__xludf.DUMMYFUNCTION("""COMPUTED_VALUE"""),"lantai 2")</f>
        <v>lantai 2</v>
      </c>
      <c r="F549" s="3" t="str">
        <f>IFERROR(__xludf.DUMMYFUNCTION("""COMPUTED_VALUE"""),"SEMEN 3 RODA 50 KG / SEMEN 3 RODA 1 DO (160 SAK)")</f>
        <v>SEMEN 3 RODA 50 KG / SEMEN 3 RODA 1 DO (160 SAK)</v>
      </c>
      <c r="G549" s="3" t="str">
        <f>IFERROR(__xludf.DUMMYFUNCTION("""COMPUTED_VALUE"""),"SEMEN 3 RODA 50 KG / SEMEN 3 RODA 1 DO (160 SAK)")</f>
        <v>SEMEN 3 RODA 50 KG / SEMEN 3 RODA 1 DO (160 SAK)</v>
      </c>
      <c r="H549" s="3" t="str">
        <f>IFERROR(__xludf.DUMMYFUNCTION("""COMPUTED_VALUE"""),"tiga roda")</f>
        <v>tiga roda</v>
      </c>
      <c r="I549" s="3">
        <f>IFERROR(__xludf.DUMMYFUNCTION("""COMPUTED_VALUE"""),200.0)</f>
        <v>200</v>
      </c>
      <c r="J549" s="3" t="str">
        <f>IFERROR(__xludf.DUMMYFUNCTION("""COMPUTED_VALUE"""),"kg")</f>
        <v>kg</v>
      </c>
      <c r="K549" s="5" t="str">
        <f>IFERROR(__xludf.DUMMYFUNCTION("""COMPUTED_VALUE"""),"https://tk.tokopedia.com/ZS9tbfdcp/")</f>
        <v>https://tk.tokopedia.com/ZS9tbfdcp/</v>
      </c>
      <c r="L549" s="3" t="str">
        <f>IFERROR(__xludf.DUMMYFUNCTION("""COMPUTED_VALUE"""),"Buat perbaikan  dinding kondensat")</f>
        <v>Buat perbaikan  dinding kondensat</v>
      </c>
      <c r="M549" s="3" t="str">
        <f>IFERROR(__xludf.DUMMYFUNCTION("""COMPUTED_VALUE"""),"Approve")</f>
        <v>Approve</v>
      </c>
      <c r="N549" s="3" t="str">
        <f>IFERROR(__xludf.DUMMYFUNCTION("""COMPUTED_VALUE"""),"Normal")</f>
        <v>Normal</v>
      </c>
      <c r="O549" s="3" t="str">
        <f>IFERROR(__xludf.DUMMYFUNCTION("""COMPUTED_VALUE"""),"Non Urgent")</f>
        <v>Non Urgent</v>
      </c>
      <c r="P549" s="7">
        <f>IFERROR(__xludf.DUMMYFUNCTION("""COMPUTED_VALUE"""),46153.64166145833)</f>
        <v>46153.64166</v>
      </c>
    </row>
    <row r="550">
      <c r="A550" s="4">
        <f>IFERROR(__xludf.DUMMYFUNCTION("""COMPUTED_VALUE"""),46150.966112222224)</f>
        <v>46150.96611</v>
      </c>
      <c r="B550" s="3" t="str">
        <f>IFERROR(__xludf.DUMMYFUNCTION("""COMPUTED_VALUE"""),"ROSBR0095")</f>
        <v>ROSBR0095</v>
      </c>
      <c r="C550" s="3" t="str">
        <f>IFERROR(__xludf.DUMMYFUNCTION("""COMPUTED_VALUE"""),"EJO")</f>
        <v>EJO</v>
      </c>
      <c r="D550" s="3" t="str">
        <f>IFERROR(__xludf.DUMMYFUNCTION("""COMPUTED_VALUE"""),"EJO/2026/05/046")</f>
        <v>EJO/2026/05/046</v>
      </c>
      <c r="E550" s="3" t="str">
        <f>IFERROR(__xludf.DUMMYFUNCTION("""COMPUTED_VALUE"""),"Lab Washer Miele")</f>
        <v>Lab Washer Miele</v>
      </c>
      <c r="F550" s="3" t="str">
        <f>IFERROR(__xludf.DUMMYFUNCTION("""COMPUTED_VALUE"""),"Filter Drain ")</f>
        <v>Filter Drain </v>
      </c>
      <c r="G550" s="3" t="str">
        <f>IFERROR(__xludf.DUMMYFUNCTION("""COMPUTED_VALUE"""),"Filter drain lab washer miele ")</f>
        <v>Filter drain lab washer miele </v>
      </c>
      <c r="H550" s="3" t="str">
        <f>IFERROR(__xludf.DUMMYFUNCTION("""COMPUTED_VALUE"""),"Miele")</f>
        <v>Miele</v>
      </c>
      <c r="I550" s="3">
        <f>IFERROR(__xludf.DUMMYFUNCTION("""COMPUTED_VALUE"""),1.0)</f>
        <v>1</v>
      </c>
      <c r="J550" s="3" t="str">
        <f>IFERROR(__xludf.DUMMYFUNCTION("""COMPUTED_VALUE"""),"pcs")</f>
        <v>pcs</v>
      </c>
      <c r="K550" s="5" t="str">
        <f>IFERROR(__xludf.DUMMYFUNCTION("""COMPUTED_VALUE"""),"https://drive.google.com/file/d/1ONkOawShG42cFsxr2cPLzVSzGJ1tF4vr/view?usp=drive_link")</f>
        <v>https://drive.google.com/file/d/1ONkOawShG42cFsxr2cPLzVSzGJ1tF4vr/view?usp=drive_link</v>
      </c>
      <c r="L550" s="3" t="str">
        <f>IFERROR(__xludf.DUMMYFUNCTION("""COMPUTED_VALUE"""),"buat pergantian filter drain yang sudah sobek ")</f>
        <v>buat pergantian filter drain yang sudah sobek </v>
      </c>
      <c r="M550" s="3" t="str">
        <f>IFERROR(__xludf.DUMMYFUNCTION("""COMPUTED_VALUE"""),"Approve")</f>
        <v>Approve</v>
      </c>
      <c r="N550" s="3" t="str">
        <f>IFERROR(__xludf.DUMMYFUNCTION("""COMPUTED_VALUE"""),"Normal")</f>
        <v>Normal</v>
      </c>
      <c r="O550" s="3" t="str">
        <f>IFERROR(__xludf.DUMMYFUNCTION("""COMPUTED_VALUE"""),"Non Urgent")</f>
        <v>Non Urgent</v>
      </c>
      <c r="P550" s="7">
        <f>IFERROR(__xludf.DUMMYFUNCTION("""COMPUTED_VALUE"""),46204.677282731485)</f>
        <v>46204.67728</v>
      </c>
    </row>
    <row r="551">
      <c r="A551" s="4">
        <f>IFERROR(__xludf.DUMMYFUNCTION("""COMPUTED_VALUE"""),46163.38684436342)</f>
        <v>46163.38684</v>
      </c>
      <c r="B551" s="3" t="str">
        <f>IFERROR(__xludf.DUMMYFUNCTION("""COMPUTED_VALUE"""),"ERABR0001")</f>
        <v>ERABR0001</v>
      </c>
      <c r="C551" s="3" t="str">
        <f>IFERROR(__xludf.DUMMYFUNCTION("""COMPUTED_VALUE"""),"EJO")</f>
        <v>EJO</v>
      </c>
      <c r="D551" s="3" t="str">
        <f>IFERROR(__xludf.DUMMYFUNCTION("""COMPUTED_VALUE"""),"EJO/2026/05/007")</f>
        <v>EJO/2026/05/007</v>
      </c>
      <c r="E551" s="3" t="str">
        <f>IFERROR(__xludf.DUMMYFUNCTION("""COMPUTED_VALUE"""),"Particle Size Distribution/Dry Lab")</f>
        <v>Particle Size Distribution/Dry Lab</v>
      </c>
      <c r="F551" s="3" t="str">
        <f>IFERROR(__xludf.DUMMYFUNCTION("""COMPUTED_VALUE"""),"Pneumatic push in fitting lurus Brand FESTO")</f>
        <v>Pneumatic push in fitting lurus Brand FESTO</v>
      </c>
      <c r="G551" s="3" t="str">
        <f>IFERROR(__xludf.DUMMYFUNCTION("""COMPUTED_VALUE"""),"Pneumatic push in 8mm x 1/2  QS-1/2-8")</f>
        <v>Pneumatic push in 8mm x 1/2  QS-1/2-8</v>
      </c>
      <c r="H551" s="3" t="str">
        <f>IFERROR(__xludf.DUMMYFUNCTION("""COMPUTED_VALUE"""),"FESTO")</f>
        <v>FESTO</v>
      </c>
      <c r="I551" s="3">
        <f>IFERROR(__xludf.DUMMYFUNCTION("""COMPUTED_VALUE"""),3.0)</f>
        <v>3</v>
      </c>
      <c r="J551" s="3" t="str">
        <f>IFERROR(__xludf.DUMMYFUNCTION("""COMPUTED_VALUE"""),"PCS")</f>
        <v>PCS</v>
      </c>
      <c r="K551" s="5" t="str">
        <f>IFERROR(__xludf.DUMMYFUNCTION("""COMPUTED_VALUE"""),"https://www.tokopedia.com/tokofitting/pneumatic-push-in-8mm-x-1-2-festo-qs-1-2-8?extParam=ivf%3Dfalse%26keyword%3Dqs+1%2F2+8%26search_id%3D2026052102331534ED066DF378EF25ADKN%26src%3Dsearch")</f>
        <v>https://www.tokopedia.com/tokofitting/pneumatic-push-in-8mm-x-1-2-festo-qs-1-2-8?extParam=ivf%3Dfalse%26keyword%3Dqs+1%2F2+8%26search_id%3D2026052102331534ED066DF378EF25ADKN%26src%3Dsearch</v>
      </c>
      <c r="L551" s="3" t="str">
        <f>IFERROR(__xludf.DUMMYFUNCTION("""COMPUTED_VALUE"""),"Untuk instrumen baru")</f>
        <v>Untuk instrumen baru</v>
      </c>
      <c r="M551" s="3" t="str">
        <f>IFERROR(__xludf.DUMMYFUNCTION("""COMPUTED_VALUE"""),"Approve")</f>
        <v>Approve</v>
      </c>
      <c r="N551" s="3" t="str">
        <f>IFERROR(__xludf.DUMMYFUNCTION("""COMPUTED_VALUE"""),"Normal")</f>
        <v>Normal</v>
      </c>
      <c r="O551" s="3" t="str">
        <f>IFERROR(__xludf.DUMMYFUNCTION("""COMPUTED_VALUE"""),"Non Urgent")</f>
        <v>Non Urgent</v>
      </c>
      <c r="P551" s="7">
        <f>IFERROR(__xludf.DUMMYFUNCTION("""COMPUTED_VALUE"""),46191.66696125)</f>
        <v>46191.66696</v>
      </c>
    </row>
    <row r="552">
      <c r="A552" s="4">
        <f>IFERROR(__xludf.DUMMYFUNCTION("""COMPUTED_VALUE"""),46168.00272101852)</f>
        <v>46168.00272</v>
      </c>
      <c r="B552" s="3" t="str">
        <f>IFERROR(__xludf.DUMMYFUNCTION("""COMPUTED_VALUE"""),"ROSBR0096")</f>
        <v>ROSBR0096</v>
      </c>
      <c r="C552" s="3" t="str">
        <f>IFERROR(__xludf.DUMMYFUNCTION("""COMPUTED_VALUE"""),"EJO")</f>
        <v>EJO</v>
      </c>
      <c r="D552" s="3" t="str">
        <f>IFERROR(__xludf.DUMMYFUNCTION("""COMPUTED_VALUE"""),"EJO/2026/05/047")</f>
        <v>EJO/2026/05/047</v>
      </c>
      <c r="E552" s="3" t="str">
        <f>IFERROR(__xludf.DUMMYFUNCTION("""COMPUTED_VALUE"""),"Isolator Skan ")</f>
        <v>Isolator Skan </v>
      </c>
      <c r="F552" s="3" t="str">
        <f>IFERROR(__xludf.DUMMYFUNCTION("""COMPUTED_VALUE"""),"Gas Spring Bansbach")</f>
        <v>Gas Spring Bansbach</v>
      </c>
      <c r="G552" s="3" t="str">
        <f>IFERROR(__xludf.DUMMYFUNCTION("""COMPUTED_VALUE"""),"Gas Spring Bansbach D0M0 83 250 760 002 745N")</f>
        <v>Gas Spring Bansbach D0M0 83 250 760 002 745N</v>
      </c>
      <c r="H552" s="3" t="str">
        <f>IFERROR(__xludf.DUMMYFUNCTION("""COMPUTED_VALUE"""),"Bansbach")</f>
        <v>Bansbach</v>
      </c>
      <c r="I552" s="3">
        <f>IFERROR(__xludf.DUMMYFUNCTION("""COMPUTED_VALUE"""),2.0)</f>
        <v>2</v>
      </c>
      <c r="J552" s="3" t="str">
        <f>IFERROR(__xludf.DUMMYFUNCTION("""COMPUTED_VALUE"""),"Pcs")</f>
        <v>Pcs</v>
      </c>
      <c r="K552" s="5" t="str">
        <f>IFERROR(__xludf.DUMMYFUNCTION("""COMPUTED_VALUE"""),"https://www.tokopedia.com/bansbachofficial/gas-spring-bansbach-d0m0-83-250-760-750n-1735758326594766499")</f>
        <v>https://www.tokopedia.com/bansbachofficial/gas-spring-bansbach-d0m0-83-250-760-750n-1735758326594766499</v>
      </c>
      <c r="L552" s="3" t="str">
        <f>IFERROR(__xludf.DUMMYFUNCTION("""COMPUTED_VALUE"""),"Tolong belikan Gas Spring buat , Sesuai deskripsi, penawaran dari vendor resmi bansbach Indonesia ")</f>
        <v>Tolong belikan Gas Spring buat , Sesuai deskripsi, penawaran dari vendor resmi bansbach Indonesia </v>
      </c>
      <c r="M552" s="3" t="str">
        <f>IFERROR(__xludf.DUMMYFUNCTION("""COMPUTED_VALUE"""),"Approve")</f>
        <v>Approve</v>
      </c>
      <c r="N552" s="3" t="str">
        <f>IFERROR(__xludf.DUMMYFUNCTION("""COMPUTED_VALUE"""),"Normal")</f>
        <v>Normal</v>
      </c>
      <c r="O552" s="3" t="str">
        <f>IFERROR(__xludf.DUMMYFUNCTION("""COMPUTED_VALUE"""),"Non Urgent")</f>
        <v>Non Urgent</v>
      </c>
      <c r="P552" s="7">
        <f>IFERROR(__xludf.DUMMYFUNCTION("""COMPUTED_VALUE"""),46254.84140527778)</f>
        <v>46254.84141</v>
      </c>
    </row>
    <row r="553">
      <c r="A553" s="4">
        <f>IFERROR(__xludf.DUMMYFUNCTION("""COMPUTED_VALUE"""),46168.44706547454)</f>
        <v>46168.44707</v>
      </c>
      <c r="B553" s="3" t="str">
        <f>IFERROR(__xludf.DUMMYFUNCTION("""COMPUTED_VALUE"""),"ERABR0002")</f>
        <v>ERABR0002</v>
      </c>
      <c r="C553" s="3" t="str">
        <f>IFERROR(__xludf.DUMMYFUNCTION("""COMPUTED_VALUE"""),"Consumable")</f>
        <v>Consumable</v>
      </c>
      <c r="D553" s="3" t="str">
        <f>IFERROR(__xludf.DUMMYFUNCTION("""COMPUTED_VALUE"""),"-")</f>
        <v>-</v>
      </c>
      <c r="E553" s="3" t="str">
        <f>IFERROR(__xludf.DUMMYFUNCTION("""COMPUTED_VALUE"""),"Isolator SKAN/Lab Micro")</f>
        <v>Isolator SKAN/Lab Micro</v>
      </c>
      <c r="F553" s="3" t="str">
        <f>IFERROR(__xludf.DUMMYFUNCTION("""COMPUTED_VALUE"""),"Oring G 300")</f>
        <v>Oring G 300</v>
      </c>
      <c r="G553" s="3" t="str">
        <f>IFERROR(__xludf.DUMMYFUNCTION("""COMPUTED_VALUE"""),"NBR 70 OD: 301.7 mm ID: 299.3 mm T: 5.7 mm ")</f>
        <v>NBR 70 OD: 301.7 mm ID: 299.3 mm T: 5.7 mm </v>
      </c>
      <c r="H553" s="3" t="str">
        <f>IFERROR(__xludf.DUMMYFUNCTION("""COMPUTED_VALUE"""),"NOK")</f>
        <v>NOK</v>
      </c>
      <c r="I553" s="3">
        <f>IFERROR(__xludf.DUMMYFUNCTION("""COMPUTED_VALUE"""),4.0)</f>
        <v>4</v>
      </c>
      <c r="J553" s="3" t="str">
        <f>IFERROR(__xludf.DUMMYFUNCTION("""COMPUTED_VALUE"""),"PCS")</f>
        <v>PCS</v>
      </c>
      <c r="K553" s="5" t="str">
        <f>IFERROR(__xludf.DUMMYFUNCTION("""COMPUTED_VALUE"""),"https://www.tokopedia.com/oringjaya/o-ring-g-300-5-7-x-299-3-x-310-7-mm-nbr-shore-70-merk-nok-1735361336094459163?extParam=ivf%3Dfalse%26keyword%3Do+ring+diameter+30cm%26search_id%3D20260526025648320722549D1751085FKN%26src%3Dsearch&amp;t_id=1779764347613&amp;t_st"&amp;"=1&amp;t_pp=search_result&amp;t_efo=search_pure_goods_card&amp;t_ef=goods_search&amp;t_sm=&amp;t_spt=search_result")</f>
        <v>https://www.tokopedia.com/oringjaya/o-ring-g-300-5-7-x-299-3-x-310-7-mm-nbr-shore-70-merk-nok-1735361336094459163?extParam=ivf%3Dfalse%26keyword%3Do+ring+diameter+30cm%26search_id%3D20260526025648320722549D1751085FKN%26src%3Dsearch&amp;t_id=1779764347613&amp;t_st=1&amp;t_pp=search_result&amp;t_efo=search_pure_goods_card&amp;t_ef=goods_search&amp;t_sm=&amp;t_spt=search_result</v>
      </c>
      <c r="L553" s="3" t="str">
        <f>IFERROR(__xludf.DUMMYFUNCTION("""COMPUTED_VALUE"""),"Untuk Spare Part")</f>
        <v>Untuk Spare Part</v>
      </c>
      <c r="M553" s="3" t="str">
        <f>IFERROR(__xludf.DUMMYFUNCTION("""COMPUTED_VALUE"""),"Approve")</f>
        <v>Approve</v>
      </c>
      <c r="N553" s="3" t="str">
        <f>IFERROR(__xludf.DUMMYFUNCTION("""COMPUTED_VALUE"""),"Normal")</f>
        <v>Normal</v>
      </c>
      <c r="O553" s="3" t="str">
        <f>IFERROR(__xludf.DUMMYFUNCTION("""COMPUTED_VALUE"""),"Non Urgent")</f>
        <v>Non Urgent</v>
      </c>
      <c r="P553" s="7">
        <f>IFERROR(__xludf.DUMMYFUNCTION("""COMPUTED_VALUE"""),46191.66927640046)</f>
        <v>46191.66928</v>
      </c>
    </row>
    <row r="554">
      <c r="A554" s="4">
        <f>IFERROR(__xludf.DUMMYFUNCTION("""COMPUTED_VALUE"""),46170.640493252315)</f>
        <v>46170.64049</v>
      </c>
      <c r="B554" s="3" t="str">
        <f>IFERROR(__xludf.DUMMYFUNCTION("""COMPUTED_VALUE"""),"MRNBR0107")</f>
        <v>MRNBR0107</v>
      </c>
      <c r="C554" s="3" t="str">
        <f>IFERROR(__xludf.DUMMYFUNCTION("""COMPUTED_VALUE"""),"EJO")</f>
        <v>EJO</v>
      </c>
      <c r="D554" s="3" t="str">
        <f>IFERROR(__xludf.DUMMYFUNCTION("""COMPUTED_VALUE"""),"EJO/2026/04/125")</f>
        <v>EJO/2026/04/125</v>
      </c>
      <c r="E554" s="3" t="str">
        <f>IFERROR(__xludf.DUMMYFUNCTION("""COMPUTED_VALUE"""),"WIP 25")</f>
        <v>WIP 25</v>
      </c>
      <c r="F554" s="3" t="str">
        <f>IFERROR(__xludf.DUMMYFUNCTION("""COMPUTED_VALUE"""),"slot pintu")</f>
        <v>slot pintu</v>
      </c>
      <c r="G554" s="3" t="str">
        <f>IFERROR(__xludf.DUMMYFUNCTION("""COMPUTED_VALUE"""),"Flush bolt Griff 1625 + Stang")</f>
        <v>Flush bolt Griff 1625 + Stang</v>
      </c>
      <c r="H554" s="3" t="str">
        <f>IFERROR(__xludf.DUMMYFUNCTION("""COMPUTED_VALUE"""),"griff")</f>
        <v>griff</v>
      </c>
      <c r="I554" s="3">
        <f>IFERROR(__xludf.DUMMYFUNCTION("""COMPUTED_VALUE"""),10.0)</f>
        <v>10</v>
      </c>
      <c r="J554" s="3" t="str">
        <f>IFERROR(__xludf.DUMMYFUNCTION("""COMPUTED_VALUE"""),"unit")</f>
        <v>unit</v>
      </c>
      <c r="K554" s="5" t="str">
        <f>IFERROR(__xludf.DUMMYFUNCTION("""COMPUTED_VALUE"""),"https://drive.google.com/file/d/1brIX0ArNhYAOJeEHqdfR2-328M_jU1Vh/view?usp=drive_link")</f>
        <v>https://drive.google.com/file/d/1brIX0ArNhYAOJeEHqdfR2-328M_jU1Vh/view?usp=drive_link</v>
      </c>
      <c r="L554" s="3" t="str">
        <f>IFERROR(__xludf.DUMMYFUNCTION("""COMPUTED_VALUE"""),"untuk pintu besi double")</f>
        <v>untuk pintu besi double</v>
      </c>
      <c r="M554" s="3" t="str">
        <f>IFERROR(__xludf.DUMMYFUNCTION("""COMPUTED_VALUE"""),"Approve")</f>
        <v>Approve</v>
      </c>
      <c r="N554" s="3" t="str">
        <f>IFERROR(__xludf.DUMMYFUNCTION("""COMPUTED_VALUE"""),"Normal")</f>
        <v>Normal</v>
      </c>
      <c r="O554" s="3" t="str">
        <f>IFERROR(__xludf.DUMMYFUNCTION("""COMPUTED_VALUE"""),"Non Urgent")</f>
        <v>Non Urgent</v>
      </c>
      <c r="P554" s="7">
        <f>IFERROR(__xludf.DUMMYFUNCTION("""COMPUTED_VALUE"""),46198.72860307871)</f>
        <v>46198.7286</v>
      </c>
    </row>
    <row r="555">
      <c r="A555" s="4">
        <f>IFERROR(__xludf.DUMMYFUNCTION("""COMPUTED_VALUE"""),46177.54958222222)</f>
        <v>46177.54958</v>
      </c>
      <c r="B555" s="3" t="str">
        <f>IFERROR(__xludf.DUMMYFUNCTION("""COMPUTED_VALUE"""),"WAPBR0003")</f>
        <v>WAPBR0003</v>
      </c>
      <c r="C555" s="3" t="str">
        <f>IFERROR(__xludf.DUMMYFUNCTION("""COMPUTED_VALUE"""),"Consumable")</f>
        <v>Consumable</v>
      </c>
      <c r="D555" s="3" t="str">
        <f>IFERROR(__xludf.DUMMYFUNCTION("""COMPUTED_VALUE"""),"-")</f>
        <v>-</v>
      </c>
      <c r="E555" s="3" t="str">
        <f>IFERROR(__xludf.DUMMYFUNCTION("""COMPUTED_VALUE"""),"Workshop")</f>
        <v>Workshop</v>
      </c>
      <c r="F555" s="3" t="str">
        <f>IFERROR(__xludf.DUMMYFUNCTION("""COMPUTED_VALUE"""),"mata gergaji besi")</f>
        <v>mata gergaji besi</v>
      </c>
      <c r="G555" s="3" t="str">
        <f>IFERROR(__xludf.DUMMYFUNCTION("""COMPUTED_VALUE"""),"Hacksaw blade ")</f>
        <v>Hacksaw blade </v>
      </c>
      <c r="H555" s="3" t="str">
        <f>IFERROR(__xludf.DUMMYFUNCTION("""COMPUTED_VALUE"""),"tekiro")</f>
        <v>tekiro</v>
      </c>
      <c r="I555" s="3">
        <f>IFERROR(__xludf.DUMMYFUNCTION("""COMPUTED_VALUE"""),5.0)</f>
        <v>5</v>
      </c>
      <c r="J555" s="3" t="str">
        <f>IFERROR(__xludf.DUMMYFUNCTION("""COMPUTED_VALUE"""),"Pcs")</f>
        <v>Pcs</v>
      </c>
      <c r="K555" s="3" t="str">
        <f>IFERROR(__xludf.DUMMYFUNCTION("""COMPUTED_VALUE"""),"Jual Tekiro Mata Gergaji Besi 18 TPI / Tekiro Hacksaw Blade - Green - Kota Administrasi Jakarta Utara - Fixcomart | Tokopedia")</f>
        <v>Jual Tekiro Mata Gergaji Besi 18 TPI / Tekiro Hacksaw Blade - Green - Kota Administrasi Jakarta Utara - Fixcomart | Tokopedia</v>
      </c>
      <c r="L555" s="3" t="str">
        <f>IFERROR(__xludf.DUMMYFUNCTION("""COMPUTED_VALUE"""),"-")</f>
        <v>-</v>
      </c>
      <c r="M555" s="3" t="str">
        <f>IFERROR(__xludf.DUMMYFUNCTION("""COMPUTED_VALUE"""),"Approve")</f>
        <v>Approve</v>
      </c>
      <c r="N555" s="3" t="str">
        <f>IFERROR(__xludf.DUMMYFUNCTION("""COMPUTED_VALUE"""),"Normal")</f>
        <v>Normal</v>
      </c>
      <c r="O555" s="3" t="str">
        <f>IFERROR(__xludf.DUMMYFUNCTION("""COMPUTED_VALUE"""),"Non Urgent")</f>
        <v>Non Urgent</v>
      </c>
      <c r="P555" s="7">
        <f>IFERROR(__xludf.DUMMYFUNCTION("""COMPUTED_VALUE"""),46251.5864278588)</f>
        <v>46251.58643</v>
      </c>
    </row>
    <row r="556">
      <c r="A556" s="4">
        <f>IFERROR(__xludf.DUMMYFUNCTION("""COMPUTED_VALUE"""),46181.14899461805)</f>
        <v>46181.14899</v>
      </c>
      <c r="B556" s="3" t="str">
        <f>IFERROR(__xludf.DUMMYFUNCTION("""COMPUTED_VALUE"""),"RIABR0167")</f>
        <v>RIABR0167</v>
      </c>
      <c r="C556" s="3" t="str">
        <f>IFERROR(__xludf.DUMMYFUNCTION("""COMPUTED_VALUE"""),"EJO")</f>
        <v>EJO</v>
      </c>
      <c r="D556" s="3" t="str">
        <f>IFERROR(__xludf.DUMMYFUNCTION("""COMPUTED_VALUE"""),"-")</f>
        <v>-</v>
      </c>
      <c r="E556" s="3" t="str">
        <f>IFERROR(__xludf.DUMMYFUNCTION("""COMPUTED_VALUE"""),"All Area")</f>
        <v>All Area</v>
      </c>
      <c r="F556" s="3" t="str">
        <f>IFERROR(__xludf.DUMMYFUNCTION("""COMPUTED_VALUE"""),"Tongkat")</f>
        <v>Tongkat</v>
      </c>
      <c r="G556" s="3" t="str">
        <f>IFERROR(__xludf.DUMMYFUNCTION("""COMPUTED_VALUE"""),"Tongkat Buat Ganti Lampu Bohlamp Biar Cepat Tanpa Tangga")</f>
        <v>Tongkat Buat Ganti Lampu Bohlamp Biar Cepat Tanpa Tangga</v>
      </c>
      <c r="H556" s="3" t="str">
        <f>IFERROR(__xludf.DUMMYFUNCTION("""COMPUTED_VALUE"""),"Lokal")</f>
        <v>Lokal</v>
      </c>
      <c r="I556" s="3">
        <f>IFERROR(__xludf.DUMMYFUNCTION("""COMPUTED_VALUE"""),1.0)</f>
        <v>1</v>
      </c>
      <c r="J556" s="3" t="str">
        <f>IFERROR(__xludf.DUMMYFUNCTION("""COMPUTED_VALUE"""),"Pcs")</f>
        <v>Pcs</v>
      </c>
      <c r="K556" s="5" t="str">
        <f>IFERROR(__xludf.DUMMYFUNCTION("""COMPUTED_VALUE"""),"https://www.tokopedia.com/louloustore/tongkat-pengganti-lampu-panjang-2-meter-downlight-downlights-2-m-2m-lampu-bohlam-led-pijar-stick-1731620172457018942?extParam=ivf%3Dfalse%26keyword%3Dganti+lampu%26search_id%3D202606072033439DE6D14FFF98062F4U1L%26src%"&amp;"3Dsearch&amp;t_id=1780864432590&amp;t_st=1&amp;t_pp=search_result&amp;t_efo=search_pure_goods_card&amp;t_ef=goods_search&amp;t_sm=&amp;t_spt=search_result")</f>
        <v>https://www.tokopedia.com/louloustore/tongkat-pengganti-lampu-panjang-2-meter-downlight-downlights-2-m-2m-lampu-bohlam-led-pijar-stick-1731620172457018942?extParam=ivf%3Dfalse%26keyword%3Dganti+lampu%26search_id%3D202606072033439DE6D14FFF98062F4U1L%26src%3Dsearch&amp;t_id=1780864432590&amp;t_st=1&amp;t_pp=search_result&amp;t_efo=search_pure_goods_card&amp;t_ef=goods_search&amp;t_sm=&amp;t_spt=search_result</v>
      </c>
      <c r="L556" s="3" t="str">
        <f>IFERROR(__xludf.DUMMYFUNCTION("""COMPUTED_VALUE"""),"Menghemat waktu dan tenaga karena hanya bawa tongkat buat ganti lampu lebih cepat")</f>
        <v>Menghemat waktu dan tenaga karena hanya bawa tongkat buat ganti lampu lebih cepat</v>
      </c>
      <c r="M556" s="3" t="str">
        <f>IFERROR(__xludf.DUMMYFUNCTION("""COMPUTED_VALUE"""),"Approve")</f>
        <v>Approve</v>
      </c>
      <c r="N556" s="3" t="str">
        <f>IFERROR(__xludf.DUMMYFUNCTION("""COMPUTED_VALUE"""),"Normal")</f>
        <v>Normal</v>
      </c>
      <c r="O556" s="3" t="str">
        <f>IFERROR(__xludf.DUMMYFUNCTION("""COMPUTED_VALUE"""),"Non Urgent")</f>
        <v>Non Urgent</v>
      </c>
      <c r="P556" s="7">
        <f>IFERROR(__xludf.DUMMYFUNCTION("""COMPUTED_VALUE"""),46202.897905185186)</f>
        <v>46202.89791</v>
      </c>
    </row>
    <row r="557">
      <c r="A557" s="4">
        <f>IFERROR(__xludf.DUMMYFUNCTION("""COMPUTED_VALUE"""),46182.42816619213)</f>
        <v>46182.42817</v>
      </c>
      <c r="B557" s="3" t="str">
        <f>IFERROR(__xludf.DUMMYFUNCTION("""COMPUTED_VALUE"""),"SFHBR0062")</f>
        <v>SFHBR0062</v>
      </c>
      <c r="C557" s="3" t="str">
        <f>IFERROR(__xludf.DUMMYFUNCTION("""COMPUTED_VALUE"""),"Consumable")</f>
        <v>Consumable</v>
      </c>
      <c r="D557" s="3" t="str">
        <f>IFERROR(__xludf.DUMMYFUNCTION("""COMPUTED_VALUE"""),"-")</f>
        <v>-</v>
      </c>
      <c r="E557" s="3" t="str">
        <f>IFERROR(__xludf.DUMMYFUNCTION("""COMPUTED_VALUE"""),"lantai 1")</f>
        <v>lantai 1</v>
      </c>
      <c r="F557" s="3" t="str">
        <f>IFERROR(__xludf.DUMMYFUNCTION("""COMPUTED_VALUE"""),"DOP PIPA TUTUP DALAM - 1inc1/4"" INCHI TUTUP PIPA ORNAMEN STAINLESS STAINLESS 201")</f>
        <v>DOP PIPA TUTUP DALAM - 1inc1/4" INCHI TUTUP PIPA ORNAMEN STAINLESS STAINLESS 201</v>
      </c>
      <c r="G557" s="3" t="str">
        <f>IFERROR(__xludf.DUMMYFUNCTION("""COMPUTED_VALUE"""),"DOP PIPA TUTUP DALAM - 1inchi 1/4 INCHI TUTUP PIPA ORNAMEN STAINLESS STAINLESS 201")</f>
        <v>DOP PIPA TUTUP DALAM - 1inchi 1/4 INCHI TUTUP PIPA ORNAMEN STAINLESS STAINLESS 201</v>
      </c>
      <c r="H557" s="3" t="str">
        <f>IFERROR(__xludf.DUMMYFUNCTION("""COMPUTED_VALUE"""),"ornamen stanlis")</f>
        <v>ornamen stanlis</v>
      </c>
      <c r="I557" s="3">
        <f>IFERROR(__xludf.DUMMYFUNCTION("""COMPUTED_VALUE"""),30.0)</f>
        <v>30</v>
      </c>
      <c r="J557" s="3" t="str">
        <f>IFERROR(__xludf.DUMMYFUNCTION("""COMPUTED_VALUE"""),"pcs")</f>
        <v>pcs</v>
      </c>
      <c r="K557" s="5" t="str">
        <f>IFERROR(__xludf.DUMMYFUNCTION("""COMPUTED_VALUE"""),"https://shopee.co.id/DOP-PIPA-TUTUP-DALAM-1-2-3-INCHI-TUTUP-PIPA-ORNAMEN-STAINLESS-STAINLESS-201-i.329038744.9434764723?extraParams=%7B%22display_model_id%22%3A410425438611%2C%22model_selection_logic%22%3A2%7D&amp;sp_atk=82f9a3da-bd49-41b4-98d6-646ef63139b4&amp;x"&amp;"ptdk=82f9a3da-bd49-41b4-98d6-646ef63139b4")</f>
        <v>https://shopee.co.id/DOP-PIPA-TUTUP-DALAM-1-2-3-INCHI-TUTUP-PIPA-ORNAMEN-STAINLESS-STAINLESS-201-i.329038744.9434764723?extraParams=%7B%22display_model_id%22%3A410425438611%2C%22model_selection_logic%22%3A2%7D&amp;sp_atk=82f9a3da-bd49-41b4-98d6-646ef63139b4&amp;xptdk=82f9a3da-bd49-41b4-98d6-646ef63139b4</v>
      </c>
      <c r="L557" s="3" t="str">
        <f>IFERROR(__xludf.DUMMYFUNCTION("""COMPUTED_VALUE"""),"buat tutup demper ahu osd")</f>
        <v>buat tutup demper ahu osd</v>
      </c>
      <c r="M557" s="3" t="str">
        <f>IFERROR(__xludf.DUMMYFUNCTION("""COMPUTED_VALUE"""),"Approve")</f>
        <v>Approve</v>
      </c>
      <c r="N557" s="3" t="str">
        <f>IFERROR(__xludf.DUMMYFUNCTION("""COMPUTED_VALUE"""),"Normal")</f>
        <v>Normal</v>
      </c>
      <c r="O557" s="3" t="str">
        <f>IFERROR(__xludf.DUMMYFUNCTION("""COMPUTED_VALUE"""),"Non Urgent")</f>
        <v>Non Urgent</v>
      </c>
      <c r="P557" s="7">
        <f>IFERROR(__xludf.DUMMYFUNCTION("""COMPUTED_VALUE"""),46198.718567118056)</f>
        <v>46198.71857</v>
      </c>
    </row>
    <row r="558">
      <c r="A558" s="4">
        <f>IFERROR(__xludf.DUMMYFUNCTION("""COMPUTED_VALUE"""),46182.49350109954)</f>
        <v>46182.4935</v>
      </c>
      <c r="B558" s="3" t="str">
        <f>IFERROR(__xludf.DUMMYFUNCTION("""COMPUTED_VALUE"""),"ERABR0003")</f>
        <v>ERABR0003</v>
      </c>
      <c r="C558" s="3" t="str">
        <f>IFERROR(__xludf.DUMMYFUNCTION("""COMPUTED_VALUE"""),"EJO")</f>
        <v>EJO</v>
      </c>
      <c r="D558" s="3" t="str">
        <f>IFERROR(__xludf.DUMMYFUNCTION("""COMPUTED_VALUE"""),"EJO/2026/05/0065")</f>
        <v>EJO/2026/05/0065</v>
      </c>
      <c r="E558" s="3" t="str">
        <f>IFERROR(__xludf.DUMMYFUNCTION("""COMPUTED_VALUE"""),"Leaflet machine / Cartoning")</f>
        <v>Leaflet machine / Cartoning</v>
      </c>
      <c r="F558" s="3" t="str">
        <f>IFERROR(__xludf.DUMMYFUNCTION("""COMPUTED_VALUE"""),"Snapring  E4")</f>
        <v>Snapring  E4</v>
      </c>
      <c r="G558" s="3" t="str">
        <f>IFERROR(__xludf.DUMMYFUNCTION("""COMPUTED_VALUE"""),"Type E, OD: 9.2 mm ID: 4 mm T: 0.8 mm")</f>
        <v>Type E, OD: 9.2 mm ID: 4 mm T: 0.8 mm</v>
      </c>
      <c r="H558" s="3" t="str">
        <f>IFERROR(__xludf.DUMMYFUNCTION("""COMPUTED_VALUE"""),"Steel")</f>
        <v>Steel</v>
      </c>
      <c r="I558" s="3">
        <f>IFERROR(__xludf.DUMMYFUNCTION("""COMPUTED_VALUE"""),100.0)</f>
        <v>100</v>
      </c>
      <c r="J558" s="3" t="str">
        <f>IFERROR(__xludf.DUMMYFUNCTION("""COMPUTED_VALUE"""),"PCS")</f>
        <v>PCS</v>
      </c>
      <c r="K558" s="5" t="str">
        <f>IFERROR(__xludf.DUMMYFUNCTION("""COMPUTED_VALUE"""),"https://www.tokopedia.com/sinarlautmandiri/snapring-type-e-snap-ring-type-e-4?extParam=ivf%3Dfalse%26keyword%3Dsnap+ring+e4%26search_id%3D20260609031813D296C101DAA88A2625LY%26src%3Dsearch&amp;t_id=1780975123765&amp;t_st=5&amp;t_pp=search_result&amp;t_efo=search_pure_good"&amp;"s_card&amp;t_ef=goods_search&amp;t_sm=&amp;t_spt=search_result")</f>
        <v>https://www.tokopedia.com/sinarlautmandiri/snapring-type-e-snap-ring-type-e-4?extParam=ivf%3Dfalse%26keyword%3Dsnap+ring+e4%26search_id%3D20260609031813D296C101DAA88A2625LY%26src%3Dsearch&amp;t_id=1780975123765&amp;t_st=5&amp;t_pp=search_result&amp;t_efo=search_pure_goods_card&amp;t_ef=goods_search&amp;t_sm=&amp;t_spt=search_result</v>
      </c>
      <c r="L558" s="3" t="str">
        <f>IFERROR(__xludf.DUMMYFUNCTION("""COMPUTED_VALUE"""),"Untuk stock spare part dipakai untuk roller di leaflet cartoning")</f>
        <v>Untuk stock spare part dipakai untuk roller di leaflet cartoning</v>
      </c>
      <c r="M558" s="3" t="str">
        <f>IFERROR(__xludf.DUMMYFUNCTION("""COMPUTED_VALUE"""),"Approve")</f>
        <v>Approve</v>
      </c>
      <c r="N558" s="3" t="str">
        <f>IFERROR(__xludf.DUMMYFUNCTION("""COMPUTED_VALUE"""),"Normal")</f>
        <v>Normal</v>
      </c>
      <c r="O558" s="3" t="str">
        <f>IFERROR(__xludf.DUMMYFUNCTION("""COMPUTED_VALUE"""),"Non Urgent")</f>
        <v>Non Urgent</v>
      </c>
      <c r="P558" s="7">
        <f>IFERROR(__xludf.DUMMYFUNCTION("""COMPUTED_VALUE"""),46193.36541165509)</f>
        <v>46193.36541</v>
      </c>
    </row>
    <row r="559">
      <c r="A559" s="4">
        <f>IFERROR(__xludf.DUMMYFUNCTION("""COMPUTED_VALUE"""),46182.69083681713)</f>
        <v>46182.69084</v>
      </c>
      <c r="B559" s="3" t="str">
        <f>IFERROR(__xludf.DUMMYFUNCTION("""COMPUTED_VALUE"""),"MOBBR0056")</f>
        <v>MOBBR0056</v>
      </c>
      <c r="C559" s="3" t="str">
        <f>IFERROR(__xludf.DUMMYFUNCTION("""COMPUTED_VALUE"""),"EJO")</f>
        <v>EJO</v>
      </c>
      <c r="D559" s="3" t="str">
        <f>IFERROR(__xludf.DUMMYFUNCTION("""COMPUTED_VALUE"""),"EJO/2026/06/046")</f>
        <v>EJO/2026/06/046</v>
      </c>
      <c r="E559" s="3" t="str">
        <f>IFERROR(__xludf.DUMMYFUNCTION("""COMPUTED_VALUE"""),"FMS C1-1")</f>
        <v>FMS C1-1</v>
      </c>
      <c r="F559" s="3" t="str">
        <f>IFERROR(__xludf.DUMMYFUNCTION("""COMPUTED_VALUE"""),"Fuse Holder")</f>
        <v>Fuse Holder</v>
      </c>
      <c r="G559" s="3" t="str">
        <f>IFERROR(__xludf.DUMMYFUNCTION("""COMPUTED_VALUE"""),"FS-10 Fort")</f>
        <v>FS-10 Fort</v>
      </c>
      <c r="H559" s="3" t="str">
        <f>IFERROR(__xludf.DUMMYFUNCTION("""COMPUTED_VALUE"""),"Fort")</f>
        <v>Fort</v>
      </c>
      <c r="I559" s="3">
        <f>IFERROR(__xludf.DUMMYFUNCTION("""COMPUTED_VALUE"""),20.0)</f>
        <v>20</v>
      </c>
      <c r="J559" s="3" t="str">
        <f>IFERROR(__xludf.DUMMYFUNCTION("""COMPUTED_VALUE"""),"Pcs")</f>
        <v>Pcs</v>
      </c>
      <c r="K559" s="5" t="str">
        <f>IFERROR(__xludf.DUMMYFUNCTION("""COMPUTED_VALUE"""),"https://fortindo.id/product/fuse-kubur-fs-101-1-pole-10-ampere-merk-fort/")</f>
        <v>https://fortindo.id/product/fuse-kubur-fs-101-1-pole-10-ampere-merk-fort/</v>
      </c>
      <c r="L559" s="3" t="str">
        <f>IFERROR(__xludf.DUMMYFUNCTION("""COMPUTED_VALUE"""),"Penggantian FMS sensor")</f>
        <v>Penggantian FMS sensor</v>
      </c>
      <c r="M559" s="3" t="str">
        <f>IFERROR(__xludf.DUMMYFUNCTION("""COMPUTED_VALUE"""),"Approve")</f>
        <v>Approve</v>
      </c>
      <c r="N559" s="3" t="str">
        <f>IFERROR(__xludf.DUMMYFUNCTION("""COMPUTED_VALUE"""),"Normal")</f>
        <v>Normal</v>
      </c>
      <c r="O559" s="3" t="str">
        <f>IFERROR(__xludf.DUMMYFUNCTION("""COMPUTED_VALUE"""),"Non Urgent")</f>
        <v>Non Urgent</v>
      </c>
      <c r="P559" s="7">
        <f>IFERROR(__xludf.DUMMYFUNCTION("""COMPUTED_VALUE"""),46198.733501863426)</f>
        <v>46198.7335</v>
      </c>
    </row>
    <row r="560">
      <c r="A560" s="4">
        <f>IFERROR(__xludf.DUMMYFUNCTION("""COMPUTED_VALUE"""),46182.69355427083)</f>
        <v>46182.69355</v>
      </c>
      <c r="B560" s="3" t="str">
        <f>IFERROR(__xludf.DUMMYFUNCTION("""COMPUTED_VALUE"""),"ROSBR0097")</f>
        <v>ROSBR0097</v>
      </c>
      <c r="C560" s="3" t="str">
        <f>IFERROR(__xludf.DUMMYFUNCTION("""COMPUTED_VALUE"""),"Consumable")</f>
        <v>Consumable</v>
      </c>
      <c r="D560" s="3" t="str">
        <f>IFERROR(__xludf.DUMMYFUNCTION("""COMPUTED_VALUE"""),"-")</f>
        <v>-</v>
      </c>
      <c r="E560" s="3" t="str">
        <f>IFERROR(__xludf.DUMMYFUNCTION("""COMPUTED_VALUE"""),"Recorder Tunnel")</f>
        <v>Recorder Tunnel</v>
      </c>
      <c r="F560" s="3" t="str">
        <f>IFERROR(__xludf.DUMMYFUNCTION("""COMPUTED_VALUE"""),"Baterai Lithium ")</f>
        <v>Baterai Lithium </v>
      </c>
      <c r="G560" s="3" t="str">
        <f>IFERROR(__xludf.DUMMYFUNCTION("""COMPUTED_VALUE"""),"Panasonic BR.2032
Voltage - 3 volt
Dimensi - diameter 20mm dan tebal 3,2mm")</f>
        <v>Panasonic BR.2032
Voltage - 3 volt
Dimensi - diameter 20mm dan tebal 3,2mm</v>
      </c>
      <c r="H560" s="3" t="str">
        <f>IFERROR(__xludf.DUMMYFUNCTION("""COMPUTED_VALUE"""),"Panasonic")</f>
        <v>Panasonic</v>
      </c>
      <c r="I560" s="3">
        <f>IFERROR(__xludf.DUMMYFUNCTION("""COMPUTED_VALUE"""),5.0)</f>
        <v>5</v>
      </c>
      <c r="J560" s="3" t="str">
        <f>IFERROR(__xludf.DUMMYFUNCTION("""COMPUTED_VALUE"""),"Pcs")</f>
        <v>Pcs</v>
      </c>
      <c r="K560" s="5" t="str">
        <f>IFERROR(__xludf.DUMMYFUNCTION("""COMPUTED_VALUE"""),"https://www.tokopedia.com/electrindofast/panasonic-br2032-3volt-original-1731279756595004907?extParam=ivf%3Dfalse%26keyword%3Dpanasonic+br.2330+3volt+%26search_id%3D2026060909272534ED066DF378EF3ABU2V%26src%3Dsearch&amp;t_id=1780997250566&amp;t_st=4&amp;t_pp=search_re"&amp;"sult&amp;t_efo=search_pure_goods_card&amp;t_ef=goods_search&amp;t_sm=&amp;t_spt=search_result")</f>
        <v>https://www.tokopedia.com/electrindofast/panasonic-br2032-3volt-original-1731279756595004907?extParam=ivf%3Dfalse%26keyword%3Dpanasonic+br.2330+3volt+%26search_id%3D2026060909272534ED066DF378EF3ABU2V%26src%3Dsearch&amp;t_id=1780997250566&amp;t_st=4&amp;t_pp=search_result&amp;t_efo=search_pure_goods_card&amp;t_ef=goods_search&amp;t_sm=&amp;t_spt=search_result</v>
      </c>
      <c r="L560" s="3" t="str">
        <f>IFERROR(__xludf.DUMMYFUNCTION("""COMPUTED_VALUE"""),"tolong beliin baterai Lithium buat Jam Recorder tunnel")</f>
        <v>tolong beliin baterai Lithium buat Jam Recorder tunnel</v>
      </c>
      <c r="M560" s="3" t="str">
        <f>IFERROR(__xludf.DUMMYFUNCTION("""COMPUTED_VALUE"""),"Approve")</f>
        <v>Approve</v>
      </c>
      <c r="N560" s="3" t="str">
        <f>IFERROR(__xludf.DUMMYFUNCTION("""COMPUTED_VALUE"""),"Normal")</f>
        <v>Normal</v>
      </c>
      <c r="O560" s="3" t="str">
        <f>IFERROR(__xludf.DUMMYFUNCTION("""COMPUTED_VALUE"""),"Non Urgent")</f>
        <v>Non Urgent</v>
      </c>
      <c r="P560" s="7">
        <f>IFERROR(__xludf.DUMMYFUNCTION("""COMPUTED_VALUE"""),46191.751493171294)</f>
        <v>46191.75149</v>
      </c>
    </row>
    <row r="561">
      <c r="A561" s="4">
        <f>IFERROR(__xludf.DUMMYFUNCTION("""COMPUTED_VALUE"""),46191.50323777778)</f>
        <v>46191.50324</v>
      </c>
      <c r="B561" s="3" t="str">
        <f>IFERROR(__xludf.DUMMYFUNCTION("""COMPUTED_VALUE"""),"ROSBR0098")</f>
        <v>ROSBR0098</v>
      </c>
      <c r="C561" s="3" t="str">
        <f>IFERROR(__xludf.DUMMYFUNCTION("""COMPUTED_VALUE"""),"Critical Part")</f>
        <v>Critical Part</v>
      </c>
      <c r="D561" s="3" t="str">
        <f>IFERROR(__xludf.DUMMYFUNCTION("""COMPUTED_VALUE"""),"EJO/2026/06/142")</f>
        <v>EJO/2026/06/142</v>
      </c>
      <c r="E561" s="3" t="str">
        <f>IFERROR(__xludf.DUMMYFUNCTION("""COMPUTED_VALUE"""),"Washing Tinnel")</f>
        <v>Washing Tinnel</v>
      </c>
      <c r="F561" s="3" t="str">
        <f>IFERROR(__xludf.DUMMYFUNCTION("""COMPUTED_VALUE"""),"MICO electronic circuit protection, 2 CHANNELS")</f>
        <v>MICO electronic circuit protection, 2 CHANNELS</v>
      </c>
      <c r="G561" s="3" t="str">
        <f>IFERROR(__xludf.DUMMYFUNCTION("""COMPUTED_VALUE"""),"IN: 24 V DC OUT: 24 V /4-6-8-10 A
Art.No.:9000-41042-0401000")</f>
        <v>IN: 24 V DC OUT: 24 V /4-6-8-10 A
Art.No.:9000-41042-0401000</v>
      </c>
      <c r="H561" s="3" t="str">
        <f>IFERROR(__xludf.DUMMYFUNCTION("""COMPUTED_VALUE"""),"MURR Elektronik ")</f>
        <v>MURR Elektronik </v>
      </c>
      <c r="I561" s="3">
        <f>IFERROR(__xludf.DUMMYFUNCTION("""COMPUTED_VALUE"""),2.0)</f>
        <v>2</v>
      </c>
      <c r="J561" s="3" t="str">
        <f>IFERROR(__xludf.DUMMYFUNCTION("""COMPUTED_VALUE"""),"Pcs")</f>
        <v>Pcs</v>
      </c>
      <c r="K561" s="5" t="str">
        <f>IFERROR(__xludf.DUMMYFUNCTION("""COMPUTED_VALUE"""),"https://shop.murrelektronik.com/en/Electronics-in-the-Control-Cabinet/Intelligent-Power-Distribution/Modules/MICO-electronic-circuit-protection-2-CHANNELS-9000-41042-0401000.html")</f>
        <v>https://shop.murrelektronik.com/en/Electronics-in-the-Control-Cabinet/Intelligent-Power-Distribution/Modules/MICO-electronic-circuit-protection-2-CHANNELS-9000-41042-0401000.html</v>
      </c>
      <c r="L561" s="3" t="str">
        <f>IFERROR(__xludf.DUMMYFUNCTION("""COMPUTED_VALUE"""),"Buat Pergantian pada mesin washing tunnel ")</f>
        <v>Buat Pergantian pada mesin washing tunnel </v>
      </c>
      <c r="M561" s="3" t="str">
        <f>IFERROR(__xludf.DUMMYFUNCTION("""COMPUTED_VALUE"""),"Approve")</f>
        <v>Approve</v>
      </c>
      <c r="N561" s="3" t="str">
        <f>IFERROR(__xludf.DUMMYFUNCTION("""COMPUTED_VALUE"""),"Normal")</f>
        <v>Normal</v>
      </c>
      <c r="O561" s="3" t="str">
        <f>IFERROR(__xludf.DUMMYFUNCTION("""COMPUTED_VALUE"""),"Non Urgent")</f>
        <v>Non Urgent</v>
      </c>
      <c r="P561" s="7">
        <f>IFERROR(__xludf.DUMMYFUNCTION("""COMPUTED_VALUE"""),46191.75090141204)</f>
        <v>46191.7509</v>
      </c>
    </row>
    <row r="562">
      <c r="A562" s="4">
        <f>IFERROR(__xludf.DUMMYFUNCTION("""COMPUTED_VALUE"""),46191.61530452547)</f>
        <v>46191.6153</v>
      </c>
      <c r="B562" s="3" t="str">
        <f>IFERROR(__xludf.DUMMYFUNCTION("""COMPUTED_VALUE"""),"WAPBR0004")</f>
        <v>WAPBR0004</v>
      </c>
      <c r="C562" s="3" t="str">
        <f>IFERROR(__xludf.DUMMYFUNCTION("""COMPUTED_VALUE"""),"Consumable")</f>
        <v>Consumable</v>
      </c>
      <c r="D562" s="3" t="str">
        <f>IFERROR(__xludf.DUMMYFUNCTION("""COMPUTED_VALUE"""),"-")</f>
        <v>-</v>
      </c>
      <c r="E562" s="3" t="str">
        <f>IFERROR(__xludf.DUMMYFUNCTION("""COMPUTED_VALUE"""),"Utilty dan MTC")</f>
        <v>Utilty dan MTC</v>
      </c>
      <c r="F562" s="3" t="str">
        <f>IFERROR(__xludf.DUMMYFUNCTION("""COMPUTED_VALUE"""),"magnet siku (weld)")</f>
        <v>magnet siku (weld)</v>
      </c>
      <c r="G562" s="3" t="str">
        <f>IFERROR(__xludf.DUMMYFUNCTION("""COMPUTED_VALUE"""),"ukuran 4 inch")</f>
        <v>ukuran 4 inch</v>
      </c>
      <c r="H562" s="3" t="str">
        <f>IFERROR(__xludf.DUMMYFUNCTION("""COMPUTED_VALUE"""),"KDK")</f>
        <v>KDK</v>
      </c>
      <c r="I562" s="3">
        <f>IFERROR(__xludf.DUMMYFUNCTION("""COMPUTED_VALUE"""),3.0)</f>
        <v>3</v>
      </c>
      <c r="J562" s="3" t="str">
        <f>IFERROR(__xludf.DUMMYFUNCTION("""COMPUTED_VALUE"""),"pcs")</f>
        <v>pcs</v>
      </c>
      <c r="K562" s="5" t="str">
        <f>IFERROR(__xludf.DUMMYFUNCTION("""COMPUTED_VALUE"""),"https://shopee.co.id/product/298341482/7453844976?gads_t_sig=gqRjZGVrxHCFomtpsTE0MjUxOnRzc19zZGtfa2V5omt20QABpGFsZ2_SAAAAZKNkZWvAomN0xEAAAAAMfaLqlfFS4JwQPCoOJZHE2YMfq1tWF61pnIIHqGuyOlpkjBotHu7Xpb0YRK1tULWVZdcpI_r9hw6jgE9CqmNpcGhlcnRleHTEbwAAAAxec2J5tsaSY0"&amp;"spDEzg-OpHcdN3SkSQuYRBMMBkVPZVrbxorz-tNtEVeHdW5wMom76ptwZ7CqN5X3zFIl5hvXdLIcGIrL4m7v3h1HKPCOormIgCS0SIaiz9YD7FYUlPN8JdAJFnslegcMZ79Q&amp;gad_source=1&amp;gad_campaignid=23199775580&amp;gbraid=0AAAAADPpU82zfCXJsEupNYlwCfbjtXZsK&amp;gclid=Cj0KCQjwrs7RBhDuARIsAIVfBD38oMoZuJ"&amp;"HpbuNto4zbEUIqagj030ZAae8PE32BbWG_L6KV74mtdEAaAoJvEALw_wcB")</f>
        <v>https://shopee.co.id/product/298341482/7453844976?gads_t_sig=gqRjZGVrxHCFomtpsTE0MjUxOnRzc19zZGtfa2V5omt20QABpGFsZ2_SAAAAZKNkZWvAomN0xEAAAAAMfaLqlfFS4JwQPCoOJZHE2YMfq1tWF61pnIIHqGuyOlpkjBotHu7Xpb0YRK1tULWVZdcpI_r9hw6jgE9CqmNpcGhlcnRleHTEbwAAAAxec2J5tsaSY0spDEzg-OpHcdN3SkSQuYRBMMBkVPZVrbxorz-tNtEVeHdW5wMom76ptwZ7CqN5X3zFIl5hvXdLIcGIrL4m7v3h1HKPCOormIgCS0SIaiz9YD7FYUlPN8JdAJFnslegcMZ79Q&amp;gad_source=1&amp;gad_campaignid=23199775580&amp;gbraid=0AAAAADPpU82zfCXJsEupNYlwCfbjtXZsK&amp;gclid=Cj0KCQjwrs7RBhDuARIsAIVfBD38oMoZuJHpbuNto4zbEUIqagj030ZAae8PE32BbWG_L6KV74mtdEAaAoJvEALw_wcB</v>
      </c>
      <c r="L562" s="3" t="str">
        <f>IFERROR(__xludf.DUMMYFUNCTION("""COMPUTED_VALUE"""),"-")</f>
        <v>-</v>
      </c>
      <c r="M562" s="3" t="str">
        <f>IFERROR(__xludf.DUMMYFUNCTION("""COMPUTED_VALUE"""),"Approve")</f>
        <v>Approve</v>
      </c>
      <c r="N562" s="3" t="str">
        <f>IFERROR(__xludf.DUMMYFUNCTION("""COMPUTED_VALUE"""),"Normal")</f>
        <v>Normal</v>
      </c>
      <c r="O562" s="3" t="str">
        <f>IFERROR(__xludf.DUMMYFUNCTION("""COMPUTED_VALUE"""),"Non Urgent")</f>
        <v>Non Urgent</v>
      </c>
      <c r="P562" s="7">
        <f>IFERROR(__xludf.DUMMYFUNCTION("""COMPUTED_VALUE"""),46251.588203402775)</f>
        <v>46251.5882</v>
      </c>
    </row>
    <row r="563">
      <c r="A563" s="4">
        <f>IFERROR(__xludf.DUMMYFUNCTION("""COMPUTED_VALUE"""),46192.46033797454)</f>
        <v>46192.46034</v>
      </c>
      <c r="B563" s="3" t="str">
        <f>IFERROR(__xludf.DUMMYFUNCTION("""COMPUTED_VALUE"""),"RIABR0168")</f>
        <v>RIABR0168</v>
      </c>
      <c r="C563" s="3" t="str">
        <f>IFERROR(__xludf.DUMMYFUNCTION("""COMPUTED_VALUE"""),"EJO")</f>
        <v>EJO</v>
      </c>
      <c r="D563" s="3" t="str">
        <f>IFERROR(__xludf.DUMMYFUNCTION("""COMPUTED_VALUE"""),"EJO/2026/06/098")</f>
        <v>EJO/2026/06/098</v>
      </c>
      <c r="E563" s="3" t="str">
        <f>IFERROR(__xludf.DUMMYFUNCTION("""COMPUTED_VALUE"""),"DP Tenaga 3 N")</f>
        <v>DP Tenaga 3 N</v>
      </c>
      <c r="F563" s="3" t="str">
        <f>IFERROR(__xludf.DUMMYFUNCTION("""COMPUTED_VALUE"""),"Power Meter")</f>
        <v>Power Meter</v>
      </c>
      <c r="G563" s="3" t="str">
        <f>IFERROR(__xludf.DUMMYFUNCTION("""COMPUTED_VALUE"""),"Fitur
The PowerLogic PM800 series power meters offer high-performance measurement capabilities needed to monitor an electrical installation in a compact 96 x 96 mm unit. The power meter's large easy-to-read display lets you view all three phases and neut"&amp;"ral at the same time.
Standard features of the PM800 series power meters include an RS485 Modbus communication port (ASCII and RTU) and Ethernet Modbus TCP/IP (optional), digital input, digital output, THD metering, and alarming. Also, the PM820, PM850"&amp;" offer custom on-board logging and individual current and voltage harmonic readings. The PM850 offers waveform capture. And the PM870 is the first compact meter to offer voltage and current disturbance (sag and swell) detection and configurable waveform c"&amp;"apture. In addition all models offer Input Metering (WAGES) capability and GPS date/time synchronization. The PM850 and PM870 include EN50160 and ITI(CBEMA)/SEMI F-47 Evaluations as well.")</f>
        <v>Fitur
The PowerLogic PM800 series power meters offer high-performance measurement capabilities needed to monitor an electrical installation in a compact 96 x 96 mm unit. The power meter's large easy-to-read display lets you view all three phases and neutral at the same time.
Standard features of the PM800 series power meters include an RS485 Modbus communication port (ASCII and RTU) and Ethernet Modbus TCP/IP (optional), digital input, digital output, THD metering, and alarming. Also, the PM820, PM850 offer custom on-board logging and individual current and voltage harmonic readings. The PM850 offers waveform capture. And the PM870 is the first compact meter to offer voltage and current disturbance (sag and swell) detection and configurable waveform capture. In addition all models offer Input Metering (WAGES) capability and GPS date/time synchronization. The PM850 and PM870 include EN50160 and ITI(CBEMA)/SEMI F-47 Evaluations as well.</v>
      </c>
      <c r="H563" s="3" t="str">
        <f>IFERROR(__xludf.DUMMYFUNCTION("""COMPUTED_VALUE"""),"Schneider")</f>
        <v>Schneider</v>
      </c>
      <c r="I563" s="3">
        <f>IFERROR(__xludf.DUMMYFUNCTION("""COMPUTED_VALUE"""),1.0)</f>
        <v>1</v>
      </c>
      <c r="J563" s="3" t="str">
        <f>IFERROR(__xludf.DUMMYFUNCTION("""COMPUTED_VALUE"""),"pcs")</f>
        <v>pcs</v>
      </c>
      <c r="K563" s="3" t="str">
        <f>IFERROR(__xludf.DUMMYFUNCTION("""COMPUTED_VALUE"""),"PowerLogic PM800 series | Schneider Electric Indonesia")</f>
        <v>PowerLogic PM800 series | Schneider Electric Indonesia</v>
      </c>
      <c r="L563" s="3" t="str">
        <f>IFERROR(__xludf.DUMMYFUNCTION("""COMPUTED_VALUE"""),"Buat power meter panel ya, PM800 Power Logic Schneider")</f>
        <v>Buat power meter panel ya, PM800 Power Logic Schneider</v>
      </c>
      <c r="M563" s="3" t="str">
        <f>IFERROR(__xludf.DUMMYFUNCTION("""COMPUTED_VALUE"""),"Approve")</f>
        <v>Approve</v>
      </c>
      <c r="N563" s="3" t="str">
        <f>IFERROR(__xludf.DUMMYFUNCTION("""COMPUTED_VALUE"""),"Normal")</f>
        <v>Normal</v>
      </c>
      <c r="O563" s="3" t="str">
        <f>IFERROR(__xludf.DUMMYFUNCTION("""COMPUTED_VALUE"""),"Non Urgent")</f>
        <v>Non Urgent</v>
      </c>
      <c r="P563" s="7">
        <f>IFERROR(__xludf.DUMMYFUNCTION("""COMPUTED_VALUE"""),46202.89834148149)</f>
        <v>46202.89834</v>
      </c>
    </row>
    <row r="564">
      <c r="A564" s="4">
        <f>IFERROR(__xludf.DUMMYFUNCTION("""COMPUTED_VALUE"""),46192.461777557866)</f>
        <v>46192.46178</v>
      </c>
      <c r="B564" s="3" t="str">
        <f>IFERROR(__xludf.DUMMYFUNCTION("""COMPUTED_VALUE"""),"RIABR0169")</f>
        <v>RIABR0169</v>
      </c>
      <c r="C564" s="3" t="str">
        <f>IFERROR(__xludf.DUMMYFUNCTION("""COMPUTED_VALUE"""),"EJO")</f>
        <v>EJO</v>
      </c>
      <c r="D564" s="3" t="str">
        <f>IFERROR(__xludf.DUMMYFUNCTION("""COMPUTED_VALUE"""),"EJO/2026/06/099")</f>
        <v>EJO/2026/06/099</v>
      </c>
      <c r="E564" s="3" t="str">
        <f>IFERROR(__xludf.DUMMYFUNCTION("""COMPUTED_VALUE"""),"P - GC")</f>
        <v>P - GC</v>
      </c>
      <c r="F564" s="3" t="str">
        <f>IFERROR(__xludf.DUMMYFUNCTION("""COMPUTED_VALUE"""),"Power Meter")</f>
        <v>Power Meter</v>
      </c>
      <c r="G564" s="3" t="str">
        <f>IFERROR(__xludf.DUMMYFUNCTION("""COMPUTED_VALUE"""),"Fitur
The PowerLogic PM800 series power meters offer high-performance measurement capabilities needed to monitor an electrical installation in a compact 96 x 96 mm unit. The power meter's large easy-to-read display lets you view all three phases and neut"&amp;"ral at the same time.
Standard features of the PM800 series power meters include an RS485 Modbus communication port (ASCII and RTU) and Ethernet Modbus TCP/IP (optional), digital input, digital output, THD metering, and alarming. Also, the PM820, PM850"&amp;" offer custom on-board logging and individual current and voltage harmonic readings. The PM850 offers waveform capture. And the PM870 is the first compact meter to offer voltage and current disturbance (sag and swell) detection and configurable waveform c"&amp;"apture. In addition all models offer Input Metering (WAGES) capability and GPS date/time synchronization. The PM850 and PM870 include EN50160 and ITI(CBEMA)/SEMI F-47 Evaluations as well.")</f>
        <v>Fitur
The PowerLogic PM800 series power meters offer high-performance measurement capabilities needed to monitor an electrical installation in a compact 96 x 96 mm unit. The power meter's large easy-to-read display lets you view all three phases and neutral at the same time.
Standard features of the PM800 series power meters include an RS485 Modbus communication port (ASCII and RTU) and Ethernet Modbus TCP/IP (optional), digital input, digital output, THD metering, and alarming. Also, the PM820, PM850 offer custom on-board logging and individual current and voltage harmonic readings. The PM850 offers waveform capture. And the PM870 is the first compact meter to offer voltage and current disturbance (sag and swell) detection and configurable waveform capture. In addition all models offer Input Metering (WAGES) capability and GPS date/time synchronization. The PM850 and PM870 include EN50160 and ITI(CBEMA)/SEMI F-47 Evaluations as well.</v>
      </c>
      <c r="H564" s="3" t="str">
        <f>IFERROR(__xludf.DUMMYFUNCTION("""COMPUTED_VALUE"""),"Schneider")</f>
        <v>Schneider</v>
      </c>
      <c r="I564" s="3">
        <f>IFERROR(__xludf.DUMMYFUNCTION("""COMPUTED_VALUE"""),2.0)</f>
        <v>2</v>
      </c>
      <c r="J564" s="3" t="str">
        <f>IFERROR(__xludf.DUMMYFUNCTION("""COMPUTED_VALUE"""),"pcs")</f>
        <v>pcs</v>
      </c>
      <c r="K564" s="3" t="str">
        <f>IFERROR(__xludf.DUMMYFUNCTION("""COMPUTED_VALUE"""),"PowerLogic PM800 series | Schneider Electric Indonesia")</f>
        <v>PowerLogic PM800 series | Schneider Electric Indonesia</v>
      </c>
      <c r="L564" s="3" t="str">
        <f>IFERROR(__xludf.DUMMYFUNCTION("""COMPUTED_VALUE"""),"Buat power meter panel ya, PM800 Power Logic Schneider")</f>
        <v>Buat power meter panel ya, PM800 Power Logic Schneider</v>
      </c>
      <c r="M564" s="3" t="str">
        <f>IFERROR(__xludf.DUMMYFUNCTION("""COMPUTED_VALUE"""),"Approve")</f>
        <v>Approve</v>
      </c>
      <c r="N564" s="3" t="str">
        <f>IFERROR(__xludf.DUMMYFUNCTION("""COMPUTED_VALUE"""),"Normal")</f>
        <v>Normal</v>
      </c>
      <c r="O564" s="3" t="str">
        <f>IFERROR(__xludf.DUMMYFUNCTION("""COMPUTED_VALUE"""),"Non Urgent")</f>
        <v>Non Urgent</v>
      </c>
      <c r="P564" s="7">
        <f>IFERROR(__xludf.DUMMYFUNCTION("""COMPUTED_VALUE"""),46202.89877939815)</f>
        <v>46202.89878</v>
      </c>
    </row>
    <row r="565">
      <c r="A565" s="4">
        <f>IFERROR(__xludf.DUMMYFUNCTION("""COMPUTED_VALUE"""),46193.41210287037)</f>
        <v>46193.4121</v>
      </c>
      <c r="B565" s="3" t="str">
        <f>IFERROR(__xludf.DUMMYFUNCTION("""COMPUTED_VALUE"""),"MRNBR0109")</f>
        <v>MRNBR0109</v>
      </c>
      <c r="C565" s="3" t="str">
        <f>IFERROR(__xludf.DUMMYFUNCTION("""COMPUTED_VALUE"""),"EJO")</f>
        <v>EJO</v>
      </c>
      <c r="D565" s="3" t="str">
        <f>IFERROR(__xludf.DUMMYFUNCTION("""COMPUTED_VALUE"""),"EJO/2026/02/41")</f>
        <v>EJO/2026/02/41</v>
      </c>
      <c r="E565" s="3" t="str">
        <f>IFERROR(__xludf.DUMMYFUNCTION("""COMPUTED_VALUE"""),"Workshop")</f>
        <v>Workshop</v>
      </c>
      <c r="F565" s="3" t="str">
        <f>IFERROR(__xludf.DUMMYFUNCTION("""COMPUTED_VALUE"""),"flexible duct alumunium")</f>
        <v>flexible duct alumunium</v>
      </c>
      <c r="G565" s="3" t="str">
        <f>IFERROR(__xludf.DUMMYFUNCTION("""COMPUTED_VALUE"""),"6 inch")</f>
        <v>6 inch</v>
      </c>
      <c r="H565" s="3" t="str">
        <f>IFERROR(__xludf.DUMMYFUNCTION("""COMPUTED_VALUE"""),"NA")</f>
        <v>NA</v>
      </c>
      <c r="I565" s="3">
        <f>IFERROR(__xludf.DUMMYFUNCTION("""COMPUTED_VALUE"""),2.0)</f>
        <v>2</v>
      </c>
      <c r="J565" s="3" t="str">
        <f>IFERROR(__xludf.DUMMYFUNCTION("""COMPUTED_VALUE"""),"unit")</f>
        <v>unit</v>
      </c>
      <c r="K565" s="5" t="str">
        <f>IFERROR(__xludf.DUMMYFUNCTION("""COMPUTED_VALUE"""),"https://shopee.co.id/product/299925060/28105168306?gads_t_sig=gqRjZGVrxHCFomtpsTE0MjUxOnRzc19zZGtfa2V5omt20QABpGFsZ2_SAAAAZKNkZWvAomN0xEAAAAAMfaLqlfFS4JwQPCoOJZHE2YMfq1tWF61pnIIHqGuyOlpkjBotHu7Xpb0YRK1tULWVZdcpI_r9hw6jgE9CqmNpcGhlcnRleHTEcQAAAAyqMUWUEbBUW"&amp;"J7cgWQSjUnuo2ulZ2QKvWieGxMWNcUkghvd_wGlbDvNwGsui7cfwRvlYQMt5k9Va-zOIBp9yDRIZdU4o3y70G5jDZqptLQycf8M6NVrlabDPiX9z5fhIJQACMJLHTEzzuh-r-YI&amp;gad_source=1&amp;gad_campaignid=23290582497&amp;gbraid=0AAAAADPpU82jbzPMtihPNavUdnJYjsjnR&amp;gclid=CjwKCAjw0dPRBhAPEiwAE5vTTgTQcHW"&amp;"oXZLHkkw_MmatHu9Ytu1Yc9URg88BxZCj0hfyaJaNYgPFNBoCmzMQAvD_BwE")</f>
        <v>https://shopee.co.id/product/299925060/28105168306?gads_t_sig=gqRjZGVrxHCFomtpsTE0MjUxOnRzc19zZGtfa2V5omt20QABpGFsZ2_SAAAAZKNkZWvAomN0xEAAAAAMfaLqlfFS4JwQPCoOJZHE2YMfq1tWF61pnIIHqGuyOlpkjBotHu7Xpb0YRK1tULWVZdcpI_r9hw6jgE9CqmNpcGhlcnRleHTEcQAAAAyqMUWUEbBUWJ7cgWQSjUnuo2ulZ2QKvWieGxMWNcUkghvd_wGlbDvNwGsui7cfwRvlYQMt5k9Va-zOIBp9yDRIZdU4o3y70G5jDZqptLQycf8M6NVrlabDPiX9z5fhIJQACMJLHTEzzuh-r-YI&amp;gad_source=1&amp;gad_campaignid=23290582497&amp;gbraid=0AAAAADPpU82jbzPMtihPNavUdnJYjsjnR&amp;gclid=CjwKCAjw0dPRBhAPEiwAE5vTTgTQcHWoXZLHkkw_MmatHu9Ytu1Yc9URg88BxZCj0hfyaJaNYgPFNBoCmzMQAvD_BwE</v>
      </c>
      <c r="L565" s="3" t="str">
        <f>IFERROR(__xludf.DUMMYFUNCTION("""COMPUTED_VALUE"""),"untuk workshop")</f>
        <v>untuk workshop</v>
      </c>
      <c r="M565" s="3" t="str">
        <f>IFERROR(__xludf.DUMMYFUNCTION("""COMPUTED_VALUE"""),"Approve")</f>
        <v>Approve</v>
      </c>
      <c r="N565" s="3" t="str">
        <f>IFERROR(__xludf.DUMMYFUNCTION("""COMPUTED_VALUE"""),"Normal")</f>
        <v>Normal</v>
      </c>
      <c r="O565" s="3" t="str">
        <f>IFERROR(__xludf.DUMMYFUNCTION("""COMPUTED_VALUE"""),"Non Urgent")</f>
        <v>Non Urgent</v>
      </c>
      <c r="P565" s="7">
        <f>IFERROR(__xludf.DUMMYFUNCTION("""COMPUTED_VALUE"""),46198.72994440972)</f>
        <v>46198.72994</v>
      </c>
    </row>
    <row r="566">
      <c r="A566" s="4">
        <f>IFERROR(__xludf.DUMMYFUNCTION("""COMPUTED_VALUE"""),46193.41818853009)</f>
        <v>46193.41819</v>
      </c>
      <c r="B566" s="3" t="str">
        <f>IFERROR(__xludf.DUMMYFUNCTION("""COMPUTED_VALUE"""),"MRNBR0110")</f>
        <v>MRNBR0110</v>
      </c>
      <c r="C566" s="3" t="str">
        <f>IFERROR(__xludf.DUMMYFUNCTION("""COMPUTED_VALUE"""),"EJO")</f>
        <v>EJO</v>
      </c>
      <c r="D566" s="3" t="str">
        <f>IFERROR(__xludf.DUMMYFUNCTION("""COMPUTED_VALUE"""),"EJO/2026/02/41")</f>
        <v>EJO/2026/02/41</v>
      </c>
      <c r="E566" s="3" t="str">
        <f>IFERROR(__xludf.DUMMYFUNCTION("""COMPUTED_VALUE"""),"Workshop")</f>
        <v>Workshop</v>
      </c>
      <c r="F566" s="3" t="str">
        <f>IFERROR(__xludf.DUMMYFUNCTION("""COMPUTED_VALUE"""),"grill exhaust plafon")</f>
        <v>grill exhaust plafon</v>
      </c>
      <c r="G566" s="3" t="str">
        <f>IFERROR(__xludf.DUMMYFUNCTION("""COMPUTED_VALUE"""),"6 inch ")</f>
        <v>6 inch </v>
      </c>
      <c r="H566" s="3" t="str">
        <f>IFERROR(__xludf.DUMMYFUNCTION("""COMPUTED_VALUE"""),"NA")</f>
        <v>NA</v>
      </c>
      <c r="I566" s="3">
        <f>IFERROR(__xludf.DUMMYFUNCTION("""COMPUTED_VALUE"""),1.0)</f>
        <v>1</v>
      </c>
      <c r="J566" s="3" t="str">
        <f>IFERROR(__xludf.DUMMYFUNCTION("""COMPUTED_VALUE"""),"unit")</f>
        <v>unit</v>
      </c>
      <c r="K566" s="5" t="str">
        <f>IFERROR(__xludf.DUMMYFUNCTION("""COMPUTED_VALUE"""),"https://www.tokopedia.com/hvac-indonesia/plastic-air-grille-exhaust-fan-round-diffuser-bulat-4-6-8-inch-plastik-hg-02-100-mm")</f>
        <v>https://www.tokopedia.com/hvac-indonesia/plastic-air-grille-exhaust-fan-round-diffuser-bulat-4-6-8-inch-plastik-hg-02-100-mm</v>
      </c>
      <c r="L566" s="3" t="str">
        <f>IFERROR(__xludf.DUMMYFUNCTION("""COMPUTED_VALUE"""),"untuk workshop")</f>
        <v>untuk workshop</v>
      </c>
      <c r="M566" s="3" t="str">
        <f>IFERROR(__xludf.DUMMYFUNCTION("""COMPUTED_VALUE"""),"Approve")</f>
        <v>Approve</v>
      </c>
      <c r="N566" s="3" t="str">
        <f>IFERROR(__xludf.DUMMYFUNCTION("""COMPUTED_VALUE"""),"Normal")</f>
        <v>Normal</v>
      </c>
      <c r="O566" s="3" t="str">
        <f>IFERROR(__xludf.DUMMYFUNCTION("""COMPUTED_VALUE"""),"Non Urgent")</f>
        <v>Non Urgent</v>
      </c>
      <c r="P566" s="7">
        <f>IFERROR(__xludf.DUMMYFUNCTION("""COMPUTED_VALUE"""),46198.73025804399)</f>
        <v>46198.73026</v>
      </c>
    </row>
    <row r="567">
      <c r="A567" s="4">
        <f>IFERROR(__xludf.DUMMYFUNCTION("""COMPUTED_VALUE"""),46195.66214417824)</f>
        <v>46195.66214</v>
      </c>
      <c r="B567" s="3" t="str">
        <f>IFERROR(__xludf.DUMMYFUNCTION("""COMPUTED_VALUE"""),"ANOBR0058")</f>
        <v>ANOBR0058</v>
      </c>
      <c r="C567" s="3" t="str">
        <f>IFERROR(__xludf.DUMMYFUNCTION("""COMPUTED_VALUE"""),"EJO")</f>
        <v>EJO</v>
      </c>
      <c r="D567" s="3" t="str">
        <f>IFERROR(__xludf.DUMMYFUNCTION("""COMPUTED_VALUE"""),"-")</f>
        <v>-</v>
      </c>
      <c r="E567" s="3" t="str">
        <f>IFERROR(__xludf.DUMMYFUNCTION("""COMPUTED_VALUE"""),"workshop")</f>
        <v>workshop</v>
      </c>
      <c r="F567" s="3" t="str">
        <f>IFERROR(__xludf.DUMMYFUNCTION("""COMPUTED_VALUE"""),"mata gerinda 4 inch")</f>
        <v>mata gerinda 4 inch</v>
      </c>
      <c r="G567" s="3" t="str">
        <f>IFERROR(__xludf.DUMMYFUNCTION("""COMPUTED_VALUE"""),"mata gerinda potong 4"" ")</f>
        <v>mata gerinda potong 4" </v>
      </c>
      <c r="H567" s="3" t="str">
        <f>IFERROR(__xludf.DUMMYFUNCTION("""COMPUTED_VALUE"""),"-")</f>
        <v>-</v>
      </c>
      <c r="I567" s="3">
        <f>IFERROR(__xludf.DUMMYFUNCTION("""COMPUTED_VALUE"""),5.0)</f>
        <v>5</v>
      </c>
      <c r="J567" s="3" t="str">
        <f>IFERROR(__xludf.DUMMYFUNCTION("""COMPUTED_VALUE"""),"box")</f>
        <v>box</v>
      </c>
      <c r="K567" s="5" t="str">
        <f>IFERROR(__xludf.DUMMYFUNCTION("""COMPUTED_VALUE"""),"https://www.tokopedia.com/lengkapaja/mata-gerinda-potong-wd-cutting-4-inch-harga-per-dus-kotak?aff_unique_id=&amp;channel=others&amp;chain_key=")</f>
        <v>https://www.tokopedia.com/lengkapaja/mata-gerinda-potong-wd-cutting-4-inch-harga-per-dus-kotak?aff_unique_id=&amp;channel=others&amp;chain_key=</v>
      </c>
      <c r="L567" s="3" t="str">
        <f>IFERROR(__xludf.DUMMYFUNCTION("""COMPUTED_VALUE"""),"kebutuhan project")</f>
        <v>kebutuhan project</v>
      </c>
      <c r="M567" s="3" t="str">
        <f>IFERROR(__xludf.DUMMYFUNCTION("""COMPUTED_VALUE"""),"Approve")</f>
        <v>Approve</v>
      </c>
      <c r="N567" s="3" t="str">
        <f>IFERROR(__xludf.DUMMYFUNCTION("""COMPUTED_VALUE"""),"Normal")</f>
        <v>Normal</v>
      </c>
      <c r="O567" s="3" t="str">
        <f>IFERROR(__xludf.DUMMYFUNCTION("""COMPUTED_VALUE"""),"Non Urgent")</f>
        <v>Non Urgent</v>
      </c>
      <c r="P567" s="7">
        <f>IFERROR(__xludf.DUMMYFUNCTION("""COMPUTED_VALUE"""),46206.917823807875)</f>
        <v>46206.91782</v>
      </c>
    </row>
    <row r="568">
      <c r="A568" s="4">
        <f>IFERROR(__xludf.DUMMYFUNCTION("""COMPUTED_VALUE"""),46195.66214417824)</f>
        <v>46195.66214</v>
      </c>
      <c r="B568" s="3" t="str">
        <f>IFERROR(__xludf.DUMMYFUNCTION("""COMPUTED_VALUE"""),"ANOBR0059")</f>
        <v>ANOBR0059</v>
      </c>
      <c r="C568" s="3" t="str">
        <f>IFERROR(__xludf.DUMMYFUNCTION("""COMPUTED_VALUE"""),"EJO")</f>
        <v>EJO</v>
      </c>
      <c r="D568" s="3" t="str">
        <f>IFERROR(__xludf.DUMMYFUNCTION("""COMPUTED_VALUE"""),"-")</f>
        <v>-</v>
      </c>
      <c r="E568" s="3" t="str">
        <f>IFERROR(__xludf.DUMMYFUNCTION("""COMPUTED_VALUE"""),"workshop")</f>
        <v>workshop</v>
      </c>
      <c r="F568" s="3" t="str">
        <f>IFERROR(__xludf.DUMMYFUNCTION("""COMPUTED_VALUE"""),"mata gerinda polesh 4 inch")</f>
        <v>mata gerinda polesh 4 inch</v>
      </c>
      <c r="G568" s="3" t="str">
        <f>IFERROR(__xludf.DUMMYFUNCTION("""COMPUTED_VALUE"""),"mata gerinda polesh 4 inch")</f>
        <v>mata gerinda polesh 4 inch</v>
      </c>
      <c r="H568" s="3" t="str">
        <f>IFERROR(__xludf.DUMMYFUNCTION("""COMPUTED_VALUE"""),"-")</f>
        <v>-</v>
      </c>
      <c r="I568" s="3">
        <f>IFERROR(__xludf.DUMMYFUNCTION("""COMPUTED_VALUE"""),5.0)</f>
        <v>5</v>
      </c>
      <c r="J568" s="3" t="str">
        <f>IFERROR(__xludf.DUMMYFUNCTION("""COMPUTED_VALUE"""),"box")</f>
        <v>box</v>
      </c>
      <c r="K568" s="5" t="str">
        <f>IFERROR(__xludf.DUMMYFUNCTION("""COMPUTED_VALUE"""),"https://www.tokopedia.com/archive-rajawali-putra-1/batu-gurinda-poles-wd-4-x-6-grinda-wheel-4-x6-tb-wd-batu-poles-1-box-taiyo-blue-4x6m-batu-poles-0f994?extParam=ivf%3Dfalse%26keyword%3Dmata+gerinda+polesh+1box%26search_id%3D20260507015118577BCC914F9E552F"&amp;"40J5%26src%3Dsearch&amp;t_id=1778118655787&amp;t_st=2&amp;t_pp=search_result&amp;t_efo=search_pure_goods_card&amp;t_ef=goods_search&amp;t_sm=&amp;t_spt=search_result")</f>
        <v>https://www.tokopedia.com/archive-rajawali-putra-1/batu-gurinda-poles-wd-4-x-6-grinda-wheel-4-x6-tb-wd-batu-poles-1-box-taiyo-blue-4x6m-batu-poles-0f994?extParam=ivf%3Dfalse%26keyword%3Dmata+gerinda+polesh+1box%26search_id%3D20260507015118577BCC914F9E552F40J5%26src%3Dsearch&amp;t_id=1778118655787&amp;t_st=2&amp;t_pp=search_result&amp;t_efo=search_pure_goods_card&amp;t_ef=goods_search&amp;t_sm=&amp;t_spt=search_result</v>
      </c>
      <c r="L568" s="3" t="str">
        <f>IFERROR(__xludf.DUMMYFUNCTION("""COMPUTED_VALUE"""),"kebutuhan project")</f>
        <v>kebutuhan project</v>
      </c>
      <c r="M568" s="3" t="str">
        <f>IFERROR(__xludf.DUMMYFUNCTION("""COMPUTED_VALUE"""),"Approve")</f>
        <v>Approve</v>
      </c>
      <c r="N568" s="3" t="str">
        <f>IFERROR(__xludf.DUMMYFUNCTION("""COMPUTED_VALUE"""),"Normal")</f>
        <v>Normal</v>
      </c>
      <c r="O568" s="3" t="str">
        <f>IFERROR(__xludf.DUMMYFUNCTION("""COMPUTED_VALUE"""),"Non Urgent")</f>
        <v>Non Urgent</v>
      </c>
      <c r="P568" s="7">
        <f>IFERROR(__xludf.DUMMYFUNCTION("""COMPUTED_VALUE"""),46206.9182732176)</f>
        <v>46206.91827</v>
      </c>
    </row>
    <row r="569">
      <c r="A569" s="4">
        <f>IFERROR(__xludf.DUMMYFUNCTION("""COMPUTED_VALUE"""),46195.66214417824)</f>
        <v>46195.66214</v>
      </c>
      <c r="B569" s="3" t="str">
        <f>IFERROR(__xludf.DUMMYFUNCTION("""COMPUTED_VALUE"""),"ANOBR0060")</f>
        <v>ANOBR0060</v>
      </c>
      <c r="C569" s="3" t="str">
        <f>IFERROR(__xludf.DUMMYFUNCTION("""COMPUTED_VALUE"""),"EJO")</f>
        <v>EJO</v>
      </c>
      <c r="D569" s="3" t="str">
        <f>IFERROR(__xludf.DUMMYFUNCTION("""COMPUTED_VALUE"""),"-")</f>
        <v>-</v>
      </c>
      <c r="E569" s="3" t="str">
        <f>IFERROR(__xludf.DUMMYFUNCTION("""COMPUTED_VALUE"""),"workshop")</f>
        <v>workshop</v>
      </c>
      <c r="F569" s="3" t="str">
        <f>IFERROR(__xludf.DUMMYFUNCTION("""COMPUTED_VALUE"""),"mata gerinda amplas 4""")</f>
        <v>mata gerinda amplas 4"</v>
      </c>
      <c r="G569" s="3" t="str">
        <f>IFERROR(__xludf.DUMMYFUNCTION("""COMPUTED_VALUE"""),"mata gerinda amplas 4"" ukuran #100 ")</f>
        <v>mata gerinda amplas 4" ukuran #100 </v>
      </c>
      <c r="H569" s="3" t="str">
        <f>IFERROR(__xludf.DUMMYFUNCTION("""COMPUTED_VALUE"""),"-")</f>
        <v>-</v>
      </c>
      <c r="I569" s="3">
        <f>IFERROR(__xludf.DUMMYFUNCTION("""COMPUTED_VALUE"""),5.0)</f>
        <v>5</v>
      </c>
      <c r="J569" s="3" t="str">
        <f>IFERROR(__xludf.DUMMYFUNCTION("""COMPUTED_VALUE"""),"box")</f>
        <v>box</v>
      </c>
      <c r="K569" s="5" t="str">
        <f>IFERROR(__xludf.DUMMYFUNCTION("""COMPUTED_VALUE"""),"https://www.tokopedia.com/kabirmall/amplas-susun-flapdisc-taiyo-4-per-kotak-terlaris-1734137829216716375?aff_unique_id=&amp;channel=others&amp;chain_key=")</f>
        <v>https://www.tokopedia.com/kabirmall/amplas-susun-flapdisc-taiyo-4-per-kotak-terlaris-1734137829216716375?aff_unique_id=&amp;channel=others&amp;chain_key=</v>
      </c>
      <c r="L569" s="3" t="str">
        <f>IFERROR(__xludf.DUMMYFUNCTION("""COMPUTED_VALUE"""),"kebutuhan project")</f>
        <v>kebutuhan project</v>
      </c>
      <c r="M569" s="3" t="str">
        <f>IFERROR(__xludf.DUMMYFUNCTION("""COMPUTED_VALUE"""),"Approve")</f>
        <v>Approve</v>
      </c>
      <c r="N569" s="3" t="str">
        <f>IFERROR(__xludf.DUMMYFUNCTION("""COMPUTED_VALUE"""),"Normal")</f>
        <v>Normal</v>
      </c>
      <c r="O569" s="3" t="str">
        <f>IFERROR(__xludf.DUMMYFUNCTION("""COMPUTED_VALUE"""),"Non Urgent")</f>
        <v>Non Urgent</v>
      </c>
      <c r="P569" s="7">
        <f>IFERROR(__xludf.DUMMYFUNCTION("""COMPUTED_VALUE"""),46206.91855103009)</f>
        <v>46206.91855</v>
      </c>
    </row>
    <row r="570">
      <c r="A570" s="4">
        <f>IFERROR(__xludf.DUMMYFUNCTION("""COMPUTED_VALUE"""),46195.66214417824)</f>
        <v>46195.66214</v>
      </c>
      <c r="B570" s="3" t="str">
        <f>IFERROR(__xludf.DUMMYFUNCTION("""COMPUTED_VALUE"""),"ANOBR0061")</f>
        <v>ANOBR0061</v>
      </c>
      <c r="C570" s="3" t="str">
        <f>IFERROR(__xludf.DUMMYFUNCTION("""COMPUTED_VALUE"""),"EJO")</f>
        <v>EJO</v>
      </c>
      <c r="D570" s="3" t="str">
        <f>IFERROR(__xludf.DUMMYFUNCTION("""COMPUTED_VALUE"""),"-")</f>
        <v>-</v>
      </c>
      <c r="E570" s="3" t="str">
        <f>IFERROR(__xludf.DUMMYFUNCTION("""COMPUTED_VALUE"""),"workshop")</f>
        <v>workshop</v>
      </c>
      <c r="F570" s="3" t="str">
        <f>IFERROR(__xludf.DUMMYFUNCTION("""COMPUTED_VALUE"""),"mata gerinda amplas 4""")</f>
        <v>mata gerinda amplas 4"</v>
      </c>
      <c r="G570" s="3" t="str">
        <f>IFERROR(__xludf.DUMMYFUNCTION("""COMPUTED_VALUE"""),"mata gerinda amplas 4"" ukuran #24-0")</f>
        <v>mata gerinda amplas 4" ukuran #24-0</v>
      </c>
      <c r="H570" s="3" t="str">
        <f>IFERROR(__xludf.DUMMYFUNCTION("""COMPUTED_VALUE"""),"-")</f>
        <v>-</v>
      </c>
      <c r="I570" s="3">
        <f>IFERROR(__xludf.DUMMYFUNCTION("""COMPUTED_VALUE"""),5.0)</f>
        <v>5</v>
      </c>
      <c r="J570" s="3" t="str">
        <f>IFERROR(__xludf.DUMMYFUNCTION("""COMPUTED_VALUE"""),"box")</f>
        <v>box</v>
      </c>
      <c r="K570" s="5" t="str">
        <f>IFERROR(__xludf.DUMMYFUNCTION("""COMPUTED_VALUE"""),"https://www.tokopedia.com/kabirmall/amplas-susun-flapdisc-taiyo-4-per-kotak-terlaris-1734137829216716375?aff_unique_id=&amp;channel=others&amp;chain_key=")</f>
        <v>https://www.tokopedia.com/kabirmall/amplas-susun-flapdisc-taiyo-4-per-kotak-terlaris-1734137829216716375?aff_unique_id=&amp;channel=others&amp;chain_key=</v>
      </c>
      <c r="L570" s="3" t="str">
        <f>IFERROR(__xludf.DUMMYFUNCTION("""COMPUTED_VALUE"""),"kebutuhan project")</f>
        <v>kebutuhan project</v>
      </c>
      <c r="M570" s="3" t="str">
        <f>IFERROR(__xludf.DUMMYFUNCTION("""COMPUTED_VALUE"""),"Approve")</f>
        <v>Approve</v>
      </c>
      <c r="N570" s="3" t="str">
        <f>IFERROR(__xludf.DUMMYFUNCTION("""COMPUTED_VALUE"""),"Normal")</f>
        <v>Normal</v>
      </c>
      <c r="O570" s="3" t="str">
        <f>IFERROR(__xludf.DUMMYFUNCTION("""COMPUTED_VALUE"""),"Non Urgent")</f>
        <v>Non Urgent</v>
      </c>
      <c r="P570" s="7">
        <f>IFERROR(__xludf.DUMMYFUNCTION("""COMPUTED_VALUE"""),46206.91873672453)</f>
        <v>46206.91874</v>
      </c>
    </row>
    <row r="571">
      <c r="A571" s="4">
        <f>IFERROR(__xludf.DUMMYFUNCTION("""COMPUTED_VALUE"""),46195.66214417824)</f>
        <v>46195.66214</v>
      </c>
      <c r="B571" s="3" t="str">
        <f>IFERROR(__xludf.DUMMYFUNCTION("""COMPUTED_VALUE"""),"ANOBR0062")</f>
        <v>ANOBR0062</v>
      </c>
      <c r="C571" s="3" t="str">
        <f>IFERROR(__xludf.DUMMYFUNCTION("""COMPUTED_VALUE"""),"EJO")</f>
        <v>EJO</v>
      </c>
      <c r="D571" s="3" t="str">
        <f>IFERROR(__xludf.DUMMYFUNCTION("""COMPUTED_VALUE"""),"-")</f>
        <v>-</v>
      </c>
      <c r="E571" s="3" t="str">
        <f>IFERROR(__xludf.DUMMYFUNCTION("""COMPUTED_VALUE"""),"workshop")</f>
        <v>workshop</v>
      </c>
      <c r="F571" s="3" t="str">
        <f>IFERROR(__xludf.DUMMYFUNCTION("""COMPUTED_VALUE"""),"mata gerinda amplas 4""")</f>
        <v>mata gerinda amplas 4"</v>
      </c>
      <c r="G571" s="3" t="str">
        <f>IFERROR(__xludf.DUMMYFUNCTION("""COMPUTED_VALUE"""),"mata gerinda  brushing 4""")</f>
        <v>mata gerinda  brushing 4"</v>
      </c>
      <c r="H571" s="3" t="str">
        <f>IFERROR(__xludf.DUMMYFUNCTION("""COMPUTED_VALUE"""),"-")</f>
        <v>-</v>
      </c>
      <c r="I571" s="3">
        <f>IFERROR(__xludf.DUMMYFUNCTION("""COMPUTED_VALUE"""),3.0)</f>
        <v>3</v>
      </c>
      <c r="J571" s="3" t="str">
        <f>IFERROR(__xludf.DUMMYFUNCTION("""COMPUTED_VALUE"""),"pcs")</f>
        <v>pcs</v>
      </c>
      <c r="K571" s="5" t="str">
        <f>IFERROR(__xludf.DUMMYFUNCTION("""COMPUTED_VALUE"""),"https://www.monotaro.id/items/s000043642.html?utm_source=google&amp;utm_medium=pla&amp;utm_campaign=22645740610&amp;utm_content=189071432548&amp;utm_term=ready_stock_cat_group_2_pricebrand_group_1&amp;gad_source=4&amp;gad_campaignid=22645740610&amp;gbraid=0AAAAADJU9-_fxP46sbx3UVVJWc"&amp;"9oOsxk4&amp;gclid=CjwKCAjwzevPBhBaEiwAplAxvjLum4MJO87V-Xxbb2o0yawfb1xBtgqFbTDO00qV4vL0kYjCsXcM1hoCJnsQAvD_BwE")</f>
        <v>https://www.monotaro.id/items/s000043642.html?utm_source=google&amp;utm_medium=pla&amp;utm_campaign=22645740610&amp;utm_content=189071432548&amp;utm_term=ready_stock_cat_group_2_pricebrand_group_1&amp;gad_source=4&amp;gad_campaignid=22645740610&amp;gbraid=0AAAAADJU9-_fxP46sbx3UVVJWc9oOsxk4&amp;gclid=CjwKCAjwzevPBhBaEiwAplAxvjLum4MJO87V-Xxbb2o0yawfb1xBtgqFbTDO00qV4vL0kYjCsXcM1hoCJnsQAvD_BwE</v>
      </c>
      <c r="L571" s="3" t="str">
        <f>IFERROR(__xludf.DUMMYFUNCTION("""COMPUTED_VALUE"""),"kebutuhan project")</f>
        <v>kebutuhan project</v>
      </c>
      <c r="M571" s="3" t="str">
        <f>IFERROR(__xludf.DUMMYFUNCTION("""COMPUTED_VALUE"""),"Approve")</f>
        <v>Approve</v>
      </c>
      <c r="N571" s="3" t="str">
        <f>IFERROR(__xludf.DUMMYFUNCTION("""COMPUTED_VALUE"""),"Normal")</f>
        <v>Normal</v>
      </c>
      <c r="O571" s="3" t="str">
        <f>IFERROR(__xludf.DUMMYFUNCTION("""COMPUTED_VALUE"""),"Non Urgent")</f>
        <v>Non Urgent</v>
      </c>
      <c r="P571" s="7">
        <f>IFERROR(__xludf.DUMMYFUNCTION("""COMPUTED_VALUE"""),46206.918879791665)</f>
        <v>46206.91888</v>
      </c>
    </row>
    <row r="572">
      <c r="A572" s="4">
        <f>IFERROR(__xludf.DUMMYFUNCTION("""COMPUTED_VALUE"""),46195.66214417824)</f>
        <v>46195.66214</v>
      </c>
      <c r="B572" s="3" t="str">
        <f>IFERROR(__xludf.DUMMYFUNCTION("""COMPUTED_VALUE"""),"ANOBR0063")</f>
        <v>ANOBR0063</v>
      </c>
      <c r="C572" s="3" t="str">
        <f>IFERROR(__xludf.DUMMYFUNCTION("""COMPUTED_VALUE"""),"EJO")</f>
        <v>EJO</v>
      </c>
      <c r="D572" s="3" t="str">
        <f>IFERROR(__xludf.DUMMYFUNCTION("""COMPUTED_VALUE"""),"-")</f>
        <v>-</v>
      </c>
      <c r="E572" s="3" t="str">
        <f>IFERROR(__xludf.DUMMYFUNCTION("""COMPUTED_VALUE"""),"pipa FW LT 2")</f>
        <v>pipa FW LT 2</v>
      </c>
      <c r="F572" s="3" t="str">
        <f>IFERROR(__xludf.DUMMYFUNCTION("""COMPUTED_VALUE"""),"pipa ss 304 2 1/2"" ")</f>
        <v>pipa ss 304 2 1/2" </v>
      </c>
      <c r="G572" s="3" t="str">
        <f>IFERROR(__xludf.DUMMYFUNCTION("""COMPUTED_VALUE"""),"pipa ss 304L 2 1/2"" schedule 10")</f>
        <v>pipa ss 304L 2 1/2" schedule 10</v>
      </c>
      <c r="H572" s="3" t="str">
        <f>IFERROR(__xludf.DUMMYFUNCTION("""COMPUTED_VALUE"""),"-")</f>
        <v>-</v>
      </c>
      <c r="I572" s="3">
        <f>IFERROR(__xludf.DUMMYFUNCTION("""COMPUTED_VALUE"""),4.0)</f>
        <v>4</v>
      </c>
      <c r="J572" s="3" t="str">
        <f>IFERROR(__xludf.DUMMYFUNCTION("""COMPUTED_VALUE"""),"batang")</f>
        <v>batang</v>
      </c>
      <c r="K572" s="3" t="str">
        <f>IFERROR(__xludf.DUMMYFUNCTION("""COMPUTED_VALUE"""),"-")</f>
        <v>-</v>
      </c>
      <c r="L572" s="3" t="str">
        <f>IFERROR(__xludf.DUMMYFUNCTION("""COMPUTED_VALUE"""),"kebutuhan penggantian pipa FW lt 2")</f>
        <v>kebutuhan penggantian pipa FW lt 2</v>
      </c>
      <c r="M572" s="3" t="str">
        <f>IFERROR(__xludf.DUMMYFUNCTION("""COMPUTED_VALUE"""),"Approve")</f>
        <v>Approve</v>
      </c>
      <c r="N572" s="3" t="str">
        <f>IFERROR(__xludf.DUMMYFUNCTION("""COMPUTED_VALUE"""),"Normal")</f>
        <v>Normal</v>
      </c>
      <c r="O572" s="3" t="str">
        <f>IFERROR(__xludf.DUMMYFUNCTION("""COMPUTED_VALUE"""),"Non Urgent")</f>
        <v>Non Urgent</v>
      </c>
      <c r="P572" s="7">
        <f>IFERROR(__xludf.DUMMYFUNCTION("""COMPUTED_VALUE"""),46206.91952826389)</f>
        <v>46206.91953</v>
      </c>
    </row>
    <row r="573">
      <c r="A573" s="4">
        <f>IFERROR(__xludf.DUMMYFUNCTION("""COMPUTED_VALUE"""),46195.66214417824)</f>
        <v>46195.66214</v>
      </c>
      <c r="B573" s="3" t="str">
        <f>IFERROR(__xludf.DUMMYFUNCTION("""COMPUTED_VALUE"""),"ANOBR0064")</f>
        <v>ANOBR0064</v>
      </c>
      <c r="C573" s="3" t="str">
        <f>IFERROR(__xludf.DUMMYFUNCTION("""COMPUTED_VALUE"""),"EJO")</f>
        <v>EJO</v>
      </c>
      <c r="D573" s="3" t="str">
        <f>IFERROR(__xludf.DUMMYFUNCTION("""COMPUTED_VALUE"""),"-")</f>
        <v>-</v>
      </c>
      <c r="E573" s="3" t="str">
        <f>IFERROR(__xludf.DUMMYFUNCTION("""COMPUTED_VALUE"""),"pipa FW LT 2")</f>
        <v>pipa FW LT 2</v>
      </c>
      <c r="F573" s="3" t="str">
        <f>IFERROR(__xludf.DUMMYFUNCTION("""COMPUTED_VALUE"""),"flange ss 304 2 1/2 DN 75")</f>
        <v>flange ss 304 2 1/2 DN 75</v>
      </c>
      <c r="G573" s="3" t="str">
        <f>IFERROR(__xludf.DUMMYFUNCTION("""COMPUTED_VALUE"""),"flange ss 304L 2 1/2""  DN 75")</f>
        <v>flange ss 304L 2 1/2"  DN 75</v>
      </c>
      <c r="H573" s="3" t="str">
        <f>IFERROR(__xludf.DUMMYFUNCTION("""COMPUTED_VALUE"""),"-")</f>
        <v>-</v>
      </c>
      <c r="I573" s="3">
        <f>IFERROR(__xludf.DUMMYFUNCTION("""COMPUTED_VALUE"""),8.0)</f>
        <v>8</v>
      </c>
      <c r="J573" s="3" t="str">
        <f>IFERROR(__xludf.DUMMYFUNCTION("""COMPUTED_VALUE"""),"PCS")</f>
        <v>PCS</v>
      </c>
      <c r="K573" s="3" t="str">
        <f>IFERROR(__xludf.DUMMYFUNCTION("""COMPUTED_VALUE"""),"-")</f>
        <v>-</v>
      </c>
      <c r="L573" s="3" t="str">
        <f>IFERROR(__xludf.DUMMYFUNCTION("""COMPUTED_VALUE"""),"kebutuhan penggantian pipa FW lt 2")</f>
        <v>kebutuhan penggantian pipa FW lt 2</v>
      </c>
      <c r="M573" s="3" t="str">
        <f>IFERROR(__xludf.DUMMYFUNCTION("""COMPUTED_VALUE"""),"Approve")</f>
        <v>Approve</v>
      </c>
      <c r="N573" s="3" t="str">
        <f>IFERROR(__xludf.DUMMYFUNCTION("""COMPUTED_VALUE"""),"Normal")</f>
        <v>Normal</v>
      </c>
      <c r="O573" s="3" t="str">
        <f>IFERROR(__xludf.DUMMYFUNCTION("""COMPUTED_VALUE"""),"Non Urgent")</f>
        <v>Non Urgent</v>
      </c>
      <c r="P573" s="7">
        <f>IFERROR(__xludf.DUMMYFUNCTION("""COMPUTED_VALUE"""),46206.91969394676)</f>
        <v>46206.91969</v>
      </c>
    </row>
    <row r="574">
      <c r="A574" s="4">
        <f>IFERROR(__xludf.DUMMYFUNCTION("""COMPUTED_VALUE"""),46195.66214417824)</f>
        <v>46195.66214</v>
      </c>
      <c r="B574" s="3" t="str">
        <f>IFERROR(__xludf.DUMMYFUNCTION("""COMPUTED_VALUE"""),"ANOBR0065")</f>
        <v>ANOBR0065</v>
      </c>
      <c r="C574" s="3" t="str">
        <f>IFERROR(__xludf.DUMMYFUNCTION("""COMPUTED_VALUE"""),"EJO")</f>
        <v>EJO</v>
      </c>
      <c r="D574" s="3" t="str">
        <f>IFERROR(__xludf.DUMMYFUNCTION("""COMPUTED_VALUE"""),"-")</f>
        <v>-</v>
      </c>
      <c r="E574" s="3" t="str">
        <f>IFERROR(__xludf.DUMMYFUNCTION("""COMPUTED_VALUE"""),"pipa FW LT 2")</f>
        <v>pipa FW LT 2</v>
      </c>
      <c r="F574" s="3" t="str">
        <f>IFERROR(__xludf.DUMMYFUNCTION("""COMPUTED_VALUE"""),"Elbow SS 304 2 1/2"" ")</f>
        <v>Elbow SS 304 2 1/2" </v>
      </c>
      <c r="G574" s="3" t="str">
        <f>IFERROR(__xludf.DUMMYFUNCTION("""COMPUTED_VALUE"""),"Elbow SS 304 2 1/2"" ")</f>
        <v>Elbow SS 304 2 1/2" </v>
      </c>
      <c r="H574" s="3" t="str">
        <f>IFERROR(__xludf.DUMMYFUNCTION("""COMPUTED_VALUE"""),"-")</f>
        <v>-</v>
      </c>
      <c r="I574" s="3">
        <f>IFERROR(__xludf.DUMMYFUNCTION("""COMPUTED_VALUE"""),8.0)</f>
        <v>8</v>
      </c>
      <c r="J574" s="3" t="str">
        <f>IFERROR(__xludf.DUMMYFUNCTION("""COMPUTED_VALUE"""),"pcs")</f>
        <v>pcs</v>
      </c>
      <c r="K574" s="3" t="str">
        <f>IFERROR(__xludf.DUMMYFUNCTION("""COMPUTED_VALUE"""),"-")</f>
        <v>-</v>
      </c>
      <c r="L574" s="3" t="str">
        <f>IFERROR(__xludf.DUMMYFUNCTION("""COMPUTED_VALUE"""),"kebutuhan penggantian pipa FW lt 2")</f>
        <v>kebutuhan penggantian pipa FW lt 2</v>
      </c>
      <c r="M574" s="3" t="str">
        <f>IFERROR(__xludf.DUMMYFUNCTION("""COMPUTED_VALUE"""),"Approve")</f>
        <v>Approve</v>
      </c>
      <c r="N574" s="3" t="str">
        <f>IFERROR(__xludf.DUMMYFUNCTION("""COMPUTED_VALUE"""),"Normal")</f>
        <v>Normal</v>
      </c>
      <c r="O574" s="3" t="str">
        <f>IFERROR(__xludf.DUMMYFUNCTION("""COMPUTED_VALUE"""),"Non Urgent")</f>
        <v>Non Urgent</v>
      </c>
      <c r="P574" s="7">
        <f>IFERROR(__xludf.DUMMYFUNCTION("""COMPUTED_VALUE"""),46206.91984581019)</f>
        <v>46206.91985</v>
      </c>
    </row>
    <row r="575">
      <c r="A575" s="4">
        <f>IFERROR(__xludf.DUMMYFUNCTION("""COMPUTED_VALUE"""),46195.66214417824)</f>
        <v>46195.66214</v>
      </c>
      <c r="B575" s="3" t="str">
        <f>IFERROR(__xludf.DUMMYFUNCTION("""COMPUTED_VALUE"""),"ANOBR0066")</f>
        <v>ANOBR0066</v>
      </c>
      <c r="C575" s="3" t="str">
        <f>IFERROR(__xludf.DUMMYFUNCTION("""COMPUTED_VALUE"""),"EJO")</f>
        <v>EJO</v>
      </c>
      <c r="D575" s="3" t="str">
        <f>IFERROR(__xludf.DUMMYFUNCTION("""COMPUTED_VALUE"""),"-")</f>
        <v>-</v>
      </c>
      <c r="E575" s="3" t="str">
        <f>IFERROR(__xludf.DUMMYFUNCTION("""COMPUTED_VALUE"""),"pipa FW LT 2")</f>
        <v>pipa FW LT 2</v>
      </c>
      <c r="F575" s="3" t="str">
        <f>IFERROR(__xludf.DUMMYFUNCTION("""COMPUTED_VALUE"""),"pipa 1 inch ")</f>
        <v>pipa 1 inch </v>
      </c>
      <c r="G575" s="3" t="str">
        <f>IFERROR(__xludf.DUMMYFUNCTION("""COMPUTED_VALUE"""),"pipa ss 304 1 inch schedule 10")</f>
        <v>pipa ss 304 1 inch schedule 10</v>
      </c>
      <c r="H575" s="3" t="str">
        <f>IFERROR(__xludf.DUMMYFUNCTION("""COMPUTED_VALUE"""),"-")</f>
        <v>-</v>
      </c>
      <c r="I575" s="3">
        <f>IFERROR(__xludf.DUMMYFUNCTION("""COMPUTED_VALUE"""),3.0)</f>
        <v>3</v>
      </c>
      <c r="J575" s="3" t="str">
        <f>IFERROR(__xludf.DUMMYFUNCTION("""COMPUTED_VALUE"""),"batang")</f>
        <v>batang</v>
      </c>
      <c r="K575" s="3" t="str">
        <f>IFERROR(__xludf.DUMMYFUNCTION("""COMPUTED_VALUE"""),"--")</f>
        <v>--</v>
      </c>
      <c r="L575" s="3" t="str">
        <f>IFERROR(__xludf.DUMMYFUNCTION("""COMPUTED_VALUE"""),"kebutuhan penggantian pipa FW lt 2")</f>
        <v>kebutuhan penggantian pipa FW lt 2</v>
      </c>
      <c r="M575" s="3" t="str">
        <f>IFERROR(__xludf.DUMMYFUNCTION("""COMPUTED_VALUE"""),"Approve")</f>
        <v>Approve</v>
      </c>
      <c r="N575" s="3" t="str">
        <f>IFERROR(__xludf.DUMMYFUNCTION("""COMPUTED_VALUE"""),"Normal")</f>
        <v>Normal</v>
      </c>
      <c r="O575" s="3" t="str">
        <f>IFERROR(__xludf.DUMMYFUNCTION("""COMPUTED_VALUE"""),"Non Urgent")</f>
        <v>Non Urgent</v>
      </c>
      <c r="P575" s="7">
        <f>IFERROR(__xludf.DUMMYFUNCTION("""COMPUTED_VALUE"""),46206.92011340278)</f>
        <v>46206.92011</v>
      </c>
    </row>
    <row r="576">
      <c r="A576" s="4">
        <f>IFERROR(__xludf.DUMMYFUNCTION("""COMPUTED_VALUE"""),46195.66214417824)</f>
        <v>46195.66214</v>
      </c>
      <c r="B576" s="3" t="str">
        <f>IFERROR(__xludf.DUMMYFUNCTION("""COMPUTED_VALUE"""),"ANOBR0067")</f>
        <v>ANOBR0067</v>
      </c>
      <c r="C576" s="3" t="str">
        <f>IFERROR(__xludf.DUMMYFUNCTION("""COMPUTED_VALUE"""),"EJO")</f>
        <v>EJO</v>
      </c>
      <c r="D576" s="3" t="str">
        <f>IFERROR(__xludf.DUMMYFUNCTION("""COMPUTED_VALUE"""),"-")</f>
        <v>-</v>
      </c>
      <c r="E576" s="3" t="str">
        <f>IFERROR(__xludf.DUMMYFUNCTION("""COMPUTED_VALUE"""),"pipa FW LT 2")</f>
        <v>pipa FW LT 2</v>
      </c>
      <c r="F576" s="3" t="str">
        <f>IFERROR(__xludf.DUMMYFUNCTION("""COMPUTED_VALUE"""),"elbow 1 inch ")</f>
        <v>elbow 1 inch </v>
      </c>
      <c r="G576" s="3" t="str">
        <f>IFERROR(__xludf.DUMMYFUNCTION("""COMPUTED_VALUE"""),"elbow ss 304 1 inch")</f>
        <v>elbow ss 304 1 inch</v>
      </c>
      <c r="H576" s="3" t="str">
        <f>IFERROR(__xludf.DUMMYFUNCTION("""COMPUTED_VALUE"""),"-")</f>
        <v>-</v>
      </c>
      <c r="I576" s="3">
        <f>IFERROR(__xludf.DUMMYFUNCTION("""COMPUTED_VALUE"""),2.0)</f>
        <v>2</v>
      </c>
      <c r="J576" s="3" t="str">
        <f>IFERROR(__xludf.DUMMYFUNCTION("""COMPUTED_VALUE"""),"pcs")</f>
        <v>pcs</v>
      </c>
      <c r="K576" s="3" t="str">
        <f>IFERROR(__xludf.DUMMYFUNCTION("""COMPUTED_VALUE"""),"-")</f>
        <v>-</v>
      </c>
      <c r="L576" s="3" t="str">
        <f>IFERROR(__xludf.DUMMYFUNCTION("""COMPUTED_VALUE"""),"kebutuhan penggantian pipa FW lt 2")</f>
        <v>kebutuhan penggantian pipa FW lt 2</v>
      </c>
      <c r="M576" s="3" t="str">
        <f>IFERROR(__xludf.DUMMYFUNCTION("""COMPUTED_VALUE"""),"Approve")</f>
        <v>Approve</v>
      </c>
      <c r="N576" s="3" t="str">
        <f>IFERROR(__xludf.DUMMYFUNCTION("""COMPUTED_VALUE"""),"Normal")</f>
        <v>Normal</v>
      </c>
      <c r="O576" s="3" t="str">
        <f>IFERROR(__xludf.DUMMYFUNCTION("""COMPUTED_VALUE"""),"Non Urgent")</f>
        <v>Non Urgent</v>
      </c>
      <c r="P576" s="7">
        <f>IFERROR(__xludf.DUMMYFUNCTION("""COMPUTED_VALUE"""),46206.92038196759)</f>
        <v>46206.92038</v>
      </c>
    </row>
    <row r="577">
      <c r="A577" s="4">
        <f>IFERROR(__xludf.DUMMYFUNCTION("""COMPUTED_VALUE"""),46195.66214417824)</f>
        <v>46195.66214</v>
      </c>
      <c r="B577" s="3" t="str">
        <f>IFERROR(__xludf.DUMMYFUNCTION("""COMPUTED_VALUE"""),"ANOBR0068")</f>
        <v>ANOBR0068</v>
      </c>
      <c r="C577" s="3" t="str">
        <f>IFERROR(__xludf.DUMMYFUNCTION("""COMPUTED_VALUE"""),"EJO")</f>
        <v>EJO</v>
      </c>
      <c r="D577" s="3" t="str">
        <f>IFERROR(__xludf.DUMMYFUNCTION("""COMPUTED_VALUE"""),"-")</f>
        <v>-</v>
      </c>
      <c r="E577" s="3" t="str">
        <f>IFERROR(__xludf.DUMMYFUNCTION("""COMPUTED_VALUE"""),"pipa FW LT 2")</f>
        <v>pipa FW LT 2</v>
      </c>
      <c r="F577" s="3" t="str">
        <f>IFERROR(__xludf.DUMMYFUNCTION("""COMPUTED_VALUE"""),"manual valve 1 inch ")</f>
        <v>manual valve 1 inch </v>
      </c>
      <c r="G577" s="3" t="str">
        <f>IFERROR(__xludf.DUMMYFUNCTION("""COMPUTED_VALUE"""),"manual valve ss 304 1 inch")</f>
        <v>manual valve ss 304 1 inch</v>
      </c>
      <c r="H577" s="3" t="str">
        <f>IFERROR(__xludf.DUMMYFUNCTION("""COMPUTED_VALUE"""),"-")</f>
        <v>-</v>
      </c>
      <c r="I577" s="3">
        <f>IFERROR(__xludf.DUMMYFUNCTION("""COMPUTED_VALUE"""),2.0)</f>
        <v>2</v>
      </c>
      <c r="J577" s="3" t="str">
        <f>IFERROR(__xludf.DUMMYFUNCTION("""COMPUTED_VALUE"""),"pcs")</f>
        <v>pcs</v>
      </c>
      <c r="K577" s="3" t="str">
        <f>IFERROR(__xludf.DUMMYFUNCTION("""COMPUTED_VALUE"""),"-")</f>
        <v>-</v>
      </c>
      <c r="L577" s="3" t="str">
        <f>IFERROR(__xludf.DUMMYFUNCTION("""COMPUTED_VALUE"""),"kebutuhan penggantian pipa FW lt 2")</f>
        <v>kebutuhan penggantian pipa FW lt 2</v>
      </c>
      <c r="M577" s="3" t="str">
        <f>IFERROR(__xludf.DUMMYFUNCTION("""COMPUTED_VALUE"""),"Approve")</f>
        <v>Approve</v>
      </c>
      <c r="N577" s="3" t="str">
        <f>IFERROR(__xludf.DUMMYFUNCTION("""COMPUTED_VALUE"""),"Normal")</f>
        <v>Normal</v>
      </c>
      <c r="O577" s="3" t="str">
        <f>IFERROR(__xludf.DUMMYFUNCTION("""COMPUTED_VALUE"""),"Non Urgent")</f>
        <v>Non Urgent</v>
      </c>
      <c r="P577" s="7">
        <f>IFERROR(__xludf.DUMMYFUNCTION("""COMPUTED_VALUE"""),46206.920542673615)</f>
        <v>46206.92054</v>
      </c>
    </row>
    <row r="578">
      <c r="A578" s="4">
        <f>IFERROR(__xludf.DUMMYFUNCTION("""COMPUTED_VALUE"""),46195.66214417824)</f>
        <v>46195.66214</v>
      </c>
      <c r="B578" s="3" t="str">
        <f>IFERROR(__xludf.DUMMYFUNCTION("""COMPUTED_VALUE"""),"ANOBR0069")</f>
        <v>ANOBR0069</v>
      </c>
      <c r="C578" s="3" t="str">
        <f>IFERROR(__xludf.DUMMYFUNCTION("""COMPUTED_VALUE"""),"EJO")</f>
        <v>EJO</v>
      </c>
      <c r="D578" s="3" t="str">
        <f>IFERROR(__xludf.DUMMYFUNCTION("""COMPUTED_VALUE"""),"-")</f>
        <v>-</v>
      </c>
      <c r="E578" s="3" t="str">
        <f>IFERROR(__xludf.DUMMYFUNCTION("""COMPUTED_VALUE"""),"pipa FW LT 2")</f>
        <v>pipa FW LT 2</v>
      </c>
      <c r="F578" s="3" t="str">
        <f>IFERROR(__xludf.DUMMYFUNCTION("""COMPUTED_VALUE"""),"kawat las argon 2 mm")</f>
        <v>kawat las argon 2 mm</v>
      </c>
      <c r="G578" s="3" t="str">
        <f>IFERROR(__xludf.DUMMYFUNCTION("""COMPUTED_VALUE"""),"kawat las argon size 2 mm.")</f>
        <v>kawat las argon size 2 mm.</v>
      </c>
      <c r="H578" s="3" t="str">
        <f>IFERROR(__xludf.DUMMYFUNCTION("""COMPUTED_VALUE"""),"-")</f>
        <v>-</v>
      </c>
      <c r="I578" s="3">
        <f>IFERROR(__xludf.DUMMYFUNCTION("""COMPUTED_VALUE"""),2.0)</f>
        <v>2</v>
      </c>
      <c r="J578" s="3" t="str">
        <f>IFERROR(__xludf.DUMMYFUNCTION("""COMPUTED_VALUE"""),"box")</f>
        <v>box</v>
      </c>
      <c r="K578" s="3" t="str">
        <f>IFERROR(__xludf.DUMMYFUNCTION("""COMPUTED_VALUE"""),"-")</f>
        <v>-</v>
      </c>
      <c r="L578" s="3" t="str">
        <f>IFERROR(__xludf.DUMMYFUNCTION("""COMPUTED_VALUE"""),"kebutuhan penggantian pipa FW lt 2")</f>
        <v>kebutuhan penggantian pipa FW lt 2</v>
      </c>
      <c r="M578" s="3" t="str">
        <f>IFERROR(__xludf.DUMMYFUNCTION("""COMPUTED_VALUE"""),"Approve")</f>
        <v>Approve</v>
      </c>
      <c r="N578" s="3" t="str">
        <f>IFERROR(__xludf.DUMMYFUNCTION("""COMPUTED_VALUE"""),"Normal")</f>
        <v>Normal</v>
      </c>
      <c r="O578" s="3" t="str">
        <f>IFERROR(__xludf.DUMMYFUNCTION("""COMPUTED_VALUE"""),"Non Urgent")</f>
        <v>Non Urgent</v>
      </c>
      <c r="P578" s="7">
        <f>IFERROR(__xludf.DUMMYFUNCTION("""COMPUTED_VALUE"""),46206.920700752315)</f>
        <v>46206.9207</v>
      </c>
    </row>
    <row r="579">
      <c r="A579" s="4">
        <f>IFERROR(__xludf.DUMMYFUNCTION("""COMPUTED_VALUE"""),46195.66214417824)</f>
        <v>46195.66214</v>
      </c>
      <c r="B579" s="3" t="str">
        <f>IFERROR(__xludf.DUMMYFUNCTION("""COMPUTED_VALUE"""),"ANOBR0070")</f>
        <v>ANOBR0070</v>
      </c>
      <c r="C579" s="3" t="str">
        <f>IFERROR(__xludf.DUMMYFUNCTION("""COMPUTED_VALUE"""),"EJO")</f>
        <v>EJO</v>
      </c>
      <c r="D579" s="3" t="str">
        <f>IFERROR(__xludf.DUMMYFUNCTION("""COMPUTED_VALUE"""),"-")</f>
        <v>-</v>
      </c>
      <c r="E579" s="3" t="str">
        <f>IFERROR(__xludf.DUMMYFUNCTION("""COMPUTED_VALUE"""),"pipa FW LT 2")</f>
        <v>pipa FW LT 2</v>
      </c>
      <c r="F579" s="3" t="str">
        <f>IFERROR(__xludf.DUMMYFUNCTION("""COMPUTED_VALUE"""),"kawat las argon 1.8 mm")</f>
        <v>kawat las argon 1.8 mm</v>
      </c>
      <c r="G579" s="3" t="str">
        <f>IFERROR(__xludf.DUMMYFUNCTION("""COMPUTED_VALUE"""),"kawat las argon 1.8 mm")</f>
        <v>kawat las argon 1.8 mm</v>
      </c>
      <c r="H579" s="3" t="str">
        <f>IFERROR(__xludf.DUMMYFUNCTION("""COMPUTED_VALUE"""),"-")</f>
        <v>-</v>
      </c>
      <c r="I579" s="3">
        <f>IFERROR(__xludf.DUMMYFUNCTION("""COMPUTED_VALUE"""),2.0)</f>
        <v>2</v>
      </c>
      <c r="J579" s="3" t="str">
        <f>IFERROR(__xludf.DUMMYFUNCTION("""COMPUTED_VALUE"""),"box")</f>
        <v>box</v>
      </c>
      <c r="K579" s="3" t="str">
        <f>IFERROR(__xludf.DUMMYFUNCTION("""COMPUTED_VALUE"""),"-")</f>
        <v>-</v>
      </c>
      <c r="L579" s="3" t="str">
        <f>IFERROR(__xludf.DUMMYFUNCTION("""COMPUTED_VALUE"""),"kebutuhan penggantian pipa FW lt 2")</f>
        <v>kebutuhan penggantian pipa FW lt 2</v>
      </c>
      <c r="M579" s="3" t="str">
        <f>IFERROR(__xludf.DUMMYFUNCTION("""COMPUTED_VALUE"""),"Approve")</f>
        <v>Approve</v>
      </c>
      <c r="N579" s="3" t="str">
        <f>IFERROR(__xludf.DUMMYFUNCTION("""COMPUTED_VALUE"""),"Normal")</f>
        <v>Normal</v>
      </c>
      <c r="O579" s="3" t="str">
        <f>IFERROR(__xludf.DUMMYFUNCTION("""COMPUTED_VALUE"""),"Non Urgent")</f>
        <v>Non Urgent</v>
      </c>
      <c r="P579" s="7">
        <f>IFERROR(__xludf.DUMMYFUNCTION("""COMPUTED_VALUE"""),46206.920874421296)</f>
        <v>46206.92087</v>
      </c>
    </row>
    <row r="580">
      <c r="A580" s="4">
        <f>IFERROR(__xludf.DUMMYFUNCTION("""COMPUTED_VALUE"""),46195.66828746528)</f>
        <v>46195.66829</v>
      </c>
      <c r="B580" s="3" t="str">
        <f>IFERROR(__xludf.DUMMYFUNCTION("""COMPUTED_VALUE"""),"ANOBR0071")</f>
        <v>ANOBR0071</v>
      </c>
      <c r="C580" s="3" t="str">
        <f>IFERROR(__xludf.DUMMYFUNCTION("""COMPUTED_VALUE"""),"EJO")</f>
        <v>EJO</v>
      </c>
      <c r="D580" s="3" t="str">
        <f>IFERROR(__xludf.DUMMYFUNCTION("""COMPUTED_VALUE"""),"-")</f>
        <v>-</v>
      </c>
      <c r="E580" s="3" t="str">
        <f>IFERROR(__xludf.DUMMYFUNCTION("""COMPUTED_VALUE"""),"pipa FW LT 2")</f>
        <v>pipa FW LT 2</v>
      </c>
      <c r="F580" s="3" t="str">
        <f>IFERROR(__xludf.DUMMYFUNCTION("""COMPUTED_VALUE"""),"Tee 2 1/2"" To 1 inch")</f>
        <v>Tee 2 1/2" To 1 inch</v>
      </c>
      <c r="G580" s="3" t="str">
        <f>IFERROR(__xludf.DUMMYFUNCTION("""COMPUTED_VALUE"""),"Tee 2 1/2"" To 1 inch")</f>
        <v>Tee 2 1/2" To 1 inch</v>
      </c>
      <c r="H580" s="3" t="str">
        <f>IFERROR(__xludf.DUMMYFUNCTION("""COMPUTED_VALUE"""),"-")</f>
        <v>-</v>
      </c>
      <c r="I580" s="3">
        <f>IFERROR(__xludf.DUMMYFUNCTION("""COMPUTED_VALUE"""),2.0)</f>
        <v>2</v>
      </c>
      <c r="J580" s="3" t="str">
        <f>IFERROR(__xludf.DUMMYFUNCTION("""COMPUTED_VALUE"""),"pcs")</f>
        <v>pcs</v>
      </c>
      <c r="K580" s="3" t="str">
        <f>IFERROR(__xludf.DUMMYFUNCTION("""COMPUTED_VALUE"""),"-")</f>
        <v>-</v>
      </c>
      <c r="L580" s="3" t="str">
        <f>IFERROR(__xludf.DUMMYFUNCTION("""COMPUTED_VALUE"""),"kebutuhan penggantian pipa FW lt 2")</f>
        <v>kebutuhan penggantian pipa FW lt 2</v>
      </c>
      <c r="M580" s="3" t="str">
        <f>IFERROR(__xludf.DUMMYFUNCTION("""COMPUTED_VALUE"""),"Approve")</f>
        <v>Approve</v>
      </c>
      <c r="N580" s="3" t="str">
        <f>IFERROR(__xludf.DUMMYFUNCTION("""COMPUTED_VALUE"""),"Normal")</f>
        <v>Normal</v>
      </c>
      <c r="O580" s="3" t="str">
        <f>IFERROR(__xludf.DUMMYFUNCTION("""COMPUTED_VALUE"""),"Non Urgent")</f>
        <v>Non Urgent</v>
      </c>
      <c r="P580" s="7">
        <f>IFERROR(__xludf.DUMMYFUNCTION("""COMPUTED_VALUE"""),46206.92114663194)</f>
        <v>46206.92115</v>
      </c>
    </row>
    <row r="581">
      <c r="A581" s="4">
        <f>IFERROR(__xludf.DUMMYFUNCTION("""COMPUTED_VALUE"""),46195.668796481485)</f>
        <v>46195.6688</v>
      </c>
      <c r="B581" s="3" t="str">
        <f>IFERROR(__xludf.DUMMYFUNCTION("""COMPUTED_VALUE"""),"ANOBR0072")</f>
        <v>ANOBR0072</v>
      </c>
      <c r="C581" s="3" t="str">
        <f>IFERROR(__xludf.DUMMYFUNCTION("""COMPUTED_VALUE"""),"EJO")</f>
        <v>EJO</v>
      </c>
      <c r="D581" s="3" t="str">
        <f>IFERROR(__xludf.DUMMYFUNCTION("""COMPUTED_VALUE"""),"-")</f>
        <v>-</v>
      </c>
      <c r="E581" s="3" t="str">
        <f>IFERROR(__xludf.DUMMYFUNCTION("""COMPUTED_VALUE"""),"pipa FW LT 2")</f>
        <v>pipa FW LT 2</v>
      </c>
      <c r="F581" s="3" t="str">
        <f>IFERROR(__xludf.DUMMYFUNCTION("""COMPUTED_VALUE"""),"gasket rubber tebal 3 mm ")</f>
        <v>gasket rubber tebal 3 mm </v>
      </c>
      <c r="G581" s="3" t="str">
        <f>IFERROR(__xludf.DUMMYFUNCTION("""COMPUTED_VALUE"""),"gasket rubber tebal 3 mm ")</f>
        <v>gasket rubber tebal 3 mm </v>
      </c>
      <c r="H581" s="3" t="str">
        <f>IFERROR(__xludf.DUMMYFUNCTION("""COMPUTED_VALUE"""),"-")</f>
        <v>-</v>
      </c>
      <c r="I581" s="3">
        <f>IFERROR(__xludf.DUMMYFUNCTION("""COMPUTED_VALUE"""),1.0)</f>
        <v>1</v>
      </c>
      <c r="J581" s="3" t="str">
        <f>IFERROR(__xludf.DUMMYFUNCTION("""COMPUTED_VALUE"""),"lembar")</f>
        <v>lembar</v>
      </c>
      <c r="K581" s="3" t="str">
        <f>IFERROR(__xludf.DUMMYFUNCTION("""COMPUTED_VALUE"""),"-")</f>
        <v>-</v>
      </c>
      <c r="L581" s="3" t="str">
        <f>IFERROR(__xludf.DUMMYFUNCTION("""COMPUTED_VALUE"""),"kebutuhan penggantian pipa FW lt 2")</f>
        <v>kebutuhan penggantian pipa FW lt 2</v>
      </c>
      <c r="M581" s="3" t="str">
        <f>IFERROR(__xludf.DUMMYFUNCTION("""COMPUTED_VALUE"""),"Approve")</f>
        <v>Approve</v>
      </c>
      <c r="N581" s="3" t="str">
        <f>IFERROR(__xludf.DUMMYFUNCTION("""COMPUTED_VALUE"""),"Normal")</f>
        <v>Normal</v>
      </c>
      <c r="O581" s="3" t="str">
        <f>IFERROR(__xludf.DUMMYFUNCTION("""COMPUTED_VALUE"""),"Non Urgent")</f>
        <v>Non Urgent</v>
      </c>
      <c r="P581" s="7">
        <f>IFERROR(__xludf.DUMMYFUNCTION("""COMPUTED_VALUE"""),46206.921263819444)</f>
        <v>46206.92126</v>
      </c>
    </row>
    <row r="582">
      <c r="A582" s="4">
        <f>IFERROR(__xludf.DUMMYFUNCTION("""COMPUTED_VALUE"""),46195.69084635417)</f>
        <v>46195.69085</v>
      </c>
      <c r="B582" s="3" t="str">
        <f>IFERROR(__xludf.DUMMYFUNCTION("""COMPUTED_VALUE"""),"ANOBR0073")</f>
        <v>ANOBR0073</v>
      </c>
      <c r="C582" s="3" t="str">
        <f>IFERROR(__xludf.DUMMYFUNCTION("""COMPUTED_VALUE"""),"EJO")</f>
        <v>EJO</v>
      </c>
      <c r="D582" s="3" t="str">
        <f>IFERROR(__xludf.DUMMYFUNCTION("""COMPUTED_VALUE"""),"-")</f>
        <v>-</v>
      </c>
      <c r="E582" s="3" t="str">
        <f>IFERROR(__xludf.DUMMYFUNCTION("""COMPUTED_VALUE"""),"pipa FW LT 2")</f>
        <v>pipa FW LT 2</v>
      </c>
      <c r="F582" s="3" t="str">
        <f>IFERROR(__xludf.DUMMYFUNCTION("""COMPUTED_VALUE"""),"watermur ss 304 1 inch ")</f>
        <v>watermur ss 304 1 inch </v>
      </c>
      <c r="G582" s="3" t="str">
        <f>IFERROR(__xludf.DUMMYFUNCTION("""COMPUTED_VALUE"""),"watermur ss 304 1 inch ")</f>
        <v>watermur ss 304 1 inch </v>
      </c>
      <c r="H582" s="3" t="str">
        <f>IFERROR(__xludf.DUMMYFUNCTION("""COMPUTED_VALUE"""),"-")</f>
        <v>-</v>
      </c>
      <c r="I582" s="3">
        <f>IFERROR(__xludf.DUMMYFUNCTION("""COMPUTED_VALUE"""),4.0)</f>
        <v>4</v>
      </c>
      <c r="J582" s="3" t="str">
        <f>IFERROR(__xludf.DUMMYFUNCTION("""COMPUTED_VALUE"""),"pcs")</f>
        <v>pcs</v>
      </c>
      <c r="K582" s="3" t="str">
        <f>IFERROR(__xludf.DUMMYFUNCTION("""COMPUTED_VALUE"""),"-")</f>
        <v>-</v>
      </c>
      <c r="L582" s="3" t="str">
        <f>IFERROR(__xludf.DUMMYFUNCTION("""COMPUTED_VALUE"""),"kebutuhan penggantian pipa FW lt 2")</f>
        <v>kebutuhan penggantian pipa FW lt 2</v>
      </c>
      <c r="M582" s="3" t="str">
        <f>IFERROR(__xludf.DUMMYFUNCTION("""COMPUTED_VALUE"""),"Approve")</f>
        <v>Approve</v>
      </c>
      <c r="N582" s="3" t="str">
        <f>IFERROR(__xludf.DUMMYFUNCTION("""COMPUTED_VALUE"""),"Normal")</f>
        <v>Normal</v>
      </c>
      <c r="O582" s="3" t="str">
        <f>IFERROR(__xludf.DUMMYFUNCTION("""COMPUTED_VALUE"""),"Non Urgent")</f>
        <v>Non Urgent</v>
      </c>
      <c r="P582" s="7">
        <f>IFERROR(__xludf.DUMMYFUNCTION("""COMPUTED_VALUE"""),46206.921395972226)</f>
        <v>46206.9214</v>
      </c>
    </row>
    <row r="583">
      <c r="A583" s="4">
        <f>IFERROR(__xludf.DUMMYFUNCTION("""COMPUTED_VALUE"""),46195.69084635417)</f>
        <v>46195.69085</v>
      </c>
      <c r="B583" s="3" t="str">
        <f>IFERROR(__xludf.DUMMYFUNCTION("""COMPUTED_VALUE"""),"ANOBR0074")</f>
        <v>ANOBR0074</v>
      </c>
      <c r="C583" s="3" t="str">
        <f>IFERROR(__xludf.DUMMYFUNCTION("""COMPUTED_VALUE"""),"EJO")</f>
        <v>EJO</v>
      </c>
      <c r="D583" s="3" t="str">
        <f>IFERROR(__xludf.DUMMYFUNCTION("""COMPUTED_VALUE"""),"-")</f>
        <v>-</v>
      </c>
      <c r="E583" s="3" t="str">
        <f>IFERROR(__xludf.DUMMYFUNCTION("""COMPUTED_VALUE"""),"pipa FW LT 2")</f>
        <v>pipa FW LT 2</v>
      </c>
      <c r="F583" s="3" t="str">
        <f>IFERROR(__xludf.DUMMYFUNCTION("""COMPUTED_VALUE"""),"shock drat luar 1 inch ")</f>
        <v>shock drat luar 1 inch </v>
      </c>
      <c r="G583" s="3" t="str">
        <f>IFERROR(__xludf.DUMMYFUNCTION("""COMPUTED_VALUE"""),"shock drat luar 1 inch ")</f>
        <v>shock drat luar 1 inch </v>
      </c>
      <c r="H583" s="3" t="str">
        <f>IFERROR(__xludf.DUMMYFUNCTION("""COMPUTED_VALUE"""),"-")</f>
        <v>-</v>
      </c>
      <c r="I583" s="3">
        <f>IFERROR(__xludf.DUMMYFUNCTION("""COMPUTED_VALUE"""),4.0)</f>
        <v>4</v>
      </c>
      <c r="J583" s="3" t="str">
        <f>IFERROR(__xludf.DUMMYFUNCTION("""COMPUTED_VALUE"""),"pcs")</f>
        <v>pcs</v>
      </c>
      <c r="K583" s="3" t="str">
        <f>IFERROR(__xludf.DUMMYFUNCTION("""COMPUTED_VALUE"""),"-")</f>
        <v>-</v>
      </c>
      <c r="L583" s="3" t="str">
        <f>IFERROR(__xludf.DUMMYFUNCTION("""COMPUTED_VALUE"""),"kebutuhan penggantian pipa FW lt 2")</f>
        <v>kebutuhan penggantian pipa FW lt 2</v>
      </c>
      <c r="M583" s="3" t="str">
        <f>IFERROR(__xludf.DUMMYFUNCTION("""COMPUTED_VALUE"""),"Approve")</f>
        <v>Approve</v>
      </c>
      <c r="N583" s="3" t="str">
        <f>IFERROR(__xludf.DUMMYFUNCTION("""COMPUTED_VALUE"""),"Normal")</f>
        <v>Normal</v>
      </c>
      <c r="O583" s="3" t="str">
        <f>IFERROR(__xludf.DUMMYFUNCTION("""COMPUTED_VALUE"""),"Non Urgent")</f>
        <v>Non Urgent</v>
      </c>
      <c r="P583" s="7">
        <f>IFERROR(__xludf.DUMMYFUNCTION("""COMPUTED_VALUE"""),46206.92170481481)</f>
        <v>46206.9217</v>
      </c>
    </row>
    <row r="584">
      <c r="A584" s="4">
        <f>IFERROR(__xludf.DUMMYFUNCTION("""COMPUTED_VALUE"""),46195.69084635417)</f>
        <v>46195.69085</v>
      </c>
      <c r="B584" s="3" t="str">
        <f>IFERROR(__xludf.DUMMYFUNCTION("""COMPUTED_VALUE"""),"ANOBR0075")</f>
        <v>ANOBR0075</v>
      </c>
      <c r="C584" s="3" t="str">
        <f>IFERROR(__xludf.DUMMYFUNCTION("""COMPUTED_VALUE"""),"EJO")</f>
        <v>EJO</v>
      </c>
      <c r="D584" s="3" t="str">
        <f>IFERROR(__xludf.DUMMYFUNCTION("""COMPUTED_VALUE"""),"-")</f>
        <v>-</v>
      </c>
      <c r="E584" s="3" t="str">
        <f>IFERROR(__xludf.DUMMYFUNCTION("""COMPUTED_VALUE"""),"pipa FW LT 2")</f>
        <v>pipa FW LT 2</v>
      </c>
      <c r="F584" s="3" t="str">
        <f>IFERROR(__xludf.DUMMYFUNCTION("""COMPUTED_VALUE"""),"shock drat luar ss 304 1 inch ")</f>
        <v>shock drat luar ss 304 1 inch </v>
      </c>
      <c r="G584" s="3" t="str">
        <f>IFERROR(__xludf.DUMMYFUNCTION("""COMPUTED_VALUE"""),"shock drat luar ss 304 1 inch ")</f>
        <v>shock drat luar ss 304 1 inch </v>
      </c>
      <c r="H584" s="3" t="str">
        <f>IFERROR(__xludf.DUMMYFUNCTION("""COMPUTED_VALUE"""),"-")</f>
        <v>-</v>
      </c>
      <c r="I584" s="3">
        <f>IFERROR(__xludf.DUMMYFUNCTION("""COMPUTED_VALUE"""),4.0)</f>
        <v>4</v>
      </c>
      <c r="J584" s="3" t="str">
        <f>IFERROR(__xludf.DUMMYFUNCTION("""COMPUTED_VALUE"""),"pcs")</f>
        <v>pcs</v>
      </c>
      <c r="K584" s="3" t="str">
        <f>IFERROR(__xludf.DUMMYFUNCTION("""COMPUTED_VALUE"""),"-")</f>
        <v>-</v>
      </c>
      <c r="L584" s="3" t="str">
        <f>IFERROR(__xludf.DUMMYFUNCTION("""COMPUTED_VALUE"""),"kebutuhan penggantian pipa FW lt 2")</f>
        <v>kebutuhan penggantian pipa FW lt 2</v>
      </c>
      <c r="M584" s="3" t="str">
        <f>IFERROR(__xludf.DUMMYFUNCTION("""COMPUTED_VALUE"""),"Approve")</f>
        <v>Approve</v>
      </c>
      <c r="N584" s="3" t="str">
        <f>IFERROR(__xludf.DUMMYFUNCTION("""COMPUTED_VALUE"""),"Normal")</f>
        <v>Normal</v>
      </c>
      <c r="O584" s="3" t="str">
        <f>IFERROR(__xludf.DUMMYFUNCTION("""COMPUTED_VALUE"""),"Non Urgent")</f>
        <v>Non Urgent</v>
      </c>
      <c r="P584" s="7">
        <f>IFERROR(__xludf.DUMMYFUNCTION("""COMPUTED_VALUE"""),46206.92185234954)</f>
        <v>46206.92185</v>
      </c>
    </row>
    <row r="585">
      <c r="A585" s="4">
        <f>IFERROR(__xludf.DUMMYFUNCTION("""COMPUTED_VALUE"""),46195.69084635417)</f>
        <v>46195.69085</v>
      </c>
      <c r="B585" s="3" t="str">
        <f>IFERROR(__xludf.DUMMYFUNCTION("""COMPUTED_VALUE"""),"ANOBR0076")</f>
        <v>ANOBR0076</v>
      </c>
      <c r="C585" s="3" t="str">
        <f>IFERROR(__xludf.DUMMYFUNCTION("""COMPUTED_VALUE"""),"EJO")</f>
        <v>EJO</v>
      </c>
      <c r="D585" s="3" t="str">
        <f>IFERROR(__xludf.DUMMYFUNCTION("""COMPUTED_VALUE"""),"-")</f>
        <v>-</v>
      </c>
      <c r="E585" s="3" t="str">
        <f>IFERROR(__xludf.DUMMYFUNCTION("""COMPUTED_VALUE"""),"pipa FW LT 2")</f>
        <v>pipa FW LT 2</v>
      </c>
      <c r="F585" s="3" t="str">
        <f>IFERROR(__xludf.DUMMYFUNCTION("""COMPUTED_VALUE"""),"double nepple ss 304 1 inch ")</f>
        <v>double nepple ss 304 1 inch </v>
      </c>
      <c r="G585" s="3" t="str">
        <f>IFERROR(__xludf.DUMMYFUNCTION("""COMPUTED_VALUE"""),"double nepple ss 304 1 inch ")</f>
        <v>double nepple ss 304 1 inch </v>
      </c>
      <c r="H585" s="3" t="str">
        <f>IFERROR(__xludf.DUMMYFUNCTION("""COMPUTED_VALUE"""),"-")</f>
        <v>-</v>
      </c>
      <c r="I585" s="3">
        <f>IFERROR(__xludf.DUMMYFUNCTION("""COMPUTED_VALUE"""),4.0)</f>
        <v>4</v>
      </c>
      <c r="J585" s="3" t="str">
        <f>IFERROR(__xludf.DUMMYFUNCTION("""COMPUTED_VALUE"""),"pcs")</f>
        <v>pcs</v>
      </c>
      <c r="K585" s="3" t="str">
        <f>IFERROR(__xludf.DUMMYFUNCTION("""COMPUTED_VALUE"""),"-")</f>
        <v>-</v>
      </c>
      <c r="L585" s="3" t="str">
        <f>IFERROR(__xludf.DUMMYFUNCTION("""COMPUTED_VALUE"""),"kebutuhan penggantian pipa FW lt 2")</f>
        <v>kebutuhan penggantian pipa FW lt 2</v>
      </c>
      <c r="M585" s="3" t="str">
        <f>IFERROR(__xludf.DUMMYFUNCTION("""COMPUTED_VALUE"""),"Approve")</f>
        <v>Approve</v>
      </c>
      <c r="N585" s="3" t="str">
        <f>IFERROR(__xludf.DUMMYFUNCTION("""COMPUTED_VALUE"""),"Normal")</f>
        <v>Normal</v>
      </c>
      <c r="O585" s="3" t="str">
        <f>IFERROR(__xludf.DUMMYFUNCTION("""COMPUTED_VALUE"""),"Non Urgent")</f>
        <v>Non Urgent</v>
      </c>
      <c r="P585" s="7">
        <f>IFERROR(__xludf.DUMMYFUNCTION("""COMPUTED_VALUE"""),46206.92220509259)</f>
        <v>46206.92221</v>
      </c>
    </row>
    <row r="586">
      <c r="A586" s="4">
        <f>IFERROR(__xludf.DUMMYFUNCTION("""COMPUTED_VALUE"""),46195.69084635417)</f>
        <v>46195.69085</v>
      </c>
      <c r="B586" s="3" t="str">
        <f>IFERROR(__xludf.DUMMYFUNCTION("""COMPUTED_VALUE"""),"ANOBR0077")</f>
        <v>ANOBR0077</v>
      </c>
      <c r="C586" s="3" t="str">
        <f>IFERROR(__xludf.DUMMYFUNCTION("""COMPUTED_VALUE"""),"EJO")</f>
        <v>EJO</v>
      </c>
      <c r="D586" s="3" t="str">
        <f>IFERROR(__xludf.DUMMYFUNCTION("""COMPUTED_VALUE"""),"-")</f>
        <v>-</v>
      </c>
      <c r="E586" s="3" t="str">
        <f>IFERROR(__xludf.DUMMYFUNCTION("""COMPUTED_VALUE"""),"pipa FW LT 2")</f>
        <v>pipa FW LT 2</v>
      </c>
      <c r="F586" s="3" t="str">
        <f>IFERROR(__xludf.DUMMYFUNCTION("""COMPUTED_VALUE"""),"shock drat dalem ss 304 1 inch ")</f>
        <v>shock drat dalem ss 304 1 inch </v>
      </c>
      <c r="G586" s="3" t="str">
        <f>IFERROR(__xludf.DUMMYFUNCTION("""COMPUTED_VALUE"""),"shock drat dalem ss 304 1 inch ")</f>
        <v>shock drat dalem ss 304 1 inch </v>
      </c>
      <c r="H586" s="3" t="str">
        <f>IFERROR(__xludf.DUMMYFUNCTION("""COMPUTED_VALUE"""),"-")</f>
        <v>-</v>
      </c>
      <c r="I586" s="3">
        <f>IFERROR(__xludf.DUMMYFUNCTION("""COMPUTED_VALUE"""),4.0)</f>
        <v>4</v>
      </c>
      <c r="J586" s="3" t="str">
        <f>IFERROR(__xludf.DUMMYFUNCTION("""COMPUTED_VALUE"""),"pcs")</f>
        <v>pcs</v>
      </c>
      <c r="K586" s="3" t="str">
        <f>IFERROR(__xludf.DUMMYFUNCTION("""COMPUTED_VALUE"""),"-")</f>
        <v>-</v>
      </c>
      <c r="L586" s="3" t="str">
        <f>IFERROR(__xludf.DUMMYFUNCTION("""COMPUTED_VALUE"""),"kebutuhan penggantian pipa FW lt 2")</f>
        <v>kebutuhan penggantian pipa FW lt 2</v>
      </c>
      <c r="M586" s="3" t="str">
        <f>IFERROR(__xludf.DUMMYFUNCTION("""COMPUTED_VALUE"""),"Approve")</f>
        <v>Approve</v>
      </c>
      <c r="N586" s="3" t="str">
        <f>IFERROR(__xludf.DUMMYFUNCTION("""COMPUTED_VALUE"""),"Normal")</f>
        <v>Normal</v>
      </c>
      <c r="O586" s="3" t="str">
        <f>IFERROR(__xludf.DUMMYFUNCTION("""COMPUTED_VALUE"""),"Non Urgent")</f>
        <v>Non Urgent</v>
      </c>
      <c r="P586" s="7">
        <f>IFERROR(__xludf.DUMMYFUNCTION("""COMPUTED_VALUE"""),46206.922006249995)</f>
        <v>46206.92201</v>
      </c>
    </row>
    <row r="587">
      <c r="A587" s="4">
        <f>IFERROR(__xludf.DUMMYFUNCTION("""COMPUTED_VALUE"""),46195.70859394676)</f>
        <v>46195.70859</v>
      </c>
      <c r="B587" s="3" t="str">
        <f>IFERROR(__xludf.DUMMYFUNCTION("""COMPUTED_VALUE"""),"ANOBR0082")</f>
        <v>ANOBR0082</v>
      </c>
      <c r="C587" s="3" t="str">
        <f>IFERROR(__xludf.DUMMYFUNCTION("""COMPUTED_VALUE"""),"EJO")</f>
        <v>EJO</v>
      </c>
      <c r="D587" s="3" t="str">
        <f>IFERROR(__xludf.DUMMYFUNCTION("""COMPUTED_VALUE"""),"EJO/2026/06/045")</f>
        <v>EJO/2026/06/045</v>
      </c>
      <c r="E587" s="3" t="str">
        <f>IFERROR(__xludf.DUMMYFUNCTION("""COMPUTED_VALUE"""),"tabung N2 area luar")</f>
        <v>tabung N2 area luar</v>
      </c>
      <c r="F587" s="3" t="str">
        <f>IFERROR(__xludf.DUMMYFUNCTION("""COMPUTED_VALUE"""),"cat besi warna broken white")</f>
        <v>cat besi warna broken white</v>
      </c>
      <c r="G587" s="3" t="str">
        <f>IFERROR(__xludf.DUMMYFUNCTION("""COMPUTED_VALUE"""),"cat besi warna broken white ")</f>
        <v>cat besi warna broken white </v>
      </c>
      <c r="H587" s="3" t="str">
        <f>IFERROR(__xludf.DUMMYFUNCTION("""COMPUTED_VALUE"""),"-")</f>
        <v>-</v>
      </c>
      <c r="I587" s="3">
        <f>IFERROR(__xludf.DUMMYFUNCTION("""COMPUTED_VALUE"""),4.0)</f>
        <v>4</v>
      </c>
      <c r="J587" s="3" t="str">
        <f>IFERROR(__xludf.DUMMYFUNCTION("""COMPUTED_VALUE"""),"kaleng")</f>
        <v>kaleng</v>
      </c>
      <c r="K587" s="5" t="str">
        <f>IFERROR(__xludf.DUMMYFUNCTION("""COMPUTED_VALUE"""),"https://shopee.co.id/product/186890983/24319436830?gads_t_sig=gqRjZGVrxHCFomtpsTE0MjUxOnRzc19zZGtfa2V5omt20QABpGFsZ2_SAAAAZKNkZWvAomN0xEAAAAAMfaLqlfFS4JwQPCoOJZHE2YMfq1tWF61pnIIHqGuyOlpkjBotHu7Xpb0YRK1tULWVZdcpI_r9hw6jgE9CqmNpcGhlcnRleHTEcQAAAAywtGWZWQhq1"&amp;"wSpN8NvI6V5-IKOlJQTbvywX7M9zbtbmGbSXazj5s51Oq2OCVrPg3yTiyZekk8kT6owf1F6RCh4XlC65TuGSmE85lw94fw_DTqqGSD6aPYeJ5u2I5KZT6Ucv_tKVBi-AXhIbXRB&amp;gad_source=1&amp;gad_campaignid=23199775580&amp;gbraid=0AAAAADPpU81DeFPXrA4RrybjVGnG53k7m&amp;gclid=CjwKCAjwuuPRBhAnEiwA2Ji8enjJFhE"&amp;"O6vbh4dbhWLXVB3rZBrWZnzKCIXtVXuaQurNgV9mNYPWHrxoCWP8QAvD_BwE")</f>
        <v>https://shopee.co.id/product/186890983/24319436830?gads_t_sig=gqRjZGVrxHCFomtpsTE0MjUxOnRzc19zZGtfa2V5omt20QABpGFsZ2_SAAAAZKNkZWvAomN0xEAAAAAMfaLqlfFS4JwQPCoOJZHE2YMfq1tWF61pnIIHqGuyOlpkjBotHu7Xpb0YRK1tULWVZdcpI_r9hw6jgE9CqmNpcGhlcnRleHTEcQAAAAywtGWZWQhq1wSpN8NvI6V5-IKOlJQTbvywX7M9zbtbmGbSXazj5s51Oq2OCVrPg3yTiyZekk8kT6owf1F6RCh4XlC65TuGSmE85lw94fw_DTqqGSD6aPYeJ5u2I5KZT6Ucv_tKVBi-AXhIbXRB&amp;gad_source=1&amp;gad_campaignid=23199775580&amp;gbraid=0AAAAADPpU81DeFPXrA4RrybjVGnG53k7m&amp;gclid=CjwKCAjwuuPRBhAnEiwA2Ji8enjJFhEO6vbh4dbhWLXVB3rZBrWZnzKCIXtVXuaQurNgV9mNYPWHrxoCWP8QAvD_BwE</v>
      </c>
      <c r="L587" s="3" t="str">
        <f>IFERROR(__xludf.DUMMYFUNCTION("""COMPUTED_VALUE"""),"kebutuhan pengecatan tanki N2 ")</f>
        <v>kebutuhan pengecatan tanki N2 </v>
      </c>
      <c r="M587" s="3" t="str">
        <f>IFERROR(__xludf.DUMMYFUNCTION("""COMPUTED_VALUE"""),"Approve")</f>
        <v>Approve</v>
      </c>
      <c r="N587" s="3" t="str">
        <f>IFERROR(__xludf.DUMMYFUNCTION("""COMPUTED_VALUE"""),"Normal")</f>
        <v>Normal</v>
      </c>
      <c r="O587" s="3" t="str">
        <f>IFERROR(__xludf.DUMMYFUNCTION("""COMPUTED_VALUE"""),"Non Urgent")</f>
        <v>Non Urgent</v>
      </c>
      <c r="P587" s="7">
        <f>IFERROR(__xludf.DUMMYFUNCTION("""COMPUTED_VALUE"""),46206.92355180555)</f>
        <v>46206.92355</v>
      </c>
    </row>
    <row r="588">
      <c r="A588" s="4">
        <f>IFERROR(__xludf.DUMMYFUNCTION("""COMPUTED_VALUE"""),46195.70929417824)</f>
        <v>46195.70929</v>
      </c>
      <c r="B588" s="3" t="str">
        <f>IFERROR(__xludf.DUMMYFUNCTION("""COMPUTED_VALUE"""),"ANOBR0083")</f>
        <v>ANOBR0083</v>
      </c>
      <c r="C588" s="3" t="str">
        <f>IFERROR(__xludf.DUMMYFUNCTION("""COMPUTED_VALUE"""),"EJO")</f>
        <v>EJO</v>
      </c>
      <c r="D588" s="3" t="str">
        <f>IFERROR(__xludf.DUMMYFUNCTION("""COMPUTED_VALUE"""),"EJO/2026/06/045")</f>
        <v>EJO/2026/06/045</v>
      </c>
      <c r="E588" s="3" t="str">
        <f>IFERROR(__xludf.DUMMYFUNCTION("""COMPUTED_VALUE"""),"tabung N2 area luar")</f>
        <v>tabung N2 area luar</v>
      </c>
      <c r="F588" s="3" t="str">
        <f>IFERROR(__xludf.DUMMYFUNCTION("""COMPUTED_VALUE"""),"tinner PU nippon")</f>
        <v>tinner PU nippon</v>
      </c>
      <c r="G588" s="3" t="str">
        <f>IFERROR(__xludf.DUMMYFUNCTION("""COMPUTED_VALUE"""),"tinner PU nippon")</f>
        <v>tinner PU nippon</v>
      </c>
      <c r="H588" s="3" t="str">
        <f>IFERROR(__xludf.DUMMYFUNCTION("""COMPUTED_VALUE"""),"-")</f>
        <v>-</v>
      </c>
      <c r="I588" s="3">
        <f>IFERROR(__xludf.DUMMYFUNCTION("""COMPUTED_VALUE"""),4.0)</f>
        <v>4</v>
      </c>
      <c r="J588" s="3" t="str">
        <f>IFERROR(__xludf.DUMMYFUNCTION("""COMPUTED_VALUE"""),"kaleng")</f>
        <v>kaleng</v>
      </c>
      <c r="K588" s="5" t="str">
        <f>IFERROR(__xludf.DUMMYFUNCTION("""COMPUTED_VALUE"""),"https://shopee.co.id/product/349565746/24002520360?gads_t_sig=gqRjZGVrxHCFomtpsTE0MjUxOnRzc19zZGtfa2V5omt20QABpGFsZ2_SAAAAZKNkZWvAomN0xEAAAAAMfaLqlfFS4JwQPCoOJZHE2YMfq1tWF61pnIIHqGuyOlpkjBotHu7Xpb0YRK1tULWVZdcpI_r9hw6jgE9CqmNpcGhlcnRleHTEcQAAAAzj5WhWlhcFB"&amp;"VhsEgP1EkGrNgcrWXxxd1wRS-MFQy9V82-gL_fhCX6D_2dIVPjuWPxO-uFsMWEqmsyh21Tu_u7CPaRpaJFXIanzMepAla9cl2SDcbyc6llMHdxEaNNxFmniImkmkw2N17RL39mc&amp;gad_source=1&amp;gad_campaignid=23631329745&amp;gbraid=0AAAAADPpU83TM1_6Pv4129Us1UY8CM7Mg&amp;gclid=CjwKCAjwuuPRBhAnEiwA2Ji8elrscF_"&amp;"gnzJ_0VIQwbDbQqe42rirw7HuYVWpO5h_eU8qqzntV817GBoClzgQAvD_BwE")</f>
        <v>https://shopee.co.id/product/349565746/24002520360?gads_t_sig=gqRjZGVrxHCFomtpsTE0MjUxOnRzc19zZGtfa2V5omt20QABpGFsZ2_SAAAAZKNkZWvAomN0xEAAAAAMfaLqlfFS4JwQPCoOJZHE2YMfq1tWF61pnIIHqGuyOlpkjBotHu7Xpb0YRK1tULWVZdcpI_r9hw6jgE9CqmNpcGhlcnRleHTEcQAAAAzj5WhWlhcFBVhsEgP1EkGrNgcrWXxxd1wRS-MFQy9V82-gL_fhCX6D_2dIVPjuWPxO-uFsMWEqmsyh21Tu_u7CPaRpaJFXIanzMepAla9cl2SDcbyc6llMHdxEaNNxFmniImkmkw2N17RL39mc&amp;gad_source=1&amp;gad_campaignid=23631329745&amp;gbraid=0AAAAADPpU83TM1_6Pv4129Us1UY8CM7Mg&amp;gclid=CjwKCAjwuuPRBhAnEiwA2Ji8elrscF_gnzJ_0VIQwbDbQqe42rirw7HuYVWpO5h_eU8qqzntV817GBoClzgQAvD_BwE</v>
      </c>
      <c r="L588" s="3" t="str">
        <f>IFERROR(__xludf.DUMMYFUNCTION("""COMPUTED_VALUE"""),"kebutuhan pengecatan tanki N2 ")</f>
        <v>kebutuhan pengecatan tanki N2 </v>
      </c>
      <c r="M588" s="3" t="str">
        <f>IFERROR(__xludf.DUMMYFUNCTION("""COMPUTED_VALUE"""),"Approve")</f>
        <v>Approve</v>
      </c>
      <c r="N588" s="3" t="str">
        <f>IFERROR(__xludf.DUMMYFUNCTION("""COMPUTED_VALUE"""),"Normal")</f>
        <v>Normal</v>
      </c>
      <c r="O588" s="3" t="str">
        <f>IFERROR(__xludf.DUMMYFUNCTION("""COMPUTED_VALUE"""),"Non Urgent")</f>
        <v>Non Urgent</v>
      </c>
      <c r="P588" s="7">
        <f>IFERROR(__xludf.DUMMYFUNCTION("""COMPUTED_VALUE"""),46206.92372028936)</f>
        <v>46206.92372</v>
      </c>
    </row>
    <row r="589">
      <c r="A589" s="4">
        <f>IFERROR(__xludf.DUMMYFUNCTION("""COMPUTED_VALUE"""),46195.71158704861)</f>
        <v>46195.71159</v>
      </c>
      <c r="B589" s="3" t="str">
        <f>IFERROR(__xludf.DUMMYFUNCTION("""COMPUTED_VALUE"""),"ANOBR0078")</f>
        <v>ANOBR0078</v>
      </c>
      <c r="C589" s="3" t="str">
        <f>IFERROR(__xludf.DUMMYFUNCTION("""COMPUTED_VALUE"""),"Consumable")</f>
        <v>Consumable</v>
      </c>
      <c r="D589" s="3" t="str">
        <f>IFERROR(__xludf.DUMMYFUNCTION("""COMPUTED_VALUE"""),"-")</f>
        <v>-</v>
      </c>
      <c r="E589" s="3" t="str">
        <f>IFERROR(__xludf.DUMMYFUNCTION("""COMPUTED_VALUE"""),"mesin las")</f>
        <v>mesin las</v>
      </c>
      <c r="F589" s="3" t="str">
        <f>IFERROR(__xludf.DUMMYFUNCTION("""COMPUTED_VALUE"""),"tungsten 2 mm")</f>
        <v>tungsten 2 mm</v>
      </c>
      <c r="G589" s="3" t="str">
        <f>IFERROR(__xludf.DUMMYFUNCTION("""COMPUTED_VALUE"""),"tungsten 2 mm")</f>
        <v>tungsten 2 mm</v>
      </c>
      <c r="H589" s="3" t="str">
        <f>IFERROR(__xludf.DUMMYFUNCTION("""COMPUTED_VALUE"""),"-")</f>
        <v>-</v>
      </c>
      <c r="I589" s="3">
        <f>IFERROR(__xludf.DUMMYFUNCTION("""COMPUTED_VALUE"""),5.0)</f>
        <v>5</v>
      </c>
      <c r="J589" s="3" t="str">
        <f>IFERROR(__xludf.DUMMYFUNCTION("""COMPUTED_VALUE"""),"pcs")</f>
        <v>pcs</v>
      </c>
      <c r="K589" s="5" t="str">
        <f>IFERROR(__xludf.DUMMYFUNCTION("""COMPUTED_VALUE"""),"https://shopee.co.id/product/471479494/23169443681?gads_t_sig=gqRjZGVrxHCFomtpsTE0MjUxOnRzc19zZGtfa2V5omt20QABpGFsZ2_SAAAAZKNkZWvAomN0xEAAAAAMfaLqlfFS4JwQPCoOJZHE2YMfq1tWF61pnIIHqGuyOlpkjBotHu7Xpb0YRK1tULWVZdcpI_r9hw6jgE9CqmNpcGhlcnRleHTEcQAAAAy1GR2kNRudl"&amp;"wzbdb3C9oK5qeB8tYVTkirw4lR41CMyXDXlHCVAaR7mmLPoja9SnHUMJZ0PYbdZkBUIiM9LW5UzAgUDSOb2q9gIKffCdkuA2zswzaB35T8yANw3MPdlEF4g2RneT2odK-xHRUeG")</f>
        <v>https://shopee.co.id/product/471479494/23169443681?gads_t_sig=gqRjZGVrxHCFomtpsTE0MjUxOnRzc19zZGtfa2V5omt20QABpGFsZ2_SAAAAZKNkZWvAomN0xEAAAAAMfaLqlfFS4JwQPCoOJZHE2YMfq1tWF61pnIIHqGuyOlpkjBotHu7Xpb0YRK1tULWVZdcpI_r9hw6jgE9CqmNpcGhlcnRleHTEcQAAAAy1GR2kNRudlwzbdb3C9oK5qeB8tYVTkirw4lR41CMyXDXlHCVAaR7mmLPoja9SnHUMJZ0PYbdZkBUIiM9LW5UzAgUDSOb2q9gIKffCdkuA2zswzaB35T8yANw3MPdlEF4g2RneT2odK-xHRUeG</v>
      </c>
      <c r="L589" s="3" t="str">
        <f>IFERROR(__xludf.DUMMYFUNCTION("""COMPUTED_VALUE"""),"kebutuhan penggantian pipa FW lt 2")</f>
        <v>kebutuhan penggantian pipa FW lt 2</v>
      </c>
      <c r="M589" s="3" t="str">
        <f>IFERROR(__xludf.DUMMYFUNCTION("""COMPUTED_VALUE"""),"Approve")</f>
        <v>Approve</v>
      </c>
      <c r="N589" s="3" t="str">
        <f>IFERROR(__xludf.DUMMYFUNCTION("""COMPUTED_VALUE"""),"Normal")</f>
        <v>Normal</v>
      </c>
      <c r="O589" s="3" t="str">
        <f>IFERROR(__xludf.DUMMYFUNCTION("""COMPUTED_VALUE"""),"Non Urgent")</f>
        <v>Non Urgent</v>
      </c>
      <c r="P589" s="7">
        <f>IFERROR(__xludf.DUMMYFUNCTION("""COMPUTED_VALUE"""),46206.922550069445)</f>
        <v>46206.92255</v>
      </c>
    </row>
    <row r="590">
      <c r="A590" s="4">
        <f>IFERROR(__xludf.DUMMYFUNCTION("""COMPUTED_VALUE"""),46195.71158704861)</f>
        <v>46195.71159</v>
      </c>
      <c r="B590" s="3" t="str">
        <f>IFERROR(__xludf.DUMMYFUNCTION("""COMPUTED_VALUE"""),"ANOBR0079")</f>
        <v>ANOBR0079</v>
      </c>
      <c r="C590" s="3" t="str">
        <f>IFERROR(__xludf.DUMMYFUNCTION("""COMPUTED_VALUE"""),"Consumable")</f>
        <v>Consumable</v>
      </c>
      <c r="D590" s="3" t="str">
        <f>IFERROR(__xludf.DUMMYFUNCTION("""COMPUTED_VALUE"""),"-")</f>
        <v>-</v>
      </c>
      <c r="E590" s="3" t="str">
        <f>IFERROR(__xludf.DUMMYFUNCTION("""COMPUTED_VALUE"""),"mesin las")</f>
        <v>mesin las</v>
      </c>
      <c r="F590" s="3" t="str">
        <f>IFERROR(__xludf.DUMMYFUNCTION("""COMPUTED_VALUE"""),"body collet 2 mm")</f>
        <v>body collet 2 mm</v>
      </c>
      <c r="G590" s="3" t="str">
        <f>IFERROR(__xludf.DUMMYFUNCTION("""COMPUTED_VALUE"""),"body collet 2 mm")</f>
        <v>body collet 2 mm</v>
      </c>
      <c r="H590" s="3" t="str">
        <f>IFERROR(__xludf.DUMMYFUNCTION("""COMPUTED_VALUE"""),"-")</f>
        <v>-</v>
      </c>
      <c r="I590" s="3">
        <f>IFERROR(__xludf.DUMMYFUNCTION("""COMPUTED_VALUE"""),4.0)</f>
        <v>4</v>
      </c>
      <c r="J590" s="3" t="str">
        <f>IFERROR(__xludf.DUMMYFUNCTION("""COMPUTED_VALUE"""),"pcs")</f>
        <v>pcs</v>
      </c>
      <c r="K590" s="5" t="str">
        <f>IFERROR(__xludf.DUMMYFUNCTION("""COMPUTED_VALUE"""),"https://shopee.co.id/product/772267197/29852444260?gads_t_sig=gqRjZGVrxHCFomtpsTE0MjUxOnRzc19zZGtfa2V5omt20QABpGFsZ2_SAAAAZKNkZWvAomN0xEAAAAAMfaLqlfFS4JwQPCoOJZHE2YMfq1tWF61pnIIHqGuyOlpkjBotHu7Xpb0YRK1tULWVZdcpI_r9hw6jgE9CqmNpcGhlcnRleHTEcQAAAAx0U4J4IkGcX"&amp;"k4ib0ib4LfBG82fWu9zNb1s2_a4h9dZ5GMvNEkhixtZSjW6EZZf9lWCTyfiPTIkbOr72X6mXR98wx13zrG9EHUHuRSJO7njZKzUX8ZcwKF02MtQdWztpJem7TWxK0r99-a78PhK&amp;gad_source=1&amp;gad_campaignid=23295573023&amp;gbraid=0AAAAADPpU83Xe_0MYaLimaPv78UF4qJo5&amp;gclid=CjwKCAjwuuPRBhAnEiwA2Ji8esk93AH"&amp;"wsPUT_fKGwzRthOhKVbdf2q9mHvM7-nlegLqzngnsQo7FVRoCCVUQAvD_BwE")</f>
        <v>https://shopee.co.id/product/772267197/29852444260?gads_t_sig=gqRjZGVrxHCFomtpsTE0MjUxOnRzc19zZGtfa2V5omt20QABpGFsZ2_SAAAAZKNkZWvAomN0xEAAAAAMfaLqlfFS4JwQPCoOJZHE2YMfq1tWF61pnIIHqGuyOlpkjBotHu7Xpb0YRK1tULWVZdcpI_r9hw6jgE9CqmNpcGhlcnRleHTEcQAAAAx0U4J4IkGcXk4ib0ib4LfBG82fWu9zNb1s2_a4h9dZ5GMvNEkhixtZSjW6EZZf9lWCTyfiPTIkbOr72X6mXR98wx13zrG9EHUHuRSJO7njZKzUX8ZcwKF02MtQdWztpJem7TWxK0r99-a78PhK&amp;gad_source=1&amp;gad_campaignid=23295573023&amp;gbraid=0AAAAADPpU83Xe_0MYaLimaPv78UF4qJo5&amp;gclid=CjwKCAjwuuPRBhAnEiwA2Ji8esk93AHwsPUT_fKGwzRthOhKVbdf2q9mHvM7-nlegLqzngnsQo7FVRoCCVUQAvD_BwE</v>
      </c>
      <c r="L590" s="3" t="str">
        <f>IFERROR(__xludf.DUMMYFUNCTION("""COMPUTED_VALUE"""),"kebutuhan penggantian pipa FW lt 2")</f>
        <v>kebutuhan penggantian pipa FW lt 2</v>
      </c>
      <c r="M590" s="3" t="str">
        <f>IFERROR(__xludf.DUMMYFUNCTION("""COMPUTED_VALUE"""),"Approve")</f>
        <v>Approve</v>
      </c>
      <c r="N590" s="3" t="str">
        <f>IFERROR(__xludf.DUMMYFUNCTION("""COMPUTED_VALUE"""),"Normal")</f>
        <v>Normal</v>
      </c>
      <c r="O590" s="3" t="str">
        <f>IFERROR(__xludf.DUMMYFUNCTION("""COMPUTED_VALUE"""),"Non Urgent")</f>
        <v>Non Urgent</v>
      </c>
      <c r="P590" s="7">
        <f>IFERROR(__xludf.DUMMYFUNCTION("""COMPUTED_VALUE"""),46206.92270178241)</f>
        <v>46206.9227</v>
      </c>
    </row>
    <row r="591">
      <c r="A591" s="4">
        <f>IFERROR(__xludf.DUMMYFUNCTION("""COMPUTED_VALUE"""),46195.71158704861)</f>
        <v>46195.71159</v>
      </c>
      <c r="B591" s="3" t="str">
        <f>IFERROR(__xludf.DUMMYFUNCTION("""COMPUTED_VALUE"""),"ANOBR0080")</f>
        <v>ANOBR0080</v>
      </c>
      <c r="C591" s="3" t="str">
        <f>IFERROR(__xludf.DUMMYFUNCTION("""COMPUTED_VALUE"""),"Consumable")</f>
        <v>Consumable</v>
      </c>
      <c r="D591" s="3" t="str">
        <f>IFERROR(__xludf.DUMMYFUNCTION("""COMPUTED_VALUE"""),"-")</f>
        <v>-</v>
      </c>
      <c r="E591" s="3" t="str">
        <f>IFERROR(__xludf.DUMMYFUNCTION("""COMPUTED_VALUE"""),"mesin las")</f>
        <v>mesin las</v>
      </c>
      <c r="F591" s="3" t="str">
        <f>IFERROR(__xludf.DUMMYFUNCTION("""COMPUTED_VALUE"""),"keramik las argon no 6,7,8,9")</f>
        <v>keramik las argon no 6,7,8,9</v>
      </c>
      <c r="G591" s="3" t="str">
        <f>IFERROR(__xludf.DUMMYFUNCTION("""COMPUTED_VALUE"""),"keramik las argon no 4,6,7,8,10,12")</f>
        <v>keramik las argon no 4,6,7,8,10,12</v>
      </c>
      <c r="H591" s="3" t="str">
        <f>IFERROR(__xludf.DUMMYFUNCTION("""COMPUTED_VALUE"""),"-")</f>
        <v>-</v>
      </c>
      <c r="I591" s="3">
        <f>IFERROR(__xludf.DUMMYFUNCTION("""COMPUTED_VALUE"""),1.0)</f>
        <v>1</v>
      </c>
      <c r="J591" s="3" t="str">
        <f>IFERROR(__xludf.DUMMYFUNCTION("""COMPUTED_VALUE"""),"set")</f>
        <v>set</v>
      </c>
      <c r="K591" s="5" t="str">
        <f>IFERROR(__xludf.DUMMYFUNCTION("""COMPUTED_VALUE"""),"https://shopee.co.id/product/1027084448/18381558008?gads_t_sig=gqRjZGVrxHCFomtpsTE0MjUxOnRzc19zZGtfa2V5omt20QABpGFsZ2_SAAAAZKNkZWvAomN0xEAAAAAMfaLqlfFS4JwQPCoOJZHE2YMfq1tWF61pnIIHqGuyOlpkjBotHu7Xpb0YRK1tULWVZdcpI_r9hw6jgE9CqmNpcGhlcnRleHTEcwAAAAxDOu-TyQCk"&amp;"Oeb2YZn8t1O3neCDBJ7XQJaN9mJXkGjWLnBwRtIpsYHSwUQis-YaikctbI6GDep8HPW5FjXVnwAYkMW8VOWycgsRHAnVhpkZhWRUB50yoK7WK5uhjZFZjUvLkkCQUCONx2dWXf13Bkg&amp;gad_source=1&amp;gad_campaignid=23290582497&amp;gbraid=0AAAAADPpU80r4YM6rcpm8nv5aRAHbj3RS&amp;gclid=CjwKCAjwuuPRBhAnEiwA2Ji8em-"&amp;"c4tb24z5ZNw2OhyztyR2eiaJRkuyuVLeJB3kuZNepaR1R3e3GehoCwXgQAvD_BwE")</f>
        <v>https://shopee.co.id/product/1027084448/18381558008?gads_t_sig=gqRjZGVrxHCFomtpsTE0MjUxOnRzc19zZGtfa2V5omt20QABpGFsZ2_SAAAAZKNkZWvAomN0xEAAAAAMfaLqlfFS4JwQPCoOJZHE2YMfq1tWF61pnIIHqGuyOlpkjBotHu7Xpb0YRK1tULWVZdcpI_r9hw6jgE9CqmNpcGhlcnRleHTEcwAAAAxDOu-TyQCkOeb2YZn8t1O3neCDBJ7XQJaN9mJXkGjWLnBwRtIpsYHSwUQis-YaikctbI6GDep8HPW5FjXVnwAYkMW8VOWycgsRHAnVhpkZhWRUB50yoK7WK5uhjZFZjUvLkkCQUCONx2dWXf13Bkg&amp;gad_source=1&amp;gad_campaignid=23290582497&amp;gbraid=0AAAAADPpU80r4YM6rcpm8nv5aRAHbj3RS&amp;gclid=CjwKCAjwuuPRBhAnEiwA2Ji8em-c4tb24z5ZNw2OhyztyR2eiaJRkuyuVLeJB3kuZNepaR1R3e3GehoCwXgQAvD_BwE</v>
      </c>
      <c r="L591" s="3" t="str">
        <f>IFERROR(__xludf.DUMMYFUNCTION("""COMPUTED_VALUE"""),"kebutuhan penggantian pipa FW lt 2")</f>
        <v>kebutuhan penggantian pipa FW lt 2</v>
      </c>
      <c r="M591" s="3" t="str">
        <f>IFERROR(__xludf.DUMMYFUNCTION("""COMPUTED_VALUE"""),"Approve")</f>
        <v>Approve</v>
      </c>
      <c r="N591" s="3" t="str">
        <f>IFERROR(__xludf.DUMMYFUNCTION("""COMPUTED_VALUE"""),"Normal")</f>
        <v>Normal</v>
      </c>
      <c r="O591" s="3" t="str">
        <f>IFERROR(__xludf.DUMMYFUNCTION("""COMPUTED_VALUE"""),"Non Urgent")</f>
        <v>Non Urgent</v>
      </c>
      <c r="P591" s="7">
        <f>IFERROR(__xludf.DUMMYFUNCTION("""COMPUTED_VALUE"""),46206.92304616898)</f>
        <v>46206.92305</v>
      </c>
    </row>
    <row r="592">
      <c r="A592" s="4">
        <f>IFERROR(__xludf.DUMMYFUNCTION("""COMPUTED_VALUE"""),46195.71158704861)</f>
        <v>46195.71159</v>
      </c>
      <c r="B592" s="3" t="str">
        <f>IFERROR(__xludf.DUMMYFUNCTION("""COMPUTED_VALUE"""),"ANOBR0081")</f>
        <v>ANOBR0081</v>
      </c>
      <c r="C592" s="3" t="str">
        <f>IFERROR(__xludf.DUMMYFUNCTION("""COMPUTED_VALUE"""),"Consumable")</f>
        <v>Consumable</v>
      </c>
      <c r="D592" s="3" t="str">
        <f>IFERROR(__xludf.DUMMYFUNCTION("""COMPUTED_VALUE"""),"-")</f>
        <v>-</v>
      </c>
      <c r="E592" s="3" t="str">
        <f>IFERROR(__xludf.DUMMYFUNCTION("""COMPUTED_VALUE"""),"mesin las")</f>
        <v>mesin las</v>
      </c>
      <c r="F592" s="3" t="str">
        <f>IFERROR(__xludf.DUMMYFUNCTION("""COMPUTED_VALUE"""),"collet 2 mm")</f>
        <v>collet 2 mm</v>
      </c>
      <c r="G592" s="3" t="str">
        <f>IFERROR(__xludf.DUMMYFUNCTION("""COMPUTED_VALUE"""),"collet las 2 mm")</f>
        <v>collet las 2 mm</v>
      </c>
      <c r="H592" s="3" t="str">
        <f>IFERROR(__xludf.DUMMYFUNCTION("""COMPUTED_VALUE"""),"-")</f>
        <v>-</v>
      </c>
      <c r="I592" s="3">
        <f>IFERROR(__xludf.DUMMYFUNCTION("""COMPUTED_VALUE"""),5.0)</f>
        <v>5</v>
      </c>
      <c r="J592" s="3" t="str">
        <f>IFERROR(__xludf.DUMMYFUNCTION("""COMPUTED_VALUE"""),"pcs")</f>
        <v>pcs</v>
      </c>
      <c r="K592" s="5" t="str">
        <f>IFERROR(__xludf.DUMMYFUNCTION("""COMPUTED_VALUE"""),"https://shopee.co.id/product/566669817/24319741045?gads_t_sig=gqRjZGVrxHCFomtpsTE0MjUxOnRzc19zZGtfa2V5omt20QABpGFsZ2_SAAAAZKNkZWvAomN0xEAAAAAMfaLqlfFS4JwQPCoOJZHE2YMfq1tWF61pnIIHqGuyOlpkjBotHu7Xpb0YRK1tULWVZdcpI_r9hw6jgE9CqmNpcGhlcnRleHTEcQAAAAzUjME4JEs-l"&amp;"mfgsZq7YjJPy8tpm9LEYCfxJ26uNLlW-Vk6hX7Iroa8NAND7BIAo-449pI209VhYmk8xcVNysWSblQN2TfKYb_NMgMHshwpw8bZbVjMhL-9lmDyyVYAxJqayIj3RIzSBtxudK9J&amp;gad_source=1&amp;gad_campaignid=23295573554&amp;gbraid=0AAAAADPpU82opQn-91GfoqKvYelpyjpi2&amp;gclid=CjwKCAjwuuPRBhAnEiwA2Ji8embfWMI"&amp;"QhKamlf_rDDAphJuU41kB7LdCZsjHkvzDW1SlT9O2tvAU0BoCQ78QAvD_BwE")</f>
        <v>https://shopee.co.id/product/566669817/24319741045?gads_t_sig=gqRjZGVrxHCFomtpsTE0MjUxOnRzc19zZGtfa2V5omt20QABpGFsZ2_SAAAAZKNkZWvAomN0xEAAAAAMfaLqlfFS4JwQPCoOJZHE2YMfq1tWF61pnIIHqGuyOlpkjBotHu7Xpb0YRK1tULWVZdcpI_r9hw6jgE9CqmNpcGhlcnRleHTEcQAAAAzUjME4JEs-lmfgsZq7YjJPy8tpm9LEYCfxJ26uNLlW-Vk6hX7Iroa8NAND7BIAo-449pI209VhYmk8xcVNysWSblQN2TfKYb_NMgMHshwpw8bZbVjMhL-9lmDyyVYAxJqayIj3RIzSBtxudK9J&amp;gad_source=1&amp;gad_campaignid=23295573554&amp;gbraid=0AAAAADPpU82opQn-91GfoqKvYelpyjpi2&amp;gclid=CjwKCAjwuuPRBhAnEiwA2Ji8embfWMIQhKamlf_rDDAphJuU41kB7LdCZsjHkvzDW1SlT9O2tvAU0BoCQ78QAvD_BwE</v>
      </c>
      <c r="L592" s="3" t="str">
        <f>IFERROR(__xludf.DUMMYFUNCTION("""COMPUTED_VALUE"""),"kebutuhan penggantian pipa FW lt 2")</f>
        <v>kebutuhan penggantian pipa FW lt 2</v>
      </c>
      <c r="M592" s="3" t="str">
        <f>IFERROR(__xludf.DUMMYFUNCTION("""COMPUTED_VALUE"""),"Approve")</f>
        <v>Approve</v>
      </c>
      <c r="N592" s="3" t="str">
        <f>IFERROR(__xludf.DUMMYFUNCTION("""COMPUTED_VALUE"""),"Normal")</f>
        <v>Normal</v>
      </c>
      <c r="O592" s="3" t="str">
        <f>IFERROR(__xludf.DUMMYFUNCTION("""COMPUTED_VALUE"""),"Non Urgent")</f>
        <v>Non Urgent</v>
      </c>
      <c r="P592" s="7">
        <f>IFERROR(__xludf.DUMMYFUNCTION("""COMPUTED_VALUE"""),46206.92319884259)</f>
        <v>46206.9232</v>
      </c>
    </row>
    <row r="593">
      <c r="A593" s="4">
        <f>IFERROR(__xludf.DUMMYFUNCTION("""COMPUTED_VALUE"""),46195.73185994213)</f>
        <v>46195.73186</v>
      </c>
      <c r="B593" s="3" t="str">
        <f>IFERROR(__xludf.DUMMYFUNCTION("""COMPUTED_VALUE"""),"RIABR0170")</f>
        <v>RIABR0170</v>
      </c>
      <c r="C593" s="3" t="str">
        <f>IFERROR(__xludf.DUMMYFUNCTION("""COMPUTED_VALUE"""),"EJO")</f>
        <v>EJO</v>
      </c>
      <c r="D593" s="3" t="str">
        <f>IFERROR(__xludf.DUMMYFUNCTION("""COMPUTED_VALUE"""),"-")</f>
        <v>-</v>
      </c>
      <c r="E593" s="3" t="str">
        <f>IFERROR(__xludf.DUMMYFUNCTION("""COMPUTED_VALUE"""),"R Filling")</f>
        <v>R Filling</v>
      </c>
      <c r="F593" s="3" t="str">
        <f>IFERROR(__xludf.DUMMYFUNCTION("""COMPUTED_VALUE"""),"Lampu LED")</f>
        <v>Lampu LED</v>
      </c>
      <c r="G593" s="3" t="str">
        <f>IFERROR(__xludf.DUMMYFUNCTION("""COMPUTED_VALUE"""),"RC081V 1197 x 297 mm 30 Watt 6500K")</f>
        <v>RC081V 1197 x 297 mm 30 Watt 6500K</v>
      </c>
      <c r="H593" s="3" t="str">
        <f>IFERROR(__xludf.DUMMYFUNCTION("""COMPUTED_VALUE"""),"Phillips")</f>
        <v>Phillips</v>
      </c>
      <c r="I593" s="3">
        <f>IFERROR(__xludf.DUMMYFUNCTION("""COMPUTED_VALUE"""),3.0)</f>
        <v>3</v>
      </c>
      <c r="J593" s="3" t="str">
        <f>IFERROR(__xludf.DUMMYFUNCTION("""COMPUTED_VALUE"""),"Pcs")</f>
        <v>Pcs</v>
      </c>
      <c r="K593" s="5" t="str">
        <f>IFERROR(__xludf.DUMMYFUNCTION("""COMPUTED_VALUE"""),"https://www.tokopedia.com/led-lighting-store/philips-panel-light-rc081v-rc091v-led27s-28w-28-watt-smart-bright-panel-slim-led-30-x-120-cm-putih-6500k-2b93e?extParam=ivf%3Dfalse%26keyword%3Dphillips+rc081v%26search_id%3D202606220916346DA37DD3139AA4302A3E%2"&amp;"6src%3Dsearch&amp;t_id=1782119809201&amp;t_st=2&amp;t_pp=search_result&amp;t_efo=search_pure_goods_card&amp;t_ef=goods_search&amp;t_sm=&amp;t_spt=search_result")</f>
        <v>https://www.tokopedia.com/led-lighting-store/philips-panel-light-rc081v-rc091v-led27s-28w-28-watt-smart-bright-panel-slim-led-30-x-120-cm-putih-6500k-2b93e?extParam=ivf%3Dfalse%26keyword%3Dphillips+rc081v%26search_id%3D202606220916346DA37DD3139AA4302A3E%26src%3Dsearch&amp;t_id=1782119809201&amp;t_st=2&amp;t_pp=search_result&amp;t_efo=search_pure_goods_card&amp;t_ef=goods_search&amp;t_sm=&amp;t_spt=search_result</v>
      </c>
      <c r="L593" s="3" t="str">
        <f>IFERROR(__xludf.DUMMYFUNCTION("""COMPUTED_VALUE"""),"Buat Project New Filling")</f>
        <v>Buat Project New Filling</v>
      </c>
      <c r="M593" s="3" t="str">
        <f>IFERROR(__xludf.DUMMYFUNCTION("""COMPUTED_VALUE"""),"Approve")</f>
        <v>Approve</v>
      </c>
      <c r="N593" s="3" t="str">
        <f>IFERROR(__xludf.DUMMYFUNCTION("""COMPUTED_VALUE"""),"Normal")</f>
        <v>Normal</v>
      </c>
      <c r="O593" s="3" t="str">
        <f>IFERROR(__xludf.DUMMYFUNCTION("""COMPUTED_VALUE"""),"Non Urgent")</f>
        <v>Non Urgent</v>
      </c>
      <c r="P593" s="7">
        <f>IFERROR(__xludf.DUMMYFUNCTION("""COMPUTED_VALUE"""),46202.89927841435)</f>
        <v>46202.89928</v>
      </c>
    </row>
    <row r="594">
      <c r="A594" s="4">
        <f>IFERROR(__xludf.DUMMYFUNCTION("""COMPUTED_VALUE"""),46195.73303443287)</f>
        <v>46195.73303</v>
      </c>
      <c r="B594" s="3" t="str">
        <f>IFERROR(__xludf.DUMMYFUNCTION("""COMPUTED_VALUE"""),"RIABR0171")</f>
        <v>RIABR0171</v>
      </c>
      <c r="C594" s="3" t="str">
        <f>IFERROR(__xludf.DUMMYFUNCTION("""COMPUTED_VALUE"""),"EJO")</f>
        <v>EJO</v>
      </c>
      <c r="D594" s="3" t="str">
        <f>IFERROR(__xludf.DUMMYFUNCTION("""COMPUTED_VALUE"""),"-")</f>
        <v>-</v>
      </c>
      <c r="E594" s="3" t="str">
        <f>IFERROR(__xludf.DUMMYFUNCTION("""COMPUTED_VALUE"""),"R Filling")</f>
        <v>R Filling</v>
      </c>
      <c r="F594" s="3" t="str">
        <f>IFERROR(__xludf.DUMMYFUNCTION("""COMPUTED_VALUE"""),"Kabel")</f>
        <v>Kabel</v>
      </c>
      <c r="G594" s="3" t="str">
        <f>IFERROR(__xludf.DUMMYFUNCTION("""COMPUTED_VALUE"""),"3 x 1.5 NYM")</f>
        <v>3 x 1.5 NYM</v>
      </c>
      <c r="H594" s="3" t="str">
        <f>IFERROR(__xludf.DUMMYFUNCTION("""COMPUTED_VALUE"""),"Supreme")</f>
        <v>Supreme</v>
      </c>
      <c r="I594" s="3">
        <f>IFERROR(__xludf.DUMMYFUNCTION("""COMPUTED_VALUE"""),50.0)</f>
        <v>50</v>
      </c>
      <c r="J594" s="3" t="str">
        <f>IFERROR(__xludf.DUMMYFUNCTION("""COMPUTED_VALUE"""),"Mtr")</f>
        <v>Mtr</v>
      </c>
      <c r="K594" s="5" t="str">
        <f>IFERROR(__xludf.DUMMYFUNCTION("""COMPUTED_VALUE"""),"https://www.tokopedia.com/supreme-cable/supreme-cable-kabel-listrik-inti-ganda-tembaga-murni-nym-3-x-1-5-mm-50m-1730795500675040326?extParam=ivf%3Dtrue%26keyword%3Dnym+supreme+3+x+1.5%26search_id%3D2026062210332200EC53C4682D3635EMMY%26src%3Dsearch&amp;t_id=17"&amp;"82124408184&amp;t_st=1&amp;t_pp=search_result&amp;t_efo=search_pure_goods_card&amp;t_ef=goods_search&amp;t_sm=&amp;t_spt=search_result")</f>
        <v>https://www.tokopedia.com/supreme-cable/supreme-cable-kabel-listrik-inti-ganda-tembaga-murni-nym-3-x-1-5-mm-50m-1730795500675040326?extParam=ivf%3Dtrue%26keyword%3Dnym+supreme+3+x+1.5%26search_id%3D2026062210332200EC53C4682D3635EMMY%26src%3Dsearch&amp;t_id=1782124408184&amp;t_st=1&amp;t_pp=search_result&amp;t_efo=search_pure_goods_card&amp;t_ef=goods_search&amp;t_sm=&amp;t_spt=search_result</v>
      </c>
      <c r="L594" s="3" t="str">
        <f>IFERROR(__xludf.DUMMYFUNCTION("""COMPUTED_VALUE"""),"Buat Project New Filling")</f>
        <v>Buat Project New Filling</v>
      </c>
      <c r="M594" s="3" t="str">
        <f>IFERROR(__xludf.DUMMYFUNCTION("""COMPUTED_VALUE"""),"Approve")</f>
        <v>Approve</v>
      </c>
      <c r="N594" s="3" t="str">
        <f>IFERROR(__xludf.DUMMYFUNCTION("""COMPUTED_VALUE"""),"Normal")</f>
        <v>Normal</v>
      </c>
      <c r="O594" s="3" t="str">
        <f>IFERROR(__xludf.DUMMYFUNCTION("""COMPUTED_VALUE"""),"Non Urgent")</f>
        <v>Non Urgent</v>
      </c>
      <c r="P594" s="7">
        <f>IFERROR(__xludf.DUMMYFUNCTION("""COMPUTED_VALUE"""),46202.89973020833)</f>
        <v>46202.89973</v>
      </c>
    </row>
    <row r="595">
      <c r="A595" s="4">
        <f>IFERROR(__xludf.DUMMYFUNCTION("""COMPUTED_VALUE"""),46195.73358723379)</f>
        <v>46195.73359</v>
      </c>
      <c r="B595" s="3" t="str">
        <f>IFERROR(__xludf.DUMMYFUNCTION("""COMPUTED_VALUE"""),"RIABR0172")</f>
        <v>RIABR0172</v>
      </c>
      <c r="C595" s="3" t="str">
        <f>IFERROR(__xludf.DUMMYFUNCTION("""COMPUTED_VALUE"""),"EJO")</f>
        <v>EJO</v>
      </c>
      <c r="D595" s="3" t="str">
        <f>IFERROR(__xludf.DUMMYFUNCTION("""COMPUTED_VALUE"""),"-")</f>
        <v>-</v>
      </c>
      <c r="E595" s="3" t="str">
        <f>IFERROR(__xludf.DUMMYFUNCTION("""COMPUTED_VALUE"""),"R Filling")</f>
        <v>R Filling</v>
      </c>
      <c r="F595" s="3" t="str">
        <f>IFERROR(__xludf.DUMMYFUNCTION("""COMPUTED_VALUE"""),"Conduit")</f>
        <v>Conduit</v>
      </c>
      <c r="G595" s="3" t="str">
        <f>IFERROR(__xludf.DUMMYFUNCTION("""COMPUTED_VALUE"""),"Pipa Conduit 20 mm 2.9 m Putih")</f>
        <v>Pipa Conduit 20 mm 2.9 m Putih</v>
      </c>
      <c r="H595" s="3" t="str">
        <f>IFERROR(__xludf.DUMMYFUNCTION("""COMPUTED_VALUE"""),"Boss")</f>
        <v>Boss</v>
      </c>
      <c r="I595" s="3">
        <f>IFERROR(__xludf.DUMMYFUNCTION("""COMPUTED_VALUE"""),15.0)</f>
        <v>15</v>
      </c>
      <c r="J595" s="3" t="str">
        <f>IFERROR(__xludf.DUMMYFUNCTION("""COMPUTED_VALUE"""),"Btg")</f>
        <v>Btg</v>
      </c>
      <c r="K595" s="5" t="str">
        <f>IFERROR(__xludf.DUMMYFUNCTION("""COMPUTED_VALUE"""),"https://www.tokopedia.com/data-electric/boss-pipa-conduit-20-mm-2-9-m-putih-pvc-high-impact-standar-iec-61386-21-2002-melindungi-instalasi-kabel-listrik-dari-kerusakan-mekanis-1732469901559497880?extParam=ivf%3Dfalse%26keyword%3Dconduit+boss%26search_id%3"&amp;"D202606221019454F6FFE13A5D75B3A8V5H%26src%3Dsearch&amp;t_id=1782123611989&amp;t_st=1&amp;t_pp=search_result&amp;t_efo=search_pure_goods_card&amp;t_ef=goods_search&amp;t_sm=&amp;t_spt=search_result")</f>
        <v>https://www.tokopedia.com/data-electric/boss-pipa-conduit-20-mm-2-9-m-putih-pvc-high-impact-standar-iec-61386-21-2002-melindungi-instalasi-kabel-listrik-dari-kerusakan-mekanis-1732469901559497880?extParam=ivf%3Dfalse%26keyword%3Dconduit+boss%26search_id%3D202606221019454F6FFE13A5D75B3A8V5H%26src%3Dsearch&amp;t_id=1782123611989&amp;t_st=1&amp;t_pp=search_result&amp;t_efo=search_pure_goods_card&amp;t_ef=goods_search&amp;t_sm=&amp;t_spt=search_result</v>
      </c>
      <c r="L595" s="3" t="str">
        <f>IFERROR(__xludf.DUMMYFUNCTION("""COMPUTED_VALUE"""),"Buat Project New Filling")</f>
        <v>Buat Project New Filling</v>
      </c>
      <c r="M595" s="3" t="str">
        <f>IFERROR(__xludf.DUMMYFUNCTION("""COMPUTED_VALUE"""),"Approve")</f>
        <v>Approve</v>
      </c>
      <c r="N595" s="3" t="str">
        <f>IFERROR(__xludf.DUMMYFUNCTION("""COMPUTED_VALUE"""),"Normal")</f>
        <v>Normal</v>
      </c>
      <c r="O595" s="3" t="str">
        <f>IFERROR(__xludf.DUMMYFUNCTION("""COMPUTED_VALUE"""),"Non Urgent")</f>
        <v>Non Urgent</v>
      </c>
      <c r="P595" s="7">
        <f>IFERROR(__xludf.DUMMYFUNCTION("""COMPUTED_VALUE"""),46202.900010046294)</f>
        <v>46202.90001</v>
      </c>
    </row>
    <row r="596">
      <c r="A596" s="4">
        <f>IFERROR(__xludf.DUMMYFUNCTION("""COMPUTED_VALUE"""),46195.73444259259)</f>
        <v>46195.73444</v>
      </c>
      <c r="B596" s="3" t="str">
        <f>IFERROR(__xludf.DUMMYFUNCTION("""COMPUTED_VALUE"""),"RIABR0173")</f>
        <v>RIABR0173</v>
      </c>
      <c r="C596" s="3" t="str">
        <f>IFERROR(__xludf.DUMMYFUNCTION("""COMPUTED_VALUE"""),"EJO")</f>
        <v>EJO</v>
      </c>
      <c r="D596" s="3" t="str">
        <f>IFERROR(__xludf.DUMMYFUNCTION("""COMPUTED_VALUE"""),"-")</f>
        <v>-</v>
      </c>
      <c r="E596" s="3" t="str">
        <f>IFERROR(__xludf.DUMMYFUNCTION("""COMPUTED_VALUE"""),"R Filling")</f>
        <v>R Filling</v>
      </c>
      <c r="F596" s="3" t="str">
        <f>IFERROR(__xludf.DUMMYFUNCTION("""COMPUTED_VALUE"""),"T Dus")</f>
        <v>T Dus</v>
      </c>
      <c r="G596" s="3" t="str">
        <f>IFERROR(__xludf.DUMMYFUNCTION("""COMPUTED_VALUE"""),"T dus cabang 3 Boss 20 MM")</f>
        <v>T dus cabang 3 Boss 20 MM</v>
      </c>
      <c r="H596" s="3" t="str">
        <f>IFERROR(__xludf.DUMMYFUNCTION("""COMPUTED_VALUE"""),"Boss")</f>
        <v>Boss</v>
      </c>
      <c r="I596" s="3">
        <f>IFERROR(__xludf.DUMMYFUNCTION("""COMPUTED_VALUE"""),10.0)</f>
        <v>10</v>
      </c>
      <c r="J596" s="3" t="str">
        <f>IFERROR(__xludf.DUMMYFUNCTION("""COMPUTED_VALUE"""),"Pcs")</f>
        <v>Pcs</v>
      </c>
      <c r="K596" s="5" t="str">
        <f>IFERROR(__xludf.DUMMYFUNCTION("""COMPUTED_VALUE"""),"https://www.tokopedia.com/suryaadil/t-dus-boss-cabang-3-conduit-sudah-termasuk-tutup-dan-baut?extParam=ivf%3Dfalse%26keyword%3Dt+dus+boss%26search_id%3D202606221021083DD48AB31D016F08AJJW%26src%3Dsearch&amp;t_id=1782123673219&amp;t_st=1&amp;t_pp=search_result&amp;t_efo=se"&amp;"arch_pure_goods_card&amp;t_ef=goods_search&amp;t_sm=&amp;t_spt=search_result")</f>
        <v>https://www.tokopedia.com/suryaadil/t-dus-boss-cabang-3-conduit-sudah-termasuk-tutup-dan-baut?extParam=ivf%3Dfalse%26keyword%3Dt+dus+boss%26search_id%3D202606221021083DD48AB31D016F08AJJW%26src%3Dsearch&amp;t_id=1782123673219&amp;t_st=1&amp;t_pp=search_result&amp;t_efo=search_pure_goods_card&amp;t_ef=goods_search&amp;t_sm=&amp;t_spt=search_result</v>
      </c>
      <c r="L596" s="3" t="str">
        <f>IFERROR(__xludf.DUMMYFUNCTION("""COMPUTED_VALUE"""),"Buat Project New Filling")</f>
        <v>Buat Project New Filling</v>
      </c>
      <c r="M596" s="3" t="str">
        <f>IFERROR(__xludf.DUMMYFUNCTION("""COMPUTED_VALUE"""),"Approve")</f>
        <v>Approve</v>
      </c>
      <c r="N596" s="3" t="str">
        <f>IFERROR(__xludf.DUMMYFUNCTION("""COMPUTED_VALUE"""),"Normal")</f>
        <v>Normal</v>
      </c>
      <c r="O596" s="3" t="str">
        <f>IFERROR(__xludf.DUMMYFUNCTION("""COMPUTED_VALUE"""),"Non Urgent")</f>
        <v>Non Urgent</v>
      </c>
      <c r="P596" s="7">
        <f>IFERROR(__xludf.DUMMYFUNCTION("""COMPUTED_VALUE"""),46202.90017826389)</f>
        <v>46202.90018</v>
      </c>
    </row>
    <row r="597">
      <c r="A597" s="4">
        <f>IFERROR(__xludf.DUMMYFUNCTION("""COMPUTED_VALUE"""),46195.734954363434)</f>
        <v>46195.73495</v>
      </c>
      <c r="B597" s="3" t="str">
        <f>IFERROR(__xludf.DUMMYFUNCTION("""COMPUTED_VALUE"""),"RIABR0174")</f>
        <v>RIABR0174</v>
      </c>
      <c r="C597" s="3" t="str">
        <f>IFERROR(__xludf.DUMMYFUNCTION("""COMPUTED_VALUE"""),"EJO")</f>
        <v>EJO</v>
      </c>
      <c r="D597" s="3" t="str">
        <f>IFERROR(__xludf.DUMMYFUNCTION("""COMPUTED_VALUE"""),"-")</f>
        <v>-</v>
      </c>
      <c r="E597" s="3" t="str">
        <f>IFERROR(__xludf.DUMMYFUNCTION("""COMPUTED_VALUE"""),"R Filling")</f>
        <v>R Filling</v>
      </c>
      <c r="F597" s="3" t="str">
        <f>IFERROR(__xludf.DUMMYFUNCTION("""COMPUTED_VALUE"""),"Flexible Hose")</f>
        <v>Flexible Hose</v>
      </c>
      <c r="G597" s="3" t="str">
        <f>IFERROR(__xludf.DUMMYFUNCTION("""COMPUTED_VALUE"""),"Flexibel 20mm Merk Boss")</f>
        <v>Flexibel 20mm Merk Boss</v>
      </c>
      <c r="H597" s="3" t="str">
        <f>IFERROR(__xludf.DUMMYFUNCTION("""COMPUTED_VALUE"""),"Boss")</f>
        <v>Boss</v>
      </c>
      <c r="I597" s="3">
        <f>IFERROR(__xludf.DUMMYFUNCTION("""COMPUTED_VALUE"""),1.0)</f>
        <v>1</v>
      </c>
      <c r="J597" s="3" t="str">
        <f>IFERROR(__xludf.DUMMYFUNCTION("""COMPUTED_VALUE"""),"Roll")</f>
        <v>Roll</v>
      </c>
      <c r="K597" s="5" t="str">
        <f>IFERROR(__xludf.DUMMYFUNCTION("""COMPUTED_VALUE"""),"https://www.tokopedia.com/heningelectric/flexibel-20mm-merk-boss-per-1-meter?extParam=ivf%3Dfalse%26keyword%3Dflexible+hose+boss%26search_id%3D20260622102151C042F4DB68F2340ECRZL%26src%3Dsearch&amp;t_id=1782123716027&amp;t_st=1&amp;t_pp=search_result&amp;t_efo=search_pure"&amp;"_goods_card&amp;t_ef=goods_search&amp;t_sm=&amp;t_spt=search_result")</f>
        <v>https://www.tokopedia.com/heningelectric/flexibel-20mm-merk-boss-per-1-meter?extParam=ivf%3Dfalse%26keyword%3Dflexible+hose+boss%26search_id%3D20260622102151C042F4DB68F2340ECRZL%26src%3Dsearch&amp;t_id=1782123716027&amp;t_st=1&amp;t_pp=search_result&amp;t_efo=search_pure_goods_card&amp;t_ef=goods_search&amp;t_sm=&amp;t_spt=search_result</v>
      </c>
      <c r="L597" s="3" t="str">
        <f>IFERROR(__xludf.DUMMYFUNCTION("""COMPUTED_VALUE"""),"Buat Project New Filling")</f>
        <v>Buat Project New Filling</v>
      </c>
      <c r="M597" s="3" t="str">
        <f>IFERROR(__xludf.DUMMYFUNCTION("""COMPUTED_VALUE"""),"Approve")</f>
        <v>Approve</v>
      </c>
      <c r="N597" s="3" t="str">
        <f>IFERROR(__xludf.DUMMYFUNCTION("""COMPUTED_VALUE"""),"Normal")</f>
        <v>Normal</v>
      </c>
      <c r="O597" s="3" t="str">
        <f>IFERROR(__xludf.DUMMYFUNCTION("""COMPUTED_VALUE"""),"Non Urgent")</f>
        <v>Non Urgent</v>
      </c>
      <c r="P597" s="7">
        <f>IFERROR(__xludf.DUMMYFUNCTION("""COMPUTED_VALUE"""),46202.90059153935)</f>
        <v>46202.90059</v>
      </c>
    </row>
    <row r="598">
      <c r="A598" s="4">
        <f>IFERROR(__xludf.DUMMYFUNCTION("""COMPUTED_VALUE"""),46195.73548400463)</f>
        <v>46195.73548</v>
      </c>
      <c r="B598" s="3" t="str">
        <f>IFERROR(__xludf.DUMMYFUNCTION("""COMPUTED_VALUE"""),"RIABR0175")</f>
        <v>RIABR0175</v>
      </c>
      <c r="C598" s="3" t="str">
        <f>IFERROR(__xludf.DUMMYFUNCTION("""COMPUTED_VALUE"""),"EJO")</f>
        <v>EJO</v>
      </c>
      <c r="D598" s="3" t="str">
        <f>IFERROR(__xludf.DUMMYFUNCTION("""COMPUTED_VALUE"""),"-")</f>
        <v>-</v>
      </c>
      <c r="E598" s="3" t="str">
        <f>IFERROR(__xludf.DUMMYFUNCTION("""COMPUTED_VALUE"""),"R Filling")</f>
        <v>R Filling</v>
      </c>
      <c r="F598" s="3" t="str">
        <f>IFERROR(__xludf.DUMMYFUNCTION("""COMPUTED_VALUE"""),"Stop Kontak Dinding")</f>
        <v>Stop Kontak Dinding</v>
      </c>
      <c r="G598" s="3" t="str">
        <f>IFERROR(__xludf.DUMMYFUNCTION("""COMPUTED_VALUE"""),"BROCO Stop Kontak Allegra (C151) - Putih")</f>
        <v>BROCO Stop Kontak Allegra (C151) - Putih</v>
      </c>
      <c r="H598" s="3" t="str">
        <f>IFERROR(__xludf.DUMMYFUNCTION("""COMPUTED_VALUE"""),"Broco")</f>
        <v>Broco</v>
      </c>
      <c r="I598" s="3">
        <f>IFERROR(__xludf.DUMMYFUNCTION("""COMPUTED_VALUE"""),2.0)</f>
        <v>2</v>
      </c>
      <c r="J598" s="3" t="str">
        <f>IFERROR(__xludf.DUMMYFUNCTION("""COMPUTED_VALUE"""),"Pcs")</f>
        <v>Pcs</v>
      </c>
      <c r="K598" s="5" t="str">
        <f>IFERROR(__xludf.DUMMYFUNCTION("""COMPUTED_VALUE"""),"https://www.tokopedia.com/broco-official/broco-stop-kontak-allegra-c151-1729881674917971001?extParam=ivf%3Dfalse%26keyword%3Dstop+kontak+dinding+broco%26search_id%3D202606221022483DD48AB31D016F32B4MR%26src%3Dsearch&amp;t_id=1782123802549&amp;t_st=1&amp;t_pp=search_re"&amp;"sult&amp;t_efo=search_pure_goods_card&amp;t_ef=goods_search&amp;t_sm=&amp;t_spt=search_result")</f>
        <v>https://www.tokopedia.com/broco-official/broco-stop-kontak-allegra-c151-1729881674917971001?extParam=ivf%3Dfalse%26keyword%3Dstop+kontak+dinding+broco%26search_id%3D202606221022483DD48AB31D016F32B4MR%26src%3Dsearch&amp;t_id=1782123802549&amp;t_st=1&amp;t_pp=search_result&amp;t_efo=search_pure_goods_card&amp;t_ef=goods_search&amp;t_sm=&amp;t_spt=search_result</v>
      </c>
      <c r="L598" s="3" t="str">
        <f>IFERROR(__xludf.DUMMYFUNCTION("""COMPUTED_VALUE"""),"Buat Project New Filling")</f>
        <v>Buat Project New Filling</v>
      </c>
      <c r="M598" s="3" t="str">
        <f>IFERROR(__xludf.DUMMYFUNCTION("""COMPUTED_VALUE"""),"Approve")</f>
        <v>Approve</v>
      </c>
      <c r="N598" s="3" t="str">
        <f>IFERROR(__xludf.DUMMYFUNCTION("""COMPUTED_VALUE"""),"Normal")</f>
        <v>Normal</v>
      </c>
      <c r="O598" s="3" t="str">
        <f>IFERROR(__xludf.DUMMYFUNCTION("""COMPUTED_VALUE"""),"Non Urgent")</f>
        <v>Non Urgent</v>
      </c>
      <c r="P598" s="7">
        <f>IFERROR(__xludf.DUMMYFUNCTION("""COMPUTED_VALUE"""),46202.900933321755)</f>
        <v>46202.90093</v>
      </c>
    </row>
    <row r="599">
      <c r="A599" s="4">
        <f>IFERROR(__xludf.DUMMYFUNCTION("""COMPUTED_VALUE"""),46195.73599431713)</f>
        <v>46195.73599</v>
      </c>
      <c r="B599" s="3" t="str">
        <f>IFERROR(__xludf.DUMMYFUNCTION("""COMPUTED_VALUE"""),"RIABR0176")</f>
        <v>RIABR0176</v>
      </c>
      <c r="C599" s="3" t="str">
        <f>IFERROR(__xludf.DUMMYFUNCTION("""COMPUTED_VALUE"""),"EJO")</f>
        <v>EJO</v>
      </c>
      <c r="D599" s="3" t="str">
        <f>IFERROR(__xludf.DUMMYFUNCTION("""COMPUTED_VALUE"""),"-")</f>
        <v>-</v>
      </c>
      <c r="E599" s="3" t="str">
        <f>IFERROR(__xludf.DUMMYFUNCTION("""COMPUTED_VALUE"""),"R Filling")</f>
        <v>R Filling</v>
      </c>
      <c r="F599" s="3" t="str">
        <f>IFERROR(__xludf.DUMMYFUNCTION("""COMPUTED_VALUE"""),"Saklar")</f>
        <v>Saklar</v>
      </c>
      <c r="G599" s="3" t="str">
        <f>IFERROR(__xludf.DUMMYFUNCTION("""COMPUTED_VALUE"""),"SAKLAR 4 GANG SCHNEIDER")</f>
        <v>SAKLAR 4 GANG SCHNEIDER</v>
      </c>
      <c r="H599" s="3" t="str">
        <f>IFERROR(__xludf.DUMMYFUNCTION("""COMPUTED_VALUE"""),"Scheider")</f>
        <v>Scheider</v>
      </c>
      <c r="I599" s="3">
        <f>IFERROR(__xludf.DUMMYFUNCTION("""COMPUTED_VALUE"""),2.0)</f>
        <v>2</v>
      </c>
      <c r="J599" s="3" t="str">
        <f>IFERROR(__xludf.DUMMYFUNCTION("""COMPUTED_VALUE"""),"Pcs")</f>
        <v>Pcs</v>
      </c>
      <c r="K599" s="5" t="str">
        <f>IFERROR(__xludf.DUMMYFUNCTION("""COMPUTED_VALUE"""),"https://www.tokopedia.com/karel8989/saklar-4gang-4-gang-schneider-clypsal-classic-set-outbow-tempel?extParam=ivf%3Dfalse%26keyword%3Dsaklar+broco+4+tombol%26search_id%3D202606221027085B8ADD2A5D98B11C6WYU%26src%3Dsearch&amp;t_id=1782124036726&amp;t_st=1&amp;t_pp=searc"&amp;"h_result&amp;t_efo=search_pure_goods_card&amp;t_ef=goods_search&amp;t_sm=&amp;t_spt=search_result")</f>
        <v>https://www.tokopedia.com/karel8989/saklar-4gang-4-gang-schneider-clypsal-classic-set-outbow-tempel?extParam=ivf%3Dfalse%26keyword%3Dsaklar+broco+4+tombol%26search_id%3D202606221027085B8ADD2A5D98B11C6WYU%26src%3Dsearch&amp;t_id=1782124036726&amp;t_st=1&amp;t_pp=search_result&amp;t_efo=search_pure_goods_card&amp;t_ef=goods_search&amp;t_sm=&amp;t_spt=search_result</v>
      </c>
      <c r="L599" s="3" t="str">
        <f>IFERROR(__xludf.DUMMYFUNCTION("""COMPUTED_VALUE"""),"Buat Project New Filling")</f>
        <v>Buat Project New Filling</v>
      </c>
      <c r="M599" s="3" t="str">
        <f>IFERROR(__xludf.DUMMYFUNCTION("""COMPUTED_VALUE"""),"Approve")</f>
        <v>Approve</v>
      </c>
      <c r="N599" s="3" t="str">
        <f>IFERROR(__xludf.DUMMYFUNCTION("""COMPUTED_VALUE"""),"Normal")</f>
        <v>Normal</v>
      </c>
      <c r="O599" s="3" t="str">
        <f>IFERROR(__xludf.DUMMYFUNCTION("""COMPUTED_VALUE"""),"Non Urgent")</f>
        <v>Non Urgent</v>
      </c>
      <c r="P599" s="7">
        <f>IFERROR(__xludf.DUMMYFUNCTION("""COMPUTED_VALUE"""),46202.90108277778)</f>
        <v>46202.90108</v>
      </c>
    </row>
    <row r="600">
      <c r="A600" s="4">
        <f>IFERROR(__xludf.DUMMYFUNCTION("""COMPUTED_VALUE"""),46195.73674716435)</f>
        <v>46195.73675</v>
      </c>
      <c r="B600" s="3" t="str">
        <f>IFERROR(__xludf.DUMMYFUNCTION("""COMPUTED_VALUE"""),"RIABR0177")</f>
        <v>RIABR0177</v>
      </c>
      <c r="C600" s="3" t="str">
        <f>IFERROR(__xludf.DUMMYFUNCTION("""COMPUTED_VALUE"""),"EJO")</f>
        <v>EJO</v>
      </c>
      <c r="D600" s="3" t="str">
        <f>IFERROR(__xludf.DUMMYFUNCTION("""COMPUTED_VALUE"""),"-")</f>
        <v>-</v>
      </c>
      <c r="E600" s="3" t="str">
        <f>IFERROR(__xludf.DUMMYFUNCTION("""COMPUTED_VALUE"""),"R Filling")</f>
        <v>R Filling</v>
      </c>
      <c r="F600" s="3" t="str">
        <f>IFERROR(__xludf.DUMMYFUNCTION("""COMPUTED_VALUE"""),"Elbow")</f>
        <v>Elbow</v>
      </c>
      <c r="G600" s="3" t="str">
        <f>IFERROR(__xludf.DUMMYFUNCTION("""COMPUTED_VALUE"""),"Elbow Pipa Listrik 20mm")</f>
        <v>Elbow Pipa Listrik 20mm</v>
      </c>
      <c r="H600" s="3" t="str">
        <f>IFERROR(__xludf.DUMMYFUNCTION("""COMPUTED_VALUE"""),"Boss")</f>
        <v>Boss</v>
      </c>
      <c r="I600" s="3">
        <f>IFERROR(__xludf.DUMMYFUNCTION("""COMPUTED_VALUE"""),20.0)</f>
        <v>20</v>
      </c>
      <c r="J600" s="3" t="str">
        <f>IFERROR(__xludf.DUMMYFUNCTION("""COMPUTED_VALUE"""),"Pcs")</f>
        <v>Pcs</v>
      </c>
      <c r="K600" s="5" t="str">
        <f>IFERROR(__xludf.DUMMYFUNCTION("""COMPUTED_VALUE"""),"https://www.tokopedia.com/sahabatlistrik-1/elbow-pipa-listrik-20mm-knee-pipa-conduit-20mm-boss-hitam-purih-1730927430286542137?extParam=ivf%3Dfalse%26keyword%3Delbow+conduit+20mm+boss%26search_id%3D2026062210295058238E9AE2DD303982NZ%26src%3Dsearch&amp;t_id=17"&amp;"82124198570&amp;t_st=1&amp;t_pp=search_result&amp;t_efo=search_pure_goods_card&amp;t_ef=goods_search&amp;t_sm=&amp;t_spt=search_result")</f>
        <v>https://www.tokopedia.com/sahabatlistrik-1/elbow-pipa-listrik-20mm-knee-pipa-conduit-20mm-boss-hitam-purih-1730927430286542137?extParam=ivf%3Dfalse%26keyword%3Delbow+conduit+20mm+boss%26search_id%3D2026062210295058238E9AE2DD303982NZ%26src%3Dsearch&amp;t_id=1782124198570&amp;t_st=1&amp;t_pp=search_result&amp;t_efo=search_pure_goods_card&amp;t_ef=goods_search&amp;t_sm=&amp;t_spt=search_result</v>
      </c>
      <c r="L600" s="3" t="str">
        <f>IFERROR(__xludf.DUMMYFUNCTION("""COMPUTED_VALUE"""),"Buat Project New Filling")</f>
        <v>Buat Project New Filling</v>
      </c>
      <c r="M600" s="3" t="str">
        <f>IFERROR(__xludf.DUMMYFUNCTION("""COMPUTED_VALUE"""),"Approve")</f>
        <v>Approve</v>
      </c>
      <c r="N600" s="3" t="str">
        <f>IFERROR(__xludf.DUMMYFUNCTION("""COMPUTED_VALUE"""),"Normal")</f>
        <v>Normal</v>
      </c>
      <c r="O600" s="3" t="str">
        <f>IFERROR(__xludf.DUMMYFUNCTION("""COMPUTED_VALUE"""),"Non Urgent")</f>
        <v>Non Urgent</v>
      </c>
      <c r="P600" s="7">
        <f>IFERROR(__xludf.DUMMYFUNCTION("""COMPUTED_VALUE"""),46202.901307314816)</f>
        <v>46202.90131</v>
      </c>
    </row>
    <row r="601">
      <c r="A601" s="4">
        <f>IFERROR(__xludf.DUMMYFUNCTION("""COMPUTED_VALUE"""),46195.74012084491)</f>
        <v>46195.74012</v>
      </c>
      <c r="B601" s="3" t="str">
        <f>IFERROR(__xludf.DUMMYFUNCTION("""COMPUTED_VALUE"""),"RIABR0178")</f>
        <v>RIABR0178</v>
      </c>
      <c r="C601" s="3" t="str">
        <f>IFERROR(__xludf.DUMMYFUNCTION("""COMPUTED_VALUE"""),"EJO")</f>
        <v>EJO</v>
      </c>
      <c r="D601" s="3" t="str">
        <f>IFERROR(__xludf.DUMMYFUNCTION("""COMPUTED_VALUE"""),"EJO/2026/06/102")</f>
        <v>EJO/2026/06/102</v>
      </c>
      <c r="E601" s="3" t="str">
        <f>IFERROR(__xludf.DUMMYFUNCTION("""COMPUTED_VALUE"""),"P ASRS")</f>
        <v>P ASRS</v>
      </c>
      <c r="F601" s="3" t="str">
        <f>IFERROR(__xludf.DUMMYFUNCTION("""COMPUTED_VALUE"""),"Kunci Panel")</f>
        <v>Kunci Panel</v>
      </c>
      <c r="G601" s="3" t="str">
        <f>IFERROR(__xludf.DUMMYFUNCTION("""COMPUTED_VALUE"""),"Nama: Handle Pintu Kabinet dengan Kunci.
- Seri: MS490.
- Material: Nylon Kekuatan Tinggi.
- Warna Tersedia: Hitam dan Putih.
- Bentuk: Persegi Panjang dengan Sudut Lancip.")</f>
        <v>Nama: Handle Pintu Kabinet dengan Kunci.
- Seri: MS490.
- Material: Nylon Kekuatan Tinggi.
- Warna Tersedia: Hitam dan Putih.
- Bentuk: Persegi Panjang dengan Sudut Lancip.</v>
      </c>
      <c r="H601" s="3" t="str">
        <f>IFERROR(__xludf.DUMMYFUNCTION("""COMPUTED_VALUE"""),"Lokal")</f>
        <v>Lokal</v>
      </c>
      <c r="I601" s="3">
        <f>IFERROR(__xludf.DUMMYFUNCTION("""COMPUTED_VALUE"""),5.0)</f>
        <v>5</v>
      </c>
      <c r="J601" s="3" t="str">
        <f>IFERROR(__xludf.DUMMYFUNCTION("""COMPUTED_VALUE"""),"Pcs")</f>
        <v>Pcs</v>
      </c>
      <c r="K601" s="5" t="str">
        <f>IFERROR(__xludf.DUMMYFUNCTION("""COMPUTED_VALUE"""),"https://www.tokopedia.com/singa-henry/kunci-box-panel-listrik-push-lock-tipe-persegi-material-nylon-tahan-lama-anti-maling-untuk-industri-1733403265038255849?extParam=ivf%3Dfalse%26keyword%3Dkunci+panel+listrik%26search_id%3D202606220913438DD48D6A2E2CAD07"&amp;"BH1P%26src%3Dsearch&amp;t_id=1782119645314&amp;t_st=1&amp;t_pp=search_result&amp;t_efo=search_pure_goods_card&amp;t_ef=goods_search&amp;t_sm=&amp;t_spt=search_result")</f>
        <v>https://www.tokopedia.com/singa-henry/kunci-box-panel-listrik-push-lock-tipe-persegi-material-nylon-tahan-lama-anti-maling-untuk-industri-1733403265038255849?extParam=ivf%3Dfalse%26keyword%3Dkunci+panel+listrik%26search_id%3D202606220913438DD48D6A2E2CAD07BH1P%26src%3Dsearch&amp;t_id=1782119645314&amp;t_st=1&amp;t_pp=search_result&amp;t_efo=search_pure_goods_card&amp;t_ef=goods_search&amp;t_sm=&amp;t_spt=search_result</v>
      </c>
      <c r="L601" s="3" t="str">
        <f>IFERROR(__xludf.DUMMYFUNCTION("""COMPUTED_VALUE"""),"Untuk ganti kunci panel")</f>
        <v>Untuk ganti kunci panel</v>
      </c>
      <c r="M601" s="3" t="str">
        <f>IFERROR(__xludf.DUMMYFUNCTION("""COMPUTED_VALUE"""),"Approve")</f>
        <v>Approve</v>
      </c>
      <c r="N601" s="3" t="str">
        <f>IFERROR(__xludf.DUMMYFUNCTION("""COMPUTED_VALUE"""),"Normal")</f>
        <v>Normal</v>
      </c>
      <c r="O601" s="3" t="str">
        <f>IFERROR(__xludf.DUMMYFUNCTION("""COMPUTED_VALUE"""),"Non Urgent")</f>
        <v>Non Urgent</v>
      </c>
      <c r="P601" s="7">
        <f>IFERROR(__xludf.DUMMYFUNCTION("""COMPUTED_VALUE"""),46202.901844259264)</f>
        <v>46202.90184</v>
      </c>
    </row>
    <row r="602">
      <c r="A602" s="4">
        <f>IFERROR(__xludf.DUMMYFUNCTION("""COMPUTED_VALUE"""),46195.88062890047)</f>
        <v>46195.88063</v>
      </c>
      <c r="B602" s="3" t="str">
        <f>IFERROR(__xludf.DUMMYFUNCTION("""COMPUTED_VALUE"""),"RIABR0179")</f>
        <v>RIABR0179</v>
      </c>
      <c r="C602" s="3" t="str">
        <f>IFERROR(__xludf.DUMMYFUNCTION("""COMPUTED_VALUE"""),"EJO")</f>
        <v>EJO</v>
      </c>
      <c r="D602" s="3" t="str">
        <f>IFERROR(__xludf.DUMMYFUNCTION("""COMPUTED_VALUE"""),"-")</f>
        <v>-</v>
      </c>
      <c r="E602" s="3" t="str">
        <f>IFERROR(__xludf.DUMMYFUNCTION("""COMPUTED_VALUE"""),"R Filling")</f>
        <v>R Filling</v>
      </c>
      <c r="F602" s="3" t="str">
        <f>IFERROR(__xludf.DUMMYFUNCTION("""COMPUTED_VALUE"""),"Saklar")</f>
        <v>Saklar</v>
      </c>
      <c r="G602" s="3" t="str">
        <f>IFERROR(__xludf.DUMMYFUNCTION("""COMPUTED_VALUE"""),"Schneider Electric S-Classic Saklar Lampu 3 Gang 1W - E33 1 2AR_WE_G3")</f>
        <v>Schneider Electric S-Classic Saklar Lampu 3 Gang 1W - E33 1 2AR_WE_G3</v>
      </c>
      <c r="H602" s="3" t="str">
        <f>IFERROR(__xludf.DUMMYFUNCTION("""COMPUTED_VALUE"""),"Schneider")</f>
        <v>Schneider</v>
      </c>
      <c r="I602" s="3">
        <f>IFERROR(__xludf.DUMMYFUNCTION("""COMPUTED_VALUE"""),1.0)</f>
        <v>1</v>
      </c>
      <c r="J602" s="3" t="str">
        <f>IFERROR(__xludf.DUMMYFUNCTION("""COMPUTED_VALUE"""),"Pcs")</f>
        <v>Pcs</v>
      </c>
      <c r="K602" s="5" t="str">
        <f>IFERROR(__xludf.DUMMYFUNCTION("""COMPUTED_VALUE"""),"https://www.tokopedia.com/harmonielectric/schneider-electric-s-classic-saklar-lampu-3-gang-1w-e33-1-2ar-we-g3?extParam=ivf%3Dfalse%26keyword%3Dsaklar+schneider+3+gang%26search_id%3D20260622140706371BCE7DC8381719EOWW%26src%3Dsearch&amp;t_id=1782137231036&amp;t_st="&amp;"1&amp;t_pp=search_result&amp;t_efo=search_pure_goods_card&amp;t_ef=goods_search&amp;t_sm=&amp;t_spt=search_result")</f>
        <v>https://www.tokopedia.com/harmonielectric/schneider-electric-s-classic-saklar-lampu-3-gang-1w-e33-1-2ar-we-g3?extParam=ivf%3Dfalse%26keyword%3Dsaklar+schneider+3+gang%26search_id%3D20260622140706371BCE7DC8381719EOWW%26src%3Dsearch&amp;t_id=1782137231036&amp;t_st=1&amp;t_pp=search_result&amp;t_efo=search_pure_goods_card&amp;t_ef=goods_search&amp;t_sm=&amp;t_spt=search_result</v>
      </c>
      <c r="L602" s="3" t="str">
        <f>IFERROR(__xludf.DUMMYFUNCTION("""COMPUTED_VALUE"""),"Buat Project New Filling")</f>
        <v>Buat Project New Filling</v>
      </c>
      <c r="M602" s="3" t="str">
        <f>IFERROR(__xludf.DUMMYFUNCTION("""COMPUTED_VALUE"""),"Approve")</f>
        <v>Approve</v>
      </c>
      <c r="N602" s="3" t="str">
        <f>IFERROR(__xludf.DUMMYFUNCTION("""COMPUTED_VALUE"""),"Normal")</f>
        <v>Normal</v>
      </c>
      <c r="O602" s="3" t="str">
        <f>IFERROR(__xludf.DUMMYFUNCTION("""COMPUTED_VALUE"""),"Non Urgent")</f>
        <v>Non Urgent</v>
      </c>
      <c r="P602" s="7">
        <f>IFERROR(__xludf.DUMMYFUNCTION("""COMPUTED_VALUE"""),46202.902007083336)</f>
        <v>46202.90201</v>
      </c>
    </row>
    <row r="603">
      <c r="A603" s="4">
        <f>IFERROR(__xludf.DUMMYFUNCTION("""COMPUTED_VALUE"""),46196.27835744213)</f>
        <v>46196.27836</v>
      </c>
      <c r="B603" s="3" t="str">
        <f>IFERROR(__xludf.DUMMYFUNCTION("""COMPUTED_VALUE"""),"ROSBR0100")</f>
        <v>ROSBR0100</v>
      </c>
      <c r="C603" s="3" t="str">
        <f>IFERROR(__xludf.DUMMYFUNCTION("""COMPUTED_VALUE"""),"Critical Part")</f>
        <v>Critical Part</v>
      </c>
      <c r="D603" s="3" t="str">
        <f>IFERROR(__xludf.DUMMYFUNCTION("""COMPUTED_VALUE"""),"EJO/2026/06/085")</f>
        <v>EJO/2026/06/085</v>
      </c>
      <c r="E603" s="3" t="str">
        <f>IFERROR(__xludf.DUMMYFUNCTION("""COMPUTED_VALUE"""),"CLU")</f>
        <v>CLU</v>
      </c>
      <c r="F603" s="3" t="str">
        <f>IFERROR(__xludf.DUMMYFUNCTION("""COMPUTED_VALUE"""),"Body Switch")</f>
        <v>Body Switch</v>
      </c>
      <c r="G603" s="3" t="str">
        <f>IFERROR(__xludf.DUMMYFUNCTION("""COMPUTED_VALUE"""),"Type
ZCKJ1H29 Limit switch Telemecanique New
EN/ IEC 60947-5-1
Ui:500v Uimp:6kV
AC 15 240V 3A")</f>
        <v>Type
ZCKJ1H29 Limit switch Telemecanique New
EN/ IEC 60947-5-1
Ui:500v Uimp:6kV
AC 15 240V 3A</v>
      </c>
      <c r="H603" s="3" t="str">
        <f>IFERROR(__xludf.DUMMYFUNCTION("""COMPUTED_VALUE"""),"Telemecanique")</f>
        <v>Telemecanique</v>
      </c>
      <c r="I603" s="3">
        <f>IFERROR(__xludf.DUMMYFUNCTION("""COMPUTED_VALUE"""),1.0)</f>
        <v>1</v>
      </c>
      <c r="J603" s="3" t="str">
        <f>IFERROR(__xludf.DUMMYFUNCTION("""COMPUTED_VALUE"""),"pcs")</f>
        <v>pcs</v>
      </c>
      <c r="K603" s="5" t="str">
        <f>IFERROR(__xludf.DUMMYFUNCTION("""COMPUTED_VALUE"""),"https://www.tokopedia.com/archive-mfpteknik-1631/zckj1h29-limit-switch-telemecanique-new?t_id=1782171122044&amp;t_st=6&amp;t_pp=cart&amp;t_efo=cart&amp;t_ef=&amp;t_sm=&amp;t_spt=cart")</f>
        <v>https://www.tokopedia.com/archive-mfpteknik-1631/zckj1h29-limit-switch-telemecanique-new?t_id=1782171122044&amp;t_st=6&amp;t_pp=cart&amp;t_efo=cart&amp;t_ef=&amp;t_sm=&amp;t_spt=cart</v>
      </c>
      <c r="L603" s="3" t="str">
        <f>IFERROR(__xludf.DUMMYFUNCTION("""COMPUTED_VALUE"""),"Type
ZCKJ1H29 Limit switch Telemecanique New")</f>
        <v>Type
ZCKJ1H29 Limit switch Telemecanique New</v>
      </c>
      <c r="M603" s="3" t="str">
        <f>IFERROR(__xludf.DUMMYFUNCTION("""COMPUTED_VALUE"""),"Approve")</f>
        <v>Approve</v>
      </c>
      <c r="N603" s="3" t="str">
        <f>IFERROR(__xludf.DUMMYFUNCTION("""COMPUTED_VALUE"""),"Normal")</f>
        <v>Normal</v>
      </c>
      <c r="O603" s="3" t="str">
        <f>IFERROR(__xludf.DUMMYFUNCTION("""COMPUTED_VALUE"""),"Non Urgent")</f>
        <v>Non Urgent</v>
      </c>
      <c r="P603" s="7">
        <f>IFERROR(__xludf.DUMMYFUNCTION("""COMPUTED_VALUE"""),46202.60017204861)</f>
        <v>46202.60017</v>
      </c>
    </row>
    <row r="604">
      <c r="A604" s="4">
        <f>IFERROR(__xludf.DUMMYFUNCTION("""COMPUTED_VALUE"""),46196.40780642361)</f>
        <v>46196.40781</v>
      </c>
      <c r="B604" s="3" t="str">
        <f>IFERROR(__xludf.DUMMYFUNCTION("""COMPUTED_VALUE"""),"ANOBR0084")</f>
        <v>ANOBR0084</v>
      </c>
      <c r="C604" s="3" t="str">
        <f>IFERROR(__xludf.DUMMYFUNCTION("""COMPUTED_VALUE"""),"Consumable")</f>
        <v>Consumable</v>
      </c>
      <c r="D604" s="3" t="str">
        <f>IFERROR(__xludf.DUMMYFUNCTION("""COMPUTED_VALUE"""),"-")</f>
        <v>-</v>
      </c>
      <c r="E604" s="3" t="str">
        <f>IFERROR(__xludf.DUMMYFUNCTION("""COMPUTED_VALUE"""),"workshop")</f>
        <v>workshop</v>
      </c>
      <c r="F604" s="3" t="str">
        <f>IFERROR(__xludf.DUMMYFUNCTION("""COMPUTED_VALUE"""),"tabung gas argon")</f>
        <v>tabung gas argon</v>
      </c>
      <c r="G604" s="3" t="str">
        <f>IFERROR(__xludf.DUMMYFUNCTION("""COMPUTED_VALUE"""),"tabung gas argon")</f>
        <v>tabung gas argon</v>
      </c>
      <c r="H604" s="3" t="str">
        <f>IFERROR(__xludf.DUMMYFUNCTION("""COMPUTED_VALUE"""),"-")</f>
        <v>-</v>
      </c>
      <c r="I604" s="3">
        <f>IFERROR(__xludf.DUMMYFUNCTION("""COMPUTED_VALUE"""),1.0)</f>
        <v>1</v>
      </c>
      <c r="J604" s="3" t="str">
        <f>IFERROR(__xludf.DUMMYFUNCTION("""COMPUTED_VALUE"""),"tabung")</f>
        <v>tabung</v>
      </c>
      <c r="K604" s="3" t="str">
        <f>IFERROR(__xludf.DUMMYFUNCTION("""COMPUTED_VALUE"""),"-")</f>
        <v>-</v>
      </c>
      <c r="L604" s="3" t="str">
        <f>IFERROR(__xludf.DUMMYFUNCTION("""COMPUTED_VALUE"""),"kebutuhan penggantian pipa FW lt 2")</f>
        <v>kebutuhan penggantian pipa FW lt 2</v>
      </c>
      <c r="M604" s="3" t="str">
        <f>IFERROR(__xludf.DUMMYFUNCTION("""COMPUTED_VALUE"""),"Approve")</f>
        <v>Approve</v>
      </c>
      <c r="N604" s="3" t="str">
        <f>IFERROR(__xludf.DUMMYFUNCTION("""COMPUTED_VALUE"""),"Normal")</f>
        <v>Normal</v>
      </c>
      <c r="O604" s="3" t="str">
        <f>IFERROR(__xludf.DUMMYFUNCTION("""COMPUTED_VALUE"""),"Non Urgent")</f>
        <v>Non Urgent</v>
      </c>
      <c r="P604" s="7">
        <f>IFERROR(__xludf.DUMMYFUNCTION("""COMPUTED_VALUE"""),46206.92428400463)</f>
        <v>46206.92428</v>
      </c>
    </row>
    <row r="605">
      <c r="A605" s="4">
        <f>IFERROR(__xludf.DUMMYFUNCTION("""COMPUTED_VALUE"""),46196.7418049537)</f>
        <v>46196.7418</v>
      </c>
      <c r="B605" s="3" t="str">
        <f>IFERROR(__xludf.DUMMYFUNCTION("""COMPUTED_VALUE"""),"RIABR0180")</f>
        <v>RIABR0180</v>
      </c>
      <c r="C605" s="3" t="str">
        <f>IFERROR(__xludf.DUMMYFUNCTION("""COMPUTED_VALUE"""),"EJO")</f>
        <v>EJO</v>
      </c>
      <c r="D605" s="3" t="str">
        <f>IFERROR(__xludf.DUMMYFUNCTION("""COMPUTED_VALUE"""),"EJO/2026/06/155")</f>
        <v>EJO/2026/06/155</v>
      </c>
      <c r="E605" s="3" t="str">
        <f>IFERROR(__xludf.DUMMYFUNCTION("""COMPUTED_VALUE"""),"PC BMS")</f>
        <v>PC BMS</v>
      </c>
      <c r="F605" s="3" t="str">
        <f>IFERROR(__xludf.DUMMYFUNCTION("""COMPUTED_VALUE"""),"RAM")</f>
        <v>RAM</v>
      </c>
      <c r="G605" s="3" t="str">
        <f>IFERROR(__xludf.DUMMYFUNCTION("""COMPUTED_VALUE"""),"Samsung RAM 16 GB DDR5 PC5-4800B UDIMM M323R2GA3BB0-CQK0L")</f>
        <v>Samsung RAM 16 GB DDR5 PC5-4800B UDIMM M323R2GA3BB0-CQK0L</v>
      </c>
      <c r="H605" s="3" t="str">
        <f>IFERROR(__xludf.DUMMYFUNCTION("""COMPUTED_VALUE"""),"Samsung")</f>
        <v>Samsung</v>
      </c>
      <c r="I605" s="3">
        <f>IFERROR(__xludf.DUMMYFUNCTION("""COMPUTED_VALUE"""),2.0)</f>
        <v>2</v>
      </c>
      <c r="J605" s="3" t="str">
        <f>IFERROR(__xludf.DUMMYFUNCTION("""COMPUTED_VALUE"""),"Pcs")</f>
        <v>Pcs</v>
      </c>
      <c r="K605" s="5" t="str">
        <f>IFERROR(__xludf.DUMMYFUNCTION("""COMPUTED_VALUE"""),"https://www.blibli.com/p/ram-pc-samsung-ddr5-16gb-pc-38400-4800-mhz-longdimm-memory-pc5-1-1v/is--DAY-70061-00411-00001?pickupPointCode=PP-3493272")</f>
        <v>https://www.blibli.com/p/ram-pc-samsung-ddr5-16gb-pc-38400-4800-mhz-longdimm-memory-pc5-1-1v/is--DAY-70061-00411-00001?pickupPointCode=PP-3493272</v>
      </c>
      <c r="L605" s="3" t="str">
        <f>IFERROR(__xludf.DUMMYFUNCTION("""COMPUTED_VALUE"""),"Buat nambah ram pc bms osd")</f>
        <v>Buat nambah ram pc bms osd</v>
      </c>
      <c r="M605" s="3" t="str">
        <f>IFERROR(__xludf.DUMMYFUNCTION("""COMPUTED_VALUE"""),"Approve")</f>
        <v>Approve</v>
      </c>
      <c r="N605" s="3" t="str">
        <f>IFERROR(__xludf.DUMMYFUNCTION("""COMPUTED_VALUE"""),"Normal")</f>
        <v>Normal</v>
      </c>
      <c r="O605" s="3" t="str">
        <f>IFERROR(__xludf.DUMMYFUNCTION("""COMPUTED_VALUE"""),"Non Urgent")</f>
        <v>Non Urgent</v>
      </c>
      <c r="P605" s="7">
        <f>IFERROR(__xludf.DUMMYFUNCTION("""COMPUTED_VALUE"""),46198.71177995371)</f>
        <v>46198.71178</v>
      </c>
    </row>
    <row r="606">
      <c r="A606" s="4">
        <f>IFERROR(__xludf.DUMMYFUNCTION("""COMPUTED_VALUE"""),46196.74315239583)</f>
        <v>46196.74315</v>
      </c>
      <c r="B606" s="3" t="str">
        <f>IFERROR(__xludf.DUMMYFUNCTION("""COMPUTED_VALUE"""),"RIABR0181")</f>
        <v>RIABR0181</v>
      </c>
      <c r="C606" s="3" t="str">
        <f>IFERROR(__xludf.DUMMYFUNCTION("""COMPUTED_VALUE"""),"EJO")</f>
        <v>EJO</v>
      </c>
      <c r="D606" s="3" t="str">
        <f>IFERROR(__xludf.DUMMYFUNCTION("""COMPUTED_VALUE"""),"EJO/2026/06/156")</f>
        <v>EJO/2026/06/156</v>
      </c>
      <c r="E606" s="3" t="str">
        <f>IFERROR(__xludf.DUMMYFUNCTION("""COMPUTED_VALUE"""),"PC EMS")</f>
        <v>PC EMS</v>
      </c>
      <c r="F606" s="3" t="str">
        <f>IFERROR(__xludf.DUMMYFUNCTION("""COMPUTED_VALUE"""),"RAM")</f>
        <v>RAM</v>
      </c>
      <c r="G606" s="3" t="str">
        <f>IFERROR(__xludf.DUMMYFUNCTION("""COMPUTED_VALUE"""),"Samsung RAM 16 GB DDR5 PC5-4800B UDIMM M323R2GA3BB0-CQK0L")</f>
        <v>Samsung RAM 16 GB DDR5 PC5-4800B UDIMM M323R2GA3BB0-CQK0L</v>
      </c>
      <c r="H606" s="3" t="str">
        <f>IFERROR(__xludf.DUMMYFUNCTION("""COMPUTED_VALUE"""),"Samsung")</f>
        <v>Samsung</v>
      </c>
      <c r="I606" s="3">
        <f>IFERROR(__xludf.DUMMYFUNCTION("""COMPUTED_VALUE"""),2.0)</f>
        <v>2</v>
      </c>
      <c r="J606" s="3" t="str">
        <f>IFERROR(__xludf.DUMMYFUNCTION("""COMPUTED_VALUE"""),"Pcs")</f>
        <v>Pcs</v>
      </c>
      <c r="K606" s="5" t="str">
        <f>IFERROR(__xludf.DUMMYFUNCTION("""COMPUTED_VALUE"""),"https://www.blibli.com/p/ram-pc-samsung-ddr5-16gb-pc-38400-4800-mhz-longdimm-memory-pc5-1-1v/is--DAY-70061-00411-00001?pickupPointCode=PP-3493272")</f>
        <v>https://www.blibli.com/p/ram-pc-samsung-ddr5-16gb-pc-38400-4800-mhz-longdimm-memory-pc5-1-1v/is--DAY-70061-00411-00001?pickupPointCode=PP-3493272</v>
      </c>
      <c r="L606" s="3" t="str">
        <f>IFERROR(__xludf.DUMMYFUNCTION("""COMPUTED_VALUE"""),"Buat nambah ram pc Ems osd")</f>
        <v>Buat nambah ram pc Ems osd</v>
      </c>
      <c r="M606" s="3" t="str">
        <f>IFERROR(__xludf.DUMMYFUNCTION("""COMPUTED_VALUE"""),"Approve")</f>
        <v>Approve</v>
      </c>
      <c r="N606" s="3" t="str">
        <f>IFERROR(__xludf.DUMMYFUNCTION("""COMPUTED_VALUE"""),"Normal")</f>
        <v>Normal</v>
      </c>
      <c r="O606" s="3" t="str">
        <f>IFERROR(__xludf.DUMMYFUNCTION("""COMPUTED_VALUE"""),"Non Urgent")</f>
        <v>Non Urgent</v>
      </c>
      <c r="P606" s="7">
        <f>IFERROR(__xludf.DUMMYFUNCTION("""COMPUTED_VALUE"""),46198.712201875)</f>
        <v>46198.7122</v>
      </c>
    </row>
    <row r="607">
      <c r="A607" s="4">
        <f>IFERROR(__xludf.DUMMYFUNCTION("""COMPUTED_VALUE"""),46197.16986032407)</f>
        <v>46197.16986</v>
      </c>
      <c r="B607" s="3" t="str">
        <f>IFERROR(__xludf.DUMMYFUNCTION("""COMPUTED_VALUE"""),"ROSBR0101")</f>
        <v>ROSBR0101</v>
      </c>
      <c r="C607" s="3" t="str">
        <f>IFERROR(__xludf.DUMMYFUNCTION("""COMPUTED_VALUE"""),"Critical Part")</f>
        <v>Critical Part</v>
      </c>
      <c r="D607" s="3" t="str">
        <f>IFERROR(__xludf.DUMMYFUNCTION("""COMPUTED_VALUE"""),"-")</f>
        <v>-</v>
      </c>
      <c r="E607" s="3" t="str">
        <f>IFERROR(__xludf.DUMMYFUNCTION("""COMPUTED_VALUE"""),"FD")</f>
        <v>FD</v>
      </c>
      <c r="F607" s="3" t="str">
        <f>IFERROR(__xludf.DUMMYFUNCTION("""COMPUTED_VALUE"""),"Intermediate Plate ")</f>
        <v>Intermediate Plate </v>
      </c>
      <c r="G607" s="3" t="str">
        <f>IFERROR(__xludf.DUMMYFUNCTION("""COMPUTED_VALUE"""),"Intermedate Plate Uk 10x 14 x 450 mm 
Machining Plate Mat'l SUS 304
Proses Milling
Profil Chamfer
Coating Teflon
Finishing")</f>
        <v>Intermedate Plate Uk 10x 14 x 450 mm 
Machining Plate Mat'l SUS 304
Proses Milling
Profil Chamfer
Coating Teflon
Finishing</v>
      </c>
      <c r="H607" s="3" t="str">
        <f>IFERROR(__xludf.DUMMYFUNCTION("""COMPUTED_VALUE"""),"Lokal ")</f>
        <v>Lokal </v>
      </c>
      <c r="I607" s="3">
        <f>IFERROR(__xludf.DUMMYFUNCTION("""COMPUTED_VALUE"""),1.0)</f>
        <v>1</v>
      </c>
      <c r="J607" s="3" t="str">
        <f>IFERROR(__xludf.DUMMYFUNCTION("""COMPUTED_VALUE"""),"set")</f>
        <v>set</v>
      </c>
      <c r="K607" s="5" t="str">
        <f>IFERROR(__xludf.DUMMYFUNCTION("""COMPUTED_VALUE"""),"https://drive.google.com/drive/folders/1Nxa-kITa5hGlsg9vl9Z78Bel2dfnwsH6?usp=drive_link")</f>
        <v>https://drive.google.com/drive/folders/1Nxa-kITa5hGlsg9vl9Z78Bel2dfnwsH6?usp=drive_link</v>
      </c>
      <c r="L607" s="3" t="str">
        <f>IFERROR(__xludf.DUMMYFUNCTION("""COMPUTED_VALUE"""),"-")</f>
        <v>-</v>
      </c>
      <c r="M607" s="3" t="str">
        <f>IFERROR(__xludf.DUMMYFUNCTION("""COMPUTED_VALUE"""),"Approve")</f>
        <v>Approve</v>
      </c>
      <c r="N607" s="3" t="str">
        <f>IFERROR(__xludf.DUMMYFUNCTION("""COMPUTED_VALUE"""),"Normal")</f>
        <v>Normal</v>
      </c>
      <c r="O607" s="3" t="str">
        <f>IFERROR(__xludf.DUMMYFUNCTION("""COMPUTED_VALUE"""),"Non Urgent")</f>
        <v>Non Urgent</v>
      </c>
      <c r="P607" s="7">
        <f>IFERROR(__xludf.DUMMYFUNCTION("""COMPUTED_VALUE"""),46202.60071439815)</f>
        <v>46202.60071</v>
      </c>
    </row>
    <row r="608">
      <c r="A608" s="4">
        <f>IFERROR(__xludf.DUMMYFUNCTION("""COMPUTED_VALUE"""),46197.1709202662)</f>
        <v>46197.17092</v>
      </c>
      <c r="B608" s="3" t="str">
        <f>IFERROR(__xludf.DUMMYFUNCTION("""COMPUTED_VALUE"""),"ROSBR0102")</f>
        <v>ROSBR0102</v>
      </c>
      <c r="C608" s="3" t="str">
        <f>IFERROR(__xludf.DUMMYFUNCTION("""COMPUTED_VALUE"""),"Critical Part")</f>
        <v>Critical Part</v>
      </c>
      <c r="D608" s="3" t="str">
        <f>IFERROR(__xludf.DUMMYFUNCTION("""COMPUTED_VALUE"""),"-")</f>
        <v>-</v>
      </c>
      <c r="E608" s="3" t="str">
        <f>IFERROR(__xludf.DUMMYFUNCTION("""COMPUTED_VALUE"""),"FD")</f>
        <v>FD</v>
      </c>
      <c r="F608" s="3" t="str">
        <f>IFERROR(__xludf.DUMMYFUNCTION("""COMPUTED_VALUE"""),"Guide Shelf")</f>
        <v>Guide Shelf</v>
      </c>
      <c r="G608" s="3" t="str">
        <f>IFERROR(__xludf.DUMMYFUNCTION("""COMPUTED_VALUE"""),"Guide Shelf FD Uk 8x 11 x 1174 mm 
Specifikasi :
Machining Plate Mat'l SUS 304
Proses Milling
Profil Guide
Coating Teflon
Finishing")</f>
        <v>Guide Shelf FD Uk 8x 11 x 1174 mm 
Specifikasi :
Machining Plate Mat'l SUS 304
Proses Milling
Profil Guide
Coating Teflon
Finishing</v>
      </c>
      <c r="H608" s="3" t="str">
        <f>IFERROR(__xludf.DUMMYFUNCTION("""COMPUTED_VALUE"""),"Lokal ")</f>
        <v>Lokal </v>
      </c>
      <c r="I608" s="3">
        <f>IFERROR(__xludf.DUMMYFUNCTION("""COMPUTED_VALUE"""),1.0)</f>
        <v>1</v>
      </c>
      <c r="J608" s="3" t="str">
        <f>IFERROR(__xludf.DUMMYFUNCTION("""COMPUTED_VALUE"""),"set")</f>
        <v>set</v>
      </c>
      <c r="K608" s="5" t="str">
        <f>IFERROR(__xludf.DUMMYFUNCTION("""COMPUTED_VALUE"""),"https://drive.google.com/drive/folders/1O9PcD_WtRgHtv45UpQj399zB5hqNQcSI?usp=drive_link")</f>
        <v>https://drive.google.com/drive/folders/1O9PcD_WtRgHtv45UpQj399zB5hqNQcSI?usp=drive_link</v>
      </c>
      <c r="L608" s="3" t="str">
        <f>IFERROR(__xludf.DUMMYFUNCTION("""COMPUTED_VALUE"""),"-")</f>
        <v>-</v>
      </c>
      <c r="M608" s="3" t="str">
        <f>IFERROR(__xludf.DUMMYFUNCTION("""COMPUTED_VALUE"""),"Approve")</f>
        <v>Approve</v>
      </c>
      <c r="N608" s="3" t="str">
        <f>IFERROR(__xludf.DUMMYFUNCTION("""COMPUTED_VALUE"""),"Normal")</f>
        <v>Normal</v>
      </c>
      <c r="O608" s="3" t="str">
        <f>IFERROR(__xludf.DUMMYFUNCTION("""COMPUTED_VALUE"""),"Non Urgent")</f>
        <v>Non Urgent</v>
      </c>
      <c r="P608" s="7">
        <f>IFERROR(__xludf.DUMMYFUNCTION("""COMPUTED_VALUE"""),46202.60135964121)</f>
        <v>46202.60136</v>
      </c>
    </row>
    <row r="609">
      <c r="A609" s="4">
        <f>IFERROR(__xludf.DUMMYFUNCTION("""COMPUTED_VALUE"""),46197.17181105324)</f>
        <v>46197.17181</v>
      </c>
      <c r="B609" s="3" t="str">
        <f>IFERROR(__xludf.DUMMYFUNCTION("""COMPUTED_VALUE"""),"ROSBR0103")</f>
        <v>ROSBR0103</v>
      </c>
      <c r="C609" s="3" t="str">
        <f>IFERROR(__xludf.DUMMYFUNCTION("""COMPUTED_VALUE"""),"Critical Part")</f>
        <v>Critical Part</v>
      </c>
      <c r="D609" s="3" t="str">
        <f>IFERROR(__xludf.DUMMYFUNCTION("""COMPUTED_VALUE"""),"-")</f>
        <v>-</v>
      </c>
      <c r="E609" s="3" t="str">
        <f>IFERROR(__xludf.DUMMYFUNCTION("""COMPUTED_VALUE"""),"Capping")</f>
        <v>Capping</v>
      </c>
      <c r="F609" s="3" t="str">
        <f>IFERROR(__xludf.DUMMYFUNCTION("""COMPUTED_VALUE"""),"Force Gauge")</f>
        <v>Force Gauge</v>
      </c>
      <c r="G609" s="3" t="str">
        <f>IFERROR(__xludf.DUMMYFUNCTION("""COMPUTED_VALUE"""),"Dudukan Force Gauge Uk 35x60 x 95mm 1 Pcs 
Specifikasi :
Machining Plate Mat'l SUS 304
Proses Laser Cutting
Profil Bending
Assembly Welding
Finishing")</f>
        <v>Dudukan Force Gauge Uk 35x60 x 95mm 1 Pcs 
Specifikasi :
Machining Plate Mat'l SUS 304
Proses Laser Cutting
Profil Bending
Assembly Welding
Finishing</v>
      </c>
      <c r="H609" s="3" t="str">
        <f>IFERROR(__xludf.DUMMYFUNCTION("""COMPUTED_VALUE"""),"Lokal ")</f>
        <v>Lokal </v>
      </c>
      <c r="I609" s="3">
        <f>IFERROR(__xludf.DUMMYFUNCTION("""COMPUTED_VALUE"""),1.0)</f>
        <v>1</v>
      </c>
      <c r="J609" s="3" t="str">
        <f>IFERROR(__xludf.DUMMYFUNCTION("""COMPUTED_VALUE"""),"set")</f>
        <v>set</v>
      </c>
      <c r="K609" s="5" t="str">
        <f>IFERROR(__xludf.DUMMYFUNCTION("""COMPUTED_VALUE"""),"https://drive.google.com/drive/folders/10COnVF0_mq8boGcgmQ3HP5u0BS7LtAPA?usp=drive_link")</f>
        <v>https://drive.google.com/drive/folders/10COnVF0_mq8boGcgmQ3HP5u0BS7LtAPA?usp=drive_link</v>
      </c>
      <c r="L609" s="3" t="str">
        <f>IFERROR(__xludf.DUMMYFUNCTION("""COMPUTED_VALUE"""),"-")</f>
        <v>-</v>
      </c>
      <c r="M609" s="3" t="str">
        <f>IFERROR(__xludf.DUMMYFUNCTION("""COMPUTED_VALUE"""),"Approve")</f>
        <v>Approve</v>
      </c>
      <c r="N609" s="3" t="str">
        <f>IFERROR(__xludf.DUMMYFUNCTION("""COMPUTED_VALUE"""),"Normal")</f>
        <v>Normal</v>
      </c>
      <c r="O609" s="3" t="str">
        <f>IFERROR(__xludf.DUMMYFUNCTION("""COMPUTED_VALUE"""),"Non Urgent")</f>
        <v>Non Urgent</v>
      </c>
      <c r="P609" s="7">
        <f>IFERROR(__xludf.DUMMYFUNCTION("""COMPUTED_VALUE"""),46202.60186513889)</f>
        <v>46202.60187</v>
      </c>
    </row>
    <row r="610">
      <c r="A610" s="4">
        <f>IFERROR(__xludf.DUMMYFUNCTION("""COMPUTED_VALUE"""),46197.840346562494)</f>
        <v>46197.84035</v>
      </c>
      <c r="B610" s="3" t="str">
        <f>IFERROR(__xludf.DUMMYFUNCTION("""COMPUTED_VALUE"""),"RIABR0183")</f>
        <v>RIABR0183</v>
      </c>
      <c r="C610" s="3" t="str">
        <f>IFERROR(__xludf.DUMMYFUNCTION("""COMPUTED_VALUE"""),"EJO")</f>
        <v>EJO</v>
      </c>
      <c r="D610" s="3" t="str">
        <f>IFERROR(__xludf.DUMMYFUNCTION("""COMPUTED_VALUE"""),"-")</f>
        <v>-</v>
      </c>
      <c r="E610" s="3" t="str">
        <f>IFERROR(__xludf.DUMMYFUNCTION("""COMPUTED_VALUE"""),"Instalasi Grounding dan Penangkal Petir")</f>
        <v>Instalasi Grounding dan Penangkal Petir</v>
      </c>
      <c r="F610" s="3" t="str">
        <f>IFERROR(__xludf.DUMMYFUNCTION("""COMPUTED_VALUE"""),"Bak Kontrol Grounding")</f>
        <v>Bak Kontrol Grounding</v>
      </c>
      <c r="G610" s="3" t="str">
        <f>IFERROR(__xludf.DUMMYFUNCTION("""COMPUTED_VALUE"""),"Detail Produk :
- Merk : FURSE
- Bahan : PVC
- Load rating : 5000 kg
- Berat : 1.80 kg
- Part no. PT205")</f>
        <v>Detail Produk :
- Merk : FURSE
- Bahan : PVC
- Load rating : 5000 kg
- Berat : 1.80 kg
- Part no. PT205</v>
      </c>
      <c r="H610" s="3" t="str">
        <f>IFERROR(__xludf.DUMMYFUNCTION("""COMPUTED_VALUE"""),"Furse")</f>
        <v>Furse</v>
      </c>
      <c r="I610" s="3">
        <f>IFERROR(__xludf.DUMMYFUNCTION("""COMPUTED_VALUE"""),2.0)</f>
        <v>2</v>
      </c>
      <c r="J610" s="3" t="str">
        <f>IFERROR(__xludf.DUMMYFUNCTION("""COMPUTED_VALUE"""),"Pcs")</f>
        <v>Pcs</v>
      </c>
      <c r="K610" s="5" t="str">
        <f>IFERROR(__xludf.DUMMYFUNCTION("""COMPUTED_VALUE"""),"https://www.tokopedia.com/wijaya-indotech-protection/box-control-earthing-pit-pvc-furse-pt205-1730921522349115376?t_id=1782306554623&amp;t_st=2&amp;t_pp=cart&amp;t_efo=cart&amp;t_ef=&amp;t_sm=&amp;t_spt=cart")</f>
        <v>https://www.tokopedia.com/wijaya-indotech-protection/box-control-earthing-pit-pvc-furse-pt205-1730921522349115376?t_id=1782306554623&amp;t_st=2&amp;t_pp=cart&amp;t_efo=cart&amp;t_ef=&amp;t_sm=&amp;t_spt=cart</v>
      </c>
      <c r="L610" s="3" t="str">
        <f>IFERROR(__xludf.DUMMYFUNCTION("""COMPUTED_VALUE"""),"Buat ganti bak kontrol yang pecah yang RIABR0182 reject aja diganti ini")</f>
        <v>Buat ganti bak kontrol yang pecah yang RIABR0182 reject aja diganti ini</v>
      </c>
      <c r="M610" s="3" t="str">
        <f>IFERROR(__xludf.DUMMYFUNCTION("""COMPUTED_VALUE"""),"Approve")</f>
        <v>Approve</v>
      </c>
      <c r="N610" s="3" t="str">
        <f>IFERROR(__xludf.DUMMYFUNCTION("""COMPUTED_VALUE"""),"Normal")</f>
        <v>Normal</v>
      </c>
      <c r="O610" s="3" t="str">
        <f>IFERROR(__xludf.DUMMYFUNCTION("""COMPUTED_VALUE"""),"Non Urgent")</f>
        <v>Non Urgent</v>
      </c>
      <c r="P610" s="7">
        <f>IFERROR(__xludf.DUMMYFUNCTION("""COMPUTED_VALUE"""),46198.7355043287)</f>
        <v>46198.7355</v>
      </c>
    </row>
    <row r="611">
      <c r="A611" s="4">
        <f>IFERROR(__xludf.DUMMYFUNCTION("""COMPUTED_VALUE"""),46199.583685439815)</f>
        <v>46199.58369</v>
      </c>
      <c r="B611" s="3" t="str">
        <f>IFERROR(__xludf.DUMMYFUNCTION("""COMPUTED_VALUE"""),"WAPBR0005")</f>
        <v>WAPBR0005</v>
      </c>
      <c r="C611" s="3" t="str">
        <f>IFERROR(__xludf.DUMMYFUNCTION("""COMPUTED_VALUE"""),"EJO")</f>
        <v>EJO</v>
      </c>
      <c r="D611" s="3" t="str">
        <f>IFERROR(__xludf.DUMMYFUNCTION("""COMPUTED_VALUE"""),"EJO/2026/06/141")</f>
        <v>EJO/2026/06/141</v>
      </c>
      <c r="E611" s="3" t="str">
        <f>IFERROR(__xludf.DUMMYFUNCTION("""COMPUTED_VALUE"""),"WASHING")</f>
        <v>WASHING</v>
      </c>
      <c r="F611" s="3" t="str">
        <f>IFERROR(__xludf.DUMMYFUNCTION("""COMPUTED_VALUE"""),"semprotan angin")</f>
        <v>semprotan angin</v>
      </c>
      <c r="G611" s="3" t="str">
        <f>IFERROR(__xludf.DUMMYFUNCTION("""COMPUTED_VALUE"""),"air blow")</f>
        <v>air blow</v>
      </c>
      <c r="H611" s="3" t="str">
        <f>IFERROR(__xludf.DUMMYFUNCTION("""COMPUTED_VALUE"""),"ELLKA")</f>
        <v>ELLKA</v>
      </c>
      <c r="I611" s="3">
        <f>IFERROR(__xludf.DUMMYFUNCTION("""COMPUTED_VALUE"""),2.0)</f>
        <v>2</v>
      </c>
      <c r="J611" s="3" t="str">
        <f>IFERROR(__xludf.DUMMYFUNCTION("""COMPUTED_VALUE"""),"pcs")</f>
        <v>pcs</v>
      </c>
      <c r="K611" s="5" t="str">
        <f>IFERROR(__xludf.DUMMYFUNCTION("""COMPUTED_VALUE"""),"https://www.lazada.co.id/products/promo-alat-semprotan-angin-kompresor-tekiro-air-duster-coupler-semprotan-debu-i6877018660-s13029000059.html?")</f>
        <v>https://www.lazada.co.id/products/promo-alat-semprotan-angin-kompresor-tekiro-air-duster-coupler-semprotan-debu-i6877018660-s13029000059.html?</v>
      </c>
      <c r="L611" s="3" t="str">
        <f>IFERROR(__xludf.DUMMYFUNCTION("""COMPUTED_VALUE"""),"-")</f>
        <v>-</v>
      </c>
      <c r="M611" s="3" t="str">
        <f>IFERROR(__xludf.DUMMYFUNCTION("""COMPUTED_VALUE"""),"Approve")</f>
        <v>Approve</v>
      </c>
      <c r="N611" s="3" t="str">
        <f>IFERROR(__xludf.DUMMYFUNCTION("""COMPUTED_VALUE"""),"Normal")</f>
        <v>Normal</v>
      </c>
      <c r="O611" s="3" t="str">
        <f>IFERROR(__xludf.DUMMYFUNCTION("""COMPUTED_VALUE"""),"Non Urgent")</f>
        <v>Non Urgent</v>
      </c>
      <c r="P611" s="7">
        <f>IFERROR(__xludf.DUMMYFUNCTION("""COMPUTED_VALUE"""),46202.6042544213)</f>
        <v>46202.60425</v>
      </c>
    </row>
    <row r="612">
      <c r="A612" s="4">
        <f>IFERROR(__xludf.DUMMYFUNCTION("""COMPUTED_VALUE"""),46202.559652731485)</f>
        <v>46202.55965</v>
      </c>
      <c r="B612" s="3" t="str">
        <f>IFERROR(__xludf.DUMMYFUNCTION("""COMPUTED_VALUE"""),"WAPBR0006")</f>
        <v>WAPBR0006</v>
      </c>
      <c r="C612" s="3" t="str">
        <f>IFERROR(__xludf.DUMMYFUNCTION("""COMPUTED_VALUE"""),"EJO")</f>
        <v>EJO</v>
      </c>
      <c r="D612" s="3" t="str">
        <f>IFERROR(__xludf.DUMMYFUNCTION("""COMPUTED_VALUE"""),"lampu indikator merah pada mesin tablet")</f>
        <v>lampu indikator merah pada mesin tablet</v>
      </c>
      <c r="E612" s="3" t="str">
        <f>IFERROR(__xludf.DUMMYFUNCTION("""COMPUTED_VALUE"""),"Tableting")</f>
        <v>Tableting</v>
      </c>
      <c r="F612" s="3" t="str">
        <f>IFERROR(__xludf.DUMMYFUNCTION("""COMPUTED_VALUE"""),"lampu ")</f>
        <v>lampu </v>
      </c>
      <c r="G612" s="3" t="str">
        <f>IFERROR(__xludf.DUMMYFUNCTION("""COMPUTED_VALUE"""),"24V C5W")</f>
        <v>24V C5W</v>
      </c>
      <c r="H612" s="3" t="str">
        <f>IFERROR(__xludf.DUMMYFUNCTION("""COMPUTED_VALUE"""),"OSRAM")</f>
        <v>OSRAM</v>
      </c>
      <c r="I612" s="3">
        <f>IFERROR(__xludf.DUMMYFUNCTION("""COMPUTED_VALUE"""),4.0)</f>
        <v>4</v>
      </c>
      <c r="J612" s="3" t="str">
        <f>IFERROR(__xludf.DUMMYFUNCTION("""COMPUTED_VALUE"""),"pcs")</f>
        <v>pcs</v>
      </c>
      <c r="K612" s="5" t="str">
        <f>IFERROR(__xludf.DUMMYFUNCTION("""COMPUTED_VALUE"""),"https://www.osram.com/ecat/ORIGINAL%20-%20FESTOON-Signal%20lamps-Truck%20lighting-Automotive/com/en/GPS01_1057117/ZMP_61080/")</f>
        <v>https://www.osram.com/ecat/ORIGINAL%20-%20FESTOON-Signal%20lamps-Truck%20lighting-Automotive/com/en/GPS01_1057117/ZMP_61080/</v>
      </c>
      <c r="L612" s="3" t="str">
        <f>IFERROR(__xludf.DUMMYFUNCTION("""COMPUTED_VALUE"""),"- ")</f>
        <v>- </v>
      </c>
      <c r="M612" s="3" t="str">
        <f>IFERROR(__xludf.DUMMYFUNCTION("""COMPUTED_VALUE"""),"Approve")</f>
        <v>Approve</v>
      </c>
      <c r="N612" s="3" t="str">
        <f>IFERROR(__xludf.DUMMYFUNCTION("""COMPUTED_VALUE"""),"Normal")</f>
        <v>Normal</v>
      </c>
      <c r="O612" s="3" t="str">
        <f>IFERROR(__xludf.DUMMYFUNCTION("""COMPUTED_VALUE"""),"Non Urgent")</f>
        <v>Non Urgent</v>
      </c>
      <c r="P612" s="7">
        <f>IFERROR(__xludf.DUMMYFUNCTION("""COMPUTED_VALUE"""),46255.68975149306)</f>
        <v>46255.68975</v>
      </c>
    </row>
    <row r="613">
      <c r="A613" s="4">
        <f>IFERROR(__xludf.DUMMYFUNCTION("""COMPUTED_VALUE"""),46202.65666340278)</f>
        <v>46202.65666</v>
      </c>
      <c r="B613" s="3" t="str">
        <f>IFERROR(__xludf.DUMMYFUNCTION("""COMPUTED_VALUE"""),"SFHBR0063")</f>
        <v>SFHBR0063</v>
      </c>
      <c r="C613" s="3" t="str">
        <f>IFERROR(__xludf.DUMMYFUNCTION("""COMPUTED_VALUE"""),"EJO")</f>
        <v>EJO</v>
      </c>
      <c r="D613" s="3" t="str">
        <f>IFERROR(__xludf.DUMMYFUNCTION("""COMPUTED_VALUE"""),"EJO/2026/06/113")</f>
        <v>EJO/2026/06/113</v>
      </c>
      <c r="E613" s="3" t="str">
        <f>IFERROR(__xludf.DUMMYFUNCTION("""COMPUTED_VALUE"""),"lantai 2")</f>
        <v>lantai 2</v>
      </c>
      <c r="F613" s="3" t="str">
        <f>IFERROR(__xludf.DUMMYFUNCTION("""COMPUTED_VALUE"""),"SANDBLAST / GLASS FILM / STICKER KACA ES / CUTTING STICKER POLOS 215 Merk RUISITU. TInggi sandblast 122 cm Harga tertera adalah untuk ukuran 122cm x 50meter/ 1ROLL")</f>
        <v>SANDBLAST / GLASS FILM / STICKER KACA ES / CUTTING STICKER POLOS 215 Merk RUISITU. TInggi sandblast 122 cm Harga tertera adalah untuk ukuran 122cm x 50meter/ 1ROLL</v>
      </c>
      <c r="G613" s="3" t="str">
        <f>IFERROR(__xludf.DUMMYFUNCTION("""COMPUTED_VALUE"""),"SANDBLAST / GLASS FILM / STICKER KACA ES / CUTTING STICKER POLOS 215 . TInggi sandblast 122 cm Harga tertera adalah untuk ukuran 122cm x 50meter/ 1ROLL")</f>
        <v>SANDBLAST / GLASS FILM / STICKER KACA ES / CUTTING STICKER POLOS 215 . TInggi sandblast 122 cm Harga tertera adalah untuk ukuran 122cm x 50meter/ 1ROLL</v>
      </c>
      <c r="H613" s="3" t="str">
        <f>IFERROR(__xludf.DUMMYFUNCTION("""COMPUTED_VALUE"""),"Ruisitu")</f>
        <v>Ruisitu</v>
      </c>
      <c r="I613" s="3">
        <f>IFERROR(__xludf.DUMMYFUNCTION("""COMPUTED_VALUE"""),6.0)</f>
        <v>6</v>
      </c>
      <c r="J613" s="3" t="str">
        <f>IFERROR(__xludf.DUMMYFUNCTION("""COMPUTED_VALUE"""),"Roll")</f>
        <v>Roll</v>
      </c>
      <c r="K613" s="5" t="str">
        <f>IFERROR(__xludf.DUMMYFUNCTION("""COMPUTED_VALUE"""),"https://tk.tokopedia.com/ZSCUU7Y4T/")</f>
        <v>https://tk.tokopedia.com/ZSCUU7Y4T/</v>
      </c>
      <c r="L613" s="3" t="str">
        <f>IFERROR(__xludf.DUMMYFUNCTION("""COMPUTED_VALUE"""),"Pemasangan kaca fil pada windor , door diarea sparepart pro")</f>
        <v>Pemasangan kaca fil pada windor , door diarea sparepart pro</v>
      </c>
      <c r="M613" s="3" t="str">
        <f>IFERROR(__xludf.DUMMYFUNCTION("""COMPUTED_VALUE"""),"Approve")</f>
        <v>Approve</v>
      </c>
      <c r="N613" s="3" t="str">
        <f>IFERROR(__xludf.DUMMYFUNCTION("""COMPUTED_VALUE"""),"Normal")</f>
        <v>Normal</v>
      </c>
      <c r="O613" s="3" t="str">
        <f>IFERROR(__xludf.DUMMYFUNCTION("""COMPUTED_VALUE"""),"Non Urgent")</f>
        <v>Non Urgent</v>
      </c>
      <c r="P613" s="7">
        <f>IFERROR(__xludf.DUMMYFUNCTION("""COMPUTED_VALUE"""),46204.94473553241)</f>
        <v>46204.94474</v>
      </c>
    </row>
    <row r="614">
      <c r="A614" s="4">
        <f>IFERROR(__xludf.DUMMYFUNCTION("""COMPUTED_VALUE"""),46202.664054583336)</f>
        <v>46202.66405</v>
      </c>
      <c r="B614" s="3" t="str">
        <f>IFERROR(__xludf.DUMMYFUNCTION("""COMPUTED_VALUE"""),"SFHBR0064")</f>
        <v>SFHBR0064</v>
      </c>
      <c r="C614" s="3" t="str">
        <f>IFERROR(__xludf.DUMMYFUNCTION("""COMPUTED_VALUE"""),"EJO")</f>
        <v>EJO</v>
      </c>
      <c r="D614" s="3" t="str">
        <f>IFERROR(__xludf.DUMMYFUNCTION("""COMPUTED_VALUE"""),"EJO/2026/06/113")</f>
        <v>EJO/2026/06/113</v>
      </c>
      <c r="E614" s="3" t="str">
        <f>IFERROR(__xludf.DUMMYFUNCTION("""COMPUTED_VALUE"""),"lantai 2")</f>
        <v>lantai 2</v>
      </c>
      <c r="F614" s="3" t="str">
        <f>IFERROR(__xludf.DUMMYFUNCTION("""COMPUTED_VALUE"""),"Rakel Kape Sticker Hijau  SDK 01 Alat Bantu Pasang Sticker Super D Gagang Panjang - SDK 0")</f>
        <v>Rakel Kape Sticker Hijau  SDK 01 Alat Bantu Pasang Sticker Super D Gagang Panjang - SDK 0</v>
      </c>
      <c r="G614" s="3" t="str">
        <f>IFERROR(__xludf.DUMMYFUNCTION("""COMPUTED_VALUE"""),"Rakel Kape Sticker Hijau  SDK 01 Alat Bantu Pasang Sticker Super D Gagang Panjang - SDK 0")</f>
        <v>Rakel Kape Sticker Hijau  SDK 01 Alat Bantu Pasang Sticker Super D Gagang Panjang - SDK 0</v>
      </c>
      <c r="H614" s="3" t="str">
        <f>IFERROR(__xludf.DUMMYFUNCTION("""COMPUTED_VALUE"""),"kirin")</f>
        <v>kirin</v>
      </c>
      <c r="I614" s="3">
        <f>IFERROR(__xludf.DUMMYFUNCTION("""COMPUTED_VALUE"""),5.0)</f>
        <v>5</v>
      </c>
      <c r="J614" s="3" t="str">
        <f>IFERROR(__xludf.DUMMYFUNCTION("""COMPUTED_VALUE"""),"pcs")</f>
        <v>pcs</v>
      </c>
      <c r="K614" s="5" t="str">
        <f>IFERROR(__xludf.DUMMYFUNCTION("""COMPUTED_VALUE"""),"https://tk.tokopedia.com/ZSCUfnQtM/")</f>
        <v>https://tk.tokopedia.com/ZSCUfnQtM/</v>
      </c>
      <c r="L614" s="3" t="str">
        <f>IFERROR(__xludf.DUMMYFUNCTION("""COMPUTED_VALUE"""),"alat bantu buat masang kaca film")</f>
        <v>alat bantu buat masang kaca film</v>
      </c>
      <c r="M614" s="3" t="str">
        <f>IFERROR(__xludf.DUMMYFUNCTION("""COMPUTED_VALUE"""),"Approve")</f>
        <v>Approve</v>
      </c>
      <c r="N614" s="3" t="str">
        <f>IFERROR(__xludf.DUMMYFUNCTION("""COMPUTED_VALUE"""),"Normal")</f>
        <v>Normal</v>
      </c>
      <c r="O614" s="3" t="str">
        <f>IFERROR(__xludf.DUMMYFUNCTION("""COMPUTED_VALUE"""),"Non Urgent")</f>
        <v>Non Urgent</v>
      </c>
      <c r="P614" s="7">
        <f>IFERROR(__xludf.DUMMYFUNCTION("""COMPUTED_VALUE"""),46204.94524072917)</f>
        <v>46204.94524</v>
      </c>
    </row>
    <row r="615">
      <c r="A615" s="4">
        <f>IFERROR(__xludf.DUMMYFUNCTION("""COMPUTED_VALUE"""),46202.87510517361)</f>
        <v>46202.87511</v>
      </c>
      <c r="B615" s="3" t="str">
        <f>IFERROR(__xludf.DUMMYFUNCTION("""COMPUTED_VALUE"""),"SFHBR0065")</f>
        <v>SFHBR0065</v>
      </c>
      <c r="C615" s="3" t="str">
        <f>IFERROR(__xludf.DUMMYFUNCTION("""COMPUTED_VALUE"""),"EJO")</f>
        <v>EJO</v>
      </c>
      <c r="D615" s="3" t="str">
        <f>IFERROR(__xludf.DUMMYFUNCTION("""COMPUTED_VALUE"""),"EJO/2026/06/039")</f>
        <v>EJO/2026/06/039</v>
      </c>
      <c r="E615" s="3" t="str">
        <f>IFERROR(__xludf.DUMMYFUNCTION("""COMPUTED_VALUE"""),"lanati 1")</f>
        <v>lanati 1</v>
      </c>
      <c r="F615" s="3" t="str">
        <f>IFERROR(__xludf.DUMMYFUNCTION("""COMPUTED_VALUE"""),"LAMPU RC081V PHILIPS LED38S 30W SMARTBRIGHT SLIM PANEL WARNA PUTIH 6500k")</f>
        <v>LAMPU RC081V PHILIPS LED38S 30W SMARTBRIGHT SLIM PANEL WARNA PUTIH 6500k</v>
      </c>
      <c r="G615" s="3" t="str">
        <f>IFERROR(__xludf.DUMMYFUNCTION("""COMPUTED_VALUE"""),"LAMPU RC081V PHILIPS LED38S 30W SMARTBRIGHT SLIM PANEL 1197x297mm WARNA PUTIH 6500k")</f>
        <v>LAMPU RC081V PHILIPS LED38S 30W SMARTBRIGHT SLIM PANEL 1197x297mm WARNA PUTIH 6500k</v>
      </c>
      <c r="H615" s="3" t="str">
        <f>IFERROR(__xludf.DUMMYFUNCTION("""COMPUTED_VALUE"""),"philips")</f>
        <v>philips</v>
      </c>
      <c r="I615" s="3">
        <f>IFERROR(__xludf.DUMMYFUNCTION("""COMPUTED_VALUE"""),30.0)</f>
        <v>30</v>
      </c>
      <c r="J615" s="3" t="str">
        <f>IFERROR(__xludf.DUMMYFUNCTION("""COMPUTED_VALUE"""),"pcs")</f>
        <v>pcs</v>
      </c>
      <c r="K615" s="5" t="str">
        <f>IFERROR(__xludf.DUMMYFUNCTION("""COMPUTED_VALUE"""),"https://shopee.co.id/product/1164439416/42173786388?gads_t_sig=gqRjZGVrxHCFomtpsTE0MjUxOnRzc19zZGtfa2V5omt20QABpGFsZ2_SAAAAZKNkZWvAomN0xEAAAAAMfaLqlfFS4JwQPCoOJZHE2YMfq1tWF61pnIIHqGuyOlpkjBotHu7Xpb0YRK1tULWVZdcpI_r9hw6jgE9CqmNpcGhlcnRleHTEcwAAAAztSCWnnhPo"&amp;"mMujj0wlJ7ZPXivWmK59zHkyC_dyqvi2MgdmUtFQppIcW-tH_uuYcgrBzJ")</f>
        <v>https://shopee.co.id/product/1164439416/42173786388?gads_t_sig=gqRjZGVrxHCFomtpsTE0MjUxOnRzc19zZGtfa2V5omt20QABpGFsZ2_SAAAAZKNkZWvAomN0xEAAAAAMfaLqlfFS4JwQPCoOJZHE2YMfq1tWF61pnIIHqGuyOlpkjBotHu7Xpb0YRK1tULWVZdcpI_r9hw6jgE9CqmNpcGhlcnRleHTEcwAAAAztSCWnnhPomMujj0wlJ7ZPXivWmK59zHkyC_dyqvi2MgdmUtFQppIcW-tH_uuYcgrBzJ</v>
      </c>
      <c r="L615" s="3" t="str">
        <f>IFERROR(__xludf.DUMMYFUNCTION("""COMPUTED_VALUE"""),"buat stock lampu area OSD")</f>
        <v>buat stock lampu area OSD</v>
      </c>
      <c r="M615" s="3" t="str">
        <f>IFERROR(__xludf.DUMMYFUNCTION("""COMPUTED_VALUE"""),"Approve")</f>
        <v>Approve</v>
      </c>
      <c r="N615" s="3" t="str">
        <f>IFERROR(__xludf.DUMMYFUNCTION("""COMPUTED_VALUE"""),"Normal")</f>
        <v>Normal</v>
      </c>
      <c r="O615" s="3" t="str">
        <f>IFERROR(__xludf.DUMMYFUNCTION("""COMPUTED_VALUE"""),"Non Urgent")</f>
        <v>Non Urgent</v>
      </c>
      <c r="P615" s="7">
        <f>IFERROR(__xludf.DUMMYFUNCTION("""COMPUTED_VALUE"""),46204.94563766204)</f>
        <v>46204.94564</v>
      </c>
    </row>
    <row r="616">
      <c r="A616" s="4">
        <f>IFERROR(__xludf.DUMMYFUNCTION("""COMPUTED_VALUE"""),46202.96402361111)</f>
        <v>46202.96402</v>
      </c>
      <c r="B616" s="3" t="str">
        <f>IFERROR(__xludf.DUMMYFUNCTION("""COMPUTED_VALUE"""),"MRNBR0111")</f>
        <v>MRNBR0111</v>
      </c>
      <c r="C616" s="3" t="str">
        <f>IFERROR(__xludf.DUMMYFUNCTION("""COMPUTED_VALUE"""),"EJO")</f>
        <v>EJO</v>
      </c>
      <c r="D616" s="3" t="str">
        <f>IFERROR(__xludf.DUMMYFUNCTION("""COMPUTED_VALUE"""),"EJO/2025/08/205")</f>
        <v>EJO/2025/08/205</v>
      </c>
      <c r="E616" s="3" t="str">
        <f>IFERROR(__xludf.DUMMYFUNCTION("""COMPUTED_VALUE"""),"Lampu di IPC")</f>
        <v>Lampu di IPC</v>
      </c>
      <c r="F616" s="3" t="str">
        <f>IFERROR(__xludf.DUMMYFUNCTION("""COMPUTED_VALUE"""),"Kap Lampu CPOB")</f>
        <v>Kap Lampu CPOB</v>
      </c>
      <c r="G616" s="3" t="str">
        <f>IFERROR(__xludf.DUMMYFUNCTION("""COMPUTED_VALUE"""),"Lampu CPOB bukaan Bawah uk. 120x30 tebal 7cm")</f>
        <v>Lampu CPOB bukaan Bawah uk. 120x30 tebal 7cm</v>
      </c>
      <c r="H616" s="3" t="str">
        <f>IFERROR(__xludf.DUMMYFUNCTION("""COMPUTED_VALUE"""),"Amidef")</f>
        <v>Amidef</v>
      </c>
      <c r="I616" s="3">
        <f>IFERROR(__xludf.DUMMYFUNCTION("""COMPUTED_VALUE"""),5.0)</f>
        <v>5</v>
      </c>
      <c r="J616" s="3" t="str">
        <f>IFERROR(__xludf.DUMMYFUNCTION("""COMPUTED_VALUE"""),"unit")</f>
        <v>unit</v>
      </c>
      <c r="K616" s="5" t="str">
        <f>IFERROR(__xludf.DUMMYFUNCTION("""COMPUTED_VALUE"""),"https://acrobat.adobe.com/id/urn:aaid:sc:AP:ed51335f-ae92-4988-ac94-fda62b428eec")</f>
        <v>https://acrobat.adobe.com/id/urn:aaid:sc:AP:ed51335f-ae92-4988-ac94-fda62b428eec</v>
      </c>
      <c r="L616" s="3" t="str">
        <f>IFERROR(__xludf.DUMMYFUNCTION("""COMPUTED_VALUE"""),"di penawaran Item no 1")</f>
        <v>di penawaran Item no 1</v>
      </c>
      <c r="M616" s="3" t="str">
        <f>IFERROR(__xludf.DUMMYFUNCTION("""COMPUTED_VALUE"""),"Approve")</f>
        <v>Approve</v>
      </c>
      <c r="N616" s="3" t="str">
        <f>IFERROR(__xludf.DUMMYFUNCTION("""COMPUTED_VALUE"""),"Normal")</f>
        <v>Normal</v>
      </c>
      <c r="O616" s="3" t="str">
        <f>IFERROR(__xludf.DUMMYFUNCTION("""COMPUTED_VALUE"""),"Non Urgent")</f>
        <v>Non Urgent</v>
      </c>
      <c r="P616" s="7">
        <f>IFERROR(__xludf.DUMMYFUNCTION("""COMPUTED_VALUE"""),46235.445903541666)</f>
        <v>46235.4459</v>
      </c>
    </row>
    <row r="617">
      <c r="A617" s="4">
        <f>IFERROR(__xludf.DUMMYFUNCTION("""COMPUTED_VALUE"""),46202.9660377662)</f>
        <v>46202.96604</v>
      </c>
      <c r="B617" s="3" t="str">
        <f>IFERROR(__xludf.DUMMYFUNCTION("""COMPUTED_VALUE"""),"MRNBR0112")</f>
        <v>MRNBR0112</v>
      </c>
      <c r="C617" s="3" t="str">
        <f>IFERROR(__xludf.DUMMYFUNCTION("""COMPUTED_VALUE"""),"EJO")</f>
        <v>EJO</v>
      </c>
      <c r="D617" s="3" t="str">
        <f>IFERROR(__xludf.DUMMYFUNCTION("""COMPUTED_VALUE"""),"EJO/2025/08/205")</f>
        <v>EJO/2025/08/205</v>
      </c>
      <c r="E617" s="3" t="str">
        <f>IFERROR(__xludf.DUMMYFUNCTION("""COMPUTED_VALUE"""),"Lampu di IPC")</f>
        <v>Lampu di IPC</v>
      </c>
      <c r="F617" s="3" t="str">
        <f>IFERROR(__xludf.DUMMYFUNCTION("""COMPUTED_VALUE"""),"Kap Lampu CPOB")</f>
        <v>Kap Lampu CPOB</v>
      </c>
      <c r="G617" s="3" t="str">
        <f>IFERROR(__xludf.DUMMYFUNCTION("""COMPUTED_VALUE"""),"Lampu CPOB bukaan Bawah uk. 60x30 tebal 7cm")</f>
        <v>Lampu CPOB bukaan Bawah uk. 60x30 tebal 7cm</v>
      </c>
      <c r="H617" s="3" t="str">
        <f>IFERROR(__xludf.DUMMYFUNCTION("""COMPUTED_VALUE"""),"Amidef")</f>
        <v>Amidef</v>
      </c>
      <c r="I617" s="3">
        <f>IFERROR(__xludf.DUMMYFUNCTION("""COMPUTED_VALUE"""),5.0)</f>
        <v>5</v>
      </c>
      <c r="J617" s="3" t="str">
        <f>IFERROR(__xludf.DUMMYFUNCTION("""COMPUTED_VALUE"""),"unit")</f>
        <v>unit</v>
      </c>
      <c r="K617" s="5" t="str">
        <f>IFERROR(__xludf.DUMMYFUNCTION("""COMPUTED_VALUE"""),"https://acrobat.adobe.com/id/urn:aaid:sc:AP:ed51335f-ae92-4988-ac94-fda62b428eec")</f>
        <v>https://acrobat.adobe.com/id/urn:aaid:sc:AP:ed51335f-ae92-4988-ac94-fda62b428eec</v>
      </c>
      <c r="L617" s="3" t="str">
        <f>IFERROR(__xludf.DUMMYFUNCTION("""COMPUTED_VALUE"""),"di penawaran Item no 3")</f>
        <v>di penawaran Item no 3</v>
      </c>
      <c r="M617" s="3" t="str">
        <f>IFERROR(__xludf.DUMMYFUNCTION("""COMPUTED_VALUE"""),"Approve")</f>
        <v>Approve</v>
      </c>
      <c r="N617" s="3" t="str">
        <f>IFERROR(__xludf.DUMMYFUNCTION("""COMPUTED_VALUE"""),"Normal")</f>
        <v>Normal</v>
      </c>
      <c r="O617" s="3" t="str">
        <f>IFERROR(__xludf.DUMMYFUNCTION("""COMPUTED_VALUE"""),"Non Urgent")</f>
        <v>Non Urgent</v>
      </c>
      <c r="P617" s="7">
        <f>IFERROR(__xludf.DUMMYFUNCTION("""COMPUTED_VALUE"""),46235.44630045139)</f>
        <v>46235.4463</v>
      </c>
    </row>
    <row r="618">
      <c r="A618" s="4">
        <f>IFERROR(__xludf.DUMMYFUNCTION("""COMPUTED_VALUE"""),46205.618953564815)</f>
        <v>46205.61895</v>
      </c>
      <c r="B618" s="3" t="str">
        <f>IFERROR(__xludf.DUMMYFUNCTION("""COMPUTED_VALUE"""),"RIABR0184")</f>
        <v>RIABR0184</v>
      </c>
      <c r="C618" s="3" t="str">
        <f>IFERROR(__xludf.DUMMYFUNCTION("""COMPUTED_VALUE"""),"EJO")</f>
        <v>EJO</v>
      </c>
      <c r="D618" s="3" t="str">
        <f>IFERROR(__xludf.DUMMYFUNCTION("""COMPUTED_VALUE"""),"EJO/2026/05/026")</f>
        <v>EJO/2026/05/026</v>
      </c>
      <c r="E618" s="3" t="str">
        <f>IFERROR(__xludf.DUMMYFUNCTION("""COMPUTED_VALUE"""),"Alarm System Pintu Emergency")</f>
        <v>Alarm System Pintu Emergency</v>
      </c>
      <c r="F618" s="3" t="str">
        <f>IFERROR(__xludf.DUMMYFUNCTION("""COMPUTED_VALUE"""),"Box Panel")</f>
        <v>Box Panel</v>
      </c>
      <c r="G618" s="3" t="str">
        <f>IFERROR(__xludf.DUMMYFUNCTION("""COMPUTED_VALUE"""),"Box Panel Outdoor
o Nama Produk : Box Panel Topi ½ Outdoor
o Tinggi Produk : 20 Cm
o Lebar Produk : 17 Cm
o Tebal Produk : 12 Cm
o Kunci : Bulat
o Jenis Pintu : Dalam
o Engsel Pintu : Las
o Plat : 1 mm
o Finishing Cat : Powder Coating
o Warna : "&amp;"Cream")</f>
        <v>Box Panel Outdoor
o Nama Produk : Box Panel Topi ½ Outdoor
o Tinggi Produk : 20 Cm
o Lebar Produk : 17 Cm
o Tebal Produk : 12 Cm
o Kunci : Bulat
o Jenis Pintu : Dalam
o Engsel Pintu : Las
o Plat : 1 mm
o Finishing Cat : Powder Coating
o Warna : Cream</v>
      </c>
      <c r="H618" s="3" t="str">
        <f>IFERROR(__xludf.DUMMYFUNCTION("""COMPUTED_VALUE"""),"Lokal")</f>
        <v>Lokal</v>
      </c>
      <c r="I618" s="3">
        <f>IFERROR(__xludf.DUMMYFUNCTION("""COMPUTED_VALUE"""),3.0)</f>
        <v>3</v>
      </c>
      <c r="J618" s="3" t="str">
        <f>IFERROR(__xludf.DUMMYFUNCTION("""COMPUTED_VALUE"""),"Pcs")</f>
        <v>Pcs</v>
      </c>
      <c r="K618" s="5" t="str">
        <f>IFERROR(__xludf.DUMMYFUNCTION("""COMPUTED_VALUE"""),"https://www.tokopedia.com/sinar-terang-elektrik-os/box-panel-topi-outdoor-powder-coating-20-x-17-x-12-cm-pintu-dalam?extParam=ivf%3Dfalse%26keyword%3Dpanel+outdoor%26search_id%3D20260702074924A666587AFDA6E811DXDK%26src%3Dsearch&amp;t_id=1782978614250&amp;t_st=1&amp;t"&amp;"_pp=search_result&amp;t_efo=search_pure_goods_card&amp;t_ef=goods_search&amp;t_sm=&amp;t_spt=search_result")</f>
        <v>https://www.tokopedia.com/sinar-terang-elektrik-os/box-panel-topi-outdoor-powder-coating-20-x-17-x-12-cm-pintu-dalam?extParam=ivf%3Dfalse%26keyword%3Dpanel+outdoor%26search_id%3D20260702074924A666587AFDA6E811DXDK%26src%3Dsearch&amp;t_id=1782978614250&amp;t_st=1&amp;t_pp=search_result&amp;t_efo=search_pure_goods_card&amp;t_ef=goods_search&amp;t_sm=&amp;t_spt=search_result</v>
      </c>
      <c r="L618" s="3" t="str">
        <f>IFERROR(__xludf.DUMMYFUNCTION("""COMPUTED_VALUE"""),"Buat ganti panel rusak di pintu emergency warehouse")</f>
        <v>Buat ganti panel rusak di pintu emergency warehouse</v>
      </c>
      <c r="M618" s="3" t="str">
        <f>IFERROR(__xludf.DUMMYFUNCTION("""COMPUTED_VALUE"""),"Approve")</f>
        <v>Approve</v>
      </c>
      <c r="N618" s="3" t="str">
        <f>IFERROR(__xludf.DUMMYFUNCTION("""COMPUTED_VALUE"""),"Normal")</f>
        <v>Normal</v>
      </c>
      <c r="O618" s="3" t="str">
        <f>IFERROR(__xludf.DUMMYFUNCTION("""COMPUTED_VALUE"""),"Non Urgent")</f>
        <v>Non Urgent</v>
      </c>
      <c r="P618" s="7">
        <f>IFERROR(__xludf.DUMMYFUNCTION("""COMPUTED_VALUE"""),46206.16608530092)</f>
        <v>46206.16609</v>
      </c>
    </row>
    <row r="619">
      <c r="A619" s="4">
        <f>IFERROR(__xludf.DUMMYFUNCTION("""COMPUTED_VALUE"""),46208.66826355324)</f>
        <v>46208.66826</v>
      </c>
      <c r="B619" s="3" t="str">
        <f>IFERROR(__xludf.DUMMYFUNCTION("""COMPUTED_VALUE"""),"RIABR0185")</f>
        <v>RIABR0185</v>
      </c>
      <c r="C619" s="3" t="str">
        <f>IFERROR(__xludf.DUMMYFUNCTION("""COMPUTED_VALUE"""),"EJO")</f>
        <v>EJO</v>
      </c>
      <c r="D619" s="3" t="str">
        <f>IFERROR(__xludf.DUMMYFUNCTION("""COMPUTED_VALUE"""),"EJO/2026/06/084")</f>
        <v>EJO/2026/06/084</v>
      </c>
      <c r="E619" s="3" t="str">
        <f>IFERROR(__xludf.DUMMYFUNCTION("""COMPUTED_VALUE"""),"WICC")</f>
        <v>WICC</v>
      </c>
      <c r="F619" s="3" t="str">
        <f>IFERROR(__xludf.DUMMYFUNCTION("""COMPUTED_VALUE"""),"Update Software")</f>
        <v>Update Software</v>
      </c>
      <c r="G619" s="3" t="str">
        <f>IFERROR(__xludf.DUMMYFUNCTION("""COMPUTED_VALUE"""),"SOFTWARE-FUJI SCS-1.3 LITE-LICENSE
ASSY-- (308/08/13-14 &amp; 309/08/13-14)")</f>
        <v>SOFTWARE-FUJI SCS-1.3 LITE-LICENSE
ASSY-- (308/08/13-14 &amp; 309/08/13-14)</v>
      </c>
      <c r="H619" s="3" t="str">
        <f>IFERROR(__xludf.DUMMYFUNCTION("""COMPUTED_VALUE"""),"Thermolab")</f>
        <v>Thermolab</v>
      </c>
      <c r="I619" s="3">
        <f>IFERROR(__xludf.DUMMYFUNCTION("""COMPUTED_VALUE"""),1.0)</f>
        <v>1</v>
      </c>
      <c r="J619" s="3" t="str">
        <f>IFERROR(__xludf.DUMMYFUNCTION("""COMPUTED_VALUE"""),"NOS")</f>
        <v>NOS</v>
      </c>
      <c r="K619" s="3" t="str">
        <f>IFERROR(__xludf.DUMMYFUNCTION("""COMPUTED_VALUE"""),"PT FONKO INTERNATIONAL PHARMACEUTICALS EXP-SPR-QT-77.pdf")</f>
        <v>PT FONKO INTERNATIONAL PHARMACEUTICALS EXP-SPR-QT-77.pdf</v>
      </c>
      <c r="L619" s="3" t="str">
        <f>IFERROR(__xludf.DUMMYFUNCTION("""COMPUTED_VALUE"""),"Update software WICC")</f>
        <v>Update software WICC</v>
      </c>
      <c r="M619" s="3" t="str">
        <f>IFERROR(__xludf.DUMMYFUNCTION("""COMPUTED_VALUE"""),"Approve")</f>
        <v>Approve</v>
      </c>
      <c r="N619" s="3" t="str">
        <f>IFERROR(__xludf.DUMMYFUNCTION("""COMPUTED_VALUE"""),"Normal")</f>
        <v>Normal</v>
      </c>
      <c r="O619" s="3" t="str">
        <f>IFERROR(__xludf.DUMMYFUNCTION("""COMPUTED_VALUE"""),"Non Urgent")</f>
        <v>Non Urgent</v>
      </c>
      <c r="P619" s="7">
        <f>IFERROR(__xludf.DUMMYFUNCTION("""COMPUTED_VALUE"""),46254.79782702547)</f>
        <v>46254.79783</v>
      </c>
    </row>
    <row r="620">
      <c r="A620" s="4">
        <f>IFERROR(__xludf.DUMMYFUNCTION("""COMPUTED_VALUE"""),46211.62897138889)</f>
        <v>46211.62897</v>
      </c>
      <c r="B620" s="3" t="str">
        <f>IFERROR(__xludf.DUMMYFUNCTION("""COMPUTED_VALUE"""),"ANOBR0085")</f>
        <v>ANOBR0085</v>
      </c>
      <c r="C620" s="3" t="str">
        <f>IFERROR(__xludf.DUMMYFUNCTION("""COMPUTED_VALUE"""),"Consumable")</f>
        <v>Consumable</v>
      </c>
      <c r="D620" s="3" t="str">
        <f>IFERROR(__xludf.DUMMYFUNCTION("""COMPUTED_VALUE"""),"-")</f>
        <v>-</v>
      </c>
      <c r="E620" s="3" t="str">
        <f>IFERROR(__xludf.DUMMYFUNCTION("""COMPUTED_VALUE"""),"Forklift")</f>
        <v>Forklift</v>
      </c>
      <c r="F620" s="3" t="str">
        <f>IFERROR(__xludf.DUMMYFUNCTION("""COMPUTED_VALUE"""),"lithium grease ")</f>
        <v>lithium grease </v>
      </c>
      <c r="G620" s="3" t="str">
        <f>IFERROR(__xludf.DUMMYFUNCTION("""COMPUTED_VALUE"""),"lithium grease untuk rante, gear, bearing")</f>
        <v>lithium grease untuk rante, gear, bearing</v>
      </c>
      <c r="H620" s="3" t="str">
        <f>IFERROR(__xludf.DUMMYFUNCTION("""COMPUTED_VALUE"""),"lithium")</f>
        <v>lithium</v>
      </c>
      <c r="I620" s="3">
        <f>IFERROR(__xludf.DUMMYFUNCTION("""COMPUTED_VALUE"""),3.0)</f>
        <v>3</v>
      </c>
      <c r="J620" s="3" t="str">
        <f>IFERROR(__xludf.DUMMYFUNCTION("""COMPUTED_VALUE"""),"botol")</f>
        <v>botol</v>
      </c>
      <c r="K620" s="5" t="str">
        <f>IFERROR(__xludf.DUMMYFUNCTION("""COMPUTED_VALUE"""),"https://shopee.co.id/BURGARI-Lithium-Grease-Spray-Gemuk-Cair-500ML-Pelumas-Bearing-Engsel-dan-Alat-Penggerak-Lainnya-i.28051792.26718462866")</f>
        <v>https://shopee.co.id/BURGARI-Lithium-Grease-Spray-Gemuk-Cair-500ML-Pelumas-Bearing-Engsel-dan-Alat-Penggerak-Lainnya-i.28051792.26718462866</v>
      </c>
      <c r="L620" s="3" t="str">
        <f>IFERROR(__xludf.DUMMYFUNCTION("""COMPUTED_VALUE"""),"kebutuhan grease rantai bearing forklift ")</f>
        <v>kebutuhan grease rantai bearing forklift </v>
      </c>
      <c r="M620" s="3" t="str">
        <f>IFERROR(__xludf.DUMMYFUNCTION("""COMPUTED_VALUE"""),"Approve")</f>
        <v>Approve</v>
      </c>
      <c r="N620" s="3" t="str">
        <f>IFERROR(__xludf.DUMMYFUNCTION("""COMPUTED_VALUE"""),"Normal")</f>
        <v>Normal</v>
      </c>
      <c r="O620" s="3" t="str">
        <f>IFERROR(__xludf.DUMMYFUNCTION("""COMPUTED_VALUE"""),"Non Urgent")</f>
        <v>Non Urgent</v>
      </c>
      <c r="P620" s="7">
        <f>IFERROR(__xludf.DUMMYFUNCTION("""COMPUTED_VALUE"""),46251.593606759256)</f>
        <v>46251.59361</v>
      </c>
    </row>
    <row r="621">
      <c r="A621" s="4">
        <f>IFERROR(__xludf.DUMMYFUNCTION("""COMPUTED_VALUE"""),46213.63460129629)</f>
        <v>46213.6346</v>
      </c>
      <c r="B621" s="3" t="str">
        <f>IFERROR(__xludf.DUMMYFUNCTION("""COMPUTED_VALUE"""),"BDUBR0021")</f>
        <v>BDUBR0021</v>
      </c>
      <c r="C621" s="3" t="str">
        <f>IFERROR(__xludf.DUMMYFUNCTION("""COMPUTED_VALUE"""),"MIn Stok")</f>
        <v>MIn Stok</v>
      </c>
      <c r="D621" s="3" t="str">
        <f>IFERROR(__xludf.DUMMYFUNCTION("""COMPUTED_VALUE"""),"-")</f>
        <v>-</v>
      </c>
      <c r="E621" s="3" t="str">
        <f>IFERROR(__xludf.DUMMYFUNCTION("""COMPUTED_VALUE"""),"General")</f>
        <v>General</v>
      </c>
      <c r="F621" s="3" t="str">
        <f>IFERROR(__xludf.DUMMYFUNCTION("""COMPUTED_VALUE"""),"Flexible Conduit")</f>
        <v>Flexible Conduit</v>
      </c>
      <c r="G621" s="3" t="str">
        <f>IFERROR(__xludf.DUMMYFUNCTION("""COMPUTED_VALUE"""),"flexible conduit 1 1/2""")</f>
        <v>flexible conduit 1 1/2"</v>
      </c>
      <c r="H621" s="3" t="str">
        <f>IFERROR(__xludf.DUMMYFUNCTION("""COMPUTED_VALUE"""),"-")</f>
        <v>-</v>
      </c>
      <c r="I621" s="3">
        <f>IFERROR(__xludf.DUMMYFUNCTION("""COMPUTED_VALUE"""),25.0)</f>
        <v>25</v>
      </c>
      <c r="J621" s="3" t="str">
        <f>IFERROR(__xludf.DUMMYFUNCTION("""COMPUTED_VALUE"""),"Meter")</f>
        <v>Meter</v>
      </c>
      <c r="K621" s="5" t="str">
        <f>IFERROR(__xludf.DUMMYFUNCTION("""COMPUTED_VALUE"""),"https://www.tokopedia.com/pbelectric/flexible-metal-conduit-1-1-2-inch-flexible-conduit-1-1-2-meteran?t_id=1783670943971&amp;t_st=2&amp;t_pp=cart&amp;t_efo=cart&amp;t_ef=&amp;t_sm=&amp;t_spt=cart")</f>
        <v>https://www.tokopedia.com/pbelectric/flexible-metal-conduit-1-1-2-inch-flexible-conduit-1-1-2-meteran?t_id=1783670943971&amp;t_st=2&amp;t_pp=cart&amp;t_efo=cart&amp;t_ef=&amp;t_sm=&amp;t_spt=cart</v>
      </c>
      <c r="L621" s="3" t="str">
        <f>IFERROR(__xludf.DUMMYFUNCTION("""COMPUTED_VALUE"""),"Untuk pelindung kabel power CRABS dan CLU")</f>
        <v>Untuk pelindung kabel power CRABS dan CLU</v>
      </c>
      <c r="M621" s="3" t="str">
        <f>IFERROR(__xludf.DUMMYFUNCTION("""COMPUTED_VALUE"""),"Approve")</f>
        <v>Approve</v>
      </c>
      <c r="N621" s="3" t="str">
        <f>IFERROR(__xludf.DUMMYFUNCTION("""COMPUTED_VALUE"""),"Normal")</f>
        <v>Normal</v>
      </c>
      <c r="O621" s="3" t="str">
        <f>IFERROR(__xludf.DUMMYFUNCTION("""COMPUTED_VALUE"""),"Non Urgent")</f>
        <v>Non Urgent</v>
      </c>
      <c r="P621" s="7">
        <f>IFERROR(__xludf.DUMMYFUNCTION("""COMPUTED_VALUE"""),46223.47924576389)</f>
        <v>46223.47925</v>
      </c>
    </row>
    <row r="622">
      <c r="A622" s="4">
        <f>IFERROR(__xludf.DUMMYFUNCTION("""COMPUTED_VALUE"""),46213.637206817126)</f>
        <v>46213.63721</v>
      </c>
      <c r="B622" s="3" t="str">
        <f>IFERROR(__xludf.DUMMYFUNCTION("""COMPUTED_VALUE"""),"BDUBR0022")</f>
        <v>BDUBR0022</v>
      </c>
      <c r="C622" s="3" t="str">
        <f>IFERROR(__xludf.DUMMYFUNCTION("""COMPUTED_VALUE"""),"MIn Stok")</f>
        <v>MIn Stok</v>
      </c>
      <c r="D622" s="3" t="str">
        <f>IFERROR(__xludf.DUMMYFUNCTION("""COMPUTED_VALUE"""),"-")</f>
        <v>-</v>
      </c>
      <c r="E622" s="3" t="str">
        <f>IFERROR(__xludf.DUMMYFUNCTION("""COMPUTED_VALUE"""),"General")</f>
        <v>General</v>
      </c>
      <c r="F622" s="3" t="str">
        <f>IFERROR(__xludf.DUMMYFUNCTION("""COMPUTED_VALUE"""),"Skun Ferules")</f>
        <v>Skun Ferules</v>
      </c>
      <c r="G622" s="3" t="str">
        <f>IFERROR(__xludf.DUMMYFUNCTION("""COMPUTED_VALUE"""),"skun ferules E10-12 (Merah)")</f>
        <v>skun ferules E10-12 (Merah)</v>
      </c>
      <c r="H622" s="3" t="str">
        <f>IFERROR(__xludf.DUMMYFUNCTION("""COMPUTED_VALUE"""),"-")</f>
        <v>-</v>
      </c>
      <c r="I622" s="3">
        <f>IFERROR(__xludf.DUMMYFUNCTION("""COMPUTED_VALUE"""),1.0)</f>
        <v>1</v>
      </c>
      <c r="J622" s="3" t="str">
        <f>IFERROR(__xludf.DUMMYFUNCTION("""COMPUTED_VALUE"""),"Pack")</f>
        <v>Pack</v>
      </c>
      <c r="K622" s="5" t="str">
        <f>IFERROR(__xludf.DUMMYFUNCTION("""COMPUTED_VALUE"""),"https://www.tokopedia.com/archive-firstelectric/skun-kabel-ferules-ferulles-10mm-10-mm-e1012-e10-12-e-1012-e-10-12-e-1012-e-10-12-tersedia-warna-merah-kuning-hitam-biru-hijau-coklat-abu-abu-putih-ivory-dll-1731067975323584162?t_id=1783670943971&amp;t_st=2&amp;t_p"&amp;"p=cart&amp;t_efo=cart&amp;t_ef=&amp;t_sm=&amp;t_spt=cart")</f>
        <v>https://www.tokopedia.com/archive-firstelectric/skun-kabel-ferules-ferulles-10mm-10-mm-e1012-e10-12-e-1012-e-10-12-e-1012-e-10-12-tersedia-warna-merah-kuning-hitam-biru-hijau-coklat-abu-abu-putih-ivory-dll-1731067975323584162?t_id=1783670943971&amp;t_st=2&amp;t_pp=cart&amp;t_efo=cart&amp;t_ef=&amp;t_sm=&amp;t_spt=cart</v>
      </c>
      <c r="L622" s="3" t="str">
        <f>IFERROR(__xludf.DUMMYFUNCTION("""COMPUTED_VALUE"""),"skun untuk kabel power CLU dan Crabs")</f>
        <v>skun untuk kabel power CLU dan Crabs</v>
      </c>
      <c r="M622" s="3" t="str">
        <f>IFERROR(__xludf.DUMMYFUNCTION("""COMPUTED_VALUE"""),"Approve")</f>
        <v>Approve</v>
      </c>
      <c r="N622" s="3" t="str">
        <f>IFERROR(__xludf.DUMMYFUNCTION("""COMPUTED_VALUE"""),"Normal")</f>
        <v>Normal</v>
      </c>
      <c r="O622" s="3" t="str">
        <f>IFERROR(__xludf.DUMMYFUNCTION("""COMPUTED_VALUE"""),"Non Urgent")</f>
        <v>Non Urgent</v>
      </c>
      <c r="P622" s="7">
        <f>IFERROR(__xludf.DUMMYFUNCTION("""COMPUTED_VALUE"""),46223.47887835648)</f>
        <v>46223.47888</v>
      </c>
    </row>
    <row r="623">
      <c r="A623" s="4">
        <f>IFERROR(__xludf.DUMMYFUNCTION("""COMPUTED_VALUE"""),46213.639044537034)</f>
        <v>46213.63904</v>
      </c>
      <c r="B623" s="3" t="str">
        <f>IFERROR(__xludf.DUMMYFUNCTION("""COMPUTED_VALUE"""),"BDUBR0023")</f>
        <v>BDUBR0023</v>
      </c>
      <c r="C623" s="3" t="str">
        <f>IFERROR(__xludf.DUMMYFUNCTION("""COMPUTED_VALUE"""),"MIn Stok")</f>
        <v>MIn Stok</v>
      </c>
      <c r="D623" s="3" t="str">
        <f>IFERROR(__xludf.DUMMYFUNCTION("""COMPUTED_VALUE"""),"-")</f>
        <v>-</v>
      </c>
      <c r="E623" s="3" t="str">
        <f>IFERROR(__xludf.DUMMYFUNCTION("""COMPUTED_VALUE"""),"General")</f>
        <v>General</v>
      </c>
      <c r="F623" s="3" t="str">
        <f>IFERROR(__xludf.DUMMYFUNCTION("""COMPUTED_VALUE"""),"Skun Ferules")</f>
        <v>Skun Ferules</v>
      </c>
      <c r="G623" s="3" t="str">
        <f>IFERROR(__xludf.DUMMYFUNCTION("""COMPUTED_VALUE"""),"skun ferules E10-12 (Kuning)")</f>
        <v>skun ferules E10-12 (Kuning)</v>
      </c>
      <c r="H623" s="3" t="str">
        <f>IFERROR(__xludf.DUMMYFUNCTION("""COMPUTED_VALUE"""),"-")</f>
        <v>-</v>
      </c>
      <c r="I623" s="3">
        <f>IFERROR(__xludf.DUMMYFUNCTION("""COMPUTED_VALUE"""),1.0)</f>
        <v>1</v>
      </c>
      <c r="J623" s="3" t="str">
        <f>IFERROR(__xludf.DUMMYFUNCTION("""COMPUTED_VALUE"""),"Pack")</f>
        <v>Pack</v>
      </c>
      <c r="K623" s="5" t="str">
        <f>IFERROR(__xludf.DUMMYFUNCTION("""COMPUTED_VALUE"""),"https://www.tokopedia.com/archive-firstelectric/skun-kabel-ferules-ferulles-10mm-10-mm-e1012-e10-12-e-1012-e-10-12-e-1012-e-10-12-tersedia-warna-merah-kuning-hitam-biru-hijau-coklat-abu-abu-putih-ivory-dll-1731067975323584162?t_id=1783670943971&amp;t_st=2&amp;t_p"&amp;"p=cart&amp;t_efo=cart&amp;t_ef=&amp;t_sm=&amp;t_spt=cart")</f>
        <v>https://www.tokopedia.com/archive-firstelectric/skun-kabel-ferules-ferulles-10mm-10-mm-e1012-e10-12-e-1012-e-10-12-e-1012-e-10-12-tersedia-warna-merah-kuning-hitam-biru-hijau-coklat-abu-abu-putih-ivory-dll-1731067975323584162?t_id=1783670943971&amp;t_st=2&amp;t_pp=cart&amp;t_efo=cart&amp;t_ef=&amp;t_sm=&amp;t_spt=cart</v>
      </c>
      <c r="L623" s="3" t="str">
        <f>IFERROR(__xludf.DUMMYFUNCTION("""COMPUTED_VALUE"""),"skun untuk kabel power CLU dan Crabs")</f>
        <v>skun untuk kabel power CLU dan Crabs</v>
      </c>
      <c r="M623" s="3" t="str">
        <f>IFERROR(__xludf.DUMMYFUNCTION("""COMPUTED_VALUE"""),"Approve")</f>
        <v>Approve</v>
      </c>
      <c r="N623" s="3" t="str">
        <f>IFERROR(__xludf.DUMMYFUNCTION("""COMPUTED_VALUE"""),"Normal")</f>
        <v>Normal</v>
      </c>
      <c r="O623" s="3" t="str">
        <f>IFERROR(__xludf.DUMMYFUNCTION("""COMPUTED_VALUE"""),"Non Urgent")</f>
        <v>Non Urgent</v>
      </c>
      <c r="P623" s="7">
        <f>IFERROR(__xludf.DUMMYFUNCTION("""COMPUTED_VALUE"""),46223.47837805556)</f>
        <v>46223.47838</v>
      </c>
    </row>
    <row r="624">
      <c r="A624" s="4">
        <f>IFERROR(__xludf.DUMMYFUNCTION("""COMPUTED_VALUE"""),46213.639357106484)</f>
        <v>46213.63936</v>
      </c>
      <c r="B624" s="3" t="str">
        <f>IFERROR(__xludf.DUMMYFUNCTION("""COMPUTED_VALUE"""),"BDUBR0025")</f>
        <v>BDUBR0025</v>
      </c>
      <c r="C624" s="3" t="str">
        <f>IFERROR(__xludf.DUMMYFUNCTION("""COMPUTED_VALUE"""),"MIn Stok")</f>
        <v>MIn Stok</v>
      </c>
      <c r="D624" s="3" t="str">
        <f>IFERROR(__xludf.DUMMYFUNCTION("""COMPUTED_VALUE"""),"-")</f>
        <v>-</v>
      </c>
      <c r="E624" s="3" t="str">
        <f>IFERROR(__xludf.DUMMYFUNCTION("""COMPUTED_VALUE"""),"General")</f>
        <v>General</v>
      </c>
      <c r="F624" s="3" t="str">
        <f>IFERROR(__xludf.DUMMYFUNCTION("""COMPUTED_VALUE"""),"Skun kabel O")</f>
        <v>Skun kabel O</v>
      </c>
      <c r="G624" s="3" t="str">
        <f>IFERROR(__xludf.DUMMYFUNCTION("""COMPUTED_VALUE"""),"Skun kabel SC10-8")</f>
        <v>Skun kabel SC10-8</v>
      </c>
      <c r="H624" s="3" t="str">
        <f>IFERROR(__xludf.DUMMYFUNCTION("""COMPUTED_VALUE"""),"-")</f>
        <v>-</v>
      </c>
      <c r="I624" s="3">
        <f>IFERROR(__xludf.DUMMYFUNCTION("""COMPUTED_VALUE"""),1.0)</f>
        <v>1</v>
      </c>
      <c r="J624" s="3" t="str">
        <f>IFERROR(__xludf.DUMMYFUNCTION("""COMPUTED_VALUE"""),"Pack")</f>
        <v>Pack</v>
      </c>
      <c r="K624" s="5" t="str">
        <f>IFERROR(__xludf.DUMMYFUNCTION("""COMPUTED_VALUE"""),"https://www.tokopedia.com/kaleaelektrindo/skun-kabel-sc-10-8-type-10mm-lubang-baut-8mm-scun-cable-lug-premium-bahan-tembaga-lapis-alumunium-warna-doff-silver-1731556745946367006?t_id=1783670943971&amp;t_st=2&amp;t_pp=cart&amp;t_efo=cart&amp;t_ef=&amp;t_sm=&amp;t_spt=cart")</f>
        <v>https://www.tokopedia.com/kaleaelektrindo/skun-kabel-sc-10-8-type-10mm-lubang-baut-8mm-scun-cable-lug-premium-bahan-tembaga-lapis-alumunium-warna-doff-silver-1731556745946367006?t_id=1783670943971&amp;t_st=2&amp;t_pp=cart&amp;t_efo=cart&amp;t_ef=&amp;t_sm=&amp;t_spt=cart</v>
      </c>
      <c r="L624" s="3" t="str">
        <f>IFERROR(__xludf.DUMMYFUNCTION("""COMPUTED_VALUE"""),"skun unutk kabel grounding dan neutrak oada oanel power untuk CRABS dan CLU")</f>
        <v>skun unutk kabel grounding dan neutrak oada oanel power untuk CRABS dan CLU</v>
      </c>
      <c r="M624" s="3" t="str">
        <f>IFERROR(__xludf.DUMMYFUNCTION("""COMPUTED_VALUE"""),"Approve")</f>
        <v>Approve</v>
      </c>
      <c r="N624" s="3" t="str">
        <f>IFERROR(__xludf.DUMMYFUNCTION("""COMPUTED_VALUE"""),"Normal")</f>
        <v>Normal</v>
      </c>
      <c r="O624" s="3" t="str">
        <f>IFERROR(__xludf.DUMMYFUNCTION("""COMPUTED_VALUE"""),"Non Urgent")</f>
        <v>Non Urgent</v>
      </c>
      <c r="P624" s="7">
        <f>IFERROR(__xludf.DUMMYFUNCTION("""COMPUTED_VALUE"""),46223.47425737268)</f>
        <v>46223.47426</v>
      </c>
    </row>
    <row r="625">
      <c r="A625" s="4">
        <f>IFERROR(__xludf.DUMMYFUNCTION("""COMPUTED_VALUE"""),46213.640617835656)</f>
        <v>46213.64062</v>
      </c>
      <c r="B625" s="3" t="str">
        <f>IFERROR(__xludf.DUMMYFUNCTION("""COMPUTED_VALUE"""),"BDUBR0026")</f>
        <v>BDUBR0026</v>
      </c>
      <c r="C625" s="3" t="str">
        <f>IFERROR(__xludf.DUMMYFUNCTION("""COMPUTED_VALUE"""),"MIn Stok")</f>
        <v>MIn Stok</v>
      </c>
      <c r="D625" s="3" t="str">
        <f>IFERROR(__xludf.DUMMYFUNCTION("""COMPUTED_VALUE"""),"-")</f>
        <v>-</v>
      </c>
      <c r="E625" s="3" t="str">
        <f>IFERROR(__xludf.DUMMYFUNCTION("""COMPUTED_VALUE"""),"General")</f>
        <v>General</v>
      </c>
      <c r="F625" s="3" t="str">
        <f>IFERROR(__xludf.DUMMYFUNCTION("""COMPUTED_VALUE"""),"Solasi Listrik")</f>
        <v>Solasi Listrik</v>
      </c>
      <c r="G625" s="3" t="str">
        <f>IFERROR(__xludf.DUMMYFUNCTION("""COMPUTED_VALUE"""),"Solasi Listrik (Biru)")</f>
        <v>Solasi Listrik (Biru)</v>
      </c>
      <c r="H625" s="3" t="str">
        <f>IFERROR(__xludf.DUMMYFUNCTION("""COMPUTED_VALUE"""),"Nitto")</f>
        <v>Nitto</v>
      </c>
      <c r="I625" s="3">
        <f>IFERROR(__xludf.DUMMYFUNCTION("""COMPUTED_VALUE"""),1.0)</f>
        <v>1</v>
      </c>
      <c r="J625" s="3" t="str">
        <f>IFERROR(__xludf.DUMMYFUNCTION("""COMPUTED_VALUE"""),"pcs")</f>
        <v>pcs</v>
      </c>
      <c r="K625" s="5" t="str">
        <f>IFERROR(__xludf.DUMMYFUNCTION("""COMPUTED_VALUE"""),"https://www.tokopedia.com/market-isolasi/solasi-listrik-nitto-2107-merah-kuning-hijau-biru-grosir-biru?t_id=1783670943971&amp;t_st=2&amp;t_pp=cart&amp;t_efo=cart&amp;t_ef=&amp;t_sm=&amp;t_spt=cart")</f>
        <v>https://www.tokopedia.com/market-isolasi/solasi-listrik-nitto-2107-merah-kuning-hijau-biru-grosir-biru?t_id=1783670943971&amp;t_st=2&amp;t_pp=cart&amp;t_efo=cart&amp;t_ef=&amp;t_sm=&amp;t_spt=cart</v>
      </c>
      <c r="L625" s="3" t="str">
        <f>IFERROR(__xludf.DUMMYFUNCTION("""COMPUTED_VALUE"""),"Untuk keperluan solasi kabel pada panel power")</f>
        <v>Untuk keperluan solasi kabel pada panel power</v>
      </c>
      <c r="M625" s="3" t="str">
        <f>IFERROR(__xludf.DUMMYFUNCTION("""COMPUTED_VALUE"""),"Approve")</f>
        <v>Approve</v>
      </c>
      <c r="N625" s="3" t="str">
        <f>IFERROR(__xludf.DUMMYFUNCTION("""COMPUTED_VALUE"""),"Normal")</f>
        <v>Normal</v>
      </c>
      <c r="O625" s="3" t="str">
        <f>IFERROR(__xludf.DUMMYFUNCTION("""COMPUTED_VALUE"""),"Non Urgent")</f>
        <v>Non Urgent</v>
      </c>
      <c r="P625" s="7">
        <f>IFERROR(__xludf.DUMMYFUNCTION("""COMPUTED_VALUE"""),46223.47343291667)</f>
        <v>46223.47343</v>
      </c>
    </row>
    <row r="626">
      <c r="A626" s="4">
        <f>IFERROR(__xludf.DUMMYFUNCTION("""COMPUTED_VALUE"""),46213.643535497686)</f>
        <v>46213.64354</v>
      </c>
      <c r="B626" s="3" t="str">
        <f>IFERROR(__xludf.DUMMYFUNCTION("""COMPUTED_VALUE"""),"BDUBR0028")</f>
        <v>BDUBR0028</v>
      </c>
      <c r="C626" s="3" t="str">
        <f>IFERROR(__xludf.DUMMYFUNCTION("""COMPUTED_VALUE"""),"MIn Stok")</f>
        <v>MIn Stok</v>
      </c>
      <c r="D626" s="3" t="str">
        <f>IFERROR(__xludf.DUMMYFUNCTION("""COMPUTED_VALUE"""),"-")</f>
        <v>-</v>
      </c>
      <c r="E626" s="3" t="str">
        <f>IFERROR(__xludf.DUMMYFUNCTION("""COMPUTED_VALUE"""),"General")</f>
        <v>General</v>
      </c>
      <c r="F626" s="3" t="str">
        <f>IFERROR(__xludf.DUMMYFUNCTION("""COMPUTED_VALUE"""),"Kabel Ties Stainless Steel 4,6 x 400")</f>
        <v>Kabel Ties Stainless Steel 4,6 x 400</v>
      </c>
      <c r="G626" s="3" t="str">
        <f>IFERROR(__xludf.DUMMYFUNCTION("""COMPUTED_VALUE"""),"Kabel Ties Stainless Steel 4,6 x 400")</f>
        <v>Kabel Ties Stainless Steel 4,6 x 400</v>
      </c>
      <c r="H626" s="3" t="str">
        <f>IFERROR(__xludf.DUMMYFUNCTION("""COMPUTED_VALUE"""),"-")</f>
        <v>-</v>
      </c>
      <c r="I626" s="3">
        <f>IFERROR(__xludf.DUMMYFUNCTION("""COMPUTED_VALUE"""),1.0)</f>
        <v>1</v>
      </c>
      <c r="J626" s="3" t="str">
        <f>IFERROR(__xludf.DUMMYFUNCTION("""COMPUTED_VALUE"""),"Pack")</f>
        <v>Pack</v>
      </c>
      <c r="K626" s="5" t="str">
        <f>IFERROR(__xludf.DUMMYFUNCTION("""COMPUTED_VALUE"""),"https://www.tokopedia.com/burung-terbang2/100pcs-kabel-ties-stainless-steel-cable-ties-kabel-tis-besi-ss304-30-40cm-1730927980585780746?extParam=ivf%3Dfalse%26keyword%3Dkabel+ties+stainless%26search_id%3D20260710082457B83AAC23B9528726FA0G%26src%3Dsearch&amp;t"&amp;"_id=1783670943971&amp;t_st=3&amp;t_pp=search_result&amp;t_efo=search_pure_goods_card&amp;t_ef=goods_search&amp;t_sm=&amp;t_spt=search_result")</f>
        <v>https://www.tokopedia.com/burung-terbang2/100pcs-kabel-ties-stainless-steel-cable-ties-kabel-tis-besi-ss304-30-40cm-1730927980585780746?extParam=ivf%3Dfalse%26keyword%3Dkabel+ties+stainless%26search_id%3D20260710082457B83AAC23B9528726FA0G%26src%3Dsearch&amp;t_id=1783670943971&amp;t_st=3&amp;t_pp=search_result&amp;t_efo=search_pure_goods_card&amp;t_ef=goods_search&amp;t_sm=&amp;t_spt=search_result</v>
      </c>
      <c r="L626" s="3" t="str">
        <f>IFERROR(__xludf.DUMMYFUNCTION("""COMPUTED_VALUE"""),"Untuk perapihan kabel")</f>
        <v>Untuk perapihan kabel</v>
      </c>
      <c r="M626" s="3" t="str">
        <f>IFERROR(__xludf.DUMMYFUNCTION("""COMPUTED_VALUE"""),"Approve")</f>
        <v>Approve</v>
      </c>
      <c r="N626" s="3" t="str">
        <f>IFERROR(__xludf.DUMMYFUNCTION("""COMPUTED_VALUE"""),"Normal")</f>
        <v>Normal</v>
      </c>
      <c r="O626" s="3" t="str">
        <f>IFERROR(__xludf.DUMMYFUNCTION("""COMPUTED_VALUE"""),"Non Urgent")</f>
        <v>Non Urgent</v>
      </c>
      <c r="P626" s="7">
        <f>IFERROR(__xludf.DUMMYFUNCTION("""COMPUTED_VALUE"""),46223.47155996528)</f>
        <v>46223.47156</v>
      </c>
    </row>
    <row r="627">
      <c r="A627" s="4">
        <f>IFERROR(__xludf.DUMMYFUNCTION("""COMPUTED_VALUE"""),46213.64776771991)</f>
        <v>46213.64777</v>
      </c>
      <c r="B627" s="3" t="str">
        <f>IFERROR(__xludf.DUMMYFUNCTION("""COMPUTED_VALUE"""),"BDUBR0029")</f>
        <v>BDUBR0029</v>
      </c>
      <c r="C627" s="3" t="str">
        <f>IFERROR(__xludf.DUMMYFUNCTION("""COMPUTED_VALUE"""),"MIn Stok")</f>
        <v>MIn Stok</v>
      </c>
      <c r="D627" s="3" t="str">
        <f>IFERROR(__xludf.DUMMYFUNCTION("""COMPUTED_VALUE"""),"-")</f>
        <v>-</v>
      </c>
      <c r="E627" s="3" t="str">
        <f>IFERROR(__xludf.DUMMYFUNCTION("""COMPUTED_VALUE"""),"General")</f>
        <v>General</v>
      </c>
      <c r="F627" s="3" t="str">
        <f>IFERROR(__xludf.DUMMYFUNCTION("""COMPUTED_VALUE"""),"Tang Skun Ferrules")</f>
        <v>Tang Skun Ferrules</v>
      </c>
      <c r="G627" s="3" t="str">
        <f>IFERROR(__xludf.DUMMYFUNCTION("""COMPUTED_VALUE"""),"Tang skun Ferrules 0,08 - 16mm2")</f>
        <v>Tang skun Ferrules 0,08 - 16mm2</v>
      </c>
      <c r="H627" s="3" t="str">
        <f>IFERROR(__xludf.DUMMYFUNCTION("""COMPUTED_VALUE"""),"-")</f>
        <v>-</v>
      </c>
      <c r="I627" s="3">
        <f>IFERROR(__xludf.DUMMYFUNCTION("""COMPUTED_VALUE"""),1.0)</f>
        <v>1</v>
      </c>
      <c r="J627" s="3" t="str">
        <f>IFERROR(__xludf.DUMMYFUNCTION("""COMPUTED_VALUE"""),"pcs")</f>
        <v>pcs</v>
      </c>
      <c r="K627" s="5" t="str">
        <f>IFERROR(__xludf.DUMMYFUNCTION("""COMPUTED_VALUE"""),"https://www.tokopedia.com/electricalhome/tang-press-skun-ferrules-hsc9-16-4a-0-08-16mm2-segi-4?extParam=ivf%3Dfalse%26keyword%3Dtang+skun+ferulles+0.08-16mm%26search_id%3D20260710082948A49E9411D64FF5392FWZ%26src%3Dsearch&amp;t_id=1783670943971&amp;t_st=9&amp;t_pp=sea"&amp;"rch_result&amp;t_efo=search_pure_goods_card&amp;t_ef=goods_search&amp;t_sm=&amp;t_spt=search_result")</f>
        <v>https://www.tokopedia.com/electricalhome/tang-press-skun-ferrules-hsc9-16-4a-0-08-16mm2-segi-4?extParam=ivf%3Dfalse%26keyword%3Dtang+skun+ferulles+0.08-16mm%26search_id%3D20260710082948A49E9411D64FF5392FWZ%26src%3Dsearch&amp;t_id=1783670943971&amp;t_st=9&amp;t_pp=search_result&amp;t_efo=search_pure_goods_card&amp;t_ef=goods_search&amp;t_sm=&amp;t_spt=search_result</v>
      </c>
      <c r="L627" s="3" t="str">
        <f>IFERROR(__xludf.DUMMYFUNCTION("""COMPUTED_VALUE"""),"Tang Skun Ferrules untuk project power panel")</f>
        <v>Tang Skun Ferrules untuk project power panel</v>
      </c>
      <c r="M627" s="3" t="str">
        <f>IFERROR(__xludf.DUMMYFUNCTION("""COMPUTED_VALUE"""),"Approve")</f>
        <v>Approve</v>
      </c>
      <c r="N627" s="3" t="str">
        <f>IFERROR(__xludf.DUMMYFUNCTION("""COMPUTED_VALUE"""),"Normal")</f>
        <v>Normal</v>
      </c>
      <c r="O627" s="3" t="str">
        <f>IFERROR(__xludf.DUMMYFUNCTION("""COMPUTED_VALUE"""),"Non Urgent")</f>
        <v>Non Urgent</v>
      </c>
      <c r="P627" s="7">
        <f>IFERROR(__xludf.DUMMYFUNCTION("""COMPUTED_VALUE"""),46223.470557187495)</f>
        <v>46223.47056</v>
      </c>
    </row>
    <row r="628">
      <c r="A628" s="4">
        <f>IFERROR(__xludf.DUMMYFUNCTION("""COMPUTED_VALUE"""),46216.69089414352)</f>
        <v>46216.69089</v>
      </c>
      <c r="B628" s="3" t="str">
        <f>IFERROR(__xludf.DUMMYFUNCTION("""COMPUTED_VALUE"""),"ANOBR0086")</f>
        <v>ANOBR0086</v>
      </c>
      <c r="C628" s="3" t="str">
        <f>IFERROR(__xludf.DUMMYFUNCTION("""COMPUTED_VALUE"""),"Consumable")</f>
        <v>Consumable</v>
      </c>
      <c r="D628" s="3" t="str">
        <f>IFERROR(__xludf.DUMMYFUNCTION("""COMPUTED_VALUE"""),"-")</f>
        <v>-</v>
      </c>
      <c r="E628" s="3" t="str">
        <f>IFERROR(__xludf.DUMMYFUNCTION("""COMPUTED_VALUE"""),"Flange jalur steam")</f>
        <v>Flange jalur steam</v>
      </c>
      <c r="F628" s="3" t="str">
        <f>IFERROR(__xludf.DUMMYFUNCTION("""COMPUTED_VALUE"""),"gasket klingerseal tebal 3 mm")</f>
        <v>gasket klingerseal tebal 3 mm</v>
      </c>
      <c r="G628" s="3" t="str">
        <f>IFERROR(__xludf.DUMMYFUNCTION("""COMPUTED_VALUE"""),"gasket klingerseal tebal 3 mm 1 lembar")</f>
        <v>gasket klingerseal tebal 3 mm 1 lembar</v>
      </c>
      <c r="H628" s="3" t="str">
        <f>IFERROR(__xludf.DUMMYFUNCTION("""COMPUTED_VALUE"""),"-")</f>
        <v>-</v>
      </c>
      <c r="I628" s="3">
        <f>IFERROR(__xludf.DUMMYFUNCTION("""COMPUTED_VALUE"""),1.0)</f>
        <v>1</v>
      </c>
      <c r="J628" s="3" t="str">
        <f>IFERROR(__xludf.DUMMYFUNCTION("""COMPUTED_VALUE"""),"lembar")</f>
        <v>lembar</v>
      </c>
      <c r="K628" s="3" t="str">
        <f>IFERROR(__xludf.DUMMYFUNCTION("""COMPUTED_VALUE"""),"-")</f>
        <v>-</v>
      </c>
      <c r="L628" s="3" t="str">
        <f>IFERROR(__xludf.DUMMYFUNCTION("""COMPUTED_VALUE"""),"kebutuhan penggantian gasket gasket jalur steam")</f>
        <v>kebutuhan penggantian gasket gasket jalur steam</v>
      </c>
      <c r="M628" s="3" t="str">
        <f>IFERROR(__xludf.DUMMYFUNCTION("""COMPUTED_VALUE"""),"Approve")</f>
        <v>Approve</v>
      </c>
      <c r="N628" s="3" t="str">
        <f>IFERROR(__xludf.DUMMYFUNCTION("""COMPUTED_VALUE"""),"Normal")</f>
        <v>Normal</v>
      </c>
      <c r="O628" s="3" t="str">
        <f>IFERROR(__xludf.DUMMYFUNCTION("""COMPUTED_VALUE"""),"Non Urgent")</f>
        <v>Non Urgent</v>
      </c>
      <c r="P628" s="7">
        <f>IFERROR(__xludf.DUMMYFUNCTION("""COMPUTED_VALUE"""),46251.594028946754)</f>
        <v>46251.59403</v>
      </c>
    </row>
    <row r="629">
      <c r="A629" s="4">
        <f>IFERROR(__xludf.DUMMYFUNCTION("""COMPUTED_VALUE"""),46216.69106164352)</f>
        <v>46216.69106</v>
      </c>
      <c r="B629" s="3" t="str">
        <f>IFERROR(__xludf.DUMMYFUNCTION("""COMPUTED_VALUE"""),"ANOBR0087")</f>
        <v>ANOBR0087</v>
      </c>
      <c r="C629" s="3" t="str">
        <f>IFERROR(__xludf.DUMMYFUNCTION("""COMPUTED_VALUE"""),"EJO")</f>
        <v>EJO</v>
      </c>
      <c r="D629" s="3" t="str">
        <f>IFERROR(__xludf.DUMMYFUNCTION("""COMPUTED_VALUE"""),"EJO/2026/07/021")</f>
        <v>EJO/2026/07/021</v>
      </c>
      <c r="E629" s="3" t="str">
        <f>IFERROR(__xludf.DUMMYFUNCTION("""COMPUTED_VALUE"""),"Utility OSD lt2")</f>
        <v>Utility OSD lt2</v>
      </c>
      <c r="F629" s="3" t="str">
        <f>IFERROR(__xludf.DUMMYFUNCTION("""COMPUTED_VALUE"""),"siku L 4X4 CM stenliss")</f>
        <v>siku L 4X4 CM stenliss</v>
      </c>
      <c r="G629" s="3" t="str">
        <f>IFERROR(__xludf.DUMMYFUNCTION("""COMPUTED_VALUE"""),"siku L 4X4 CM stenliss 4 batang")</f>
        <v>siku L 4X4 CM stenliss 4 batang</v>
      </c>
      <c r="H629" s="3" t="str">
        <f>IFERROR(__xludf.DUMMYFUNCTION("""COMPUTED_VALUE"""),"-")</f>
        <v>-</v>
      </c>
      <c r="I629" s="3">
        <f>IFERROR(__xludf.DUMMYFUNCTION("""COMPUTED_VALUE"""),4.0)</f>
        <v>4</v>
      </c>
      <c r="J629" s="3" t="str">
        <f>IFERROR(__xludf.DUMMYFUNCTION("""COMPUTED_VALUE"""),"batang")</f>
        <v>batang</v>
      </c>
      <c r="K629" s="3" t="str">
        <f>IFERROR(__xludf.DUMMYFUNCTION("""COMPUTED_VALUE"""),"-")</f>
        <v>-</v>
      </c>
      <c r="L629" s="3" t="str">
        <f>IFERROR(__xludf.DUMMYFUNCTION("""COMPUTED_VALUE"""),"kebutuhan pembuatan rangka penutup ")</f>
        <v>kebutuhan pembuatan rangka penutup </v>
      </c>
      <c r="M629" s="3" t="str">
        <f>IFERROR(__xludf.DUMMYFUNCTION("""COMPUTED_VALUE"""),"Approve")</f>
        <v>Approve</v>
      </c>
      <c r="N629" s="3" t="str">
        <f>IFERROR(__xludf.DUMMYFUNCTION("""COMPUTED_VALUE"""),"Normal")</f>
        <v>Normal</v>
      </c>
      <c r="O629" s="3" t="str">
        <f>IFERROR(__xludf.DUMMYFUNCTION("""COMPUTED_VALUE"""),"Non Urgent")</f>
        <v>Non Urgent</v>
      </c>
      <c r="P629" s="7">
        <f>IFERROR(__xludf.DUMMYFUNCTION("""COMPUTED_VALUE"""),46251.59451685185)</f>
        <v>46251.59452</v>
      </c>
    </row>
    <row r="630">
      <c r="A630" s="4">
        <f>IFERROR(__xludf.DUMMYFUNCTION("""COMPUTED_VALUE"""),46219.856405844905)</f>
        <v>46219.85641</v>
      </c>
      <c r="B630" s="3" t="str">
        <f>IFERROR(__xludf.DUMMYFUNCTION("""COMPUTED_VALUE"""),"NDSBR0061")</f>
        <v>NDSBR0061</v>
      </c>
      <c r="C630" s="3" t="str">
        <f>IFERROR(__xludf.DUMMYFUNCTION("""COMPUTED_VALUE"""),"Consumable")</f>
        <v>Consumable</v>
      </c>
      <c r="D630" s="3" t="str">
        <f>IFERROR(__xludf.DUMMYFUNCTION("""COMPUTED_VALUE"""),"-")</f>
        <v>-</v>
      </c>
      <c r="E630" s="3" t="str">
        <f>IFERROR(__xludf.DUMMYFUNCTION("""COMPUTED_VALUE"""),"Autoclave Preparation Lab")</f>
        <v>Autoclave Preparation Lab</v>
      </c>
      <c r="F630" s="3" t="str">
        <f>IFERROR(__xludf.DUMMYFUNCTION("""COMPUTED_VALUE"""),"Body Valve + Coil")</f>
        <v>Body Valve + Coil</v>
      </c>
      <c r="G630" s="3" t="str">
        <f>IFERROR(__xludf.DUMMYFUNCTION("""COMPUTED_VALUE"""),"Sirai L177V07")</f>
        <v>Sirai L177V07</v>
      </c>
      <c r="H630" s="3" t="str">
        <f>IFERROR(__xludf.DUMMYFUNCTION("""COMPUTED_VALUE"""),"Sirai")</f>
        <v>Sirai</v>
      </c>
      <c r="I630" s="3">
        <f>IFERROR(__xludf.DUMMYFUNCTION("""COMPUTED_VALUE"""),2.0)</f>
        <v>2</v>
      </c>
      <c r="J630" s="3" t="str">
        <f>IFERROR(__xludf.DUMMYFUNCTION("""COMPUTED_VALUE"""),"PCS")</f>
        <v>PCS</v>
      </c>
      <c r="K630" s="3" t="str">
        <f>IFERROR(__xludf.DUMMYFUNCTION("""COMPUTED_VALUE"""),"-")</f>
        <v>-</v>
      </c>
      <c r="L630" s="3" t="str">
        <f>IFERROR(__xludf.DUMMYFUNCTION("""COMPUTED_VALUE"""),"-")</f>
        <v>-</v>
      </c>
      <c r="M630" s="3" t="str">
        <f>IFERROR(__xludf.DUMMYFUNCTION("""COMPUTED_VALUE"""),"Approve")</f>
        <v>Approve</v>
      </c>
      <c r="N630" s="3" t="str">
        <f>IFERROR(__xludf.DUMMYFUNCTION("""COMPUTED_VALUE"""),"Normal")</f>
        <v>Normal</v>
      </c>
      <c r="O630" s="3" t="str">
        <f>IFERROR(__xludf.DUMMYFUNCTION("""COMPUTED_VALUE"""),"Non Urgent")</f>
        <v>Non Urgent</v>
      </c>
      <c r="P630" s="7">
        <f>IFERROR(__xludf.DUMMYFUNCTION("""COMPUTED_VALUE"""),46223.46895109954)</f>
        <v>46223.46895</v>
      </c>
    </row>
    <row r="631">
      <c r="A631" s="4">
        <f>IFERROR(__xludf.DUMMYFUNCTION("""COMPUTED_VALUE"""),46219.97362769675)</f>
        <v>46219.97363</v>
      </c>
      <c r="B631" s="3" t="str">
        <f>IFERROR(__xludf.DUMMYFUNCTION("""COMPUTED_VALUE"""),"MRNBR0115")</f>
        <v>MRNBR0115</v>
      </c>
      <c r="C631" s="3" t="str">
        <f>IFERROR(__xludf.DUMMYFUNCTION("""COMPUTED_VALUE"""),"EJO")</f>
        <v>EJO</v>
      </c>
      <c r="D631" s="3" t="str">
        <f>IFERROR(__xludf.DUMMYFUNCTION("""COMPUTED_VALUE"""),"EJO/2025/10/160")</f>
        <v>EJO/2025/10/160</v>
      </c>
      <c r="E631" s="3" t="str">
        <f>IFERROR(__xludf.DUMMYFUNCTION("""COMPUTED_VALUE"""),"AHU")</f>
        <v>AHU</v>
      </c>
      <c r="F631" s="3" t="str">
        <f>IFERROR(__xludf.DUMMYFUNCTION("""COMPUTED_VALUE"""),"Jet cleaner")</f>
        <v>Jet cleaner</v>
      </c>
      <c r="G631" s="3" t="str">
        <f>IFERROR(__xludf.DUMMYFUNCTION("""COMPUTED_VALUE"""),"Jet Cleaner - High Pressure Washer Bosch AdvancedAquatak 140")</f>
        <v>Jet Cleaner - High Pressure Washer Bosch AdvancedAquatak 140</v>
      </c>
      <c r="H631" s="3" t="str">
        <f>IFERROR(__xludf.DUMMYFUNCTION("""COMPUTED_VALUE"""),"bosch")</f>
        <v>bosch</v>
      </c>
      <c r="I631" s="3">
        <f>IFERROR(__xludf.DUMMYFUNCTION("""COMPUTED_VALUE"""),1.0)</f>
        <v>1</v>
      </c>
      <c r="J631" s="3" t="str">
        <f>IFERROR(__xludf.DUMMYFUNCTION("""COMPUTED_VALUE"""),"unit")</f>
        <v>unit</v>
      </c>
      <c r="K631" s="5" t="str">
        <f>IFERROR(__xludf.DUMMYFUNCTION("""COMPUTED_VALUE"""),"https://shopee.co.id/Mesin-Cuci-Mobil-Motor-Jet-Cleaner-High-Pressure-Washer-Bosch-AdvancedAquatak-140-i.4055609.2801924739")</f>
        <v>https://shopee.co.id/Mesin-Cuci-Mobil-Motor-Jet-Cleaner-High-Pressure-Washer-Bosch-AdvancedAquatak-140-i.4055609.2801924739</v>
      </c>
      <c r="L631" s="3" t="str">
        <f>IFERROR(__xludf.DUMMYFUNCTION("""COMPUTED_VALUE"""),"Untuk PM AHU dan cleaning")</f>
        <v>Untuk PM AHU dan cleaning</v>
      </c>
      <c r="M631" s="3" t="str">
        <f>IFERROR(__xludf.DUMMYFUNCTION("""COMPUTED_VALUE"""),"Approve")</f>
        <v>Approve</v>
      </c>
      <c r="N631" s="3" t="str">
        <f>IFERROR(__xludf.DUMMYFUNCTION("""COMPUTED_VALUE"""),"Normal")</f>
        <v>Normal</v>
      </c>
      <c r="O631" s="3" t="str">
        <f>IFERROR(__xludf.DUMMYFUNCTION("""COMPUTED_VALUE"""),"Non Urgent")</f>
        <v>Non Urgent</v>
      </c>
      <c r="P631" s="7">
        <f>IFERROR(__xludf.DUMMYFUNCTION("""COMPUTED_VALUE"""),46251.58210814815)</f>
        <v>46251.58211</v>
      </c>
    </row>
    <row r="632">
      <c r="A632" s="4">
        <f>IFERROR(__xludf.DUMMYFUNCTION("""COMPUTED_VALUE"""),46219.99041074075)</f>
        <v>46219.99041</v>
      </c>
      <c r="B632" s="3" t="str">
        <f>IFERROR(__xludf.DUMMYFUNCTION("""COMPUTED_VALUE"""),"MRNBR0116")</f>
        <v>MRNBR0116</v>
      </c>
      <c r="C632" s="3" t="str">
        <f>IFERROR(__xludf.DUMMYFUNCTION("""COMPUTED_VALUE"""),"EJO")</f>
        <v>EJO</v>
      </c>
      <c r="D632" s="3" t="str">
        <f>IFERROR(__xludf.DUMMYFUNCTION("""COMPUTED_VALUE"""),"EJO/2025/04/105")</f>
        <v>EJO/2025/04/105</v>
      </c>
      <c r="E632" s="3" t="str">
        <f>IFERROR(__xludf.DUMMYFUNCTION("""COMPUTED_VALUE"""),"OSD")</f>
        <v>OSD</v>
      </c>
      <c r="F632" s="3" t="str">
        <f>IFERROR(__xludf.DUMMYFUNCTION("""COMPUTED_VALUE"""),"Epoxy lantai")</f>
        <v>Epoxy lantai</v>
      </c>
      <c r="G632" s="3" t="str">
        <f>IFERROR(__xludf.DUMMYFUNCTION("""COMPUTED_VALUE"""),"Flowseal uv satin 2mm")</f>
        <v>Flowseal uv satin 2mm</v>
      </c>
      <c r="H632" s="3" t="str">
        <f>IFERROR(__xludf.DUMMYFUNCTION("""COMPUTED_VALUE"""),"Flowcrete")</f>
        <v>Flowcrete</v>
      </c>
      <c r="I632" s="3">
        <f>IFERROR(__xludf.DUMMYFUNCTION("""COMPUTED_VALUE"""),1.0)</f>
        <v>1</v>
      </c>
      <c r="J632" s="3" t="str">
        <f>IFERROR(__xludf.DUMMYFUNCTION("""COMPUTED_VALUE"""),"paket")</f>
        <v>paket</v>
      </c>
      <c r="K632" s="5" t="str">
        <f>IFERROR(__xludf.DUMMYFUNCTION("""COMPUTED_VALUE"""),"https://www.flowcreteasia.com/our-products/systems/flowseal-uv-satin/")</f>
        <v>https://www.flowcreteasia.com/our-products/systems/flowseal-uv-satin/</v>
      </c>
      <c r="L632" s="3" t="str">
        <f>IFERROR(__xludf.DUMMYFUNCTION("""COMPUTED_VALUE"""),"Coba dari tata belinya")</f>
        <v>Coba dari tata belinya</v>
      </c>
      <c r="M632" s="3" t="str">
        <f>IFERROR(__xludf.DUMMYFUNCTION("""COMPUTED_VALUE"""),"Approve")</f>
        <v>Approve</v>
      </c>
      <c r="N632" s="3" t="str">
        <f>IFERROR(__xludf.DUMMYFUNCTION("""COMPUTED_VALUE"""),"Normal")</f>
        <v>Normal</v>
      </c>
      <c r="O632" s="3" t="str">
        <f>IFERROR(__xludf.DUMMYFUNCTION("""COMPUTED_VALUE"""),"Non Urgent")</f>
        <v>Non Urgent</v>
      </c>
      <c r="P632" s="7">
        <f>IFERROR(__xludf.DUMMYFUNCTION("""COMPUTED_VALUE"""),46235.44527846065)</f>
        <v>46235.44528</v>
      </c>
    </row>
    <row r="633">
      <c r="A633" s="4">
        <f>IFERROR(__xludf.DUMMYFUNCTION("""COMPUTED_VALUE"""),46225.512710532406)</f>
        <v>46225.51271</v>
      </c>
      <c r="B633" s="3" t="str">
        <f>IFERROR(__xludf.DUMMYFUNCTION("""COMPUTED_VALUE"""),"ANOBR0088")</f>
        <v>ANOBR0088</v>
      </c>
      <c r="C633" s="3" t="str">
        <f>IFERROR(__xludf.DUMMYFUNCTION("""COMPUTED_VALUE"""),"EJO")</f>
        <v>EJO</v>
      </c>
      <c r="D633" s="3" t="str">
        <f>IFERROR(__xludf.DUMMYFUNCTION("""COMPUTED_VALUE"""),"-")</f>
        <v>-</v>
      </c>
      <c r="E633" s="3" t="str">
        <f>IFERROR(__xludf.DUMMYFUNCTION("""COMPUTED_VALUE"""),"pipa supply FW Utility OSD lt2")</f>
        <v>pipa supply FW Utility OSD lt2</v>
      </c>
      <c r="F633" s="3" t="str">
        <f>IFERROR(__xludf.DUMMYFUNCTION("""COMPUTED_VALUE"""),"pressure gauge")</f>
        <v>pressure gauge</v>
      </c>
      <c r="G633" s="3" t="str">
        <f>IFERROR(__xludf.DUMMYFUNCTION("""COMPUTED_VALUE"""),"pressure gauge 4"" 0-6 bar stenlis ulir 1/2""")</f>
        <v>pressure gauge 4" 0-6 bar stenlis ulir 1/2"</v>
      </c>
      <c r="H633" s="3" t="str">
        <f>IFERROR(__xludf.DUMMYFUNCTION("""COMPUTED_VALUE"""),"-")</f>
        <v>-</v>
      </c>
      <c r="I633" s="3">
        <f>IFERROR(__xludf.DUMMYFUNCTION("""COMPUTED_VALUE"""),3.0)</f>
        <v>3</v>
      </c>
      <c r="J633" s="3" t="str">
        <f>IFERROR(__xludf.DUMMYFUNCTION("""COMPUTED_VALUE"""),"pcs")</f>
        <v>pcs</v>
      </c>
      <c r="K633" s="5" t="str">
        <f>IFERROR(__xludf.DUMMYFUNCTION("""COMPUTED_VALUE"""),"https://www.tokopedia.com/nusanjadi/pressure-gauge-full-stainless-4-0-6-bar?utm_source=whatsapp&amp;utm_medium=share&amp;utm_campaign=pdp-a0oti72t90ig-464314487-0")</f>
        <v>https://www.tokopedia.com/nusanjadi/pressure-gauge-full-stainless-4-0-6-bar?utm_source=whatsapp&amp;utm_medium=share&amp;utm_campaign=pdp-a0oti72t90ig-464314487-0</v>
      </c>
      <c r="L633" s="3" t="str">
        <f>IFERROR(__xludf.DUMMYFUNCTION("""COMPUTED_VALUE"""),"kebutuhan penambahan pressure gauge pada jalur FW")</f>
        <v>kebutuhan penambahan pressure gauge pada jalur FW</v>
      </c>
      <c r="M633" s="3" t="str">
        <f>IFERROR(__xludf.DUMMYFUNCTION("""COMPUTED_VALUE"""),"Approve")</f>
        <v>Approve</v>
      </c>
      <c r="N633" s="3" t="str">
        <f>IFERROR(__xludf.DUMMYFUNCTION("""COMPUTED_VALUE"""),"Normal")</f>
        <v>Normal</v>
      </c>
      <c r="O633" s="3" t="str">
        <f>IFERROR(__xludf.DUMMYFUNCTION("""COMPUTED_VALUE"""),"Non Urgent")</f>
        <v>Non Urgent</v>
      </c>
      <c r="P633" s="7">
        <f>IFERROR(__xludf.DUMMYFUNCTION("""COMPUTED_VALUE"""),46251.59489706019)</f>
        <v>46251.5949</v>
      </c>
    </row>
    <row r="634">
      <c r="A634" s="4">
        <f>IFERROR(__xludf.DUMMYFUNCTION("""COMPUTED_VALUE"""),46225.69845759259)</f>
        <v>46225.69846</v>
      </c>
      <c r="B634" s="3" t="str">
        <f>IFERROR(__xludf.DUMMYFUNCTION("""COMPUTED_VALUE"""),"MRNBR0117")</f>
        <v>MRNBR0117</v>
      </c>
      <c r="C634" s="3" t="str">
        <f>IFERROR(__xludf.DUMMYFUNCTION("""COMPUTED_VALUE"""),"EJO")</f>
        <v>EJO</v>
      </c>
      <c r="D634" s="3" t="str">
        <f>IFERROR(__xludf.DUMMYFUNCTION("""COMPUTED_VALUE"""),"EJO/2026/05/120")</f>
        <v>EJO/2026/05/120</v>
      </c>
      <c r="E634" s="3" t="str">
        <f>IFERROR(__xludf.DUMMYFUNCTION("""COMPUTED_VALUE"""),"Pipe rack")</f>
        <v>Pipe rack</v>
      </c>
      <c r="F634" s="3" t="str">
        <f>IFERROR(__xludf.DUMMYFUNCTION("""COMPUTED_VALUE"""),"Shock drat luar pvc")</f>
        <v>Shock drat luar pvc</v>
      </c>
      <c r="G634" s="3" t="str">
        <f>IFERROR(__xludf.DUMMYFUNCTION("""COMPUTED_VALUE"""),"Shock drat luar pvc 2,5 inch pvc ")</f>
        <v>Shock drat luar pvc 2,5 inch pvc </v>
      </c>
      <c r="H634" s="3" t="str">
        <f>IFERROR(__xludf.DUMMYFUNCTION("""COMPUTED_VALUE"""),"Rucika")</f>
        <v>Rucika</v>
      </c>
      <c r="I634" s="3">
        <f>IFERROR(__xludf.DUMMYFUNCTION("""COMPUTED_VALUE"""),4.0)</f>
        <v>4</v>
      </c>
      <c r="J634" s="3" t="str">
        <f>IFERROR(__xludf.DUMMYFUNCTION("""COMPUTED_VALUE"""),"pcs")</f>
        <v>pcs</v>
      </c>
      <c r="K634" s="5" t="str">
        <f>IFERROR(__xludf.DUMMYFUNCTION("""COMPUTED_VALUE"""),"https://www.tokopedia.com/indosolarpower/sdd-sock-drat-dalam-pvc-rucika-aw-2-2-5-2-5-21-2-inch-faucet-socket-sdl-2-inch?utm_source=google&amp;utm_medium=organic&amp;utm_campaign=pdp")</f>
        <v>https://www.tokopedia.com/indosolarpower/sdd-sock-drat-dalam-pvc-rucika-aw-2-2-5-2-5-21-2-inch-faucet-socket-sdl-2-inch?utm_source=google&amp;utm_medium=organic&amp;utm_campaign=pdp</v>
      </c>
      <c r="L634" s="3" t="str">
        <f>IFERROR(__xludf.DUMMYFUNCTION("""COMPUTED_VALUE"""),"untuk pipa bocor fresh water")</f>
        <v>untuk pipa bocor fresh water</v>
      </c>
      <c r="M634" s="3" t="str">
        <f>IFERROR(__xludf.DUMMYFUNCTION("""COMPUTED_VALUE"""),"Approve")</f>
        <v>Approve</v>
      </c>
      <c r="N634" s="3" t="str">
        <f>IFERROR(__xludf.DUMMYFUNCTION("""COMPUTED_VALUE"""),"Normal")</f>
        <v>Normal</v>
      </c>
      <c r="O634" s="3" t="str">
        <f>IFERROR(__xludf.DUMMYFUNCTION("""COMPUTED_VALUE"""),"Non Urgent")</f>
        <v>Non Urgent</v>
      </c>
      <c r="P634" s="7">
        <f>IFERROR(__xludf.DUMMYFUNCTION("""COMPUTED_VALUE"""),46251.58409645833)</f>
        <v>46251.5841</v>
      </c>
    </row>
    <row r="635">
      <c r="A635" s="4">
        <f>IFERROR(__xludf.DUMMYFUNCTION("""COMPUTED_VALUE"""),46230.4345216088)</f>
        <v>46230.43452</v>
      </c>
      <c r="B635" s="3" t="str">
        <f>IFERROR(__xludf.DUMMYFUNCTION("""COMPUTED_VALUE"""),"WAPBR0008")</f>
        <v>WAPBR0008</v>
      </c>
      <c r="C635" s="3" t="str">
        <f>IFERROR(__xludf.DUMMYFUNCTION("""COMPUTED_VALUE"""),"Consumable")</f>
        <v>Consumable</v>
      </c>
      <c r="D635" s="3" t="str">
        <f>IFERROR(__xludf.DUMMYFUNCTION("""COMPUTED_VALUE"""),"-")</f>
        <v>-</v>
      </c>
      <c r="E635" s="3" t="str">
        <f>IFERROR(__xludf.DUMMYFUNCTION("""COMPUTED_VALUE"""),"Tools workshop")</f>
        <v>Tools workshop</v>
      </c>
      <c r="F635" s="3" t="str">
        <f>IFERROR(__xludf.DUMMYFUNCTION("""COMPUTED_VALUE"""),"penggaris siku")</f>
        <v>penggaris siku</v>
      </c>
      <c r="G635" s="3" t="str">
        <f>IFERROR(__xludf.DUMMYFUNCTION("""COMPUTED_VALUE"""),"panjang 30 cm")</f>
        <v>panjang 30 cm</v>
      </c>
      <c r="H635" s="3" t="str">
        <f>IFERROR(__xludf.DUMMYFUNCTION("""COMPUTED_VALUE"""),"Krisbow")</f>
        <v>Krisbow</v>
      </c>
      <c r="I635" s="3">
        <f>IFERROR(__xludf.DUMMYFUNCTION("""COMPUTED_VALUE"""),1.0)</f>
        <v>1</v>
      </c>
      <c r="J635" s="3" t="str">
        <f>IFERROR(__xludf.DUMMYFUNCTION("""COMPUTED_VALUE"""),"pcs")</f>
        <v>pcs</v>
      </c>
      <c r="K635" s="5" t="str">
        <f>IFERROR(__xludf.DUMMYFUNCTION("""COMPUTED_VALUE"""),"https://www.tokopedia.com/borolo/krisbow-penggaris-siku-besi-30-cm?utm_source=google&amp;utm_medium=organic&amp;utm_campaign=pdp")</f>
        <v>https://www.tokopedia.com/borolo/krisbow-penggaris-siku-besi-30-cm?utm_source=google&amp;utm_medium=organic&amp;utm_campaign=pdp</v>
      </c>
      <c r="L635" s="3" t="str">
        <f>IFERROR(__xludf.DUMMYFUNCTION("""COMPUTED_VALUE"""),"-")</f>
        <v>-</v>
      </c>
      <c r="M635" s="3" t="str">
        <f>IFERROR(__xludf.DUMMYFUNCTION("""COMPUTED_VALUE"""),"Approve")</f>
        <v>Approve</v>
      </c>
      <c r="N635" s="3" t="str">
        <f>IFERROR(__xludf.DUMMYFUNCTION("""COMPUTED_VALUE"""),"Normal")</f>
        <v>Normal</v>
      </c>
      <c r="O635" s="3" t="str">
        <f>IFERROR(__xludf.DUMMYFUNCTION("""COMPUTED_VALUE"""),"Non Urgent")</f>
        <v>Non Urgent</v>
      </c>
      <c r="P635" s="7">
        <f>IFERROR(__xludf.DUMMYFUNCTION("""COMPUTED_VALUE"""),46251.5898644213)</f>
        <v>46251.58986</v>
      </c>
    </row>
    <row r="636">
      <c r="A636" s="4">
        <f>IFERROR(__xludf.DUMMYFUNCTION("""COMPUTED_VALUE"""),46230.44091995371)</f>
        <v>46230.44092</v>
      </c>
      <c r="B636" s="3" t="str">
        <f>IFERROR(__xludf.DUMMYFUNCTION("""COMPUTED_VALUE"""),"WAPBR0009")</f>
        <v>WAPBR0009</v>
      </c>
      <c r="C636" s="3" t="str">
        <f>IFERROR(__xludf.DUMMYFUNCTION("""COMPUTED_VALUE"""),"Consumable")</f>
        <v>Consumable</v>
      </c>
      <c r="D636" s="3" t="str">
        <f>IFERROR(__xludf.DUMMYFUNCTION("""COMPUTED_VALUE"""),"-")</f>
        <v>-</v>
      </c>
      <c r="E636" s="3" t="str">
        <f>IFERROR(__xludf.DUMMYFUNCTION("""COMPUTED_VALUE"""),"Tools workshop")</f>
        <v>Tools workshop</v>
      </c>
      <c r="F636" s="3" t="str">
        <f>IFERROR(__xludf.DUMMYFUNCTION("""COMPUTED_VALUE"""),"C clamp")</f>
        <v>C clamp</v>
      </c>
      <c r="G636" s="3" t="str">
        <f>IFERROR(__xludf.DUMMYFUNCTION("""COMPUTED_VALUE"""),"ukuran 4 inch")</f>
        <v>ukuran 4 inch</v>
      </c>
      <c r="H636" s="3" t="str">
        <f>IFERROR(__xludf.DUMMYFUNCTION("""COMPUTED_VALUE"""),"Eastman atau laimya")</f>
        <v>Eastman atau laimya</v>
      </c>
      <c r="I636" s="3">
        <f>IFERROR(__xludf.DUMMYFUNCTION("""COMPUTED_VALUE"""),3.0)</f>
        <v>3</v>
      </c>
      <c r="J636" s="3" t="str">
        <f>IFERROR(__xludf.DUMMYFUNCTION("""COMPUTED_VALUE"""),"pcs")</f>
        <v>pcs</v>
      </c>
      <c r="K636" s="5" t="str">
        <f>IFERROR(__xludf.DUMMYFUNCTION("""COMPUTED_VALUE"""),"https://share.google/v83YhsjAC8QZAvRKT")</f>
        <v>https://share.google/v83YhsjAC8QZAvRKT</v>
      </c>
      <c r="L636" s="3" t="str">
        <f>IFERROR(__xludf.DUMMYFUNCTION("""COMPUTED_VALUE"""),"-")</f>
        <v>-</v>
      </c>
      <c r="M636" s="3" t="str">
        <f>IFERROR(__xludf.DUMMYFUNCTION("""COMPUTED_VALUE"""),"Approve")</f>
        <v>Approve</v>
      </c>
      <c r="N636" s="3" t="str">
        <f>IFERROR(__xludf.DUMMYFUNCTION("""COMPUTED_VALUE"""),"Normal")</f>
        <v>Normal</v>
      </c>
      <c r="O636" s="3" t="str">
        <f>IFERROR(__xludf.DUMMYFUNCTION("""COMPUTED_VALUE"""),"Non Urgent")</f>
        <v>Non Urgent</v>
      </c>
      <c r="P636" s="7">
        <f>IFERROR(__xludf.DUMMYFUNCTION("""COMPUTED_VALUE"""),46251.59036240741)</f>
        <v>46251.59036</v>
      </c>
    </row>
    <row r="637">
      <c r="A637" s="4">
        <f>IFERROR(__xludf.DUMMYFUNCTION("""COMPUTED_VALUE"""),46238.179122442125)</f>
        <v>46238.17912</v>
      </c>
      <c r="B637" s="3" t="str">
        <f>IFERROR(__xludf.DUMMYFUNCTION("""COMPUTED_VALUE"""),"MRNBR0119")</f>
        <v>MRNBR0119</v>
      </c>
      <c r="C637" s="3" t="str">
        <f>IFERROR(__xludf.DUMMYFUNCTION("""COMPUTED_VALUE"""),"EJO")</f>
        <v>EJO</v>
      </c>
      <c r="D637" s="3" t="str">
        <f>IFERROR(__xludf.DUMMYFUNCTION("""COMPUTED_VALUE"""),"EJO/2026/07/021")</f>
        <v>EJO/2026/07/021</v>
      </c>
      <c r="E637" s="3" t="str">
        <f>IFERROR(__xludf.DUMMYFUNCTION("""COMPUTED_VALUE"""),"Toilet eng")</f>
        <v>Toilet eng</v>
      </c>
      <c r="F637" s="3" t="str">
        <f>IFERROR(__xludf.DUMMYFUNCTION("""COMPUTED_VALUE"""),"reducer pvc")</f>
        <v>reducer pvc</v>
      </c>
      <c r="G637" s="3" t="str">
        <f>IFERROR(__xludf.DUMMYFUNCTION("""COMPUTED_VALUE"""),"reducer pvc 1 1/4 x 1 inch")</f>
        <v>reducer pvc 1 1/4 x 1 inch</v>
      </c>
      <c r="H637" s="3" t="str">
        <f>IFERROR(__xludf.DUMMYFUNCTION("""COMPUTED_VALUE"""),"rucika")</f>
        <v>rucika</v>
      </c>
      <c r="I637" s="3">
        <f>IFERROR(__xludf.DUMMYFUNCTION("""COMPUTED_VALUE"""),5.0)</f>
        <v>5</v>
      </c>
      <c r="J637" s="3" t="str">
        <f>IFERROR(__xludf.DUMMYFUNCTION("""COMPUTED_VALUE"""),"pcs")</f>
        <v>pcs</v>
      </c>
      <c r="K637" s="3" t="str">
        <f>IFERROR(__xludf.DUMMYFUNCTION("""COMPUTED_VALUE"""),"-")</f>
        <v>-</v>
      </c>
      <c r="L637" s="3" t="str">
        <f>IFERROR(__xludf.DUMMYFUNCTION("""COMPUTED_VALUE"""),"untuk toilet")</f>
        <v>untuk toilet</v>
      </c>
      <c r="M637" s="3" t="str">
        <f>IFERROR(__xludf.DUMMYFUNCTION("""COMPUTED_VALUE"""),"Approve")</f>
        <v>Approve</v>
      </c>
      <c r="N637" s="3" t="str">
        <f>IFERROR(__xludf.DUMMYFUNCTION("""COMPUTED_VALUE"""),"Normal")</f>
        <v>Normal</v>
      </c>
      <c r="O637" s="3" t="str">
        <f>IFERROR(__xludf.DUMMYFUNCTION("""COMPUTED_VALUE"""),"Non Urgent")</f>
        <v>Non Urgent</v>
      </c>
      <c r="P637" s="7">
        <f>IFERROR(__xludf.DUMMYFUNCTION("""COMPUTED_VALUE"""),46251.583158865746)</f>
        <v>46251.58316</v>
      </c>
    </row>
    <row r="638">
      <c r="A638" s="4">
        <f>IFERROR(__xludf.DUMMYFUNCTION("""COMPUTED_VALUE"""),46245.70786825231)</f>
        <v>46245.70787</v>
      </c>
      <c r="B638" s="3" t="str">
        <f>IFERROR(__xludf.DUMMYFUNCTION("""COMPUTED_VALUE"""),"SFHBR0066")</f>
        <v>SFHBR0066</v>
      </c>
      <c r="C638" s="3" t="str">
        <f>IFERROR(__xludf.DUMMYFUNCTION("""COMPUTED_VALUE"""),"Consumable")</f>
        <v>Consumable</v>
      </c>
      <c r="D638" s="3" t="str">
        <f>IFERROR(__xludf.DUMMYFUNCTION("""COMPUTED_VALUE"""),"-")</f>
        <v>-</v>
      </c>
      <c r="E638" s="3" t="str">
        <f>IFERROR(__xludf.DUMMYFUNCTION("""COMPUTED_VALUE"""),"lantai 2")</f>
        <v>lantai 2</v>
      </c>
      <c r="F638" s="3" t="str">
        <f>IFERROR(__xludf.DUMMYFUNCTION("""COMPUTED_VALUE"""),"sakelar  3 titik clipsal e33/1/2AR c-classic")</f>
        <v>sakelar  3 titik clipsal e33/1/2AR c-classic</v>
      </c>
      <c r="G638" s="3" t="str">
        <f>IFERROR(__xludf.DUMMYFUNCTION("""COMPUTED_VALUE"""),"sakelar triple clipsal e33/1/2AR c-classic")</f>
        <v>sakelar triple clipsal e33/1/2AR c-classic</v>
      </c>
      <c r="H638" s="3" t="str">
        <f>IFERROR(__xludf.DUMMYFUNCTION("""COMPUTED_VALUE"""),"clipsal")</f>
        <v>clipsal</v>
      </c>
      <c r="I638" s="3"/>
      <c r="J638" s="3" t="str">
        <f>IFERROR(__xludf.DUMMYFUNCTION("""COMPUTED_VALUE"""),"pcs")</f>
        <v>pcs</v>
      </c>
      <c r="K638" s="5" t="str">
        <f>IFERROR(__xludf.DUMMYFUNCTION("""COMPUTED_VALUE"""),"https://tk.tokopedia.com/ZS4ckGHeg/")</f>
        <v>https://tk.tokopedia.com/ZS4ckGHeg/</v>
      </c>
      <c r="L638" s="3" t="str">
        <f>IFERROR(__xludf.DUMMYFUNCTION("""COMPUTED_VALUE"""),"-")</f>
        <v>-</v>
      </c>
      <c r="M638" s="3" t="str">
        <f>IFERROR(__xludf.DUMMYFUNCTION("""COMPUTED_VALUE"""),"Approve")</f>
        <v>Approve</v>
      </c>
      <c r="N638" s="3" t="str">
        <f>IFERROR(__xludf.DUMMYFUNCTION("""COMPUTED_VALUE"""),"Normal")</f>
        <v>Normal</v>
      </c>
      <c r="O638" s="3" t="str">
        <f>IFERROR(__xludf.DUMMYFUNCTION("""COMPUTED_VALUE"""),"Non Urgent")</f>
        <v>Non Urgent</v>
      </c>
      <c r="P638" s="7">
        <f>IFERROR(__xludf.DUMMYFUNCTION("""COMPUTED_VALUE"""),46251.5798352662)</f>
        <v>46251.57984</v>
      </c>
    </row>
    <row r="639">
      <c r="A639" s="4">
        <f>IFERROR(__xludf.DUMMYFUNCTION("""COMPUTED_VALUE"""),46246.36689553241)</f>
        <v>46246.3669</v>
      </c>
      <c r="B639" s="3" t="str">
        <f>IFERROR(__xludf.DUMMYFUNCTION("""COMPUTED_VALUE"""),"BDUBR0030")</f>
        <v>BDUBR0030</v>
      </c>
      <c r="C639" s="3" t="str">
        <f>IFERROR(__xludf.DUMMYFUNCTION("""COMPUTED_VALUE"""),"MIn Stok")</f>
        <v>MIn Stok</v>
      </c>
      <c r="D639" s="3" t="str">
        <f>IFERROR(__xludf.DUMMYFUNCTION("""COMPUTED_VALUE"""),"-")</f>
        <v>-</v>
      </c>
      <c r="E639" s="3" t="str">
        <f>IFERROR(__xludf.DUMMYFUNCTION("""COMPUTED_VALUE"""),"CLU")</f>
        <v>CLU</v>
      </c>
      <c r="F639" s="3" t="str">
        <f>IFERROR(__xludf.DUMMYFUNCTION("""COMPUTED_VALUE"""),"Kabel Grounding 1x4 mm")</f>
        <v>Kabel Grounding 1x4 mm</v>
      </c>
      <c r="G639" s="3" t="str">
        <f>IFERROR(__xludf.DUMMYFUNCTION("""COMPUTED_VALUE"""),"Kabel grounding NYAF 1x4mm")</f>
        <v>Kabel grounding NYAF 1x4mm</v>
      </c>
      <c r="H639" s="3" t="str">
        <f>IFERROR(__xludf.DUMMYFUNCTION("""COMPUTED_VALUE"""),"Supreme")</f>
        <v>Supreme</v>
      </c>
      <c r="I639" s="3">
        <f>IFERROR(__xludf.DUMMYFUNCTION("""COMPUTED_VALUE"""),100.0)</f>
        <v>100</v>
      </c>
      <c r="J639" s="3" t="str">
        <f>IFERROR(__xludf.DUMMYFUNCTION("""COMPUTED_VALUE"""),"meter")</f>
        <v>meter</v>
      </c>
      <c r="K639" s="5" t="str">
        <f>IFERROR(__xludf.DUMMYFUNCTION("""COMPUTED_VALUE"""),"https://www.tokopedia.com/pt-sinar-abadi/nyaf-supreme-cable-1x-4-mm-6mm-10-mm-16-mm-25-mm-35-mm-50-mm-serabut-grounding-kabel-kuning-hijau-meteran-1731586037795030867?extParam=ivf%3Dfalse%26keyword%3Dgrounding+1x4%26search_id%3D20260812014614F504DBF83E6F6"&amp;"E1ABSE1%26src%3Dsearch&amp;t_id=1786499266395&amp;t_st=1&amp;t_pp=search_result&amp;t_efo=search_pure_goods_card&amp;t_ef=goods_search&amp;t_sm=&amp;t_spt=search_result")</f>
        <v>https://www.tokopedia.com/pt-sinar-abadi/nyaf-supreme-cable-1x-4-mm-6mm-10-mm-16-mm-25-mm-35-mm-50-mm-serabut-grounding-kabel-kuning-hijau-meteran-1731586037795030867?extParam=ivf%3Dfalse%26keyword%3Dgrounding+1x4%26search_id%3D20260812014614F504DBF83E6F6E1ABSE1%26src%3Dsearch&amp;t_id=1786499266395&amp;t_st=1&amp;t_pp=search_result&amp;t_efo=search_pure_goods_card&amp;t_ef=goods_search&amp;t_sm=&amp;t_spt=search_result</v>
      </c>
      <c r="L639" s="3" t="str">
        <f>IFERROR(__xludf.DUMMYFUNCTION("""COMPUTED_VALUE"""),"digunakan untuk pergantian kabel grounding CLU yang kurang panjang (W0135.01 &amp; W0012.03)")</f>
        <v>digunakan untuk pergantian kabel grounding CLU yang kurang panjang (W0135.01 &amp; W0012.03)</v>
      </c>
      <c r="M639" s="3" t="str">
        <f>IFERROR(__xludf.DUMMYFUNCTION("""COMPUTED_VALUE"""),"Approve")</f>
        <v>Approve</v>
      </c>
      <c r="N639" s="3" t="str">
        <f>IFERROR(__xludf.DUMMYFUNCTION("""COMPUTED_VALUE"""),"Normal")</f>
        <v>Normal</v>
      </c>
      <c r="O639" s="3" t="str">
        <f>IFERROR(__xludf.DUMMYFUNCTION("""COMPUTED_VALUE"""),"Non Urgent")</f>
        <v>Non Urgent</v>
      </c>
      <c r="P639" s="7">
        <f>IFERROR(__xludf.DUMMYFUNCTION("""COMPUTED_VALUE"""),46258.71802130787)</f>
        <v>46258.71802</v>
      </c>
    </row>
    <row r="640">
      <c r="A640" s="4">
        <f>IFERROR(__xludf.DUMMYFUNCTION("""COMPUTED_VALUE"""),46255.87117518519)</f>
        <v>46255.87118</v>
      </c>
      <c r="B640" s="3" t="str">
        <f>IFERROR(__xludf.DUMMYFUNCTION("""COMPUTED_VALUE"""),"SFHBR0067")</f>
        <v>SFHBR0067</v>
      </c>
      <c r="C640" s="3" t="str">
        <f>IFERROR(__xludf.DUMMYFUNCTION("""COMPUTED_VALUE"""),"Consumable")</f>
        <v>Consumable</v>
      </c>
      <c r="D640" s="3" t="str">
        <f>IFERROR(__xludf.DUMMYFUNCTION("""COMPUTED_VALUE"""),"-")</f>
        <v>-</v>
      </c>
      <c r="E640" s="3" t="str">
        <f>IFERROR(__xludf.DUMMYFUNCTION("""COMPUTED_VALUE"""),"lantai 2")</f>
        <v>lantai 2</v>
      </c>
      <c r="F640" s="3" t="str">
        <f>IFERROR(__xludf.DUMMYFUNCTION("""COMPUTED_VALUE"""),"Bracket Roda Caster Troli Troly Heavy Duty 5 Inch Rem+Putar Bracket")</f>
        <v>Bracket Roda Caster Troli Troly Heavy Duty 5 Inch Rem+Putar Bracket</v>
      </c>
      <c r="G640" s="3" t="str">
        <f>IFERROR(__xludf.DUMMYFUNCTION("""COMPUTED_VALUE"""),"Bracket Roda Caster Troli Troly Heavy Duty 5 Inch Rem+Putar Bracket")</f>
        <v>Bracket Roda Caster Troli Troly Heavy Duty 5 Inch Rem+Putar Bracket</v>
      </c>
      <c r="H640" s="3" t="str">
        <f>IFERROR(__xludf.DUMMYFUNCTION("""COMPUTED_VALUE""")," PU HEAVY DUTY")</f>
        <v> PU HEAVY DUTY</v>
      </c>
      <c r="I640" s="3">
        <f>IFERROR(__xludf.DUMMYFUNCTION("""COMPUTED_VALUE"""),2.0)</f>
        <v>2</v>
      </c>
      <c r="J640" s="3" t="str">
        <f>IFERROR(__xludf.DUMMYFUNCTION("""COMPUTED_VALUE"""),"pcs")</f>
        <v>pcs</v>
      </c>
      <c r="K640" s="5" t="str">
        <f>IFERROR(__xludf.DUMMYFUNCTION("""COMPUTED_VALUE"""),"https://tk.tokopedia.com/ZSVfKK8LE/")</f>
        <v>https://tk.tokopedia.com/ZSVfKK8LE/</v>
      </c>
      <c r="L640" s="3" t="str">
        <f>IFERROR(__xludf.DUMMYFUNCTION("""COMPUTED_VALUE"""),"-")</f>
        <v>-</v>
      </c>
      <c r="M640" s="3" t="str">
        <f>IFERROR(__xludf.DUMMYFUNCTION("""COMPUTED_VALUE"""),"Approve")</f>
        <v>Approve</v>
      </c>
      <c r="N640" s="3" t="str">
        <f>IFERROR(__xludf.DUMMYFUNCTION("""COMPUTED_VALUE"""),"Normal")</f>
        <v>Normal</v>
      </c>
      <c r="O640" s="3" t="str">
        <f>IFERROR(__xludf.DUMMYFUNCTION("""COMPUTED_VALUE"""),"Non Urgent")</f>
        <v>Non Urgent</v>
      </c>
      <c r="P640" s="7">
        <f>IFERROR(__xludf.DUMMYFUNCTION("""COMPUTED_VALUE"""),46272.815514999995)</f>
        <v>46272.81552</v>
      </c>
    </row>
    <row r="641">
      <c r="A641" s="4">
        <f>IFERROR(__xludf.DUMMYFUNCTION("""COMPUTED_VALUE"""),46266.94058243056)</f>
        <v>46266.94058</v>
      </c>
      <c r="B641" s="3" t="str">
        <f>IFERROR(__xludf.DUMMYFUNCTION("""COMPUTED_VALUE"""),"MRNBR0120")</f>
        <v>MRNBR0120</v>
      </c>
      <c r="C641" s="3" t="str">
        <f>IFERROR(__xludf.DUMMYFUNCTION("""COMPUTED_VALUE"""),"EJO")</f>
        <v>EJO</v>
      </c>
      <c r="D641" s="3" t="str">
        <f>IFERROR(__xludf.DUMMYFUNCTION("""COMPUTED_VALUE"""),"EJO/2026/07/081")</f>
        <v>EJO/2026/07/081</v>
      </c>
      <c r="E641" s="3" t="str">
        <f>IFERROR(__xludf.DUMMYFUNCTION("""COMPUTED_VALUE"""),"AC warehouse")</f>
        <v>AC warehouse</v>
      </c>
      <c r="F641" s="3" t="str">
        <f>IFERROR(__xludf.DUMMYFUNCTION("""COMPUTED_VALUE"""),"Compressor AC split")</f>
        <v>Compressor AC split</v>
      </c>
      <c r="G641" s="3" t="str">
        <f>IFERROR(__xludf.DUMMYFUNCTION("""COMPUTED_VALUE"""),"Compressor 1 pk R22")</f>
        <v>Compressor 1 pk R22</v>
      </c>
      <c r="H641" s="3" t="str">
        <f>IFERROR(__xludf.DUMMYFUNCTION("""COMPUTED_VALUE"""),"NA")</f>
        <v>NA</v>
      </c>
      <c r="I641" s="3">
        <f>IFERROR(__xludf.DUMMYFUNCTION("""COMPUTED_VALUE"""),1.0)</f>
        <v>1</v>
      </c>
      <c r="J641" s="3" t="str">
        <f>IFERROR(__xludf.DUMMYFUNCTION("""COMPUTED_VALUE"""),"pcs")</f>
        <v>pcs</v>
      </c>
      <c r="K641" s="5" t="str">
        <f>IFERROR(__xludf.DUMMYFUNCTION("""COMPUTED_VALUE"""),"https://www.tokopedia.com/marina-cool/kompresor-ac-samsung-r22-r410a-r32-ur-ug-ub-series-ukuran-0-5-0-75-1-1-5-2-pk-hp-original-rotary-compressor-baru-1733712930893301180?extParam=ivf%3Dfalse%26keyword%3Dkompressor+ac+1+pk+r22%26search_id%3D20260901153550"&amp;"40008B9A5380FC0F7OCQ%26src%3Dsearch&amp;t_id=1788276965375&amp;t_st=1&amp;t_pp=search_result&amp;t_efo=search_pure_goods_card&amp;t_ef=goods_search&amp;t_sm=&amp;t_spt=search_result")</f>
        <v>https://www.tokopedia.com/marina-cool/kompresor-ac-samsung-r22-r410a-r32-ur-ug-ub-series-ukuran-0-5-0-75-1-1-5-2-pk-hp-original-rotary-compressor-baru-1733712930893301180?extParam=ivf%3Dfalse%26keyword%3Dkompressor+ac+1+pk+r22%26search_id%3D2026090115355040008B9A5380FC0F7OCQ%26src%3Dsearch&amp;t_id=1788276965375&amp;t_st=1&amp;t_pp=search_result&amp;t_efo=search_pure_goods_card&amp;t_ef=goods_search&amp;t_sm=&amp;t_spt=search_result</v>
      </c>
      <c r="L641" s="3" t="str">
        <f>IFERROR(__xludf.DUMMYFUNCTION("""COMPUTED_VALUE"""),"untuk office warehouse")</f>
        <v>untuk office warehouse</v>
      </c>
      <c r="M641" s="3" t="str">
        <f>IFERROR(__xludf.DUMMYFUNCTION("""COMPUTED_VALUE"""),"Approve")</f>
        <v>Approve</v>
      </c>
      <c r="N641" s="3" t="str">
        <f>IFERROR(__xludf.DUMMYFUNCTION("""COMPUTED_VALUE"""),"Normal")</f>
        <v>Normal</v>
      </c>
      <c r="O641" s="3" t="str">
        <f>IFERROR(__xludf.DUMMYFUNCTION("""COMPUTED_VALUE"""),"Non Urgent")</f>
        <v>Non Urgent</v>
      </c>
      <c r="P641" s="7">
        <f>IFERROR(__xludf.DUMMYFUNCTION("""COMPUTED_VALUE"""),46272.80476399306)</f>
        <v>46272.80476</v>
      </c>
    </row>
    <row r="642">
      <c r="A642" s="4">
        <f>IFERROR(__xludf.DUMMYFUNCTION("""COMPUTED_VALUE"""),46268.66749460648)</f>
        <v>46268.66749</v>
      </c>
      <c r="B642" s="3" t="str">
        <f>IFERROR(__xludf.DUMMYFUNCTION("""COMPUTED_VALUE"""),"NDSBR0063")</f>
        <v>NDSBR0063</v>
      </c>
      <c r="C642" s="3" t="str">
        <f>IFERROR(__xludf.DUMMYFUNCTION("""COMPUTED_VALUE"""),"Consumable")</f>
        <v>Consumable</v>
      </c>
      <c r="D642" s="3" t="str">
        <f>IFERROR(__xludf.DUMMYFUNCTION("""COMPUTED_VALUE"""),"-")</f>
        <v>-</v>
      </c>
      <c r="E642" s="3" t="str">
        <f>IFERROR(__xludf.DUMMYFUNCTION("""COMPUTED_VALUE"""),"All mesin")</f>
        <v>All mesin</v>
      </c>
      <c r="F642" s="3" t="str">
        <f>IFERROR(__xludf.DUMMYFUNCTION("""COMPUTED_VALUE"""),"Cover Tombol Emergency ")</f>
        <v>Cover Tombol Emergency </v>
      </c>
      <c r="G642" s="3" t="str">
        <f>IFERROR(__xludf.DUMMYFUNCTION("""COMPUTED_VALUE"""),"D 55 P60")</f>
        <v>D 55 P60</v>
      </c>
      <c r="H642" s="3" t="str">
        <f>IFERROR(__xludf.DUMMYFUNCTION("""COMPUTED_VALUE"""),"-")</f>
        <v>-</v>
      </c>
      <c r="I642" s="3">
        <f>IFERROR(__xludf.DUMMYFUNCTION("""COMPUTED_VALUE"""),10.0)</f>
        <v>10</v>
      </c>
      <c r="J642" s="3" t="str">
        <f>IFERROR(__xludf.DUMMYFUNCTION("""COMPUTED_VALUE"""),"Pcs")</f>
        <v>Pcs</v>
      </c>
      <c r="K642" s="5" t="str">
        <f>IFERROR(__xludf.DUMMYFUNCTION("""COMPUTED_VALUE"""),"https://shopee.co.id/COVER-PELINDUNG-TRANSPARAN-PUSH-BUTTON-PROTECTION-COVER-UNTUK-PUSH-BUTTON-22mm-i.1219139067.42980978507?extraParams=%7B%22display_model_id%22%3A315938423654%2C%22model_selection_logic%22%3A3%7D")</f>
        <v>https://shopee.co.id/COVER-PELINDUNG-TRANSPARAN-PUSH-BUTTON-PROTECTION-COVER-UNTUK-PUSH-BUTTON-22mm-i.1219139067.42980978507?extraParams=%7B%22display_model_id%22%3A315938423654%2C%22model_selection_logic%22%3A3%7D</v>
      </c>
      <c r="L642" s="3" t="str">
        <f>IFERROR(__xludf.DUMMYFUNCTION("""COMPUTED_VALUE"""),"tinggi 60mm Diameter 55mm")</f>
        <v>tinggi 60mm Diameter 55mm</v>
      </c>
      <c r="M642" s="3" t="str">
        <f>IFERROR(__xludf.DUMMYFUNCTION("""COMPUTED_VALUE"""),"Approve")</f>
        <v>Approve</v>
      </c>
      <c r="N642" s="3" t="str">
        <f>IFERROR(__xludf.DUMMYFUNCTION("""COMPUTED_VALUE"""),"Normal")</f>
        <v>Normal</v>
      </c>
      <c r="O642" s="3" t="str">
        <f>IFERROR(__xludf.DUMMYFUNCTION("""COMPUTED_VALUE"""),"Non Urgent")</f>
        <v>Non Urgent</v>
      </c>
      <c r="P642" s="7">
        <f>IFERROR(__xludf.DUMMYFUNCTION("""COMPUTED_VALUE"""),46272.23265042824)</f>
        <v>46272.23265</v>
      </c>
    </row>
    <row r="643">
      <c r="P643" s="7"/>
    </row>
    <row r="644">
      <c r="P644" s="7"/>
    </row>
    <row r="645">
      <c r="P645" s="7"/>
    </row>
    <row r="646">
      <c r="P646" s="7"/>
    </row>
    <row r="647">
      <c r="P647" s="7"/>
    </row>
    <row r="648">
      <c r="P648" s="7"/>
    </row>
    <row r="649">
      <c r="P649" s="7"/>
    </row>
    <row r="650">
      <c r="P650" s="7"/>
    </row>
    <row r="651">
      <c r="P651" s="7"/>
    </row>
    <row r="652">
      <c r="P652" s="7"/>
    </row>
    <row r="653">
      <c r="P653" s="7"/>
    </row>
    <row r="654">
      <c r="P654" s="7"/>
    </row>
    <row r="655">
      <c r="P655" s="7"/>
    </row>
    <row r="656">
      <c r="P656" s="7"/>
    </row>
    <row r="657">
      <c r="P657" s="7"/>
    </row>
    <row r="658">
      <c r="P658" s="7"/>
    </row>
    <row r="659">
      <c r="P659" s="7"/>
    </row>
    <row r="660">
      <c r="P660" s="7"/>
    </row>
    <row r="661">
      <c r="P661" s="7"/>
    </row>
    <row r="662">
      <c r="P662" s="7"/>
    </row>
    <row r="663">
      <c r="P663" s="7"/>
    </row>
    <row r="664">
      <c r="P664" s="7"/>
    </row>
    <row r="665">
      <c r="P665" s="7"/>
    </row>
    <row r="666">
      <c r="P666" s="7"/>
    </row>
    <row r="667">
      <c r="P667" s="7"/>
    </row>
    <row r="668">
      <c r="P668" s="7"/>
    </row>
    <row r="669">
      <c r="P669" s="7"/>
    </row>
    <row r="670">
      <c r="P670" s="7"/>
    </row>
    <row r="671">
      <c r="P671" s="7"/>
    </row>
    <row r="672">
      <c r="P672" s="7"/>
    </row>
    <row r="673">
      <c r="P673" s="7"/>
    </row>
    <row r="674">
      <c r="P674" s="7"/>
    </row>
    <row r="675">
      <c r="P675" s="7"/>
    </row>
    <row r="676">
      <c r="P676" s="7"/>
    </row>
    <row r="677">
      <c r="P677" s="7"/>
    </row>
    <row r="678">
      <c r="P678" s="7"/>
    </row>
    <row r="679">
      <c r="P679" s="7"/>
    </row>
    <row r="680">
      <c r="P680" s="7"/>
    </row>
    <row r="681">
      <c r="P681" s="7"/>
    </row>
    <row r="682">
      <c r="P682" s="7"/>
    </row>
    <row r="683">
      <c r="P683" s="7"/>
    </row>
    <row r="684">
      <c r="P684" s="7"/>
    </row>
    <row r="685">
      <c r="P685" s="7"/>
    </row>
    <row r="686">
      <c r="P686" s="7"/>
    </row>
    <row r="687">
      <c r="P687" s="7"/>
    </row>
    <row r="688">
      <c r="P688" s="7"/>
    </row>
    <row r="689">
      <c r="P689" s="7"/>
    </row>
    <row r="690">
      <c r="P690" s="7"/>
    </row>
    <row r="691">
      <c r="P691" s="7"/>
    </row>
    <row r="692">
      <c r="P692" s="7"/>
    </row>
    <row r="693">
      <c r="P693" s="7"/>
    </row>
    <row r="694">
      <c r="P694" s="7"/>
    </row>
    <row r="695">
      <c r="P695" s="7"/>
    </row>
    <row r="696">
      <c r="P696" s="7"/>
    </row>
    <row r="697">
      <c r="P697" s="7"/>
    </row>
    <row r="698">
      <c r="P698" s="7"/>
    </row>
    <row r="699">
      <c r="P699" s="7"/>
    </row>
    <row r="700">
      <c r="P700" s="7"/>
    </row>
    <row r="701">
      <c r="P701" s="7"/>
    </row>
    <row r="702">
      <c r="P702" s="7"/>
    </row>
    <row r="703">
      <c r="P703" s="7"/>
    </row>
    <row r="704">
      <c r="P704" s="7"/>
    </row>
    <row r="705">
      <c r="P705" s="7"/>
    </row>
    <row r="706">
      <c r="P706" s="7"/>
    </row>
    <row r="707">
      <c r="P707" s="7"/>
    </row>
    <row r="708">
      <c r="P708" s="7"/>
    </row>
    <row r="709">
      <c r="P709" s="7"/>
    </row>
    <row r="710">
      <c r="P710" s="7"/>
    </row>
    <row r="711">
      <c r="P711" s="7"/>
    </row>
    <row r="712">
      <c r="P712" s="7"/>
    </row>
    <row r="713">
      <c r="P713" s="7"/>
    </row>
    <row r="714">
      <c r="P714" s="7"/>
    </row>
    <row r="715">
      <c r="P715" s="7"/>
    </row>
    <row r="716">
      <c r="P716" s="7"/>
    </row>
    <row r="717">
      <c r="P717" s="7"/>
    </row>
    <row r="718">
      <c r="P718" s="7"/>
    </row>
    <row r="719">
      <c r="P719" s="7"/>
    </row>
    <row r="720">
      <c r="P720" s="7"/>
    </row>
    <row r="721">
      <c r="P721" s="7"/>
    </row>
    <row r="722">
      <c r="P722" s="7"/>
    </row>
    <row r="723">
      <c r="P723" s="7"/>
    </row>
    <row r="724">
      <c r="P724" s="7"/>
    </row>
    <row r="725">
      <c r="P725" s="7"/>
    </row>
    <row r="726">
      <c r="P726" s="7"/>
    </row>
    <row r="727">
      <c r="P727" s="7"/>
    </row>
    <row r="728">
      <c r="P728" s="7"/>
    </row>
    <row r="729">
      <c r="P729" s="7"/>
    </row>
    <row r="730">
      <c r="P730" s="7"/>
    </row>
    <row r="731">
      <c r="P731" s="7"/>
    </row>
    <row r="732">
      <c r="P732" s="7"/>
    </row>
    <row r="733">
      <c r="P733" s="7"/>
    </row>
    <row r="734">
      <c r="P734" s="7"/>
    </row>
    <row r="735">
      <c r="P735" s="7"/>
    </row>
    <row r="736">
      <c r="P736" s="7"/>
    </row>
    <row r="737">
      <c r="P737" s="7"/>
    </row>
    <row r="738">
      <c r="P738" s="7"/>
    </row>
    <row r="739">
      <c r="P739" s="7"/>
    </row>
    <row r="740">
      <c r="P740" s="7"/>
    </row>
    <row r="741">
      <c r="P741" s="7"/>
    </row>
    <row r="742">
      <c r="P742" s="7"/>
    </row>
    <row r="743">
      <c r="P743" s="7"/>
    </row>
    <row r="744">
      <c r="P744" s="7"/>
    </row>
    <row r="745">
      <c r="P745" s="7"/>
    </row>
    <row r="746">
      <c r="P746" s="7"/>
    </row>
    <row r="747">
      <c r="P747" s="7"/>
    </row>
    <row r="748">
      <c r="P748" s="7"/>
    </row>
    <row r="749">
      <c r="P749" s="7"/>
    </row>
    <row r="750">
      <c r="P750" s="7"/>
    </row>
    <row r="751">
      <c r="P751" s="7"/>
    </row>
    <row r="752">
      <c r="P752" s="7"/>
    </row>
    <row r="753">
      <c r="P753" s="7"/>
    </row>
    <row r="754">
      <c r="P754" s="7"/>
    </row>
    <row r="755">
      <c r="P755" s="7"/>
    </row>
    <row r="756">
      <c r="P756" s="7"/>
    </row>
    <row r="757">
      <c r="P757" s="7"/>
    </row>
    <row r="758">
      <c r="P758" s="7"/>
    </row>
    <row r="759">
      <c r="P759" s="7"/>
    </row>
    <row r="760">
      <c r="P760" s="7"/>
    </row>
    <row r="761">
      <c r="P761" s="7"/>
    </row>
    <row r="762">
      <c r="P762" s="7"/>
    </row>
    <row r="763">
      <c r="P763" s="7"/>
    </row>
    <row r="764">
      <c r="P764" s="7"/>
    </row>
    <row r="765">
      <c r="P765" s="7"/>
    </row>
    <row r="766">
      <c r="P766" s="7"/>
    </row>
    <row r="767">
      <c r="P767" s="7"/>
    </row>
    <row r="768">
      <c r="P768" s="7"/>
    </row>
    <row r="769">
      <c r="P769" s="7"/>
    </row>
    <row r="770">
      <c r="P770" s="7"/>
    </row>
    <row r="771">
      <c r="P771" s="7"/>
    </row>
    <row r="772">
      <c r="P772" s="7"/>
    </row>
    <row r="773">
      <c r="P773" s="7"/>
    </row>
    <row r="774">
      <c r="P774" s="7"/>
    </row>
    <row r="775">
      <c r="P775" s="7"/>
    </row>
    <row r="776">
      <c r="P776" s="7"/>
    </row>
    <row r="777">
      <c r="P777" s="7"/>
    </row>
    <row r="778">
      <c r="P778" s="7"/>
    </row>
    <row r="779">
      <c r="P779" s="7"/>
    </row>
    <row r="780">
      <c r="P780" s="7"/>
    </row>
    <row r="781">
      <c r="P781" s="7"/>
    </row>
    <row r="782">
      <c r="P782" s="7"/>
    </row>
    <row r="783">
      <c r="P783" s="7"/>
    </row>
    <row r="784">
      <c r="P784" s="7"/>
    </row>
    <row r="785">
      <c r="P785" s="7"/>
    </row>
    <row r="786">
      <c r="P786" s="7"/>
    </row>
    <row r="787">
      <c r="P787" s="7"/>
    </row>
    <row r="788">
      <c r="P788" s="7"/>
    </row>
    <row r="789">
      <c r="P789" s="7"/>
    </row>
    <row r="790">
      <c r="P790" s="7"/>
    </row>
    <row r="791">
      <c r="P791" s="7"/>
    </row>
    <row r="792">
      <c r="P792" s="7"/>
    </row>
    <row r="793">
      <c r="P793" s="7"/>
    </row>
    <row r="794">
      <c r="P794" s="7"/>
    </row>
    <row r="795">
      <c r="P795" s="7"/>
    </row>
    <row r="796">
      <c r="P796" s="7"/>
    </row>
    <row r="797">
      <c r="P797" s="7"/>
    </row>
    <row r="798">
      <c r="P798" s="7"/>
    </row>
    <row r="799">
      <c r="P799" s="7"/>
    </row>
    <row r="800">
      <c r="P800" s="7"/>
    </row>
    <row r="801">
      <c r="P801" s="7"/>
    </row>
    <row r="802">
      <c r="P802" s="7"/>
    </row>
    <row r="803">
      <c r="P803" s="7"/>
    </row>
    <row r="804">
      <c r="P804" s="7"/>
    </row>
    <row r="805">
      <c r="P805" s="7"/>
    </row>
    <row r="806">
      <c r="P806" s="7"/>
    </row>
    <row r="807">
      <c r="P807" s="7"/>
    </row>
    <row r="808">
      <c r="P808" s="7"/>
    </row>
    <row r="809">
      <c r="P809" s="7"/>
    </row>
    <row r="810">
      <c r="P810" s="7"/>
    </row>
    <row r="811">
      <c r="P811" s="7"/>
    </row>
    <row r="812">
      <c r="P812" s="7"/>
    </row>
    <row r="813">
      <c r="P813" s="7"/>
    </row>
    <row r="814">
      <c r="P814" s="7"/>
    </row>
    <row r="815">
      <c r="P815" s="7"/>
    </row>
    <row r="816">
      <c r="P816" s="7"/>
    </row>
    <row r="817">
      <c r="P817" s="7"/>
    </row>
    <row r="818">
      <c r="P818" s="7"/>
    </row>
    <row r="819">
      <c r="P819" s="7"/>
    </row>
    <row r="820">
      <c r="P820" s="7"/>
    </row>
    <row r="821">
      <c r="P821" s="7"/>
    </row>
    <row r="822">
      <c r="P822" s="7"/>
    </row>
    <row r="823">
      <c r="P823" s="7"/>
    </row>
    <row r="824">
      <c r="P824" s="7"/>
    </row>
    <row r="825">
      <c r="P825" s="7"/>
    </row>
    <row r="826">
      <c r="P826" s="7"/>
    </row>
    <row r="827">
      <c r="P827" s="7"/>
    </row>
    <row r="828">
      <c r="P828" s="7"/>
    </row>
    <row r="829">
      <c r="P829" s="7"/>
    </row>
    <row r="830">
      <c r="P830" s="7"/>
    </row>
    <row r="831">
      <c r="P831" s="7"/>
    </row>
    <row r="832">
      <c r="P832" s="7"/>
    </row>
    <row r="833">
      <c r="P833" s="7"/>
    </row>
    <row r="834">
      <c r="P834" s="7"/>
    </row>
    <row r="835">
      <c r="P835" s="7"/>
    </row>
    <row r="836">
      <c r="P836" s="7"/>
    </row>
    <row r="837">
      <c r="P837" s="7"/>
    </row>
    <row r="838">
      <c r="P838" s="7"/>
    </row>
    <row r="839">
      <c r="P839" s="7"/>
    </row>
    <row r="840">
      <c r="P840" s="7"/>
    </row>
    <row r="841">
      <c r="P841" s="7"/>
    </row>
    <row r="842">
      <c r="P842" s="7"/>
    </row>
    <row r="843">
      <c r="P843" s="7"/>
    </row>
    <row r="844">
      <c r="P844" s="7"/>
    </row>
    <row r="845">
      <c r="P845" s="7"/>
    </row>
    <row r="846">
      <c r="P846" s="7"/>
    </row>
    <row r="847">
      <c r="P847" s="7"/>
    </row>
    <row r="848">
      <c r="P848" s="7"/>
    </row>
    <row r="849">
      <c r="P849" s="7"/>
    </row>
    <row r="850">
      <c r="P850" s="7"/>
    </row>
    <row r="851">
      <c r="P851" s="7"/>
    </row>
    <row r="852">
      <c r="P852" s="7"/>
    </row>
    <row r="853">
      <c r="P853" s="7"/>
    </row>
    <row r="854">
      <c r="P854" s="7"/>
    </row>
    <row r="855">
      <c r="P855" s="7"/>
    </row>
    <row r="856">
      <c r="P856" s="7"/>
    </row>
    <row r="857">
      <c r="P857" s="7"/>
    </row>
    <row r="858">
      <c r="P858" s="7"/>
    </row>
    <row r="859">
      <c r="P859" s="7"/>
    </row>
    <row r="860">
      <c r="P860" s="7"/>
    </row>
    <row r="861">
      <c r="P861" s="7"/>
    </row>
    <row r="862">
      <c r="P862" s="7"/>
    </row>
    <row r="863">
      <c r="P863" s="7"/>
    </row>
    <row r="864">
      <c r="P864" s="7"/>
    </row>
    <row r="865">
      <c r="P865" s="7"/>
    </row>
    <row r="866">
      <c r="P866" s="7"/>
    </row>
    <row r="867">
      <c r="P867" s="7"/>
    </row>
    <row r="868">
      <c r="P868" s="7"/>
    </row>
    <row r="869">
      <c r="P869" s="7"/>
    </row>
    <row r="870">
      <c r="P870" s="7"/>
    </row>
    <row r="871">
      <c r="P871" s="7"/>
    </row>
    <row r="872">
      <c r="P872" s="7"/>
    </row>
    <row r="873">
      <c r="P873" s="7"/>
    </row>
    <row r="874">
      <c r="P874" s="7"/>
    </row>
    <row r="875">
      <c r="P875" s="7"/>
    </row>
    <row r="876">
      <c r="P876" s="7"/>
    </row>
    <row r="877">
      <c r="P877" s="7"/>
    </row>
    <row r="878">
      <c r="P878" s="7"/>
    </row>
    <row r="879">
      <c r="P879" s="7"/>
    </row>
    <row r="880">
      <c r="P880" s="7"/>
    </row>
    <row r="881">
      <c r="P881" s="7"/>
    </row>
    <row r="882">
      <c r="P882" s="7"/>
    </row>
    <row r="883">
      <c r="P883" s="7"/>
    </row>
    <row r="884">
      <c r="P884" s="7"/>
    </row>
    <row r="885">
      <c r="P885" s="7"/>
    </row>
    <row r="886">
      <c r="P886" s="7"/>
    </row>
    <row r="887">
      <c r="P887" s="7"/>
    </row>
    <row r="888">
      <c r="P888" s="7"/>
    </row>
    <row r="889">
      <c r="P889" s="7"/>
    </row>
    <row r="890">
      <c r="P890" s="7"/>
    </row>
    <row r="891">
      <c r="P891" s="7"/>
    </row>
    <row r="892">
      <c r="P892" s="7"/>
    </row>
    <row r="893">
      <c r="P893" s="7"/>
    </row>
    <row r="894">
      <c r="P894" s="7"/>
    </row>
    <row r="895">
      <c r="P895" s="7"/>
    </row>
    <row r="896">
      <c r="P896" s="7"/>
    </row>
    <row r="897">
      <c r="P897" s="7"/>
    </row>
    <row r="898">
      <c r="P898" s="7"/>
    </row>
    <row r="899">
      <c r="P899" s="7"/>
    </row>
    <row r="900">
      <c r="P900" s="7"/>
    </row>
    <row r="901">
      <c r="P901" s="7"/>
    </row>
    <row r="902">
      <c r="P902" s="7"/>
    </row>
    <row r="903">
      <c r="P903" s="7"/>
    </row>
    <row r="904">
      <c r="P904" s="7"/>
    </row>
    <row r="905">
      <c r="P905" s="7"/>
    </row>
    <row r="906">
      <c r="P906" s="7"/>
    </row>
    <row r="907">
      <c r="P907" s="7"/>
    </row>
    <row r="908">
      <c r="P908" s="7"/>
    </row>
    <row r="909">
      <c r="P909" s="7"/>
    </row>
    <row r="910">
      <c r="P910" s="7"/>
    </row>
    <row r="911">
      <c r="P911" s="7"/>
    </row>
    <row r="912">
      <c r="P912" s="7"/>
    </row>
    <row r="913">
      <c r="P913" s="7"/>
    </row>
    <row r="914">
      <c r="P914" s="7"/>
    </row>
    <row r="915">
      <c r="P915" s="7"/>
    </row>
    <row r="916">
      <c r="P916" s="7"/>
    </row>
    <row r="917">
      <c r="P917" s="7"/>
    </row>
    <row r="918">
      <c r="P918" s="7"/>
    </row>
    <row r="919">
      <c r="P919" s="7"/>
    </row>
    <row r="920">
      <c r="P920" s="7"/>
    </row>
    <row r="921">
      <c r="P921" s="7"/>
    </row>
    <row r="922">
      <c r="P922" s="7"/>
    </row>
    <row r="923">
      <c r="P923" s="7"/>
    </row>
    <row r="924">
      <c r="P924" s="7"/>
    </row>
    <row r="925">
      <c r="P925" s="7"/>
    </row>
    <row r="926">
      <c r="P926" s="7"/>
    </row>
    <row r="927">
      <c r="P927" s="7"/>
    </row>
    <row r="928">
      <c r="P928" s="7"/>
    </row>
    <row r="929">
      <c r="P929" s="7"/>
    </row>
    <row r="930">
      <c r="P930" s="7"/>
    </row>
    <row r="931">
      <c r="P931" s="7"/>
    </row>
    <row r="932">
      <c r="P932" s="7"/>
    </row>
    <row r="933">
      <c r="P933" s="7"/>
    </row>
    <row r="934">
      <c r="P934" s="7"/>
    </row>
    <row r="935">
      <c r="P935" s="7"/>
    </row>
    <row r="936">
      <c r="P936" s="7"/>
    </row>
    <row r="937">
      <c r="P937" s="7"/>
    </row>
    <row r="938">
      <c r="P938" s="7"/>
    </row>
    <row r="939">
      <c r="P939" s="7"/>
    </row>
    <row r="940">
      <c r="P940" s="7"/>
    </row>
    <row r="941">
      <c r="P941" s="7"/>
    </row>
    <row r="942">
      <c r="P942" s="7"/>
    </row>
    <row r="943">
      <c r="P943" s="7"/>
    </row>
    <row r="944">
      <c r="P944" s="7"/>
    </row>
    <row r="945">
      <c r="P945" s="7"/>
    </row>
    <row r="946">
      <c r="P946" s="7"/>
    </row>
    <row r="947">
      <c r="P947" s="7"/>
    </row>
    <row r="948">
      <c r="P948" s="7"/>
    </row>
    <row r="949">
      <c r="P949" s="7"/>
    </row>
    <row r="950">
      <c r="P950" s="7"/>
    </row>
    <row r="951">
      <c r="P951" s="7"/>
    </row>
    <row r="952">
      <c r="P952" s="7"/>
    </row>
    <row r="953">
      <c r="P953" s="7"/>
    </row>
    <row r="954">
      <c r="P954" s="7"/>
    </row>
    <row r="955">
      <c r="P955" s="7"/>
    </row>
    <row r="956">
      <c r="P956" s="7"/>
    </row>
    <row r="957">
      <c r="P957" s="7"/>
    </row>
    <row r="958">
      <c r="P958" s="7"/>
    </row>
    <row r="959">
      <c r="P959" s="7"/>
    </row>
    <row r="960">
      <c r="P960" s="7"/>
    </row>
    <row r="961">
      <c r="P961" s="7"/>
    </row>
    <row r="962">
      <c r="P962" s="7"/>
    </row>
    <row r="963">
      <c r="P963" s="7"/>
    </row>
    <row r="964">
      <c r="P964" s="7"/>
    </row>
    <row r="965">
      <c r="P965" s="7"/>
    </row>
    <row r="966">
      <c r="P966" s="7"/>
    </row>
    <row r="967">
      <c r="P967" s="7"/>
    </row>
    <row r="968">
      <c r="P968" s="7"/>
    </row>
    <row r="969">
      <c r="P969" s="7"/>
    </row>
    <row r="970">
      <c r="P970" s="7"/>
    </row>
    <row r="971">
      <c r="P971" s="7"/>
    </row>
    <row r="972">
      <c r="P972" s="7"/>
    </row>
    <row r="973">
      <c r="P973" s="7"/>
    </row>
    <row r="974">
      <c r="P974" s="7"/>
    </row>
    <row r="975">
      <c r="P975" s="7"/>
    </row>
    <row r="976">
      <c r="P976" s="7"/>
    </row>
    <row r="977">
      <c r="P977" s="7"/>
    </row>
    <row r="978">
      <c r="P978" s="7"/>
    </row>
    <row r="979">
      <c r="P979" s="7"/>
    </row>
    <row r="980">
      <c r="P980" s="7"/>
    </row>
    <row r="981">
      <c r="P981" s="7"/>
    </row>
    <row r="982">
      <c r="P982" s="7"/>
    </row>
    <row r="983">
      <c r="P983" s="7"/>
    </row>
    <row r="984">
      <c r="P984" s="7"/>
    </row>
    <row r="985">
      <c r="P985" s="7"/>
    </row>
    <row r="986">
      <c r="P986" s="7"/>
    </row>
    <row r="987">
      <c r="P987" s="7"/>
    </row>
    <row r="988">
      <c r="P988" s="7"/>
    </row>
    <row r="989">
      <c r="P989" s="7"/>
    </row>
    <row r="990">
      <c r="P990" s="7"/>
    </row>
    <row r="991">
      <c r="P991" s="7"/>
    </row>
    <row r="992">
      <c r="P992" s="7"/>
    </row>
    <row r="993">
      <c r="P993" s="7"/>
    </row>
    <row r="994">
      <c r="P994" s="7"/>
    </row>
    <row r="995">
      <c r="P995" s="7"/>
    </row>
    <row r="996">
      <c r="P996" s="7"/>
    </row>
    <row r="997">
      <c r="P997" s="7"/>
    </row>
    <row r="998">
      <c r="P998" s="7"/>
    </row>
    <row r="999">
      <c r="P999" s="7"/>
    </row>
    <row r="1000">
      <c r="P1000" s="7"/>
    </row>
    <row r="1001">
      <c r="P1001" s="7"/>
    </row>
    <row r="1002">
      <c r="P1002" s="7"/>
    </row>
    <row r="1003">
      <c r="P1003" s="7"/>
    </row>
    <row r="1004">
      <c r="P1004" s="7"/>
    </row>
    <row r="1005">
      <c r="P1005" s="7"/>
    </row>
    <row r="1006">
      <c r="P1006" s="7"/>
    </row>
    <row r="1007">
      <c r="P1007" s="7"/>
    </row>
    <row r="1008">
      <c r="P1008" s="7"/>
    </row>
    <row r="1009">
      <c r="P1009" s="7"/>
    </row>
    <row r="1010">
      <c r="P1010" s="7"/>
    </row>
    <row r="1011">
      <c r="P1011" s="7"/>
    </row>
    <row r="1012">
      <c r="P1012" s="7"/>
    </row>
    <row r="1013">
      <c r="P1013" s="7"/>
    </row>
    <row r="1014">
      <c r="P1014" s="7"/>
    </row>
    <row r="1015">
      <c r="P1015" s="7"/>
    </row>
    <row r="1016">
      <c r="P1016" s="7"/>
    </row>
    <row r="1017">
      <c r="P1017" s="7"/>
    </row>
    <row r="1018">
      <c r="P1018" s="7"/>
    </row>
    <row r="1019">
      <c r="P1019" s="7"/>
    </row>
    <row r="1020">
      <c r="P1020" s="7"/>
    </row>
    <row r="1021">
      <c r="P1021" s="7"/>
    </row>
    <row r="1022">
      <c r="P1022" s="7"/>
    </row>
    <row r="1023">
      <c r="P1023" s="7"/>
    </row>
    <row r="1024">
      <c r="P1024" s="7"/>
    </row>
    <row r="1025">
      <c r="P1025" s="7"/>
    </row>
    <row r="1026">
      <c r="P1026" s="7"/>
    </row>
    <row r="1027">
      <c r="P1027" s="7"/>
    </row>
    <row r="1028">
      <c r="P1028" s="7"/>
    </row>
    <row r="1029">
      <c r="P1029" s="7"/>
    </row>
    <row r="1030">
      <c r="P1030" s="7"/>
    </row>
    <row r="1031">
      <c r="P1031" s="7"/>
    </row>
    <row r="1032">
      <c r="P1032" s="7"/>
    </row>
    <row r="1033">
      <c r="P1033" s="7"/>
    </row>
    <row r="1034">
      <c r="P1034" s="7"/>
    </row>
    <row r="1035">
      <c r="P1035" s="7"/>
    </row>
    <row r="1036">
      <c r="P1036" s="7"/>
    </row>
    <row r="1037">
      <c r="P1037" s="7"/>
    </row>
    <row r="1038">
      <c r="P1038" s="7"/>
    </row>
    <row r="1039">
      <c r="P1039" s="7"/>
    </row>
    <row r="1040">
      <c r="P1040" s="7"/>
    </row>
    <row r="1041">
      <c r="P1041" s="7"/>
    </row>
    <row r="1042">
      <c r="P1042" s="7"/>
    </row>
    <row r="1043">
      <c r="P1043" s="7"/>
    </row>
    <row r="1044">
      <c r="P1044" s="7"/>
    </row>
    <row r="1045">
      <c r="P1045" s="7"/>
    </row>
    <row r="1046">
      <c r="P1046" s="7"/>
    </row>
    <row r="1047">
      <c r="P1047" s="7"/>
    </row>
    <row r="1048">
      <c r="P1048" s="7"/>
    </row>
    <row r="1049">
      <c r="P1049" s="7"/>
    </row>
    <row r="1050">
      <c r="P1050" s="7"/>
    </row>
    <row r="1051">
      <c r="P1051" s="7"/>
    </row>
    <row r="1052">
      <c r="P1052" s="7"/>
    </row>
    <row r="1053">
      <c r="P1053" s="7"/>
    </row>
    <row r="1054">
      <c r="P1054" s="7"/>
    </row>
    <row r="1055">
      <c r="P1055" s="7"/>
    </row>
    <row r="1056">
      <c r="P1056" s="7"/>
    </row>
    <row r="1057">
      <c r="P1057" s="7"/>
    </row>
    <row r="1058">
      <c r="P1058" s="7"/>
    </row>
    <row r="1059">
      <c r="P1059" s="7"/>
    </row>
    <row r="1060">
      <c r="P1060" s="7"/>
    </row>
    <row r="1061">
      <c r="P1061" s="7"/>
    </row>
    <row r="1062">
      <c r="P1062" s="7"/>
    </row>
    <row r="1063">
      <c r="P1063" s="7"/>
    </row>
    <row r="1064">
      <c r="P1064" s="7"/>
    </row>
    <row r="1065">
      <c r="P1065" s="7"/>
    </row>
    <row r="1066">
      <c r="P1066" s="7"/>
    </row>
    <row r="1067">
      <c r="P1067" s="7"/>
    </row>
    <row r="1068">
      <c r="P1068" s="7"/>
    </row>
    <row r="1069">
      <c r="P1069" s="7"/>
    </row>
    <row r="1070">
      <c r="P1070" s="7"/>
    </row>
    <row r="1071">
      <c r="P1071" s="7"/>
    </row>
    <row r="1072">
      <c r="P1072" s="7"/>
    </row>
    <row r="1073">
      <c r="P1073" s="7"/>
    </row>
    <row r="1074">
      <c r="P1074" s="7"/>
    </row>
    <row r="1075">
      <c r="P1075" s="7"/>
    </row>
    <row r="1076">
      <c r="P1076" s="7"/>
    </row>
    <row r="1077">
      <c r="P1077" s="7"/>
    </row>
    <row r="1078">
      <c r="P1078" s="7"/>
    </row>
    <row r="1079">
      <c r="P1079" s="7"/>
    </row>
    <row r="1080">
      <c r="P1080" s="7"/>
    </row>
    <row r="1081">
      <c r="P1081" s="7"/>
    </row>
    <row r="1082">
      <c r="P1082" s="7"/>
    </row>
    <row r="1083">
      <c r="P1083" s="7"/>
    </row>
    <row r="1084">
      <c r="P1084" s="7"/>
    </row>
    <row r="1085">
      <c r="P1085" s="7"/>
    </row>
    <row r="1086">
      <c r="P1086" s="7"/>
    </row>
    <row r="1087">
      <c r="P1087" s="7"/>
    </row>
    <row r="1088">
      <c r="P1088" s="7"/>
    </row>
    <row r="1089">
      <c r="P1089" s="7"/>
    </row>
    <row r="1090">
      <c r="P1090" s="7"/>
    </row>
    <row r="1091">
      <c r="P1091" s="7"/>
    </row>
    <row r="1092">
      <c r="P1092" s="7"/>
    </row>
    <row r="1093">
      <c r="P1093" s="7"/>
    </row>
    <row r="1094">
      <c r="P1094" s="7"/>
    </row>
    <row r="1095">
      <c r="P1095" s="7"/>
    </row>
    <row r="1096">
      <c r="P1096" s="7"/>
    </row>
    <row r="1097">
      <c r="P1097" s="7"/>
    </row>
    <row r="1098">
      <c r="P1098" s="7"/>
    </row>
    <row r="1099">
      <c r="P1099" s="7"/>
    </row>
    <row r="1100">
      <c r="P1100" s="7"/>
    </row>
    <row r="1101">
      <c r="P1101" s="7"/>
    </row>
    <row r="1102">
      <c r="P1102" s="7"/>
    </row>
    <row r="1103">
      <c r="P1103" s="7"/>
    </row>
    <row r="1104">
      <c r="P1104" s="7"/>
    </row>
    <row r="1105">
      <c r="P1105" s="7"/>
    </row>
    <row r="1106">
      <c r="P1106" s="7"/>
    </row>
    <row r="1107">
      <c r="P1107" s="7"/>
    </row>
    <row r="1108">
      <c r="P1108" s="7"/>
    </row>
    <row r="1109">
      <c r="P1109" s="7"/>
    </row>
    <row r="1110">
      <c r="P1110" s="7"/>
    </row>
    <row r="1111">
      <c r="P1111" s="7"/>
    </row>
    <row r="1112">
      <c r="P1112" s="7"/>
    </row>
    <row r="1113">
      <c r="P1113" s="7"/>
    </row>
    <row r="1114">
      <c r="P1114" s="7"/>
    </row>
    <row r="1115">
      <c r="P1115" s="7"/>
    </row>
    <row r="1116">
      <c r="P1116" s="7"/>
    </row>
    <row r="1117">
      <c r="P1117" s="7"/>
    </row>
    <row r="1118">
      <c r="P1118" s="7"/>
    </row>
    <row r="1119">
      <c r="P1119" s="7"/>
    </row>
    <row r="1120">
      <c r="P1120" s="7"/>
    </row>
    <row r="1121">
      <c r="P1121" s="7"/>
    </row>
    <row r="1122">
      <c r="P1122" s="7"/>
    </row>
    <row r="1123">
      <c r="P1123" s="7"/>
    </row>
    <row r="1124">
      <c r="P1124" s="7"/>
    </row>
    <row r="1125">
      <c r="P1125" s="7"/>
    </row>
    <row r="1126">
      <c r="P1126" s="7"/>
    </row>
    <row r="1127">
      <c r="P1127" s="7"/>
    </row>
    <row r="1128">
      <c r="P1128" s="7"/>
    </row>
    <row r="1129">
      <c r="P1129" s="7"/>
    </row>
    <row r="1130">
      <c r="P1130" s="7"/>
    </row>
    <row r="1131">
      <c r="P1131" s="7"/>
    </row>
    <row r="1132">
      <c r="P1132" s="7"/>
    </row>
    <row r="1133">
      <c r="P1133" s="7"/>
    </row>
    <row r="1134">
      <c r="P1134" s="7"/>
    </row>
    <row r="1135">
      <c r="P1135" s="7"/>
    </row>
    <row r="1136">
      <c r="P1136" s="7"/>
    </row>
    <row r="1137">
      <c r="P1137" s="7"/>
    </row>
    <row r="1138">
      <c r="P1138" s="7"/>
    </row>
    <row r="1139">
      <c r="P1139" s="7"/>
    </row>
    <row r="1140">
      <c r="P1140" s="7"/>
    </row>
    <row r="1141">
      <c r="P1141" s="7"/>
    </row>
    <row r="1142">
      <c r="P1142" s="7"/>
    </row>
    <row r="1143">
      <c r="P1143" s="7"/>
    </row>
    <row r="1144">
      <c r="P1144" s="7"/>
    </row>
    <row r="1145">
      <c r="P1145" s="7"/>
    </row>
    <row r="1146">
      <c r="P1146" s="7"/>
    </row>
    <row r="1147">
      <c r="P1147" s="7"/>
    </row>
    <row r="1148">
      <c r="P1148" s="7"/>
    </row>
    <row r="1149">
      <c r="P1149" s="7"/>
    </row>
    <row r="1150">
      <c r="P1150" s="7"/>
    </row>
    <row r="1151">
      <c r="P1151" s="7"/>
    </row>
    <row r="1152">
      <c r="P1152" s="7"/>
    </row>
    <row r="1153">
      <c r="P1153" s="7"/>
    </row>
    <row r="1154">
      <c r="P1154" s="7"/>
    </row>
    <row r="1155">
      <c r="P1155" s="7"/>
    </row>
    <row r="1156">
      <c r="P1156" s="7"/>
    </row>
    <row r="1157">
      <c r="P1157" s="7"/>
    </row>
    <row r="1158">
      <c r="P1158" s="7"/>
    </row>
    <row r="1159">
      <c r="P1159" s="7"/>
    </row>
    <row r="1160">
      <c r="P1160" s="7"/>
    </row>
    <row r="1161">
      <c r="P1161" s="7"/>
    </row>
    <row r="1162">
      <c r="P1162" s="7"/>
    </row>
    <row r="1163">
      <c r="P1163" s="7"/>
    </row>
    <row r="1164">
      <c r="P1164" s="7"/>
    </row>
    <row r="1165">
      <c r="P1165" s="7"/>
    </row>
    <row r="1166">
      <c r="P1166" s="7"/>
    </row>
    <row r="1167">
      <c r="P1167" s="7"/>
    </row>
    <row r="1168">
      <c r="P1168" s="7"/>
    </row>
    <row r="1169">
      <c r="P1169" s="7"/>
    </row>
    <row r="1170">
      <c r="P1170" s="7"/>
    </row>
    <row r="1171">
      <c r="P1171" s="7"/>
    </row>
    <row r="1172">
      <c r="P1172" s="7"/>
    </row>
    <row r="1173">
      <c r="P1173" s="7"/>
    </row>
    <row r="1174">
      <c r="P1174" s="7"/>
    </row>
    <row r="1175">
      <c r="P1175" s="7"/>
    </row>
    <row r="1176">
      <c r="P1176" s="7"/>
    </row>
    <row r="1177">
      <c r="P1177" s="7"/>
    </row>
    <row r="1178">
      <c r="P1178" s="7"/>
    </row>
    <row r="1179">
      <c r="P1179" s="7"/>
    </row>
    <row r="1180">
      <c r="P1180" s="7"/>
    </row>
    <row r="1181">
      <c r="P1181" s="7"/>
    </row>
    <row r="1182">
      <c r="P1182" s="7"/>
    </row>
    <row r="1183">
      <c r="P1183" s="7"/>
    </row>
    <row r="1184">
      <c r="P1184" s="7"/>
    </row>
    <row r="1185">
      <c r="P1185" s="7"/>
    </row>
    <row r="1186">
      <c r="P1186" s="7"/>
    </row>
    <row r="1187">
      <c r="P1187" s="7"/>
    </row>
    <row r="1188">
      <c r="P1188" s="7"/>
    </row>
    <row r="1189">
      <c r="P1189" s="7"/>
    </row>
    <row r="1190">
      <c r="P1190" s="7"/>
    </row>
    <row r="1191">
      <c r="P1191" s="7"/>
    </row>
    <row r="1192">
      <c r="P1192" s="7"/>
    </row>
    <row r="1193">
      <c r="P1193" s="7"/>
    </row>
    <row r="1194">
      <c r="P1194" s="7"/>
    </row>
    <row r="1195">
      <c r="P1195" s="7"/>
    </row>
    <row r="1196">
      <c r="P1196" s="7"/>
    </row>
    <row r="1197">
      <c r="P1197" s="7"/>
    </row>
    <row r="1198">
      <c r="P1198" s="7"/>
    </row>
    <row r="1199">
      <c r="P1199" s="7"/>
    </row>
    <row r="1200">
      <c r="P1200" s="7"/>
    </row>
    <row r="1201">
      <c r="P1201" s="7"/>
    </row>
    <row r="1202">
      <c r="P1202" s="7"/>
    </row>
    <row r="1203">
      <c r="P1203" s="7"/>
    </row>
    <row r="1204">
      <c r="P1204" s="7"/>
    </row>
    <row r="1205">
      <c r="P1205" s="7"/>
    </row>
    <row r="1206">
      <c r="P1206" s="7"/>
    </row>
    <row r="1207">
      <c r="P1207" s="7"/>
    </row>
    <row r="1208">
      <c r="P1208" s="7"/>
    </row>
    <row r="1209">
      <c r="P1209" s="7"/>
    </row>
    <row r="1210">
      <c r="P1210" s="7"/>
    </row>
    <row r="1211">
      <c r="P1211" s="7"/>
    </row>
    <row r="1212">
      <c r="P1212" s="7"/>
    </row>
    <row r="1213">
      <c r="P1213" s="7"/>
    </row>
    <row r="1214">
      <c r="P1214" s="7"/>
    </row>
    <row r="1215">
      <c r="P1215" s="7"/>
    </row>
    <row r="1216">
      <c r="P1216" s="7"/>
    </row>
    <row r="1217">
      <c r="P1217" s="7"/>
    </row>
    <row r="1218">
      <c r="P1218" s="7"/>
    </row>
    <row r="1219">
      <c r="P1219" s="7"/>
    </row>
    <row r="1220">
      <c r="P1220" s="7"/>
    </row>
    <row r="1221">
      <c r="P1221" s="7"/>
    </row>
    <row r="1222">
      <c r="P1222" s="7"/>
    </row>
    <row r="1223">
      <c r="P1223" s="7"/>
    </row>
    <row r="1224">
      <c r="P1224" s="7"/>
    </row>
    <row r="1225">
      <c r="P1225" s="7"/>
    </row>
    <row r="1226">
      <c r="P1226" s="7"/>
    </row>
    <row r="1227">
      <c r="P1227" s="7"/>
    </row>
    <row r="1228">
      <c r="P1228" s="7"/>
    </row>
    <row r="1229">
      <c r="P1229" s="7"/>
    </row>
    <row r="1230">
      <c r="P1230" s="7"/>
    </row>
    <row r="1231">
      <c r="P1231" s="7"/>
    </row>
    <row r="1232">
      <c r="P1232" s="7"/>
    </row>
    <row r="1233">
      <c r="P1233" s="7"/>
    </row>
    <row r="1234">
      <c r="P1234" s="7"/>
    </row>
    <row r="1235">
      <c r="P1235" s="7"/>
    </row>
    <row r="1236">
      <c r="P1236" s="7"/>
    </row>
    <row r="1237">
      <c r="P1237" s="7"/>
    </row>
    <row r="1238">
      <c r="P1238" s="7"/>
    </row>
    <row r="1239">
      <c r="P1239" s="7"/>
    </row>
    <row r="1240">
      <c r="P1240" s="7"/>
    </row>
    <row r="1241">
      <c r="P1241" s="7"/>
    </row>
    <row r="1242">
      <c r="P1242" s="7"/>
    </row>
    <row r="1243">
      <c r="P1243" s="7"/>
    </row>
    <row r="1244">
      <c r="P1244" s="7"/>
    </row>
    <row r="1245">
      <c r="P1245" s="7"/>
    </row>
    <row r="1246">
      <c r="P1246" s="7"/>
    </row>
    <row r="1247">
      <c r="P1247" s="7"/>
    </row>
    <row r="1248">
      <c r="P1248" s="7"/>
    </row>
    <row r="1249">
      <c r="P1249" s="7"/>
    </row>
    <row r="1250">
      <c r="P1250" s="7"/>
    </row>
    <row r="1251">
      <c r="P1251" s="7"/>
    </row>
    <row r="1252">
      <c r="P1252" s="7"/>
    </row>
    <row r="1253">
      <c r="P1253" s="7"/>
    </row>
    <row r="1254">
      <c r="P1254" s="7"/>
    </row>
    <row r="1255">
      <c r="P1255" s="7"/>
    </row>
    <row r="1256">
      <c r="P1256" s="7"/>
    </row>
    <row r="1257">
      <c r="P1257" s="7"/>
    </row>
    <row r="1258">
      <c r="P1258" s="7"/>
    </row>
    <row r="1259">
      <c r="P1259" s="7"/>
    </row>
    <row r="1260">
      <c r="P1260" s="7"/>
    </row>
    <row r="1261">
      <c r="P1261" s="7"/>
    </row>
    <row r="1262">
      <c r="P1262" s="7"/>
    </row>
    <row r="1263">
      <c r="P1263" s="7"/>
    </row>
    <row r="1264">
      <c r="P1264" s="7"/>
    </row>
    <row r="1265">
      <c r="P1265" s="7"/>
    </row>
    <row r="1266">
      <c r="P1266" s="7"/>
    </row>
    <row r="1267">
      <c r="P1267" s="7"/>
    </row>
    <row r="1268">
      <c r="P1268" s="7"/>
    </row>
    <row r="1269">
      <c r="P1269" s="7"/>
    </row>
    <row r="1270">
      <c r="P1270" s="7"/>
    </row>
    <row r="1271">
      <c r="P1271" s="7"/>
    </row>
    <row r="1272">
      <c r="P1272" s="7"/>
    </row>
    <row r="1273">
      <c r="P1273" s="7"/>
    </row>
    <row r="1274">
      <c r="P1274" s="7"/>
    </row>
    <row r="1275">
      <c r="P1275" s="7"/>
    </row>
    <row r="1276">
      <c r="P1276" s="7"/>
    </row>
    <row r="1277">
      <c r="P1277" s="7"/>
    </row>
    <row r="1278">
      <c r="P1278" s="7"/>
    </row>
    <row r="1279">
      <c r="P1279" s="7"/>
    </row>
    <row r="1280">
      <c r="P1280" s="7"/>
    </row>
    <row r="1281">
      <c r="P1281" s="7"/>
    </row>
    <row r="1282">
      <c r="P1282" s="7"/>
    </row>
    <row r="1283">
      <c r="P1283" s="7"/>
    </row>
    <row r="1284">
      <c r="P1284" s="7"/>
    </row>
    <row r="1285">
      <c r="P1285" s="7"/>
    </row>
    <row r="1286">
      <c r="P1286" s="7"/>
    </row>
    <row r="1287">
      <c r="P1287" s="7"/>
    </row>
    <row r="1288">
      <c r="P1288" s="7"/>
    </row>
    <row r="1289">
      <c r="P1289" s="7"/>
    </row>
    <row r="1290">
      <c r="P1290" s="7"/>
    </row>
    <row r="1291">
      <c r="P1291" s="7"/>
    </row>
    <row r="1292">
      <c r="P1292" s="7"/>
    </row>
    <row r="1293">
      <c r="P1293" s="7"/>
    </row>
    <row r="1294">
      <c r="P1294" s="7"/>
    </row>
    <row r="1295">
      <c r="P1295" s="7"/>
    </row>
    <row r="1296">
      <c r="P1296" s="7"/>
    </row>
    <row r="1297">
      <c r="P1297" s="7"/>
    </row>
    <row r="1298">
      <c r="P1298" s="7"/>
    </row>
    <row r="1299">
      <c r="P1299" s="7"/>
    </row>
    <row r="1300">
      <c r="P1300" s="7"/>
    </row>
    <row r="1301">
      <c r="P1301" s="7"/>
    </row>
    <row r="1302">
      <c r="P1302" s="7"/>
    </row>
    <row r="1303">
      <c r="P1303" s="7"/>
    </row>
    <row r="1304">
      <c r="P1304" s="7"/>
    </row>
    <row r="1305">
      <c r="P1305" s="7"/>
    </row>
    <row r="1306">
      <c r="P1306" s="7"/>
    </row>
    <row r="1307">
      <c r="P1307" s="7"/>
    </row>
    <row r="1308">
      <c r="P1308" s="7"/>
    </row>
    <row r="1309">
      <c r="P1309" s="7"/>
    </row>
    <row r="1310">
      <c r="P1310" s="7"/>
    </row>
    <row r="1311">
      <c r="P1311" s="7"/>
    </row>
    <row r="1312">
      <c r="P1312" s="7"/>
    </row>
    <row r="1313">
      <c r="P1313" s="7"/>
    </row>
    <row r="1314">
      <c r="P1314" s="7"/>
    </row>
    <row r="1315">
      <c r="P1315" s="7"/>
    </row>
    <row r="1316">
      <c r="P1316" s="7"/>
    </row>
    <row r="1317">
      <c r="P1317" s="7"/>
    </row>
    <row r="1318">
      <c r="P1318" s="7"/>
    </row>
    <row r="1319">
      <c r="P1319" s="7"/>
    </row>
    <row r="1320">
      <c r="P1320" s="7"/>
    </row>
    <row r="1321">
      <c r="P1321" s="7"/>
    </row>
    <row r="1322">
      <c r="P1322" s="7"/>
    </row>
    <row r="1323">
      <c r="P1323" s="7"/>
    </row>
    <row r="1324">
      <c r="P1324" s="7"/>
    </row>
    <row r="1325">
      <c r="P1325" s="7"/>
    </row>
    <row r="1326">
      <c r="P1326" s="7"/>
    </row>
    <row r="1327">
      <c r="P1327" s="7"/>
    </row>
    <row r="1328">
      <c r="P1328" s="7"/>
    </row>
    <row r="1329">
      <c r="P1329" s="7"/>
    </row>
    <row r="1330">
      <c r="P1330" s="7"/>
    </row>
    <row r="1331">
      <c r="P1331" s="7"/>
    </row>
    <row r="1332">
      <c r="P1332" s="7"/>
    </row>
    <row r="1333">
      <c r="P1333" s="7"/>
    </row>
    <row r="1334">
      <c r="P1334" s="7"/>
    </row>
    <row r="1335">
      <c r="P1335" s="7"/>
    </row>
    <row r="1336">
      <c r="P1336" s="7"/>
    </row>
    <row r="1337">
      <c r="P1337" s="7"/>
    </row>
    <row r="1338">
      <c r="P1338" s="7"/>
    </row>
    <row r="1339">
      <c r="P1339" s="7"/>
    </row>
    <row r="1340">
      <c r="P1340" s="7"/>
    </row>
    <row r="1341">
      <c r="P1341" s="7"/>
    </row>
    <row r="1342">
      <c r="P1342" s="7"/>
    </row>
    <row r="1343">
      <c r="P1343" s="7"/>
    </row>
    <row r="1344">
      <c r="P1344" s="7"/>
    </row>
    <row r="1345">
      <c r="P1345" s="7"/>
    </row>
    <row r="1346">
      <c r="P1346" s="7"/>
    </row>
    <row r="1347">
      <c r="P1347" s="7"/>
    </row>
    <row r="1348">
      <c r="P1348" s="7"/>
    </row>
    <row r="1349">
      <c r="P1349" s="7"/>
    </row>
    <row r="1350">
      <c r="P1350" s="7"/>
    </row>
    <row r="1351">
      <c r="P1351" s="7"/>
    </row>
    <row r="1352">
      <c r="P1352" s="7"/>
    </row>
    <row r="1353">
      <c r="P1353" s="7"/>
    </row>
    <row r="1354">
      <c r="P1354" s="7"/>
    </row>
    <row r="1355">
      <c r="P1355" s="7"/>
    </row>
    <row r="1356">
      <c r="P1356" s="7"/>
    </row>
    <row r="1357">
      <c r="P1357" s="7"/>
    </row>
    <row r="1358">
      <c r="P1358" s="7"/>
    </row>
    <row r="1359">
      <c r="P1359" s="7"/>
    </row>
    <row r="1360">
      <c r="P1360" s="7"/>
    </row>
    <row r="1361">
      <c r="P1361" s="7"/>
    </row>
    <row r="1362">
      <c r="P1362" s="7"/>
    </row>
    <row r="1363">
      <c r="P1363" s="7"/>
    </row>
    <row r="1364">
      <c r="P1364" s="7"/>
    </row>
    <row r="1365">
      <c r="P1365" s="7"/>
    </row>
    <row r="1366">
      <c r="P1366" s="7"/>
    </row>
    <row r="1367">
      <c r="P1367" s="7"/>
    </row>
    <row r="1368">
      <c r="P1368" s="7"/>
    </row>
    <row r="1369">
      <c r="P1369" s="7"/>
    </row>
    <row r="1370">
      <c r="P1370" s="7"/>
    </row>
    <row r="1371">
      <c r="P1371" s="7"/>
    </row>
    <row r="1372">
      <c r="P1372" s="7"/>
    </row>
    <row r="1373">
      <c r="P1373" s="7"/>
    </row>
    <row r="1374">
      <c r="P1374" s="7"/>
    </row>
    <row r="1375">
      <c r="P1375" s="7"/>
    </row>
    <row r="1376">
      <c r="P1376" s="7"/>
    </row>
    <row r="1377">
      <c r="P1377" s="7"/>
    </row>
    <row r="1378">
      <c r="P1378" s="7"/>
    </row>
    <row r="1379">
      <c r="P1379" s="7"/>
    </row>
    <row r="1380">
      <c r="P1380" s="7"/>
    </row>
    <row r="1381">
      <c r="P1381" s="7"/>
    </row>
    <row r="1382">
      <c r="P1382" s="7"/>
    </row>
    <row r="1383">
      <c r="P1383" s="7"/>
    </row>
    <row r="1384">
      <c r="P1384" s="7"/>
    </row>
    <row r="1385">
      <c r="P1385" s="7"/>
    </row>
    <row r="1386">
      <c r="P1386" s="7"/>
    </row>
    <row r="1387">
      <c r="P1387" s="7"/>
    </row>
    <row r="1388">
      <c r="P1388" s="7"/>
    </row>
    <row r="1389">
      <c r="P1389" s="7"/>
    </row>
    <row r="1390">
      <c r="P1390" s="7"/>
    </row>
    <row r="1391">
      <c r="P1391" s="7"/>
    </row>
    <row r="1392">
      <c r="P1392" s="7"/>
    </row>
    <row r="1393">
      <c r="P1393" s="7"/>
    </row>
    <row r="1394">
      <c r="P1394" s="7"/>
    </row>
    <row r="1395">
      <c r="P1395" s="7"/>
    </row>
    <row r="1396">
      <c r="P1396" s="7"/>
    </row>
    <row r="1397">
      <c r="P1397" s="7"/>
    </row>
    <row r="1398">
      <c r="P1398" s="7"/>
    </row>
    <row r="1399">
      <c r="P1399" s="7"/>
    </row>
    <row r="1400">
      <c r="P1400" s="7"/>
    </row>
    <row r="1401">
      <c r="P1401" s="7"/>
    </row>
    <row r="1402">
      <c r="P1402" s="7"/>
    </row>
    <row r="1403">
      <c r="P1403" s="7"/>
    </row>
    <row r="1404">
      <c r="P1404" s="7"/>
    </row>
    <row r="1405">
      <c r="P1405" s="7"/>
    </row>
    <row r="1406">
      <c r="P1406" s="7"/>
    </row>
    <row r="1407">
      <c r="P1407" s="7"/>
    </row>
    <row r="1408">
      <c r="P1408" s="7"/>
    </row>
    <row r="1409">
      <c r="P1409" s="7"/>
    </row>
    <row r="1410">
      <c r="P1410" s="7"/>
    </row>
    <row r="1411">
      <c r="P1411" s="7"/>
    </row>
    <row r="1412">
      <c r="P1412" s="7"/>
    </row>
    <row r="1413">
      <c r="P1413" s="7"/>
    </row>
    <row r="1414">
      <c r="P1414" s="7"/>
    </row>
    <row r="1415">
      <c r="P1415" s="7"/>
    </row>
    <row r="1416">
      <c r="P1416" s="7"/>
    </row>
    <row r="1417">
      <c r="P1417" s="7"/>
    </row>
    <row r="1418">
      <c r="P1418" s="7"/>
    </row>
    <row r="1419">
      <c r="P1419" s="7"/>
    </row>
    <row r="1420">
      <c r="P1420" s="7"/>
    </row>
    <row r="1421">
      <c r="P1421" s="7"/>
    </row>
    <row r="1422">
      <c r="P1422" s="7"/>
    </row>
    <row r="1423">
      <c r="P1423" s="7"/>
    </row>
    <row r="1424">
      <c r="P1424" s="7"/>
    </row>
    <row r="1425">
      <c r="P1425" s="7"/>
    </row>
    <row r="1426">
      <c r="P1426" s="7"/>
    </row>
    <row r="1427">
      <c r="P1427" s="7"/>
    </row>
    <row r="1428">
      <c r="P1428" s="7"/>
    </row>
    <row r="1429">
      <c r="P1429" s="7"/>
    </row>
    <row r="1430">
      <c r="P1430" s="7"/>
    </row>
    <row r="1431">
      <c r="P1431" s="7"/>
    </row>
    <row r="1432">
      <c r="P1432" s="7"/>
    </row>
    <row r="1433">
      <c r="P1433" s="7"/>
    </row>
    <row r="1434">
      <c r="P1434" s="7"/>
    </row>
    <row r="1435">
      <c r="P1435" s="7"/>
    </row>
    <row r="1436">
      <c r="P1436" s="7"/>
    </row>
    <row r="1437">
      <c r="P1437" s="7"/>
    </row>
    <row r="1438">
      <c r="P1438" s="7"/>
    </row>
    <row r="1439">
      <c r="P1439" s="7"/>
    </row>
    <row r="1440">
      <c r="P1440" s="7"/>
    </row>
    <row r="1441">
      <c r="P1441" s="7"/>
    </row>
    <row r="1442">
      <c r="P1442" s="7"/>
    </row>
    <row r="1443">
      <c r="P1443" s="7"/>
    </row>
    <row r="1444">
      <c r="P1444" s="7"/>
    </row>
    <row r="1445">
      <c r="P1445" s="7"/>
    </row>
    <row r="1446">
      <c r="P1446" s="7"/>
    </row>
    <row r="1447">
      <c r="P1447" s="7"/>
    </row>
    <row r="1448">
      <c r="P1448" s="7"/>
    </row>
    <row r="1449">
      <c r="P1449" s="7"/>
    </row>
    <row r="1450">
      <c r="P1450" s="7"/>
    </row>
    <row r="1451">
      <c r="P1451" s="7"/>
    </row>
    <row r="1452">
      <c r="P1452" s="7"/>
    </row>
    <row r="1453">
      <c r="P1453" s="7"/>
    </row>
    <row r="1454">
      <c r="P1454" s="7"/>
    </row>
    <row r="1455">
      <c r="P1455" s="7"/>
    </row>
    <row r="1456">
      <c r="P1456" s="7"/>
    </row>
    <row r="1457">
      <c r="P1457" s="7"/>
    </row>
    <row r="1458">
      <c r="P1458" s="7"/>
    </row>
    <row r="1459">
      <c r="P1459" s="7"/>
    </row>
    <row r="1460">
      <c r="P1460" s="7"/>
    </row>
    <row r="1461">
      <c r="P1461" s="7"/>
    </row>
    <row r="1462">
      <c r="P1462" s="7"/>
    </row>
    <row r="1463">
      <c r="P1463" s="7"/>
    </row>
    <row r="1464">
      <c r="P1464" s="7"/>
    </row>
    <row r="1465">
      <c r="P1465" s="7"/>
    </row>
    <row r="1466">
      <c r="P1466" s="7"/>
    </row>
    <row r="1467">
      <c r="P1467" s="7"/>
    </row>
    <row r="1468">
      <c r="P1468" s="7"/>
    </row>
    <row r="1469">
      <c r="P1469" s="7"/>
    </row>
    <row r="1470">
      <c r="P1470" s="7"/>
    </row>
    <row r="1471">
      <c r="P1471" s="7"/>
    </row>
    <row r="1472">
      <c r="P1472" s="7"/>
    </row>
    <row r="1473">
      <c r="P1473" s="7"/>
    </row>
    <row r="1474">
      <c r="P1474" s="7"/>
    </row>
    <row r="1475">
      <c r="P1475" s="7"/>
    </row>
    <row r="1476">
      <c r="P1476" s="7"/>
    </row>
    <row r="1477">
      <c r="P1477" s="7"/>
    </row>
    <row r="1478">
      <c r="P1478" s="7"/>
    </row>
    <row r="1479">
      <c r="P1479" s="7"/>
    </row>
    <row r="1480">
      <c r="P1480" s="7"/>
    </row>
    <row r="1481">
      <c r="P1481" s="7"/>
    </row>
    <row r="1482">
      <c r="P1482" s="7"/>
    </row>
    <row r="1483">
      <c r="P1483" s="7"/>
    </row>
    <row r="1484">
      <c r="P1484" s="7"/>
    </row>
    <row r="1485">
      <c r="P1485" s="7"/>
    </row>
    <row r="1486">
      <c r="P1486" s="7"/>
    </row>
    <row r="1487">
      <c r="P1487" s="7"/>
    </row>
    <row r="1488">
      <c r="P1488" s="7"/>
    </row>
    <row r="1489">
      <c r="P1489" s="7"/>
    </row>
    <row r="1490">
      <c r="P1490" s="7"/>
    </row>
    <row r="1491">
      <c r="P1491" s="7"/>
    </row>
    <row r="1492">
      <c r="P1492" s="7"/>
    </row>
    <row r="1493">
      <c r="P1493" s="7"/>
    </row>
    <row r="1494">
      <c r="P1494" s="7"/>
    </row>
    <row r="1495">
      <c r="P1495" s="7"/>
    </row>
    <row r="1496">
      <c r="P1496" s="7"/>
    </row>
    <row r="1497">
      <c r="P1497" s="7"/>
    </row>
    <row r="1498">
      <c r="P1498" s="7"/>
    </row>
    <row r="1499">
      <c r="P1499" s="7"/>
    </row>
    <row r="1500">
      <c r="P1500" s="7"/>
    </row>
    <row r="1501">
      <c r="P1501" s="7"/>
    </row>
    <row r="1502">
      <c r="P1502" s="7"/>
    </row>
    <row r="1503">
      <c r="P1503" s="7"/>
    </row>
    <row r="1504">
      <c r="P1504" s="7"/>
    </row>
    <row r="1505">
      <c r="P1505" s="7"/>
    </row>
    <row r="1506">
      <c r="P1506" s="7"/>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L12"/>
    <hyperlink r:id="rId13" ref="K13"/>
    <hyperlink r:id="rId14" ref="L13"/>
    <hyperlink r:id="rId15" ref="K14"/>
    <hyperlink r:id="rId16" ref="K15"/>
    <hyperlink r:id="rId17" ref="K16"/>
    <hyperlink r:id="rId18" ref="K17"/>
    <hyperlink r:id="rId19" ref="L17"/>
    <hyperlink r:id="rId20" ref="K18"/>
    <hyperlink r:id="rId21" ref="K19"/>
    <hyperlink r:id="rId22" ref="K20"/>
    <hyperlink r:id="rId23" ref="K21"/>
    <hyperlink r:id="rId24" ref="K22"/>
    <hyperlink r:id="rId25" ref="K23"/>
    <hyperlink r:id="rId26" ref="K24"/>
    <hyperlink r:id="rId27" ref="K25"/>
    <hyperlink r:id="rId28" ref="K26"/>
    <hyperlink r:id="rId29" ref="K27"/>
    <hyperlink r:id="rId30" ref="K28"/>
    <hyperlink r:id="rId31" ref="K29"/>
    <hyperlink r:id="rId32" ref="K30"/>
    <hyperlink r:id="rId33" ref="K31"/>
    <hyperlink r:id="rId34" ref="K32"/>
    <hyperlink r:id="rId35" ref="K33"/>
    <hyperlink r:id="rId36" ref="K34"/>
    <hyperlink r:id="rId37" ref="K35"/>
    <hyperlink r:id="rId38" ref="K36"/>
    <hyperlink r:id="rId39" ref="K37"/>
    <hyperlink r:id="rId40" ref="K38"/>
    <hyperlink r:id="rId41" ref="K39"/>
    <hyperlink r:id="rId42" ref="K40"/>
    <hyperlink r:id="rId43" ref="K41"/>
    <hyperlink r:id="rId44" ref="K42"/>
    <hyperlink r:id="rId45" ref="K43"/>
    <hyperlink r:id="rId46" ref="K44"/>
    <hyperlink r:id="rId47" ref="K46"/>
    <hyperlink r:id="rId48" ref="K47"/>
    <hyperlink r:id="rId49" ref="K48"/>
    <hyperlink r:id="rId50" ref="K49"/>
    <hyperlink r:id="rId51" ref="K51"/>
    <hyperlink r:id="rId52" ref="K52"/>
    <hyperlink r:id="rId53" ref="K53"/>
    <hyperlink r:id="rId54" ref="K54"/>
    <hyperlink r:id="rId55" ref="K55"/>
    <hyperlink r:id="rId56" ref="K56"/>
    <hyperlink r:id="rId57" ref="K57"/>
    <hyperlink r:id="rId58" ref="K58"/>
    <hyperlink r:id="rId59" ref="K59"/>
    <hyperlink r:id="rId60" ref="K60"/>
    <hyperlink r:id="rId61" ref="K63"/>
    <hyperlink r:id="rId62" ref="K64"/>
    <hyperlink r:id="rId63" ref="K65"/>
    <hyperlink r:id="rId64" ref="K66"/>
    <hyperlink r:id="rId65" ref="K67"/>
    <hyperlink r:id="rId66" ref="K68"/>
    <hyperlink r:id="rId67" ref="K69"/>
    <hyperlink r:id="rId68" ref="K70"/>
    <hyperlink r:id="rId69" ref="K76"/>
    <hyperlink r:id="rId70" ref="K77"/>
    <hyperlink r:id="rId71" ref="K78"/>
    <hyperlink r:id="rId72" ref="K79"/>
    <hyperlink r:id="rId73" ref="K80"/>
    <hyperlink r:id="rId74" ref="K81"/>
    <hyperlink r:id="rId75" ref="K82"/>
    <hyperlink r:id="rId76" ref="K83"/>
    <hyperlink r:id="rId77" ref="K84"/>
    <hyperlink r:id="rId78" ref="K85"/>
    <hyperlink r:id="rId79" ref="K86"/>
    <hyperlink r:id="rId80" ref="K87"/>
    <hyperlink r:id="rId81" ref="L87"/>
    <hyperlink r:id="rId82" ref="K88"/>
    <hyperlink r:id="rId83" ref="L88"/>
    <hyperlink r:id="rId84" ref="K89"/>
    <hyperlink r:id="rId85" ref="L89"/>
    <hyperlink r:id="rId86" ref="K90"/>
    <hyperlink r:id="rId87" ref="K91"/>
    <hyperlink r:id="rId88" ref="K92"/>
    <hyperlink r:id="rId89" ref="K93"/>
    <hyperlink r:id="rId90" ref="K95"/>
    <hyperlink r:id="rId91" ref="K96"/>
    <hyperlink r:id="rId92" ref="K97"/>
    <hyperlink r:id="rId93" ref="K98"/>
    <hyperlink r:id="rId94" ref="K99"/>
    <hyperlink r:id="rId95" ref="K100"/>
    <hyperlink r:id="rId96" ref="K101"/>
    <hyperlink r:id="rId97" ref="K106"/>
    <hyperlink r:id="rId98" ref="K107"/>
    <hyperlink r:id="rId99" ref="K108"/>
    <hyperlink r:id="rId100" ref="K109"/>
    <hyperlink r:id="rId101" ref="K110"/>
    <hyperlink r:id="rId102" ref="K111"/>
    <hyperlink r:id="rId103" ref="K112"/>
    <hyperlink r:id="rId104" ref="K113"/>
    <hyperlink r:id="rId105" ref="L113"/>
    <hyperlink r:id="rId106" ref="K114"/>
    <hyperlink r:id="rId107" ref="K115"/>
    <hyperlink r:id="rId108" ref="K116"/>
    <hyperlink r:id="rId109" ref="L117"/>
    <hyperlink r:id="rId110" ref="K119"/>
    <hyperlink r:id="rId111" ref="K120"/>
    <hyperlink r:id="rId112" ref="K121"/>
    <hyperlink r:id="rId113" ref="K122"/>
    <hyperlink r:id="rId114" ref="K123"/>
    <hyperlink r:id="rId115" ref="L123"/>
    <hyperlink r:id="rId116" ref="K125"/>
    <hyperlink r:id="rId117" ref="K126"/>
    <hyperlink r:id="rId118" ref="K127"/>
    <hyperlink r:id="rId119" ref="K128"/>
    <hyperlink r:id="rId120" ref="K129"/>
    <hyperlink r:id="rId121" ref="K130"/>
    <hyperlink r:id="rId122" ref="K131"/>
    <hyperlink r:id="rId123" ref="K132"/>
    <hyperlink r:id="rId124" ref="K134"/>
    <hyperlink r:id="rId125" ref="L135"/>
    <hyperlink r:id="rId126" ref="K136"/>
    <hyperlink r:id="rId127" ref="K139"/>
    <hyperlink r:id="rId128" ref="K140"/>
    <hyperlink r:id="rId129" ref="K141"/>
    <hyperlink r:id="rId130" ref="K142"/>
    <hyperlink r:id="rId131" ref="K143"/>
    <hyperlink r:id="rId132" ref="K144"/>
    <hyperlink r:id="rId133" ref="K145"/>
    <hyperlink r:id="rId134" ref="K146"/>
    <hyperlink r:id="rId135" ref="K147"/>
    <hyperlink r:id="rId136" ref="K148"/>
    <hyperlink r:id="rId137" ref="K149"/>
    <hyperlink r:id="rId138" ref="K150"/>
    <hyperlink r:id="rId139" ref="K151"/>
    <hyperlink r:id="rId140" ref="K152"/>
    <hyperlink r:id="rId141" ref="K153"/>
    <hyperlink r:id="rId142" ref="K154"/>
    <hyperlink r:id="rId143" ref="K155"/>
    <hyperlink r:id="rId144" ref="K157"/>
    <hyperlink r:id="rId145" ref="K163"/>
    <hyperlink r:id="rId146" ref="K164"/>
    <hyperlink r:id="rId147" ref="K165"/>
    <hyperlink r:id="rId148" ref="K166"/>
    <hyperlink r:id="rId149" ref="K167"/>
    <hyperlink r:id="rId150" ref="K168"/>
    <hyperlink r:id="rId151" ref="K169"/>
    <hyperlink r:id="rId152" ref="K170"/>
    <hyperlink r:id="rId153" ref="K171"/>
    <hyperlink r:id="rId154" ref="K172"/>
    <hyperlink r:id="rId155" ref="K173"/>
    <hyperlink r:id="rId156" ref="K174"/>
    <hyperlink r:id="rId157" ref="K175"/>
    <hyperlink r:id="rId158" ref="K176"/>
    <hyperlink r:id="rId159" ref="K177"/>
    <hyperlink r:id="rId160" ref="K180"/>
    <hyperlink r:id="rId161" ref="K182"/>
    <hyperlink r:id="rId162" ref="K185"/>
    <hyperlink r:id="rId163" ref="K186"/>
    <hyperlink r:id="rId164" ref="K187"/>
    <hyperlink r:id="rId165" ref="K188"/>
    <hyperlink r:id="rId166" ref="K189"/>
    <hyperlink r:id="rId167" ref="K190"/>
    <hyperlink r:id="rId168" ref="K191"/>
    <hyperlink r:id="rId169" ref="K192"/>
    <hyperlink r:id="rId170" ref="K193"/>
    <hyperlink r:id="rId171" ref="K194"/>
    <hyperlink r:id="rId172" ref="K195"/>
    <hyperlink r:id="rId173" ref="K196"/>
    <hyperlink r:id="rId174" ref="K197"/>
    <hyperlink r:id="rId175" ref="K198"/>
    <hyperlink r:id="rId176" ref="K199"/>
    <hyperlink r:id="rId177" ref="K200"/>
    <hyperlink r:id="rId178" ref="K201"/>
    <hyperlink r:id="rId179" ref="K202"/>
    <hyperlink r:id="rId180" ref="K203"/>
    <hyperlink r:id="rId181" ref="K204"/>
    <hyperlink r:id="rId182" ref="K207"/>
    <hyperlink r:id="rId183" ref="K208"/>
    <hyperlink r:id="rId184" ref="K216"/>
    <hyperlink r:id="rId185" ref="K217"/>
    <hyperlink r:id="rId186" ref="K218"/>
    <hyperlink r:id="rId187" ref="K219"/>
    <hyperlink r:id="rId188" ref="K220"/>
    <hyperlink r:id="rId189" ref="K221"/>
    <hyperlink r:id="rId190" ref="K222"/>
    <hyperlink r:id="rId191" ref="K223"/>
    <hyperlink r:id="rId192" ref="K224"/>
    <hyperlink r:id="rId193" ref="K225"/>
    <hyperlink r:id="rId194" ref="K226"/>
    <hyperlink r:id="rId195" ref="K227"/>
    <hyperlink r:id="rId196" ref="K228"/>
    <hyperlink r:id="rId197" ref="K229"/>
    <hyperlink r:id="rId198" ref="K230"/>
    <hyperlink r:id="rId199" ref="K231"/>
    <hyperlink r:id="rId200" ref="K232"/>
    <hyperlink r:id="rId201" ref="K233"/>
    <hyperlink r:id="rId202" ref="K234"/>
    <hyperlink r:id="rId203" ref="K235"/>
    <hyperlink r:id="rId204" ref="K236"/>
    <hyperlink r:id="rId205" ref="K237"/>
    <hyperlink r:id="rId206" ref="K238"/>
    <hyperlink r:id="rId207" ref="K239"/>
    <hyperlink r:id="rId208" ref="K240"/>
    <hyperlink r:id="rId209" ref="K241"/>
    <hyperlink r:id="rId210" ref="K242"/>
    <hyperlink r:id="rId211" ref="K243"/>
    <hyperlink r:id="rId212" ref="K244"/>
    <hyperlink r:id="rId213" ref="K245"/>
    <hyperlink r:id="rId214" ref="K246"/>
    <hyperlink r:id="rId215" ref="K247"/>
    <hyperlink r:id="rId216" ref="K248"/>
    <hyperlink r:id="rId217" ref="K249"/>
    <hyperlink r:id="rId218" ref="K250"/>
    <hyperlink r:id="rId219" ref="K251"/>
    <hyperlink r:id="rId220" ref="K252"/>
    <hyperlink r:id="rId221" ref="K253"/>
    <hyperlink r:id="rId222" ref="K254"/>
    <hyperlink r:id="rId223" ref="K255"/>
    <hyperlink r:id="rId224" ref="K256"/>
    <hyperlink r:id="rId225" ref="K257"/>
    <hyperlink r:id="rId226" ref="K258"/>
    <hyperlink r:id="rId227" ref="K259"/>
    <hyperlink r:id="rId228" ref="K260"/>
    <hyperlink r:id="rId229" ref="K261"/>
    <hyperlink r:id="rId230" ref="K262"/>
    <hyperlink r:id="rId231" ref="K263"/>
    <hyperlink r:id="rId232" ref="K264"/>
    <hyperlink r:id="rId233" ref="K265"/>
    <hyperlink r:id="rId234" ref="K266"/>
    <hyperlink r:id="rId235" ref="K267"/>
    <hyperlink r:id="rId236" ref="K268"/>
    <hyperlink r:id="rId237" ref="K270"/>
    <hyperlink r:id="rId238" ref="K271"/>
    <hyperlink r:id="rId239" ref="K272"/>
    <hyperlink r:id="rId240" ref="K273"/>
    <hyperlink r:id="rId241" ref="K274"/>
    <hyperlink r:id="rId242" ref="K275"/>
    <hyperlink r:id="rId243" ref="K276"/>
    <hyperlink r:id="rId244" ref="K277"/>
    <hyperlink r:id="rId245" ref="K278"/>
    <hyperlink r:id="rId246" ref="K279"/>
    <hyperlink r:id="rId247" ref="K280"/>
    <hyperlink r:id="rId248" ref="K281"/>
    <hyperlink r:id="rId249" ref="K282"/>
    <hyperlink r:id="rId250" ref="K283"/>
    <hyperlink r:id="rId251" ref="K284"/>
    <hyperlink r:id="rId252" ref="K285"/>
    <hyperlink r:id="rId253" ref="K286"/>
    <hyperlink r:id="rId254" ref="K287"/>
    <hyperlink r:id="rId255" ref="K288"/>
    <hyperlink r:id="rId256" ref="K289"/>
    <hyperlink r:id="rId257" ref="K290"/>
    <hyperlink r:id="rId258" ref="K291"/>
    <hyperlink r:id="rId259" ref="K292"/>
    <hyperlink r:id="rId260" ref="K293"/>
    <hyperlink r:id="rId261" ref="K294"/>
    <hyperlink r:id="rId262" ref="K301"/>
    <hyperlink r:id="rId263" ref="K307"/>
    <hyperlink r:id="rId264" ref="K308"/>
    <hyperlink r:id="rId265" ref="K309"/>
    <hyperlink r:id="rId266" ref="K310"/>
    <hyperlink r:id="rId267" ref="K311"/>
    <hyperlink r:id="rId268" ref="K312"/>
    <hyperlink r:id="rId269" ref="K317"/>
    <hyperlink r:id="rId270" ref="L317"/>
    <hyperlink r:id="rId271" ref="K318"/>
    <hyperlink r:id="rId272" ref="K319"/>
    <hyperlink r:id="rId273" ref="K320"/>
    <hyperlink r:id="rId274" ref="K321"/>
    <hyperlink r:id="rId275" ref="K322"/>
    <hyperlink r:id="rId276" ref="K323"/>
    <hyperlink r:id="rId277" ref="K324"/>
    <hyperlink r:id="rId278" ref="K325"/>
    <hyperlink r:id="rId279" ref="L325"/>
    <hyperlink r:id="rId280" ref="K326"/>
    <hyperlink r:id="rId281" ref="L326"/>
    <hyperlink r:id="rId282" ref="K327"/>
    <hyperlink r:id="rId283" ref="K328"/>
    <hyperlink r:id="rId284" ref="K330"/>
    <hyperlink r:id="rId285" ref="L330"/>
    <hyperlink r:id="rId286" ref="K331"/>
    <hyperlink r:id="rId287" ref="K332"/>
    <hyperlink r:id="rId288" ref="K333"/>
    <hyperlink r:id="rId289" ref="K334"/>
    <hyperlink r:id="rId290" ref="K336"/>
    <hyperlink r:id="rId291" ref="K337"/>
    <hyperlink r:id="rId292" ref="K339"/>
    <hyperlink r:id="rId293" ref="K340"/>
    <hyperlink r:id="rId294" ref="K341"/>
    <hyperlink r:id="rId295" ref="K344"/>
    <hyperlink r:id="rId296" ref="K345"/>
    <hyperlink r:id="rId297" ref="K346"/>
    <hyperlink r:id="rId298" ref="K347"/>
    <hyperlink r:id="rId299" ref="K348"/>
    <hyperlink r:id="rId300" ref="K349"/>
    <hyperlink r:id="rId301" ref="K350"/>
    <hyperlink r:id="rId302" ref="K351"/>
    <hyperlink r:id="rId303" ref="K352"/>
    <hyperlink r:id="rId304" ref="K353"/>
    <hyperlink r:id="rId305" ref="K354"/>
    <hyperlink r:id="rId306" ref="K355"/>
    <hyperlink r:id="rId307" ref="K356"/>
    <hyperlink r:id="rId308" ref="K357"/>
    <hyperlink r:id="rId309" ref="K359"/>
    <hyperlink r:id="rId310" ref="K360"/>
    <hyperlink r:id="rId311" ref="K362"/>
    <hyperlink r:id="rId312" ref="K363"/>
    <hyperlink r:id="rId313" ref="K364"/>
    <hyperlink r:id="rId314" ref="K365"/>
    <hyperlink r:id="rId315" ref="K366"/>
    <hyperlink r:id="rId316" ref="K367"/>
    <hyperlink r:id="rId317" ref="K368"/>
    <hyperlink r:id="rId318" ref="K369"/>
    <hyperlink r:id="rId319" ref="K370"/>
    <hyperlink r:id="rId320" ref="K373"/>
    <hyperlink r:id="rId321" ref="K374"/>
    <hyperlink r:id="rId322" ref="K375"/>
    <hyperlink r:id="rId323" ref="K376"/>
    <hyperlink r:id="rId324" ref="K377"/>
    <hyperlink r:id="rId325" location="vhid=rKAph7mQY51eKM&amp;vssid=mosaic" ref="K378"/>
    <hyperlink r:id="rId326" ref="K379"/>
    <hyperlink r:id="rId327" ref="K380"/>
    <hyperlink r:id="rId328" ref="K381"/>
    <hyperlink r:id="rId329" ref="K382"/>
    <hyperlink r:id="rId330" ref="K383"/>
    <hyperlink r:id="rId331" ref="K385"/>
    <hyperlink r:id="rId332" ref="K389"/>
    <hyperlink r:id="rId333" ref="K390"/>
    <hyperlink r:id="rId334" ref="K392"/>
    <hyperlink r:id="rId335" ref="K393"/>
    <hyperlink r:id="rId336" ref="K394"/>
    <hyperlink r:id="rId337" ref="K395"/>
    <hyperlink r:id="rId338" ref="K396"/>
    <hyperlink r:id="rId339" ref="K397"/>
    <hyperlink r:id="rId340" ref="K398"/>
    <hyperlink r:id="rId341" ref="K400"/>
    <hyperlink r:id="rId342" ref="L400"/>
    <hyperlink r:id="rId343" ref="K402"/>
    <hyperlink r:id="rId344" ref="K403"/>
    <hyperlink r:id="rId345" ref="K404"/>
    <hyperlink r:id="rId346" ref="K405"/>
    <hyperlink r:id="rId347" ref="K406"/>
    <hyperlink r:id="rId348" ref="K409"/>
    <hyperlink r:id="rId349" ref="K410"/>
    <hyperlink r:id="rId350" ref="K411"/>
    <hyperlink r:id="rId351" ref="K412"/>
    <hyperlink r:id="rId352" ref="K413"/>
    <hyperlink r:id="rId353" ref="K414"/>
    <hyperlink r:id="rId354" ref="K415"/>
    <hyperlink r:id="rId355" ref="K416"/>
    <hyperlink r:id="rId356" ref="K417"/>
    <hyperlink r:id="rId357" ref="K418"/>
    <hyperlink r:id="rId358" ref="K419"/>
    <hyperlink r:id="rId359" ref="K420"/>
    <hyperlink r:id="rId360" ref="K421"/>
    <hyperlink r:id="rId361" ref="K422"/>
    <hyperlink r:id="rId362" ref="K423"/>
    <hyperlink r:id="rId363" ref="K424"/>
    <hyperlink r:id="rId364" ref="K425"/>
    <hyperlink r:id="rId365" ref="K427"/>
    <hyperlink r:id="rId366" ref="K430"/>
    <hyperlink r:id="rId367" ref="K431"/>
    <hyperlink r:id="rId368" ref="K432"/>
    <hyperlink r:id="rId369" ref="K433"/>
    <hyperlink r:id="rId370" ref="K434"/>
    <hyperlink r:id="rId371" ref="K435"/>
    <hyperlink r:id="rId372" ref="K436"/>
    <hyperlink r:id="rId373" ref="K437"/>
    <hyperlink r:id="rId374" ref="K438"/>
    <hyperlink r:id="rId375" ref="K439"/>
    <hyperlink r:id="rId376" ref="K441"/>
    <hyperlink r:id="rId377" ref="K442"/>
    <hyperlink r:id="rId378" ref="K443"/>
    <hyperlink r:id="rId379" ref="K444"/>
    <hyperlink r:id="rId380" ref="K446"/>
    <hyperlink r:id="rId381" ref="K447"/>
    <hyperlink r:id="rId382" ref="K464"/>
    <hyperlink r:id="rId383" ref="K471"/>
    <hyperlink r:id="rId384" ref="K472"/>
    <hyperlink r:id="rId385" ref="K473"/>
    <hyperlink r:id="rId386" ref="K474"/>
    <hyperlink r:id="rId387" ref="L474"/>
    <hyperlink r:id="rId388" ref="K475"/>
    <hyperlink r:id="rId389" ref="K476"/>
    <hyperlink r:id="rId390" ref="K477"/>
    <hyperlink r:id="rId391" ref="K478"/>
    <hyperlink r:id="rId392" ref="K479"/>
    <hyperlink r:id="rId393" ref="K480"/>
    <hyperlink r:id="rId394" ref="K481"/>
    <hyperlink r:id="rId395" ref="K482"/>
    <hyperlink r:id="rId396" ref="K483"/>
    <hyperlink r:id="rId397" ref="K485"/>
    <hyperlink r:id="rId398" ref="K487"/>
    <hyperlink r:id="rId399" ref="K488"/>
    <hyperlink r:id="rId400" ref="K489"/>
    <hyperlink r:id="rId401" ref="K490"/>
    <hyperlink r:id="rId402" ref="K491"/>
    <hyperlink r:id="rId403" ref="K492"/>
    <hyperlink r:id="rId404" ref="K493"/>
    <hyperlink r:id="rId405" ref="K494"/>
    <hyperlink r:id="rId406" ref="K495"/>
    <hyperlink r:id="rId407" ref="K496"/>
    <hyperlink r:id="rId408" ref="L496"/>
    <hyperlink r:id="rId409" ref="K497"/>
    <hyperlink r:id="rId410" ref="K498"/>
    <hyperlink r:id="rId411" ref="K499"/>
    <hyperlink r:id="rId412" ref="K500"/>
    <hyperlink r:id="rId413" ref="K501"/>
    <hyperlink r:id="rId414" ref="K502"/>
    <hyperlink r:id="rId415" ref="K503"/>
    <hyperlink r:id="rId416" ref="K505"/>
    <hyperlink r:id="rId417" ref="K506"/>
    <hyperlink r:id="rId418" ref="K507"/>
    <hyperlink r:id="rId419" ref="K508"/>
    <hyperlink r:id="rId420" ref="K510"/>
    <hyperlink r:id="rId421" ref="K511"/>
    <hyperlink r:id="rId422" ref="K512"/>
    <hyperlink r:id="rId423" ref="K513"/>
    <hyperlink r:id="rId424" ref="K515"/>
    <hyperlink r:id="rId425" ref="K516"/>
    <hyperlink r:id="rId426" ref="K517"/>
    <hyperlink r:id="rId427" ref="K518"/>
    <hyperlink r:id="rId428" ref="K519"/>
    <hyperlink r:id="rId429" ref="K520"/>
    <hyperlink r:id="rId430" ref="K521"/>
    <hyperlink r:id="rId431" ref="K522"/>
    <hyperlink r:id="rId432" ref="K523"/>
    <hyperlink r:id="rId433" ref="K524"/>
    <hyperlink r:id="rId434" ref="K525"/>
    <hyperlink r:id="rId435" ref="K526"/>
    <hyperlink r:id="rId436" ref="K527"/>
    <hyperlink r:id="rId437" ref="K528"/>
    <hyperlink r:id="rId438" ref="K530"/>
    <hyperlink r:id="rId439" ref="K531"/>
    <hyperlink r:id="rId440" ref="K534"/>
    <hyperlink r:id="rId441" ref="K536"/>
    <hyperlink r:id="rId442" ref="K537"/>
    <hyperlink r:id="rId443" ref="K538"/>
    <hyperlink r:id="rId444" ref="K539"/>
    <hyperlink r:id="rId445" ref="K540"/>
    <hyperlink r:id="rId446" ref="K541"/>
    <hyperlink r:id="rId447" ref="K542"/>
    <hyperlink r:id="rId448" ref="K543"/>
    <hyperlink r:id="rId449" ref="K544"/>
    <hyperlink r:id="rId450" ref="K545"/>
    <hyperlink r:id="rId451" ref="K546"/>
    <hyperlink r:id="rId452" ref="K547"/>
    <hyperlink r:id="rId453" ref="K548"/>
    <hyperlink r:id="rId454" ref="K549"/>
    <hyperlink r:id="rId455" ref="K550"/>
    <hyperlink r:id="rId456" ref="K551"/>
    <hyperlink r:id="rId457" ref="K552"/>
    <hyperlink r:id="rId458" ref="K553"/>
    <hyperlink r:id="rId459" ref="K554"/>
    <hyperlink r:id="rId460" ref="K556"/>
    <hyperlink r:id="rId461" ref="K557"/>
    <hyperlink r:id="rId462" ref="K558"/>
    <hyperlink r:id="rId463" ref="K559"/>
    <hyperlink r:id="rId464" ref="K560"/>
    <hyperlink r:id="rId465" ref="K561"/>
    <hyperlink r:id="rId466" ref="K562"/>
    <hyperlink r:id="rId467" ref="K565"/>
    <hyperlink r:id="rId468" ref="K566"/>
    <hyperlink r:id="rId469" ref="K567"/>
    <hyperlink r:id="rId470" ref="K568"/>
    <hyperlink r:id="rId471" ref="K569"/>
    <hyperlink r:id="rId472" ref="K570"/>
    <hyperlink r:id="rId473" ref="K571"/>
    <hyperlink r:id="rId474" ref="K587"/>
    <hyperlink r:id="rId475" ref="K588"/>
    <hyperlink r:id="rId476" ref="K589"/>
    <hyperlink r:id="rId477" ref="K590"/>
    <hyperlink r:id="rId478" ref="K591"/>
    <hyperlink r:id="rId479" ref="K592"/>
    <hyperlink r:id="rId480" ref="K593"/>
    <hyperlink r:id="rId481" ref="K594"/>
    <hyperlink r:id="rId482" ref="K595"/>
    <hyperlink r:id="rId483" ref="K596"/>
    <hyperlink r:id="rId484" ref="K597"/>
    <hyperlink r:id="rId485" ref="K598"/>
    <hyperlink r:id="rId486" ref="K599"/>
    <hyperlink r:id="rId487" ref="K600"/>
    <hyperlink r:id="rId488" ref="K601"/>
    <hyperlink r:id="rId489" ref="K602"/>
    <hyperlink r:id="rId490" ref="K603"/>
    <hyperlink r:id="rId491" ref="K605"/>
    <hyperlink r:id="rId492" ref="K606"/>
    <hyperlink r:id="rId493" ref="K607"/>
    <hyperlink r:id="rId494" ref="K608"/>
    <hyperlink r:id="rId495" ref="K609"/>
    <hyperlink r:id="rId496" ref="K610"/>
    <hyperlink r:id="rId497" ref="K611"/>
    <hyperlink r:id="rId498" ref="K612"/>
    <hyperlink r:id="rId499" ref="K613"/>
    <hyperlink r:id="rId500" ref="K614"/>
    <hyperlink r:id="rId501" ref="K615"/>
    <hyperlink r:id="rId502" ref="K616"/>
    <hyperlink r:id="rId503" ref="K617"/>
    <hyperlink r:id="rId504" ref="K618"/>
    <hyperlink r:id="rId505" ref="K620"/>
    <hyperlink r:id="rId506" ref="K621"/>
    <hyperlink r:id="rId507" ref="K622"/>
    <hyperlink r:id="rId508" ref="K623"/>
    <hyperlink r:id="rId509" ref="K624"/>
    <hyperlink r:id="rId510" ref="K625"/>
    <hyperlink r:id="rId511" ref="K626"/>
    <hyperlink r:id="rId512" ref="K627"/>
    <hyperlink r:id="rId513" ref="K631"/>
    <hyperlink r:id="rId514" ref="K632"/>
    <hyperlink r:id="rId515" ref="K633"/>
    <hyperlink r:id="rId516" ref="K634"/>
    <hyperlink r:id="rId517" ref="K635"/>
    <hyperlink r:id="rId518" ref="K636"/>
    <hyperlink r:id="rId519" ref="K638"/>
    <hyperlink r:id="rId520" ref="K639"/>
    <hyperlink r:id="rId521" ref="K640"/>
    <hyperlink r:id="rId522" ref="K641"/>
    <hyperlink r:id="rId523" ref="K642"/>
  </hyperlinks>
  <drawing r:id="rId52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17</v>
      </c>
      <c r="B1" s="6" t="s">
        <v>18</v>
      </c>
      <c r="C1" s="6" t="s">
        <v>19</v>
      </c>
      <c r="D1" s="6" t="s">
        <v>4</v>
      </c>
      <c r="E1" s="6" t="s">
        <v>20</v>
      </c>
      <c r="F1" s="6" t="s">
        <v>21</v>
      </c>
      <c r="G1" s="6" t="s">
        <v>6</v>
      </c>
      <c r="H1" s="6" t="s">
        <v>7</v>
      </c>
      <c r="I1" s="6" t="str">
        <f>IFERROR(__xludf.DUMMYFUNCTION("ArrayFormula(IF(LEN(H:H),if(ROW(H:H)=1,""Status BQ"",if(isna(vlookup(A:A,importrange(""12RH_Y861MPkQruhOF4E_cpprpbUSwY3AnrI0zPCJREI"",""Sheet1!L:R""),2,0)),""-"",vlookup(A:A,importrange(""12RH_Y861MPkQruhOF4E_cpprpbUSwY3AnrI0zPCJREI"",""Sheet1!L:R""),2,0)"&amp;")),))"),"Status BQ")</f>
        <v>Status BQ</v>
      </c>
      <c r="J1" s="6" t="str">
        <f>IFERROR(__xludf.DUMMYFUNCTION("ArrayFormula(IF(LEN(H:H),if(ROW(H:H)=1,""No PR"",if(isna(vlookup(A:A,importrange(""12RH_Y861MPkQruhOF4E_cpprpbUSwY3AnrI0zPCJREI"",""Sheet1!L:P""),5,0)),""-"",vlookup(A:A,importrange(""12RH_Y861MPkQruhOF4E_cpprpbUSwY3AnrI0zPCJREI"",""Sheet1!L:P""),5,0))),)"&amp;")"),"No PR")</f>
        <v>No PR</v>
      </c>
      <c r="K1" s="6" t="str">
        <f>IFERROR(__xludf.DUMMYFUNCTION("ArrayFormula(IF(LEN(H:H),if(ROW(H:H)=1,""No PO"",if(isna(vlookup(A:A,importrange(""12RH_Y861MPkQruhOF4E_cpprpbUSwY3AnrI0zPCJREI"",""Sheet1!L:Q""),6,0)),""-"",vlookup(A:A,importrange(""12RH_Y861MPkQruhOF4E_cpprpbUSwY3AnrI0zPCJREI"",""Sheet1!L:Q""),6,0))),)"&amp;")"),"No PO")</f>
        <v>No PO</v>
      </c>
    </row>
    <row r="2">
      <c r="A2" s="3" t="str">
        <f>IFERROR(__xludf.DUMMYFUNCTION("if(isna(query({'Filter BR Approve SPV Normal'!B2:B1000;'Filter BR Approve MGR Urgent'!B2:B1000},""SELECT * WHERE Col1 IS NOT NULL"")),"""",query({'Filter BR Approve SPV Normal'!B2:B1000;'Filter BR Approve MGR Urgent'!B2:B1000},""SELECT * WHERE Col1 IS NOT"&amp;" NULL""))"),"SFHBR0002")</f>
        <v>SFHBR0002</v>
      </c>
      <c r="B2" s="4">
        <f>IFERROR(__xludf.DUMMYFUNCTION("if(isna(query({'Filter BR Approve SPV Normal'!A2:A1000;'Filter BR Approve MGR Urgent'!A2:A1000},""SELECT * WHERE Col1 IS NOT NULL"")),"""",query({'Filter BR Approve SPV Normal'!A2:A1000;'Filter BR Approve MGR Urgent'!A2:A1000},""SELECT * WHERE Col1 IS NOT"&amp;" NULL""))"),45678.5874640162)</f>
        <v>45678.58746</v>
      </c>
      <c r="C2" s="4">
        <f>IFERROR(__xludf.DUMMYFUNCTION("if(isna(query({'Filter BR Approve SPV Normal'!P2:P1000;'Filter BR Approve MGR Urgent'!P2:P1000},""SELECT * WHERE Col1 IS NOT NULL"")),"""",query({'Filter BR Approve SPV Normal'!P2:P1000;'Filter BR Approve MGR Urgent'!P2:P1000},""SELECT * WHERE Col1 IS NOT"&amp;" NULL""))"),45679.3986758449)</f>
        <v>45679.39868</v>
      </c>
      <c r="D2" s="3" t="str">
        <f>IFERROR(__xludf.DUMMYFUNCTION("if(isna(query({'Filter BR Approve SPV Normal'!E2:E1000;'Filter BR Approve MGR Urgent'!E2:E1000},""SELECT * WHERE Col1 IS NOT NULL"")),"""",query({'Filter BR Approve SPV Normal'!E2:E1000;'Filter BR Approve MGR Urgent'!E2:E1000},""SELECT * WHERE Col1 IS NOT"&amp;" NULL""))"),"lantai 2")</f>
        <v>lantai 2</v>
      </c>
      <c r="E2" s="3" t="str">
        <f>IFERROR(__xludf.DUMMYFUNCTION("if(isna(query({'Filter BR Approve SPV Normal'!D2:D1000;'Filter BR Approve MGR Urgent'!D2:D1000},""SELECT * WHERE Col1 IS NOT NULL"")),"""",query({'Filter BR Approve SPV Normal'!D2:D1000;'Filter BR Approve MGR Urgent'!D2:D1000},""SELECT * WHERE Col1 IS NOT"&amp;" NULL""))"),"-")</f>
        <v>-</v>
      </c>
      <c r="F2" s="3" t="str">
        <f>IFERROR(__xludf.DUMMYFUNCTION("if(isna(query({'Filter BR Approve SPV Normal'!F2:F1000;'Filter BR Approve MGR Urgent'!F2:F1000},""SELECT * WHERE Col1 IS NOT NULL"")),"""",query({'Filter BR Approve SPV Normal'!F2:F1000;'Filter BR Approve MGR Urgent'!F2:F1000},""SELECT * WHERE Col1 IS NOT"&amp;" NULL""))"),"kape plastik ")</f>
        <v>kape plastik </v>
      </c>
      <c r="G2" s="3">
        <f>IFERROR(__xludf.DUMMYFUNCTION("if(isna(query({'Filter BR Approve SPV Normal'!I2:I1000;'Filter BR Approve MGR Urgent'!I2:I1000},""SELECT * WHERE Col1 IS NOT NULL"")),"""",query({'Filter BR Approve SPV Normal'!I2:I1000;'Filter BR Approve MGR Urgent'!I2:I1000},""SELECT * WHERE Col1 IS NOT"&amp;" NULL""))"),10.0)</f>
        <v>10</v>
      </c>
      <c r="H2" s="3" t="str">
        <f>IFERROR(__xludf.DUMMYFUNCTION("if(isna(query({'Filter BR Approve SPV Normal'!J2:J1000;'Filter BR Approve MGR Urgent'!J2:J1000},""SELECT * WHERE Col1 IS NOT NULL"")),"""",query({'Filter BR Approve SPV Normal'!J2:J1000;'Filter BR Approve MGR Urgent'!J2:J1000},""SELECT * WHERE Col1 IS NOT"&amp;" NULL""))"),"pcs")</f>
        <v>pcs</v>
      </c>
      <c r="I2" s="3" t="str">
        <f>IFERROR(__xludf.DUMMYFUNCTION("""COMPUTED_VALUE"""),"Deliver")</f>
        <v>Deliver</v>
      </c>
      <c r="J2" s="3" t="str">
        <f>IFERROR(__xludf.DUMMYFUNCTION("""COMPUTED_VALUE"""),"-")</f>
        <v>-</v>
      </c>
      <c r="K2" s="3" t="str">
        <f>IFERROR(__xludf.DUMMYFUNCTION("""COMPUTED_VALUE"""),"-")</f>
        <v>-</v>
      </c>
    </row>
    <row r="3">
      <c r="A3" s="3" t="str">
        <f>IFERROR(__xludf.DUMMYFUNCTION("""COMPUTED_VALUE"""),"MOBBR0001")</f>
        <v>MOBBR0001</v>
      </c>
      <c r="B3" s="4">
        <f>IFERROR(__xludf.DUMMYFUNCTION("""COMPUTED_VALUE"""),45679.48693741898)</f>
        <v>45679.48694</v>
      </c>
      <c r="C3" s="4">
        <f>IFERROR(__xludf.DUMMYFUNCTION("""COMPUTED_VALUE"""),45682.4666993287)</f>
        <v>45682.4667</v>
      </c>
      <c r="D3" s="3" t="str">
        <f>IFERROR(__xludf.DUMMYFUNCTION("""COMPUTED_VALUE"""),"Plambing Building")</f>
        <v>Plambing Building</v>
      </c>
      <c r="E3" s="3" t="str">
        <f>IFERROR(__xludf.DUMMYFUNCTION("""COMPUTED_VALUE"""),"-")</f>
        <v>-</v>
      </c>
      <c r="F3" s="3" t="str">
        <f>IFERROR(__xludf.DUMMYFUNCTION("""COMPUTED_VALUE"""),"Fitting PVC - Sock PVC 1.5""")</f>
        <v>Fitting PVC - Sock PVC 1.5"</v>
      </c>
      <c r="G3" s="3">
        <f>IFERROR(__xludf.DUMMYFUNCTION("""COMPUTED_VALUE"""),4.0)</f>
        <v>4</v>
      </c>
      <c r="H3" s="3" t="str">
        <f>IFERROR(__xludf.DUMMYFUNCTION("""COMPUTED_VALUE"""),"Pcs")</f>
        <v>Pcs</v>
      </c>
      <c r="I3" s="3" t="str">
        <f>IFERROR(__xludf.DUMMYFUNCTION("""COMPUTED_VALUE"""),"Deliver")</f>
        <v>Deliver</v>
      </c>
      <c r="J3" s="3" t="str">
        <f>IFERROR(__xludf.DUMMYFUNCTION("""COMPUTED_VALUE"""),"-")</f>
        <v>-</v>
      </c>
      <c r="K3" s="3" t="str">
        <f>IFERROR(__xludf.DUMMYFUNCTION("""COMPUTED_VALUE"""),"-")</f>
        <v>-</v>
      </c>
    </row>
    <row r="4">
      <c r="A4" s="3" t="str">
        <f>IFERROR(__xludf.DUMMYFUNCTION("""COMPUTED_VALUE"""),"MOBBR0002")</f>
        <v>MOBBR0002</v>
      </c>
      <c r="B4" s="4">
        <f>IFERROR(__xludf.DUMMYFUNCTION("""COMPUTED_VALUE"""),45679.489123321764)</f>
        <v>45679.48912</v>
      </c>
      <c r="C4" s="4">
        <f>IFERROR(__xludf.DUMMYFUNCTION("""COMPUTED_VALUE"""),45682.466855983796)</f>
        <v>45682.46686</v>
      </c>
      <c r="D4" s="3" t="str">
        <f>IFERROR(__xludf.DUMMYFUNCTION("""COMPUTED_VALUE"""),"Plambing Building")</f>
        <v>Plambing Building</v>
      </c>
      <c r="E4" s="3" t="str">
        <f>IFERROR(__xludf.DUMMYFUNCTION("""COMPUTED_VALUE"""),"-")</f>
        <v>-</v>
      </c>
      <c r="F4" s="3" t="str">
        <f>IFERROR(__xludf.DUMMYFUNCTION("""COMPUTED_VALUE"""),"Fitting PVC - Sock PVC 2.5""")</f>
        <v>Fitting PVC - Sock PVC 2.5"</v>
      </c>
      <c r="G4" s="3">
        <f>IFERROR(__xludf.DUMMYFUNCTION("""COMPUTED_VALUE"""),4.0)</f>
        <v>4</v>
      </c>
      <c r="H4" s="3" t="str">
        <f>IFERROR(__xludf.DUMMYFUNCTION("""COMPUTED_VALUE"""),"Pcs")</f>
        <v>Pcs</v>
      </c>
      <c r="I4" s="3" t="str">
        <f>IFERROR(__xludf.DUMMYFUNCTION("""COMPUTED_VALUE"""),"Deliver")</f>
        <v>Deliver</v>
      </c>
      <c r="J4" s="3" t="str">
        <f>IFERROR(__xludf.DUMMYFUNCTION("""COMPUTED_VALUE"""),"-")</f>
        <v>-</v>
      </c>
      <c r="K4" s="3" t="str">
        <f>IFERROR(__xludf.DUMMYFUNCTION("""COMPUTED_VALUE"""),"-")</f>
        <v>-</v>
      </c>
    </row>
    <row r="5">
      <c r="A5" s="3" t="str">
        <f>IFERROR(__xludf.DUMMYFUNCTION("""COMPUTED_VALUE"""),"MOBBR0003")</f>
        <v>MOBBR0003</v>
      </c>
      <c r="B5" s="4">
        <f>IFERROR(__xludf.DUMMYFUNCTION("""COMPUTED_VALUE"""),45679.49178275463)</f>
        <v>45679.49178</v>
      </c>
      <c r="C5" s="4">
        <f>IFERROR(__xludf.DUMMYFUNCTION("""COMPUTED_VALUE"""),45682.46700321759)</f>
        <v>45682.467</v>
      </c>
      <c r="D5" s="3" t="str">
        <f>IFERROR(__xludf.DUMMYFUNCTION("""COMPUTED_VALUE"""),"Plambing Building")</f>
        <v>Plambing Building</v>
      </c>
      <c r="E5" s="3" t="str">
        <f>IFERROR(__xludf.DUMMYFUNCTION("""COMPUTED_VALUE"""),"-")</f>
        <v>-</v>
      </c>
      <c r="F5" s="3" t="str">
        <f>IFERROR(__xludf.DUMMYFUNCTION("""COMPUTED_VALUE"""),"Fitting PVC - Tee PVC 1.5""")</f>
        <v>Fitting PVC - Tee PVC 1.5"</v>
      </c>
      <c r="G5" s="3">
        <f>IFERROR(__xludf.DUMMYFUNCTION("""COMPUTED_VALUE"""),4.0)</f>
        <v>4</v>
      </c>
      <c r="H5" s="3" t="str">
        <f>IFERROR(__xludf.DUMMYFUNCTION("""COMPUTED_VALUE"""),"Pcs")</f>
        <v>Pcs</v>
      </c>
      <c r="I5" s="3" t="str">
        <f>IFERROR(__xludf.DUMMYFUNCTION("""COMPUTED_VALUE"""),"Deliver")</f>
        <v>Deliver</v>
      </c>
      <c r="J5" s="3" t="str">
        <f>IFERROR(__xludf.DUMMYFUNCTION("""COMPUTED_VALUE"""),"-")</f>
        <v>-</v>
      </c>
      <c r="K5" s="3" t="str">
        <f>IFERROR(__xludf.DUMMYFUNCTION("""COMPUTED_VALUE"""),"-")</f>
        <v>-</v>
      </c>
    </row>
    <row r="6">
      <c r="A6" s="3" t="str">
        <f>IFERROR(__xludf.DUMMYFUNCTION("""COMPUTED_VALUE"""),"MOBBR0004")</f>
        <v>MOBBR0004</v>
      </c>
      <c r="B6" s="4">
        <f>IFERROR(__xludf.DUMMYFUNCTION("""COMPUTED_VALUE"""),45679.49250216435)</f>
        <v>45679.4925</v>
      </c>
      <c r="C6" s="4">
        <f>IFERROR(__xludf.DUMMYFUNCTION("""COMPUTED_VALUE"""),45682.46715569445)</f>
        <v>45682.46716</v>
      </c>
      <c r="D6" s="3" t="str">
        <f>IFERROR(__xludf.DUMMYFUNCTION("""COMPUTED_VALUE"""),"Plambing Building")</f>
        <v>Plambing Building</v>
      </c>
      <c r="E6" s="3" t="str">
        <f>IFERROR(__xludf.DUMMYFUNCTION("""COMPUTED_VALUE"""),"-")</f>
        <v>-</v>
      </c>
      <c r="F6" s="3" t="str">
        <f>IFERROR(__xludf.DUMMYFUNCTION("""COMPUTED_VALUE"""),"Fitting PVC - Tee PVC 2.5""")</f>
        <v>Fitting PVC - Tee PVC 2.5"</v>
      </c>
      <c r="G6" s="3">
        <f>IFERROR(__xludf.DUMMYFUNCTION("""COMPUTED_VALUE"""),4.0)</f>
        <v>4</v>
      </c>
      <c r="H6" s="3" t="str">
        <f>IFERROR(__xludf.DUMMYFUNCTION("""COMPUTED_VALUE"""),"Pcs")</f>
        <v>Pcs</v>
      </c>
      <c r="I6" s="3" t="str">
        <f>IFERROR(__xludf.DUMMYFUNCTION("""COMPUTED_VALUE"""),"Deliver")</f>
        <v>Deliver</v>
      </c>
      <c r="J6" s="3" t="str">
        <f>IFERROR(__xludf.DUMMYFUNCTION("""COMPUTED_VALUE"""),"-")</f>
        <v>-</v>
      </c>
      <c r="K6" s="3" t="str">
        <f>IFERROR(__xludf.DUMMYFUNCTION("""COMPUTED_VALUE"""),"-")</f>
        <v>-</v>
      </c>
    </row>
    <row r="7">
      <c r="A7" s="3" t="str">
        <f>IFERROR(__xludf.DUMMYFUNCTION("""COMPUTED_VALUE"""),"MOBBR0005")</f>
        <v>MOBBR0005</v>
      </c>
      <c r="B7" s="4">
        <f>IFERROR(__xludf.DUMMYFUNCTION("""COMPUTED_VALUE"""),45679.493272615735)</f>
        <v>45679.49327</v>
      </c>
      <c r="C7" s="4">
        <f>IFERROR(__xludf.DUMMYFUNCTION("""COMPUTED_VALUE"""),45682.46730909723)</f>
        <v>45682.46731</v>
      </c>
      <c r="D7" s="3" t="str">
        <f>IFERROR(__xludf.DUMMYFUNCTION("""COMPUTED_VALUE"""),"Plambing Building")</f>
        <v>Plambing Building</v>
      </c>
      <c r="E7" s="3" t="str">
        <f>IFERROR(__xludf.DUMMYFUNCTION("""COMPUTED_VALUE"""),"-")</f>
        <v>-</v>
      </c>
      <c r="F7" s="3" t="str">
        <f>IFERROR(__xludf.DUMMYFUNCTION("""COMPUTED_VALUE"""),"Fitting PVC - Water Mur PVC 2.5""")</f>
        <v>Fitting PVC - Water Mur PVC 2.5"</v>
      </c>
      <c r="G7" s="3">
        <f>IFERROR(__xludf.DUMMYFUNCTION("""COMPUTED_VALUE"""),4.0)</f>
        <v>4</v>
      </c>
      <c r="H7" s="3" t="str">
        <f>IFERROR(__xludf.DUMMYFUNCTION("""COMPUTED_VALUE"""),"Pcs")</f>
        <v>Pcs</v>
      </c>
      <c r="I7" s="3" t="str">
        <f>IFERROR(__xludf.DUMMYFUNCTION("""COMPUTED_VALUE"""),"Deliver")</f>
        <v>Deliver</v>
      </c>
      <c r="J7" s="3" t="str">
        <f>IFERROR(__xludf.DUMMYFUNCTION("""COMPUTED_VALUE"""),"-")</f>
        <v>-</v>
      </c>
      <c r="K7" s="3" t="str">
        <f>IFERROR(__xludf.DUMMYFUNCTION("""COMPUTED_VALUE"""),"-")</f>
        <v>-</v>
      </c>
    </row>
    <row r="8">
      <c r="A8" s="3" t="str">
        <f>IFERROR(__xludf.DUMMYFUNCTION("""COMPUTED_VALUE"""),"MOBBR0006")</f>
        <v>MOBBR0006</v>
      </c>
      <c r="B8" s="4">
        <f>IFERROR(__xludf.DUMMYFUNCTION("""COMPUTED_VALUE"""),45679.494418240734)</f>
        <v>45679.49442</v>
      </c>
      <c r="C8" s="4">
        <f>IFERROR(__xludf.DUMMYFUNCTION("""COMPUTED_VALUE"""),45682.46776121528)</f>
        <v>45682.46776</v>
      </c>
      <c r="D8" s="3" t="str">
        <f>IFERROR(__xludf.DUMMYFUNCTION("""COMPUTED_VALUE"""),"Plambing Building")</f>
        <v>Plambing Building</v>
      </c>
      <c r="E8" s="3" t="str">
        <f>IFERROR(__xludf.DUMMYFUNCTION("""COMPUTED_VALUE"""),"-")</f>
        <v>-</v>
      </c>
      <c r="F8" s="3" t="str">
        <f>IFERROR(__xludf.DUMMYFUNCTION("""COMPUTED_VALUE"""),"Fitting PVC - Water Mur PVC 1""")</f>
        <v>Fitting PVC - Water Mur PVC 1"</v>
      </c>
      <c r="G8" s="3">
        <f>IFERROR(__xludf.DUMMYFUNCTION("""COMPUTED_VALUE"""),4.0)</f>
        <v>4</v>
      </c>
      <c r="H8" s="3" t="str">
        <f>IFERROR(__xludf.DUMMYFUNCTION("""COMPUTED_VALUE"""),"Pcs")</f>
        <v>Pcs</v>
      </c>
      <c r="I8" s="3" t="str">
        <f>IFERROR(__xludf.DUMMYFUNCTION("""COMPUTED_VALUE"""),"Deliver")</f>
        <v>Deliver</v>
      </c>
      <c r="J8" s="3" t="str">
        <f>IFERROR(__xludf.DUMMYFUNCTION("""COMPUTED_VALUE"""),"-")</f>
        <v>-</v>
      </c>
      <c r="K8" s="3" t="str">
        <f>IFERROR(__xludf.DUMMYFUNCTION("""COMPUTED_VALUE"""),"-")</f>
        <v>-</v>
      </c>
    </row>
    <row r="9">
      <c r="A9" s="3" t="str">
        <f>IFERROR(__xludf.DUMMYFUNCTION("""COMPUTED_VALUE"""),"MOBBR0007")</f>
        <v>MOBBR0007</v>
      </c>
      <c r="B9" s="4">
        <f>IFERROR(__xludf.DUMMYFUNCTION("""COMPUTED_VALUE"""),45679.50596162037)</f>
        <v>45679.50596</v>
      </c>
      <c r="C9" s="4">
        <f>IFERROR(__xludf.DUMMYFUNCTION("""COMPUTED_VALUE"""),45682.468397488425)</f>
        <v>45682.4684</v>
      </c>
      <c r="D9" s="3" t="str">
        <f>IFERROR(__xludf.DUMMYFUNCTION("""COMPUTED_VALUE"""),"Ruang Gas QC")</f>
        <v>Ruang Gas QC</v>
      </c>
      <c r="E9" s="3" t="str">
        <f>IFERROR(__xludf.DUMMYFUNCTION("""COMPUTED_VALUE"""),"-")</f>
        <v>-</v>
      </c>
      <c r="F9" s="3" t="str">
        <f>IFERROR(__xludf.DUMMYFUNCTION("""COMPUTED_VALUE"""),"Regulator Gas Helium")</f>
        <v>Regulator Gas Helium</v>
      </c>
      <c r="G9" s="3">
        <f>IFERROR(__xludf.DUMMYFUNCTION("""COMPUTED_VALUE"""),1.0)</f>
        <v>1</v>
      </c>
      <c r="H9" s="3" t="str">
        <f>IFERROR(__xludf.DUMMYFUNCTION("""COMPUTED_VALUE"""),"Pcs")</f>
        <v>Pcs</v>
      </c>
      <c r="I9" s="3" t="str">
        <f>IFERROR(__xludf.DUMMYFUNCTION("""COMPUTED_VALUE"""),"Deliver")</f>
        <v>Deliver</v>
      </c>
      <c r="J9" s="3" t="str">
        <f>IFERROR(__xludf.DUMMYFUNCTION("""COMPUTED_VALUE"""),"-")</f>
        <v>-</v>
      </c>
      <c r="K9" s="3" t="str">
        <f>IFERROR(__xludf.DUMMYFUNCTION("""COMPUTED_VALUE"""),"-")</f>
        <v>-</v>
      </c>
    </row>
    <row r="10">
      <c r="A10" s="3" t="str">
        <f>IFERROR(__xludf.DUMMYFUNCTION("""COMPUTED_VALUE"""),"MOBBR0008")</f>
        <v>MOBBR0008</v>
      </c>
      <c r="B10" s="4">
        <f>IFERROR(__xludf.DUMMYFUNCTION("""COMPUTED_VALUE"""),45679.50860945601)</f>
        <v>45679.50861</v>
      </c>
      <c r="C10" s="4">
        <f>IFERROR(__xludf.DUMMYFUNCTION("""COMPUTED_VALUE"""),45682.46854090278)</f>
        <v>45682.46854</v>
      </c>
      <c r="D10" s="3" t="str">
        <f>IFERROR(__xludf.DUMMYFUNCTION("""COMPUTED_VALUE"""),"Plambing Building")</f>
        <v>Plambing Building</v>
      </c>
      <c r="E10" s="3" t="str">
        <f>IFERROR(__xludf.DUMMYFUNCTION("""COMPUTED_VALUE"""),"-")</f>
        <v>-</v>
      </c>
      <c r="F10" s="3" t="str">
        <f>IFERROR(__xludf.DUMMYFUNCTION("""COMPUTED_VALUE"""),"Fitting PVC - Reducer PVC 1"" - 2""")</f>
        <v>Fitting PVC - Reducer PVC 1" - 2"</v>
      </c>
      <c r="G10" s="3">
        <f>IFERROR(__xludf.DUMMYFUNCTION("""COMPUTED_VALUE"""),4.0)</f>
        <v>4</v>
      </c>
      <c r="H10" s="3" t="str">
        <f>IFERROR(__xludf.DUMMYFUNCTION("""COMPUTED_VALUE"""),"Pcs")</f>
        <v>Pcs</v>
      </c>
      <c r="I10" s="3" t="str">
        <f>IFERROR(__xludf.DUMMYFUNCTION("""COMPUTED_VALUE"""),"Deliver")</f>
        <v>Deliver</v>
      </c>
      <c r="J10" s="3" t="str">
        <f>IFERROR(__xludf.DUMMYFUNCTION("""COMPUTED_VALUE"""),"-")</f>
        <v>-</v>
      </c>
      <c r="K10" s="3" t="str">
        <f>IFERROR(__xludf.DUMMYFUNCTION("""COMPUTED_VALUE"""),"-")</f>
        <v>-</v>
      </c>
    </row>
    <row r="11">
      <c r="A11" s="3" t="str">
        <f>IFERROR(__xludf.DUMMYFUNCTION("""COMPUTED_VALUE"""),"MOBBR0009")</f>
        <v>MOBBR0009</v>
      </c>
      <c r="B11" s="4">
        <f>IFERROR(__xludf.DUMMYFUNCTION("""COMPUTED_VALUE"""),45679.51542798611)</f>
        <v>45679.51543</v>
      </c>
      <c r="C11" s="4">
        <f>IFERROR(__xludf.DUMMYFUNCTION("""COMPUTED_VALUE"""),45682.47072065972)</f>
        <v>45682.47072</v>
      </c>
      <c r="D11" s="3" t="str">
        <f>IFERROR(__xludf.DUMMYFUNCTION("""COMPUTED_VALUE"""),"Intercom Wireless Office WH")</f>
        <v>Intercom Wireless Office WH</v>
      </c>
      <c r="E11" s="3" t="str">
        <f>IFERROR(__xludf.DUMMYFUNCTION("""COMPUTED_VALUE"""),"-")</f>
        <v>-</v>
      </c>
      <c r="F11" s="3" t="str">
        <f>IFERROR(__xludf.DUMMYFUNCTION("""COMPUTED_VALUE"""),"Intercom Wireless")</f>
        <v>Intercom Wireless</v>
      </c>
      <c r="G11" s="3">
        <f>IFERROR(__xludf.DUMMYFUNCTION("""COMPUTED_VALUE"""),2.0)</f>
        <v>2</v>
      </c>
      <c r="H11" s="3" t="str">
        <f>IFERROR(__xludf.DUMMYFUNCTION("""COMPUTED_VALUE"""),"Pcs")</f>
        <v>Pcs</v>
      </c>
      <c r="I11" s="3" t="str">
        <f>IFERROR(__xludf.DUMMYFUNCTION("""COMPUTED_VALUE"""),"Closed")</f>
        <v>Closed</v>
      </c>
      <c r="J11" s="3" t="str">
        <f>IFERROR(__xludf.DUMMYFUNCTION("""COMPUTED_VALUE"""),"-")</f>
        <v>-</v>
      </c>
      <c r="K11" s="3" t="str">
        <f>IFERROR(__xludf.DUMMYFUNCTION("""COMPUTED_VALUE"""),"-")</f>
        <v>-</v>
      </c>
    </row>
    <row r="12">
      <c r="A12" s="3" t="str">
        <f>IFERROR(__xludf.DUMMYFUNCTION("""COMPUTED_VALUE"""),"ROSBR0003")</f>
        <v>ROSBR0003</v>
      </c>
      <c r="B12" s="4">
        <f>IFERROR(__xludf.DUMMYFUNCTION("""COMPUTED_VALUE"""),45679.59618357639)</f>
        <v>45679.59618</v>
      </c>
      <c r="C12" s="4">
        <f>IFERROR(__xludf.DUMMYFUNCTION("""COMPUTED_VALUE"""),45679.64169505787)</f>
        <v>45679.6417</v>
      </c>
      <c r="D12" s="3" t="str">
        <f>IFERROR(__xludf.DUMMYFUNCTION("""COMPUTED_VALUE"""),"Capsuling, Tableting, dan Coating")</f>
        <v>Capsuling, Tableting, dan Coating</v>
      </c>
      <c r="E12" s="3" t="str">
        <f>IFERROR(__xludf.DUMMYFUNCTION("""COMPUTED_VALUE"""),"NA")</f>
        <v>NA</v>
      </c>
      <c r="F12" s="3" t="str">
        <f>IFERROR(__xludf.DUMMYFUNCTION("""COMPUTED_VALUE"""),"Buckhel ( Kuncian Spanset)")</f>
        <v>Buckhel ( Kuncian Spanset)</v>
      </c>
      <c r="G12" s="3">
        <f>IFERROR(__xludf.DUMMYFUNCTION("""COMPUTED_VALUE"""),312.0)</f>
        <v>312</v>
      </c>
      <c r="H12" s="3" t="str">
        <f>IFERROR(__xludf.DUMMYFUNCTION("""COMPUTED_VALUE"""),"pcs")</f>
        <v>pcs</v>
      </c>
      <c r="I12" s="3" t="str">
        <f>IFERROR(__xludf.DUMMYFUNCTION("""COMPUTED_VALUE"""),"Deliver")</f>
        <v>Deliver</v>
      </c>
      <c r="J12" s="3" t="str">
        <f>IFERROR(__xludf.DUMMYFUNCTION("""COMPUTED_VALUE"""),"-")</f>
        <v>-</v>
      </c>
      <c r="K12" s="3" t="str">
        <f>IFERROR(__xludf.DUMMYFUNCTION("""COMPUTED_VALUE"""),"-")</f>
        <v>-</v>
      </c>
    </row>
    <row r="13">
      <c r="A13" s="3" t="str">
        <f>IFERROR(__xludf.DUMMYFUNCTION("""COMPUTED_VALUE"""),"ROSBR0004")</f>
        <v>ROSBR0004</v>
      </c>
      <c r="B13" s="4">
        <f>IFERROR(__xludf.DUMMYFUNCTION("""COMPUTED_VALUE"""),45679.604100578705)</f>
        <v>45679.6041</v>
      </c>
      <c r="C13" s="4">
        <f>IFERROR(__xludf.DUMMYFUNCTION("""COMPUTED_VALUE"""),45679.641960636574)</f>
        <v>45679.64196</v>
      </c>
      <c r="D13" s="3" t="str">
        <f>IFERROR(__xludf.DUMMYFUNCTION("""COMPUTED_VALUE"""),"Capsuling, Tableting, dan Coating")</f>
        <v>Capsuling, Tableting, dan Coating</v>
      </c>
      <c r="E13" s="3" t="str">
        <f>IFERROR(__xludf.DUMMYFUNCTION("""COMPUTED_VALUE"""),"NA")</f>
        <v>NA</v>
      </c>
      <c r="F13" s="3" t="str">
        <f>IFERROR(__xludf.DUMMYFUNCTION("""COMPUTED_VALUE"""),"Tali Webbing (Spanset)")</f>
        <v>Tali Webbing (Spanset)</v>
      </c>
      <c r="G13" s="3">
        <f>IFERROR(__xludf.DUMMYFUNCTION("""COMPUTED_VALUE"""),13.0)</f>
        <v>13</v>
      </c>
      <c r="H13" s="3" t="str">
        <f>IFERROR(__xludf.DUMMYFUNCTION("""COMPUTED_VALUE"""),"Roll")</f>
        <v>Roll</v>
      </c>
      <c r="I13" s="3" t="str">
        <f>IFERROR(__xludf.DUMMYFUNCTION("""COMPUTED_VALUE"""),"Deliver")</f>
        <v>Deliver</v>
      </c>
      <c r="J13" s="3" t="str">
        <f>IFERROR(__xludf.DUMMYFUNCTION("""COMPUTED_VALUE"""),"-")</f>
        <v>-</v>
      </c>
      <c r="K13" s="3" t="str">
        <f>IFERROR(__xludf.DUMMYFUNCTION("""COMPUTED_VALUE"""),"-")</f>
        <v>-</v>
      </c>
    </row>
    <row r="14">
      <c r="A14" s="3" t="str">
        <f>IFERROR(__xludf.DUMMYFUNCTION("""COMPUTED_VALUE"""),"MOBBR0010")</f>
        <v>MOBBR0010</v>
      </c>
      <c r="B14" s="4">
        <f>IFERROR(__xludf.DUMMYFUNCTION("""COMPUTED_VALUE"""),45680.382373796296)</f>
        <v>45680.38237</v>
      </c>
      <c r="C14" s="4">
        <f>IFERROR(__xludf.DUMMYFUNCTION("""COMPUTED_VALUE"""),45682.470873645834)</f>
        <v>45682.47087</v>
      </c>
      <c r="D14" s="3" t="str">
        <f>IFERROR(__xludf.DUMMYFUNCTION("""COMPUTED_VALUE"""),"Plambing Building")</f>
        <v>Plambing Building</v>
      </c>
      <c r="E14" s="3" t="str">
        <f>IFERROR(__xludf.DUMMYFUNCTION("""COMPUTED_VALUE"""),"-")</f>
        <v>-</v>
      </c>
      <c r="F14" s="3" t="str">
        <f>IFERROR(__xludf.DUMMYFUNCTION("""COMPUTED_VALUE"""),"Fitting PVC - Water Mur PVC 1.5""")</f>
        <v>Fitting PVC - Water Mur PVC 1.5"</v>
      </c>
      <c r="G14" s="3">
        <f>IFERROR(__xludf.DUMMYFUNCTION("""COMPUTED_VALUE"""),4.0)</f>
        <v>4</v>
      </c>
      <c r="H14" s="3" t="str">
        <f>IFERROR(__xludf.DUMMYFUNCTION("""COMPUTED_VALUE"""),"Pcs")</f>
        <v>Pcs</v>
      </c>
      <c r="I14" s="3" t="str">
        <f>IFERROR(__xludf.DUMMYFUNCTION("""COMPUTED_VALUE"""),"Deliver")</f>
        <v>Deliver</v>
      </c>
      <c r="J14" s="3" t="str">
        <f>IFERROR(__xludf.DUMMYFUNCTION("""COMPUTED_VALUE"""),"-")</f>
        <v>-</v>
      </c>
      <c r="K14" s="3" t="str">
        <f>IFERROR(__xludf.DUMMYFUNCTION("""COMPUTED_VALUE"""),"-")</f>
        <v>-</v>
      </c>
    </row>
    <row r="15">
      <c r="A15" s="3" t="str">
        <f>IFERROR(__xludf.DUMMYFUNCTION("""COMPUTED_VALUE"""),"MOBBR0011")</f>
        <v>MOBBR0011</v>
      </c>
      <c r="B15" s="4">
        <f>IFERROR(__xludf.DUMMYFUNCTION("""COMPUTED_VALUE"""),45680.383995509255)</f>
        <v>45680.384</v>
      </c>
      <c r="C15" s="4">
        <f>IFERROR(__xludf.DUMMYFUNCTION("""COMPUTED_VALUE"""),45682.470995868054)</f>
        <v>45682.471</v>
      </c>
      <c r="D15" s="3" t="str">
        <f>IFERROR(__xludf.DUMMYFUNCTION("""COMPUTED_VALUE"""),"Plambing Building")</f>
        <v>Plambing Building</v>
      </c>
      <c r="E15" s="3" t="str">
        <f>IFERROR(__xludf.DUMMYFUNCTION("""COMPUTED_VALUE"""),"-")</f>
        <v>-</v>
      </c>
      <c r="F15" s="3" t="str">
        <f>IFERROR(__xludf.DUMMYFUNCTION("""COMPUTED_VALUE"""),"PVC - Dop 3/4""")</f>
        <v>PVC - Dop 3/4"</v>
      </c>
      <c r="G15" s="3">
        <f>IFERROR(__xludf.DUMMYFUNCTION("""COMPUTED_VALUE"""),4.0)</f>
        <v>4</v>
      </c>
      <c r="H15" s="3" t="str">
        <f>IFERROR(__xludf.DUMMYFUNCTION("""COMPUTED_VALUE"""),"Pcs")</f>
        <v>Pcs</v>
      </c>
      <c r="I15" s="3" t="str">
        <f>IFERROR(__xludf.DUMMYFUNCTION("""COMPUTED_VALUE"""),"Deliver")</f>
        <v>Deliver</v>
      </c>
      <c r="J15" s="3" t="str">
        <f>IFERROR(__xludf.DUMMYFUNCTION("""COMPUTED_VALUE"""),"-")</f>
        <v>-</v>
      </c>
      <c r="K15" s="3" t="str">
        <f>IFERROR(__xludf.DUMMYFUNCTION("""COMPUTED_VALUE"""),"-")</f>
        <v>-</v>
      </c>
    </row>
    <row r="16">
      <c r="A16" s="3" t="str">
        <f>IFERROR(__xludf.DUMMYFUNCTION("""COMPUTED_VALUE"""),"MOBBR0012")</f>
        <v>MOBBR0012</v>
      </c>
      <c r="B16" s="4">
        <f>IFERROR(__xludf.DUMMYFUNCTION("""COMPUTED_VALUE"""),45684.634351423614)</f>
        <v>45684.63435</v>
      </c>
      <c r="C16" s="4">
        <f>IFERROR(__xludf.DUMMYFUNCTION("""COMPUTED_VALUE"""),45685.84379293981)</f>
        <v>45685.84379</v>
      </c>
      <c r="D16" s="3" t="str">
        <f>IFERROR(__xludf.DUMMYFUNCTION("""COMPUTED_VALUE"""),"Plumbing")</f>
        <v>Plumbing</v>
      </c>
      <c r="E16" s="3" t="str">
        <f>IFERROR(__xludf.DUMMYFUNCTION("""COMPUTED_VALUE"""),"EJO/2025/01/108")</f>
        <v>EJO/2025/01/108</v>
      </c>
      <c r="F16" s="3" t="str">
        <f>IFERROR(__xludf.DUMMYFUNCTION("""COMPUTED_VALUE"""),"Gate Valve Kitz")</f>
        <v>Gate Valve Kitz</v>
      </c>
      <c r="G16" s="3">
        <f>IFERROR(__xludf.DUMMYFUNCTION("""COMPUTED_VALUE"""),2.0)</f>
        <v>2</v>
      </c>
      <c r="H16" s="3" t="str">
        <f>IFERROR(__xludf.DUMMYFUNCTION("""COMPUTED_VALUE"""),"Pcs")</f>
        <v>Pcs</v>
      </c>
      <c r="I16" s="3" t="str">
        <f>IFERROR(__xludf.DUMMYFUNCTION("""COMPUTED_VALUE"""),"Deliver")</f>
        <v>Deliver</v>
      </c>
      <c r="J16" s="3" t="str">
        <f>IFERROR(__xludf.DUMMYFUNCTION("""COMPUTED_VALUE"""),"-")</f>
        <v>-</v>
      </c>
      <c r="K16" s="3" t="str">
        <f>IFERROR(__xludf.DUMMYFUNCTION("""COMPUTED_VALUE"""),"-")</f>
        <v>-</v>
      </c>
    </row>
    <row r="17">
      <c r="A17" s="3" t="str">
        <f>IFERROR(__xludf.DUMMYFUNCTION("""COMPUTED_VALUE"""),"ROSBR0005")</f>
        <v>ROSBR0005</v>
      </c>
      <c r="B17" s="4">
        <f>IFERROR(__xludf.DUMMYFUNCTION("""COMPUTED_VALUE"""),45685.50748862268)</f>
        <v>45685.50749</v>
      </c>
      <c r="C17" s="4">
        <f>IFERROR(__xludf.DUMMYFUNCTION("""COMPUTED_VALUE"""),45685.560642662036)</f>
        <v>45685.56064</v>
      </c>
      <c r="D17" s="3" t="str">
        <f>IFERROR(__xludf.DUMMYFUNCTION("""COMPUTED_VALUE"""),"Mixing")</f>
        <v>Mixing</v>
      </c>
      <c r="E17" s="3" t="str">
        <f>IFERROR(__xludf.DUMMYFUNCTION("""COMPUTED_VALUE"""),"EJO/2025/01/26")</f>
        <v>EJO/2025/01/26</v>
      </c>
      <c r="F17" s="3" t="str">
        <f>IFERROR(__xludf.DUMMYFUNCTION("""COMPUTED_VALUE"""),"Cover Tray Pelindung Tubing ")</f>
        <v>Cover Tray Pelindung Tubing </v>
      </c>
      <c r="G17" s="3">
        <f>IFERROR(__xludf.DUMMYFUNCTION("""COMPUTED_VALUE"""),2.0)</f>
        <v>2</v>
      </c>
      <c r="H17" s="3" t="str">
        <f>IFERROR(__xludf.DUMMYFUNCTION("""COMPUTED_VALUE"""),"Pcs")</f>
        <v>Pcs</v>
      </c>
      <c r="I17" s="3" t="str">
        <f>IFERROR(__xludf.DUMMYFUNCTION("""COMPUTED_VALUE"""),"Deliver")</f>
        <v>Deliver</v>
      </c>
      <c r="J17" s="3" t="str">
        <f>IFERROR(__xludf.DUMMYFUNCTION("""COMPUTED_VALUE"""),"-")</f>
        <v>-</v>
      </c>
      <c r="K17" s="3" t="str">
        <f>IFERROR(__xludf.DUMMYFUNCTION("""COMPUTED_VALUE"""),"-")</f>
        <v>-</v>
      </c>
    </row>
    <row r="18">
      <c r="A18" s="3" t="str">
        <f>IFERROR(__xludf.DUMMYFUNCTION("""COMPUTED_VALUE"""),"MRNBR0001")</f>
        <v>MRNBR0001</v>
      </c>
      <c r="B18" s="4">
        <f>IFERROR(__xludf.DUMMYFUNCTION("""COMPUTED_VALUE"""),45685.70989032408)</f>
        <v>45685.70989</v>
      </c>
      <c r="C18" s="4">
        <f>IFERROR(__xludf.DUMMYFUNCTION("""COMPUTED_VALUE"""),45694.63182101852)</f>
        <v>45694.63182</v>
      </c>
      <c r="D18" s="3" t="str">
        <f>IFERROR(__xludf.DUMMYFUNCTION("""COMPUTED_VALUE"""),"Loker sepatu")</f>
        <v>Loker sepatu</v>
      </c>
      <c r="E18" s="3" t="str">
        <f>IFERROR(__xludf.DUMMYFUNCTION("""COMPUTED_VALUE"""),"EJO/2024/12/150")</f>
        <v>EJO/2024/12/150</v>
      </c>
      <c r="F18" s="3" t="str">
        <f>IFERROR(__xludf.DUMMYFUNCTION("""COMPUTED_VALUE"""),"Exhaust")</f>
        <v>Exhaust</v>
      </c>
      <c r="G18" s="3">
        <f>IFERROR(__xludf.DUMMYFUNCTION("""COMPUTED_VALUE"""),2.0)</f>
        <v>2</v>
      </c>
      <c r="H18" s="3" t="str">
        <f>IFERROR(__xludf.DUMMYFUNCTION("""COMPUTED_VALUE"""),"unit")</f>
        <v>unit</v>
      </c>
      <c r="I18" s="3" t="str">
        <f>IFERROR(__xludf.DUMMYFUNCTION("""COMPUTED_VALUE"""),"Deliver")</f>
        <v>Deliver</v>
      </c>
      <c r="J18" s="3" t="str">
        <f>IFERROR(__xludf.DUMMYFUNCTION("""COMPUTED_VALUE"""),"-")</f>
        <v>-</v>
      </c>
      <c r="K18" s="3" t="str">
        <f>IFERROR(__xludf.DUMMYFUNCTION("""COMPUTED_VALUE"""),"-")</f>
        <v>-</v>
      </c>
    </row>
    <row r="19">
      <c r="A19" s="3" t="str">
        <f>IFERROR(__xludf.DUMMYFUNCTION("""COMPUTED_VALUE"""),"RIABR0001")</f>
        <v>RIABR0001</v>
      </c>
      <c r="B19" s="4">
        <f>IFERROR(__xludf.DUMMYFUNCTION("""COMPUTED_VALUE"""),45688.2731081713)</f>
        <v>45688.27311</v>
      </c>
      <c r="C19" s="4">
        <f>IFERROR(__xludf.DUMMYFUNCTION("""COMPUTED_VALUE"""),45688.940998784725)</f>
        <v>45688.941</v>
      </c>
      <c r="D19" s="3" t="str">
        <f>IFERROR(__xludf.DUMMYFUNCTION("""COMPUTED_VALUE"""),"AHU F22")</f>
        <v>AHU F22</v>
      </c>
      <c r="E19" s="3" t="str">
        <f>IFERROR(__xludf.DUMMYFUNCTION("""COMPUTED_VALUE"""),"EJO/2025/01/30")</f>
        <v>EJO/2025/01/30</v>
      </c>
      <c r="F19" s="3" t="str">
        <f>IFERROR(__xludf.DUMMYFUNCTION("""COMPUTED_VALUE"""),"LCD Inverter")</f>
        <v>LCD Inverter</v>
      </c>
      <c r="G19" s="3">
        <f>IFERROR(__xludf.DUMMYFUNCTION("""COMPUTED_VALUE"""),1.0)</f>
        <v>1</v>
      </c>
      <c r="H19" s="3" t="str">
        <f>IFERROR(__xludf.DUMMYFUNCTION("""COMPUTED_VALUE"""),"Pcs")</f>
        <v>Pcs</v>
      </c>
      <c r="I19" s="3" t="str">
        <f>IFERROR(__xludf.DUMMYFUNCTION("""COMPUTED_VALUE"""),"Deliver")</f>
        <v>Deliver</v>
      </c>
      <c r="J19" s="3" t="str">
        <f>IFERROR(__xludf.DUMMYFUNCTION("""COMPUTED_VALUE"""),"-")</f>
        <v>-</v>
      </c>
      <c r="K19" s="3" t="str">
        <f>IFERROR(__xludf.DUMMYFUNCTION("""COMPUTED_VALUE"""),"-")</f>
        <v>-</v>
      </c>
    </row>
    <row r="20">
      <c r="A20" s="3" t="str">
        <f>IFERROR(__xludf.DUMMYFUNCTION("""COMPUTED_VALUE"""),"RIABR0002")</f>
        <v>RIABR0002</v>
      </c>
      <c r="B20" s="4">
        <f>IFERROR(__xludf.DUMMYFUNCTION("""COMPUTED_VALUE"""),45688.275967395835)</f>
        <v>45688.27597</v>
      </c>
      <c r="C20" s="4">
        <f>IFERROR(__xludf.DUMMYFUNCTION("""COMPUTED_VALUE"""),45688.941593703705)</f>
        <v>45688.94159</v>
      </c>
      <c r="D20" s="3" t="str">
        <f>IFERROR(__xludf.DUMMYFUNCTION("""COMPUTED_VALUE"""),"AHU B12")</f>
        <v>AHU B12</v>
      </c>
      <c r="E20" s="3" t="str">
        <f>IFERROR(__xludf.DUMMYFUNCTION("""COMPUTED_VALUE"""),"EJO/2025/01/40")</f>
        <v>EJO/2025/01/40</v>
      </c>
      <c r="F20" s="3" t="str">
        <f>IFERROR(__xludf.DUMMYFUNCTION("""COMPUTED_VALUE"""),"Regin Heater")</f>
        <v>Regin Heater</v>
      </c>
      <c r="G20" s="3">
        <f>IFERROR(__xludf.DUMMYFUNCTION("""COMPUTED_VALUE"""),1.0)</f>
        <v>1</v>
      </c>
      <c r="H20" s="3" t="str">
        <f>IFERROR(__xludf.DUMMYFUNCTION("""COMPUTED_VALUE"""),"Pcs")</f>
        <v>Pcs</v>
      </c>
      <c r="I20" s="3" t="str">
        <f>IFERROR(__xludf.DUMMYFUNCTION("""COMPUTED_VALUE"""),"Deliver")</f>
        <v>Deliver</v>
      </c>
      <c r="J20" s="3" t="str">
        <f>IFERROR(__xludf.DUMMYFUNCTION("""COMPUTED_VALUE"""),"-")</f>
        <v>-</v>
      </c>
      <c r="K20" s="3" t="str">
        <f>IFERROR(__xludf.DUMMYFUNCTION("""COMPUTED_VALUE"""),"-")</f>
        <v>-</v>
      </c>
    </row>
    <row r="21">
      <c r="A21" s="3" t="str">
        <f>IFERROR(__xludf.DUMMYFUNCTION("""COMPUTED_VALUE"""),"RIABR0003")</f>
        <v>RIABR0003</v>
      </c>
      <c r="B21" s="4">
        <f>IFERROR(__xludf.DUMMYFUNCTION("""COMPUTED_VALUE"""),45688.27733950232)</f>
        <v>45688.27734</v>
      </c>
      <c r="C21" s="4">
        <f>IFERROR(__xludf.DUMMYFUNCTION("""COMPUTED_VALUE"""),45688.94283193287)</f>
        <v>45688.94283</v>
      </c>
      <c r="D21" s="3" t="str">
        <f>IFERROR(__xludf.DUMMYFUNCTION("""COMPUTED_VALUE"""),"F32")</f>
        <v>F32</v>
      </c>
      <c r="E21" s="3" t="str">
        <f>IFERROR(__xludf.DUMMYFUNCTION("""COMPUTED_VALUE"""),"EJO/2025/01/69")</f>
        <v>EJO/2025/01/69</v>
      </c>
      <c r="F21" s="3" t="str">
        <f>IFERROR(__xludf.DUMMYFUNCTION("""COMPUTED_VALUE"""),"LCD Inverter")</f>
        <v>LCD Inverter</v>
      </c>
      <c r="G21" s="3">
        <f>IFERROR(__xludf.DUMMYFUNCTION("""COMPUTED_VALUE"""),1.0)</f>
        <v>1</v>
      </c>
      <c r="H21" s="3" t="str">
        <f>IFERROR(__xludf.DUMMYFUNCTION("""COMPUTED_VALUE"""),"Pcs")</f>
        <v>Pcs</v>
      </c>
      <c r="I21" s="3" t="str">
        <f>IFERROR(__xludf.DUMMYFUNCTION("""COMPUTED_VALUE"""),"Deliver")</f>
        <v>Deliver</v>
      </c>
      <c r="J21" s="3" t="str">
        <f>IFERROR(__xludf.DUMMYFUNCTION("""COMPUTED_VALUE"""),"-")</f>
        <v>-</v>
      </c>
      <c r="K21" s="3" t="str">
        <f>IFERROR(__xludf.DUMMYFUNCTION("""COMPUTED_VALUE"""),"-")</f>
        <v>-</v>
      </c>
    </row>
    <row r="22">
      <c r="A22" s="3" t="str">
        <f>IFERROR(__xludf.DUMMYFUNCTION("""COMPUTED_VALUE"""),"RIABR0004")</f>
        <v>RIABR0004</v>
      </c>
      <c r="B22" s="4">
        <f>IFERROR(__xludf.DUMMYFUNCTION("""COMPUTED_VALUE"""),45688.2850531713)</f>
        <v>45688.28505</v>
      </c>
      <c r="C22" s="4">
        <f>IFERROR(__xludf.DUMMYFUNCTION("""COMPUTED_VALUE"""),45688.94334115741)</f>
        <v>45688.94334</v>
      </c>
      <c r="D22" s="3" t="str">
        <f>IFERROR(__xludf.DUMMYFUNCTION("""COMPUTED_VALUE"""),"Produksi")</f>
        <v>Produksi</v>
      </c>
      <c r="E22" s="3" t="str">
        <f>IFERROR(__xludf.DUMMYFUNCTION("""COMPUTED_VALUE"""),"EJO/2024/08/49")</f>
        <v>EJO/2024/08/49</v>
      </c>
      <c r="F22" s="3" t="str">
        <f>IFERROR(__xludf.DUMMYFUNCTION("""COMPUTED_VALUE"""),"Baterai Lampu Emergency")</f>
        <v>Baterai Lampu Emergency</v>
      </c>
      <c r="G22" s="3">
        <f>IFERROR(__xludf.DUMMYFUNCTION("""COMPUTED_VALUE"""),10.0)</f>
        <v>10</v>
      </c>
      <c r="H22" s="3" t="str">
        <f>IFERROR(__xludf.DUMMYFUNCTION("""COMPUTED_VALUE"""),"Pcs")</f>
        <v>Pcs</v>
      </c>
      <c r="I22" s="3" t="str">
        <f>IFERROR(__xludf.DUMMYFUNCTION("""COMPUTED_VALUE"""),"Deliver")</f>
        <v>Deliver</v>
      </c>
      <c r="J22" s="3" t="str">
        <f>IFERROR(__xludf.DUMMYFUNCTION("""COMPUTED_VALUE"""),"-")</f>
        <v>-</v>
      </c>
      <c r="K22" s="3" t="str">
        <f>IFERROR(__xludf.DUMMYFUNCTION("""COMPUTED_VALUE"""),"-")</f>
        <v>-</v>
      </c>
    </row>
    <row r="23">
      <c r="A23" s="3" t="str">
        <f>IFERROR(__xludf.DUMMYFUNCTION("""COMPUTED_VALUE"""),"RIABR0005")</f>
        <v>RIABR0005</v>
      </c>
      <c r="B23" s="4">
        <f>IFERROR(__xludf.DUMMYFUNCTION("""COMPUTED_VALUE"""),45688.2909409375)</f>
        <v>45688.29094</v>
      </c>
      <c r="C23" s="4">
        <f>IFERROR(__xludf.DUMMYFUNCTION("""COMPUTED_VALUE"""),45688.94393872686)</f>
        <v>45688.94394</v>
      </c>
      <c r="D23" s="3" t="str">
        <f>IFERROR(__xludf.DUMMYFUNCTION("""COMPUTED_VALUE"""),"HO")</f>
        <v>HO</v>
      </c>
      <c r="E23" s="3" t="str">
        <f>IFERROR(__xludf.DUMMYFUNCTION("""COMPUTED_VALUE"""),"EJO/2024/12/09")</f>
        <v>EJO/2024/12/09</v>
      </c>
      <c r="F23" s="3" t="str">
        <f>IFERROR(__xludf.DUMMYFUNCTION("""COMPUTED_VALUE"""),"Baterai Lampu Emergency")</f>
        <v>Baterai Lampu Emergency</v>
      </c>
      <c r="G23" s="3">
        <f>IFERROR(__xludf.DUMMYFUNCTION("""COMPUTED_VALUE"""),5.0)</f>
        <v>5</v>
      </c>
      <c r="H23" s="3" t="str">
        <f>IFERROR(__xludf.DUMMYFUNCTION("""COMPUTED_VALUE"""),"Pcs")</f>
        <v>Pcs</v>
      </c>
      <c r="I23" s="3" t="str">
        <f>IFERROR(__xludf.DUMMYFUNCTION("""COMPUTED_VALUE"""),"Deliver")</f>
        <v>Deliver</v>
      </c>
      <c r="J23" s="3" t="str">
        <f>IFERROR(__xludf.DUMMYFUNCTION("""COMPUTED_VALUE"""),"-")</f>
        <v>-</v>
      </c>
      <c r="K23" s="3" t="str">
        <f>IFERROR(__xludf.DUMMYFUNCTION("""COMPUTED_VALUE"""),"-")</f>
        <v>-</v>
      </c>
    </row>
    <row r="24">
      <c r="A24" s="3" t="str">
        <f>IFERROR(__xludf.DUMMYFUNCTION("""COMPUTED_VALUE"""),"RIABR0006")</f>
        <v>RIABR0006</v>
      </c>
      <c r="B24" s="4">
        <f>IFERROR(__xludf.DUMMYFUNCTION("""COMPUTED_VALUE"""),45688.29599300926)</f>
        <v>45688.29599</v>
      </c>
      <c r="C24" s="4">
        <f>IFERROR(__xludf.DUMMYFUNCTION("""COMPUTED_VALUE"""),45688.944468553236)</f>
        <v>45688.94447</v>
      </c>
      <c r="D24" s="3" t="str">
        <f>IFERROR(__xludf.DUMMYFUNCTION("""COMPUTED_VALUE"""),"Tangga HO")</f>
        <v>Tangga HO</v>
      </c>
      <c r="E24" s="3" t="str">
        <f>IFERROR(__xludf.DUMMYFUNCTION("""COMPUTED_VALUE"""),"EJO/2024/12/09")</f>
        <v>EJO/2024/12/09</v>
      </c>
      <c r="F24" s="3" t="str">
        <f>IFERROR(__xludf.DUMMYFUNCTION("""COMPUTED_VALUE"""),"Lampu Emergency")</f>
        <v>Lampu Emergency</v>
      </c>
      <c r="G24" s="3">
        <f>IFERROR(__xludf.DUMMYFUNCTION("""COMPUTED_VALUE"""),5.0)</f>
        <v>5</v>
      </c>
      <c r="H24" s="3" t="str">
        <f>IFERROR(__xludf.DUMMYFUNCTION("""COMPUTED_VALUE"""),"Pcs")</f>
        <v>Pcs</v>
      </c>
      <c r="I24" s="3" t="str">
        <f>IFERROR(__xludf.DUMMYFUNCTION("""COMPUTED_VALUE"""),"Deliver")</f>
        <v>Deliver</v>
      </c>
      <c r="J24" s="3" t="str">
        <f>IFERROR(__xludf.DUMMYFUNCTION("""COMPUTED_VALUE"""),"-")</f>
        <v>-</v>
      </c>
      <c r="K24" s="3" t="str">
        <f>IFERROR(__xludf.DUMMYFUNCTION("""COMPUTED_VALUE"""),"-")</f>
        <v>-</v>
      </c>
    </row>
    <row r="25">
      <c r="A25" s="3" t="str">
        <f>IFERROR(__xludf.DUMMYFUNCTION("""COMPUTED_VALUE"""),"ROSBR0006")</f>
        <v>ROSBR0006</v>
      </c>
      <c r="B25" s="4">
        <f>IFERROR(__xludf.DUMMYFUNCTION("""COMPUTED_VALUE"""),45688.42307068287)</f>
        <v>45688.42307</v>
      </c>
      <c r="C25" s="4">
        <f>IFERROR(__xludf.DUMMYFUNCTION("""COMPUTED_VALUE"""),45692.62459615741)</f>
        <v>45692.6246</v>
      </c>
      <c r="D25" s="3" t="str">
        <f>IFERROR(__xludf.DUMMYFUNCTION("""COMPUTED_VALUE"""),"Vial Washing")</f>
        <v>Vial Washing</v>
      </c>
      <c r="E25" s="3" t="str">
        <f>IFERROR(__xludf.DUMMYFUNCTION("""COMPUTED_VALUE"""),"2025/01/151")</f>
        <v>2025/01/151</v>
      </c>
      <c r="F25" s="3" t="str">
        <f>IFERROR(__xludf.DUMMYFUNCTION("""COMPUTED_VALUE"""),"Spray Gun CA")</f>
        <v>Spray Gun CA</v>
      </c>
      <c r="G25" s="3">
        <f>IFERROR(__xludf.DUMMYFUNCTION("""COMPUTED_VALUE"""),2.0)</f>
        <v>2</v>
      </c>
      <c r="H25" s="3" t="str">
        <f>IFERROR(__xludf.DUMMYFUNCTION("""COMPUTED_VALUE"""),"Pcs")</f>
        <v>Pcs</v>
      </c>
      <c r="I25" s="3" t="str">
        <f>IFERROR(__xludf.DUMMYFUNCTION("""COMPUTED_VALUE"""),"Deliver")</f>
        <v>Deliver</v>
      </c>
      <c r="J25" s="3" t="str">
        <f>IFERROR(__xludf.DUMMYFUNCTION("""COMPUTED_VALUE"""),"-")</f>
        <v>-</v>
      </c>
      <c r="K25" s="3" t="str">
        <f>IFERROR(__xludf.DUMMYFUNCTION("""COMPUTED_VALUE"""),"-")</f>
        <v>-</v>
      </c>
    </row>
    <row r="26">
      <c r="A26" s="3" t="str">
        <f>IFERROR(__xludf.DUMMYFUNCTION("""COMPUTED_VALUE"""),"MOBBR0013")</f>
        <v>MOBBR0013</v>
      </c>
      <c r="B26" s="4">
        <f>IFERROR(__xludf.DUMMYFUNCTION("""COMPUTED_VALUE"""),45691.60329695602)</f>
        <v>45691.6033</v>
      </c>
      <c r="C26" s="4">
        <f>IFERROR(__xludf.DUMMYFUNCTION("""COMPUTED_VALUE"""),45692.39737899305)</f>
        <v>45692.39738</v>
      </c>
      <c r="D26" s="3" t="str">
        <f>IFERROR(__xludf.DUMMYFUNCTION("""COMPUTED_VALUE"""),"WFI SKID")</f>
        <v>WFI SKID</v>
      </c>
      <c r="E26" s="3" t="str">
        <f>IFERROR(__xludf.DUMMYFUNCTION("""COMPUTED_VALUE"""),"EJO/2025/01/11")</f>
        <v>EJO/2025/01/11</v>
      </c>
      <c r="F26" s="3" t="str">
        <f>IFERROR(__xludf.DUMMYFUNCTION("""COMPUTED_VALUE"""),"PG Spirax Sarco")</f>
        <v>PG Spirax Sarco</v>
      </c>
      <c r="G26" s="3">
        <f>IFERROR(__xludf.DUMMYFUNCTION("""COMPUTED_VALUE"""),2.0)</f>
        <v>2</v>
      </c>
      <c r="H26" s="3" t="str">
        <f>IFERROR(__xludf.DUMMYFUNCTION("""COMPUTED_VALUE"""),"Pcs")</f>
        <v>Pcs</v>
      </c>
      <c r="I26" s="3" t="str">
        <f>IFERROR(__xludf.DUMMYFUNCTION("""COMPUTED_VALUE"""),"Deliver")</f>
        <v>Deliver</v>
      </c>
      <c r="J26" s="3" t="str">
        <f>IFERROR(__xludf.DUMMYFUNCTION("""COMPUTED_VALUE"""),"-")</f>
        <v>-</v>
      </c>
      <c r="K26" s="3" t="str">
        <f>IFERROR(__xludf.DUMMYFUNCTION("""COMPUTED_VALUE"""),"-")</f>
        <v>-</v>
      </c>
    </row>
    <row r="27">
      <c r="A27" s="3" t="str">
        <f>IFERROR(__xludf.DUMMYFUNCTION("""COMPUTED_VALUE"""),"MOBBR0014")</f>
        <v>MOBBR0014</v>
      </c>
      <c r="B27" s="4">
        <f>IFERROR(__xludf.DUMMYFUNCTION("""COMPUTED_VALUE"""),45691.621258287036)</f>
        <v>45691.62126</v>
      </c>
      <c r="C27" s="4">
        <f>IFERROR(__xludf.DUMMYFUNCTION("""COMPUTED_VALUE"""),45692.39880653936)</f>
        <v>45692.39881</v>
      </c>
      <c r="D27" s="3" t="str">
        <f>IFERROR(__xludf.DUMMYFUNCTION("""COMPUTED_VALUE"""),"N2 Generator")</f>
        <v>N2 Generator</v>
      </c>
      <c r="E27" s="3" t="str">
        <f>IFERROR(__xludf.DUMMYFUNCTION("""COMPUTED_VALUE"""),"EJO/2024/12/161")</f>
        <v>EJO/2024/12/161</v>
      </c>
      <c r="F27" s="3" t="str">
        <f>IFERROR(__xludf.DUMMYFUNCTION("""COMPUTED_VALUE"""),"Male Connection")</f>
        <v>Male Connection</v>
      </c>
      <c r="G27" s="3">
        <f>IFERROR(__xludf.DUMMYFUNCTION("""COMPUTED_VALUE"""),6.0)</f>
        <v>6</v>
      </c>
      <c r="H27" s="3" t="str">
        <f>IFERROR(__xludf.DUMMYFUNCTION("""COMPUTED_VALUE"""),"Pcs")</f>
        <v>Pcs</v>
      </c>
      <c r="I27" s="3" t="str">
        <f>IFERROR(__xludf.DUMMYFUNCTION("""COMPUTED_VALUE"""),"Deliver")</f>
        <v>Deliver</v>
      </c>
      <c r="J27" s="3" t="str">
        <f>IFERROR(__xludf.DUMMYFUNCTION("""COMPUTED_VALUE"""),"-")</f>
        <v>-</v>
      </c>
      <c r="K27" s="3" t="str">
        <f>IFERROR(__xludf.DUMMYFUNCTION("""COMPUTED_VALUE"""),"-")</f>
        <v>-</v>
      </c>
    </row>
    <row r="28">
      <c r="A28" s="3" t="str">
        <f>IFERROR(__xludf.DUMMYFUNCTION("""COMPUTED_VALUE"""),"MOBBR0015")</f>
        <v>MOBBR0015</v>
      </c>
      <c r="B28" s="4">
        <f>IFERROR(__xludf.DUMMYFUNCTION("""COMPUTED_VALUE"""),45691.63591788194)</f>
        <v>45691.63592</v>
      </c>
      <c r="C28" s="4">
        <f>IFERROR(__xludf.DUMMYFUNCTION("""COMPUTED_VALUE"""),45692.398586180556)</f>
        <v>45692.39859</v>
      </c>
      <c r="D28" s="3" t="str">
        <f>IFERROR(__xludf.DUMMYFUNCTION("""COMPUTED_VALUE"""),"N2 Generator")</f>
        <v>N2 Generator</v>
      </c>
      <c r="E28" s="3" t="str">
        <f>IFERROR(__xludf.DUMMYFUNCTION("""COMPUTED_VALUE"""),"EJO/2024/12/161")</f>
        <v>EJO/2024/12/161</v>
      </c>
      <c r="F28" s="3" t="str">
        <f>IFERROR(__xludf.DUMMYFUNCTION("""COMPUTED_VALUE"""),"Elbow Male Connection")</f>
        <v>Elbow Male Connection</v>
      </c>
      <c r="G28" s="3">
        <f>IFERROR(__xludf.DUMMYFUNCTION("""COMPUTED_VALUE"""),6.0)</f>
        <v>6</v>
      </c>
      <c r="H28" s="3" t="str">
        <f>IFERROR(__xludf.DUMMYFUNCTION("""COMPUTED_VALUE"""),"Pcs")</f>
        <v>Pcs</v>
      </c>
      <c r="I28" s="3" t="str">
        <f>IFERROR(__xludf.DUMMYFUNCTION("""COMPUTED_VALUE"""),"Deliver")</f>
        <v>Deliver</v>
      </c>
      <c r="J28" s="3" t="str">
        <f>IFERROR(__xludf.DUMMYFUNCTION("""COMPUTED_VALUE"""),"-")</f>
        <v>-</v>
      </c>
      <c r="K28" s="3" t="str">
        <f>IFERROR(__xludf.DUMMYFUNCTION("""COMPUTED_VALUE"""),"-")</f>
        <v>-</v>
      </c>
    </row>
    <row r="29">
      <c r="A29" s="3" t="str">
        <f>IFERROR(__xludf.DUMMYFUNCTION("""COMPUTED_VALUE"""),"RIABR0007")</f>
        <v>RIABR0007</v>
      </c>
      <c r="B29" s="4">
        <f>IFERROR(__xludf.DUMMYFUNCTION("""COMPUTED_VALUE"""),45691.657104432874)</f>
        <v>45691.6571</v>
      </c>
      <c r="C29" s="4">
        <f>IFERROR(__xludf.DUMMYFUNCTION("""COMPUTED_VALUE"""),45692.42265736111)</f>
        <v>45692.42266</v>
      </c>
      <c r="D29" s="3" t="str">
        <f>IFERROR(__xludf.DUMMYFUNCTION("""COMPUTED_VALUE"""),"Cooling Water")</f>
        <v>Cooling Water</v>
      </c>
      <c r="E29" s="3" t="str">
        <f>IFERROR(__xludf.DUMMYFUNCTION("""COMPUTED_VALUE"""),"EJO/2024/12/138")</f>
        <v>EJO/2024/12/138</v>
      </c>
      <c r="F29" s="3" t="str">
        <f>IFERROR(__xludf.DUMMYFUNCTION("""COMPUTED_VALUE"""),"Solenoid Valve")</f>
        <v>Solenoid Valve</v>
      </c>
      <c r="G29" s="3">
        <f>IFERROR(__xludf.DUMMYFUNCTION("""COMPUTED_VALUE"""),3.0)</f>
        <v>3</v>
      </c>
      <c r="H29" s="3" t="str">
        <f>IFERROR(__xludf.DUMMYFUNCTION("""COMPUTED_VALUE"""),"Pcs")</f>
        <v>Pcs</v>
      </c>
      <c r="I29" s="3" t="str">
        <f>IFERROR(__xludf.DUMMYFUNCTION("""COMPUTED_VALUE"""),"Deliver")</f>
        <v>Deliver</v>
      </c>
      <c r="J29" s="3" t="str">
        <f>IFERROR(__xludf.DUMMYFUNCTION("""COMPUTED_VALUE"""),"-")</f>
        <v>-</v>
      </c>
      <c r="K29" s="3" t="str">
        <f>IFERROR(__xludf.DUMMYFUNCTION("""COMPUTED_VALUE"""),"-")</f>
        <v>-</v>
      </c>
    </row>
    <row r="30">
      <c r="A30" s="3" t="str">
        <f>IFERROR(__xludf.DUMMYFUNCTION("""COMPUTED_VALUE"""),"MRNBR0002")</f>
        <v>MRNBR0002</v>
      </c>
      <c r="B30" s="4">
        <f>IFERROR(__xludf.DUMMYFUNCTION("""COMPUTED_VALUE"""),45691.94213246529)</f>
        <v>45691.94213</v>
      </c>
      <c r="C30" s="4">
        <f>IFERROR(__xludf.DUMMYFUNCTION("""COMPUTED_VALUE"""),45694.63235770833)</f>
        <v>45694.63236</v>
      </c>
      <c r="D30" s="3" t="str">
        <f>IFERROR(__xludf.DUMMYFUNCTION("""COMPUTED_VALUE"""),"hot water")</f>
        <v>hot water</v>
      </c>
      <c r="E30" s="3" t="str">
        <f>IFERROR(__xludf.DUMMYFUNCTION("""COMPUTED_VALUE"""),"Ejo/2025/01/118")</f>
        <v>Ejo/2025/01/118</v>
      </c>
      <c r="F30" s="3" t="str">
        <f>IFERROR(__xludf.DUMMYFUNCTION("""COMPUTED_VALUE"""),"wafer check valve")</f>
        <v>wafer check valve</v>
      </c>
      <c r="G30" s="3">
        <f>IFERROR(__xludf.DUMMYFUNCTION("""COMPUTED_VALUE"""),2.0)</f>
        <v>2</v>
      </c>
      <c r="H30" s="3" t="str">
        <f>IFERROR(__xludf.DUMMYFUNCTION("""COMPUTED_VALUE"""),"pcs")</f>
        <v>pcs</v>
      </c>
      <c r="I30" s="3" t="str">
        <f>IFERROR(__xludf.DUMMYFUNCTION("""COMPUTED_VALUE"""),"Deliver")</f>
        <v>Deliver</v>
      </c>
      <c r="J30" s="3" t="str">
        <f>IFERROR(__xludf.DUMMYFUNCTION("""COMPUTED_VALUE"""),"-")</f>
        <v>-</v>
      </c>
      <c r="K30" s="3" t="str">
        <f>IFERROR(__xludf.DUMMYFUNCTION("""COMPUTED_VALUE"""),"-")</f>
        <v>-</v>
      </c>
    </row>
    <row r="31">
      <c r="A31" s="3" t="str">
        <f>IFERROR(__xludf.DUMMYFUNCTION("""COMPUTED_VALUE"""),"RIABR0008")</f>
        <v>RIABR0008</v>
      </c>
      <c r="B31" s="4">
        <f>IFERROR(__xludf.DUMMYFUNCTION("""COMPUTED_VALUE"""),45692.57083173611)</f>
        <v>45692.57083</v>
      </c>
      <c r="C31" s="4">
        <f>IFERROR(__xludf.DUMMYFUNCTION("""COMPUTED_VALUE"""),45694.744651712965)</f>
        <v>45694.74465</v>
      </c>
      <c r="D31" s="3" t="str">
        <f>IFERROR(__xludf.DUMMYFUNCTION("""COMPUTED_VALUE"""),"Hot Water")</f>
        <v>Hot Water</v>
      </c>
      <c r="E31" s="3" t="str">
        <f>IFERROR(__xludf.DUMMYFUNCTION("""COMPUTED_VALUE"""),"EJO/2025/01/34")</f>
        <v>EJO/2025/01/34</v>
      </c>
      <c r="F31" s="3" t="str">
        <f>IFERROR(__xludf.DUMMYFUNCTION("""COMPUTED_VALUE"""),"Filter Panel")</f>
        <v>Filter Panel</v>
      </c>
      <c r="G31" s="3">
        <f>IFERROR(__xludf.DUMMYFUNCTION("""COMPUTED_VALUE"""),2.0)</f>
        <v>2</v>
      </c>
      <c r="H31" s="3" t="str">
        <f>IFERROR(__xludf.DUMMYFUNCTION("""COMPUTED_VALUE"""),"Pcs")</f>
        <v>Pcs</v>
      </c>
      <c r="I31" s="3" t="str">
        <f>IFERROR(__xludf.DUMMYFUNCTION("""COMPUTED_VALUE"""),"Deliver")</f>
        <v>Deliver</v>
      </c>
      <c r="J31" s="3" t="str">
        <f>IFERROR(__xludf.DUMMYFUNCTION("""COMPUTED_VALUE"""),"-")</f>
        <v>-</v>
      </c>
      <c r="K31" s="3" t="str">
        <f>IFERROR(__xludf.DUMMYFUNCTION("""COMPUTED_VALUE"""),"-")</f>
        <v>-</v>
      </c>
    </row>
    <row r="32">
      <c r="A32" s="3" t="str">
        <f>IFERROR(__xludf.DUMMYFUNCTION("""COMPUTED_VALUE"""),"RIABR0009")</f>
        <v>RIABR0009</v>
      </c>
      <c r="B32" s="4">
        <f>IFERROR(__xludf.DUMMYFUNCTION("""COMPUTED_VALUE"""),45692.575986041666)</f>
        <v>45692.57599</v>
      </c>
      <c r="C32" s="4">
        <f>IFERROR(__xludf.DUMMYFUNCTION("""COMPUTED_VALUE"""),46202.91479916667)</f>
        <v>46202.9148</v>
      </c>
      <c r="D32" s="3" t="str">
        <f>IFERROR(__xludf.DUMMYFUNCTION("""COMPUTED_VALUE"""),"WWTP")</f>
        <v>WWTP</v>
      </c>
      <c r="E32" s="3" t="str">
        <f>IFERROR(__xludf.DUMMYFUNCTION("""COMPUTED_VALUE"""),"EJO/2024/08/58")</f>
        <v>EJO/2024/08/58</v>
      </c>
      <c r="F32" s="3" t="str">
        <f>IFERROR(__xludf.DUMMYFUNCTION("""COMPUTED_VALUE"""),"Pompa Transfer")</f>
        <v>Pompa Transfer</v>
      </c>
      <c r="G32" s="3">
        <f>IFERROR(__xludf.DUMMYFUNCTION("""COMPUTED_VALUE"""),2.0)</f>
        <v>2</v>
      </c>
      <c r="H32" s="3" t="str">
        <f>IFERROR(__xludf.DUMMYFUNCTION("""COMPUTED_VALUE"""),"Pcs")</f>
        <v>Pcs</v>
      </c>
      <c r="I32" s="3" t="str">
        <f>IFERROR(__xludf.DUMMYFUNCTION("""COMPUTED_VALUE"""),"Proses PR")</f>
        <v>Proses PR</v>
      </c>
      <c r="J32" s="3" t="str">
        <f>IFERROR(__xludf.DUMMYFUNCTION("""COMPUTED_VALUE"""),"-")</f>
        <v>-</v>
      </c>
      <c r="K32" s="3" t="str">
        <f>IFERROR(__xludf.DUMMYFUNCTION("""COMPUTED_VALUE"""),"-")</f>
        <v>-</v>
      </c>
    </row>
    <row r="33">
      <c r="A33" s="3" t="str">
        <f>IFERROR(__xludf.DUMMYFUNCTION("""COMPUTED_VALUE"""),"RIABR0011")</f>
        <v>RIABR0011</v>
      </c>
      <c r="B33" s="4">
        <f>IFERROR(__xludf.DUMMYFUNCTION("""COMPUTED_VALUE"""),45692.68169960647)</f>
        <v>45692.6817</v>
      </c>
      <c r="C33" s="4">
        <f>IFERROR(__xludf.DUMMYFUNCTION("""COMPUTED_VALUE"""),45694.746460925926)</f>
        <v>45694.74646</v>
      </c>
      <c r="D33" s="3" t="str">
        <f>IFERROR(__xludf.DUMMYFUNCTION("""COMPUTED_VALUE"""),"WWTP")</f>
        <v>WWTP</v>
      </c>
      <c r="E33" s="3" t="str">
        <f>IFERROR(__xludf.DUMMYFUNCTION("""COMPUTED_VALUE"""),"EJO/2024/12/153")</f>
        <v>EJO/2024/12/153</v>
      </c>
      <c r="F33" s="3" t="str">
        <f>IFERROR(__xludf.DUMMYFUNCTION("""COMPUTED_VALUE"""),"Level Switch")</f>
        <v>Level Switch</v>
      </c>
      <c r="G33" s="3">
        <f>IFERROR(__xludf.DUMMYFUNCTION("""COMPUTED_VALUE"""),2.0)</f>
        <v>2</v>
      </c>
      <c r="H33" s="3" t="str">
        <f>IFERROR(__xludf.DUMMYFUNCTION("""COMPUTED_VALUE"""),"Set")</f>
        <v>Set</v>
      </c>
      <c r="I33" s="3" t="str">
        <f>IFERROR(__xludf.DUMMYFUNCTION("""COMPUTED_VALUE"""),"Deliver")</f>
        <v>Deliver</v>
      </c>
      <c r="J33" s="3" t="str">
        <f>IFERROR(__xludf.DUMMYFUNCTION("""COMPUTED_VALUE"""),"-")</f>
        <v>-</v>
      </c>
      <c r="K33" s="3" t="str">
        <f>IFERROR(__xludf.DUMMYFUNCTION("""COMPUTED_VALUE"""),"-")</f>
        <v>-</v>
      </c>
    </row>
    <row r="34">
      <c r="A34" s="3" t="str">
        <f>IFERROR(__xludf.DUMMYFUNCTION("""COMPUTED_VALUE"""),"NDSBR0001")</f>
        <v>NDSBR0001</v>
      </c>
      <c r="B34" s="4">
        <f>IFERROR(__xludf.DUMMYFUNCTION("""COMPUTED_VALUE"""),45694.59800484953)</f>
        <v>45694.598</v>
      </c>
      <c r="C34" s="4">
        <f>IFERROR(__xludf.DUMMYFUNCTION("""COMPUTED_VALUE"""),45720.66549532408)</f>
        <v>45720.6655</v>
      </c>
      <c r="D34" s="3" t="str">
        <f>IFERROR(__xludf.DUMMYFUNCTION("""COMPUTED_VALUE"""),"Filling")</f>
        <v>Filling</v>
      </c>
      <c r="E34" s="3" t="str">
        <f>IFERROR(__xludf.DUMMYFUNCTION("""COMPUTED_VALUE"""),"EJO/2025/01/68")</f>
        <v>EJO/2025/01/68</v>
      </c>
      <c r="F34" s="3" t="str">
        <f>IFERROR(__xludf.DUMMYFUNCTION("""COMPUTED_VALUE"""),"Clamp Ferrule")</f>
        <v>Clamp Ferrule</v>
      </c>
      <c r="G34" s="3">
        <f>IFERROR(__xludf.DUMMYFUNCTION("""COMPUTED_VALUE"""),10.0)</f>
        <v>10</v>
      </c>
      <c r="H34" s="3" t="str">
        <f>IFERROR(__xludf.DUMMYFUNCTION("""COMPUTED_VALUE"""),"Pcs")</f>
        <v>Pcs</v>
      </c>
      <c r="I34" s="3" t="str">
        <f>IFERROR(__xludf.DUMMYFUNCTION("""COMPUTED_VALUE"""),"Deliver")</f>
        <v>Deliver</v>
      </c>
      <c r="J34" s="3" t="str">
        <f>IFERROR(__xludf.DUMMYFUNCTION("""COMPUTED_VALUE"""),"-")</f>
        <v>-</v>
      </c>
      <c r="K34" s="3" t="str">
        <f>IFERROR(__xludf.DUMMYFUNCTION("""COMPUTED_VALUE"""),"-")</f>
        <v>-</v>
      </c>
    </row>
    <row r="35">
      <c r="A35" s="3" t="str">
        <f>IFERROR(__xludf.DUMMYFUNCTION("""COMPUTED_VALUE"""),"SFHBR0003")</f>
        <v>SFHBR0003</v>
      </c>
      <c r="B35" s="4">
        <f>IFERROR(__xludf.DUMMYFUNCTION("""COMPUTED_VALUE"""),45695.55478181713)</f>
        <v>45695.55478</v>
      </c>
      <c r="C35" s="4">
        <f>IFERROR(__xludf.DUMMYFUNCTION("""COMPUTED_VALUE"""),45698.63344725694)</f>
        <v>45698.63345</v>
      </c>
      <c r="D35" s="3" t="str">
        <f>IFERROR(__xludf.DUMMYFUNCTION("""COMPUTED_VALUE"""),"lantai 2")</f>
        <v>lantai 2</v>
      </c>
      <c r="E35" s="3" t="str">
        <f>IFERROR(__xludf.DUMMYFUNCTION("""COMPUTED_VALUE"""),"-")</f>
        <v>-</v>
      </c>
      <c r="F35" s="3" t="str">
        <f>IFERROR(__xludf.DUMMYFUNCTION("""COMPUTED_VALUE"""),"coumpond sandwich")</f>
        <v>coumpond sandwich</v>
      </c>
      <c r="G35" s="3">
        <f>IFERROR(__xludf.DUMMYFUNCTION("""COMPUTED_VALUE"""),4.0)</f>
        <v>4</v>
      </c>
      <c r="H35" s="3" t="str">
        <f>IFERROR(__xludf.DUMMYFUNCTION("""COMPUTED_VALUE"""),"kg")</f>
        <v>kg</v>
      </c>
      <c r="I35" s="3" t="str">
        <f>IFERROR(__xludf.DUMMYFUNCTION("""COMPUTED_VALUE"""),"Deliver")</f>
        <v>Deliver</v>
      </c>
      <c r="J35" s="3" t="str">
        <f>IFERROR(__xludf.DUMMYFUNCTION("""COMPUTED_VALUE"""),"-")</f>
        <v>-</v>
      </c>
      <c r="K35" s="3" t="str">
        <f>IFERROR(__xludf.DUMMYFUNCTION("""COMPUTED_VALUE"""),"-")</f>
        <v>-</v>
      </c>
    </row>
    <row r="36">
      <c r="A36" s="3" t="str">
        <f>IFERROR(__xludf.DUMMYFUNCTION("""COMPUTED_VALUE"""),"SFHBR0004")</f>
        <v>SFHBR0004</v>
      </c>
      <c r="B36" s="4">
        <f>IFERROR(__xludf.DUMMYFUNCTION("""COMPUTED_VALUE"""),45695.56057479166)</f>
        <v>45695.56057</v>
      </c>
      <c r="C36" s="4">
        <f>IFERROR(__xludf.DUMMYFUNCTION("""COMPUTED_VALUE"""),45698.631758738426)</f>
        <v>45698.63176</v>
      </c>
      <c r="D36" s="3" t="str">
        <f>IFERROR(__xludf.DUMMYFUNCTION("""COMPUTED_VALUE"""),"lantai 2")</f>
        <v>lantai 2</v>
      </c>
      <c r="E36" s="3" t="str">
        <f>IFERROR(__xludf.DUMMYFUNCTION("""COMPUTED_VALUE"""),"-")</f>
        <v>-</v>
      </c>
      <c r="F36" s="3" t="str">
        <f>IFERROR(__xludf.DUMMYFUNCTION("""COMPUTED_VALUE"""),"semen putih")</f>
        <v>semen putih</v>
      </c>
      <c r="G36" s="3">
        <f>IFERROR(__xludf.DUMMYFUNCTION("""COMPUTED_VALUE"""),80.0)</f>
        <v>80</v>
      </c>
      <c r="H36" s="3" t="str">
        <f>IFERROR(__xludf.DUMMYFUNCTION("""COMPUTED_VALUE"""),"kg")</f>
        <v>kg</v>
      </c>
      <c r="I36" s="3" t="str">
        <f>IFERROR(__xludf.DUMMYFUNCTION("""COMPUTED_VALUE"""),"Deliver")</f>
        <v>Deliver</v>
      </c>
      <c r="J36" s="3" t="str">
        <f>IFERROR(__xludf.DUMMYFUNCTION("""COMPUTED_VALUE"""),"-")</f>
        <v>-</v>
      </c>
      <c r="K36" s="3" t="str">
        <f>IFERROR(__xludf.DUMMYFUNCTION("""COMPUTED_VALUE"""),"-")</f>
        <v>-</v>
      </c>
    </row>
    <row r="37">
      <c r="A37" s="3" t="str">
        <f>IFERROR(__xludf.DUMMYFUNCTION("""COMPUTED_VALUE"""),"RIABR0012")</f>
        <v>RIABR0012</v>
      </c>
      <c r="B37" s="4">
        <f>IFERROR(__xludf.DUMMYFUNCTION("""COMPUTED_VALUE"""),45696.26774259259)</f>
        <v>45696.26774</v>
      </c>
      <c r="C37" s="4">
        <f>IFERROR(__xludf.DUMMYFUNCTION("""COMPUTED_VALUE"""),45698.6343947338)</f>
        <v>45698.63439</v>
      </c>
      <c r="D37" s="3" t="str">
        <f>IFERROR(__xludf.DUMMYFUNCTION("""COMPUTED_VALUE"""),"Building Lt 4")</f>
        <v>Building Lt 4</v>
      </c>
      <c r="E37" s="3" t="str">
        <f>IFERROR(__xludf.DUMMYFUNCTION("""COMPUTED_VALUE"""),"EJO/2024/12/68")</f>
        <v>EJO/2024/12/68</v>
      </c>
      <c r="F37" s="3" t="str">
        <f>IFERROR(__xludf.DUMMYFUNCTION("""COMPUTED_VALUE"""),"Ballast")</f>
        <v>Ballast</v>
      </c>
      <c r="G37" s="3">
        <f>IFERROR(__xludf.DUMMYFUNCTION("""COMPUTED_VALUE"""),2.0)</f>
        <v>2</v>
      </c>
      <c r="H37" s="3" t="str">
        <f>IFERROR(__xludf.DUMMYFUNCTION("""COMPUTED_VALUE"""),"Pcs")</f>
        <v>Pcs</v>
      </c>
      <c r="I37" s="3" t="str">
        <f>IFERROR(__xludf.DUMMYFUNCTION("""COMPUTED_VALUE"""),"Deliver")</f>
        <v>Deliver</v>
      </c>
      <c r="J37" s="3" t="str">
        <f>IFERROR(__xludf.DUMMYFUNCTION("""COMPUTED_VALUE"""),"-")</f>
        <v>-</v>
      </c>
      <c r="K37" s="3" t="str">
        <f>IFERROR(__xludf.DUMMYFUNCTION("""COMPUTED_VALUE"""),"-")</f>
        <v>-</v>
      </c>
    </row>
    <row r="38">
      <c r="A38" s="3" t="str">
        <f>IFERROR(__xludf.DUMMYFUNCTION("""COMPUTED_VALUE"""),"RIABR0013")</f>
        <v>RIABR0013</v>
      </c>
      <c r="B38" s="4">
        <f>IFERROR(__xludf.DUMMYFUNCTION("""COMPUTED_VALUE"""),45696.27971736111)</f>
        <v>45696.27972</v>
      </c>
      <c r="C38" s="4">
        <f>IFERROR(__xludf.DUMMYFUNCTION("""COMPUTED_VALUE"""),45698.6346064699)</f>
        <v>45698.63461</v>
      </c>
      <c r="D38" s="3" t="str">
        <f>IFERROR(__xludf.DUMMYFUNCTION("""COMPUTED_VALUE"""),"Building Lt 4")</f>
        <v>Building Lt 4</v>
      </c>
      <c r="E38" s="3" t="str">
        <f>IFERROR(__xludf.DUMMYFUNCTION("""COMPUTED_VALUE"""),"EJO/2024/12/68")</f>
        <v>EJO/2024/12/68</v>
      </c>
      <c r="F38" s="3" t="str">
        <f>IFERROR(__xludf.DUMMYFUNCTION("""COMPUTED_VALUE"""),"Lampu LED")</f>
        <v>Lampu LED</v>
      </c>
      <c r="G38" s="3">
        <f>IFERROR(__xludf.DUMMYFUNCTION("""COMPUTED_VALUE"""),20.0)</f>
        <v>20</v>
      </c>
      <c r="H38" s="3" t="str">
        <f>IFERROR(__xludf.DUMMYFUNCTION("""COMPUTED_VALUE"""),"Pcs")</f>
        <v>Pcs</v>
      </c>
      <c r="I38" s="3" t="str">
        <f>IFERROR(__xludf.DUMMYFUNCTION("""COMPUTED_VALUE"""),"Deliver")</f>
        <v>Deliver</v>
      </c>
      <c r="J38" s="3" t="str">
        <f>IFERROR(__xludf.DUMMYFUNCTION("""COMPUTED_VALUE"""),"-")</f>
        <v>-</v>
      </c>
      <c r="K38" s="3" t="str">
        <f>IFERROR(__xludf.DUMMYFUNCTION("""COMPUTED_VALUE"""),"-")</f>
        <v>-</v>
      </c>
    </row>
    <row r="39">
      <c r="A39" s="3" t="str">
        <f>IFERROR(__xludf.DUMMYFUNCTION("""COMPUTED_VALUE"""),"RIABR0014")</f>
        <v>RIABR0014</v>
      </c>
      <c r="B39" s="4">
        <f>IFERROR(__xludf.DUMMYFUNCTION("""COMPUTED_VALUE"""),45696.29381403935)</f>
        <v>45696.29381</v>
      </c>
      <c r="C39" s="4">
        <f>IFERROR(__xludf.DUMMYFUNCTION("""COMPUTED_VALUE"""),45698.635704884255)</f>
        <v>45698.6357</v>
      </c>
      <c r="D39" s="3" t="str">
        <f>IFERROR(__xludf.DUMMYFUNCTION("""COMPUTED_VALUE"""),"WWTP")</f>
        <v>WWTP</v>
      </c>
      <c r="E39" s="3" t="str">
        <f>IFERROR(__xludf.DUMMYFUNCTION("""COMPUTED_VALUE"""),"EJO/2025/02/45")</f>
        <v>EJO/2025/02/45</v>
      </c>
      <c r="F39" s="3" t="str">
        <f>IFERROR(__xludf.DUMMYFUNCTION("""COMPUTED_VALUE"""),"Solenoid Valve")</f>
        <v>Solenoid Valve</v>
      </c>
      <c r="G39" s="3">
        <f>IFERROR(__xludf.DUMMYFUNCTION("""COMPUTED_VALUE"""),3.0)</f>
        <v>3</v>
      </c>
      <c r="H39" s="3" t="str">
        <f>IFERROR(__xludf.DUMMYFUNCTION("""COMPUTED_VALUE"""),"Pcs")</f>
        <v>Pcs</v>
      </c>
      <c r="I39" s="3" t="str">
        <f>IFERROR(__xludf.DUMMYFUNCTION("""COMPUTED_VALUE"""),"Deliver")</f>
        <v>Deliver</v>
      </c>
      <c r="J39" s="3" t="str">
        <f>IFERROR(__xludf.DUMMYFUNCTION("""COMPUTED_VALUE"""),"-")</f>
        <v>-</v>
      </c>
      <c r="K39" s="3" t="str">
        <f>IFERROR(__xludf.DUMMYFUNCTION("""COMPUTED_VALUE"""),"-")</f>
        <v>-</v>
      </c>
    </row>
    <row r="40">
      <c r="A40" s="3" t="str">
        <f>IFERROR(__xludf.DUMMYFUNCTION("""COMPUTED_VALUE"""),"INNBR0001")</f>
        <v>INNBR0001</v>
      </c>
      <c r="B40" s="4">
        <f>IFERROR(__xludf.DUMMYFUNCTION("""COMPUTED_VALUE"""),45697.703081736116)</f>
        <v>45697.70308</v>
      </c>
      <c r="C40" s="4">
        <f>IFERROR(__xludf.DUMMYFUNCTION("""COMPUTED_VALUE"""),45720.94721150463)</f>
        <v>45720.94721</v>
      </c>
      <c r="D40" s="3" t="str">
        <f>IFERROR(__xludf.DUMMYFUNCTION("""COMPUTED_VALUE"""),"Cartoning")</f>
        <v>Cartoning</v>
      </c>
      <c r="E40" s="3" t="str">
        <f>IFERROR(__xludf.DUMMYFUNCTION("""COMPUTED_VALUE"""),"-")</f>
        <v>-</v>
      </c>
      <c r="F40" s="3" t="str">
        <f>IFERROR(__xludf.DUMMYFUNCTION("""COMPUTED_VALUE"""),"Toothed belt 240 L 075")</f>
        <v>Toothed belt 240 L 075</v>
      </c>
      <c r="G40" s="3">
        <f>IFERROR(__xludf.DUMMYFUNCTION("""COMPUTED_VALUE"""),1.0)</f>
        <v>1</v>
      </c>
      <c r="H40" s="3" t="str">
        <f>IFERROR(__xludf.DUMMYFUNCTION("""COMPUTED_VALUE"""),"Pcs")</f>
        <v>Pcs</v>
      </c>
      <c r="I40" s="3" t="str">
        <f>IFERROR(__xludf.DUMMYFUNCTION("""COMPUTED_VALUE"""),"Deliver")</f>
        <v>Deliver</v>
      </c>
      <c r="J40" s="3" t="str">
        <f>IFERROR(__xludf.DUMMYFUNCTION("""COMPUTED_VALUE"""),"-")</f>
        <v>-</v>
      </c>
      <c r="K40" s="3" t="str">
        <f>IFERROR(__xludf.DUMMYFUNCTION("""COMPUTED_VALUE"""),"-")</f>
        <v>-</v>
      </c>
    </row>
    <row r="41">
      <c r="A41" s="3" t="str">
        <f>IFERROR(__xludf.DUMMYFUNCTION("""COMPUTED_VALUE"""),"INNBR0002")</f>
        <v>INNBR0002</v>
      </c>
      <c r="B41" s="4">
        <f>IFERROR(__xludf.DUMMYFUNCTION("""COMPUTED_VALUE"""),45697.70315533565)</f>
        <v>45697.70316</v>
      </c>
      <c r="C41" s="4">
        <f>IFERROR(__xludf.DUMMYFUNCTION("""COMPUTED_VALUE"""),45736.696994398146)</f>
        <v>45736.69699</v>
      </c>
      <c r="D41" s="3" t="str">
        <f>IFERROR(__xludf.DUMMYFUNCTION("""COMPUTED_VALUE"""),"Cartoning")</f>
        <v>Cartoning</v>
      </c>
      <c r="E41" s="3" t="str">
        <f>IFERROR(__xludf.DUMMYFUNCTION("""COMPUTED_VALUE"""),"-")</f>
        <v>-</v>
      </c>
      <c r="F41" s="3" t="str">
        <f>IFERROR(__xludf.DUMMYFUNCTION("""COMPUTED_VALUE"""),"Spring plate")</f>
        <v>Spring plate</v>
      </c>
      <c r="G41" s="3">
        <f>IFERROR(__xludf.DUMMYFUNCTION("""COMPUTED_VALUE"""),6.0)</f>
        <v>6</v>
      </c>
      <c r="H41" s="3" t="str">
        <f>IFERROR(__xludf.DUMMYFUNCTION("""COMPUTED_VALUE"""),"Pcs")</f>
        <v>Pcs</v>
      </c>
      <c r="I41" s="3" t="str">
        <f>IFERROR(__xludf.DUMMYFUNCTION("""COMPUTED_VALUE"""),"Deliver")</f>
        <v>Deliver</v>
      </c>
      <c r="J41" s="3" t="str">
        <f>IFERROR(__xludf.DUMMYFUNCTION("""COMPUTED_VALUE"""),"121703643 - APPROVED")</f>
        <v>121703643 - APPROVED</v>
      </c>
      <c r="K41" s="3" t="str">
        <f>IFERROR(__xludf.DUMMYFUNCTION("""COMPUTED_VALUE"""),"GL2602373")</f>
        <v>GL2602373</v>
      </c>
    </row>
    <row r="42">
      <c r="A42" s="3" t="str">
        <f>IFERROR(__xludf.DUMMYFUNCTION("""COMPUTED_VALUE"""),"INNBR0010")</f>
        <v>INNBR0010</v>
      </c>
      <c r="B42" s="4">
        <f>IFERROR(__xludf.DUMMYFUNCTION("""COMPUTED_VALUE"""),45697.70315533565)</f>
        <v>45697.70316</v>
      </c>
      <c r="C42" s="4">
        <f>IFERROR(__xludf.DUMMYFUNCTION("""COMPUTED_VALUE"""),45712.98077650463)</f>
        <v>45712.98078</v>
      </c>
      <c r="D42" s="3" t="str">
        <f>IFERROR(__xludf.DUMMYFUNCTION("""COMPUTED_VALUE"""),"Cartoning")</f>
        <v>Cartoning</v>
      </c>
      <c r="E42" s="3" t="str">
        <f>IFERROR(__xludf.DUMMYFUNCTION("""COMPUTED_VALUE"""),"-")</f>
        <v>-</v>
      </c>
      <c r="F42" s="3" t="str">
        <f>IFERROR(__xludf.DUMMYFUNCTION("""COMPUTED_VALUE"""),"Tension spring")</f>
        <v>Tension spring</v>
      </c>
      <c r="G42" s="3">
        <f>IFERROR(__xludf.DUMMYFUNCTION("""COMPUTED_VALUE"""),2.0)</f>
        <v>2</v>
      </c>
      <c r="H42" s="3" t="str">
        <f>IFERROR(__xludf.DUMMYFUNCTION("""COMPUTED_VALUE"""),"Pcs")</f>
        <v>Pcs</v>
      </c>
      <c r="I42" s="3" t="str">
        <f>IFERROR(__xludf.DUMMYFUNCTION("""COMPUTED_VALUE"""),"Deliver")</f>
        <v>Deliver</v>
      </c>
      <c r="J42" s="3" t="str">
        <f>IFERROR(__xludf.DUMMYFUNCTION("""COMPUTED_VALUE"""),"-")</f>
        <v>-</v>
      </c>
      <c r="K42" s="3" t="str">
        <f>IFERROR(__xludf.DUMMYFUNCTION("""COMPUTED_VALUE"""),"-")</f>
        <v>-</v>
      </c>
    </row>
    <row r="43">
      <c r="A43" s="3" t="str">
        <f>IFERROR(__xludf.DUMMYFUNCTION("""COMPUTED_VALUE"""),"INNBR0013")</f>
        <v>INNBR0013</v>
      </c>
      <c r="B43" s="4">
        <f>IFERROR(__xludf.DUMMYFUNCTION("""COMPUTED_VALUE"""),45697.73605521991)</f>
        <v>45697.73606</v>
      </c>
      <c r="C43" s="4">
        <f>IFERROR(__xludf.DUMMYFUNCTION("""COMPUTED_VALUE"""),45712.977379108794)</f>
        <v>45712.97738</v>
      </c>
      <c r="D43" s="3" t="str">
        <f>IFERROR(__xludf.DUMMYFUNCTION("""COMPUTED_VALUE"""),"Washing")</f>
        <v>Washing</v>
      </c>
      <c r="E43" s="3" t="str">
        <f>IFERROR(__xludf.DUMMYFUNCTION("""COMPUTED_VALUE"""),"-")</f>
        <v>-</v>
      </c>
      <c r="F43" s="3" t="str">
        <f>IFERROR(__xludf.DUMMYFUNCTION("""COMPUTED_VALUE"""),"Oil Seal TC 15x24x7, NOK")</f>
        <v>Oil Seal TC 15x24x7, NOK</v>
      </c>
      <c r="G43" s="3">
        <f>IFERROR(__xludf.DUMMYFUNCTION("""COMPUTED_VALUE"""),5.0)</f>
        <v>5</v>
      </c>
      <c r="H43" s="3" t="str">
        <f>IFERROR(__xludf.DUMMYFUNCTION("""COMPUTED_VALUE"""),"Pcs")</f>
        <v>Pcs</v>
      </c>
      <c r="I43" s="3" t="str">
        <f>IFERROR(__xludf.DUMMYFUNCTION("""COMPUTED_VALUE"""),"Deliver")</f>
        <v>Deliver</v>
      </c>
      <c r="J43" s="3" t="str">
        <f>IFERROR(__xludf.DUMMYFUNCTION("""COMPUTED_VALUE"""),"-")</f>
        <v>-</v>
      </c>
      <c r="K43" s="3" t="str">
        <f>IFERROR(__xludf.DUMMYFUNCTION("""COMPUTED_VALUE"""),"-")</f>
        <v>-</v>
      </c>
    </row>
    <row r="44">
      <c r="A44" s="3" t="str">
        <f>IFERROR(__xludf.DUMMYFUNCTION("""COMPUTED_VALUE"""),"SFHBR0006")</f>
        <v>SFHBR0006</v>
      </c>
      <c r="B44" s="4">
        <f>IFERROR(__xludf.DUMMYFUNCTION("""COMPUTED_VALUE"""),45699.6596987037)</f>
        <v>45699.6597</v>
      </c>
      <c r="C44" s="4">
        <f>IFERROR(__xludf.DUMMYFUNCTION("""COMPUTED_VALUE"""),45700.64197207176)</f>
        <v>45700.64197</v>
      </c>
      <c r="D44" s="3" t="str">
        <f>IFERROR(__xludf.DUMMYFUNCTION("""COMPUTED_VALUE"""),"lantai 2 ")</f>
        <v>lantai 2 </v>
      </c>
      <c r="E44" s="3" t="str">
        <f>IFERROR(__xludf.DUMMYFUNCTION("""COMPUTED_VALUE"""),"-")</f>
        <v>-</v>
      </c>
      <c r="F44" s="3" t="str">
        <f>IFERROR(__xludf.DUMMYFUNCTION("""COMPUTED_VALUE"""),"cat dulux buat flafon")</f>
        <v>cat dulux buat flafon</v>
      </c>
      <c r="G44" s="3">
        <f>IFERROR(__xludf.DUMMYFUNCTION("""COMPUTED_VALUE"""),5.0)</f>
        <v>5</v>
      </c>
      <c r="H44" s="3" t="str">
        <f>IFERROR(__xludf.DUMMYFUNCTION("""COMPUTED_VALUE"""),"Pel")</f>
        <v>Pel</v>
      </c>
      <c r="I44" s="3" t="str">
        <f>IFERROR(__xludf.DUMMYFUNCTION("""COMPUTED_VALUE"""),"Deliver")</f>
        <v>Deliver</v>
      </c>
      <c r="J44" s="3" t="str">
        <f>IFERROR(__xludf.DUMMYFUNCTION("""COMPUTED_VALUE"""),"-")</f>
        <v>-</v>
      </c>
      <c r="K44" s="3" t="str">
        <f>IFERROR(__xludf.DUMMYFUNCTION("""COMPUTED_VALUE"""),"-")</f>
        <v>-</v>
      </c>
    </row>
    <row r="45">
      <c r="A45" s="3" t="str">
        <f>IFERROR(__xludf.DUMMYFUNCTION("""COMPUTED_VALUE"""),"SFHBR0007")</f>
        <v>SFHBR0007</v>
      </c>
      <c r="B45" s="4">
        <f>IFERROR(__xludf.DUMMYFUNCTION("""COMPUTED_VALUE"""),45702.09946612269)</f>
        <v>45702.09947</v>
      </c>
      <c r="C45" s="4">
        <f>IFERROR(__xludf.DUMMYFUNCTION("""COMPUTED_VALUE"""),45706.6180833449)</f>
        <v>45706.61808</v>
      </c>
      <c r="D45" s="3" t="str">
        <f>IFERROR(__xludf.DUMMYFUNCTION("""COMPUTED_VALUE"""),"lantai 2")</f>
        <v>lantai 2</v>
      </c>
      <c r="E45" s="3" t="str">
        <f>IFERROR(__xludf.DUMMYFUNCTION("""COMPUTED_VALUE"""),"-")</f>
        <v>-</v>
      </c>
      <c r="F45" s="3" t="str">
        <f>IFERROR(__xludf.DUMMYFUNCTION("""COMPUTED_VALUE"""),"cat propan buat sandwich panel")</f>
        <v>cat propan buat sandwich panel</v>
      </c>
      <c r="G45" s="3">
        <f>IFERROR(__xludf.DUMMYFUNCTION("""COMPUTED_VALUE"""),3.0)</f>
        <v>3</v>
      </c>
      <c r="H45" s="3" t="str">
        <f>IFERROR(__xludf.DUMMYFUNCTION("""COMPUTED_VALUE"""),"pel")</f>
        <v>pel</v>
      </c>
      <c r="I45" s="3" t="str">
        <f>IFERROR(__xludf.DUMMYFUNCTION("""COMPUTED_VALUE"""),"Deliver")</f>
        <v>Deliver</v>
      </c>
      <c r="J45" s="3" t="str">
        <f>IFERROR(__xludf.DUMMYFUNCTION("""COMPUTED_VALUE"""),"-")</f>
        <v>-</v>
      </c>
      <c r="K45" s="3" t="str">
        <f>IFERROR(__xludf.DUMMYFUNCTION("""COMPUTED_VALUE"""),"-")</f>
        <v>-</v>
      </c>
    </row>
    <row r="46">
      <c r="A46" s="3" t="str">
        <f>IFERROR(__xludf.DUMMYFUNCTION("""COMPUTED_VALUE"""),"MOBBR0016")</f>
        <v>MOBBR0016</v>
      </c>
      <c r="B46" s="4">
        <f>IFERROR(__xludf.DUMMYFUNCTION("""COMPUTED_VALUE"""),45705.505491006945)</f>
        <v>45705.50549</v>
      </c>
      <c r="C46" s="4">
        <f>IFERROR(__xludf.DUMMYFUNCTION("""COMPUTED_VALUE"""),45706.61104431713)</f>
        <v>45706.61104</v>
      </c>
      <c r="D46" s="3" t="str">
        <f>IFERROR(__xludf.DUMMYFUNCTION("""COMPUTED_VALUE"""),"Plambing Building")</f>
        <v>Plambing Building</v>
      </c>
      <c r="E46" s="3" t="str">
        <f>IFERROR(__xludf.DUMMYFUNCTION("""COMPUTED_VALUE"""),"EJO/2025/02/127")</f>
        <v>EJO/2025/02/127</v>
      </c>
      <c r="F46" s="3" t="str">
        <f>IFERROR(__xludf.DUMMYFUNCTION("""COMPUTED_VALUE"""),"Pipa PVC")</f>
        <v>Pipa PVC</v>
      </c>
      <c r="G46" s="3">
        <f>IFERROR(__xludf.DUMMYFUNCTION("""COMPUTED_VALUE"""),6.0)</f>
        <v>6</v>
      </c>
      <c r="H46" s="3" t="str">
        <f>IFERROR(__xludf.DUMMYFUNCTION("""COMPUTED_VALUE"""),"Pcs")</f>
        <v>Pcs</v>
      </c>
      <c r="I46" s="3" t="str">
        <f>IFERROR(__xludf.DUMMYFUNCTION("""COMPUTED_VALUE"""),"Deliver")</f>
        <v>Deliver</v>
      </c>
      <c r="J46" s="3" t="str">
        <f>IFERROR(__xludf.DUMMYFUNCTION("""COMPUTED_VALUE"""),"-")</f>
        <v>-</v>
      </c>
      <c r="K46" s="3" t="str">
        <f>IFERROR(__xludf.DUMMYFUNCTION("""COMPUTED_VALUE"""),"-")</f>
        <v>-</v>
      </c>
    </row>
    <row r="47">
      <c r="A47" s="3" t="str">
        <f>IFERROR(__xludf.DUMMYFUNCTION("""COMPUTED_VALUE"""),"MOBBR0017")</f>
        <v>MOBBR0017</v>
      </c>
      <c r="B47" s="4">
        <f>IFERROR(__xludf.DUMMYFUNCTION("""COMPUTED_VALUE"""),45705.50774033565)</f>
        <v>45705.50774</v>
      </c>
      <c r="C47" s="4">
        <f>IFERROR(__xludf.DUMMYFUNCTION("""COMPUTED_VALUE"""),45706.61130819444)</f>
        <v>45706.61131</v>
      </c>
      <c r="D47" s="3" t="str">
        <f>IFERROR(__xludf.DUMMYFUNCTION("""COMPUTED_VALUE"""),"Plambing Building")</f>
        <v>Plambing Building</v>
      </c>
      <c r="E47" s="3" t="str">
        <f>IFERROR(__xludf.DUMMYFUNCTION("""COMPUTED_VALUE"""),"-")</f>
        <v>-</v>
      </c>
      <c r="F47" s="3" t="str">
        <f>IFERROR(__xludf.DUMMYFUNCTION("""COMPUTED_VALUE"""),"Pipa PVC")</f>
        <v>Pipa PVC</v>
      </c>
      <c r="G47" s="3">
        <f>IFERROR(__xludf.DUMMYFUNCTION("""COMPUTED_VALUE"""),6.0)</f>
        <v>6</v>
      </c>
      <c r="H47" s="3" t="str">
        <f>IFERROR(__xludf.DUMMYFUNCTION("""COMPUTED_VALUE"""),"Pcs")</f>
        <v>Pcs</v>
      </c>
      <c r="I47" s="3" t="str">
        <f>IFERROR(__xludf.DUMMYFUNCTION("""COMPUTED_VALUE"""),"Deliver")</f>
        <v>Deliver</v>
      </c>
      <c r="J47" s="3" t="str">
        <f>IFERROR(__xludf.DUMMYFUNCTION("""COMPUTED_VALUE"""),"-")</f>
        <v>-</v>
      </c>
      <c r="K47" s="3" t="str">
        <f>IFERROR(__xludf.DUMMYFUNCTION("""COMPUTED_VALUE"""),"-")</f>
        <v>-</v>
      </c>
    </row>
    <row r="48">
      <c r="A48" s="3" t="str">
        <f>IFERROR(__xludf.DUMMYFUNCTION("""COMPUTED_VALUE"""),"SFHBR0008")</f>
        <v>SFHBR0008</v>
      </c>
      <c r="B48" s="4">
        <f>IFERROR(__xludf.DUMMYFUNCTION("""COMPUTED_VALUE"""),45707.43580172454)</f>
        <v>45707.4358</v>
      </c>
      <c r="C48" s="4">
        <f>IFERROR(__xludf.DUMMYFUNCTION("""COMPUTED_VALUE"""),45707.529199178236)</f>
        <v>45707.5292</v>
      </c>
      <c r="D48" s="3" t="str">
        <f>IFERROR(__xludf.DUMMYFUNCTION("""COMPUTED_VALUE"""),"lantai 1")</f>
        <v>lantai 1</v>
      </c>
      <c r="E48" s="3" t="str">
        <f>IFERROR(__xludf.DUMMYFUNCTION("""COMPUTED_VALUE"""),"EJO/2025/02/108")</f>
        <v>EJO/2025/02/108</v>
      </c>
      <c r="F48" s="3" t="str">
        <f>IFERROR(__xludf.DUMMYFUNCTION("""COMPUTED_VALUE"""),"kawat wire mesh")</f>
        <v>kawat wire mesh</v>
      </c>
      <c r="G48" s="3">
        <f>IFERROR(__xludf.DUMMYFUNCTION("""COMPUTED_VALUE"""),10.0)</f>
        <v>10</v>
      </c>
      <c r="H48" s="3" t="str">
        <f>IFERROR(__xludf.DUMMYFUNCTION("""COMPUTED_VALUE"""),"meter ")</f>
        <v>meter </v>
      </c>
      <c r="I48" s="3" t="str">
        <f>IFERROR(__xludf.DUMMYFUNCTION("""COMPUTED_VALUE"""),"Deliver")</f>
        <v>Deliver</v>
      </c>
      <c r="J48" s="3" t="str">
        <f>IFERROR(__xludf.DUMMYFUNCTION("""COMPUTED_VALUE"""),"-")</f>
        <v>-</v>
      </c>
      <c r="K48" s="3" t="str">
        <f>IFERROR(__xludf.DUMMYFUNCTION("""COMPUTED_VALUE"""),"-")</f>
        <v>-</v>
      </c>
    </row>
    <row r="49">
      <c r="A49" s="3" t="str">
        <f>IFERROR(__xludf.DUMMYFUNCTION("""COMPUTED_VALUE"""),"ANOBR0002")</f>
        <v>ANOBR0002</v>
      </c>
      <c r="B49" s="4">
        <f>IFERROR(__xludf.DUMMYFUNCTION("""COMPUTED_VALUE"""),45708.63963178241)</f>
        <v>45708.63963</v>
      </c>
      <c r="C49" s="4">
        <f>IFERROR(__xludf.DUMMYFUNCTION("""COMPUTED_VALUE"""),45729.60442098379)</f>
        <v>45729.60442</v>
      </c>
      <c r="D49" s="3" t="str">
        <f>IFERROR(__xludf.DUMMYFUNCTION("""COMPUTED_VALUE"""),"washing tunnel")</f>
        <v>washing tunnel</v>
      </c>
      <c r="E49" s="3" t="str">
        <f>IFERROR(__xludf.DUMMYFUNCTION("""COMPUTED_VALUE"""),"EJO/2025/02/62")</f>
        <v>EJO/2025/02/62</v>
      </c>
      <c r="F49" s="3" t="str">
        <f>IFERROR(__xludf.DUMMYFUNCTION("""COMPUTED_VALUE"""),"Baut pengunci Coupling")</f>
        <v>Baut pengunci Coupling</v>
      </c>
      <c r="G49" s="3">
        <f>IFERROR(__xludf.DUMMYFUNCTION("""COMPUTED_VALUE"""),100.0)</f>
        <v>100</v>
      </c>
      <c r="H49" s="3" t="str">
        <f>IFERROR(__xludf.DUMMYFUNCTION("""COMPUTED_VALUE"""),"Pcs")</f>
        <v>Pcs</v>
      </c>
      <c r="I49" s="3" t="str">
        <f>IFERROR(__xludf.DUMMYFUNCTION("""COMPUTED_VALUE"""),"Deliver")</f>
        <v>Deliver</v>
      </c>
      <c r="J49" s="3" t="str">
        <f>IFERROR(__xludf.DUMMYFUNCTION("""COMPUTED_VALUE"""),"-")</f>
        <v>-</v>
      </c>
      <c r="K49" s="3" t="str">
        <f>IFERROR(__xludf.DUMMYFUNCTION("""COMPUTED_VALUE"""),"-")</f>
        <v>-</v>
      </c>
    </row>
    <row r="50">
      <c r="A50" s="3" t="str">
        <f>IFERROR(__xludf.DUMMYFUNCTION("""COMPUTED_VALUE"""),"ROSBR0008")</f>
        <v>ROSBR0008</v>
      </c>
      <c r="B50" s="4">
        <f>IFERROR(__xludf.DUMMYFUNCTION("""COMPUTED_VALUE"""),45708.64757615741)</f>
        <v>45708.64758</v>
      </c>
      <c r="C50" s="4">
        <f>IFERROR(__xludf.DUMMYFUNCTION("""COMPUTED_VALUE"""),45712.96731136574)</f>
        <v>45712.96731</v>
      </c>
      <c r="D50" s="3" t="str">
        <f>IFERROR(__xludf.DUMMYFUNCTION("""COMPUTED_VALUE"""),"mixing Mv 60L")</f>
        <v>mixing Mv 60L</v>
      </c>
      <c r="E50" s="3" t="str">
        <f>IFERROR(__xludf.DUMMYFUNCTION("""COMPUTED_VALUE"""),"EJO/2025/02/115")</f>
        <v>EJO/2025/02/115</v>
      </c>
      <c r="F50" s="3" t="str">
        <f>IFERROR(__xludf.DUMMYFUNCTION("""COMPUTED_VALUE"""),"O-Ring")</f>
        <v>O-Ring</v>
      </c>
      <c r="G50" s="3">
        <f>IFERROR(__xludf.DUMMYFUNCTION("""COMPUTED_VALUE"""),10.0)</f>
        <v>10</v>
      </c>
      <c r="H50" s="3" t="str">
        <f>IFERROR(__xludf.DUMMYFUNCTION("""COMPUTED_VALUE"""),"pcs")</f>
        <v>pcs</v>
      </c>
      <c r="I50" s="3" t="str">
        <f>IFERROR(__xludf.DUMMYFUNCTION("""COMPUTED_VALUE"""),"Deliver")</f>
        <v>Deliver</v>
      </c>
      <c r="J50" s="3" t="str">
        <f>IFERROR(__xludf.DUMMYFUNCTION("""COMPUTED_VALUE"""),"-")</f>
        <v>-</v>
      </c>
      <c r="K50" s="3" t="str">
        <f>IFERROR(__xludf.DUMMYFUNCTION("""COMPUTED_VALUE"""),"-")</f>
        <v>-</v>
      </c>
    </row>
    <row r="51">
      <c r="A51" s="3" t="str">
        <f>IFERROR(__xludf.DUMMYFUNCTION("""COMPUTED_VALUE"""),"ANOBR0003")</f>
        <v>ANOBR0003</v>
      </c>
      <c r="B51" s="4">
        <f>IFERROR(__xludf.DUMMYFUNCTION("""COMPUTED_VALUE"""),45708.65289321759)</f>
        <v>45708.65289</v>
      </c>
      <c r="C51" s="4">
        <f>IFERROR(__xludf.DUMMYFUNCTION("""COMPUTED_VALUE"""),45729.60480435185)</f>
        <v>45729.6048</v>
      </c>
      <c r="D51" s="3" t="str">
        <f>IFERROR(__xludf.DUMMYFUNCTION("""COMPUTED_VALUE"""),"keperluan mesin las ")</f>
        <v>keperluan mesin las </v>
      </c>
      <c r="E51" s="3" t="str">
        <f>IFERROR(__xludf.DUMMYFUNCTION("""COMPUTED_VALUE"""),"-")</f>
        <v>-</v>
      </c>
      <c r="F51" s="3" t="str">
        <f>IFERROR(__xludf.DUMMYFUNCTION("""COMPUTED_VALUE"""),"Peralatan las argon, tungsten,keramik,collet,body collet")</f>
        <v>Peralatan las argon, tungsten,keramik,collet,body collet</v>
      </c>
      <c r="G51" s="3">
        <f>IFERROR(__xludf.DUMMYFUNCTION("""COMPUTED_VALUE"""),1.0)</f>
        <v>1</v>
      </c>
      <c r="H51" s="3" t="str">
        <f>IFERROR(__xludf.DUMMYFUNCTION("""COMPUTED_VALUE"""),"set")</f>
        <v>set</v>
      </c>
      <c r="I51" s="3" t="str">
        <f>IFERROR(__xludf.DUMMYFUNCTION("""COMPUTED_VALUE"""),"Deliver")</f>
        <v>Deliver</v>
      </c>
      <c r="J51" s="3" t="str">
        <f>IFERROR(__xludf.DUMMYFUNCTION("""COMPUTED_VALUE"""),"-")</f>
        <v>-</v>
      </c>
      <c r="K51" s="3" t="str">
        <f>IFERROR(__xludf.DUMMYFUNCTION("""COMPUTED_VALUE"""),"-")</f>
        <v>-</v>
      </c>
    </row>
    <row r="52">
      <c r="A52" s="3" t="str">
        <f>IFERROR(__xludf.DUMMYFUNCTION("""COMPUTED_VALUE"""),"ANOBR0004")</f>
        <v>ANOBR0004</v>
      </c>
      <c r="B52" s="4">
        <f>IFERROR(__xludf.DUMMYFUNCTION("""COMPUTED_VALUE"""),45708.65408222222)</f>
        <v>45708.65408</v>
      </c>
      <c r="C52" s="4">
        <f>IFERROR(__xludf.DUMMYFUNCTION("""COMPUTED_VALUE"""),45729.60547296297)</f>
        <v>45729.60547</v>
      </c>
      <c r="D52" s="3" t="str">
        <f>IFERROR(__xludf.DUMMYFUNCTION("""COMPUTED_VALUE"""),"mesin gerinda")</f>
        <v>mesin gerinda</v>
      </c>
      <c r="E52" s="3" t="str">
        <f>IFERROR(__xludf.DUMMYFUNCTION("""COMPUTED_VALUE"""),"-")</f>
        <v>-</v>
      </c>
      <c r="F52" s="3" t="str">
        <f>IFERROR(__xludf.DUMMYFUNCTION("""COMPUTED_VALUE"""),"Mata gerinda poles stainless")</f>
        <v>Mata gerinda poles stainless</v>
      </c>
      <c r="G52" s="3">
        <f>IFERROR(__xludf.DUMMYFUNCTION("""COMPUTED_VALUE"""),1.0)</f>
        <v>1</v>
      </c>
      <c r="H52" s="3" t="str">
        <f>IFERROR(__xludf.DUMMYFUNCTION("""COMPUTED_VALUE"""),"box")</f>
        <v>box</v>
      </c>
      <c r="I52" s="3" t="str">
        <f>IFERROR(__xludf.DUMMYFUNCTION("""COMPUTED_VALUE"""),"Deliver")</f>
        <v>Deliver</v>
      </c>
      <c r="J52" s="3" t="str">
        <f>IFERROR(__xludf.DUMMYFUNCTION("""COMPUTED_VALUE"""),"-")</f>
        <v>-</v>
      </c>
      <c r="K52" s="3" t="str">
        <f>IFERROR(__xludf.DUMMYFUNCTION("""COMPUTED_VALUE"""),"-")</f>
        <v>-</v>
      </c>
    </row>
    <row r="53">
      <c r="A53" s="3" t="str">
        <f>IFERROR(__xludf.DUMMYFUNCTION("""COMPUTED_VALUE"""),"ANOBR0005")</f>
        <v>ANOBR0005</v>
      </c>
      <c r="B53" s="4">
        <f>IFERROR(__xludf.DUMMYFUNCTION("""COMPUTED_VALUE"""),45708.65895222222)</f>
        <v>45708.65895</v>
      </c>
      <c r="C53" s="4">
        <f>IFERROR(__xludf.DUMMYFUNCTION("""COMPUTED_VALUE"""),45729.60574313658)</f>
        <v>45729.60574</v>
      </c>
      <c r="D53" s="3" t="str">
        <f>IFERROR(__xludf.DUMMYFUNCTION("""COMPUTED_VALUE"""),"mesin las")</f>
        <v>mesin las</v>
      </c>
      <c r="E53" s="3" t="str">
        <f>IFERROR(__xludf.DUMMYFUNCTION("""COMPUTED_VALUE"""),"-")</f>
        <v>-</v>
      </c>
      <c r="F53" s="3" t="str">
        <f>IFERROR(__xludf.DUMMYFUNCTION("""COMPUTED_VALUE"""),"Kaca kedok las hitam")</f>
        <v>Kaca kedok las hitam</v>
      </c>
      <c r="G53" s="3">
        <f>IFERROR(__xludf.DUMMYFUNCTION("""COMPUTED_VALUE"""),1.0)</f>
        <v>1</v>
      </c>
      <c r="H53" s="3" t="str">
        <f>IFERROR(__xludf.DUMMYFUNCTION("""COMPUTED_VALUE"""),"box")</f>
        <v>box</v>
      </c>
      <c r="I53" s="3" t="str">
        <f>IFERROR(__xludf.DUMMYFUNCTION("""COMPUTED_VALUE"""),"Deliver")</f>
        <v>Deliver</v>
      </c>
      <c r="J53" s="3" t="str">
        <f>IFERROR(__xludf.DUMMYFUNCTION("""COMPUTED_VALUE"""),"-")</f>
        <v>-</v>
      </c>
      <c r="K53" s="3" t="str">
        <f>IFERROR(__xludf.DUMMYFUNCTION("""COMPUTED_VALUE"""),"-")</f>
        <v>-</v>
      </c>
    </row>
    <row r="54">
      <c r="A54" s="3" t="str">
        <f>IFERROR(__xludf.DUMMYFUNCTION("""COMPUTED_VALUE"""),"ANOBR0006")</f>
        <v>ANOBR0006</v>
      </c>
      <c r="B54" s="4">
        <f>IFERROR(__xludf.DUMMYFUNCTION("""COMPUTED_VALUE"""),45708.662424594906)</f>
        <v>45708.66242</v>
      </c>
      <c r="C54" s="4">
        <f>IFERROR(__xludf.DUMMYFUNCTION("""COMPUTED_VALUE"""),45729.606332800926)</f>
        <v>45729.60633</v>
      </c>
      <c r="D54" s="3" t="str">
        <f>IFERROR(__xludf.DUMMYFUNCTION("""COMPUTED_VALUE"""),"mesin las")</f>
        <v>mesin las</v>
      </c>
      <c r="E54" s="3" t="str">
        <f>IFERROR(__xludf.DUMMYFUNCTION("""COMPUTED_VALUE"""),"-")</f>
        <v>-</v>
      </c>
      <c r="F54" s="3" t="str">
        <f>IFERROR(__xludf.DUMMYFUNCTION("""COMPUTED_VALUE"""),"kawat las argon stainless steel")</f>
        <v>kawat las argon stainless steel</v>
      </c>
      <c r="G54" s="3">
        <f>IFERROR(__xludf.DUMMYFUNCTION("""COMPUTED_VALUE"""),2.0)</f>
        <v>2</v>
      </c>
      <c r="H54" s="3" t="str">
        <f>IFERROR(__xludf.DUMMYFUNCTION("""COMPUTED_VALUE"""),"kg")</f>
        <v>kg</v>
      </c>
      <c r="I54" s="3" t="str">
        <f>IFERROR(__xludf.DUMMYFUNCTION("""COMPUTED_VALUE"""),"Deliver")</f>
        <v>Deliver</v>
      </c>
      <c r="J54" s="3" t="str">
        <f>IFERROR(__xludf.DUMMYFUNCTION("""COMPUTED_VALUE"""),"-")</f>
        <v>-</v>
      </c>
      <c r="K54" s="3" t="str">
        <f>IFERROR(__xludf.DUMMYFUNCTION("""COMPUTED_VALUE"""),"-")</f>
        <v>-</v>
      </c>
    </row>
    <row r="55">
      <c r="A55" s="3" t="str">
        <f>IFERROR(__xludf.DUMMYFUNCTION("""COMPUTED_VALUE"""),"ANOBR0007")</f>
        <v>ANOBR0007</v>
      </c>
      <c r="B55" s="4">
        <f>IFERROR(__xludf.DUMMYFUNCTION("""COMPUTED_VALUE"""),45708.66446137732)</f>
        <v>45708.66446</v>
      </c>
      <c r="C55" s="4">
        <f>IFERROR(__xludf.DUMMYFUNCTION("""COMPUTED_VALUE"""),45729.606636805554)</f>
        <v>45729.60664</v>
      </c>
      <c r="D55" s="3" t="str">
        <f>IFERROR(__xludf.DUMMYFUNCTION("""COMPUTED_VALUE"""),"mesin gerinda")</f>
        <v>mesin gerinda</v>
      </c>
      <c r="E55" s="3" t="str">
        <f>IFERROR(__xludf.DUMMYFUNCTION("""COMPUTED_VALUE"""),"-")</f>
        <v>-</v>
      </c>
      <c r="F55" s="3" t="str">
        <f>IFERROR(__xludf.DUMMYFUNCTION("""COMPUTED_VALUE"""),"facesield APD gerinda")</f>
        <v>facesield APD gerinda</v>
      </c>
      <c r="G55" s="3">
        <f>IFERROR(__xludf.DUMMYFUNCTION("""COMPUTED_VALUE"""),2.0)</f>
        <v>2</v>
      </c>
      <c r="H55" s="3" t="str">
        <f>IFERROR(__xludf.DUMMYFUNCTION("""COMPUTED_VALUE"""),"pcs")</f>
        <v>pcs</v>
      </c>
      <c r="I55" s="3" t="str">
        <f>IFERROR(__xludf.DUMMYFUNCTION("""COMPUTED_VALUE"""),"Deliver")</f>
        <v>Deliver</v>
      </c>
      <c r="J55" s="3" t="str">
        <f>IFERROR(__xludf.DUMMYFUNCTION("""COMPUTED_VALUE"""),"-")</f>
        <v>-</v>
      </c>
      <c r="K55" s="3" t="str">
        <f>IFERROR(__xludf.DUMMYFUNCTION("""COMPUTED_VALUE"""),"-")</f>
        <v>-</v>
      </c>
    </row>
    <row r="56">
      <c r="A56" s="3" t="str">
        <f>IFERROR(__xludf.DUMMYFUNCTION("""COMPUTED_VALUE"""),"ANOBR0008")</f>
        <v>ANOBR0008</v>
      </c>
      <c r="B56" s="4">
        <f>IFERROR(__xludf.DUMMYFUNCTION("""COMPUTED_VALUE"""),45708.66570855324)</f>
        <v>45708.66571</v>
      </c>
      <c r="C56" s="4">
        <f>IFERROR(__xludf.DUMMYFUNCTION("""COMPUTED_VALUE"""),45729.606855011574)</f>
        <v>45729.60686</v>
      </c>
      <c r="D56" s="3" t="str">
        <f>IFERROR(__xludf.DUMMYFUNCTION("""COMPUTED_VALUE"""),"mesin las")</f>
        <v>mesin las</v>
      </c>
      <c r="E56" s="3" t="str">
        <f>IFERROR(__xludf.DUMMYFUNCTION("""COMPUTED_VALUE"""),"-")</f>
        <v>-</v>
      </c>
      <c r="F56" s="3" t="str">
        <f>IFERROR(__xludf.DUMMYFUNCTION("""COMPUTED_VALUE"""),"Elektroda SS 308 Size 2,6x300mm")</f>
        <v>Elektroda SS 308 Size 2,6x300mm</v>
      </c>
      <c r="G56" s="3">
        <f>IFERROR(__xludf.DUMMYFUNCTION("""COMPUTED_VALUE"""),1.0)</f>
        <v>1</v>
      </c>
      <c r="H56" s="3" t="str">
        <f>IFERROR(__xludf.DUMMYFUNCTION("""COMPUTED_VALUE"""),"kg")</f>
        <v>kg</v>
      </c>
      <c r="I56" s="3" t="str">
        <f>IFERROR(__xludf.DUMMYFUNCTION("""COMPUTED_VALUE"""),"Deliver")</f>
        <v>Deliver</v>
      </c>
      <c r="J56" s="3" t="str">
        <f>IFERROR(__xludf.DUMMYFUNCTION("""COMPUTED_VALUE"""),"-")</f>
        <v>-</v>
      </c>
      <c r="K56" s="3" t="str">
        <f>IFERROR(__xludf.DUMMYFUNCTION("""COMPUTED_VALUE"""),"-")</f>
        <v>-</v>
      </c>
    </row>
    <row r="57">
      <c r="A57" s="3" t="str">
        <f>IFERROR(__xludf.DUMMYFUNCTION("""COMPUTED_VALUE"""),"ANOBR0009")</f>
        <v>ANOBR0009</v>
      </c>
      <c r="B57" s="4">
        <f>IFERROR(__xludf.DUMMYFUNCTION("""COMPUTED_VALUE"""),45708.66689751158)</f>
        <v>45708.6669</v>
      </c>
      <c r="C57" s="4">
        <f>IFERROR(__xludf.DUMMYFUNCTION("""COMPUTED_VALUE"""),45729.60709715277)</f>
        <v>45729.6071</v>
      </c>
      <c r="D57" s="3" t="str">
        <f>IFERROR(__xludf.DUMMYFUNCTION("""COMPUTED_VALUE"""),"mesin las")</f>
        <v>mesin las</v>
      </c>
      <c r="E57" s="3" t="str">
        <f>IFERROR(__xludf.DUMMYFUNCTION("""COMPUTED_VALUE"""),"-")</f>
        <v>-</v>
      </c>
      <c r="F57" s="3" t="str">
        <f>IFERROR(__xludf.DUMMYFUNCTION("""COMPUTED_VALUE"""),"kaca kedok las bening")</f>
        <v>kaca kedok las bening</v>
      </c>
      <c r="G57" s="3">
        <f>IFERROR(__xludf.DUMMYFUNCTION("""COMPUTED_VALUE"""),2.0)</f>
        <v>2</v>
      </c>
      <c r="H57" s="3" t="str">
        <f>IFERROR(__xludf.DUMMYFUNCTION("""COMPUTED_VALUE"""),"pcs")</f>
        <v>pcs</v>
      </c>
      <c r="I57" s="3" t="str">
        <f>IFERROR(__xludf.DUMMYFUNCTION("""COMPUTED_VALUE"""),"Deliver")</f>
        <v>Deliver</v>
      </c>
      <c r="J57" s="3" t="str">
        <f>IFERROR(__xludf.DUMMYFUNCTION("""COMPUTED_VALUE"""),"-")</f>
        <v>-</v>
      </c>
      <c r="K57" s="3" t="str">
        <f>IFERROR(__xludf.DUMMYFUNCTION("""COMPUTED_VALUE"""),"-")</f>
        <v>-</v>
      </c>
    </row>
    <row r="58">
      <c r="A58" s="3" t="str">
        <f>IFERROR(__xludf.DUMMYFUNCTION("""COMPUTED_VALUE"""),"RIABR0016")</f>
        <v>RIABR0016</v>
      </c>
      <c r="B58" s="4">
        <f>IFERROR(__xludf.DUMMYFUNCTION("""COMPUTED_VALUE"""),45712.48573388889)</f>
        <v>45712.48573</v>
      </c>
      <c r="C58" s="4">
        <f>IFERROR(__xludf.DUMMYFUNCTION("""COMPUTED_VALUE"""),45713.73941341435)</f>
        <v>45713.73941</v>
      </c>
      <c r="D58" s="3" t="str">
        <f>IFERROR(__xludf.DUMMYFUNCTION("""COMPUTED_VALUE"""),"HO")</f>
        <v>HO</v>
      </c>
      <c r="E58" s="3" t="str">
        <f>IFERROR(__xludf.DUMMYFUNCTION("""COMPUTED_VALUE"""),"EJO/2025/02/89")</f>
        <v>EJO/2025/02/89</v>
      </c>
      <c r="F58" s="3" t="str">
        <f>IFERROR(__xludf.DUMMYFUNCTION("""COMPUTED_VALUE"""),"Kabel Audio")</f>
        <v>Kabel Audio</v>
      </c>
      <c r="G58" s="3">
        <f>IFERROR(__xludf.DUMMYFUNCTION("""COMPUTED_VALUE"""),50.0)</f>
        <v>50</v>
      </c>
      <c r="H58" s="3" t="str">
        <f>IFERROR(__xludf.DUMMYFUNCTION("""COMPUTED_VALUE"""),"Mtr")</f>
        <v>Mtr</v>
      </c>
      <c r="I58" s="3" t="str">
        <f>IFERROR(__xludf.DUMMYFUNCTION("""COMPUTED_VALUE"""),"Deliver")</f>
        <v>Deliver</v>
      </c>
      <c r="J58" s="3" t="str">
        <f>IFERROR(__xludf.DUMMYFUNCTION("""COMPUTED_VALUE"""),"-")</f>
        <v>-</v>
      </c>
      <c r="K58" s="3" t="str">
        <f>IFERROR(__xludf.DUMMYFUNCTION("""COMPUTED_VALUE"""),"-")</f>
        <v>-</v>
      </c>
    </row>
    <row r="59">
      <c r="A59" s="3" t="str">
        <f>IFERROR(__xludf.DUMMYFUNCTION("""COMPUTED_VALUE"""),"RIABR0017")</f>
        <v>RIABR0017</v>
      </c>
      <c r="B59" s="4">
        <f>IFERROR(__xludf.DUMMYFUNCTION("""COMPUTED_VALUE"""),45712.495239895834)</f>
        <v>45712.49524</v>
      </c>
      <c r="C59" s="4">
        <f>IFERROR(__xludf.DUMMYFUNCTION("""COMPUTED_VALUE"""),45713.74001792824)</f>
        <v>45713.74002</v>
      </c>
      <c r="D59" s="3" t="str">
        <f>IFERROR(__xludf.DUMMYFUNCTION("""COMPUTED_VALUE"""),"Server")</f>
        <v>Server</v>
      </c>
      <c r="E59" s="3" t="str">
        <f>IFERROR(__xludf.DUMMYFUNCTION("""COMPUTED_VALUE"""),"EJO/2025/02/114")</f>
        <v>EJO/2025/02/114</v>
      </c>
      <c r="F59" s="3" t="str">
        <f>IFERROR(__xludf.DUMMYFUNCTION("""COMPUTED_VALUE"""),"Kabel Duct")</f>
        <v>Kabel Duct</v>
      </c>
      <c r="G59" s="3">
        <f>IFERROR(__xludf.DUMMYFUNCTION("""COMPUTED_VALUE"""),3.0)</f>
        <v>3</v>
      </c>
      <c r="H59" s="3" t="str">
        <f>IFERROR(__xludf.DUMMYFUNCTION("""COMPUTED_VALUE"""),"Btg")</f>
        <v>Btg</v>
      </c>
      <c r="I59" s="3" t="str">
        <f>IFERROR(__xludf.DUMMYFUNCTION("""COMPUTED_VALUE"""),"Deliver")</f>
        <v>Deliver</v>
      </c>
      <c r="J59" s="3" t="str">
        <f>IFERROR(__xludf.DUMMYFUNCTION("""COMPUTED_VALUE"""),"-")</f>
        <v>-</v>
      </c>
      <c r="K59" s="3" t="str">
        <f>IFERROR(__xludf.DUMMYFUNCTION("""COMPUTED_VALUE"""),"-")</f>
        <v>-</v>
      </c>
    </row>
    <row r="60">
      <c r="A60" s="3" t="str">
        <f>IFERROR(__xludf.DUMMYFUNCTION("""COMPUTED_VALUE"""),"RIABR0020")</f>
        <v>RIABR0020</v>
      </c>
      <c r="B60" s="4">
        <f>IFERROR(__xludf.DUMMYFUNCTION("""COMPUTED_VALUE"""),45712.51840177083)</f>
        <v>45712.5184</v>
      </c>
      <c r="C60" s="4">
        <f>IFERROR(__xludf.DUMMYFUNCTION("""COMPUTED_VALUE"""),45713.74058796296)</f>
        <v>45713.74059</v>
      </c>
      <c r="D60" s="3" t="str">
        <f>IFERROR(__xludf.DUMMYFUNCTION("""COMPUTED_VALUE"""),"Kantin")</f>
        <v>Kantin</v>
      </c>
      <c r="E60" s="3" t="str">
        <f>IFERROR(__xludf.DUMMYFUNCTION("""COMPUTED_VALUE"""),"EJO/2024/11/95")</f>
        <v>EJO/2024/11/95</v>
      </c>
      <c r="F60" s="3" t="str">
        <f>IFERROR(__xludf.DUMMYFUNCTION("""COMPUTED_VALUE"""),"Pengunci Lemari")</f>
        <v>Pengunci Lemari</v>
      </c>
      <c r="G60" s="3">
        <f>IFERROR(__xludf.DUMMYFUNCTION("""COMPUTED_VALUE"""),4.0)</f>
        <v>4</v>
      </c>
      <c r="H60" s="3" t="str">
        <f>IFERROR(__xludf.DUMMYFUNCTION("""COMPUTED_VALUE"""),"Pcs")</f>
        <v>Pcs</v>
      </c>
      <c r="I60" s="3" t="str">
        <f>IFERROR(__xludf.DUMMYFUNCTION("""COMPUTED_VALUE"""),"Deliver")</f>
        <v>Deliver</v>
      </c>
      <c r="J60" s="3" t="str">
        <f>IFERROR(__xludf.DUMMYFUNCTION("""COMPUTED_VALUE"""),"-")</f>
        <v>-</v>
      </c>
      <c r="K60" s="3" t="str">
        <f>IFERROR(__xludf.DUMMYFUNCTION("""COMPUTED_VALUE"""),"-")</f>
        <v>-</v>
      </c>
    </row>
    <row r="61">
      <c r="A61" s="3" t="str">
        <f>IFERROR(__xludf.DUMMYFUNCTION("""COMPUTED_VALUE"""),"ANOBR0010")</f>
        <v>ANOBR0010</v>
      </c>
      <c r="B61" s="4">
        <f>IFERROR(__xludf.DUMMYFUNCTION("""COMPUTED_VALUE"""),45712.55976002315)</f>
        <v>45712.55976</v>
      </c>
      <c r="C61" s="4">
        <f>IFERROR(__xludf.DUMMYFUNCTION("""COMPUTED_VALUE"""),45729.60929953704)</f>
        <v>45729.6093</v>
      </c>
      <c r="D61" s="3" t="str">
        <f>IFERROR(__xludf.DUMMYFUNCTION("""COMPUTED_VALUE"""),"Autoclave decontame")</f>
        <v>Autoclave decontame</v>
      </c>
      <c r="E61" s="3" t="str">
        <f>IFERROR(__xludf.DUMMYFUNCTION("""COMPUTED_VALUE"""),"EJO/2025/02/170")</f>
        <v>EJO/2025/02/170</v>
      </c>
      <c r="F61" s="3" t="str">
        <f>IFERROR(__xludf.DUMMYFUNCTION("""COMPUTED_VALUE"""),"oring seal")</f>
        <v>oring seal</v>
      </c>
      <c r="G61" s="3">
        <f>IFERROR(__xludf.DUMMYFUNCTION("""COMPUTED_VALUE"""),10.0)</f>
        <v>10</v>
      </c>
      <c r="H61" s="3" t="str">
        <f>IFERROR(__xludf.DUMMYFUNCTION("""COMPUTED_VALUE"""),"pcs")</f>
        <v>pcs</v>
      </c>
      <c r="I61" s="3" t="str">
        <f>IFERROR(__xludf.DUMMYFUNCTION("""COMPUTED_VALUE"""),"Deliver")</f>
        <v>Deliver</v>
      </c>
      <c r="J61" s="3" t="str">
        <f>IFERROR(__xludf.DUMMYFUNCTION("""COMPUTED_VALUE"""),"-")</f>
        <v>-</v>
      </c>
      <c r="K61" s="3" t="str">
        <f>IFERROR(__xludf.DUMMYFUNCTION("""COMPUTED_VALUE"""),"-")</f>
        <v>-</v>
      </c>
    </row>
    <row r="62">
      <c r="A62" s="3" t="str">
        <f>IFERROR(__xludf.DUMMYFUNCTION("""COMPUTED_VALUE"""),"ANOBR0011")</f>
        <v>ANOBR0011</v>
      </c>
      <c r="B62" s="4">
        <f>IFERROR(__xludf.DUMMYFUNCTION("""COMPUTED_VALUE"""),45712.559842187504)</f>
        <v>45712.55984</v>
      </c>
      <c r="C62" s="4">
        <f>IFERROR(__xludf.DUMMYFUNCTION("""COMPUTED_VALUE"""),45729.60958812501)</f>
        <v>45729.60959</v>
      </c>
      <c r="D62" s="3" t="str">
        <f>IFERROR(__xludf.DUMMYFUNCTION("""COMPUTED_VALUE"""),"Autoclave decontame")</f>
        <v>Autoclave decontame</v>
      </c>
      <c r="E62" s="3" t="str">
        <f>IFERROR(__xludf.DUMMYFUNCTION("""COMPUTED_VALUE"""),"EJO/2025/02/170")</f>
        <v>EJO/2025/02/170</v>
      </c>
      <c r="F62" s="3" t="str">
        <f>IFERROR(__xludf.DUMMYFUNCTION("""COMPUTED_VALUE"""),"oring seal")</f>
        <v>oring seal</v>
      </c>
      <c r="G62" s="3">
        <f>IFERROR(__xludf.DUMMYFUNCTION("""COMPUTED_VALUE"""),10.0)</f>
        <v>10</v>
      </c>
      <c r="H62" s="3" t="str">
        <f>IFERROR(__xludf.DUMMYFUNCTION("""COMPUTED_VALUE"""),"pcs")</f>
        <v>pcs</v>
      </c>
      <c r="I62" s="3" t="str">
        <f>IFERROR(__xludf.DUMMYFUNCTION("""COMPUTED_VALUE"""),"Deliver")</f>
        <v>Deliver</v>
      </c>
      <c r="J62" s="3" t="str">
        <f>IFERROR(__xludf.DUMMYFUNCTION("""COMPUTED_VALUE"""),"-")</f>
        <v>-</v>
      </c>
      <c r="K62" s="3" t="str">
        <f>IFERROR(__xludf.DUMMYFUNCTION("""COMPUTED_VALUE"""),"-")</f>
        <v>-</v>
      </c>
    </row>
    <row r="63">
      <c r="A63" s="3" t="str">
        <f>IFERROR(__xludf.DUMMYFUNCTION("""COMPUTED_VALUE"""),"RIABR0022")</f>
        <v>RIABR0022</v>
      </c>
      <c r="B63" s="4">
        <f>IFERROR(__xludf.DUMMYFUNCTION("""COMPUTED_VALUE"""),45712.58252472222)</f>
        <v>45712.58252</v>
      </c>
      <c r="C63" s="4">
        <f>IFERROR(__xludf.DUMMYFUNCTION("""COMPUTED_VALUE"""),45713.74079418981)</f>
        <v>45713.74079</v>
      </c>
      <c r="D63" s="3" t="str">
        <f>IFERROR(__xludf.DUMMYFUNCTION("""COMPUTED_VALUE"""),"AHU E1-3")</f>
        <v>AHU E1-3</v>
      </c>
      <c r="E63" s="3" t="str">
        <f>IFERROR(__xludf.DUMMYFUNCTION("""COMPUTED_VALUE"""),"EJO/2025/02/126")</f>
        <v>EJO/2025/02/126</v>
      </c>
      <c r="F63" s="3" t="str">
        <f>IFERROR(__xludf.DUMMYFUNCTION("""COMPUTED_VALUE"""),"LCD Inverter")</f>
        <v>LCD Inverter</v>
      </c>
      <c r="G63" s="3">
        <f>IFERROR(__xludf.DUMMYFUNCTION("""COMPUTED_VALUE"""),1.0)</f>
        <v>1</v>
      </c>
      <c r="H63" s="3" t="str">
        <f>IFERROR(__xludf.DUMMYFUNCTION("""COMPUTED_VALUE"""),"Pcs")</f>
        <v>Pcs</v>
      </c>
      <c r="I63" s="3" t="str">
        <f>IFERROR(__xludf.DUMMYFUNCTION("""COMPUTED_VALUE"""),"Deliver")</f>
        <v>Deliver</v>
      </c>
      <c r="J63" s="3" t="str">
        <f>IFERROR(__xludf.DUMMYFUNCTION("""COMPUTED_VALUE"""),"-")</f>
        <v>-</v>
      </c>
      <c r="K63" s="3" t="str">
        <f>IFERROR(__xludf.DUMMYFUNCTION("""COMPUTED_VALUE"""),"-")</f>
        <v>-</v>
      </c>
    </row>
    <row r="64">
      <c r="A64" s="3" t="str">
        <f>IFERROR(__xludf.DUMMYFUNCTION("""COMPUTED_VALUE"""),"SHFBR0001")</f>
        <v>SHFBR0001</v>
      </c>
      <c r="B64" s="4">
        <f>IFERROR(__xludf.DUMMYFUNCTION("""COMPUTED_VALUE"""),45713.3941837963)</f>
        <v>45713.39418</v>
      </c>
      <c r="C64" s="4">
        <f>IFERROR(__xludf.DUMMYFUNCTION("""COMPUTED_VALUE"""),45742.86359487268)</f>
        <v>45742.86359</v>
      </c>
      <c r="D64" s="3" t="str">
        <f>IFERROR(__xludf.DUMMYFUNCTION("""COMPUTED_VALUE"""),"Tank Hot Water OSD")</f>
        <v>Tank Hot Water OSD</v>
      </c>
      <c r="E64" s="3" t="str">
        <f>IFERROR(__xludf.DUMMYFUNCTION("""COMPUTED_VALUE"""),"EJO/2024/12/158")</f>
        <v>EJO/2024/12/158</v>
      </c>
      <c r="F64" s="3" t="str">
        <f>IFERROR(__xludf.DUMMYFUNCTION("""COMPUTED_VALUE"""),"PIpa 1 Inch Aw")</f>
        <v>PIpa 1 Inch Aw</v>
      </c>
      <c r="G64" s="3">
        <f>IFERROR(__xludf.DUMMYFUNCTION("""COMPUTED_VALUE"""),4.0)</f>
        <v>4</v>
      </c>
      <c r="H64" s="3" t="str">
        <f>IFERROR(__xludf.DUMMYFUNCTION("""COMPUTED_VALUE"""),"Btg")</f>
        <v>Btg</v>
      </c>
      <c r="I64" s="3" t="str">
        <f>IFERROR(__xludf.DUMMYFUNCTION("""COMPUTED_VALUE"""),"Deliver")</f>
        <v>Deliver</v>
      </c>
      <c r="J64" s="3" t="str">
        <f>IFERROR(__xludf.DUMMYFUNCTION("""COMPUTED_VALUE"""),"-")</f>
        <v>-</v>
      </c>
      <c r="K64" s="3" t="str">
        <f>IFERROR(__xludf.DUMMYFUNCTION("""COMPUTED_VALUE"""),"-")</f>
        <v>-</v>
      </c>
    </row>
    <row r="65">
      <c r="A65" s="3" t="str">
        <f>IFERROR(__xludf.DUMMYFUNCTION("""COMPUTED_VALUE"""),"SHFBR0002")</f>
        <v>SHFBR0002</v>
      </c>
      <c r="B65" s="4">
        <f>IFERROR(__xludf.DUMMYFUNCTION("""COMPUTED_VALUE"""),45713.3987574537)</f>
        <v>45713.39876</v>
      </c>
      <c r="C65" s="4">
        <f>IFERROR(__xludf.DUMMYFUNCTION("""COMPUTED_VALUE"""),45742.86382190972)</f>
        <v>45742.86382</v>
      </c>
      <c r="D65" s="3" t="str">
        <f>IFERROR(__xludf.DUMMYFUNCTION("""COMPUTED_VALUE"""),"Tank Hot Water OSD")</f>
        <v>Tank Hot Water OSD</v>
      </c>
      <c r="E65" s="3" t="str">
        <f>IFERROR(__xludf.DUMMYFUNCTION("""COMPUTED_VALUE"""),"EJO/2024/12/158")</f>
        <v>EJO/2024/12/158</v>
      </c>
      <c r="F65" s="3" t="str">
        <f>IFERROR(__xludf.DUMMYFUNCTION("""COMPUTED_VALUE"""),"Gate Valve 2 Inch")</f>
        <v>Gate Valve 2 Inch</v>
      </c>
      <c r="G65" s="3">
        <f>IFERROR(__xludf.DUMMYFUNCTION("""COMPUTED_VALUE"""),2.0)</f>
        <v>2</v>
      </c>
      <c r="H65" s="3" t="str">
        <f>IFERROR(__xludf.DUMMYFUNCTION("""COMPUTED_VALUE"""),"Pcs")</f>
        <v>Pcs</v>
      </c>
      <c r="I65" s="3" t="str">
        <f>IFERROR(__xludf.DUMMYFUNCTION("""COMPUTED_VALUE"""),"Deliver")</f>
        <v>Deliver</v>
      </c>
      <c r="J65" s="3" t="str">
        <f>IFERROR(__xludf.DUMMYFUNCTION("""COMPUTED_VALUE"""),"-")</f>
        <v>-</v>
      </c>
      <c r="K65" s="3" t="str">
        <f>IFERROR(__xludf.DUMMYFUNCTION("""COMPUTED_VALUE"""),"-")</f>
        <v>-</v>
      </c>
    </row>
    <row r="66">
      <c r="A66" s="3" t="str">
        <f>IFERROR(__xludf.DUMMYFUNCTION("""COMPUTED_VALUE"""),"SHFBR0003")</f>
        <v>SHFBR0003</v>
      </c>
      <c r="B66" s="4">
        <f>IFERROR(__xludf.DUMMYFUNCTION("""COMPUTED_VALUE"""),45713.404929247685)</f>
        <v>45713.40493</v>
      </c>
      <c r="C66" s="4">
        <f>IFERROR(__xludf.DUMMYFUNCTION("""COMPUTED_VALUE"""),45742.86667283565)</f>
        <v>45742.86667</v>
      </c>
      <c r="D66" s="3" t="str">
        <f>IFERROR(__xludf.DUMMYFUNCTION("""COMPUTED_VALUE"""),"Tank Hot Water OSD")</f>
        <v>Tank Hot Water OSD</v>
      </c>
      <c r="E66" s="3" t="str">
        <f>IFERROR(__xludf.DUMMYFUNCTION("""COMPUTED_VALUE"""),"EJO/2024/12/158")</f>
        <v>EJO/2024/12/158</v>
      </c>
      <c r="F66" s="3" t="str">
        <f>IFERROR(__xludf.DUMMYFUNCTION("""COMPUTED_VALUE"""),"Hanger Clam/kelm Gantungan  2 Inch ")</f>
        <v>Hanger Clam/kelm Gantungan  2 Inch </v>
      </c>
      <c r="G66" s="3">
        <f>IFERROR(__xludf.DUMMYFUNCTION("""COMPUTED_VALUE"""),15.0)</f>
        <v>15</v>
      </c>
      <c r="H66" s="3" t="str">
        <f>IFERROR(__xludf.DUMMYFUNCTION("""COMPUTED_VALUE"""),"Pcs")</f>
        <v>Pcs</v>
      </c>
      <c r="I66" s="3" t="str">
        <f>IFERROR(__xludf.DUMMYFUNCTION("""COMPUTED_VALUE"""),"Deliver")</f>
        <v>Deliver</v>
      </c>
      <c r="J66" s="3" t="str">
        <f>IFERROR(__xludf.DUMMYFUNCTION("""COMPUTED_VALUE"""),"-")</f>
        <v>-</v>
      </c>
      <c r="K66" s="3" t="str">
        <f>IFERROR(__xludf.DUMMYFUNCTION("""COMPUTED_VALUE"""),"-")</f>
        <v>-</v>
      </c>
    </row>
    <row r="67">
      <c r="A67" s="3" t="str">
        <f>IFERROR(__xludf.DUMMYFUNCTION("""COMPUTED_VALUE"""),"SHFBR0004")</f>
        <v>SHFBR0004</v>
      </c>
      <c r="B67" s="4">
        <f>IFERROR(__xludf.DUMMYFUNCTION("""COMPUTED_VALUE"""),45713.40760268518)</f>
        <v>45713.4076</v>
      </c>
      <c r="C67" s="4">
        <f>IFERROR(__xludf.DUMMYFUNCTION("""COMPUTED_VALUE"""),45742.86690055556)</f>
        <v>45742.8669</v>
      </c>
      <c r="D67" s="3" t="str">
        <f>IFERROR(__xludf.DUMMYFUNCTION("""COMPUTED_VALUE"""),"Tank Hot Water OSD")</f>
        <v>Tank Hot Water OSD</v>
      </c>
      <c r="E67" s="3" t="str">
        <f>IFERROR(__xludf.DUMMYFUNCTION("""COMPUTED_VALUE"""),"EJO/2024/12/158")</f>
        <v>EJO/2024/12/158</v>
      </c>
      <c r="F67" s="3" t="str">
        <f>IFERROR(__xludf.DUMMYFUNCTION("""COMPUTED_VALUE"""),"Socket pipa 2 inch ")</f>
        <v>Socket pipa 2 inch </v>
      </c>
      <c r="G67" s="3">
        <f>IFERROR(__xludf.DUMMYFUNCTION("""COMPUTED_VALUE"""),6.0)</f>
        <v>6</v>
      </c>
      <c r="H67" s="3" t="str">
        <f>IFERROR(__xludf.DUMMYFUNCTION("""COMPUTED_VALUE"""),"Pcs")</f>
        <v>Pcs</v>
      </c>
      <c r="I67" s="3" t="str">
        <f>IFERROR(__xludf.DUMMYFUNCTION("""COMPUTED_VALUE"""),"Deliver")</f>
        <v>Deliver</v>
      </c>
      <c r="J67" s="3" t="str">
        <f>IFERROR(__xludf.DUMMYFUNCTION("""COMPUTED_VALUE"""),"-")</f>
        <v>-</v>
      </c>
      <c r="K67" s="3" t="str">
        <f>IFERROR(__xludf.DUMMYFUNCTION("""COMPUTED_VALUE"""),"-")</f>
        <v>-</v>
      </c>
    </row>
    <row r="68">
      <c r="A68" s="3" t="str">
        <f>IFERROR(__xludf.DUMMYFUNCTION("""COMPUTED_VALUE"""),"SHFBR0006")</f>
        <v>SHFBR0006</v>
      </c>
      <c r="B68" s="4">
        <f>IFERROR(__xludf.DUMMYFUNCTION("""COMPUTED_VALUE"""),45713.412935428234)</f>
        <v>45713.41294</v>
      </c>
      <c r="C68" s="4">
        <f>IFERROR(__xludf.DUMMYFUNCTION("""COMPUTED_VALUE"""),45742.86726978009)</f>
        <v>45742.86727</v>
      </c>
      <c r="D68" s="3" t="str">
        <f>IFERROR(__xludf.DUMMYFUNCTION("""COMPUTED_VALUE"""),"Office QA")</f>
        <v>Office QA</v>
      </c>
      <c r="E68" s="3" t="str">
        <f>IFERROR(__xludf.DUMMYFUNCTION("""COMPUTED_VALUE"""),"EJO/2025/01/79")</f>
        <v>EJO/2025/01/79</v>
      </c>
      <c r="F68" s="3" t="str">
        <f>IFERROR(__xludf.DUMMYFUNCTION("""COMPUTED_VALUE"""),"KabelDuck Setengah lingkaran")</f>
        <v>KabelDuck Setengah lingkaran</v>
      </c>
      <c r="G68" s="3">
        <f>IFERROR(__xludf.DUMMYFUNCTION("""COMPUTED_VALUE"""),3.0)</f>
        <v>3</v>
      </c>
      <c r="H68" s="3" t="str">
        <f>IFERROR(__xludf.DUMMYFUNCTION("""COMPUTED_VALUE"""),"Pcs")</f>
        <v>Pcs</v>
      </c>
      <c r="I68" s="3" t="str">
        <f>IFERROR(__xludf.DUMMYFUNCTION("""COMPUTED_VALUE"""),"Deliver")</f>
        <v>Deliver</v>
      </c>
      <c r="J68" s="3" t="str">
        <f>IFERROR(__xludf.DUMMYFUNCTION("""COMPUTED_VALUE"""),"-")</f>
        <v>-</v>
      </c>
      <c r="K68" s="3" t="str">
        <f>IFERROR(__xludf.DUMMYFUNCTION("""COMPUTED_VALUE"""),"-")</f>
        <v>-</v>
      </c>
    </row>
    <row r="69">
      <c r="A69" s="3" t="str">
        <f>IFERROR(__xludf.DUMMYFUNCTION("""COMPUTED_VALUE"""),"MOBBR0019")</f>
        <v>MOBBR0019</v>
      </c>
      <c r="B69" s="4">
        <f>IFERROR(__xludf.DUMMYFUNCTION("""COMPUTED_VALUE"""),45713.94654012731)</f>
        <v>45713.94654</v>
      </c>
      <c r="C69" s="4">
        <f>IFERROR(__xludf.DUMMYFUNCTION("""COMPUTED_VALUE"""),45723.65623229166)</f>
        <v>45723.65623</v>
      </c>
      <c r="D69" s="3" t="str">
        <f>IFERROR(__xludf.DUMMYFUNCTION("""COMPUTED_VALUE"""),"AC")</f>
        <v>AC</v>
      </c>
      <c r="E69" s="3" t="str">
        <f>IFERROR(__xludf.DUMMYFUNCTION("""COMPUTED_VALUE"""),"-")</f>
        <v>-</v>
      </c>
      <c r="F69" s="3" t="str">
        <f>IFERROR(__xludf.DUMMYFUNCTION("""COMPUTED_VALUE"""),"Freon")</f>
        <v>Freon</v>
      </c>
      <c r="G69" s="3">
        <f>IFERROR(__xludf.DUMMYFUNCTION("""COMPUTED_VALUE"""),2.0)</f>
        <v>2</v>
      </c>
      <c r="H69" s="3" t="str">
        <f>IFERROR(__xludf.DUMMYFUNCTION("""COMPUTED_VALUE"""),"Pcs")</f>
        <v>Pcs</v>
      </c>
      <c r="I69" s="3" t="str">
        <f>IFERROR(__xludf.DUMMYFUNCTION("""COMPUTED_VALUE"""),"Deliver")</f>
        <v>Deliver</v>
      </c>
      <c r="J69" s="3" t="str">
        <f>IFERROR(__xludf.DUMMYFUNCTION("""COMPUTED_VALUE"""),"-")</f>
        <v>-</v>
      </c>
      <c r="K69" s="3" t="str">
        <f>IFERROR(__xludf.DUMMYFUNCTION("""COMPUTED_VALUE"""),"-")</f>
        <v>-</v>
      </c>
    </row>
    <row r="70">
      <c r="A70" s="3" t="str">
        <f>IFERROR(__xludf.DUMMYFUNCTION("""COMPUTED_VALUE"""),"MRNBR0003")</f>
        <v>MRNBR0003</v>
      </c>
      <c r="B70" s="4">
        <f>IFERROR(__xludf.DUMMYFUNCTION("""COMPUTED_VALUE"""),45714.36542666667)</f>
        <v>45714.36543</v>
      </c>
      <c r="C70" s="4">
        <f>IFERROR(__xludf.DUMMYFUNCTION("""COMPUTED_VALUE"""),45723.65603869213)</f>
        <v>45723.65604</v>
      </c>
      <c r="D70" s="3" t="str">
        <f>IFERROR(__xludf.DUMMYFUNCTION("""COMPUTED_VALUE"""),"Loker sepatu")</f>
        <v>Loker sepatu</v>
      </c>
      <c r="E70" s="3" t="str">
        <f>IFERROR(__xludf.DUMMYFUNCTION("""COMPUTED_VALUE"""),"EJO/2024/12/150")</f>
        <v>EJO/2024/12/150</v>
      </c>
      <c r="F70" s="3" t="str">
        <f>IFERROR(__xludf.DUMMYFUNCTION("""COMPUTED_VALUE"""),"ducting flexible")</f>
        <v>ducting flexible</v>
      </c>
      <c r="G70" s="3">
        <f>IFERROR(__xludf.DUMMYFUNCTION("""COMPUTED_VALUE"""),3.0)</f>
        <v>3</v>
      </c>
      <c r="H70" s="3" t="str">
        <f>IFERROR(__xludf.DUMMYFUNCTION("""COMPUTED_VALUE"""),"unit")</f>
        <v>unit</v>
      </c>
      <c r="I70" s="3" t="str">
        <f>IFERROR(__xludf.DUMMYFUNCTION("""COMPUTED_VALUE"""),"Deliver")</f>
        <v>Deliver</v>
      </c>
      <c r="J70" s="3" t="str">
        <f>IFERROR(__xludf.DUMMYFUNCTION("""COMPUTED_VALUE"""),"-")</f>
        <v>-</v>
      </c>
      <c r="K70" s="3" t="str">
        <f>IFERROR(__xludf.DUMMYFUNCTION("""COMPUTED_VALUE"""),"-")</f>
        <v>-</v>
      </c>
    </row>
    <row r="71">
      <c r="A71" s="3" t="str">
        <f>IFERROR(__xludf.DUMMYFUNCTION("""COMPUTED_VALUE"""),"ANOBR0012")</f>
        <v>ANOBR0012</v>
      </c>
      <c r="B71" s="4">
        <f>IFERROR(__xludf.DUMMYFUNCTION("""COMPUTED_VALUE"""),45715.413608622686)</f>
        <v>45715.41361</v>
      </c>
      <c r="C71" s="4">
        <f>IFERROR(__xludf.DUMMYFUNCTION("""COMPUTED_VALUE"""),45730.61894465278)</f>
        <v>45730.61894</v>
      </c>
      <c r="D71" s="3" t="str">
        <f>IFERROR(__xludf.DUMMYFUNCTION("""COMPUTED_VALUE"""),"Workshop")</f>
        <v>Workshop</v>
      </c>
      <c r="E71" s="3" t="str">
        <f>IFERROR(__xludf.DUMMYFUNCTION("""COMPUTED_VALUE"""),"-")</f>
        <v>-</v>
      </c>
      <c r="F71" s="3" t="str">
        <f>IFERROR(__xludf.DUMMYFUNCTION("""COMPUTED_VALUE"""),"Alat Tap dan Snei")</f>
        <v>Alat Tap dan Snei</v>
      </c>
      <c r="G71" s="3">
        <f>IFERROR(__xludf.DUMMYFUNCTION("""COMPUTED_VALUE"""),3.0)</f>
        <v>3</v>
      </c>
      <c r="H71" s="3" t="str">
        <f>IFERROR(__xludf.DUMMYFUNCTION("""COMPUTED_VALUE"""),"pcs")</f>
        <v>pcs</v>
      </c>
      <c r="I71" s="3" t="str">
        <f>IFERROR(__xludf.DUMMYFUNCTION("""COMPUTED_VALUE"""),"Deliver")</f>
        <v>Deliver</v>
      </c>
      <c r="J71" s="3" t="str">
        <f>IFERROR(__xludf.DUMMYFUNCTION("""COMPUTED_VALUE"""),"-")</f>
        <v>-</v>
      </c>
      <c r="K71" s="3" t="str">
        <f>IFERROR(__xludf.DUMMYFUNCTION("""COMPUTED_VALUE"""),"-")</f>
        <v>-</v>
      </c>
    </row>
    <row r="72">
      <c r="A72" s="3" t="str">
        <f>IFERROR(__xludf.DUMMYFUNCTION("""COMPUTED_VALUE"""),"ANOBR0013")</f>
        <v>ANOBR0013</v>
      </c>
      <c r="B72" s="4">
        <f>IFERROR(__xludf.DUMMYFUNCTION("""COMPUTED_VALUE"""),45715.41855144676)</f>
        <v>45715.41855</v>
      </c>
      <c r="C72" s="4">
        <f>IFERROR(__xludf.DUMMYFUNCTION("""COMPUTED_VALUE"""),45730.61958699074)</f>
        <v>45730.61959</v>
      </c>
      <c r="D72" s="3" t="str">
        <f>IFERROR(__xludf.DUMMYFUNCTION("""COMPUTED_VALUE"""),"Workshop")</f>
        <v>Workshop</v>
      </c>
      <c r="E72" s="3" t="str">
        <f>IFERROR(__xludf.DUMMYFUNCTION("""COMPUTED_VALUE"""),"-")</f>
        <v>-</v>
      </c>
      <c r="F72" s="3" t="str">
        <f>IFERROR(__xludf.DUMMYFUNCTION("""COMPUTED_VALUE"""),"Alat Tap dan Snei")</f>
        <v>Alat Tap dan Snei</v>
      </c>
      <c r="G72" s="3">
        <f>IFERROR(__xludf.DUMMYFUNCTION("""COMPUTED_VALUE"""),3.0)</f>
        <v>3</v>
      </c>
      <c r="H72" s="3" t="str">
        <f>IFERROR(__xludf.DUMMYFUNCTION("""COMPUTED_VALUE"""),"pcs")</f>
        <v>pcs</v>
      </c>
      <c r="I72" s="3" t="str">
        <f>IFERROR(__xludf.DUMMYFUNCTION("""COMPUTED_VALUE"""),"Deliver")</f>
        <v>Deliver</v>
      </c>
      <c r="J72" s="3" t="str">
        <f>IFERROR(__xludf.DUMMYFUNCTION("""COMPUTED_VALUE"""),"121703825 - APPROVED")</f>
        <v>121703825 - APPROVED</v>
      </c>
      <c r="K72" s="3" t="str">
        <f>IFERROR(__xludf.DUMMYFUNCTION("""COMPUTED_VALUE"""),"GL2603431")</f>
        <v>GL2603431</v>
      </c>
    </row>
    <row r="73">
      <c r="A73" s="3" t="str">
        <f>IFERROR(__xludf.DUMMYFUNCTION("""COMPUTED_VALUE"""),"ANOBR0014")</f>
        <v>ANOBR0014</v>
      </c>
      <c r="B73" s="4">
        <f>IFERROR(__xludf.DUMMYFUNCTION("""COMPUTED_VALUE"""),45715.421505046295)</f>
        <v>45715.42151</v>
      </c>
      <c r="C73" s="4">
        <f>IFERROR(__xludf.DUMMYFUNCTION("""COMPUTED_VALUE"""),45730.62083486111)</f>
        <v>45730.62083</v>
      </c>
      <c r="D73" s="3" t="str">
        <f>IFERROR(__xludf.DUMMYFUNCTION("""COMPUTED_VALUE"""),"Workshop")</f>
        <v>Workshop</v>
      </c>
      <c r="E73" s="3" t="str">
        <f>IFERROR(__xludf.DUMMYFUNCTION("""COMPUTED_VALUE"""),"-")</f>
        <v>-</v>
      </c>
      <c r="F73" s="3" t="str">
        <f>IFERROR(__xludf.DUMMYFUNCTION("""COMPUTED_VALUE"""),"Alat Tap dan Snei")</f>
        <v>Alat Tap dan Snei</v>
      </c>
      <c r="G73" s="3">
        <f>IFERROR(__xludf.DUMMYFUNCTION("""COMPUTED_VALUE"""),3.0)</f>
        <v>3</v>
      </c>
      <c r="H73" s="3" t="str">
        <f>IFERROR(__xludf.DUMMYFUNCTION("""COMPUTED_VALUE"""),"pcs")</f>
        <v>pcs</v>
      </c>
      <c r="I73" s="3" t="str">
        <f>IFERROR(__xludf.DUMMYFUNCTION("""COMPUTED_VALUE"""),"Deliver")</f>
        <v>Deliver</v>
      </c>
      <c r="J73" s="3" t="str">
        <f>IFERROR(__xludf.DUMMYFUNCTION("""COMPUTED_VALUE"""),"121703825 - APPROVED")</f>
        <v>121703825 - APPROVED</v>
      </c>
      <c r="K73" s="3" t="str">
        <f>IFERROR(__xludf.DUMMYFUNCTION("""COMPUTED_VALUE"""),"GL2603431")</f>
        <v>GL2603431</v>
      </c>
    </row>
    <row r="74">
      <c r="A74" s="3" t="str">
        <f>IFERROR(__xludf.DUMMYFUNCTION("""COMPUTED_VALUE"""),"ANOBR0015")</f>
        <v>ANOBR0015</v>
      </c>
      <c r="B74" s="4">
        <f>IFERROR(__xludf.DUMMYFUNCTION("""COMPUTED_VALUE"""),45715.43380225694)</f>
        <v>45715.4338</v>
      </c>
      <c r="C74" s="4">
        <f>IFERROR(__xludf.DUMMYFUNCTION("""COMPUTED_VALUE"""),45730.62130640046)</f>
        <v>45730.62131</v>
      </c>
      <c r="D74" s="3" t="str">
        <f>IFERROR(__xludf.DUMMYFUNCTION("""COMPUTED_VALUE"""),"Workshop")</f>
        <v>Workshop</v>
      </c>
      <c r="E74" s="3" t="str">
        <f>IFERROR(__xludf.DUMMYFUNCTION("""COMPUTED_VALUE"""),"-")</f>
        <v>-</v>
      </c>
      <c r="F74" s="3" t="str">
        <f>IFERROR(__xludf.DUMMYFUNCTION("""COMPUTED_VALUE"""),"Alat Tap dan Snei")</f>
        <v>Alat Tap dan Snei</v>
      </c>
      <c r="G74" s="3">
        <f>IFERROR(__xludf.DUMMYFUNCTION("""COMPUTED_VALUE"""),3.0)</f>
        <v>3</v>
      </c>
      <c r="H74" s="3" t="str">
        <f>IFERROR(__xludf.DUMMYFUNCTION("""COMPUTED_VALUE"""),"pcs")</f>
        <v>pcs</v>
      </c>
      <c r="I74" s="3" t="str">
        <f>IFERROR(__xludf.DUMMYFUNCTION("""COMPUTED_VALUE"""),"Deliver")</f>
        <v>Deliver</v>
      </c>
      <c r="J74" s="3" t="str">
        <f>IFERROR(__xludf.DUMMYFUNCTION("""COMPUTED_VALUE"""),"-")</f>
        <v>-</v>
      </c>
      <c r="K74" s="3" t="str">
        <f>IFERROR(__xludf.DUMMYFUNCTION("""COMPUTED_VALUE"""),"-")</f>
        <v>-</v>
      </c>
    </row>
    <row r="75">
      <c r="A75" s="3" t="str">
        <f>IFERROR(__xludf.DUMMYFUNCTION("""COMPUTED_VALUE"""),"ANOBR0016")</f>
        <v>ANOBR0016</v>
      </c>
      <c r="B75" s="4">
        <f>IFERROR(__xludf.DUMMYFUNCTION("""COMPUTED_VALUE"""),45715.43703217593)</f>
        <v>45715.43703</v>
      </c>
      <c r="C75" s="4">
        <f>IFERROR(__xludf.DUMMYFUNCTION("""COMPUTED_VALUE"""),45730.621910173606)</f>
        <v>45730.62191</v>
      </c>
      <c r="D75" s="3" t="str">
        <f>IFERROR(__xludf.DUMMYFUNCTION("""COMPUTED_VALUE"""),"Workshop")</f>
        <v>Workshop</v>
      </c>
      <c r="E75" s="3" t="str">
        <f>IFERROR(__xludf.DUMMYFUNCTION("""COMPUTED_VALUE"""),"-")</f>
        <v>-</v>
      </c>
      <c r="F75" s="3" t="str">
        <f>IFERROR(__xludf.DUMMYFUNCTION("""COMPUTED_VALUE"""),"Alat Tap dan Snei")</f>
        <v>Alat Tap dan Snei</v>
      </c>
      <c r="G75" s="3">
        <f>IFERROR(__xludf.DUMMYFUNCTION("""COMPUTED_VALUE"""),1.0)</f>
        <v>1</v>
      </c>
      <c r="H75" s="3" t="str">
        <f>IFERROR(__xludf.DUMMYFUNCTION("""COMPUTED_VALUE"""),"pcs")</f>
        <v>pcs</v>
      </c>
      <c r="I75" s="3" t="str">
        <f>IFERROR(__xludf.DUMMYFUNCTION("""COMPUTED_VALUE"""),"Deliver")</f>
        <v>Deliver</v>
      </c>
      <c r="J75" s="3" t="str">
        <f>IFERROR(__xludf.DUMMYFUNCTION("""COMPUTED_VALUE"""),"-")</f>
        <v>-</v>
      </c>
      <c r="K75" s="3" t="str">
        <f>IFERROR(__xludf.DUMMYFUNCTION("""COMPUTED_VALUE"""),"-")</f>
        <v>-</v>
      </c>
    </row>
    <row r="76">
      <c r="A76" s="3" t="str">
        <f>IFERROR(__xludf.DUMMYFUNCTION("""COMPUTED_VALUE"""),"NDSBR0004")</f>
        <v>NDSBR0004</v>
      </c>
      <c r="B76" s="4">
        <f>IFERROR(__xludf.DUMMYFUNCTION("""COMPUTED_VALUE"""),45715.47366626157)</f>
        <v>45715.47367</v>
      </c>
      <c r="C76" s="4">
        <f>IFERROR(__xludf.DUMMYFUNCTION("""COMPUTED_VALUE"""),45720.674591284725)</f>
        <v>45720.67459</v>
      </c>
      <c r="D76" s="3" t="str">
        <f>IFERROR(__xludf.DUMMYFUNCTION("""COMPUTED_VALUE"""),"Vial Washing")</f>
        <v>Vial Washing</v>
      </c>
      <c r="E76" s="3" t="str">
        <f>IFERROR(__xludf.DUMMYFUNCTION("""COMPUTED_VALUE"""),"EJO/2024/08/27")</f>
        <v>EJO/2024/08/27</v>
      </c>
      <c r="F76" s="3" t="str">
        <f>IFERROR(__xludf.DUMMYFUNCTION("""COMPUTED_VALUE"""),"Baut L Tanam")</f>
        <v>Baut L Tanam</v>
      </c>
      <c r="G76" s="3">
        <f>IFERROR(__xludf.DUMMYFUNCTION("""COMPUTED_VALUE"""),100.0)</f>
        <v>100</v>
      </c>
      <c r="H76" s="3" t="str">
        <f>IFERROR(__xludf.DUMMYFUNCTION("""COMPUTED_VALUE"""),"Pcs")</f>
        <v>Pcs</v>
      </c>
      <c r="I76" s="3" t="str">
        <f>IFERROR(__xludf.DUMMYFUNCTION("""COMPUTED_VALUE"""),"Deliver")</f>
        <v>Deliver</v>
      </c>
      <c r="J76" s="3" t="str">
        <f>IFERROR(__xludf.DUMMYFUNCTION("""COMPUTED_VALUE"""),"-")</f>
        <v>-</v>
      </c>
      <c r="K76" s="3" t="str">
        <f>IFERROR(__xludf.DUMMYFUNCTION("""COMPUTED_VALUE"""),"-")</f>
        <v>-</v>
      </c>
    </row>
    <row r="77">
      <c r="A77" s="3" t="str">
        <f>IFERROR(__xludf.DUMMYFUNCTION("""COMPUTED_VALUE"""),"INNBR0015")</f>
        <v>INNBR0015</v>
      </c>
      <c r="B77" s="4">
        <f>IFERROR(__xludf.DUMMYFUNCTION("""COMPUTED_VALUE"""),45715.48699853009)</f>
        <v>45715.487</v>
      </c>
      <c r="C77" s="4">
        <f>IFERROR(__xludf.DUMMYFUNCTION("""COMPUTED_VALUE"""),45730.625915462966)</f>
        <v>45730.62592</v>
      </c>
      <c r="D77" s="3" t="str">
        <f>IFERROR(__xludf.DUMMYFUNCTION("""COMPUTED_VALUE"""),"Mixing (jaket heater cremophor)")</f>
        <v>Mixing (jaket heater cremophor)</v>
      </c>
      <c r="E77" s="3" t="str">
        <f>IFERROR(__xludf.DUMMYFUNCTION("""COMPUTED_VALUE"""),"-")</f>
        <v>-</v>
      </c>
      <c r="F77" s="3" t="str">
        <f>IFERROR(__xludf.DUMMYFUNCTION("""COMPUTED_VALUE"""),"HEATER JAKET (HEATING CABLE +THERMOSTAT) UK 1790 X 330MM 230V 2000W P.KABEL 5 METER")</f>
        <v>HEATER JAKET (HEATING CABLE +THERMOSTAT) UK 1790 X 330MM 230V 2000W P.KABEL 5 METER</v>
      </c>
      <c r="G77" s="3">
        <f>IFERROR(__xludf.DUMMYFUNCTION("""COMPUTED_VALUE"""),1.0)</f>
        <v>1</v>
      </c>
      <c r="H77" s="3" t="str">
        <f>IFERROR(__xludf.DUMMYFUNCTION("""COMPUTED_VALUE"""),"Unit")</f>
        <v>Unit</v>
      </c>
      <c r="I77" s="3" t="str">
        <f>IFERROR(__xludf.DUMMYFUNCTION("""COMPUTED_VALUE"""),"Deliver")</f>
        <v>Deliver</v>
      </c>
      <c r="J77" s="3" t="str">
        <f>IFERROR(__xludf.DUMMYFUNCTION("""COMPUTED_VALUE"""),"-")</f>
        <v>-</v>
      </c>
      <c r="K77" s="3" t="str">
        <f>IFERROR(__xludf.DUMMYFUNCTION("""COMPUTED_VALUE"""),"-")</f>
        <v>-</v>
      </c>
    </row>
    <row r="78">
      <c r="A78" s="3" t="str">
        <f>IFERROR(__xludf.DUMMYFUNCTION("""COMPUTED_VALUE"""),"AAABR0001")</f>
        <v>AAABR0001</v>
      </c>
      <c r="B78" s="4">
        <f>IFERROR(__xludf.DUMMYFUNCTION("""COMPUTED_VALUE"""),45715.95977559027)</f>
        <v>45715.95978</v>
      </c>
      <c r="C78" s="4">
        <f>IFERROR(__xludf.DUMMYFUNCTION("""COMPUTED_VALUE"""),45729.595949594914)</f>
        <v>45729.59595</v>
      </c>
      <c r="D78" s="3" t="str">
        <f>IFERROR(__xludf.DUMMYFUNCTION("""COMPUTED_VALUE"""),"Cartoning")</f>
        <v>Cartoning</v>
      </c>
      <c r="E78" s="3" t="str">
        <f>IFERROR(__xludf.DUMMYFUNCTION("""COMPUTED_VALUE"""),"NA")</f>
        <v>NA</v>
      </c>
      <c r="F78" s="3" t="str">
        <f>IFERROR(__xludf.DUMMYFUNCTION("""COMPUTED_VALUE"""),"Toothed Belt")</f>
        <v>Toothed Belt</v>
      </c>
      <c r="G78" s="3">
        <f>IFERROR(__xludf.DUMMYFUNCTION("""COMPUTED_VALUE"""),2.0)</f>
        <v>2</v>
      </c>
      <c r="H78" s="3" t="str">
        <f>IFERROR(__xludf.DUMMYFUNCTION("""COMPUTED_VALUE"""),"Pcs")</f>
        <v>Pcs</v>
      </c>
      <c r="I78" s="3" t="str">
        <f>IFERROR(__xludf.DUMMYFUNCTION("""COMPUTED_VALUE"""),"Deliver")</f>
        <v>Deliver</v>
      </c>
      <c r="J78" s="3" t="str">
        <f>IFERROR(__xludf.DUMMYFUNCTION("""COMPUTED_VALUE"""),"-")</f>
        <v>-</v>
      </c>
      <c r="K78" s="3" t="str">
        <f>IFERROR(__xludf.DUMMYFUNCTION("""COMPUTED_VALUE"""),"-")</f>
        <v>-</v>
      </c>
    </row>
    <row r="79">
      <c r="A79" s="3" t="str">
        <f>IFERROR(__xludf.DUMMYFUNCTION("""COMPUTED_VALUE"""),"SFHBR0011")</f>
        <v>SFHBR0011</v>
      </c>
      <c r="B79" s="4">
        <f>IFERROR(__xludf.DUMMYFUNCTION("""COMPUTED_VALUE"""),45720.48712806713)</f>
        <v>45720.48713</v>
      </c>
      <c r="C79" s="4">
        <f>IFERROR(__xludf.DUMMYFUNCTION("""COMPUTED_VALUE"""),45721.84856931713)</f>
        <v>45721.84857</v>
      </c>
      <c r="D79" s="3" t="str">
        <f>IFERROR(__xludf.DUMMYFUNCTION("""COMPUTED_VALUE"""),"lantai 1")</f>
        <v>lantai 1</v>
      </c>
      <c r="E79" s="3" t="str">
        <f>IFERROR(__xludf.DUMMYFUNCTION("""COMPUTED_VALUE"""),"EJO/2025/01/127")</f>
        <v>EJO/2025/01/127</v>
      </c>
      <c r="F79" s="3" t="str">
        <f>IFERROR(__xludf.DUMMYFUNCTION("""COMPUTED_VALUE"""),"cat batu alam")</f>
        <v>cat batu alam</v>
      </c>
      <c r="G79" s="3">
        <f>IFERROR(__xludf.DUMMYFUNCTION("""COMPUTED_VALUE"""),4.0)</f>
        <v>4</v>
      </c>
      <c r="H79" s="3" t="str">
        <f>IFERROR(__xludf.DUMMYFUNCTION("""COMPUTED_VALUE"""),"pel")</f>
        <v>pel</v>
      </c>
      <c r="I79" s="3" t="str">
        <f>IFERROR(__xludf.DUMMYFUNCTION("""COMPUTED_VALUE"""),"Deliver")</f>
        <v>Deliver</v>
      </c>
      <c r="J79" s="3" t="str">
        <f>IFERROR(__xludf.DUMMYFUNCTION("""COMPUTED_VALUE"""),"-")</f>
        <v>-</v>
      </c>
      <c r="K79" s="3" t="str">
        <f>IFERROR(__xludf.DUMMYFUNCTION("""COMPUTED_VALUE"""),"-")</f>
        <v>-</v>
      </c>
    </row>
    <row r="80">
      <c r="A80" s="3" t="str">
        <f>IFERROR(__xludf.DUMMYFUNCTION("""COMPUTED_VALUE"""),"RIABR0025")</f>
        <v>RIABR0025</v>
      </c>
      <c r="B80" s="4">
        <f>IFERROR(__xludf.DUMMYFUNCTION("""COMPUTED_VALUE"""),45721.915733124995)</f>
        <v>45721.91573</v>
      </c>
      <c r="C80" s="4">
        <f>IFERROR(__xludf.DUMMYFUNCTION("""COMPUTED_VALUE"""),45723.63340704861)</f>
        <v>45723.63341</v>
      </c>
      <c r="D80" s="3" t="str">
        <f>IFERROR(__xludf.DUMMYFUNCTION("""COMPUTED_VALUE"""),"Forklift")</f>
        <v>Forklift</v>
      </c>
      <c r="E80" s="3" t="str">
        <f>IFERROR(__xludf.DUMMYFUNCTION("""COMPUTED_VALUE"""),"-")</f>
        <v>-</v>
      </c>
      <c r="F80" s="3" t="str">
        <f>IFERROR(__xludf.DUMMYFUNCTION("""COMPUTED_VALUE"""),"Air Aki")</f>
        <v>Air Aki</v>
      </c>
      <c r="G80" s="3">
        <f>IFERROR(__xludf.DUMMYFUNCTION("""COMPUTED_VALUE"""),20.0)</f>
        <v>20</v>
      </c>
      <c r="H80" s="3" t="str">
        <f>IFERROR(__xludf.DUMMYFUNCTION("""COMPUTED_VALUE"""),"Ltr")</f>
        <v>Ltr</v>
      </c>
      <c r="I80" s="3" t="str">
        <f>IFERROR(__xludf.DUMMYFUNCTION("""COMPUTED_VALUE"""),"Deliver")</f>
        <v>Deliver</v>
      </c>
      <c r="J80" s="3" t="str">
        <f>IFERROR(__xludf.DUMMYFUNCTION("""COMPUTED_VALUE"""),"-")</f>
        <v>-</v>
      </c>
      <c r="K80" s="3" t="str">
        <f>IFERROR(__xludf.DUMMYFUNCTION("""COMPUTED_VALUE"""),"-")</f>
        <v>-</v>
      </c>
    </row>
    <row r="81">
      <c r="A81" s="3" t="str">
        <f>IFERROR(__xludf.DUMMYFUNCTION("""COMPUTED_VALUE"""),"SFHBR0012")</f>
        <v>SFHBR0012</v>
      </c>
      <c r="B81" s="4">
        <f>IFERROR(__xludf.DUMMYFUNCTION("""COMPUTED_VALUE"""),45722.40214248843)</f>
        <v>45722.40214</v>
      </c>
      <c r="C81" s="4">
        <f>IFERROR(__xludf.DUMMYFUNCTION("""COMPUTED_VALUE"""),45723.63493662037)</f>
        <v>45723.63494</v>
      </c>
      <c r="D81" s="3" t="str">
        <f>IFERROR(__xludf.DUMMYFUNCTION("""COMPUTED_VALUE"""),"lantai 1")</f>
        <v>lantai 1</v>
      </c>
      <c r="E81" s="3" t="str">
        <f>IFERROR(__xludf.DUMMYFUNCTION("""COMPUTED_VALUE"""),"EJO/2025/03/36")</f>
        <v>EJO/2025/03/36</v>
      </c>
      <c r="F81" s="3" t="str">
        <f>IFERROR(__xludf.DUMMYFUNCTION("""COMPUTED_VALUE"""),"hardener sanpolac")</f>
        <v>hardener sanpolac</v>
      </c>
      <c r="G81" s="3">
        <f>IFERROR(__xludf.DUMMYFUNCTION("""COMPUTED_VALUE"""),3.0)</f>
        <v>3</v>
      </c>
      <c r="H81" s="3" t="str">
        <f>IFERROR(__xludf.DUMMYFUNCTION("""COMPUTED_VALUE"""),"kg")</f>
        <v>kg</v>
      </c>
      <c r="I81" s="3" t="str">
        <f>IFERROR(__xludf.DUMMYFUNCTION("""COMPUTED_VALUE"""),"Deliver")</f>
        <v>Deliver</v>
      </c>
      <c r="J81" s="3" t="str">
        <f>IFERROR(__xludf.DUMMYFUNCTION("""COMPUTED_VALUE"""),"-")</f>
        <v>-</v>
      </c>
      <c r="K81" s="3" t="str">
        <f>IFERROR(__xludf.DUMMYFUNCTION("""COMPUTED_VALUE"""),"-")</f>
        <v>-</v>
      </c>
    </row>
    <row r="82">
      <c r="A82" s="3" t="str">
        <f>IFERROR(__xludf.DUMMYFUNCTION("""COMPUTED_VALUE"""),"SFHBR0013")</f>
        <v>SFHBR0013</v>
      </c>
      <c r="B82" s="4">
        <f>IFERROR(__xludf.DUMMYFUNCTION("""COMPUTED_VALUE"""),45723.46938396991)</f>
        <v>45723.46938</v>
      </c>
      <c r="C82" s="4">
        <f>IFERROR(__xludf.DUMMYFUNCTION("""COMPUTED_VALUE"""),45723.65679113426)</f>
        <v>45723.65679</v>
      </c>
      <c r="D82" s="3" t="str">
        <f>IFERROR(__xludf.DUMMYFUNCTION("""COMPUTED_VALUE"""),"FIP Luar")</f>
        <v>FIP Luar</v>
      </c>
      <c r="E82" s="3" t="str">
        <f>IFERROR(__xludf.DUMMYFUNCTION("""COMPUTED_VALUE"""),"-")</f>
        <v>-</v>
      </c>
      <c r="F82" s="3" t="str">
        <f>IFERROR(__xludf.DUMMYFUNCTION("""COMPUTED_VALUE"""),"Wearpack")</f>
        <v>Wearpack</v>
      </c>
      <c r="G82" s="3">
        <f>IFERROR(__xludf.DUMMYFUNCTION("""COMPUTED_VALUE"""),2.0)</f>
        <v>2</v>
      </c>
      <c r="H82" s="3" t="str">
        <f>IFERROR(__xludf.DUMMYFUNCTION("""COMPUTED_VALUE"""),"Pcs")</f>
        <v>Pcs</v>
      </c>
      <c r="I82" s="3" t="str">
        <f>IFERROR(__xludf.DUMMYFUNCTION("""COMPUTED_VALUE"""),"Deliver")</f>
        <v>Deliver</v>
      </c>
      <c r="J82" s="3" t="str">
        <f>IFERROR(__xludf.DUMMYFUNCTION("""COMPUTED_VALUE"""),"-")</f>
        <v>-</v>
      </c>
      <c r="K82" s="3" t="str">
        <f>IFERROR(__xludf.DUMMYFUNCTION("""COMPUTED_VALUE"""),"-")</f>
        <v>-</v>
      </c>
    </row>
    <row r="83">
      <c r="A83" s="3" t="str">
        <f>IFERROR(__xludf.DUMMYFUNCTION("""COMPUTED_VALUE"""),"SFHBR0014")</f>
        <v>SFHBR0014</v>
      </c>
      <c r="B83" s="4">
        <f>IFERROR(__xludf.DUMMYFUNCTION("""COMPUTED_VALUE"""),45723.476641608795)</f>
        <v>45723.47664</v>
      </c>
      <c r="C83" s="4">
        <f>IFERROR(__xludf.DUMMYFUNCTION("""COMPUTED_VALUE"""),45723.65702150463)</f>
        <v>45723.65702</v>
      </c>
      <c r="D83" s="3" t="str">
        <f>IFERROR(__xludf.DUMMYFUNCTION("""COMPUTED_VALUE"""),"FIP Luar")</f>
        <v>FIP Luar</v>
      </c>
      <c r="E83" s="3" t="str">
        <f>IFERROR(__xludf.DUMMYFUNCTION("""COMPUTED_VALUE"""),"-")</f>
        <v>-</v>
      </c>
      <c r="F83" s="3" t="str">
        <f>IFERROR(__xludf.DUMMYFUNCTION("""COMPUTED_VALUE"""),"Wearpack")</f>
        <v>Wearpack</v>
      </c>
      <c r="G83" s="3">
        <f>IFERROR(__xludf.DUMMYFUNCTION("""COMPUTED_VALUE"""),2.0)</f>
        <v>2</v>
      </c>
      <c r="H83" s="3" t="str">
        <f>IFERROR(__xludf.DUMMYFUNCTION("""COMPUTED_VALUE"""),"Pcs")</f>
        <v>Pcs</v>
      </c>
      <c r="I83" s="3" t="str">
        <f>IFERROR(__xludf.DUMMYFUNCTION("""COMPUTED_VALUE"""),"Deliver")</f>
        <v>Deliver</v>
      </c>
      <c r="J83" s="3" t="str">
        <f>IFERROR(__xludf.DUMMYFUNCTION("""COMPUTED_VALUE"""),"-")</f>
        <v>-</v>
      </c>
      <c r="K83" s="3" t="str">
        <f>IFERROR(__xludf.DUMMYFUNCTION("""COMPUTED_VALUE"""),"-")</f>
        <v>-</v>
      </c>
    </row>
    <row r="84">
      <c r="A84" s="3" t="str">
        <f>IFERROR(__xludf.DUMMYFUNCTION("""COMPUTED_VALUE"""),"SFHBR0015")</f>
        <v>SFHBR0015</v>
      </c>
      <c r="B84" s="4">
        <f>IFERROR(__xludf.DUMMYFUNCTION("""COMPUTED_VALUE"""),45723.476641608795)</f>
        <v>45723.47664</v>
      </c>
      <c r="C84" s="4">
        <f>IFERROR(__xludf.DUMMYFUNCTION("""COMPUTED_VALUE"""),45723.657242534726)</f>
        <v>45723.65724</v>
      </c>
      <c r="D84" s="3" t="str">
        <f>IFERROR(__xludf.DUMMYFUNCTION("""COMPUTED_VALUE"""),"FIP Luar")</f>
        <v>FIP Luar</v>
      </c>
      <c r="E84" s="3" t="str">
        <f>IFERROR(__xludf.DUMMYFUNCTION("""COMPUTED_VALUE"""),"-")</f>
        <v>-</v>
      </c>
      <c r="F84" s="3" t="str">
        <f>IFERROR(__xludf.DUMMYFUNCTION("""COMPUTED_VALUE"""),"Wearpack")</f>
        <v>Wearpack</v>
      </c>
      <c r="G84" s="3">
        <f>IFERROR(__xludf.DUMMYFUNCTION("""COMPUTED_VALUE"""),2.0)</f>
        <v>2</v>
      </c>
      <c r="H84" s="3" t="str">
        <f>IFERROR(__xludf.DUMMYFUNCTION("""COMPUTED_VALUE"""),"Pcs")</f>
        <v>Pcs</v>
      </c>
      <c r="I84" s="3" t="str">
        <f>IFERROR(__xludf.DUMMYFUNCTION("""COMPUTED_VALUE"""),"Deliver")</f>
        <v>Deliver</v>
      </c>
      <c r="J84" s="3" t="str">
        <f>IFERROR(__xludf.DUMMYFUNCTION("""COMPUTED_VALUE"""),"-")</f>
        <v>-</v>
      </c>
      <c r="K84" s="3" t="str">
        <f>IFERROR(__xludf.DUMMYFUNCTION("""COMPUTED_VALUE"""),"-")</f>
        <v>-</v>
      </c>
    </row>
    <row r="85">
      <c r="A85" s="3" t="str">
        <f>IFERROR(__xludf.DUMMYFUNCTION("""COMPUTED_VALUE"""),"ROSBR0009")</f>
        <v>ROSBR0009</v>
      </c>
      <c r="B85" s="4">
        <f>IFERROR(__xludf.DUMMYFUNCTION("""COMPUTED_VALUE"""),45723.60668484954)</f>
        <v>45723.60668</v>
      </c>
      <c r="C85" s="4">
        <f>IFERROR(__xludf.DUMMYFUNCTION("""COMPUTED_VALUE"""),45729.47239177083)</f>
        <v>45729.47239</v>
      </c>
      <c r="D85" s="3" t="str">
        <f>IFERROR(__xludf.DUMMYFUNCTION("""COMPUTED_VALUE"""),"isolator Dispensing (steril)")</f>
        <v>isolator Dispensing (steril)</v>
      </c>
      <c r="E85" s="3" t="str">
        <f>IFERROR(__xludf.DUMMYFUNCTION("""COMPUTED_VALUE"""),"EJO/2025/02/145")</f>
        <v>EJO/2025/02/145</v>
      </c>
      <c r="F85" s="3" t="str">
        <f>IFERROR(__xludf.DUMMYFUNCTION("""COMPUTED_VALUE"""),"Roda Tangki Limbah dispensing (steril)")</f>
        <v>Roda Tangki Limbah dispensing (steril)</v>
      </c>
      <c r="G85" s="3">
        <f>IFERROR(__xludf.DUMMYFUNCTION("""COMPUTED_VALUE"""),4.0)</f>
        <v>4</v>
      </c>
      <c r="H85" s="3" t="str">
        <f>IFERROR(__xludf.DUMMYFUNCTION("""COMPUTED_VALUE"""),"pcs")</f>
        <v>pcs</v>
      </c>
      <c r="I85" s="3" t="str">
        <f>IFERROR(__xludf.DUMMYFUNCTION("""COMPUTED_VALUE"""),"Deliver")</f>
        <v>Deliver</v>
      </c>
      <c r="J85" s="3" t="str">
        <f>IFERROR(__xludf.DUMMYFUNCTION("""COMPUTED_VALUE"""),"-")</f>
        <v>-</v>
      </c>
      <c r="K85" s="3" t="str">
        <f>IFERROR(__xludf.DUMMYFUNCTION("""COMPUTED_VALUE"""),"-")</f>
        <v>-</v>
      </c>
    </row>
    <row r="86">
      <c r="A86" s="3" t="str">
        <f>IFERROR(__xludf.DUMMYFUNCTION("""COMPUTED_VALUE"""),"SFHBR0016")</f>
        <v>SFHBR0016</v>
      </c>
      <c r="B86" s="4">
        <f>IFERROR(__xludf.DUMMYFUNCTION("""COMPUTED_VALUE"""),45724.564102418975)</f>
        <v>45724.5641</v>
      </c>
      <c r="C86" s="4">
        <f>IFERROR(__xludf.DUMMYFUNCTION("""COMPUTED_VALUE"""),45727.72762640046)</f>
        <v>45727.72763</v>
      </c>
      <c r="D86" s="3" t="str">
        <f>IFERROR(__xludf.DUMMYFUNCTION("""COMPUTED_VALUE"""),"lantai 2")</f>
        <v>lantai 2</v>
      </c>
      <c r="E86" s="3" t="str">
        <f>IFERROR(__xludf.DUMMYFUNCTION("""COMPUTED_VALUE"""),"EJ0/EJO/03/17")</f>
        <v>EJ0/EJO/03/17</v>
      </c>
      <c r="F86" s="3" t="str">
        <f>IFERROR(__xludf.DUMMYFUNCTION("""COMPUTED_VALUE"""),"Door closer ")</f>
        <v>Door closer </v>
      </c>
      <c r="G86" s="3">
        <f>IFERROR(__xludf.DUMMYFUNCTION("""COMPUTED_VALUE"""),5.0)</f>
        <v>5</v>
      </c>
      <c r="H86" s="3" t="str">
        <f>IFERROR(__xludf.DUMMYFUNCTION("""COMPUTED_VALUE"""),"PCS")</f>
        <v>PCS</v>
      </c>
      <c r="I86" s="3" t="str">
        <f>IFERROR(__xludf.DUMMYFUNCTION("""COMPUTED_VALUE"""),"Deliver")</f>
        <v>Deliver</v>
      </c>
      <c r="J86" s="3" t="str">
        <f>IFERROR(__xludf.DUMMYFUNCTION("""COMPUTED_VALUE"""),"-")</f>
        <v>-</v>
      </c>
      <c r="K86" s="3" t="str">
        <f>IFERROR(__xludf.DUMMYFUNCTION("""COMPUTED_VALUE"""),"-")</f>
        <v>-</v>
      </c>
    </row>
    <row r="87">
      <c r="A87" s="3" t="str">
        <f>IFERROR(__xludf.DUMMYFUNCTION("""COMPUTED_VALUE"""),"ROSBR0011")</f>
        <v>ROSBR0011</v>
      </c>
      <c r="B87" s="4">
        <f>IFERROR(__xludf.DUMMYFUNCTION("""COMPUTED_VALUE"""),45725.56726363426)</f>
        <v>45725.56726</v>
      </c>
      <c r="C87" s="4">
        <f>IFERROR(__xludf.DUMMYFUNCTION("""COMPUTED_VALUE"""),45729.59346282407)</f>
        <v>45729.59346</v>
      </c>
      <c r="D87" s="3" t="str">
        <f>IFERROR(__xludf.DUMMYFUNCTION("""COMPUTED_VALUE"""),"Tunnel")</f>
        <v>Tunnel</v>
      </c>
      <c r="E87" s="3" t="str">
        <f>IFERROR(__xludf.DUMMYFUNCTION("""COMPUTED_VALUE"""),"EJO/2025/03/38")</f>
        <v>EJO/2025/03/38</v>
      </c>
      <c r="F87" s="3" t="str">
        <f>IFERROR(__xludf.DUMMYFUNCTION("""COMPUTED_VALUE"""),"Insulflex Insulasi Pipa")</f>
        <v>Insulflex Insulasi Pipa</v>
      </c>
      <c r="G87" s="3">
        <f>IFERROR(__xludf.DUMMYFUNCTION("""COMPUTED_VALUE"""),10.0)</f>
        <v>10</v>
      </c>
      <c r="H87" s="3" t="str">
        <f>IFERROR(__xludf.DUMMYFUNCTION("""COMPUTED_VALUE"""),"meter")</f>
        <v>meter</v>
      </c>
      <c r="I87" s="3" t="str">
        <f>IFERROR(__xludf.DUMMYFUNCTION("""COMPUTED_VALUE"""),"Deliver")</f>
        <v>Deliver</v>
      </c>
      <c r="J87" s="3" t="str">
        <f>IFERROR(__xludf.DUMMYFUNCTION("""COMPUTED_VALUE"""),"-")</f>
        <v>-</v>
      </c>
      <c r="K87" s="3" t="str">
        <f>IFERROR(__xludf.DUMMYFUNCTION("""COMPUTED_VALUE"""),"-")</f>
        <v>-</v>
      </c>
    </row>
    <row r="88">
      <c r="A88" s="3" t="str">
        <f>IFERROR(__xludf.DUMMYFUNCTION("""COMPUTED_VALUE"""),"ROSBR0012")</f>
        <v>ROSBR0012</v>
      </c>
      <c r="B88" s="4">
        <f>IFERROR(__xludf.DUMMYFUNCTION("""COMPUTED_VALUE"""),45725.73334604166)</f>
        <v>45725.73335</v>
      </c>
      <c r="C88" s="4">
        <f>IFERROR(__xludf.DUMMYFUNCTION("""COMPUTED_VALUE"""),45729.59383622685)</f>
        <v>45729.59384</v>
      </c>
      <c r="D88" s="3" t="str">
        <f>IFERROR(__xludf.DUMMYFUNCTION("""COMPUTED_VALUE"""),"Tunnel")</f>
        <v>Tunnel</v>
      </c>
      <c r="E88" s="3" t="str">
        <f>IFERROR(__xludf.DUMMYFUNCTION("""COMPUTED_VALUE"""),"EJO/2025/03/38")</f>
        <v>EJO/2025/03/38</v>
      </c>
      <c r="F88" s="3" t="str">
        <f>IFERROR(__xludf.DUMMYFUNCTION("""COMPUTED_VALUE"""),"Lem Perekat Superlon")</f>
        <v>Lem Perekat Superlon</v>
      </c>
      <c r="G88" s="3">
        <f>IFERROR(__xludf.DUMMYFUNCTION("""COMPUTED_VALUE"""),1.0)</f>
        <v>1</v>
      </c>
      <c r="H88" s="3" t="str">
        <f>IFERROR(__xludf.DUMMYFUNCTION("""COMPUTED_VALUE"""),"kaleng")</f>
        <v>kaleng</v>
      </c>
      <c r="I88" s="3" t="str">
        <f>IFERROR(__xludf.DUMMYFUNCTION("""COMPUTED_VALUE"""),"Deliver")</f>
        <v>Deliver</v>
      </c>
      <c r="J88" s="3" t="str">
        <f>IFERROR(__xludf.DUMMYFUNCTION("""COMPUTED_VALUE"""),"-")</f>
        <v>-</v>
      </c>
      <c r="K88" s="3" t="str">
        <f>IFERROR(__xludf.DUMMYFUNCTION("""COMPUTED_VALUE"""),"-")</f>
        <v>-</v>
      </c>
    </row>
    <row r="89">
      <c r="A89" s="3" t="str">
        <f>IFERROR(__xludf.DUMMYFUNCTION("""COMPUTED_VALUE"""),"ROSBR0013")</f>
        <v>ROSBR0013</v>
      </c>
      <c r="B89" s="4">
        <f>IFERROR(__xludf.DUMMYFUNCTION("""COMPUTED_VALUE"""),45728.60810275463)</f>
        <v>45728.6081</v>
      </c>
      <c r="C89" s="4">
        <f>IFERROR(__xludf.DUMMYFUNCTION("""COMPUTED_VALUE"""),45758.40102326389)</f>
        <v>45758.40102</v>
      </c>
      <c r="D89" s="3" t="str">
        <f>IFERROR(__xludf.DUMMYFUNCTION("""COMPUTED_VALUE"""),"Humidity Chamber ")</f>
        <v>Humidity Chamber </v>
      </c>
      <c r="E89" s="3" t="str">
        <f>IFERROR(__xludf.DUMMYFUNCTION("""COMPUTED_VALUE"""),"EJO2025/03/91")</f>
        <v>EJO2025/03/91</v>
      </c>
      <c r="F89" s="3" t="str">
        <f>IFERROR(__xludf.DUMMYFUNCTION("""COMPUTED_VALUE"""),"Drain Pan ")</f>
        <v>Drain Pan </v>
      </c>
      <c r="G89" s="3">
        <f>IFERROR(__xludf.DUMMYFUNCTION("""COMPUTED_VALUE"""),1.0)</f>
        <v>1</v>
      </c>
      <c r="H89" s="3" t="str">
        <f>IFERROR(__xludf.DUMMYFUNCTION("""COMPUTED_VALUE"""),"unit")</f>
        <v>unit</v>
      </c>
      <c r="I89" s="3" t="str">
        <f>IFERROR(__xludf.DUMMYFUNCTION("""COMPUTED_VALUE"""),"Deliver")</f>
        <v>Deliver</v>
      </c>
      <c r="J89" s="3" t="str">
        <f>IFERROR(__xludf.DUMMYFUNCTION("""COMPUTED_VALUE"""),"-")</f>
        <v>-</v>
      </c>
      <c r="K89" s="3" t="str">
        <f>IFERROR(__xludf.DUMMYFUNCTION("""COMPUTED_VALUE"""),"-")</f>
        <v>-</v>
      </c>
    </row>
    <row r="90">
      <c r="A90" s="3" t="str">
        <f>IFERROR(__xludf.DUMMYFUNCTION("""COMPUTED_VALUE"""),"NDSBR0007")</f>
        <v>NDSBR0007</v>
      </c>
      <c r="B90" s="4">
        <f>IFERROR(__xludf.DUMMYFUNCTION("""COMPUTED_VALUE"""),45729.738412106475)</f>
        <v>45729.73841</v>
      </c>
      <c r="C90" s="4">
        <f>IFERROR(__xludf.DUMMYFUNCTION("""COMPUTED_VALUE"""),45736.69521481481)</f>
        <v>45736.69521</v>
      </c>
      <c r="D90" s="3" t="str">
        <f>IFERROR(__xludf.DUMMYFUNCTION("""COMPUTED_VALUE"""),"Mixing Tank MV 200")</f>
        <v>Mixing Tank MV 200</v>
      </c>
      <c r="E90" s="3" t="str">
        <f>IFERROR(__xludf.DUMMYFUNCTION("""COMPUTED_VALUE"""),"EJO/2024/12/147")</f>
        <v>EJO/2024/12/147</v>
      </c>
      <c r="F90" s="3" t="str">
        <f>IFERROR(__xludf.DUMMYFUNCTION("""COMPUTED_VALUE"""),"Gasket Ferrule ")</f>
        <v>Gasket Ferrule </v>
      </c>
      <c r="G90" s="3">
        <f>IFERROR(__xludf.DUMMYFUNCTION("""COMPUTED_VALUE"""),4.0)</f>
        <v>4</v>
      </c>
      <c r="H90" s="3" t="str">
        <f>IFERROR(__xludf.DUMMYFUNCTION("""COMPUTED_VALUE"""),"Pcs")</f>
        <v>Pcs</v>
      </c>
      <c r="I90" s="3" t="str">
        <f>IFERROR(__xludf.DUMMYFUNCTION("""COMPUTED_VALUE"""),"Deliver")</f>
        <v>Deliver</v>
      </c>
      <c r="J90" s="3" t="str">
        <f>IFERROR(__xludf.DUMMYFUNCTION("""COMPUTED_VALUE"""),"-")</f>
        <v>-</v>
      </c>
      <c r="K90" s="3" t="str">
        <f>IFERROR(__xludf.DUMMYFUNCTION("""COMPUTED_VALUE"""),"-")</f>
        <v>-</v>
      </c>
    </row>
    <row r="91">
      <c r="A91" s="3" t="str">
        <f>IFERROR(__xludf.DUMMYFUNCTION("""COMPUTED_VALUE"""),"NDSBR0008")</f>
        <v>NDSBR0008</v>
      </c>
      <c r="B91" s="4">
        <f>IFERROR(__xludf.DUMMYFUNCTION("""COMPUTED_VALUE"""),45729.738920752316)</f>
        <v>45729.73892</v>
      </c>
      <c r="C91" s="4">
        <f>IFERROR(__xludf.DUMMYFUNCTION("""COMPUTED_VALUE"""),45736.69599613426)</f>
        <v>45736.696</v>
      </c>
      <c r="D91" s="3" t="str">
        <f>IFERROR(__xludf.DUMMYFUNCTION("""COMPUTED_VALUE"""),"Tablet Press")</f>
        <v>Tablet Press</v>
      </c>
      <c r="E91" s="3" t="str">
        <f>IFERROR(__xludf.DUMMYFUNCTION("""COMPUTED_VALUE"""),"-")</f>
        <v>-</v>
      </c>
      <c r="F91" s="3" t="str">
        <f>IFERROR(__xludf.DUMMYFUNCTION("""COMPUTED_VALUE"""),"Mobilux EP 2")</f>
        <v>Mobilux EP 2</v>
      </c>
      <c r="G91" s="3">
        <f>IFERROR(__xludf.DUMMYFUNCTION("""COMPUTED_VALUE"""),1.0)</f>
        <v>1</v>
      </c>
      <c r="H91" s="3" t="str">
        <f>IFERROR(__xludf.DUMMYFUNCTION("""COMPUTED_VALUE"""),"Pcs")</f>
        <v>Pcs</v>
      </c>
      <c r="I91" s="3" t="str">
        <f>IFERROR(__xludf.DUMMYFUNCTION("""COMPUTED_VALUE"""),"Deliver")</f>
        <v>Deliver</v>
      </c>
      <c r="J91" s="3" t="str">
        <f>IFERROR(__xludf.DUMMYFUNCTION("""COMPUTED_VALUE"""),"-")</f>
        <v>-</v>
      </c>
      <c r="K91" s="3" t="str">
        <f>IFERROR(__xludf.DUMMYFUNCTION("""COMPUTED_VALUE"""),"-")</f>
        <v>-</v>
      </c>
    </row>
    <row r="92">
      <c r="A92" s="3" t="str">
        <f>IFERROR(__xludf.DUMMYFUNCTION("""COMPUTED_VALUE"""),"MOBBR0021")</f>
        <v>MOBBR0021</v>
      </c>
      <c r="B92" s="4">
        <f>IFERROR(__xludf.DUMMYFUNCTION("""COMPUTED_VALUE"""),45729.97713024306)</f>
        <v>45729.97713</v>
      </c>
      <c r="C92" s="4">
        <f>IFERROR(__xludf.DUMMYFUNCTION("""COMPUTED_VALUE"""),45731.435133148145)</f>
        <v>45731.43513</v>
      </c>
      <c r="D92" s="3" t="str">
        <f>IFERROR(__xludf.DUMMYFUNCTION("""COMPUTED_VALUE"""),"Pneumatic Fitting")</f>
        <v>Pneumatic Fitting</v>
      </c>
      <c r="E92" s="3" t="str">
        <f>IFERROR(__xludf.DUMMYFUNCTION("""COMPUTED_VALUE"""),"-")</f>
        <v>-</v>
      </c>
      <c r="F92" s="3" t="str">
        <f>IFERROR(__xludf.DUMMYFUNCTION("""COMPUTED_VALUE"""),"Pneumatic Fitting")</f>
        <v>Pneumatic Fitting</v>
      </c>
      <c r="G92" s="3">
        <f>IFERROR(__xludf.DUMMYFUNCTION("""COMPUTED_VALUE"""),8.0)</f>
        <v>8</v>
      </c>
      <c r="H92" s="3" t="str">
        <f>IFERROR(__xludf.DUMMYFUNCTION("""COMPUTED_VALUE"""),"Pcs")</f>
        <v>Pcs</v>
      </c>
      <c r="I92" s="3" t="str">
        <f>IFERROR(__xludf.DUMMYFUNCTION("""COMPUTED_VALUE"""),"Deliver")</f>
        <v>Deliver</v>
      </c>
      <c r="J92" s="3" t="str">
        <f>IFERROR(__xludf.DUMMYFUNCTION("""COMPUTED_VALUE"""),"-")</f>
        <v>-</v>
      </c>
      <c r="K92" s="3" t="str">
        <f>IFERROR(__xludf.DUMMYFUNCTION("""COMPUTED_VALUE"""),"-")</f>
        <v>-</v>
      </c>
    </row>
    <row r="93">
      <c r="A93" s="3" t="str">
        <f>IFERROR(__xludf.DUMMYFUNCTION("""COMPUTED_VALUE"""),"RIABR0026")</f>
        <v>RIABR0026</v>
      </c>
      <c r="B93" s="4">
        <f>IFERROR(__xludf.DUMMYFUNCTION("""COMPUTED_VALUE"""),45734.69094292824)</f>
        <v>45734.69094</v>
      </c>
      <c r="C93" s="4">
        <f>IFERROR(__xludf.DUMMYFUNCTION("""COMPUTED_VALUE"""),45736.4829415162)</f>
        <v>45736.48294</v>
      </c>
      <c r="D93" s="3" t="str">
        <f>IFERROR(__xludf.DUMMYFUNCTION("""COMPUTED_VALUE"""),"Cooling Water")</f>
        <v>Cooling Water</v>
      </c>
      <c r="E93" s="3" t="str">
        <f>IFERROR(__xludf.DUMMYFUNCTION("""COMPUTED_VALUE"""),"EJO/2025/03/116")</f>
        <v>EJO/2025/03/116</v>
      </c>
      <c r="F93" s="3" t="str">
        <f>IFERROR(__xludf.DUMMYFUNCTION("""COMPUTED_VALUE"""),"Motorized")</f>
        <v>Motorized</v>
      </c>
      <c r="G93" s="3">
        <f>IFERROR(__xludf.DUMMYFUNCTION("""COMPUTED_VALUE"""),1.0)</f>
        <v>1</v>
      </c>
      <c r="H93" s="3" t="str">
        <f>IFERROR(__xludf.DUMMYFUNCTION("""COMPUTED_VALUE"""),"Set")</f>
        <v>Set</v>
      </c>
      <c r="I93" s="3" t="str">
        <f>IFERROR(__xludf.DUMMYFUNCTION("""COMPUTED_VALUE"""),"Deliver")</f>
        <v>Deliver</v>
      </c>
      <c r="J93" s="3" t="str">
        <f>IFERROR(__xludf.DUMMYFUNCTION("""COMPUTED_VALUE"""),"-")</f>
        <v>-</v>
      </c>
      <c r="K93" s="3" t="str">
        <f>IFERROR(__xludf.DUMMYFUNCTION("""COMPUTED_VALUE"""),"-")</f>
        <v>-</v>
      </c>
    </row>
    <row r="94">
      <c r="A94" s="3" t="str">
        <f>IFERROR(__xludf.DUMMYFUNCTION("""COMPUTED_VALUE"""),"SFHBR0017")</f>
        <v>SFHBR0017</v>
      </c>
      <c r="B94" s="4">
        <f>IFERROR(__xludf.DUMMYFUNCTION("""COMPUTED_VALUE"""),45735.66877271991)</f>
        <v>45735.66877</v>
      </c>
      <c r="C94" s="4">
        <f>IFERROR(__xludf.DUMMYFUNCTION("""COMPUTED_VALUE"""),45742.863306666666)</f>
        <v>45742.86331</v>
      </c>
      <c r="D94" s="3" t="str">
        <f>IFERROR(__xludf.DUMMYFUNCTION("""COMPUTED_VALUE"""),"lantai 2")</f>
        <v>lantai 2</v>
      </c>
      <c r="E94" s="3" t="str">
        <f>IFERROR(__xludf.DUMMYFUNCTION("""COMPUTED_VALUE"""),"EJO/2025/01/86")</f>
        <v>EJO/2025/01/86</v>
      </c>
      <c r="F94" s="3" t="str">
        <f>IFERROR(__xludf.DUMMYFUNCTION("""COMPUTED_VALUE"""),"cat propan buat sandwich panel")</f>
        <v>cat propan buat sandwich panel</v>
      </c>
      <c r="G94" s="3">
        <f>IFERROR(__xludf.DUMMYFUNCTION("""COMPUTED_VALUE"""),3.0)</f>
        <v>3</v>
      </c>
      <c r="H94" s="3" t="str">
        <f>IFERROR(__xludf.DUMMYFUNCTION("""COMPUTED_VALUE"""),"pel")</f>
        <v>pel</v>
      </c>
      <c r="I94" s="3" t="str">
        <f>IFERROR(__xludf.DUMMYFUNCTION("""COMPUTED_VALUE"""),"Deliver")</f>
        <v>Deliver</v>
      </c>
      <c r="J94" s="3" t="str">
        <f>IFERROR(__xludf.DUMMYFUNCTION("""COMPUTED_VALUE"""),"-")</f>
        <v>-</v>
      </c>
      <c r="K94" s="3" t="str">
        <f>IFERROR(__xludf.DUMMYFUNCTION("""COMPUTED_VALUE"""),"-")</f>
        <v>-</v>
      </c>
    </row>
    <row r="95">
      <c r="A95" s="3" t="str">
        <f>IFERROR(__xludf.DUMMYFUNCTION("""COMPUTED_VALUE"""),"INNBR0016")</f>
        <v>INNBR0016</v>
      </c>
      <c r="B95" s="4">
        <f>IFERROR(__xludf.DUMMYFUNCTION("""COMPUTED_VALUE"""),45735.6757028588)</f>
        <v>45735.6757</v>
      </c>
      <c r="C95" s="4">
        <f>IFERROR(__xludf.DUMMYFUNCTION("""COMPUTED_VALUE"""),45736.69662336806)</f>
        <v>45736.69662</v>
      </c>
      <c r="D95" s="3" t="str">
        <f>IFERROR(__xludf.DUMMYFUNCTION("""COMPUTED_VALUE"""),"Filling")</f>
        <v>Filling</v>
      </c>
      <c r="E95" s="3" t="str">
        <f>IFERROR(__xludf.DUMMYFUNCTION("""COMPUTED_VALUE"""),"EJO/2024/12/139")</f>
        <v>EJO/2024/12/139</v>
      </c>
      <c r="F95" s="3" t="str">
        <f>IFERROR(__xludf.DUMMYFUNCTION("""COMPUTED_VALUE"""),"Oring silicone : 1.5 mm x 37.5 mm x 40.5 mm")</f>
        <v>Oring silicone : 1.5 mm x 37.5 mm x 40.5 mm</v>
      </c>
      <c r="G95" s="3">
        <f>IFERROR(__xludf.DUMMYFUNCTION("""COMPUTED_VALUE"""),10.0)</f>
        <v>10</v>
      </c>
      <c r="H95" s="3" t="str">
        <f>IFERROR(__xludf.DUMMYFUNCTION("""COMPUTED_VALUE"""),"pcs")</f>
        <v>pcs</v>
      </c>
      <c r="I95" s="3" t="str">
        <f>IFERROR(__xludf.DUMMYFUNCTION("""COMPUTED_VALUE"""),"Deliver")</f>
        <v>Deliver</v>
      </c>
      <c r="J95" s="3" t="str">
        <f>IFERROR(__xludf.DUMMYFUNCTION("""COMPUTED_VALUE"""),"-")</f>
        <v>-</v>
      </c>
      <c r="K95" s="3" t="str">
        <f>IFERROR(__xludf.DUMMYFUNCTION("""COMPUTED_VALUE"""),"-")</f>
        <v>-</v>
      </c>
    </row>
    <row r="96">
      <c r="A96" s="3" t="str">
        <f>IFERROR(__xludf.DUMMYFUNCTION("""COMPUTED_VALUE"""),"MRNBR0008")</f>
        <v>MRNBR0008</v>
      </c>
      <c r="B96" s="4">
        <f>IFERROR(__xludf.DUMMYFUNCTION("""COMPUTED_VALUE"""),45737.07097291667)</f>
        <v>45737.07097</v>
      </c>
      <c r="C96" s="4">
        <f>IFERROR(__xludf.DUMMYFUNCTION("""COMPUTED_VALUE"""),45742.861653761574)</f>
        <v>45742.86165</v>
      </c>
      <c r="D96" s="3" t="str">
        <f>IFERROR(__xludf.DUMMYFUNCTION("""COMPUTED_VALUE"""),"Cooling water")</f>
        <v>Cooling water</v>
      </c>
      <c r="E96" s="3" t="str">
        <f>IFERROR(__xludf.DUMMYFUNCTION("""COMPUTED_VALUE"""),"EJO/2024/08/79")</f>
        <v>EJO/2024/08/79</v>
      </c>
      <c r="F96" s="3" t="str">
        <f>IFERROR(__xludf.DUMMYFUNCTION("""COMPUTED_VALUE"""),"Motorize valve")</f>
        <v>Motorize valve</v>
      </c>
      <c r="G96" s="3">
        <f>IFERROR(__xludf.DUMMYFUNCTION("""COMPUTED_VALUE"""),1.0)</f>
        <v>1</v>
      </c>
      <c r="H96" s="3" t="str">
        <f>IFERROR(__xludf.DUMMYFUNCTION("""COMPUTED_VALUE"""),"unit")</f>
        <v>unit</v>
      </c>
      <c r="I96" s="3" t="str">
        <f>IFERROR(__xludf.DUMMYFUNCTION("""COMPUTED_VALUE"""),"Deliver")</f>
        <v>Deliver</v>
      </c>
      <c r="J96" s="3" t="str">
        <f>IFERROR(__xludf.DUMMYFUNCTION("""COMPUTED_VALUE"""),"-")</f>
        <v>-</v>
      </c>
      <c r="K96" s="3" t="str">
        <f>IFERROR(__xludf.DUMMYFUNCTION("""COMPUTED_VALUE"""),"-")</f>
        <v>-</v>
      </c>
    </row>
    <row r="97">
      <c r="A97" s="3" t="str">
        <f>IFERROR(__xludf.DUMMYFUNCTION("""COMPUTED_VALUE"""),"MOBBR0022")</f>
        <v>MOBBR0022</v>
      </c>
      <c r="B97" s="4">
        <f>IFERROR(__xludf.DUMMYFUNCTION("""COMPUTED_VALUE"""),45737.56979324074)</f>
        <v>45737.56979</v>
      </c>
      <c r="C97" s="4">
        <f>IFERROR(__xludf.DUMMYFUNCTION("""COMPUTED_VALUE"""),45742.86123369213)</f>
        <v>45742.86123</v>
      </c>
      <c r="D97" s="3" t="str">
        <f>IFERROR(__xludf.DUMMYFUNCTION("""COMPUTED_VALUE"""),"Panel WWTP")</f>
        <v>Panel WWTP</v>
      </c>
      <c r="E97" s="3" t="str">
        <f>IFERROR(__xludf.DUMMYFUNCTION("""COMPUTED_VALUE"""),"-")</f>
        <v>-</v>
      </c>
      <c r="F97" s="3" t="str">
        <f>IFERROR(__xludf.DUMMYFUNCTION("""COMPUTED_VALUE"""),"Pilot Lamp")</f>
        <v>Pilot Lamp</v>
      </c>
      <c r="G97" s="3">
        <f>IFERROR(__xludf.DUMMYFUNCTION("""COMPUTED_VALUE"""),8.0)</f>
        <v>8</v>
      </c>
      <c r="H97" s="3" t="str">
        <f>IFERROR(__xludf.DUMMYFUNCTION("""COMPUTED_VALUE"""),"Pcs")</f>
        <v>Pcs</v>
      </c>
      <c r="I97" s="3" t="str">
        <f>IFERROR(__xludf.DUMMYFUNCTION("""COMPUTED_VALUE"""),"Deliver")</f>
        <v>Deliver</v>
      </c>
      <c r="J97" s="3" t="str">
        <f>IFERROR(__xludf.DUMMYFUNCTION("""COMPUTED_VALUE"""),"-")</f>
        <v>-</v>
      </c>
      <c r="K97" s="3" t="str">
        <f>IFERROR(__xludf.DUMMYFUNCTION("""COMPUTED_VALUE"""),"-")</f>
        <v>-</v>
      </c>
    </row>
    <row r="98">
      <c r="A98" s="3" t="str">
        <f>IFERROR(__xludf.DUMMYFUNCTION("""COMPUTED_VALUE"""),"SHFBR0008")</f>
        <v>SHFBR0008</v>
      </c>
      <c r="B98" s="4">
        <f>IFERROR(__xludf.DUMMYFUNCTION("""COMPUTED_VALUE"""),45737.663434918984)</f>
        <v>45737.66343</v>
      </c>
      <c r="C98" s="4">
        <f>IFERROR(__xludf.DUMMYFUNCTION("""COMPUTED_VALUE"""),45742.86758071759)</f>
        <v>45742.86758</v>
      </c>
      <c r="D98" s="3" t="str">
        <f>IFERROR(__xludf.DUMMYFUNCTION("""COMPUTED_VALUE"""),"Kapasitor FCU view Gallery")</f>
        <v>Kapasitor FCU view Gallery</v>
      </c>
      <c r="E98" s="3" t="str">
        <f>IFERROR(__xludf.DUMMYFUNCTION("""COMPUTED_VALUE"""),"EJO/2025/030153")</f>
        <v>EJO/2025/030153</v>
      </c>
      <c r="F98" s="3" t="str">
        <f>IFERROR(__xludf.DUMMYFUNCTION("""COMPUTED_VALUE"""),"Kapasitor  FCU View Gallery 40+2uF")</f>
        <v>Kapasitor  FCU View Gallery 40+2uF</v>
      </c>
      <c r="G98" s="3">
        <f>IFERROR(__xludf.DUMMYFUNCTION("""COMPUTED_VALUE"""),4.0)</f>
        <v>4</v>
      </c>
      <c r="H98" s="3" t="str">
        <f>IFERROR(__xludf.DUMMYFUNCTION("""COMPUTED_VALUE"""),"Pcs")</f>
        <v>Pcs</v>
      </c>
      <c r="I98" s="3" t="str">
        <f>IFERROR(__xludf.DUMMYFUNCTION("""COMPUTED_VALUE"""),"Deliver")</f>
        <v>Deliver</v>
      </c>
      <c r="J98" s="3" t="str">
        <f>IFERROR(__xludf.DUMMYFUNCTION("""COMPUTED_VALUE"""),"-")</f>
        <v>-</v>
      </c>
      <c r="K98" s="3" t="str">
        <f>IFERROR(__xludf.DUMMYFUNCTION("""COMPUTED_VALUE"""),"-")</f>
        <v>-</v>
      </c>
    </row>
    <row r="99">
      <c r="A99" s="3" t="str">
        <f>IFERROR(__xludf.DUMMYFUNCTION("""COMPUTED_VALUE"""),"MRNBR0009")</f>
        <v>MRNBR0009</v>
      </c>
      <c r="B99" s="4">
        <f>IFERROR(__xludf.DUMMYFUNCTION("""COMPUTED_VALUE"""),45737.75088133102)</f>
        <v>45737.75088</v>
      </c>
      <c r="C99" s="4">
        <f>IFERROR(__xludf.DUMMYFUNCTION("""COMPUTED_VALUE"""),45742.861811712966)</f>
        <v>45742.86181</v>
      </c>
      <c r="D99" s="3" t="str">
        <f>IFERROR(__xludf.DUMMYFUNCTION("""COMPUTED_VALUE"""),"Jet cleaner")</f>
        <v>Jet cleaner</v>
      </c>
      <c r="E99" s="3" t="str">
        <f>IFERROR(__xludf.DUMMYFUNCTION("""COMPUTED_VALUE"""),"EJO/2025/02/163")</f>
        <v>EJO/2025/02/163</v>
      </c>
      <c r="F99" s="3" t="str">
        <f>IFERROR(__xludf.DUMMYFUNCTION("""COMPUTED_VALUE"""),"Bearing")</f>
        <v>Bearing</v>
      </c>
      <c r="G99" s="3">
        <f>IFERROR(__xludf.DUMMYFUNCTION("""COMPUTED_VALUE"""),2.0)</f>
        <v>2</v>
      </c>
      <c r="H99" s="3" t="str">
        <f>IFERROR(__xludf.DUMMYFUNCTION("""COMPUTED_VALUE"""),"pcs")</f>
        <v>pcs</v>
      </c>
      <c r="I99" s="3" t="str">
        <f>IFERROR(__xludf.DUMMYFUNCTION("""COMPUTED_VALUE"""),"Deliver")</f>
        <v>Deliver</v>
      </c>
      <c r="J99" s="3" t="str">
        <f>IFERROR(__xludf.DUMMYFUNCTION("""COMPUTED_VALUE"""),"-")</f>
        <v>-</v>
      </c>
      <c r="K99" s="3" t="str">
        <f>IFERROR(__xludf.DUMMYFUNCTION("""COMPUTED_VALUE"""),"-")</f>
        <v>-</v>
      </c>
    </row>
    <row r="100">
      <c r="A100" s="3" t="str">
        <f>IFERROR(__xludf.DUMMYFUNCTION("""COMPUTED_VALUE"""),"RIABR0027")</f>
        <v>RIABR0027</v>
      </c>
      <c r="B100" s="4">
        <f>IFERROR(__xludf.DUMMYFUNCTION("""COMPUTED_VALUE"""),45745.66352459491)</f>
        <v>45745.66352</v>
      </c>
      <c r="C100" s="4">
        <f>IFERROR(__xludf.DUMMYFUNCTION("""COMPUTED_VALUE"""),45755.369693437504)</f>
        <v>45755.36969</v>
      </c>
      <c r="D100" s="3" t="str">
        <f>IFERROR(__xludf.DUMMYFUNCTION("""COMPUTED_VALUE"""),"CC API")</f>
        <v>CC API</v>
      </c>
      <c r="E100" s="3" t="str">
        <f>IFERROR(__xludf.DUMMYFUNCTION("""COMPUTED_VALUE"""),"-")</f>
        <v>-</v>
      </c>
      <c r="F100" s="3" t="str">
        <f>IFERROR(__xludf.DUMMYFUNCTION("""COMPUTED_VALUE"""),"Relay")</f>
        <v>Relay</v>
      </c>
      <c r="G100" s="3">
        <f>IFERROR(__xludf.DUMMYFUNCTION("""COMPUTED_VALUE"""),1.0)</f>
        <v>1</v>
      </c>
      <c r="H100" s="3" t="str">
        <f>IFERROR(__xludf.DUMMYFUNCTION("""COMPUTED_VALUE"""),"Set")</f>
        <v>Set</v>
      </c>
      <c r="I100" s="3" t="str">
        <f>IFERROR(__xludf.DUMMYFUNCTION("""COMPUTED_VALUE"""),"Deliver")</f>
        <v>Deliver</v>
      </c>
      <c r="J100" s="3" t="str">
        <f>IFERROR(__xludf.DUMMYFUNCTION("""COMPUTED_VALUE"""),"-")</f>
        <v>-</v>
      </c>
      <c r="K100" s="3" t="str">
        <f>IFERROR(__xludf.DUMMYFUNCTION("""COMPUTED_VALUE"""),"-")</f>
        <v>-</v>
      </c>
    </row>
    <row r="101">
      <c r="A101" s="3" t="str">
        <f>IFERROR(__xludf.DUMMYFUNCTION("""COMPUTED_VALUE"""),"AAABR0002")</f>
        <v>AAABR0002</v>
      </c>
      <c r="B101" s="4">
        <f>IFERROR(__xludf.DUMMYFUNCTION("""COMPUTED_VALUE"""),45755.95656618055)</f>
        <v>45755.95657</v>
      </c>
      <c r="C101" s="4">
        <f>IFERROR(__xludf.DUMMYFUNCTION("""COMPUTED_VALUE"""),45758.39688677083)</f>
        <v>45758.39689</v>
      </c>
      <c r="D101" s="3" t="str">
        <f>IFERROR(__xludf.DUMMYFUNCTION("""COMPUTED_VALUE"""),"HPLC")</f>
        <v>HPLC</v>
      </c>
      <c r="E101" s="3" t="str">
        <f>IFERROR(__xludf.DUMMYFUNCTION("""COMPUTED_VALUE"""),"NA")</f>
        <v>NA</v>
      </c>
      <c r="F101" s="3" t="str">
        <f>IFERROR(__xludf.DUMMYFUNCTION("""COMPUTED_VALUE"""),"Filter Flag 2998")</f>
        <v>Filter Flag 2998</v>
      </c>
      <c r="G101" s="3">
        <f>IFERROR(__xludf.DUMMYFUNCTION("""COMPUTED_VALUE"""),2.0)</f>
        <v>2</v>
      </c>
      <c r="H101" s="3" t="str">
        <f>IFERROR(__xludf.DUMMYFUNCTION("""COMPUTED_VALUE"""),"Set")</f>
        <v>Set</v>
      </c>
      <c r="I101" s="3" t="str">
        <f>IFERROR(__xludf.DUMMYFUNCTION("""COMPUTED_VALUE"""),"Deliver")</f>
        <v>Deliver</v>
      </c>
      <c r="J101" s="3" t="str">
        <f>IFERROR(__xludf.DUMMYFUNCTION("""COMPUTED_VALUE"""),"-")</f>
        <v>-</v>
      </c>
      <c r="K101" s="3" t="str">
        <f>IFERROR(__xludf.DUMMYFUNCTION("""COMPUTED_VALUE"""),"-")</f>
        <v>-</v>
      </c>
    </row>
    <row r="102">
      <c r="A102" s="3" t="str">
        <f>IFERROR(__xludf.DUMMYFUNCTION("""COMPUTED_VALUE"""),"MFHBR0002")</f>
        <v>MFHBR0002</v>
      </c>
      <c r="B102" s="4">
        <f>IFERROR(__xludf.DUMMYFUNCTION("""COMPUTED_VALUE"""),45756.227532453704)</f>
        <v>45756.22753</v>
      </c>
      <c r="C102" s="4">
        <f>IFERROR(__xludf.DUMMYFUNCTION("""COMPUTED_VALUE"""),45756.24416932871)</f>
        <v>45756.24417</v>
      </c>
      <c r="D102" s="3" t="str">
        <f>IFERROR(__xludf.DUMMYFUNCTION("""COMPUTED_VALUE"""),"N2 Gen")</f>
        <v>N2 Gen</v>
      </c>
      <c r="E102" s="3" t="str">
        <f>IFERROR(__xludf.DUMMYFUNCTION("""COMPUTED_VALUE"""),"-")</f>
        <v>-</v>
      </c>
      <c r="F102" s="3" t="str">
        <f>IFERROR(__xludf.DUMMYFUNCTION("""COMPUTED_VALUE"""),"Booster Regulator")</f>
        <v>Booster Regulator</v>
      </c>
      <c r="G102" s="3">
        <f>IFERROR(__xludf.DUMMYFUNCTION("""COMPUTED_VALUE"""),1.0)</f>
        <v>1</v>
      </c>
      <c r="H102" s="3" t="str">
        <f>IFERROR(__xludf.DUMMYFUNCTION("""COMPUTED_VALUE"""),"Unt")</f>
        <v>Unt</v>
      </c>
      <c r="I102" s="3" t="str">
        <f>IFERROR(__xludf.DUMMYFUNCTION("""COMPUTED_VALUE"""),"Deliver")</f>
        <v>Deliver</v>
      </c>
      <c r="J102" s="3" t="str">
        <f>IFERROR(__xludf.DUMMYFUNCTION("""COMPUTED_VALUE"""),"-")</f>
        <v>-</v>
      </c>
      <c r="K102" s="3" t="str">
        <f>IFERROR(__xludf.DUMMYFUNCTION("""COMPUTED_VALUE"""),"-")</f>
        <v>-</v>
      </c>
    </row>
    <row r="103">
      <c r="A103" s="3" t="str">
        <f>IFERROR(__xludf.DUMMYFUNCTION("""COMPUTED_VALUE"""),"MFHBR0003")</f>
        <v>MFHBR0003</v>
      </c>
      <c r="B103" s="4">
        <f>IFERROR(__xludf.DUMMYFUNCTION("""COMPUTED_VALUE"""),45756.2289671412)</f>
        <v>45756.22897</v>
      </c>
      <c r="C103" s="4">
        <f>IFERROR(__xludf.DUMMYFUNCTION("""COMPUTED_VALUE"""),45756.24427163194)</f>
        <v>45756.24427</v>
      </c>
      <c r="D103" s="3" t="str">
        <f>IFERROR(__xludf.DUMMYFUNCTION("""COMPUTED_VALUE"""),"N2 Gen")</f>
        <v>N2 Gen</v>
      </c>
      <c r="E103" s="3" t="str">
        <f>IFERROR(__xludf.DUMMYFUNCTION("""COMPUTED_VALUE"""),"-")</f>
        <v>-</v>
      </c>
      <c r="F103" s="3" t="str">
        <f>IFERROR(__xludf.DUMMYFUNCTION("""COMPUTED_VALUE"""),"Air Tank")</f>
        <v>Air Tank</v>
      </c>
      <c r="G103" s="3">
        <f>IFERROR(__xludf.DUMMYFUNCTION("""COMPUTED_VALUE"""),1.0)</f>
        <v>1</v>
      </c>
      <c r="H103" s="3" t="str">
        <f>IFERROR(__xludf.DUMMYFUNCTION("""COMPUTED_VALUE"""),"Unt")</f>
        <v>Unt</v>
      </c>
      <c r="I103" s="3" t="str">
        <f>IFERROR(__xludf.DUMMYFUNCTION("""COMPUTED_VALUE"""),"Deliver")</f>
        <v>Deliver</v>
      </c>
      <c r="J103" s="3" t="str">
        <f>IFERROR(__xludf.DUMMYFUNCTION("""COMPUTED_VALUE"""),"-")</f>
        <v>-</v>
      </c>
      <c r="K103" s="3" t="str">
        <f>IFERROR(__xludf.DUMMYFUNCTION("""COMPUTED_VALUE"""),"-")</f>
        <v>-</v>
      </c>
    </row>
    <row r="104">
      <c r="A104" s="3" t="str">
        <f>IFERROR(__xludf.DUMMYFUNCTION("""COMPUTED_VALUE"""),"MFHBR0004")</f>
        <v>MFHBR0004</v>
      </c>
      <c r="B104" s="4">
        <f>IFERROR(__xludf.DUMMYFUNCTION("""COMPUTED_VALUE"""),45756.22941479166)</f>
        <v>45756.22941</v>
      </c>
      <c r="C104" s="4">
        <f>IFERROR(__xludf.DUMMYFUNCTION("""COMPUTED_VALUE"""),45756.24436212963)</f>
        <v>45756.24436</v>
      </c>
      <c r="D104" s="3" t="str">
        <f>IFERROR(__xludf.DUMMYFUNCTION("""COMPUTED_VALUE"""),"N2 Gen")</f>
        <v>N2 Gen</v>
      </c>
      <c r="E104" s="3" t="str">
        <f>IFERROR(__xludf.DUMMYFUNCTION("""COMPUTED_VALUE"""),"-")</f>
        <v>-</v>
      </c>
      <c r="F104" s="3" t="str">
        <f>IFERROR(__xludf.DUMMYFUNCTION("""COMPUTED_VALUE"""),"Air Filter")</f>
        <v>Air Filter</v>
      </c>
      <c r="G104" s="3">
        <f>IFERROR(__xludf.DUMMYFUNCTION("""COMPUTED_VALUE"""),1.0)</f>
        <v>1</v>
      </c>
      <c r="H104" s="3" t="str">
        <f>IFERROR(__xludf.DUMMYFUNCTION("""COMPUTED_VALUE"""),"Unt")</f>
        <v>Unt</v>
      </c>
      <c r="I104" s="3" t="str">
        <f>IFERROR(__xludf.DUMMYFUNCTION("""COMPUTED_VALUE"""),"Deliver")</f>
        <v>Deliver</v>
      </c>
      <c r="J104" s="3" t="str">
        <f>IFERROR(__xludf.DUMMYFUNCTION("""COMPUTED_VALUE"""),"-")</f>
        <v>-</v>
      </c>
      <c r="K104" s="3" t="str">
        <f>IFERROR(__xludf.DUMMYFUNCTION("""COMPUTED_VALUE"""),"-")</f>
        <v>-</v>
      </c>
    </row>
    <row r="105">
      <c r="A105" s="3" t="str">
        <f>IFERROR(__xludf.DUMMYFUNCTION("""COMPUTED_VALUE"""),"MFHBR0005")</f>
        <v>MFHBR0005</v>
      </c>
      <c r="B105" s="4">
        <f>IFERROR(__xludf.DUMMYFUNCTION("""COMPUTED_VALUE"""),45756.233581215274)</f>
        <v>45756.23358</v>
      </c>
      <c r="C105" s="4">
        <f>IFERROR(__xludf.DUMMYFUNCTION("""COMPUTED_VALUE"""),45756.24445508102)</f>
        <v>45756.24446</v>
      </c>
      <c r="D105" s="3" t="str">
        <f>IFERROR(__xludf.DUMMYFUNCTION("""COMPUTED_VALUE"""),"Mixer SMBS")</f>
        <v>Mixer SMBS</v>
      </c>
      <c r="E105" s="3" t="str">
        <f>IFERROR(__xludf.DUMMYFUNCTION("""COMPUTED_VALUE"""),"-")</f>
        <v>-</v>
      </c>
      <c r="F105" s="3" t="str">
        <f>IFERROR(__xludf.DUMMYFUNCTION("""COMPUTED_VALUE"""),"Kopling Adapter")</f>
        <v>Kopling Adapter</v>
      </c>
      <c r="G105" s="3">
        <f>IFERROR(__xludf.DUMMYFUNCTION("""COMPUTED_VALUE"""),1.0)</f>
        <v>1</v>
      </c>
      <c r="H105" s="3" t="str">
        <f>IFERROR(__xludf.DUMMYFUNCTION("""COMPUTED_VALUE"""),"Pc")</f>
        <v>Pc</v>
      </c>
      <c r="I105" s="3" t="str">
        <f>IFERROR(__xludf.DUMMYFUNCTION("""COMPUTED_VALUE"""),"Deliver")</f>
        <v>Deliver</v>
      </c>
      <c r="J105" s="3" t="str">
        <f>IFERROR(__xludf.DUMMYFUNCTION("""COMPUTED_VALUE"""),"-")</f>
        <v>-</v>
      </c>
      <c r="K105" s="3" t="str">
        <f>IFERROR(__xludf.DUMMYFUNCTION("""COMPUTED_VALUE"""),"-")</f>
        <v>-</v>
      </c>
    </row>
    <row r="106">
      <c r="A106" s="3" t="str">
        <f>IFERROR(__xludf.DUMMYFUNCTION("""COMPUTED_VALUE"""),"NDSBR0009")</f>
        <v>NDSBR0009</v>
      </c>
      <c r="B106" s="4">
        <f>IFERROR(__xludf.DUMMYFUNCTION("""COMPUTED_VALUE"""),45756.62530702546)</f>
        <v>45756.62531</v>
      </c>
      <c r="C106" s="4">
        <f>IFERROR(__xludf.DUMMYFUNCTION("""COMPUTED_VALUE"""),45758.39603800926)</f>
        <v>45758.39604</v>
      </c>
      <c r="D106" s="3" t="str">
        <f>IFERROR(__xludf.DUMMYFUNCTION("""COMPUTED_VALUE"""),"PC Newtronic")</f>
        <v>PC Newtronic</v>
      </c>
      <c r="E106" s="3" t="str">
        <f>IFERROR(__xludf.DUMMYFUNCTION("""COMPUTED_VALUE"""),"EJO/2025/04/02")</f>
        <v>EJO/2025/04/02</v>
      </c>
      <c r="F106" s="3" t="str">
        <f>IFERROR(__xludf.DUMMYFUNCTION("""COMPUTED_VALUE"""),"Hub Switch")</f>
        <v>Hub Switch</v>
      </c>
      <c r="G106" s="3">
        <f>IFERROR(__xludf.DUMMYFUNCTION("""COMPUTED_VALUE"""),1.0)</f>
        <v>1</v>
      </c>
      <c r="H106" s="3" t="str">
        <f>IFERROR(__xludf.DUMMYFUNCTION("""COMPUTED_VALUE"""),"Pcs")</f>
        <v>Pcs</v>
      </c>
      <c r="I106" s="3" t="str">
        <f>IFERROR(__xludf.DUMMYFUNCTION("""COMPUTED_VALUE"""),"Deliver")</f>
        <v>Deliver</v>
      </c>
      <c r="J106" s="3" t="str">
        <f>IFERROR(__xludf.DUMMYFUNCTION("""COMPUTED_VALUE"""),"-")</f>
        <v>-</v>
      </c>
      <c r="K106" s="3" t="str">
        <f>IFERROR(__xludf.DUMMYFUNCTION("""COMPUTED_VALUE"""),"-")</f>
        <v>-</v>
      </c>
    </row>
    <row r="107">
      <c r="A107" s="3" t="str">
        <f>IFERROR(__xludf.DUMMYFUNCTION("""COMPUTED_VALUE"""),"INNBR0017")</f>
        <v>INNBR0017</v>
      </c>
      <c r="B107" s="4">
        <f>IFERROR(__xludf.DUMMYFUNCTION("""COMPUTED_VALUE"""),45758.646417303244)</f>
        <v>45758.64642</v>
      </c>
      <c r="C107" s="4">
        <f>IFERROR(__xludf.DUMMYFUNCTION("""COMPUTED_VALUE"""),45759.67454094907)</f>
        <v>45759.67454</v>
      </c>
      <c r="D107" s="3" t="str">
        <f>IFERROR(__xludf.DUMMYFUNCTION("""COMPUTED_VALUE"""),"FD")</f>
        <v>FD</v>
      </c>
      <c r="E107" s="3" t="str">
        <f>IFERROR(__xludf.DUMMYFUNCTION("""COMPUTED_VALUE"""),"EJO/2025/03/123")</f>
        <v>EJO/2025/03/123</v>
      </c>
      <c r="F107" s="3" t="str">
        <f>IFERROR(__xludf.DUMMYFUNCTION("""COMPUTED_VALUE"""),"SIlica gel warna biru")</f>
        <v>SIlica gel warna biru</v>
      </c>
      <c r="G107" s="3">
        <f>IFERROR(__xludf.DUMMYFUNCTION("""COMPUTED_VALUE"""),5.0)</f>
        <v>5</v>
      </c>
      <c r="H107" s="3" t="str">
        <f>IFERROR(__xludf.DUMMYFUNCTION("""COMPUTED_VALUE"""),"Kg")</f>
        <v>Kg</v>
      </c>
      <c r="I107" s="3" t="str">
        <f>IFERROR(__xludf.DUMMYFUNCTION("""COMPUTED_VALUE"""),"Deliver")</f>
        <v>Deliver</v>
      </c>
      <c r="J107" s="3" t="str">
        <f>IFERROR(__xludf.DUMMYFUNCTION("""COMPUTED_VALUE"""),"-")</f>
        <v>-</v>
      </c>
      <c r="K107" s="3" t="str">
        <f>IFERROR(__xludf.DUMMYFUNCTION("""COMPUTED_VALUE"""),"-")</f>
        <v>-</v>
      </c>
    </row>
    <row r="108">
      <c r="A108" s="3" t="str">
        <f>IFERROR(__xludf.DUMMYFUNCTION("""COMPUTED_VALUE"""),"INNBR0018")</f>
        <v>INNBR0018</v>
      </c>
      <c r="B108" s="4">
        <f>IFERROR(__xludf.DUMMYFUNCTION("""COMPUTED_VALUE"""),45758.70000528935)</f>
        <v>45758.70001</v>
      </c>
      <c r="C108" s="4">
        <f>IFERROR(__xludf.DUMMYFUNCTION("""COMPUTED_VALUE"""),45767.8161687037)</f>
        <v>45767.81617</v>
      </c>
      <c r="D108" s="3" t="str">
        <f>IFERROR(__xludf.DUMMYFUNCTION("""COMPUTED_VALUE"""),"FD")</f>
        <v>FD</v>
      </c>
      <c r="E108" s="3" t="str">
        <f>IFERROR(__xludf.DUMMYFUNCTION("""COMPUTED_VALUE"""),"-")</f>
        <v>-</v>
      </c>
      <c r="F108" s="3" t="str">
        <f>IFERROR(__xludf.DUMMYFUNCTION("""COMPUTED_VALUE"""),"FV96 EB50-00667 SAUNDERS_1""BW,ER,S/FC,M-VUE_S1 SG025SY0404ERNLRNYN--M2E2010")</f>
        <v>FV96 EB50-00667 SAUNDERS_1"BW,ER,S/FC,M-VUE_S1 SG025SY0404ERNLRNYN--M2E2010</v>
      </c>
      <c r="G108" s="3">
        <f>IFERROR(__xludf.DUMMYFUNCTION("""COMPUTED_VALUE"""),3.0)</f>
        <v>3</v>
      </c>
      <c r="H108" s="3" t="str">
        <f>IFERROR(__xludf.DUMMYFUNCTION("""COMPUTED_VALUE"""),"unit")</f>
        <v>unit</v>
      </c>
      <c r="I108" s="3" t="str">
        <f>IFERROR(__xludf.DUMMYFUNCTION("""COMPUTED_VALUE"""),"Deliver")</f>
        <v>Deliver</v>
      </c>
      <c r="J108" s="3" t="str">
        <f>IFERROR(__xludf.DUMMYFUNCTION("""COMPUTED_VALUE"""),"-")</f>
        <v>-</v>
      </c>
      <c r="K108" s="3" t="str">
        <f>IFERROR(__xludf.DUMMYFUNCTION("""COMPUTED_VALUE"""),"-")</f>
        <v>-</v>
      </c>
    </row>
    <row r="109">
      <c r="A109" s="3" t="str">
        <f>IFERROR(__xludf.DUMMYFUNCTION("""COMPUTED_VALUE"""),"INNBR0019")</f>
        <v>INNBR0019</v>
      </c>
      <c r="B109" s="4">
        <f>IFERROR(__xludf.DUMMYFUNCTION("""COMPUTED_VALUE"""),45758.70003252315)</f>
        <v>45758.70003</v>
      </c>
      <c r="C109" s="4">
        <f>IFERROR(__xludf.DUMMYFUNCTION("""COMPUTED_VALUE"""),45767.816472199076)</f>
        <v>45767.81647</v>
      </c>
      <c r="D109" s="3" t="str">
        <f>IFERROR(__xludf.DUMMYFUNCTION("""COMPUTED_VALUE"""),"FD")</f>
        <v>FD</v>
      </c>
      <c r="E109" s="3" t="str">
        <f>IFERROR(__xludf.DUMMYFUNCTION("""COMPUTED_VALUE"""),"-")</f>
        <v>-</v>
      </c>
      <c r="F109" s="3" t="str">
        <f>IFERROR(__xludf.DUMMYFUNCTION("""COMPUTED_VALUE"""),"FV30 EB50-00668 SAUNDERS_1.5""BW,ER,S/FC,M-VUE_S1 SG040SY0606ERNLRNYN--M2E2010")</f>
        <v>FV30 EB50-00668 SAUNDERS_1.5"BW,ER,S/FC,M-VUE_S1 SG040SY0606ERNLRNYN--M2E2010</v>
      </c>
      <c r="G109" s="3">
        <f>IFERROR(__xludf.DUMMYFUNCTION("""COMPUTED_VALUE"""),1.0)</f>
        <v>1</v>
      </c>
      <c r="H109" s="3" t="str">
        <f>IFERROR(__xludf.DUMMYFUNCTION("""COMPUTED_VALUE"""),"unit")</f>
        <v>unit</v>
      </c>
      <c r="I109" s="3" t="str">
        <f>IFERROR(__xludf.DUMMYFUNCTION("""COMPUTED_VALUE"""),"Deliver")</f>
        <v>Deliver</v>
      </c>
      <c r="J109" s="3" t="str">
        <f>IFERROR(__xludf.DUMMYFUNCTION("""COMPUTED_VALUE"""),"-")</f>
        <v>-</v>
      </c>
      <c r="K109" s="3" t="str">
        <f>IFERROR(__xludf.DUMMYFUNCTION("""COMPUTED_VALUE"""),"-")</f>
        <v>-</v>
      </c>
    </row>
    <row r="110">
      <c r="A110" s="3" t="str">
        <f>IFERROR(__xludf.DUMMYFUNCTION("""COMPUTED_VALUE"""),"INNBR0020")</f>
        <v>INNBR0020</v>
      </c>
      <c r="B110" s="4">
        <f>IFERROR(__xludf.DUMMYFUNCTION("""COMPUTED_VALUE"""),45758.70003252315)</f>
        <v>45758.70003</v>
      </c>
      <c r="C110" s="4">
        <f>IFERROR(__xludf.DUMMYFUNCTION("""COMPUTED_VALUE"""),45767.81667936343)</f>
        <v>45767.81668</v>
      </c>
      <c r="D110" s="3" t="str">
        <f>IFERROR(__xludf.DUMMYFUNCTION("""COMPUTED_VALUE"""),"FD")</f>
        <v>FD</v>
      </c>
      <c r="E110" s="3" t="str">
        <f>IFERROR(__xludf.DUMMYFUNCTION("""COMPUTED_VALUE"""),"-")</f>
        <v>-</v>
      </c>
      <c r="F110" s="3" t="str">
        <f>IFERROR(__xludf.DUMMYFUNCTION("""COMPUTED_VALUE"""),"FV88 EB50-00678 SAUNDERS_0.5""BW/08,ER,S/FC,M-VUE_S1 SG008SY0202ERNLRNYN--M2E2010")</f>
        <v>FV88 EB50-00678 SAUNDERS_0.5"BW/08,ER,S/FC,M-VUE_S1 SG008SY0202ERNLRNYN--M2E2010</v>
      </c>
      <c r="G110" s="3">
        <f>IFERROR(__xludf.DUMMYFUNCTION("""COMPUTED_VALUE"""),1.0)</f>
        <v>1</v>
      </c>
      <c r="H110" s="3" t="str">
        <f>IFERROR(__xludf.DUMMYFUNCTION("""COMPUTED_VALUE"""),"unit")</f>
        <v>unit</v>
      </c>
      <c r="I110" s="3" t="str">
        <f>IFERROR(__xludf.DUMMYFUNCTION("""COMPUTED_VALUE"""),"Deliver")</f>
        <v>Deliver</v>
      </c>
      <c r="J110" s="3" t="str">
        <f>IFERROR(__xludf.DUMMYFUNCTION("""COMPUTED_VALUE"""),"-")</f>
        <v>-</v>
      </c>
      <c r="K110" s="3" t="str">
        <f>IFERROR(__xludf.DUMMYFUNCTION("""COMPUTED_VALUE"""),"-")</f>
        <v>-</v>
      </c>
    </row>
    <row r="111">
      <c r="A111" s="3" t="str">
        <f>IFERROR(__xludf.DUMMYFUNCTION("""COMPUTED_VALUE"""),"SFHBR0018")</f>
        <v>SFHBR0018</v>
      </c>
      <c r="B111" s="4">
        <f>IFERROR(__xludf.DUMMYFUNCTION("""COMPUTED_VALUE"""),45758.860312916666)</f>
        <v>45758.86031</v>
      </c>
      <c r="C111" s="4">
        <f>IFERROR(__xludf.DUMMYFUNCTION("""COMPUTED_VALUE"""),45761.603361458336)</f>
        <v>45761.60336</v>
      </c>
      <c r="D111" s="3" t="str">
        <f>IFERROR(__xludf.DUMMYFUNCTION("""COMPUTED_VALUE"""),"lantai 2")</f>
        <v>lantai 2</v>
      </c>
      <c r="E111" s="3" t="str">
        <f>IFERROR(__xludf.DUMMYFUNCTION("""COMPUTED_VALUE"""),"EJO/2025/04/20")</f>
        <v>EJO/2025/04/20</v>
      </c>
      <c r="F111" s="3" t="str">
        <f>IFERROR(__xludf.DUMMYFUNCTION("""COMPUTED_VALUE"""),"tangga portable lipat multifungsi")</f>
        <v>tangga portable lipat multifungsi</v>
      </c>
      <c r="G111" s="3">
        <f>IFERROR(__xludf.DUMMYFUNCTION("""COMPUTED_VALUE"""),2.0)</f>
        <v>2</v>
      </c>
      <c r="H111" s="3" t="str">
        <f>IFERROR(__xludf.DUMMYFUNCTION("""COMPUTED_VALUE"""),"pcs")</f>
        <v>pcs</v>
      </c>
      <c r="I111" s="3" t="str">
        <f>IFERROR(__xludf.DUMMYFUNCTION("""COMPUTED_VALUE"""),"Deliver")</f>
        <v>Deliver</v>
      </c>
      <c r="J111" s="3" t="str">
        <f>IFERROR(__xludf.DUMMYFUNCTION("""COMPUTED_VALUE"""),"-")</f>
        <v>-</v>
      </c>
      <c r="K111" s="3" t="str">
        <f>IFERROR(__xludf.DUMMYFUNCTION("""COMPUTED_VALUE"""),"-")</f>
        <v>-</v>
      </c>
    </row>
    <row r="112">
      <c r="A112" s="3" t="str">
        <f>IFERROR(__xludf.DUMMYFUNCTION("""COMPUTED_VALUE"""),"INNBR0021")</f>
        <v>INNBR0021</v>
      </c>
      <c r="B112" s="4">
        <f>IFERROR(__xludf.DUMMYFUNCTION("""COMPUTED_VALUE"""),45761.65786895834)</f>
        <v>45761.65787</v>
      </c>
      <c r="C112" s="4">
        <f>IFERROR(__xludf.DUMMYFUNCTION("""COMPUTED_VALUE"""),45764.33531983796)</f>
        <v>45764.33532</v>
      </c>
      <c r="D112" s="3" t="str">
        <f>IFERROR(__xludf.DUMMYFUNCTION("""COMPUTED_VALUE"""),"Cartoning")</f>
        <v>Cartoning</v>
      </c>
      <c r="E112" s="3" t="str">
        <f>IFERROR(__xludf.DUMMYFUNCTION("""COMPUTED_VALUE"""),"-")</f>
        <v>-</v>
      </c>
      <c r="F112" s="3" t="str">
        <f>IFERROR(__xludf.DUMMYFUNCTION("""COMPUTED_VALUE"""),"Roller Gripper Cartoning Uk dia. 13x 6x6")</f>
        <v>Roller Gripper Cartoning Uk dia. 13x 6x6</v>
      </c>
      <c r="G112" s="3">
        <f>IFERROR(__xludf.DUMMYFUNCTION("""COMPUTED_VALUE"""),30.0)</f>
        <v>30</v>
      </c>
      <c r="H112" s="3" t="str">
        <f>IFERROR(__xludf.DUMMYFUNCTION("""COMPUTED_VALUE"""),"pcs")</f>
        <v>pcs</v>
      </c>
      <c r="I112" s="3" t="str">
        <f>IFERROR(__xludf.DUMMYFUNCTION("""COMPUTED_VALUE"""),"Deliver")</f>
        <v>Deliver</v>
      </c>
      <c r="J112" s="3" t="str">
        <f>IFERROR(__xludf.DUMMYFUNCTION("""COMPUTED_VALUE"""),"-")</f>
        <v>-</v>
      </c>
      <c r="K112" s="3" t="str">
        <f>IFERROR(__xludf.DUMMYFUNCTION("""COMPUTED_VALUE"""),"-")</f>
        <v>-</v>
      </c>
    </row>
    <row r="113">
      <c r="A113" s="3" t="str">
        <f>IFERROR(__xludf.DUMMYFUNCTION("""COMPUTED_VALUE"""),"ROSBR0014")</f>
        <v>ROSBR0014</v>
      </c>
      <c r="B113" s="4">
        <f>IFERROR(__xludf.DUMMYFUNCTION("""COMPUTED_VALUE"""),45761.670253634264)</f>
        <v>45761.67025</v>
      </c>
      <c r="C113" s="4">
        <f>IFERROR(__xludf.DUMMYFUNCTION("""COMPUTED_VALUE"""),45762.57318890047)</f>
        <v>45762.57319</v>
      </c>
      <c r="D113" s="3" t="str">
        <f>IFERROR(__xludf.DUMMYFUNCTION("""COMPUTED_VALUE"""),"Dispensing OSD")</f>
        <v>Dispensing OSD</v>
      </c>
      <c r="E113" s="3" t="str">
        <f>IFERROR(__xludf.DUMMYFUNCTION("""COMPUTED_VALUE"""),"EJO2025/01/159")</f>
        <v>EJO2025/01/159</v>
      </c>
      <c r="F113" s="3" t="str">
        <f>IFERROR(__xludf.DUMMYFUNCTION("""COMPUTED_VALUE"""),"Tutup Lubang Transfer Isolator OSD Uk Ø110x 45 mm")</f>
        <v>Tutup Lubang Transfer Isolator OSD Uk Ø110x 45 mm</v>
      </c>
      <c r="G113" s="3">
        <f>IFERROR(__xludf.DUMMYFUNCTION("""COMPUTED_VALUE"""),1.0)</f>
        <v>1</v>
      </c>
      <c r="H113" s="3" t="str">
        <f>IFERROR(__xludf.DUMMYFUNCTION("""COMPUTED_VALUE"""),"unit")</f>
        <v>unit</v>
      </c>
      <c r="I113" s="3" t="str">
        <f>IFERROR(__xludf.DUMMYFUNCTION("""COMPUTED_VALUE"""),"Deliver")</f>
        <v>Deliver</v>
      </c>
      <c r="J113" s="3" t="str">
        <f>IFERROR(__xludf.DUMMYFUNCTION("""COMPUTED_VALUE"""),"-")</f>
        <v>-</v>
      </c>
      <c r="K113" s="3" t="str">
        <f>IFERROR(__xludf.DUMMYFUNCTION("""COMPUTED_VALUE"""),"-")</f>
        <v>-</v>
      </c>
    </row>
    <row r="114">
      <c r="A114" s="3" t="str">
        <f>IFERROR(__xludf.DUMMYFUNCTION("""COMPUTED_VALUE"""),"MOBBR0024")</f>
        <v>MOBBR0024</v>
      </c>
      <c r="B114" s="4">
        <f>IFERROR(__xludf.DUMMYFUNCTION("""COMPUTED_VALUE"""),45762.69746584491)</f>
        <v>45762.69747</v>
      </c>
      <c r="C114" s="4">
        <f>IFERROR(__xludf.DUMMYFUNCTION("""COMPUTED_VALUE"""),45768.63492677083)</f>
        <v>45768.63493</v>
      </c>
      <c r="D114" s="3" t="str">
        <f>IFERROR(__xludf.DUMMYFUNCTION("""COMPUTED_VALUE"""),"AHU B1-2")</f>
        <v>AHU B1-2</v>
      </c>
      <c r="E114" s="3" t="str">
        <f>IFERROR(__xludf.DUMMYFUNCTION("""COMPUTED_VALUE"""),"EJO/2024/12/155")</f>
        <v>EJO/2024/12/155</v>
      </c>
      <c r="F114" s="3" t="str">
        <f>IFERROR(__xludf.DUMMYFUNCTION("""COMPUTED_VALUE"""),"Valve Hot Water")</f>
        <v>Valve Hot Water</v>
      </c>
      <c r="G114" s="3">
        <f>IFERROR(__xludf.DUMMYFUNCTION("""COMPUTED_VALUE"""),2.0)</f>
        <v>2</v>
      </c>
      <c r="H114" s="3" t="str">
        <f>IFERROR(__xludf.DUMMYFUNCTION("""COMPUTED_VALUE"""),"Pcs")</f>
        <v>Pcs</v>
      </c>
      <c r="I114" s="3" t="str">
        <f>IFERROR(__xludf.DUMMYFUNCTION("""COMPUTED_VALUE"""),"Deliver")</f>
        <v>Deliver</v>
      </c>
      <c r="J114" s="3" t="str">
        <f>IFERROR(__xludf.DUMMYFUNCTION("""COMPUTED_VALUE"""),"-")</f>
        <v>-</v>
      </c>
      <c r="K114" s="3" t="str">
        <f>IFERROR(__xludf.DUMMYFUNCTION("""COMPUTED_VALUE"""),"-")</f>
        <v>-</v>
      </c>
    </row>
    <row r="115">
      <c r="A115" s="3" t="str">
        <f>IFERROR(__xludf.DUMMYFUNCTION("""COMPUTED_VALUE"""),"RIABR0028")</f>
        <v>RIABR0028</v>
      </c>
      <c r="B115" s="4">
        <f>IFERROR(__xludf.DUMMYFUNCTION("""COMPUTED_VALUE"""),45763.64667299769)</f>
        <v>45763.64667</v>
      </c>
      <c r="C115" s="4">
        <f>IFERROR(__xludf.DUMMYFUNCTION("""COMPUTED_VALUE"""),45768.64092104167)</f>
        <v>45768.64092</v>
      </c>
      <c r="D115" s="3" t="str">
        <f>IFERROR(__xludf.DUMMYFUNCTION("""COMPUTED_VALUE"""),"WWTP")</f>
        <v>WWTP</v>
      </c>
      <c r="E115" s="3" t="str">
        <f>IFERROR(__xludf.DUMMYFUNCTION("""COMPUTED_VALUE"""),"EJO/2025/03/150")</f>
        <v>EJO/2025/03/150</v>
      </c>
      <c r="F115" s="3" t="str">
        <f>IFERROR(__xludf.DUMMYFUNCTION("""COMPUTED_VALUE"""),"Pilot Lamp")</f>
        <v>Pilot Lamp</v>
      </c>
      <c r="G115" s="3">
        <f>IFERROR(__xludf.DUMMYFUNCTION("""COMPUTED_VALUE"""),7.0)</f>
        <v>7</v>
      </c>
      <c r="H115" s="3" t="str">
        <f>IFERROR(__xludf.DUMMYFUNCTION("""COMPUTED_VALUE"""),"Pcs")</f>
        <v>Pcs</v>
      </c>
      <c r="I115" s="3" t="str">
        <f>IFERROR(__xludf.DUMMYFUNCTION("""COMPUTED_VALUE"""),"Deliver")</f>
        <v>Deliver</v>
      </c>
      <c r="J115" s="3" t="str">
        <f>IFERROR(__xludf.DUMMYFUNCTION("""COMPUTED_VALUE"""),"-")</f>
        <v>-</v>
      </c>
      <c r="K115" s="3" t="str">
        <f>IFERROR(__xludf.DUMMYFUNCTION("""COMPUTED_VALUE"""),"-")</f>
        <v>-</v>
      </c>
    </row>
    <row r="116">
      <c r="A116" s="3" t="str">
        <f>IFERROR(__xludf.DUMMYFUNCTION("""COMPUTED_VALUE"""),"RIABR0031")</f>
        <v>RIABR0031</v>
      </c>
      <c r="B116" s="4">
        <f>IFERROR(__xludf.DUMMYFUNCTION("""COMPUTED_VALUE"""),45763.67696354167)</f>
        <v>45763.67696</v>
      </c>
      <c r="C116" s="4">
        <f>IFERROR(__xludf.DUMMYFUNCTION("""COMPUTED_VALUE"""),45768.64304427084)</f>
        <v>45768.64304</v>
      </c>
      <c r="D116" s="3" t="str">
        <f>IFERROR(__xludf.DUMMYFUNCTION("""COMPUTED_VALUE"""),"PSG")</f>
        <v>PSG</v>
      </c>
      <c r="E116" s="3" t="str">
        <f>IFERROR(__xludf.DUMMYFUNCTION("""COMPUTED_VALUE"""),"EJO/2025/01/15")</f>
        <v>EJO/2025/01/15</v>
      </c>
      <c r="F116" s="3" t="str">
        <f>IFERROR(__xludf.DUMMYFUNCTION("""COMPUTED_VALUE"""),"Strainer")</f>
        <v>Strainer</v>
      </c>
      <c r="G116" s="3">
        <f>IFERROR(__xludf.DUMMYFUNCTION("""COMPUTED_VALUE"""),1.0)</f>
        <v>1</v>
      </c>
      <c r="H116" s="3" t="str">
        <f>IFERROR(__xludf.DUMMYFUNCTION("""COMPUTED_VALUE"""),"Pcs")</f>
        <v>Pcs</v>
      </c>
      <c r="I116" s="3" t="str">
        <f>IFERROR(__xludf.DUMMYFUNCTION("""COMPUTED_VALUE"""),"Deliver")</f>
        <v>Deliver</v>
      </c>
      <c r="J116" s="3" t="str">
        <f>IFERROR(__xludf.DUMMYFUNCTION("""COMPUTED_VALUE"""),"-")</f>
        <v>-</v>
      </c>
      <c r="K116" s="3" t="str">
        <f>IFERROR(__xludf.DUMMYFUNCTION("""COMPUTED_VALUE"""),"-")</f>
        <v>-</v>
      </c>
    </row>
    <row r="117">
      <c r="A117" s="3" t="str">
        <f>IFERROR(__xludf.DUMMYFUNCTION("""COMPUTED_VALUE"""),"ROSBR0015")</f>
        <v>ROSBR0015</v>
      </c>
      <c r="B117" s="4">
        <f>IFERROR(__xludf.DUMMYFUNCTION("""COMPUTED_VALUE"""),45763.69852430555)</f>
        <v>45763.69852</v>
      </c>
      <c r="C117" s="4">
        <f>IFERROR(__xludf.DUMMYFUNCTION("""COMPUTED_VALUE"""),45767.80936196759)</f>
        <v>45767.80936</v>
      </c>
      <c r="D117" s="3" t="str">
        <f>IFERROR(__xludf.DUMMYFUNCTION("""COMPUTED_VALUE"""),"Coating")</f>
        <v>Coating</v>
      </c>
      <c r="E117" s="3" t="str">
        <f>IFERROR(__xludf.DUMMYFUNCTION("""COMPUTED_VALUE"""),"NA")</f>
        <v>NA</v>
      </c>
      <c r="F117" s="3" t="str">
        <f>IFERROR(__xludf.DUMMYFUNCTION("""COMPUTED_VALUE"""),"Oli Gear Box mesin Coating")</f>
        <v>Oli Gear Box mesin Coating</v>
      </c>
      <c r="G117" s="3">
        <f>IFERROR(__xludf.DUMMYFUNCTION("""COMPUTED_VALUE"""),1.0)</f>
        <v>1</v>
      </c>
      <c r="H117" s="3" t="str">
        <f>IFERROR(__xludf.DUMMYFUNCTION("""COMPUTED_VALUE"""),"drum")</f>
        <v>drum</v>
      </c>
      <c r="I117" s="3" t="str">
        <f>IFERROR(__xludf.DUMMYFUNCTION("""COMPUTED_VALUE"""),"Deliver")</f>
        <v>Deliver</v>
      </c>
      <c r="J117" s="3" t="str">
        <f>IFERROR(__xludf.DUMMYFUNCTION("""COMPUTED_VALUE"""),"-")</f>
        <v>-</v>
      </c>
      <c r="K117" s="3" t="str">
        <f>IFERROR(__xludf.DUMMYFUNCTION("""COMPUTED_VALUE"""),"-")</f>
        <v>-</v>
      </c>
    </row>
    <row r="118">
      <c r="A118" s="3" t="str">
        <f>IFERROR(__xludf.DUMMYFUNCTION("""COMPUTED_VALUE"""),"SFHBR0019")</f>
        <v>SFHBR0019</v>
      </c>
      <c r="B118" s="4">
        <f>IFERROR(__xludf.DUMMYFUNCTION("""COMPUTED_VALUE"""),45764.47120278935)</f>
        <v>45764.4712</v>
      </c>
      <c r="C118" s="4">
        <f>IFERROR(__xludf.DUMMYFUNCTION("""COMPUTED_VALUE"""),45768.64438978009)</f>
        <v>45768.64439</v>
      </c>
      <c r="D118" s="3" t="str">
        <f>IFERROR(__xludf.DUMMYFUNCTION("""COMPUTED_VALUE"""),"lantai 2")</f>
        <v>lantai 2</v>
      </c>
      <c r="E118" s="3" t="str">
        <f>IFERROR(__xludf.DUMMYFUNCTION("""COMPUTED_VALUE"""),"-")</f>
        <v>-</v>
      </c>
      <c r="F118" s="3" t="str">
        <f>IFERROR(__xludf.DUMMYFUNCTION("""COMPUTED_VALUE"""),"cat dulux ambiance ")</f>
        <v>cat dulux ambiance </v>
      </c>
      <c r="G118" s="3">
        <f>IFERROR(__xludf.DUMMYFUNCTION("""COMPUTED_VALUE"""),2.0)</f>
        <v>2</v>
      </c>
      <c r="H118" s="3" t="str">
        <f>IFERROR(__xludf.DUMMYFUNCTION("""COMPUTED_VALUE"""),"PEL")</f>
        <v>PEL</v>
      </c>
      <c r="I118" s="3" t="str">
        <f>IFERROR(__xludf.DUMMYFUNCTION("""COMPUTED_VALUE"""),"Deliver")</f>
        <v>Deliver</v>
      </c>
      <c r="J118" s="3" t="str">
        <f>IFERROR(__xludf.DUMMYFUNCTION("""COMPUTED_VALUE"""),"-")</f>
        <v>-</v>
      </c>
      <c r="K118" s="3" t="str">
        <f>IFERROR(__xludf.DUMMYFUNCTION("""COMPUTED_VALUE"""),"-")</f>
        <v>-</v>
      </c>
    </row>
    <row r="119">
      <c r="A119" s="3" t="str">
        <f>IFERROR(__xludf.DUMMYFUNCTION("""COMPUTED_VALUE"""),"SFHBR0020")</f>
        <v>SFHBR0020</v>
      </c>
      <c r="B119" s="4">
        <f>IFERROR(__xludf.DUMMYFUNCTION("""COMPUTED_VALUE"""),45764.480452800926)</f>
        <v>45764.48045</v>
      </c>
      <c r="C119" s="4">
        <f>IFERROR(__xludf.DUMMYFUNCTION("""COMPUTED_VALUE"""),45768.644616273144)</f>
        <v>45768.64462</v>
      </c>
      <c r="D119" s="3" t="str">
        <f>IFERROR(__xludf.DUMMYFUNCTION("""COMPUTED_VALUE"""),"lantai 2")</f>
        <v>lantai 2</v>
      </c>
      <c r="E119" s="3" t="str">
        <f>IFERROR(__xludf.DUMMYFUNCTION("""COMPUTED_VALUE"""),"-")</f>
        <v>-</v>
      </c>
      <c r="F119" s="3" t="str">
        <f>IFERROR(__xludf.DUMMYFUNCTION("""COMPUTED_VALUE"""),"cat ftalit")</f>
        <v>cat ftalit</v>
      </c>
      <c r="G119" s="3">
        <f>IFERROR(__xludf.DUMMYFUNCTION("""COMPUTED_VALUE"""),2.0)</f>
        <v>2</v>
      </c>
      <c r="H119" s="3" t="str">
        <f>IFERROR(__xludf.DUMMYFUNCTION("""COMPUTED_VALUE"""),"PEL")</f>
        <v>PEL</v>
      </c>
      <c r="I119" s="3" t="str">
        <f>IFERROR(__xludf.DUMMYFUNCTION("""COMPUTED_VALUE"""),"Deliver")</f>
        <v>Deliver</v>
      </c>
      <c r="J119" s="3" t="str">
        <f>IFERROR(__xludf.DUMMYFUNCTION("""COMPUTED_VALUE"""),"-")</f>
        <v>-</v>
      </c>
      <c r="K119" s="3" t="str">
        <f>IFERROR(__xludf.DUMMYFUNCTION("""COMPUTED_VALUE"""),"-")</f>
        <v>-</v>
      </c>
    </row>
    <row r="120">
      <c r="A120" s="3" t="str">
        <f>IFERROR(__xludf.DUMMYFUNCTION("""COMPUTED_VALUE"""),"ANOBR0017")</f>
        <v>ANOBR0017</v>
      </c>
      <c r="B120" s="4">
        <f>IFERROR(__xludf.DUMMYFUNCTION("""COMPUTED_VALUE"""),45764.90774019676)</f>
        <v>45764.90774</v>
      </c>
      <c r="C120" s="4">
        <f>IFERROR(__xludf.DUMMYFUNCTION("""COMPUTED_VALUE"""),45767.82124428241)</f>
        <v>45767.82124</v>
      </c>
      <c r="D120" s="3" t="str">
        <f>IFERROR(__xludf.DUMMYFUNCTION("""COMPUTED_VALUE"""),"BSC")</f>
        <v>BSC</v>
      </c>
      <c r="E120" s="3" t="str">
        <f>IFERROR(__xludf.DUMMYFUNCTION("""COMPUTED_VALUE"""),"EJO/2025/03/88")</f>
        <v>EJO/2025/03/88</v>
      </c>
      <c r="F120" s="3" t="str">
        <f>IFERROR(__xludf.DUMMYFUNCTION("""COMPUTED_VALUE"""),"shock konektor ")</f>
        <v>shock konektor </v>
      </c>
      <c r="G120" s="3">
        <f>IFERROR(__xludf.DUMMYFUNCTION("""COMPUTED_VALUE"""),10.0)</f>
        <v>10</v>
      </c>
      <c r="H120" s="3" t="str">
        <f>IFERROR(__xludf.DUMMYFUNCTION("""COMPUTED_VALUE"""),"pcs")</f>
        <v>pcs</v>
      </c>
      <c r="I120" s="3" t="str">
        <f>IFERROR(__xludf.DUMMYFUNCTION("""COMPUTED_VALUE"""),"Deliver")</f>
        <v>Deliver</v>
      </c>
      <c r="J120" s="3" t="str">
        <f>IFERROR(__xludf.DUMMYFUNCTION("""COMPUTED_VALUE"""),"-")</f>
        <v>-</v>
      </c>
      <c r="K120" s="3" t="str">
        <f>IFERROR(__xludf.DUMMYFUNCTION("""COMPUTED_VALUE"""),"-")</f>
        <v>-</v>
      </c>
    </row>
    <row r="121">
      <c r="A121" s="3" t="str">
        <f>IFERROR(__xludf.DUMMYFUNCTION("""COMPUTED_VALUE"""),"RIABR0032")</f>
        <v>RIABR0032</v>
      </c>
      <c r="B121" s="4">
        <f>IFERROR(__xludf.DUMMYFUNCTION("""COMPUTED_VALUE"""),45766.413044097215)</f>
        <v>45766.41304</v>
      </c>
      <c r="C121" s="4">
        <f>IFERROR(__xludf.DUMMYFUNCTION("""COMPUTED_VALUE"""),45768.64480206018)</f>
        <v>45768.6448</v>
      </c>
      <c r="D121" s="3" t="str">
        <f>IFERROR(__xludf.DUMMYFUNCTION("""COMPUTED_VALUE"""),"Grinda Bosch")</f>
        <v>Grinda Bosch</v>
      </c>
      <c r="E121" s="3" t="str">
        <f>IFERROR(__xludf.DUMMYFUNCTION("""COMPUTED_VALUE"""),"-")</f>
        <v>-</v>
      </c>
      <c r="F121" s="3" t="str">
        <f>IFERROR(__xludf.DUMMYFUNCTION("""COMPUTED_VALUE"""),"Carbon Brush")</f>
        <v>Carbon Brush</v>
      </c>
      <c r="G121" s="3">
        <f>IFERROR(__xludf.DUMMYFUNCTION("""COMPUTED_VALUE"""),2.0)</f>
        <v>2</v>
      </c>
      <c r="H121" s="3" t="str">
        <f>IFERROR(__xludf.DUMMYFUNCTION("""COMPUTED_VALUE"""),"Set")</f>
        <v>Set</v>
      </c>
      <c r="I121" s="3" t="str">
        <f>IFERROR(__xludf.DUMMYFUNCTION("""COMPUTED_VALUE"""),"Deliver")</f>
        <v>Deliver</v>
      </c>
      <c r="J121" s="3" t="str">
        <f>IFERROR(__xludf.DUMMYFUNCTION("""COMPUTED_VALUE"""),"-")</f>
        <v>-</v>
      </c>
      <c r="K121" s="3" t="str">
        <f>IFERROR(__xludf.DUMMYFUNCTION("""COMPUTED_VALUE"""),"-")</f>
        <v>-</v>
      </c>
    </row>
    <row r="122">
      <c r="A122" s="3" t="str">
        <f>IFERROR(__xludf.DUMMYFUNCTION("""COMPUTED_VALUE"""),"INNBR0022")</f>
        <v>INNBR0022</v>
      </c>
      <c r="B122" s="4">
        <f>IFERROR(__xludf.DUMMYFUNCTION("""COMPUTED_VALUE"""),45767.48714099538)</f>
        <v>45767.48714</v>
      </c>
      <c r="C122" s="4">
        <f>IFERROR(__xludf.DUMMYFUNCTION("""COMPUTED_VALUE"""),45767.814616006945)</f>
        <v>45767.81462</v>
      </c>
      <c r="D122" s="3" t="str">
        <f>IFERROR(__xludf.DUMMYFUNCTION("""COMPUTED_VALUE"""),"PC PMS")</f>
        <v>PC PMS</v>
      </c>
      <c r="E122" s="3" t="str">
        <f>IFERROR(__xludf.DUMMYFUNCTION("""COMPUTED_VALUE"""),"-")</f>
        <v>-</v>
      </c>
      <c r="F122" s="3" t="str">
        <f>IFERROR(__xludf.DUMMYFUNCTION("""COMPUTED_VALUE"""),"USB Extender")</f>
        <v>USB Extender</v>
      </c>
      <c r="G122" s="3">
        <f>IFERROR(__xludf.DUMMYFUNCTION("""COMPUTED_VALUE"""),2.0)</f>
        <v>2</v>
      </c>
      <c r="H122" s="3" t="str">
        <f>IFERROR(__xludf.DUMMYFUNCTION("""COMPUTED_VALUE"""),"Unit")</f>
        <v>Unit</v>
      </c>
      <c r="I122" s="3" t="str">
        <f>IFERROR(__xludf.DUMMYFUNCTION("""COMPUTED_VALUE"""),"Deliver")</f>
        <v>Deliver</v>
      </c>
      <c r="J122" s="3" t="str">
        <f>IFERROR(__xludf.DUMMYFUNCTION("""COMPUTED_VALUE"""),"-")</f>
        <v>-</v>
      </c>
      <c r="K122" s="3" t="str">
        <f>IFERROR(__xludf.DUMMYFUNCTION("""COMPUTED_VALUE"""),"-")</f>
        <v>-</v>
      </c>
    </row>
    <row r="123">
      <c r="A123" s="3" t="str">
        <f>IFERROR(__xludf.DUMMYFUNCTION("""COMPUTED_VALUE"""),"ROSBR0016")</f>
        <v>ROSBR0016</v>
      </c>
      <c r="B123" s="4">
        <f>IFERROR(__xludf.DUMMYFUNCTION("""COMPUTED_VALUE"""),45768.411197951384)</f>
        <v>45768.4112</v>
      </c>
      <c r="C123" s="4">
        <f>IFERROR(__xludf.DUMMYFUNCTION("""COMPUTED_VALUE"""),45783.46629136574)</f>
        <v>45783.46629</v>
      </c>
      <c r="D123" s="3" t="str">
        <f>IFERROR(__xludf.DUMMYFUNCTION("""COMPUTED_VALUE"""),"WIHC ")</f>
        <v>WIHC </v>
      </c>
      <c r="E123" s="3" t="str">
        <f>IFERROR(__xludf.DUMMYFUNCTION("""COMPUTED_VALUE"""),"EJO/2025/04/77")</f>
        <v>EJO/2025/04/77</v>
      </c>
      <c r="F123" s="3" t="str">
        <f>IFERROR(__xludf.DUMMYFUNCTION("""COMPUTED_VALUE"""),"Drain Pan WIHC ")</f>
        <v>Drain Pan WIHC </v>
      </c>
      <c r="G123" s="3">
        <f>IFERROR(__xludf.DUMMYFUNCTION("""COMPUTED_VALUE"""),2.0)</f>
        <v>2</v>
      </c>
      <c r="H123" s="3" t="str">
        <f>IFERROR(__xludf.DUMMYFUNCTION("""COMPUTED_VALUE"""),"unit")</f>
        <v>unit</v>
      </c>
      <c r="I123" s="3" t="str">
        <f>IFERROR(__xludf.DUMMYFUNCTION("""COMPUTED_VALUE"""),"Deliver")</f>
        <v>Deliver</v>
      </c>
      <c r="J123" s="3" t="str">
        <f>IFERROR(__xludf.DUMMYFUNCTION("""COMPUTED_VALUE"""),"-")</f>
        <v>-</v>
      </c>
      <c r="K123" s="3" t="str">
        <f>IFERROR(__xludf.DUMMYFUNCTION("""COMPUTED_VALUE"""),"-")</f>
        <v>-</v>
      </c>
    </row>
    <row r="124">
      <c r="A124" s="3" t="str">
        <f>IFERROR(__xludf.DUMMYFUNCTION("""COMPUTED_VALUE"""),"INNBR0024")</f>
        <v>INNBR0024</v>
      </c>
      <c r="B124" s="4">
        <f>IFERROR(__xludf.DUMMYFUNCTION("""COMPUTED_VALUE"""),45771.34415167825)</f>
        <v>45771.34415</v>
      </c>
      <c r="C124" s="4">
        <f>IFERROR(__xludf.DUMMYFUNCTION("""COMPUTED_VALUE"""),45772.64522224537)</f>
        <v>45772.64522</v>
      </c>
      <c r="D124" s="3" t="str">
        <f>IFERROR(__xludf.DUMMYFUNCTION("""COMPUTED_VALUE"""),"HE Washbay")</f>
        <v>HE Washbay</v>
      </c>
      <c r="E124" s="3" t="str">
        <f>IFERROR(__xludf.DUMMYFUNCTION("""COMPUTED_VALUE"""),"-")</f>
        <v>-</v>
      </c>
      <c r="F124" s="3" t="str">
        <f>IFERROR(__xludf.DUMMYFUNCTION("""COMPUTED_VALUE"""),"Tubing M6 Blue Festo")</f>
        <v>Tubing M6 Blue Festo</v>
      </c>
      <c r="G124" s="3">
        <f>IFERROR(__xludf.DUMMYFUNCTION("""COMPUTED_VALUE"""),30.0)</f>
        <v>30</v>
      </c>
      <c r="H124" s="3" t="str">
        <f>IFERROR(__xludf.DUMMYFUNCTION("""COMPUTED_VALUE"""),"meter")</f>
        <v>meter</v>
      </c>
      <c r="I124" s="3" t="str">
        <f>IFERROR(__xludf.DUMMYFUNCTION("""COMPUTED_VALUE"""),"Deliver")</f>
        <v>Deliver</v>
      </c>
      <c r="J124" s="3" t="str">
        <f>IFERROR(__xludf.DUMMYFUNCTION("""COMPUTED_VALUE"""),"-")</f>
        <v>-</v>
      </c>
      <c r="K124" s="3" t="str">
        <f>IFERROR(__xludf.DUMMYFUNCTION("""COMPUTED_VALUE"""),"-")</f>
        <v>-</v>
      </c>
    </row>
    <row r="125">
      <c r="A125" s="3" t="str">
        <f>IFERROR(__xludf.DUMMYFUNCTION("""COMPUTED_VALUE"""),"NDSBR0011")</f>
        <v>NDSBR0011</v>
      </c>
      <c r="B125" s="4">
        <f>IFERROR(__xludf.DUMMYFUNCTION("""COMPUTED_VALUE"""),45772.73327802083)</f>
        <v>45772.73328</v>
      </c>
      <c r="C125" s="4">
        <f>IFERROR(__xludf.DUMMYFUNCTION("""COMPUTED_VALUE"""),45783.497857696755)</f>
        <v>45783.49786</v>
      </c>
      <c r="D125" s="3" t="str">
        <f>IFERROR(__xludf.DUMMYFUNCTION("""COMPUTED_VALUE"""),"Toolbox Hijau")</f>
        <v>Toolbox Hijau</v>
      </c>
      <c r="E125" s="3" t="str">
        <f>IFERROR(__xludf.DUMMYFUNCTION("""COMPUTED_VALUE"""),"-")</f>
        <v>-</v>
      </c>
      <c r="F125" s="3" t="str">
        <f>IFERROR(__xludf.DUMMYFUNCTION("""COMPUTED_VALUE"""),"Screw Driver ")</f>
        <v>Screw Driver </v>
      </c>
      <c r="G125" s="3">
        <f>IFERROR(__xludf.DUMMYFUNCTION("""COMPUTED_VALUE"""),1.0)</f>
        <v>1</v>
      </c>
      <c r="H125" s="3" t="str">
        <f>IFERROR(__xludf.DUMMYFUNCTION("""COMPUTED_VALUE"""),"Pcs")</f>
        <v>Pcs</v>
      </c>
      <c r="I125" s="3" t="str">
        <f>IFERROR(__xludf.DUMMYFUNCTION("""COMPUTED_VALUE"""),"Deliver")</f>
        <v>Deliver</v>
      </c>
      <c r="J125" s="3" t="str">
        <f>IFERROR(__xludf.DUMMYFUNCTION("""COMPUTED_VALUE"""),"-")</f>
        <v>-</v>
      </c>
      <c r="K125" s="3" t="str">
        <f>IFERROR(__xludf.DUMMYFUNCTION("""COMPUTED_VALUE"""),"-")</f>
        <v>-</v>
      </c>
    </row>
    <row r="126">
      <c r="A126" s="3" t="str">
        <f>IFERROR(__xludf.DUMMYFUNCTION("""COMPUTED_VALUE"""),"RIABR0034")</f>
        <v>RIABR0034</v>
      </c>
      <c r="B126" s="4">
        <f>IFERROR(__xludf.DUMMYFUNCTION("""COMPUTED_VALUE"""),45775.51172054398)</f>
        <v>45775.51172</v>
      </c>
      <c r="C126" s="4">
        <f>IFERROR(__xludf.DUMMYFUNCTION("""COMPUTED_VALUE"""),46202.920854108794)</f>
        <v>46202.92085</v>
      </c>
      <c r="D126" s="3" t="str">
        <f>IFERROR(__xludf.DUMMYFUNCTION("""COMPUTED_VALUE"""),"WWTP")</f>
        <v>WWTP</v>
      </c>
      <c r="E126" s="3" t="str">
        <f>IFERROR(__xludf.DUMMYFUNCTION("""COMPUTED_VALUE"""),"EJO/2025/05/01")</f>
        <v>EJO/2025/05/01</v>
      </c>
      <c r="F126" s="3" t="str">
        <f>IFERROR(__xludf.DUMMYFUNCTION("""COMPUTED_VALUE"""),"Solenoid Valve")</f>
        <v>Solenoid Valve</v>
      </c>
      <c r="G126" s="3">
        <f>IFERROR(__xludf.DUMMYFUNCTION("""COMPUTED_VALUE"""),1.0)</f>
        <v>1</v>
      </c>
      <c r="H126" s="3" t="str">
        <f>IFERROR(__xludf.DUMMYFUNCTION("""COMPUTED_VALUE"""),"Pcs")</f>
        <v>Pcs</v>
      </c>
      <c r="I126" s="3" t="str">
        <f>IFERROR(__xludf.DUMMYFUNCTION("""COMPUTED_VALUE"""),"Proses PR")</f>
        <v>Proses PR</v>
      </c>
      <c r="J126" s="3" t="str">
        <f>IFERROR(__xludf.DUMMYFUNCTION("""COMPUTED_VALUE"""),"-")</f>
        <v>-</v>
      </c>
      <c r="K126" s="3" t="str">
        <f>IFERROR(__xludf.DUMMYFUNCTION("""COMPUTED_VALUE"""),"-")</f>
        <v>-</v>
      </c>
    </row>
    <row r="127">
      <c r="A127" s="3" t="str">
        <f>IFERROR(__xludf.DUMMYFUNCTION("""COMPUTED_VALUE"""),"INNBR0025")</f>
        <v>INNBR0025</v>
      </c>
      <c r="B127" s="4">
        <f>IFERROR(__xludf.DUMMYFUNCTION("""COMPUTED_VALUE"""),45775.81077163194)</f>
        <v>45775.81077</v>
      </c>
      <c r="C127" s="4">
        <f>IFERROR(__xludf.DUMMYFUNCTION("""COMPUTED_VALUE"""),45783.44004829861)</f>
        <v>45783.44005</v>
      </c>
      <c r="D127" s="3" t="str">
        <f>IFERROR(__xludf.DUMMYFUNCTION("""COMPUTED_VALUE"""),"Capping")</f>
        <v>Capping</v>
      </c>
      <c r="E127" s="3" t="str">
        <f>IFERROR(__xludf.DUMMYFUNCTION("""COMPUTED_VALUE"""),"-")</f>
        <v>-</v>
      </c>
      <c r="F127" s="3" t="str">
        <f>IFERROR(__xludf.DUMMYFUNCTION("""COMPUTED_VALUE"""),"Spring Tekan Steel Dia. 2.5mm, OD 15.5mm, Panjang 71.3mm")</f>
        <v>Spring Tekan Steel Dia. 2.5mm, OD 15.5mm, Panjang 71.3mm</v>
      </c>
      <c r="G127" s="3">
        <f>IFERROR(__xludf.DUMMYFUNCTION("""COMPUTED_VALUE"""),10.0)</f>
        <v>10</v>
      </c>
      <c r="H127" s="3" t="str">
        <f>IFERROR(__xludf.DUMMYFUNCTION("""COMPUTED_VALUE"""),"pcs")</f>
        <v>pcs</v>
      </c>
      <c r="I127" s="3" t="str">
        <f>IFERROR(__xludf.DUMMYFUNCTION("""COMPUTED_VALUE"""),"Deliver")</f>
        <v>Deliver</v>
      </c>
      <c r="J127" s="3" t="str">
        <f>IFERROR(__xludf.DUMMYFUNCTION("""COMPUTED_VALUE"""),"-")</f>
        <v>-</v>
      </c>
      <c r="K127" s="3" t="str">
        <f>IFERROR(__xludf.DUMMYFUNCTION("""COMPUTED_VALUE"""),"-")</f>
        <v>-</v>
      </c>
    </row>
    <row r="128">
      <c r="A128" s="3" t="str">
        <f>IFERROR(__xludf.DUMMYFUNCTION("""COMPUTED_VALUE"""),"INNBR0026")</f>
        <v>INNBR0026</v>
      </c>
      <c r="B128" s="4">
        <f>IFERROR(__xludf.DUMMYFUNCTION("""COMPUTED_VALUE"""),45776.64317130787)</f>
        <v>45776.64317</v>
      </c>
      <c r="C128" s="4">
        <f>IFERROR(__xludf.DUMMYFUNCTION("""COMPUTED_VALUE"""),45783.44339021991)</f>
        <v>45783.44339</v>
      </c>
      <c r="D128" s="3" t="str">
        <f>IFERROR(__xludf.DUMMYFUNCTION("""COMPUTED_VALUE"""),"Melting Point")</f>
        <v>Melting Point</v>
      </c>
      <c r="E128" s="3" t="str">
        <f>IFERROR(__xludf.DUMMYFUNCTION("""COMPUTED_VALUE"""),"EJO/2025/04/91")</f>
        <v>EJO/2025/04/91</v>
      </c>
      <c r="F128" s="3" t="str">
        <f>IFERROR(__xludf.DUMMYFUNCTION("""COMPUTED_VALUE"""),"051974/Membrane keyboard M-565")</f>
        <v>051974/Membrane keyboard M-565</v>
      </c>
      <c r="G128" s="3">
        <f>IFERROR(__xludf.DUMMYFUNCTION("""COMPUTED_VALUE"""),1.0)</f>
        <v>1</v>
      </c>
      <c r="H128" s="3" t="str">
        <f>IFERROR(__xludf.DUMMYFUNCTION("""COMPUTED_VALUE"""),"pcs")</f>
        <v>pcs</v>
      </c>
      <c r="I128" s="3" t="str">
        <f>IFERROR(__xludf.DUMMYFUNCTION("""COMPUTED_VALUE"""),"Deliver")</f>
        <v>Deliver</v>
      </c>
      <c r="J128" s="3" t="str">
        <f>IFERROR(__xludf.DUMMYFUNCTION("""COMPUTED_VALUE"""),"-")</f>
        <v>-</v>
      </c>
      <c r="K128" s="3" t="str">
        <f>IFERROR(__xludf.DUMMYFUNCTION("""COMPUTED_VALUE"""),"-")</f>
        <v>-</v>
      </c>
    </row>
    <row r="129">
      <c r="A129" s="3" t="str">
        <f>IFERROR(__xludf.DUMMYFUNCTION("""COMPUTED_VALUE"""),"INNBR0027")</f>
        <v>INNBR0027</v>
      </c>
      <c r="B129" s="4">
        <f>IFERROR(__xludf.DUMMYFUNCTION("""COMPUTED_VALUE"""),45776.644754270834)</f>
        <v>45776.64475</v>
      </c>
      <c r="C129" s="4">
        <f>IFERROR(__xludf.DUMMYFUNCTION("""COMPUTED_VALUE"""),45783.44615675926)</f>
        <v>45783.44616</v>
      </c>
      <c r="D129" s="3" t="str">
        <f>IFERROR(__xludf.DUMMYFUNCTION("""COMPUTED_VALUE"""),"Melting Point")</f>
        <v>Melting Point</v>
      </c>
      <c r="E129" s="3" t="str">
        <f>IFERROR(__xludf.DUMMYFUNCTION("""COMPUTED_VALUE"""),"EJO/2025/04/91")</f>
        <v>EJO/2025/04/91</v>
      </c>
      <c r="F129" s="3" t="str">
        <f>IFERROR(__xludf.DUMMYFUNCTION("""COMPUTED_VALUE"""),"11CSN12331/CARE Repair M-565")</f>
        <v>11CSN12331/CARE Repair M-565</v>
      </c>
      <c r="G129" s="3">
        <f>IFERROR(__xludf.DUMMYFUNCTION("""COMPUTED_VALUE"""),1.0)</f>
        <v>1</v>
      </c>
      <c r="H129" s="3" t="str">
        <f>IFERROR(__xludf.DUMMYFUNCTION("""COMPUTED_VALUE"""),"pcs")</f>
        <v>pcs</v>
      </c>
      <c r="I129" s="3" t="str">
        <f>IFERROR(__xludf.DUMMYFUNCTION("""COMPUTED_VALUE"""),"Deliver")</f>
        <v>Deliver</v>
      </c>
      <c r="J129" s="3" t="str">
        <f>IFERROR(__xludf.DUMMYFUNCTION("""COMPUTED_VALUE"""),"-")</f>
        <v>-</v>
      </c>
      <c r="K129" s="3" t="str">
        <f>IFERROR(__xludf.DUMMYFUNCTION("""COMPUTED_VALUE"""),"-")</f>
        <v>-</v>
      </c>
    </row>
    <row r="130">
      <c r="A130" s="3" t="str">
        <f>IFERROR(__xludf.DUMMYFUNCTION("""COMPUTED_VALUE"""),"RIABR0035")</f>
        <v>RIABR0035</v>
      </c>
      <c r="B130" s="4">
        <f>IFERROR(__xludf.DUMMYFUNCTION("""COMPUTED_VALUE"""),45776.66439168982)</f>
        <v>45776.66439</v>
      </c>
      <c r="C130" s="4">
        <f>IFERROR(__xludf.DUMMYFUNCTION("""COMPUTED_VALUE"""),45783.66992230324)</f>
        <v>45783.66992</v>
      </c>
      <c r="D130" s="3" t="str">
        <f>IFERROR(__xludf.DUMMYFUNCTION("""COMPUTED_VALUE"""),"Alarm System")</f>
        <v>Alarm System</v>
      </c>
      <c r="E130" s="3" t="str">
        <f>IFERROR(__xludf.DUMMYFUNCTION("""COMPUTED_VALUE"""),"EJO/2025/05/05")</f>
        <v>EJO/2025/05/05</v>
      </c>
      <c r="F130" s="3" t="str">
        <f>IFERROR(__xludf.DUMMYFUNCTION("""COMPUTED_VALUE"""),"Socket Relay")</f>
        <v>Socket Relay</v>
      </c>
      <c r="G130" s="3">
        <f>IFERROR(__xludf.DUMMYFUNCTION("""COMPUTED_VALUE"""),1.0)</f>
        <v>1</v>
      </c>
      <c r="H130" s="3" t="str">
        <f>IFERROR(__xludf.DUMMYFUNCTION("""COMPUTED_VALUE"""),"Pack")</f>
        <v>Pack</v>
      </c>
      <c r="I130" s="3" t="str">
        <f>IFERROR(__xludf.DUMMYFUNCTION("""COMPUTED_VALUE"""),"Deliver")</f>
        <v>Deliver</v>
      </c>
      <c r="J130" s="3" t="str">
        <f>IFERROR(__xludf.DUMMYFUNCTION("""COMPUTED_VALUE"""),"-")</f>
        <v>-</v>
      </c>
      <c r="K130" s="3" t="str">
        <f>IFERROR(__xludf.DUMMYFUNCTION("""COMPUTED_VALUE"""),"-")</f>
        <v>-</v>
      </c>
    </row>
    <row r="131">
      <c r="A131" s="3" t="str">
        <f>IFERROR(__xludf.DUMMYFUNCTION("""COMPUTED_VALUE"""),"MOBBR0026")</f>
        <v>MOBBR0026</v>
      </c>
      <c r="B131" s="4">
        <f>IFERROR(__xludf.DUMMYFUNCTION("""COMPUTED_VALUE"""),45777.39889085648)</f>
        <v>45777.39889</v>
      </c>
      <c r="C131" s="4">
        <f>IFERROR(__xludf.DUMMYFUNCTION("""COMPUTED_VALUE"""),45783.66874803241)</f>
        <v>45783.66875</v>
      </c>
      <c r="D131" s="3" t="str">
        <f>IFERROR(__xludf.DUMMYFUNCTION("""COMPUTED_VALUE"""),"Pintu FGRM")</f>
        <v>Pintu FGRM</v>
      </c>
      <c r="E131" s="3" t="str">
        <f>IFERROR(__xludf.DUMMYFUNCTION("""COMPUTED_VALUE"""),"-")</f>
        <v>-</v>
      </c>
      <c r="F131" s="3" t="str">
        <f>IFERROR(__xludf.DUMMYFUNCTION("""COMPUTED_VALUE"""),"Bearing ")</f>
        <v>Bearing </v>
      </c>
      <c r="G131" s="3">
        <f>IFERROR(__xludf.DUMMYFUNCTION("""COMPUTED_VALUE"""),10.0)</f>
        <v>10</v>
      </c>
      <c r="H131" s="3" t="str">
        <f>IFERROR(__xludf.DUMMYFUNCTION("""COMPUTED_VALUE"""),"Pcs")</f>
        <v>Pcs</v>
      </c>
      <c r="I131" s="3" t="str">
        <f>IFERROR(__xludf.DUMMYFUNCTION("""COMPUTED_VALUE"""),"Deliver")</f>
        <v>Deliver</v>
      </c>
      <c r="J131" s="3" t="str">
        <f>IFERROR(__xludf.DUMMYFUNCTION("""COMPUTED_VALUE"""),"-")</f>
        <v>-</v>
      </c>
      <c r="K131" s="3" t="str">
        <f>IFERROR(__xludf.DUMMYFUNCTION("""COMPUTED_VALUE"""),"-")</f>
        <v>-</v>
      </c>
    </row>
    <row r="132">
      <c r="A132" s="3" t="str">
        <f>IFERROR(__xludf.DUMMYFUNCTION("""COMPUTED_VALUE"""),"MOBBR0027")</f>
        <v>MOBBR0027</v>
      </c>
      <c r="B132" s="4">
        <f>IFERROR(__xludf.DUMMYFUNCTION("""COMPUTED_VALUE"""),45782.41305237268)</f>
        <v>45782.41305</v>
      </c>
      <c r="C132" s="4">
        <f>IFERROR(__xludf.DUMMYFUNCTION("""COMPUTED_VALUE"""),45783.66897273148)</f>
        <v>45783.66897</v>
      </c>
      <c r="D132" s="3" t="str">
        <f>IFERROR(__xludf.DUMMYFUNCTION("""COMPUTED_VALUE"""),"Plumbing")</f>
        <v>Plumbing</v>
      </c>
      <c r="E132" s="3" t="str">
        <f>IFERROR(__xludf.DUMMYFUNCTION("""COMPUTED_VALUE"""),"-")</f>
        <v>-</v>
      </c>
      <c r="F132" s="3" t="str">
        <f>IFERROR(__xludf.DUMMYFUNCTION("""COMPUTED_VALUE"""),"Pipa PVC AW Abu")</f>
        <v>Pipa PVC AW Abu</v>
      </c>
      <c r="G132" s="3">
        <f>IFERROR(__xludf.DUMMYFUNCTION("""COMPUTED_VALUE"""),10.0)</f>
        <v>10</v>
      </c>
      <c r="H132" s="3" t="str">
        <f>IFERROR(__xludf.DUMMYFUNCTION("""COMPUTED_VALUE"""),"Pcs")</f>
        <v>Pcs</v>
      </c>
      <c r="I132" s="3" t="str">
        <f>IFERROR(__xludf.DUMMYFUNCTION("""COMPUTED_VALUE"""),"Deliver")</f>
        <v>Deliver</v>
      </c>
      <c r="J132" s="3" t="str">
        <f>IFERROR(__xludf.DUMMYFUNCTION("""COMPUTED_VALUE"""),"-")</f>
        <v>-</v>
      </c>
      <c r="K132" s="3" t="str">
        <f>IFERROR(__xludf.DUMMYFUNCTION("""COMPUTED_VALUE"""),"-")</f>
        <v>-</v>
      </c>
    </row>
    <row r="133">
      <c r="A133" s="3" t="str">
        <f>IFERROR(__xludf.DUMMYFUNCTION("""COMPUTED_VALUE"""),"NDSBR0012")</f>
        <v>NDSBR0012</v>
      </c>
      <c r="B133" s="4">
        <f>IFERROR(__xludf.DUMMYFUNCTION("""COMPUTED_VALUE"""),45783.449764398145)</f>
        <v>45783.44976</v>
      </c>
      <c r="C133" s="4">
        <f>IFERROR(__xludf.DUMMYFUNCTION("""COMPUTED_VALUE"""),45783.4984759375)</f>
        <v>45783.49848</v>
      </c>
      <c r="D133" s="3" t="str">
        <f>IFERROR(__xludf.DUMMYFUNCTION("""COMPUTED_VALUE"""),"Washing Lance")</f>
        <v>Washing Lance</v>
      </c>
      <c r="E133" s="3" t="str">
        <f>IFERROR(__xludf.DUMMYFUNCTION("""COMPUTED_VALUE"""),"EJO/2025/03/121")</f>
        <v>EJO/2025/03/121</v>
      </c>
      <c r="F133" s="3" t="str">
        <f>IFERROR(__xludf.DUMMYFUNCTION("""COMPUTED_VALUE"""),"As Washing Lance")</f>
        <v>As Washing Lance</v>
      </c>
      <c r="G133" s="3">
        <f>IFERROR(__xludf.DUMMYFUNCTION("""COMPUTED_VALUE"""),1.0)</f>
        <v>1</v>
      </c>
      <c r="H133" s="3" t="str">
        <f>IFERROR(__xludf.DUMMYFUNCTION("""COMPUTED_VALUE"""),"PCS")</f>
        <v>PCS</v>
      </c>
      <c r="I133" s="3" t="str">
        <f>IFERROR(__xludf.DUMMYFUNCTION("""COMPUTED_VALUE"""),"Deliver")</f>
        <v>Deliver</v>
      </c>
      <c r="J133" s="3" t="str">
        <f>IFERROR(__xludf.DUMMYFUNCTION("""COMPUTED_VALUE"""),"-")</f>
        <v>-</v>
      </c>
      <c r="K133" s="3" t="str">
        <f>IFERROR(__xludf.DUMMYFUNCTION("""COMPUTED_VALUE"""),"-")</f>
        <v>-</v>
      </c>
    </row>
    <row r="134">
      <c r="A134" s="3" t="str">
        <f>IFERROR(__xludf.DUMMYFUNCTION("""COMPUTED_VALUE"""),"MOBBR0028")</f>
        <v>MOBBR0028</v>
      </c>
      <c r="B134" s="4">
        <f>IFERROR(__xludf.DUMMYFUNCTION("""COMPUTED_VALUE"""),45783.450214930555)</f>
        <v>45783.45021</v>
      </c>
      <c r="C134" s="4">
        <f>IFERROR(__xludf.DUMMYFUNCTION("""COMPUTED_VALUE"""),45811.77692429398)</f>
        <v>45811.77692</v>
      </c>
      <c r="D134" s="3" t="str">
        <f>IFERROR(__xludf.DUMMYFUNCTION("""COMPUTED_VALUE"""),"AHU")</f>
        <v>AHU</v>
      </c>
      <c r="E134" s="3" t="str">
        <f>IFERROR(__xludf.DUMMYFUNCTION("""COMPUTED_VALUE"""),"-")</f>
        <v>-</v>
      </c>
      <c r="F134" s="3" t="str">
        <f>IFERROR(__xludf.DUMMYFUNCTION("""COMPUTED_VALUE"""),"Bushing VAV AHU")</f>
        <v>Bushing VAV AHU</v>
      </c>
      <c r="G134" s="3">
        <f>IFERROR(__xludf.DUMMYFUNCTION("""COMPUTED_VALUE"""),5.0)</f>
        <v>5</v>
      </c>
      <c r="H134" s="3" t="str">
        <f>IFERROR(__xludf.DUMMYFUNCTION("""COMPUTED_VALUE"""),"Pcs")</f>
        <v>Pcs</v>
      </c>
      <c r="I134" s="3" t="str">
        <f>IFERROR(__xludf.DUMMYFUNCTION("""COMPUTED_VALUE"""),"Deliver")</f>
        <v>Deliver</v>
      </c>
      <c r="J134" s="3" t="str">
        <f>IFERROR(__xludf.DUMMYFUNCTION("""COMPUTED_VALUE"""),"-")</f>
        <v>-</v>
      </c>
      <c r="K134" s="3" t="str">
        <f>IFERROR(__xludf.DUMMYFUNCTION("""COMPUTED_VALUE"""),"-")</f>
        <v>-</v>
      </c>
    </row>
    <row r="135">
      <c r="A135" s="3" t="str">
        <f>IFERROR(__xludf.DUMMYFUNCTION("""COMPUTED_VALUE"""),"ROSBR0017")</f>
        <v>ROSBR0017</v>
      </c>
      <c r="B135" s="4">
        <f>IFERROR(__xludf.DUMMYFUNCTION("""COMPUTED_VALUE"""),45783.69197359953)</f>
        <v>45783.69197</v>
      </c>
      <c r="C135" s="4">
        <f>IFERROR(__xludf.DUMMYFUNCTION("""COMPUTED_VALUE"""),45790.49407353009)</f>
        <v>45790.49407</v>
      </c>
      <c r="D135" s="3" t="str">
        <f>IFERROR(__xludf.DUMMYFUNCTION("""COMPUTED_VALUE"""),"EDM")</f>
        <v>EDM</v>
      </c>
      <c r="E135" s="3" t="str">
        <f>IFERROR(__xludf.DUMMYFUNCTION("""COMPUTED_VALUE"""),"EJO/2025/05/61")</f>
        <v>EJO/2025/05/61</v>
      </c>
      <c r="F135" s="3" t="str">
        <f>IFERROR(__xludf.DUMMYFUNCTION("""COMPUTED_VALUE"""),"Exhaust Fan EDM")</f>
        <v>Exhaust Fan EDM</v>
      </c>
      <c r="G135" s="3">
        <f>IFERROR(__xludf.DUMMYFUNCTION("""COMPUTED_VALUE"""),1.0)</f>
        <v>1</v>
      </c>
      <c r="H135" s="3" t="str">
        <f>IFERROR(__xludf.DUMMYFUNCTION("""COMPUTED_VALUE"""),"unit")</f>
        <v>unit</v>
      </c>
      <c r="I135" s="3" t="str">
        <f>IFERROR(__xludf.DUMMYFUNCTION("""COMPUTED_VALUE"""),"Deliver")</f>
        <v>Deliver</v>
      </c>
      <c r="J135" s="3" t="str">
        <f>IFERROR(__xludf.DUMMYFUNCTION("""COMPUTED_VALUE"""),"-")</f>
        <v>-</v>
      </c>
      <c r="K135" s="3" t="str">
        <f>IFERROR(__xludf.DUMMYFUNCTION("""COMPUTED_VALUE"""),"-")</f>
        <v>-</v>
      </c>
    </row>
    <row r="136">
      <c r="A136" s="3" t="str">
        <f>IFERROR(__xludf.DUMMYFUNCTION("""COMPUTED_VALUE"""),"RIABR0036")</f>
        <v>RIABR0036</v>
      </c>
      <c r="B136" s="4">
        <f>IFERROR(__xludf.DUMMYFUNCTION("""COMPUTED_VALUE"""),45783.82176195602)</f>
        <v>45783.82176</v>
      </c>
      <c r="C136" s="4">
        <f>IFERROR(__xludf.DUMMYFUNCTION("""COMPUTED_VALUE"""),45790.42971976852)</f>
        <v>45790.42972</v>
      </c>
      <c r="D136" s="3" t="str">
        <f>IFERROR(__xludf.DUMMYFUNCTION("""COMPUTED_VALUE"""),"PWG")</f>
        <v>PWG</v>
      </c>
      <c r="E136" s="3" t="str">
        <f>IFERROR(__xludf.DUMMYFUNCTION("""COMPUTED_VALUE"""),"-")</f>
        <v>-</v>
      </c>
      <c r="F136" s="3" t="str">
        <f>IFERROR(__xludf.DUMMYFUNCTION("""COMPUTED_VALUE"""),"Chlorine Test")</f>
        <v>Chlorine Test</v>
      </c>
      <c r="G136" s="3">
        <f>IFERROR(__xludf.DUMMYFUNCTION("""COMPUTED_VALUE"""),1.0)</f>
        <v>1</v>
      </c>
      <c r="H136" s="3" t="str">
        <f>IFERROR(__xludf.DUMMYFUNCTION("""COMPUTED_VALUE"""),"Set")</f>
        <v>Set</v>
      </c>
      <c r="I136" s="3" t="str">
        <f>IFERROR(__xludf.DUMMYFUNCTION("""COMPUTED_VALUE"""),"Deliver")</f>
        <v>Deliver</v>
      </c>
      <c r="J136" s="3" t="str">
        <f>IFERROR(__xludf.DUMMYFUNCTION("""COMPUTED_VALUE"""),"-")</f>
        <v>-</v>
      </c>
      <c r="K136" s="3" t="str">
        <f>IFERROR(__xludf.DUMMYFUNCTION("""COMPUTED_VALUE"""),"-")</f>
        <v>-</v>
      </c>
    </row>
    <row r="137">
      <c r="A137" s="3" t="str">
        <f>IFERROR(__xludf.DUMMYFUNCTION("""COMPUTED_VALUE"""),"SFHBR0021")</f>
        <v>SFHBR0021</v>
      </c>
      <c r="B137" s="4">
        <f>IFERROR(__xludf.DUMMYFUNCTION("""COMPUTED_VALUE"""),45784.04874211805)</f>
        <v>45784.04874</v>
      </c>
      <c r="C137" s="4">
        <f>IFERROR(__xludf.DUMMYFUNCTION("""COMPUTED_VALUE"""),45790.431431018515)</f>
        <v>45790.43143</v>
      </c>
      <c r="D137" s="3" t="str">
        <f>IFERROR(__xludf.DUMMYFUNCTION("""COMPUTED_VALUE"""),"lantai 1")</f>
        <v>lantai 1</v>
      </c>
      <c r="E137" s="3" t="str">
        <f>IFERROR(__xludf.DUMMYFUNCTION("""COMPUTED_VALUE"""),"EJO/2025/04/105")</f>
        <v>EJO/2025/04/105</v>
      </c>
      <c r="F137" s="3" t="str">
        <f>IFERROR(__xludf.DUMMYFUNCTION("""COMPUTED_VALUE"""),"flowcrete PU finishing lantai")</f>
        <v>flowcrete PU finishing lantai</v>
      </c>
      <c r="G137" s="3">
        <f>IFERROR(__xludf.DUMMYFUNCTION("""COMPUTED_VALUE"""),2.0)</f>
        <v>2</v>
      </c>
      <c r="H137" s="3" t="str">
        <f>IFERROR(__xludf.DUMMYFUNCTION("""COMPUTED_VALUE"""),"PEL")</f>
        <v>PEL</v>
      </c>
      <c r="I137" s="3" t="str">
        <f>IFERROR(__xludf.DUMMYFUNCTION("""COMPUTED_VALUE"""),"Deliver")</f>
        <v>Deliver</v>
      </c>
      <c r="J137" s="3" t="str">
        <f>IFERROR(__xludf.DUMMYFUNCTION("""COMPUTED_VALUE"""),"121703881 - APPROVED")</f>
        <v>121703881 - APPROVED</v>
      </c>
      <c r="K137" s="3" t="str">
        <f>IFERROR(__xludf.DUMMYFUNCTION("""COMPUTED_VALUE"""),"GL2603053")</f>
        <v>GL2603053</v>
      </c>
    </row>
    <row r="138">
      <c r="A138" s="3" t="str">
        <f>IFERROR(__xludf.DUMMYFUNCTION("""COMPUTED_VALUE"""),"RIABR0037")</f>
        <v>RIABR0037</v>
      </c>
      <c r="B138" s="4">
        <f>IFERROR(__xludf.DUMMYFUNCTION("""COMPUTED_VALUE"""),45784.93199204861)</f>
        <v>45784.93199</v>
      </c>
      <c r="C138" s="4">
        <f>IFERROR(__xludf.DUMMYFUNCTION("""COMPUTED_VALUE"""),45790.429960277776)</f>
        <v>45790.42996</v>
      </c>
      <c r="D138" s="3" t="str">
        <f>IFERROR(__xludf.DUMMYFUNCTION("""COMPUTED_VALUE"""),"PSG")</f>
        <v>PSG</v>
      </c>
      <c r="E138" s="3" t="str">
        <f>IFERROR(__xludf.DUMMYFUNCTION("""COMPUTED_VALUE"""),"EJO/2025/05/08")</f>
        <v>EJO/2025/05/08</v>
      </c>
      <c r="F138" s="3" t="str">
        <f>IFERROR(__xludf.DUMMYFUNCTION("""COMPUTED_VALUE"""),"Level Switch")</f>
        <v>Level Switch</v>
      </c>
      <c r="G138" s="3">
        <f>IFERROR(__xludf.DUMMYFUNCTION("""COMPUTED_VALUE"""),1.0)</f>
        <v>1</v>
      </c>
      <c r="H138" s="3" t="str">
        <f>IFERROR(__xludf.DUMMYFUNCTION("""COMPUTED_VALUE"""),"Pcs")</f>
        <v>Pcs</v>
      </c>
      <c r="I138" s="3" t="str">
        <f>IFERROR(__xludf.DUMMYFUNCTION("""COMPUTED_VALUE"""),"Deliver")</f>
        <v>Deliver</v>
      </c>
      <c r="J138" s="3" t="str">
        <f>IFERROR(__xludf.DUMMYFUNCTION("""COMPUTED_VALUE"""),"-")</f>
        <v>-</v>
      </c>
      <c r="K138" s="3" t="str">
        <f>IFERROR(__xludf.DUMMYFUNCTION("""COMPUTED_VALUE"""),"-")</f>
        <v>-</v>
      </c>
    </row>
    <row r="139">
      <c r="A139" s="3" t="str">
        <f>IFERROR(__xludf.DUMMYFUNCTION("""COMPUTED_VALUE"""),"RIABR0038")</f>
        <v>RIABR0038</v>
      </c>
      <c r="B139" s="4">
        <f>IFERROR(__xludf.DUMMYFUNCTION("""COMPUTED_VALUE"""),45784.93544966435)</f>
        <v>45784.93545</v>
      </c>
      <c r="C139" s="4">
        <f>IFERROR(__xludf.DUMMYFUNCTION("""COMPUTED_VALUE"""),45790.43097876158)</f>
        <v>45790.43098</v>
      </c>
      <c r="D139" s="3" t="str">
        <f>IFERROR(__xludf.DUMMYFUNCTION("""COMPUTED_VALUE"""),"Alarm System")</f>
        <v>Alarm System</v>
      </c>
      <c r="E139" s="3" t="str">
        <f>IFERROR(__xludf.DUMMYFUNCTION("""COMPUTED_VALUE"""),"EJO/2025/04/90")</f>
        <v>EJO/2025/04/90</v>
      </c>
      <c r="F139" s="3" t="str">
        <f>IFERROR(__xludf.DUMMYFUNCTION("""COMPUTED_VALUE"""),"Kunci Panel")</f>
        <v>Kunci Panel</v>
      </c>
      <c r="G139" s="3">
        <f>IFERROR(__xludf.DUMMYFUNCTION("""COMPUTED_VALUE"""),5.0)</f>
        <v>5</v>
      </c>
      <c r="H139" s="3" t="str">
        <f>IFERROR(__xludf.DUMMYFUNCTION("""COMPUTED_VALUE"""),"Pcs")</f>
        <v>Pcs</v>
      </c>
      <c r="I139" s="3" t="str">
        <f>IFERROR(__xludf.DUMMYFUNCTION("""COMPUTED_VALUE"""),"Deliver")</f>
        <v>Deliver</v>
      </c>
      <c r="J139" s="3" t="str">
        <f>IFERROR(__xludf.DUMMYFUNCTION("""COMPUTED_VALUE"""),"-")</f>
        <v>-</v>
      </c>
      <c r="K139" s="3" t="str">
        <f>IFERROR(__xludf.DUMMYFUNCTION("""COMPUTED_VALUE"""),"-")</f>
        <v>-</v>
      </c>
    </row>
    <row r="140">
      <c r="A140" s="3" t="str">
        <f>IFERROR(__xludf.DUMMYFUNCTION("""COMPUTED_VALUE"""),"SFHBR0022")</f>
        <v>SFHBR0022</v>
      </c>
      <c r="B140" s="4">
        <f>IFERROR(__xludf.DUMMYFUNCTION("""COMPUTED_VALUE"""),45786.650359768515)</f>
        <v>45786.65036</v>
      </c>
      <c r="C140" s="4">
        <f>IFERROR(__xludf.DUMMYFUNCTION("""COMPUTED_VALUE"""),45790.43159771991)</f>
        <v>45790.4316</v>
      </c>
      <c r="D140" s="3" t="str">
        <f>IFERROR(__xludf.DUMMYFUNCTION("""COMPUTED_VALUE"""),"lantai 2")</f>
        <v>lantai 2</v>
      </c>
      <c r="E140" s="3" t="str">
        <f>IFERROR(__xludf.DUMMYFUNCTION("""COMPUTED_VALUE"""),"EJO/2025/05/64")</f>
        <v>EJO/2025/05/64</v>
      </c>
      <c r="F140" s="3" t="str">
        <f>IFERROR(__xludf.DUMMYFUNCTION("""COMPUTED_VALUE"""),"Paint remover / perontok cat")</f>
        <v>Paint remover / perontok cat</v>
      </c>
      <c r="G140" s="3">
        <f>IFERROR(__xludf.DUMMYFUNCTION("""COMPUTED_VALUE"""),60.0)</f>
        <v>60</v>
      </c>
      <c r="H140" s="3" t="str">
        <f>IFERROR(__xludf.DUMMYFUNCTION("""COMPUTED_VALUE"""),"kg")</f>
        <v>kg</v>
      </c>
      <c r="I140" s="3" t="str">
        <f>IFERROR(__xludf.DUMMYFUNCTION("""COMPUTED_VALUE"""),"Deliver")</f>
        <v>Deliver</v>
      </c>
      <c r="J140" s="3" t="str">
        <f>IFERROR(__xludf.DUMMYFUNCTION("""COMPUTED_VALUE"""),"-")</f>
        <v>-</v>
      </c>
      <c r="K140" s="3" t="str">
        <f>IFERROR(__xludf.DUMMYFUNCTION("""COMPUTED_VALUE"""),"-")</f>
        <v>-</v>
      </c>
    </row>
    <row r="141">
      <c r="A141" s="3" t="str">
        <f>IFERROR(__xludf.DUMMYFUNCTION("""COMPUTED_VALUE"""),"AAABR0003")</f>
        <v>AAABR0003</v>
      </c>
      <c r="B141" s="4">
        <f>IFERROR(__xludf.DUMMYFUNCTION("""COMPUTED_VALUE"""),45791.40675410879)</f>
        <v>45791.40675</v>
      </c>
      <c r="C141" s="4">
        <f>IFERROR(__xludf.DUMMYFUNCTION("""COMPUTED_VALUE"""),45810.71426321759)</f>
        <v>45810.71426</v>
      </c>
      <c r="D141" s="3" t="str">
        <f>IFERROR(__xludf.DUMMYFUNCTION("""COMPUTED_VALUE"""),"General")</f>
        <v>General</v>
      </c>
      <c r="E141" s="3" t="str">
        <f>IFERROR(__xludf.DUMMYFUNCTION("""COMPUTED_VALUE"""),"NA")</f>
        <v>NA</v>
      </c>
      <c r="F141" s="3" t="str">
        <f>IFERROR(__xludf.DUMMYFUNCTION("""COMPUTED_VALUE"""),"Kunci Inggris ")</f>
        <v>Kunci Inggris </v>
      </c>
      <c r="G141" s="3">
        <f>IFERROR(__xludf.DUMMYFUNCTION("""COMPUTED_VALUE"""),1.0)</f>
        <v>1</v>
      </c>
      <c r="H141" s="3" t="str">
        <f>IFERROR(__xludf.DUMMYFUNCTION("""COMPUTED_VALUE"""),"Unit")</f>
        <v>Unit</v>
      </c>
      <c r="I141" s="3" t="str">
        <f>IFERROR(__xludf.DUMMYFUNCTION("""COMPUTED_VALUE"""),"Deliver")</f>
        <v>Deliver</v>
      </c>
      <c r="J141" s="3" t="str">
        <f>IFERROR(__xludf.DUMMYFUNCTION("""COMPUTED_VALUE"""),"-")</f>
        <v>-</v>
      </c>
      <c r="K141" s="3" t="str">
        <f>IFERROR(__xludf.DUMMYFUNCTION("""COMPUTED_VALUE"""),"-")</f>
        <v>-</v>
      </c>
    </row>
    <row r="142">
      <c r="A142" s="3" t="str">
        <f>IFERROR(__xludf.DUMMYFUNCTION("""COMPUTED_VALUE"""),"AAABR0004")</f>
        <v>AAABR0004</v>
      </c>
      <c r="B142" s="4">
        <f>IFERROR(__xludf.DUMMYFUNCTION("""COMPUTED_VALUE"""),45791.40853461806)</f>
        <v>45791.40853</v>
      </c>
      <c r="C142" s="4">
        <f>IFERROR(__xludf.DUMMYFUNCTION("""COMPUTED_VALUE"""),45810.7145059838)</f>
        <v>45810.71451</v>
      </c>
      <c r="D142" s="3" t="str">
        <f>IFERROR(__xludf.DUMMYFUNCTION("""COMPUTED_VALUE"""),"General")</f>
        <v>General</v>
      </c>
      <c r="E142" s="3" t="str">
        <f>IFERROR(__xludf.DUMMYFUNCTION("""COMPUTED_VALUE"""),"NA")</f>
        <v>NA</v>
      </c>
      <c r="F142" s="3" t="str">
        <f>IFERROR(__xludf.DUMMYFUNCTION("""COMPUTED_VALUE"""),"Kunci Pipa")</f>
        <v>Kunci Pipa</v>
      </c>
      <c r="G142" s="3">
        <f>IFERROR(__xludf.DUMMYFUNCTION("""COMPUTED_VALUE"""),1.0)</f>
        <v>1</v>
      </c>
      <c r="H142" s="3" t="str">
        <f>IFERROR(__xludf.DUMMYFUNCTION("""COMPUTED_VALUE"""),"Unit")</f>
        <v>Unit</v>
      </c>
      <c r="I142" s="3" t="str">
        <f>IFERROR(__xludf.DUMMYFUNCTION("""COMPUTED_VALUE"""),"Deliver")</f>
        <v>Deliver</v>
      </c>
      <c r="J142" s="3" t="str">
        <f>IFERROR(__xludf.DUMMYFUNCTION("""COMPUTED_VALUE"""),"-")</f>
        <v>-</v>
      </c>
      <c r="K142" s="3" t="str">
        <f>IFERROR(__xludf.DUMMYFUNCTION("""COMPUTED_VALUE"""),"-")</f>
        <v>-</v>
      </c>
    </row>
    <row r="143">
      <c r="A143" s="3" t="str">
        <f>IFERROR(__xludf.DUMMYFUNCTION("""COMPUTED_VALUE"""),"MRNBR0015")</f>
        <v>MRNBR0015</v>
      </c>
      <c r="B143" s="4">
        <f>IFERROR(__xludf.DUMMYFUNCTION("""COMPUTED_VALUE"""),45791.80735679398)</f>
        <v>45791.80736</v>
      </c>
      <c r="C143" s="4">
        <f>IFERROR(__xludf.DUMMYFUNCTION("""COMPUTED_VALUE"""),45798.484167627306)</f>
        <v>45798.48417</v>
      </c>
      <c r="D143" s="3" t="str">
        <f>IFERROR(__xludf.DUMMYFUNCTION("""COMPUTED_VALUE"""),"Loker sepatu")</f>
        <v>Loker sepatu</v>
      </c>
      <c r="E143" s="3" t="str">
        <f>IFERROR(__xludf.DUMMYFUNCTION("""COMPUTED_VALUE"""),"EJO/2024/12/150")</f>
        <v>EJO/2024/12/150</v>
      </c>
      <c r="F143" s="3" t="str">
        <f>IFERROR(__xludf.DUMMYFUNCTION("""COMPUTED_VALUE"""),"Flexuble duct")</f>
        <v>Flexuble duct</v>
      </c>
      <c r="G143" s="3">
        <f>IFERROR(__xludf.DUMMYFUNCTION("""COMPUTED_VALUE"""),3.0)</f>
        <v>3</v>
      </c>
      <c r="H143" s="3" t="str">
        <f>IFERROR(__xludf.DUMMYFUNCTION("""COMPUTED_VALUE"""),"pcs")</f>
        <v>pcs</v>
      </c>
      <c r="I143" s="3" t="str">
        <f>IFERROR(__xludf.DUMMYFUNCTION("""COMPUTED_VALUE"""),"Deliver")</f>
        <v>Deliver</v>
      </c>
      <c r="J143" s="3" t="str">
        <f>IFERROR(__xludf.DUMMYFUNCTION("""COMPUTED_VALUE"""),"-")</f>
        <v>-</v>
      </c>
      <c r="K143" s="3" t="str">
        <f>IFERROR(__xludf.DUMMYFUNCTION("""COMPUTED_VALUE"""),"-")</f>
        <v>-</v>
      </c>
    </row>
    <row r="144">
      <c r="A144" s="3" t="str">
        <f>IFERROR(__xludf.DUMMYFUNCTION("""COMPUTED_VALUE"""),"MRNBR0016")</f>
        <v>MRNBR0016</v>
      </c>
      <c r="B144" s="4">
        <f>IFERROR(__xludf.DUMMYFUNCTION("""COMPUTED_VALUE"""),45791.808722118054)</f>
        <v>45791.80872</v>
      </c>
      <c r="C144" s="4">
        <f>IFERROR(__xludf.DUMMYFUNCTION("""COMPUTED_VALUE"""),45798.48394266204)</f>
        <v>45798.48394</v>
      </c>
      <c r="D144" s="3" t="str">
        <f>IFERROR(__xludf.DUMMYFUNCTION("""COMPUTED_VALUE"""),"Loker sepatu")</f>
        <v>Loker sepatu</v>
      </c>
      <c r="E144" s="3" t="str">
        <f>IFERROR(__xludf.DUMMYFUNCTION("""COMPUTED_VALUE"""),"EJO/2024/12/150")</f>
        <v>EJO/2024/12/150</v>
      </c>
      <c r="F144" s="3" t="str">
        <f>IFERROR(__xludf.DUMMYFUNCTION("""COMPUTED_VALUE"""),"louver 4 inch")</f>
        <v>louver 4 inch</v>
      </c>
      <c r="G144" s="3">
        <f>IFERROR(__xludf.DUMMYFUNCTION("""COMPUTED_VALUE"""),3.0)</f>
        <v>3</v>
      </c>
      <c r="H144" s="3" t="str">
        <f>IFERROR(__xludf.DUMMYFUNCTION("""COMPUTED_VALUE"""),"pcs")</f>
        <v>pcs</v>
      </c>
      <c r="I144" s="3" t="str">
        <f>IFERROR(__xludf.DUMMYFUNCTION("""COMPUTED_VALUE"""),"Deliver")</f>
        <v>Deliver</v>
      </c>
      <c r="J144" s="3" t="str">
        <f>IFERROR(__xludf.DUMMYFUNCTION("""COMPUTED_VALUE"""),"-")</f>
        <v>-</v>
      </c>
      <c r="K144" s="3" t="str">
        <f>IFERROR(__xludf.DUMMYFUNCTION("""COMPUTED_VALUE"""),"-")</f>
        <v>-</v>
      </c>
    </row>
    <row r="145">
      <c r="A145" s="3" t="str">
        <f>IFERROR(__xludf.DUMMYFUNCTION("""COMPUTED_VALUE"""),"ANOBR0020")</f>
        <v>ANOBR0020</v>
      </c>
      <c r="B145" s="4">
        <f>IFERROR(__xludf.DUMMYFUNCTION("""COMPUTED_VALUE"""),45792.37696704861)</f>
        <v>45792.37697</v>
      </c>
      <c r="C145" s="4">
        <f>IFERROR(__xludf.DUMMYFUNCTION("""COMPUTED_VALUE"""),45812.568157291666)</f>
        <v>45812.56816</v>
      </c>
      <c r="D145" s="3" t="str">
        <f>IFERROR(__xludf.DUMMYFUNCTION("""COMPUTED_VALUE"""),"Panel Crabs")</f>
        <v>Panel Crabs</v>
      </c>
      <c r="E145" s="3" t="str">
        <f>IFERROR(__xludf.DUMMYFUNCTION("""COMPUTED_VALUE"""),"EJO/2025/02/64")</f>
        <v>EJO/2025/02/64</v>
      </c>
      <c r="F145" s="3" t="str">
        <f>IFERROR(__xludf.DUMMYFUNCTION("""COMPUTED_VALUE"""),"Handle pintu panel")</f>
        <v>Handle pintu panel</v>
      </c>
      <c r="G145" s="3">
        <f>IFERROR(__xludf.DUMMYFUNCTION("""COMPUTED_VALUE"""),5.0)</f>
        <v>5</v>
      </c>
      <c r="H145" s="3" t="str">
        <f>IFERROR(__xludf.DUMMYFUNCTION("""COMPUTED_VALUE"""),"Pcs")</f>
        <v>Pcs</v>
      </c>
      <c r="I145" s="3" t="str">
        <f>IFERROR(__xludf.DUMMYFUNCTION("""COMPUTED_VALUE"""),"Deliver")</f>
        <v>Deliver</v>
      </c>
      <c r="J145" s="3" t="str">
        <f>IFERROR(__xludf.DUMMYFUNCTION("""COMPUTED_VALUE"""),"-")</f>
        <v>-</v>
      </c>
      <c r="K145" s="3" t="str">
        <f>IFERROR(__xludf.DUMMYFUNCTION("""COMPUTED_VALUE"""),"-")</f>
        <v>-</v>
      </c>
    </row>
    <row r="146">
      <c r="A146" s="3" t="str">
        <f>IFERROR(__xludf.DUMMYFUNCTION("""COMPUTED_VALUE"""),"ANOBR0019")</f>
        <v>ANOBR0019</v>
      </c>
      <c r="B146" s="4">
        <f>IFERROR(__xludf.DUMMYFUNCTION("""COMPUTED_VALUE"""),45792.39749200231)</f>
        <v>45792.39749</v>
      </c>
      <c r="C146" s="4">
        <f>IFERROR(__xludf.DUMMYFUNCTION("""COMPUTED_VALUE"""),45790.494627175925)</f>
        <v>45790.49463</v>
      </c>
      <c r="D146" s="3" t="str">
        <f>IFERROR(__xludf.DUMMYFUNCTION("""COMPUTED_VALUE"""),"Conveyor system B packhall")</f>
        <v>Conveyor system B packhall</v>
      </c>
      <c r="E146" s="3" t="str">
        <f>IFERROR(__xludf.DUMMYFUNCTION("""COMPUTED_VALUE"""),"EJO/2025/05/89")</f>
        <v>EJO/2025/05/89</v>
      </c>
      <c r="F146" s="3" t="str">
        <f>IFERROR(__xludf.DUMMYFUNCTION("""COMPUTED_VALUE"""),"speed control")</f>
        <v>speed control</v>
      </c>
      <c r="G146" s="3">
        <f>IFERROR(__xludf.DUMMYFUNCTION("""COMPUTED_VALUE"""),2.0)</f>
        <v>2</v>
      </c>
      <c r="H146" s="3" t="str">
        <f>IFERROR(__xludf.DUMMYFUNCTION("""COMPUTED_VALUE"""),"unit")</f>
        <v>unit</v>
      </c>
      <c r="I146" s="3" t="str">
        <f>IFERROR(__xludf.DUMMYFUNCTION("""COMPUTED_VALUE"""),"Deliver")</f>
        <v>Deliver</v>
      </c>
      <c r="J146" s="3" t="str">
        <f>IFERROR(__xludf.DUMMYFUNCTION("""COMPUTED_VALUE"""),"-")</f>
        <v>-</v>
      </c>
      <c r="K146" s="3" t="str">
        <f>IFERROR(__xludf.DUMMYFUNCTION("""COMPUTED_VALUE"""),"-")</f>
        <v>-</v>
      </c>
    </row>
    <row r="147">
      <c r="A147" s="3" t="str">
        <f>IFERROR(__xludf.DUMMYFUNCTION("""COMPUTED_VALUE"""),"NDSBR0013")</f>
        <v>NDSBR0013</v>
      </c>
      <c r="B147" s="4">
        <f>IFERROR(__xludf.DUMMYFUNCTION("""COMPUTED_VALUE"""),45792.89215216435)</f>
        <v>45792.89215</v>
      </c>
      <c r="C147" s="4">
        <f>IFERROR(__xludf.DUMMYFUNCTION("""COMPUTED_VALUE"""),45812.569452476855)</f>
        <v>45812.56945</v>
      </c>
      <c r="D147" s="3" t="str">
        <f>IFERROR(__xludf.DUMMYFUNCTION("""COMPUTED_VALUE"""),"Filling")</f>
        <v>Filling</v>
      </c>
      <c r="E147" s="3" t="str">
        <f>IFERROR(__xludf.DUMMYFUNCTION("""COMPUTED_VALUE"""),"-")</f>
        <v>-</v>
      </c>
      <c r="F147" s="3" t="str">
        <f>IFERROR(__xludf.DUMMYFUNCTION("""COMPUTED_VALUE"""),"Stop Kontak")</f>
        <v>Stop Kontak</v>
      </c>
      <c r="G147" s="3">
        <f>IFERROR(__xludf.DUMMYFUNCTION("""COMPUTED_VALUE"""),5.0)</f>
        <v>5</v>
      </c>
      <c r="H147" s="3" t="str">
        <f>IFERROR(__xludf.DUMMYFUNCTION("""COMPUTED_VALUE"""),"PCS")</f>
        <v>PCS</v>
      </c>
      <c r="I147" s="3" t="str">
        <f>IFERROR(__xludf.DUMMYFUNCTION("""COMPUTED_VALUE"""),"Deliver")</f>
        <v>Deliver</v>
      </c>
      <c r="J147" s="3" t="str">
        <f>IFERROR(__xludf.DUMMYFUNCTION("""COMPUTED_VALUE"""),"-")</f>
        <v>-</v>
      </c>
      <c r="K147" s="3" t="str">
        <f>IFERROR(__xludf.DUMMYFUNCTION("""COMPUTED_VALUE"""),"-")</f>
        <v>-</v>
      </c>
    </row>
    <row r="148">
      <c r="A148" s="3" t="str">
        <f>IFERROR(__xludf.DUMMYFUNCTION("""COMPUTED_VALUE"""),"RIABR0040")</f>
        <v>RIABR0040</v>
      </c>
      <c r="B148" s="4">
        <f>IFERROR(__xludf.DUMMYFUNCTION("""COMPUTED_VALUE"""),45793.61515288195)</f>
        <v>45793.61515</v>
      </c>
      <c r="C148" s="4">
        <f>IFERROR(__xludf.DUMMYFUNCTION("""COMPUTED_VALUE"""),45798.476873402775)</f>
        <v>45798.47687</v>
      </c>
      <c r="D148" s="3" t="str">
        <f>IFERROR(__xludf.DUMMYFUNCTION("""COMPUTED_VALUE"""),"PWG")</f>
        <v>PWG</v>
      </c>
      <c r="E148" s="3" t="str">
        <f>IFERROR(__xludf.DUMMYFUNCTION("""COMPUTED_VALUE"""),"-")</f>
        <v>-</v>
      </c>
      <c r="F148" s="3" t="str">
        <f>IFERROR(__xludf.DUMMYFUNCTION("""COMPUTED_VALUE"""),"Counter")</f>
        <v>Counter</v>
      </c>
      <c r="G148" s="3">
        <f>IFERROR(__xludf.DUMMYFUNCTION("""COMPUTED_VALUE"""),1.0)</f>
        <v>1</v>
      </c>
      <c r="H148" s="3" t="str">
        <f>IFERROR(__xludf.DUMMYFUNCTION("""COMPUTED_VALUE"""),"Pcs")</f>
        <v>Pcs</v>
      </c>
      <c r="I148" s="3" t="str">
        <f>IFERROR(__xludf.DUMMYFUNCTION("""COMPUTED_VALUE"""),"Deliver")</f>
        <v>Deliver</v>
      </c>
      <c r="J148" s="3" t="str">
        <f>IFERROR(__xludf.DUMMYFUNCTION("""COMPUTED_VALUE"""),"-")</f>
        <v>-</v>
      </c>
      <c r="K148" s="3" t="str">
        <f>IFERROR(__xludf.DUMMYFUNCTION("""COMPUTED_VALUE"""),"-")</f>
        <v>-</v>
      </c>
    </row>
    <row r="149">
      <c r="A149" s="3" t="str">
        <f>IFERROR(__xludf.DUMMYFUNCTION("""COMPUTED_VALUE"""),"INNBR0028")</f>
        <v>INNBR0028</v>
      </c>
      <c r="B149" s="4">
        <f>IFERROR(__xludf.DUMMYFUNCTION("""COMPUTED_VALUE"""),45797.66488145833)</f>
        <v>45797.66488</v>
      </c>
      <c r="C149" s="4">
        <f>IFERROR(__xludf.DUMMYFUNCTION("""COMPUTED_VALUE"""),45812.560652395834)</f>
        <v>45812.56065</v>
      </c>
      <c r="D149" s="3" t="str">
        <f>IFERROR(__xludf.DUMMYFUNCTION("""COMPUTED_VALUE"""),"Part Filling")</f>
        <v>Part Filling</v>
      </c>
      <c r="E149" s="3" t="str">
        <f>IFERROR(__xludf.DUMMYFUNCTION("""COMPUTED_VALUE"""),"EJO/2025/05/99")</f>
        <v>EJO/2025/05/99</v>
      </c>
      <c r="F149" s="3" t="str">
        <f>IFERROR(__xludf.DUMMYFUNCTION("""COMPUTED_VALUE"""),"Spare Actuator For type 654 size DN10- DN20 seat size MG10")</f>
        <v>Spare Actuator For type 654 size DN10- DN20 seat size MG10</v>
      </c>
      <c r="G149" s="3">
        <f>IFERROR(__xludf.DUMMYFUNCTION("""COMPUTED_VALUE"""),2.0)</f>
        <v>2</v>
      </c>
      <c r="H149" s="3" t="str">
        <f>IFERROR(__xludf.DUMMYFUNCTION("""COMPUTED_VALUE"""),"pcs")</f>
        <v>pcs</v>
      </c>
      <c r="I149" s="3" t="str">
        <f>IFERROR(__xludf.DUMMYFUNCTION("""COMPUTED_VALUE"""),"Deliver")</f>
        <v>Deliver</v>
      </c>
      <c r="J149" s="3" t="str">
        <f>IFERROR(__xludf.DUMMYFUNCTION("""COMPUTED_VALUE"""),"-")</f>
        <v>-</v>
      </c>
      <c r="K149" s="3" t="str">
        <f>IFERROR(__xludf.DUMMYFUNCTION("""COMPUTED_VALUE"""),"-")</f>
        <v>-</v>
      </c>
    </row>
    <row r="150">
      <c r="A150" s="3" t="str">
        <f>IFERROR(__xludf.DUMMYFUNCTION("""COMPUTED_VALUE"""),"ROSBR0018")</f>
        <v>ROSBR0018</v>
      </c>
      <c r="B150" s="4">
        <f>IFERROR(__xludf.DUMMYFUNCTION("""COMPUTED_VALUE"""),45800.70543971065)</f>
        <v>45800.70544</v>
      </c>
      <c r="C150" s="4">
        <f>IFERROR(__xludf.DUMMYFUNCTION("""COMPUTED_VALUE"""),45825.377764201396)</f>
        <v>45825.37776</v>
      </c>
      <c r="D150" s="3" t="str">
        <f>IFERROR(__xludf.DUMMYFUNCTION("""COMPUTED_VALUE"""),"Sartocheck")</f>
        <v>Sartocheck</v>
      </c>
      <c r="E150" s="3" t="str">
        <f>IFERROR(__xludf.DUMMYFUNCTION("""COMPUTED_VALUE"""),"NA")</f>
        <v>NA</v>
      </c>
      <c r="F150" s="3" t="str">
        <f>IFERROR(__xludf.DUMMYFUNCTION("""COMPUTED_VALUE"""),"Fuse Kaca")</f>
        <v>Fuse Kaca</v>
      </c>
      <c r="G150" s="3">
        <f>IFERROR(__xludf.DUMMYFUNCTION("""COMPUTED_VALUE"""),20.0)</f>
        <v>20</v>
      </c>
      <c r="H150" s="3" t="str">
        <f>IFERROR(__xludf.DUMMYFUNCTION("""COMPUTED_VALUE"""),"Pcs")</f>
        <v>Pcs</v>
      </c>
      <c r="I150" s="3" t="str">
        <f>IFERROR(__xludf.DUMMYFUNCTION("""COMPUTED_VALUE"""),"Deliver")</f>
        <v>Deliver</v>
      </c>
      <c r="J150" s="3" t="str">
        <f>IFERROR(__xludf.DUMMYFUNCTION("""COMPUTED_VALUE"""),"-")</f>
        <v>-</v>
      </c>
      <c r="K150" s="3" t="str">
        <f>IFERROR(__xludf.DUMMYFUNCTION("""COMPUTED_VALUE"""),"-")</f>
        <v>-</v>
      </c>
    </row>
    <row r="151">
      <c r="A151" s="3" t="str">
        <f>IFERROR(__xludf.DUMMYFUNCTION("""COMPUTED_VALUE"""),"ROSBR0019")</f>
        <v>ROSBR0019</v>
      </c>
      <c r="B151" s="4">
        <f>IFERROR(__xludf.DUMMYFUNCTION("""COMPUTED_VALUE"""),45800.884606562504)</f>
        <v>45800.88461</v>
      </c>
      <c r="C151" s="4">
        <f>IFERROR(__xludf.DUMMYFUNCTION("""COMPUTED_VALUE"""),45825.40835431713)</f>
        <v>45825.40835</v>
      </c>
      <c r="D151" s="3" t="str">
        <f>IFERROR(__xludf.DUMMYFUNCTION("""COMPUTED_VALUE"""),"Dustcollector Coating")</f>
        <v>Dustcollector Coating</v>
      </c>
      <c r="E151" s="3" t="str">
        <f>IFERROR(__xludf.DUMMYFUNCTION("""COMPUTED_VALUE"""),"NA")</f>
        <v>NA</v>
      </c>
      <c r="F151" s="3" t="str">
        <f>IFERROR(__xludf.DUMMYFUNCTION("""COMPUTED_VALUE"""),"Cover filter masker 3M")</f>
        <v>Cover filter masker 3M</v>
      </c>
      <c r="G151" s="3">
        <f>IFERROR(__xludf.DUMMYFUNCTION("""COMPUTED_VALUE"""),10.0)</f>
        <v>10</v>
      </c>
      <c r="H151" s="3" t="str">
        <f>IFERROR(__xludf.DUMMYFUNCTION("""COMPUTED_VALUE"""),"pcs")</f>
        <v>pcs</v>
      </c>
      <c r="I151" s="3" t="str">
        <f>IFERROR(__xludf.DUMMYFUNCTION("""COMPUTED_VALUE"""),"Deliver")</f>
        <v>Deliver</v>
      </c>
      <c r="J151" s="3" t="str">
        <f>IFERROR(__xludf.DUMMYFUNCTION("""COMPUTED_VALUE"""),"-")</f>
        <v>-</v>
      </c>
      <c r="K151" s="3" t="str">
        <f>IFERROR(__xludf.DUMMYFUNCTION("""COMPUTED_VALUE"""),"-")</f>
        <v>-</v>
      </c>
    </row>
    <row r="152">
      <c r="A152" s="3" t="str">
        <f>IFERROR(__xludf.DUMMYFUNCTION("""COMPUTED_VALUE"""),"ROSBR0020")</f>
        <v>ROSBR0020</v>
      </c>
      <c r="B152" s="4">
        <f>IFERROR(__xludf.DUMMYFUNCTION("""COMPUTED_VALUE"""),45800.890040370374)</f>
        <v>45800.89004</v>
      </c>
      <c r="C152" s="4">
        <f>IFERROR(__xludf.DUMMYFUNCTION("""COMPUTED_VALUE"""),45825.40945291667)</f>
        <v>45825.40945</v>
      </c>
      <c r="D152" s="3" t="str">
        <f>IFERROR(__xludf.DUMMYFUNCTION("""COMPUTED_VALUE"""),"Duscollector Coating")</f>
        <v>Duscollector Coating</v>
      </c>
      <c r="E152" s="3" t="str">
        <f>IFERROR(__xludf.DUMMYFUNCTION("""COMPUTED_VALUE"""),"NA")</f>
        <v>NA</v>
      </c>
      <c r="F152" s="3" t="str">
        <f>IFERROR(__xludf.DUMMYFUNCTION("""COMPUTED_VALUE"""),"Prefilter 5N11 N95")</f>
        <v>Prefilter 5N11 N95</v>
      </c>
      <c r="G152" s="3">
        <f>IFERROR(__xludf.DUMMYFUNCTION("""COMPUTED_VALUE"""),2.0)</f>
        <v>2</v>
      </c>
      <c r="H152" s="3" t="str">
        <f>IFERROR(__xludf.DUMMYFUNCTION("""COMPUTED_VALUE"""),"Box")</f>
        <v>Box</v>
      </c>
      <c r="I152" s="3" t="str">
        <f>IFERROR(__xludf.DUMMYFUNCTION("""COMPUTED_VALUE"""),"Deliver")</f>
        <v>Deliver</v>
      </c>
      <c r="J152" s="3" t="str">
        <f>IFERROR(__xludf.DUMMYFUNCTION("""COMPUTED_VALUE"""),"-")</f>
        <v>-</v>
      </c>
      <c r="K152" s="3" t="str">
        <f>IFERROR(__xludf.DUMMYFUNCTION("""COMPUTED_VALUE"""),"-")</f>
        <v>-</v>
      </c>
    </row>
    <row r="153">
      <c r="A153" s="3" t="str">
        <f>IFERROR(__xludf.DUMMYFUNCTION("""COMPUTED_VALUE"""),"ROSBR0021")</f>
        <v>ROSBR0021</v>
      </c>
      <c r="B153" s="4">
        <f>IFERROR(__xludf.DUMMYFUNCTION("""COMPUTED_VALUE"""),45800.89524377314)</f>
        <v>45800.89524</v>
      </c>
      <c r="C153" s="4">
        <f>IFERROR(__xludf.DUMMYFUNCTION("""COMPUTED_VALUE"""),45825.41087251157)</f>
        <v>45825.41087</v>
      </c>
      <c r="D153" s="3" t="str">
        <f>IFERROR(__xludf.DUMMYFUNCTION("""COMPUTED_VALUE"""),"Duscollector Coating")</f>
        <v>Duscollector Coating</v>
      </c>
      <c r="E153" s="3" t="str">
        <f>IFERROR(__xludf.DUMMYFUNCTION("""COMPUTED_VALUE"""),"NA")</f>
        <v>NA</v>
      </c>
      <c r="F153" s="3" t="str">
        <f>IFERROR(__xludf.DUMMYFUNCTION("""COMPUTED_VALUE"""),"3M 6006 Catridge")</f>
        <v>3M 6006 Catridge</v>
      </c>
      <c r="G153" s="3">
        <f>IFERROR(__xludf.DUMMYFUNCTION("""COMPUTED_VALUE"""),6.0)</f>
        <v>6</v>
      </c>
      <c r="H153" s="3" t="str">
        <f>IFERROR(__xludf.DUMMYFUNCTION("""COMPUTED_VALUE"""),"set")</f>
        <v>set</v>
      </c>
      <c r="I153" s="3" t="str">
        <f>IFERROR(__xludf.DUMMYFUNCTION("""COMPUTED_VALUE"""),"Deliver")</f>
        <v>Deliver</v>
      </c>
      <c r="J153" s="3" t="str">
        <f>IFERROR(__xludf.DUMMYFUNCTION("""COMPUTED_VALUE"""),"-")</f>
        <v>-</v>
      </c>
      <c r="K153" s="3" t="str">
        <f>IFERROR(__xludf.DUMMYFUNCTION("""COMPUTED_VALUE"""),"-")</f>
        <v>-</v>
      </c>
    </row>
    <row r="154">
      <c r="A154" s="3" t="str">
        <f>IFERROR(__xludf.DUMMYFUNCTION("""COMPUTED_VALUE"""),"ROSBR0022")</f>
        <v>ROSBR0022</v>
      </c>
      <c r="B154" s="4">
        <f>IFERROR(__xludf.DUMMYFUNCTION("""COMPUTED_VALUE"""),45800.90225410879)</f>
        <v>45800.90225</v>
      </c>
      <c r="C154" s="4">
        <f>IFERROR(__xludf.DUMMYFUNCTION("""COMPUTED_VALUE"""),45825.41266175926)</f>
        <v>45825.41266</v>
      </c>
      <c r="D154" s="3" t="str">
        <f>IFERROR(__xludf.DUMMYFUNCTION("""COMPUTED_VALUE"""),"Duscollector Coating")</f>
        <v>Duscollector Coating</v>
      </c>
      <c r="E154" s="3" t="str">
        <f>IFERROR(__xludf.DUMMYFUNCTION("""COMPUTED_VALUE"""),"NA")</f>
        <v>NA</v>
      </c>
      <c r="F154" s="3" t="str">
        <f>IFERROR(__xludf.DUMMYFUNCTION("""COMPUTED_VALUE"""),"Masker 3M Full Facepiece")</f>
        <v>Masker 3M Full Facepiece</v>
      </c>
      <c r="G154" s="3">
        <f>IFERROR(__xludf.DUMMYFUNCTION("""COMPUTED_VALUE"""),2.0)</f>
        <v>2</v>
      </c>
      <c r="H154" s="3" t="str">
        <f>IFERROR(__xludf.DUMMYFUNCTION("""COMPUTED_VALUE"""),"set")</f>
        <v>set</v>
      </c>
      <c r="I154" s="3" t="str">
        <f>IFERROR(__xludf.DUMMYFUNCTION("""COMPUTED_VALUE"""),"Deliver")</f>
        <v>Deliver</v>
      </c>
      <c r="J154" s="3" t="str">
        <f>IFERROR(__xludf.DUMMYFUNCTION("""COMPUTED_VALUE"""),"-")</f>
        <v>-</v>
      </c>
      <c r="K154" s="3" t="str">
        <f>IFERROR(__xludf.DUMMYFUNCTION("""COMPUTED_VALUE"""),"-")</f>
        <v>-</v>
      </c>
    </row>
    <row r="155">
      <c r="A155" s="3" t="str">
        <f>IFERROR(__xludf.DUMMYFUNCTION("""COMPUTED_VALUE"""),"AAABR0005")</f>
        <v>AAABR0005</v>
      </c>
      <c r="B155" s="4">
        <f>IFERROR(__xludf.DUMMYFUNCTION("""COMPUTED_VALUE"""),45801.68770369212)</f>
        <v>45801.6877</v>
      </c>
      <c r="C155" s="4">
        <f>IFERROR(__xludf.DUMMYFUNCTION("""COMPUTED_VALUE"""),45810.71553498843)</f>
        <v>45810.71553</v>
      </c>
      <c r="D155" s="3" t="str">
        <f>IFERROR(__xludf.DUMMYFUNCTION("""COMPUTED_VALUE"""),"Meja Goodman")</f>
        <v>Meja Goodman</v>
      </c>
      <c r="E155" s="3" t="str">
        <f>IFERROR(__xludf.DUMMYFUNCTION("""COMPUTED_VALUE"""),"NA")</f>
        <v>NA</v>
      </c>
      <c r="F155" s="3" t="str">
        <f>IFERROR(__xludf.DUMMYFUNCTION("""COMPUTED_VALUE"""),"mini connector (Stecker)")</f>
        <v>mini connector (Stecker)</v>
      </c>
      <c r="G155" s="3">
        <f>IFERROR(__xludf.DUMMYFUNCTION("""COMPUTED_VALUE"""),5.0)</f>
        <v>5</v>
      </c>
      <c r="H155" s="3" t="str">
        <f>IFERROR(__xludf.DUMMYFUNCTION("""COMPUTED_VALUE"""),"Set")</f>
        <v>Set</v>
      </c>
      <c r="I155" s="3" t="str">
        <f>IFERROR(__xludf.DUMMYFUNCTION("""COMPUTED_VALUE"""),"Deliver")</f>
        <v>Deliver</v>
      </c>
      <c r="J155" s="3" t="str">
        <f>IFERROR(__xludf.DUMMYFUNCTION("""COMPUTED_VALUE"""),"-")</f>
        <v>-</v>
      </c>
      <c r="K155" s="3" t="str">
        <f>IFERROR(__xludf.DUMMYFUNCTION("""COMPUTED_VALUE"""),"-")</f>
        <v>-</v>
      </c>
    </row>
    <row r="156">
      <c r="A156" s="3" t="str">
        <f>IFERROR(__xludf.DUMMYFUNCTION("""COMPUTED_VALUE"""),"MFHBR0006")</f>
        <v>MFHBR0006</v>
      </c>
      <c r="B156" s="4">
        <f>IFERROR(__xludf.DUMMYFUNCTION("""COMPUTED_VALUE"""),45802.54709849537)</f>
        <v>45802.5471</v>
      </c>
      <c r="C156" s="4">
        <f>IFERROR(__xludf.DUMMYFUNCTION("""COMPUTED_VALUE"""),45802.67232645833)</f>
        <v>45802.67233</v>
      </c>
      <c r="D156" s="3" t="str">
        <f>IFERROR(__xludf.DUMMYFUNCTION("""COMPUTED_VALUE"""),"Pompa")</f>
        <v>Pompa</v>
      </c>
      <c r="E156" s="3" t="str">
        <f>IFERROR(__xludf.DUMMYFUNCTION("""COMPUTED_VALUE"""),"-")</f>
        <v>-</v>
      </c>
      <c r="F156" s="3" t="str">
        <f>IFERROR(__xludf.DUMMYFUNCTION("""COMPUTED_VALUE"""),"Pompa Grundfoss")</f>
        <v>Pompa Grundfoss</v>
      </c>
      <c r="G156" s="3">
        <f>IFERROR(__xludf.DUMMYFUNCTION("""COMPUTED_VALUE"""),1.0)</f>
        <v>1</v>
      </c>
      <c r="H156" s="3" t="str">
        <f>IFERROR(__xludf.DUMMYFUNCTION("""COMPUTED_VALUE"""),"Unt")</f>
        <v>Unt</v>
      </c>
      <c r="I156" s="3" t="str">
        <f>IFERROR(__xludf.DUMMYFUNCTION("""COMPUTED_VALUE"""),"Deliver")</f>
        <v>Deliver</v>
      </c>
      <c r="J156" s="3" t="str">
        <f>IFERROR(__xludf.DUMMYFUNCTION("""COMPUTED_VALUE"""),"-")</f>
        <v>-</v>
      </c>
      <c r="K156" s="3" t="str">
        <f>IFERROR(__xludf.DUMMYFUNCTION("""COMPUTED_VALUE"""),"-")</f>
        <v>-</v>
      </c>
    </row>
    <row r="157">
      <c r="A157" s="3" t="str">
        <f>IFERROR(__xludf.DUMMYFUNCTION("""COMPUTED_VALUE"""),"INNBR0029")</f>
        <v>INNBR0029</v>
      </c>
      <c r="B157" s="4">
        <f>IFERROR(__xludf.DUMMYFUNCTION("""COMPUTED_VALUE"""),45804.027452222224)</f>
        <v>45804.02745</v>
      </c>
      <c r="C157" s="4">
        <f>IFERROR(__xludf.DUMMYFUNCTION("""COMPUTED_VALUE"""),45810.71872621528)</f>
        <v>45810.71873</v>
      </c>
      <c r="D157" s="3" t="str">
        <f>IFERROR(__xludf.DUMMYFUNCTION("""COMPUTED_VALUE"""),"FD")</f>
        <v>FD</v>
      </c>
      <c r="E157" s="3" t="str">
        <f>IFERROR(__xludf.DUMMYFUNCTION("""COMPUTED_VALUE"""),"-")</f>
        <v>-</v>
      </c>
      <c r="F157" s="3" t="str">
        <f>IFERROR(__xludf.DUMMYFUNCTION("""COMPUTED_VALUE"""),"PNOZ X2.1 24VAC/DC 2n/o")</f>
        <v>PNOZ X2.1 24VAC/DC 2n/o</v>
      </c>
      <c r="G157" s="3">
        <f>IFERROR(__xludf.DUMMYFUNCTION("""COMPUTED_VALUE"""),2.0)</f>
        <v>2</v>
      </c>
      <c r="H157" s="3" t="str">
        <f>IFERROR(__xludf.DUMMYFUNCTION("""COMPUTED_VALUE"""),"pcs")</f>
        <v>pcs</v>
      </c>
      <c r="I157" s="3" t="str">
        <f>IFERROR(__xludf.DUMMYFUNCTION("""COMPUTED_VALUE"""),"Deliver")</f>
        <v>Deliver</v>
      </c>
      <c r="J157" s="3" t="str">
        <f>IFERROR(__xludf.DUMMYFUNCTION("""COMPUTED_VALUE"""),"-")</f>
        <v>-</v>
      </c>
      <c r="K157" s="3" t="str">
        <f>IFERROR(__xludf.DUMMYFUNCTION("""COMPUTED_VALUE"""),"-")</f>
        <v>-</v>
      </c>
    </row>
    <row r="158">
      <c r="A158" s="3" t="str">
        <f>IFERROR(__xludf.DUMMYFUNCTION("""COMPUTED_VALUE"""),"AAABR0006")</f>
        <v>AAABR0006</v>
      </c>
      <c r="B158" s="4">
        <f>IFERROR(__xludf.DUMMYFUNCTION("""COMPUTED_VALUE"""),45804.48412032408)</f>
        <v>45804.48412</v>
      </c>
      <c r="C158" s="4">
        <f>IFERROR(__xludf.DUMMYFUNCTION("""COMPUTED_VALUE"""),45810.71957075231)</f>
        <v>45810.71957</v>
      </c>
      <c r="D158" s="3" t="str">
        <f>IFERROR(__xludf.DUMMYFUNCTION("""COMPUTED_VALUE"""),"Freeze dryer")</f>
        <v>Freeze dryer</v>
      </c>
      <c r="E158" s="3" t="str">
        <f>IFERROR(__xludf.DUMMYFUNCTION("""COMPUTED_VALUE"""),"NA")</f>
        <v>NA</v>
      </c>
      <c r="F158" s="3" t="str">
        <f>IFERROR(__xludf.DUMMYFUNCTION("""COMPUTED_VALUE"""),"Compressor frequency converter 2")</f>
        <v>Compressor frequency converter 2</v>
      </c>
      <c r="G158" s="3">
        <f>IFERROR(__xludf.DUMMYFUNCTION("""COMPUTED_VALUE"""),1.0)</f>
        <v>1</v>
      </c>
      <c r="H158" s="3" t="str">
        <f>IFERROR(__xludf.DUMMYFUNCTION("""COMPUTED_VALUE"""),"Unit")</f>
        <v>Unit</v>
      </c>
      <c r="I158" s="3" t="str">
        <f>IFERROR(__xludf.DUMMYFUNCTION("""COMPUTED_VALUE"""),"Deliver")</f>
        <v>Deliver</v>
      </c>
      <c r="J158" s="3" t="str">
        <f>IFERROR(__xludf.DUMMYFUNCTION("""COMPUTED_VALUE"""),"-")</f>
        <v>-</v>
      </c>
      <c r="K158" s="3" t="str">
        <f>IFERROR(__xludf.DUMMYFUNCTION("""COMPUTED_VALUE"""),"-")</f>
        <v>-</v>
      </c>
    </row>
    <row r="159">
      <c r="A159" s="3" t="str">
        <f>IFERROR(__xludf.DUMMYFUNCTION("""COMPUTED_VALUE"""),"AAABR0007")</f>
        <v>AAABR0007</v>
      </c>
      <c r="B159" s="4">
        <f>IFERROR(__xludf.DUMMYFUNCTION("""COMPUTED_VALUE"""),45804.48683061342)</f>
        <v>45804.48683</v>
      </c>
      <c r="C159" s="4">
        <f>IFERROR(__xludf.DUMMYFUNCTION("""COMPUTED_VALUE"""),45810.72004814815)</f>
        <v>45810.72005</v>
      </c>
      <c r="D159" s="3" t="str">
        <f>IFERROR(__xludf.DUMMYFUNCTION("""COMPUTED_VALUE"""),"Freeze dryer")</f>
        <v>Freeze dryer</v>
      </c>
      <c r="E159" s="3" t="str">
        <f>IFERROR(__xludf.DUMMYFUNCTION("""COMPUTED_VALUE"""),"NA")</f>
        <v>NA</v>
      </c>
      <c r="F159" s="3" t="str">
        <f>IFERROR(__xludf.DUMMYFUNCTION("""COMPUTED_VALUE"""),"Main valve closed pressure switch")</f>
        <v>Main valve closed pressure switch</v>
      </c>
      <c r="G159" s="3">
        <f>IFERROR(__xludf.DUMMYFUNCTION("""COMPUTED_VALUE"""),1.0)</f>
        <v>1</v>
      </c>
      <c r="H159" s="3" t="str">
        <f>IFERROR(__xludf.DUMMYFUNCTION("""COMPUTED_VALUE"""),"Pcs")</f>
        <v>Pcs</v>
      </c>
      <c r="I159" s="3" t="str">
        <f>IFERROR(__xludf.DUMMYFUNCTION("""COMPUTED_VALUE"""),"Deliver")</f>
        <v>Deliver</v>
      </c>
      <c r="J159" s="3" t="str">
        <f>IFERROR(__xludf.DUMMYFUNCTION("""COMPUTED_VALUE"""),"-")</f>
        <v>-</v>
      </c>
      <c r="K159" s="3" t="str">
        <f>IFERROR(__xludf.DUMMYFUNCTION("""COMPUTED_VALUE"""),"-")</f>
        <v>-</v>
      </c>
    </row>
    <row r="160">
      <c r="A160" s="3" t="str">
        <f>IFERROR(__xludf.DUMMYFUNCTION("""COMPUTED_VALUE"""),"AAABR0009")</f>
        <v>AAABR0009</v>
      </c>
      <c r="B160" s="4">
        <f>IFERROR(__xludf.DUMMYFUNCTION("""COMPUTED_VALUE"""),45804.49090712963)</f>
        <v>45804.49091</v>
      </c>
      <c r="C160" s="4">
        <f>IFERROR(__xludf.DUMMYFUNCTION("""COMPUTED_VALUE"""),45812.55646804398)</f>
        <v>45812.55647</v>
      </c>
      <c r="D160" s="3" t="str">
        <f>IFERROR(__xludf.DUMMYFUNCTION("""COMPUTED_VALUE"""),"Freeze dryer")</f>
        <v>Freeze dryer</v>
      </c>
      <c r="E160" s="3" t="str">
        <f>IFERROR(__xludf.DUMMYFUNCTION("""COMPUTED_VALUE"""),"NA")</f>
        <v>NA</v>
      </c>
      <c r="F160" s="3" t="str">
        <f>IFERROR(__xludf.DUMMYFUNCTION("""COMPUTED_VALUE"""),"Shelf ram position sensor")</f>
        <v>Shelf ram position sensor</v>
      </c>
      <c r="G160" s="3">
        <f>IFERROR(__xludf.DUMMYFUNCTION("""COMPUTED_VALUE"""),1.0)</f>
        <v>1</v>
      </c>
      <c r="H160" s="3" t="str">
        <f>IFERROR(__xludf.DUMMYFUNCTION("""COMPUTED_VALUE"""),"Unit")</f>
        <v>Unit</v>
      </c>
      <c r="I160" s="3" t="str">
        <f>IFERROR(__xludf.DUMMYFUNCTION("""COMPUTED_VALUE"""),"Deliver")</f>
        <v>Deliver</v>
      </c>
      <c r="J160" s="3" t="str">
        <f>IFERROR(__xludf.DUMMYFUNCTION("""COMPUTED_VALUE"""),"-")</f>
        <v>-</v>
      </c>
      <c r="K160" s="3" t="str">
        <f>IFERROR(__xludf.DUMMYFUNCTION("""COMPUTED_VALUE"""),"-")</f>
        <v>-</v>
      </c>
    </row>
    <row r="161">
      <c r="A161" s="3" t="str">
        <f>IFERROR(__xludf.DUMMYFUNCTION("""COMPUTED_VALUE"""),"AAABR0010")</f>
        <v>AAABR0010</v>
      </c>
      <c r="B161" s="4">
        <f>IFERROR(__xludf.DUMMYFUNCTION("""COMPUTED_VALUE"""),45804.492898495366)</f>
        <v>45804.4929</v>
      </c>
      <c r="C161" s="4">
        <f>IFERROR(__xludf.DUMMYFUNCTION("""COMPUTED_VALUE"""),45812.55717461805)</f>
        <v>45812.55717</v>
      </c>
      <c r="D161" s="3" t="str">
        <f>IFERROR(__xludf.DUMMYFUNCTION("""COMPUTED_VALUE"""),"Freeze dryer")</f>
        <v>Freeze dryer</v>
      </c>
      <c r="E161" s="3" t="str">
        <f>IFERROR(__xludf.DUMMYFUNCTION("""COMPUTED_VALUE"""),"NA")</f>
        <v>NA</v>
      </c>
      <c r="F161" s="3" t="str">
        <f>IFERROR(__xludf.DUMMYFUNCTION("""COMPUTED_VALUE"""),"EDV 1 + SV 204")</f>
        <v>EDV 1 + SV 204</v>
      </c>
      <c r="G161" s="3">
        <f>IFERROR(__xludf.DUMMYFUNCTION("""COMPUTED_VALUE"""),2.0)</f>
        <v>2</v>
      </c>
      <c r="H161" s="3" t="str">
        <f>IFERROR(__xludf.DUMMYFUNCTION("""COMPUTED_VALUE"""),"Set")</f>
        <v>Set</v>
      </c>
      <c r="I161" s="3" t="str">
        <f>IFERROR(__xludf.DUMMYFUNCTION("""COMPUTED_VALUE"""),"Deliver")</f>
        <v>Deliver</v>
      </c>
      <c r="J161" s="3" t="str">
        <f>IFERROR(__xludf.DUMMYFUNCTION("""COMPUTED_VALUE"""),"-")</f>
        <v>-</v>
      </c>
      <c r="K161" s="3" t="str">
        <f>IFERROR(__xludf.DUMMYFUNCTION("""COMPUTED_VALUE"""),"-")</f>
        <v>-</v>
      </c>
    </row>
    <row r="162">
      <c r="A162" s="3" t="str">
        <f>IFERROR(__xludf.DUMMYFUNCTION("""COMPUTED_VALUE"""),"AAABR0011")</f>
        <v>AAABR0011</v>
      </c>
      <c r="B162" s="4">
        <f>IFERROR(__xludf.DUMMYFUNCTION("""COMPUTED_VALUE"""),45804.49534081019)</f>
        <v>45804.49534</v>
      </c>
      <c r="C162" s="4">
        <f>IFERROR(__xludf.DUMMYFUNCTION("""COMPUTED_VALUE"""),45812.55777142361)</f>
        <v>45812.55777</v>
      </c>
      <c r="D162" s="3" t="str">
        <f>IFERROR(__xludf.DUMMYFUNCTION("""COMPUTED_VALUE"""),"Freeze dryer")</f>
        <v>Freeze dryer</v>
      </c>
      <c r="E162" s="3" t="str">
        <f>IFERROR(__xludf.DUMMYFUNCTION("""COMPUTED_VALUE"""),"NA")</f>
        <v>NA</v>
      </c>
      <c r="F162" s="3" t="str">
        <f>IFERROR(__xludf.DUMMYFUNCTION("""COMPUTED_VALUE"""),"EDV 2 + SV 205")</f>
        <v>EDV 2 + SV 205</v>
      </c>
      <c r="G162" s="3">
        <f>IFERROR(__xludf.DUMMYFUNCTION("""COMPUTED_VALUE"""),2.0)</f>
        <v>2</v>
      </c>
      <c r="H162" s="3" t="str">
        <f>IFERROR(__xludf.DUMMYFUNCTION("""COMPUTED_VALUE"""),"Set")</f>
        <v>Set</v>
      </c>
      <c r="I162" s="3" t="str">
        <f>IFERROR(__xludf.DUMMYFUNCTION("""COMPUTED_VALUE"""),"Deliver")</f>
        <v>Deliver</v>
      </c>
      <c r="J162" s="3" t="str">
        <f>IFERROR(__xludf.DUMMYFUNCTION("""COMPUTED_VALUE"""),"-")</f>
        <v>-</v>
      </c>
      <c r="K162" s="3" t="str">
        <f>IFERROR(__xludf.DUMMYFUNCTION("""COMPUTED_VALUE"""),"-")</f>
        <v>-</v>
      </c>
    </row>
    <row r="163">
      <c r="A163" s="3" t="str">
        <f>IFERROR(__xludf.DUMMYFUNCTION("""COMPUTED_VALUE"""),"NDSBR0014")</f>
        <v>NDSBR0014</v>
      </c>
      <c r="B163" s="4">
        <f>IFERROR(__xludf.DUMMYFUNCTION("""COMPUTED_VALUE"""),45810.97351447916)</f>
        <v>45810.97351</v>
      </c>
      <c r="C163" s="4">
        <f>IFERROR(__xludf.DUMMYFUNCTION("""COMPUTED_VALUE"""),45812.56986137732)</f>
        <v>45812.56986</v>
      </c>
      <c r="D163" s="3" t="str">
        <f>IFERROR(__xludf.DUMMYFUNCTION("""COMPUTED_VALUE"""),"S&amp;D")</f>
        <v>S&amp;D</v>
      </c>
      <c r="E163" s="3" t="str">
        <f>IFERROR(__xludf.DUMMYFUNCTION("""COMPUTED_VALUE"""),"EJO/2025/05/130")</f>
        <v>EJO/2025/05/130</v>
      </c>
      <c r="F163" s="3" t="str">
        <f>IFERROR(__xludf.DUMMYFUNCTION("""COMPUTED_VALUE"""),"Magnehelic Dwyer")</f>
        <v>Magnehelic Dwyer</v>
      </c>
      <c r="G163" s="3">
        <f>IFERROR(__xludf.DUMMYFUNCTION("""COMPUTED_VALUE"""),3.0)</f>
        <v>3</v>
      </c>
      <c r="H163" s="3" t="str">
        <f>IFERROR(__xludf.DUMMYFUNCTION("""COMPUTED_VALUE"""),"PCS")</f>
        <v>PCS</v>
      </c>
      <c r="I163" s="3" t="str">
        <f>IFERROR(__xludf.DUMMYFUNCTION("""COMPUTED_VALUE"""),"Deliver")</f>
        <v>Deliver</v>
      </c>
      <c r="J163" s="3" t="str">
        <f>IFERROR(__xludf.DUMMYFUNCTION("""COMPUTED_VALUE"""),"-")</f>
        <v>-</v>
      </c>
      <c r="K163" s="3" t="str">
        <f>IFERROR(__xludf.DUMMYFUNCTION("""COMPUTED_VALUE"""),"-")</f>
        <v>-</v>
      </c>
    </row>
    <row r="164">
      <c r="A164" s="3" t="str">
        <f>IFERROR(__xludf.DUMMYFUNCTION("""COMPUTED_VALUE"""),"RIABR0041")</f>
        <v>RIABR0041</v>
      </c>
      <c r="B164" s="4">
        <f>IFERROR(__xludf.DUMMYFUNCTION("""COMPUTED_VALUE"""),45813.44401478009)</f>
        <v>45813.44401</v>
      </c>
      <c r="C164" s="4">
        <f>IFERROR(__xludf.DUMMYFUNCTION("""COMPUTED_VALUE"""),45818.36859510417)</f>
        <v>45818.3686</v>
      </c>
      <c r="D164" s="3" t="str">
        <f>IFERROR(__xludf.DUMMYFUNCTION("""COMPUTED_VALUE"""),"PSG")</f>
        <v>PSG</v>
      </c>
      <c r="E164" s="3" t="str">
        <f>IFERROR(__xludf.DUMMYFUNCTION("""COMPUTED_VALUE"""),"EJO/2025/05/03")</f>
        <v>EJO/2025/05/03</v>
      </c>
      <c r="F164" s="3" t="str">
        <f>IFERROR(__xludf.DUMMYFUNCTION("""COMPUTED_VALUE"""),"Wheel Sensor")</f>
        <v>Wheel Sensor</v>
      </c>
      <c r="G164" s="3">
        <f>IFERROR(__xludf.DUMMYFUNCTION("""COMPUTED_VALUE"""),1.0)</f>
        <v>1</v>
      </c>
      <c r="H164" s="3" t="str">
        <f>IFERROR(__xludf.DUMMYFUNCTION("""COMPUTED_VALUE"""),"Pcs")</f>
        <v>Pcs</v>
      </c>
      <c r="I164" s="3" t="str">
        <f>IFERROR(__xludf.DUMMYFUNCTION("""COMPUTED_VALUE"""),"Deliver")</f>
        <v>Deliver</v>
      </c>
      <c r="J164" s="3" t="str">
        <f>IFERROR(__xludf.DUMMYFUNCTION("""COMPUTED_VALUE"""),"-")</f>
        <v>-</v>
      </c>
      <c r="K164" s="3" t="str">
        <f>IFERROR(__xludf.DUMMYFUNCTION("""COMPUTED_VALUE"""),"-")</f>
        <v>-</v>
      </c>
    </row>
    <row r="165">
      <c r="A165" s="3" t="str">
        <f>IFERROR(__xludf.DUMMYFUNCTION("""COMPUTED_VALUE"""),"MRNBR0018")</f>
        <v>MRNBR0018</v>
      </c>
      <c r="B165" s="4">
        <f>IFERROR(__xludf.DUMMYFUNCTION("""COMPUTED_VALUE"""),45816.04569962963)</f>
        <v>45816.0457</v>
      </c>
      <c r="C165" s="4">
        <f>IFERROR(__xludf.DUMMYFUNCTION("""COMPUTED_VALUE"""),45818.36825929398)</f>
        <v>45818.36826</v>
      </c>
      <c r="D165" s="3" t="str">
        <f>IFERROR(__xludf.DUMMYFUNCTION("""COMPUTED_VALUE"""),"Deep frezzer API")</f>
        <v>Deep frezzer API</v>
      </c>
      <c r="E165" s="3" t="str">
        <f>IFERROR(__xludf.DUMMYFUNCTION("""COMPUTED_VALUE"""),"EJO/2025/06/53")</f>
        <v>EJO/2025/06/53</v>
      </c>
      <c r="F165" s="3" t="str">
        <f>IFERROR(__xludf.DUMMYFUNCTION("""COMPUTED_VALUE"""),"Dimmer heater")</f>
        <v>Dimmer heater</v>
      </c>
      <c r="G165" s="3">
        <f>IFERROR(__xludf.DUMMYFUNCTION("""COMPUTED_VALUE"""),2.0)</f>
        <v>2</v>
      </c>
      <c r="H165" s="3" t="str">
        <f>IFERROR(__xludf.DUMMYFUNCTION("""COMPUTED_VALUE"""),"pcs")</f>
        <v>pcs</v>
      </c>
      <c r="I165" s="3" t="str">
        <f>IFERROR(__xludf.DUMMYFUNCTION("""COMPUTED_VALUE"""),"Deliver")</f>
        <v>Deliver</v>
      </c>
      <c r="J165" s="3" t="str">
        <f>IFERROR(__xludf.DUMMYFUNCTION("""COMPUTED_VALUE"""),"-")</f>
        <v>-</v>
      </c>
      <c r="K165" s="3" t="str">
        <f>IFERROR(__xludf.DUMMYFUNCTION("""COMPUTED_VALUE"""),"-")</f>
        <v>-</v>
      </c>
    </row>
    <row r="166">
      <c r="A166" s="3" t="str">
        <f>IFERROR(__xludf.DUMMYFUNCTION("""COMPUTED_VALUE"""),"RIABR0042")</f>
        <v>RIABR0042</v>
      </c>
      <c r="B166" s="4">
        <f>IFERROR(__xludf.DUMMYFUNCTION("""COMPUTED_VALUE"""),45816.68609575232)</f>
        <v>45816.6861</v>
      </c>
      <c r="C166" s="4">
        <f>IFERROR(__xludf.DUMMYFUNCTION("""COMPUTED_VALUE"""),45818.375536307874)</f>
        <v>45818.37554</v>
      </c>
      <c r="D166" s="3" t="str">
        <f>IFERROR(__xludf.DUMMYFUNCTION("""COMPUTED_VALUE"""),"Equipmon")</f>
        <v>Equipmon</v>
      </c>
      <c r="E166" s="3" t="str">
        <f>IFERROR(__xludf.DUMMYFUNCTION("""COMPUTED_VALUE"""),"-")</f>
        <v>-</v>
      </c>
      <c r="F166" s="3" t="str">
        <f>IFERROR(__xludf.DUMMYFUNCTION("""COMPUTED_VALUE"""),"Thermal Paste")</f>
        <v>Thermal Paste</v>
      </c>
      <c r="G166" s="3">
        <f>IFERROR(__xludf.DUMMYFUNCTION("""COMPUTED_VALUE"""),5.0)</f>
        <v>5</v>
      </c>
      <c r="H166" s="3" t="str">
        <f>IFERROR(__xludf.DUMMYFUNCTION("""COMPUTED_VALUE"""),"Pcs")</f>
        <v>Pcs</v>
      </c>
      <c r="I166" s="3" t="str">
        <f>IFERROR(__xludf.DUMMYFUNCTION("""COMPUTED_VALUE"""),"Deliver")</f>
        <v>Deliver</v>
      </c>
      <c r="J166" s="3" t="str">
        <f>IFERROR(__xludf.DUMMYFUNCTION("""COMPUTED_VALUE"""),"121703996 - APPROVED")</f>
        <v>121703996 - APPROVED</v>
      </c>
      <c r="K166" s="3" t="str">
        <f>IFERROR(__xludf.DUMMYFUNCTION("""COMPUTED_VALUE"""),"GL2604017")</f>
        <v>GL2604017</v>
      </c>
    </row>
    <row r="167">
      <c r="A167" s="3" t="str">
        <f>IFERROR(__xludf.DUMMYFUNCTION("""COMPUTED_VALUE"""),"MOBBR0029")</f>
        <v>MOBBR0029</v>
      </c>
      <c r="B167" s="4">
        <f>IFERROR(__xludf.DUMMYFUNCTION("""COMPUTED_VALUE"""),45817.416896932875)</f>
        <v>45817.4169</v>
      </c>
      <c r="C167" s="4">
        <f>IFERROR(__xludf.DUMMYFUNCTION("""COMPUTED_VALUE"""),45818.370401354165)</f>
        <v>45818.3704</v>
      </c>
      <c r="D167" s="3" t="str">
        <f>IFERROR(__xludf.DUMMYFUNCTION("""COMPUTED_VALUE"""),"HE Mixing")</f>
        <v>HE Mixing</v>
      </c>
      <c r="E167" s="3" t="str">
        <f>IFERROR(__xludf.DUMMYFUNCTION("""COMPUTED_VALUE"""),"-")</f>
        <v>-</v>
      </c>
      <c r="F167" s="3" t="str">
        <f>IFERROR(__xludf.DUMMYFUNCTION("""COMPUTED_VALUE"""),"Pressure Gauge")</f>
        <v>Pressure Gauge</v>
      </c>
      <c r="G167" s="3">
        <f>IFERROR(__xludf.DUMMYFUNCTION("""COMPUTED_VALUE"""),2.0)</f>
        <v>2</v>
      </c>
      <c r="H167" s="3" t="str">
        <f>IFERROR(__xludf.DUMMYFUNCTION("""COMPUTED_VALUE"""),"Pcs")</f>
        <v>Pcs</v>
      </c>
      <c r="I167" s="3" t="str">
        <f>IFERROR(__xludf.DUMMYFUNCTION("""COMPUTED_VALUE"""),"Deliver")</f>
        <v>Deliver</v>
      </c>
      <c r="J167" s="3" t="str">
        <f>IFERROR(__xludf.DUMMYFUNCTION("""COMPUTED_VALUE"""),"-")</f>
        <v>-</v>
      </c>
      <c r="K167" s="3" t="str">
        <f>IFERROR(__xludf.DUMMYFUNCTION("""COMPUTED_VALUE"""),"-")</f>
        <v>-</v>
      </c>
    </row>
    <row r="168">
      <c r="A168" s="3" t="str">
        <f>IFERROR(__xludf.DUMMYFUNCTION("""COMPUTED_VALUE"""),"ROSBR0023")</f>
        <v>ROSBR0023</v>
      </c>
      <c r="B168" s="4">
        <f>IFERROR(__xludf.DUMMYFUNCTION("""COMPUTED_VALUE"""),45821.08799895833)</f>
        <v>45821.088</v>
      </c>
      <c r="C168" s="4">
        <f>IFERROR(__xludf.DUMMYFUNCTION("""COMPUTED_VALUE"""),45825.413049745366)</f>
        <v>45825.41305</v>
      </c>
      <c r="D168" s="3" t="str">
        <f>IFERROR(__xludf.DUMMYFUNCTION("""COMPUTED_VALUE"""),"Capping")</f>
        <v>Capping</v>
      </c>
      <c r="E168" s="3" t="str">
        <f>IFERROR(__xludf.DUMMYFUNCTION("""COMPUTED_VALUE"""),"EJO/2025/05/09")</f>
        <v>EJO/2025/05/09</v>
      </c>
      <c r="F168" s="3" t="str">
        <f>IFERROR(__xludf.DUMMYFUNCTION("""COMPUTED_VALUE"""),"Kunci rak lemari Capping ")</f>
        <v>Kunci rak lemari Capping </v>
      </c>
      <c r="G168" s="3">
        <f>IFERROR(__xludf.DUMMYFUNCTION("""COMPUTED_VALUE"""),1.0)</f>
        <v>1</v>
      </c>
      <c r="H168" s="3" t="str">
        <f>IFERROR(__xludf.DUMMYFUNCTION("""COMPUTED_VALUE"""),"Set")</f>
        <v>Set</v>
      </c>
      <c r="I168" s="3" t="str">
        <f>IFERROR(__xludf.DUMMYFUNCTION("""COMPUTED_VALUE"""),"Deliver")</f>
        <v>Deliver</v>
      </c>
      <c r="J168" s="3" t="str">
        <f>IFERROR(__xludf.DUMMYFUNCTION("""COMPUTED_VALUE"""),"-")</f>
        <v>-</v>
      </c>
      <c r="K168" s="3" t="str">
        <f>IFERROR(__xludf.DUMMYFUNCTION("""COMPUTED_VALUE"""),"-")</f>
        <v>-</v>
      </c>
    </row>
    <row r="169">
      <c r="A169" s="3" t="str">
        <f>IFERROR(__xludf.DUMMYFUNCTION("""COMPUTED_VALUE"""),"ROSBR0025")</f>
        <v>ROSBR0025</v>
      </c>
      <c r="B169" s="4">
        <f>IFERROR(__xludf.DUMMYFUNCTION("""COMPUTED_VALUE"""),45821.08799895833)</f>
        <v>45821.088</v>
      </c>
      <c r="C169" s="4">
        <f>IFERROR(__xludf.DUMMYFUNCTION("""COMPUTED_VALUE"""),45825.41430424768)</f>
        <v>45825.4143</v>
      </c>
      <c r="D169" s="3" t="str">
        <f>IFERROR(__xludf.DUMMYFUNCTION("""COMPUTED_VALUE"""),"Capping")</f>
        <v>Capping</v>
      </c>
      <c r="E169" s="3" t="str">
        <f>IFERROR(__xludf.DUMMYFUNCTION("""COMPUTED_VALUE"""),"NA")</f>
        <v>NA</v>
      </c>
      <c r="F169" s="3" t="str">
        <f>IFERROR(__xludf.DUMMYFUNCTION("""COMPUTED_VALUE"""),"Lock Nut Capping Uk M10x 0.75 x 15")</f>
        <v>Lock Nut Capping Uk M10x 0.75 x 15</v>
      </c>
      <c r="G169" s="3">
        <f>IFERROR(__xludf.DUMMYFUNCTION("""COMPUTED_VALUE"""),5.0)</f>
        <v>5</v>
      </c>
      <c r="H169" s="3" t="str">
        <f>IFERROR(__xludf.DUMMYFUNCTION("""COMPUTED_VALUE"""),"pcs")</f>
        <v>pcs</v>
      </c>
      <c r="I169" s="3" t="str">
        <f>IFERROR(__xludf.DUMMYFUNCTION("""COMPUTED_VALUE"""),"Deliver")</f>
        <v>Deliver</v>
      </c>
      <c r="J169" s="3" t="str">
        <f>IFERROR(__xludf.DUMMYFUNCTION("""COMPUTED_VALUE"""),"-")</f>
        <v>-</v>
      </c>
      <c r="K169" s="3" t="str">
        <f>IFERROR(__xludf.DUMMYFUNCTION("""COMPUTED_VALUE"""),"-")</f>
        <v>-</v>
      </c>
    </row>
    <row r="170">
      <c r="A170" s="3" t="str">
        <f>IFERROR(__xludf.DUMMYFUNCTION("""COMPUTED_VALUE"""),"RIABR0043")</f>
        <v>RIABR0043</v>
      </c>
      <c r="B170" s="4">
        <f>IFERROR(__xludf.DUMMYFUNCTION("""COMPUTED_VALUE"""),45827.330814050925)</f>
        <v>45827.33081</v>
      </c>
      <c r="C170" s="4">
        <f>IFERROR(__xludf.DUMMYFUNCTION("""COMPUTED_VALUE"""),45838.87365575231)</f>
        <v>45838.87366</v>
      </c>
      <c r="D170" s="3" t="str">
        <f>IFERROR(__xludf.DUMMYFUNCTION("""COMPUTED_VALUE"""),"WWTP")</f>
        <v>WWTP</v>
      </c>
      <c r="E170" s="3" t="str">
        <f>IFERROR(__xludf.DUMMYFUNCTION("""COMPUTED_VALUE"""),"-")</f>
        <v>-</v>
      </c>
      <c r="F170" s="3" t="str">
        <f>IFERROR(__xludf.DUMMYFUNCTION("""COMPUTED_VALUE"""),"Sepatu Boots")</f>
        <v>Sepatu Boots</v>
      </c>
      <c r="G170" s="3">
        <f>IFERROR(__xludf.DUMMYFUNCTION("""COMPUTED_VALUE"""),3.0)</f>
        <v>3</v>
      </c>
      <c r="H170" s="3" t="str">
        <f>IFERROR(__xludf.DUMMYFUNCTION("""COMPUTED_VALUE"""),"Pair")</f>
        <v>Pair</v>
      </c>
      <c r="I170" s="3" t="str">
        <f>IFERROR(__xludf.DUMMYFUNCTION("""COMPUTED_VALUE"""),"Deliver")</f>
        <v>Deliver</v>
      </c>
      <c r="J170" s="3" t="str">
        <f>IFERROR(__xludf.DUMMYFUNCTION("""COMPUTED_VALUE"""),"-")</f>
        <v>-</v>
      </c>
      <c r="K170" s="3" t="str">
        <f>IFERROR(__xludf.DUMMYFUNCTION("""COMPUTED_VALUE"""),"-")</f>
        <v>-</v>
      </c>
    </row>
    <row r="171">
      <c r="A171" s="3" t="str">
        <f>IFERROR(__xludf.DUMMYFUNCTION("""COMPUTED_VALUE"""),"INNBR0030")</f>
        <v>INNBR0030</v>
      </c>
      <c r="B171" s="4">
        <f>IFERROR(__xludf.DUMMYFUNCTION("""COMPUTED_VALUE"""),45831.9722804051)</f>
        <v>45831.97228</v>
      </c>
      <c r="C171" s="4">
        <f>IFERROR(__xludf.DUMMYFUNCTION("""COMPUTED_VALUE"""),45887.48685988426)</f>
        <v>45887.48686</v>
      </c>
      <c r="D171" s="3" t="str">
        <f>IFERROR(__xludf.DUMMYFUNCTION("""COMPUTED_VALUE"""),"Capping")</f>
        <v>Capping</v>
      </c>
      <c r="E171" s="3" t="str">
        <f>IFERROR(__xludf.DUMMYFUNCTION("""COMPUTED_VALUE"""),"EJO/2025/06/156")</f>
        <v>EJO/2025/06/156</v>
      </c>
      <c r="F171" s="3" t="str">
        <f>IFERROR(__xludf.DUMMYFUNCTION("""COMPUTED_VALUE""")," format part guide starwheel 6R")</f>
        <v> format part guide starwheel 6R</v>
      </c>
      <c r="G171" s="3">
        <f>IFERROR(__xludf.DUMMYFUNCTION("""COMPUTED_VALUE"""),1.0)</f>
        <v>1</v>
      </c>
      <c r="H171" s="3" t="str">
        <f>IFERROR(__xludf.DUMMYFUNCTION("""COMPUTED_VALUE"""),"pcs")</f>
        <v>pcs</v>
      </c>
      <c r="I171" s="3" t="str">
        <f>IFERROR(__xludf.DUMMYFUNCTION("""COMPUTED_VALUE"""),"Deliver")</f>
        <v>Deliver</v>
      </c>
      <c r="J171" s="3" t="str">
        <f>IFERROR(__xludf.DUMMYFUNCTION("""COMPUTED_VALUE"""),"-")</f>
        <v>-</v>
      </c>
      <c r="K171" s="3" t="str">
        <f>IFERROR(__xludf.DUMMYFUNCTION("""COMPUTED_VALUE"""),"-")</f>
        <v>-</v>
      </c>
    </row>
    <row r="172">
      <c r="A172" s="3" t="str">
        <f>IFERROR(__xludf.DUMMYFUNCTION("""COMPUTED_VALUE"""),"INNBR0031")</f>
        <v>INNBR0031</v>
      </c>
      <c r="B172" s="4">
        <f>IFERROR(__xludf.DUMMYFUNCTION("""COMPUTED_VALUE"""),45831.973374062494)</f>
        <v>45831.97337</v>
      </c>
      <c r="C172" s="4">
        <f>IFERROR(__xludf.DUMMYFUNCTION("""COMPUTED_VALUE"""),45888.661927002315)</f>
        <v>45888.66193</v>
      </c>
      <c r="D172" s="3" t="str">
        <f>IFERROR(__xludf.DUMMYFUNCTION("""COMPUTED_VALUE"""),"Capping")</f>
        <v>Capping</v>
      </c>
      <c r="E172" s="3" t="str">
        <f>IFERROR(__xludf.DUMMYFUNCTION("""COMPUTED_VALUE"""),"EJO/2025/06/156")</f>
        <v>EJO/2025/06/156</v>
      </c>
      <c r="F172" s="3" t="str">
        <f>IFERROR(__xludf.DUMMYFUNCTION("""COMPUTED_VALUE""")," format part guide starwheel 10R")</f>
        <v> format part guide starwheel 10R</v>
      </c>
      <c r="G172" s="3">
        <f>IFERROR(__xludf.DUMMYFUNCTION("""COMPUTED_VALUE"""),1.0)</f>
        <v>1</v>
      </c>
      <c r="H172" s="3" t="str">
        <f>IFERROR(__xludf.DUMMYFUNCTION("""COMPUTED_VALUE"""),"pcs")</f>
        <v>pcs</v>
      </c>
      <c r="I172" s="3" t="str">
        <f>IFERROR(__xludf.DUMMYFUNCTION("""COMPUTED_VALUE"""),"Deliver")</f>
        <v>Deliver</v>
      </c>
      <c r="J172" s="3" t="str">
        <f>IFERROR(__xludf.DUMMYFUNCTION("""COMPUTED_VALUE"""),"-")</f>
        <v>-</v>
      </c>
      <c r="K172" s="3" t="str">
        <f>IFERROR(__xludf.DUMMYFUNCTION("""COMPUTED_VALUE"""),"-")</f>
        <v>-</v>
      </c>
    </row>
    <row r="173">
      <c r="A173" s="3" t="str">
        <f>IFERROR(__xludf.DUMMYFUNCTION("""COMPUTED_VALUE"""),"MRNBR0019")</f>
        <v>MRNBR0019</v>
      </c>
      <c r="B173" s="4">
        <f>IFERROR(__xludf.DUMMYFUNCTION("""COMPUTED_VALUE"""),45833.119915601856)</f>
        <v>45833.11992</v>
      </c>
      <c r="C173" s="4">
        <f>IFERROR(__xludf.DUMMYFUNCTION("""COMPUTED_VALUE"""),45838.873350532405)</f>
        <v>45838.87335</v>
      </c>
      <c r="D173" s="3" t="str">
        <f>IFERROR(__xludf.DUMMYFUNCTION("""COMPUTED_VALUE"""),"Proyektor")</f>
        <v>Proyektor</v>
      </c>
      <c r="E173" s="3" t="str">
        <f>IFERROR(__xludf.DUMMYFUNCTION("""COMPUTED_VALUE"""),"EJO/2025/06/159")</f>
        <v>EJO/2025/06/159</v>
      </c>
      <c r="F173" s="3" t="str">
        <f>IFERROR(__xludf.DUMMYFUNCTION("""COMPUTED_VALUE"""),"Unp 100")</f>
        <v>Unp 100</v>
      </c>
      <c r="G173" s="3">
        <f>IFERROR(__xludf.DUMMYFUNCTION("""COMPUTED_VALUE"""),6.0)</f>
        <v>6</v>
      </c>
      <c r="H173" s="3" t="str">
        <f>IFERROR(__xludf.DUMMYFUNCTION("""COMPUTED_VALUE"""),"btg")</f>
        <v>btg</v>
      </c>
      <c r="I173" s="3" t="str">
        <f>IFERROR(__xludf.DUMMYFUNCTION("""COMPUTED_VALUE"""),"Deliver")</f>
        <v>Deliver</v>
      </c>
      <c r="J173" s="3" t="str">
        <f>IFERROR(__xludf.DUMMYFUNCTION("""COMPUTED_VALUE"""),"-")</f>
        <v>-</v>
      </c>
      <c r="K173" s="3" t="str">
        <f>IFERROR(__xludf.DUMMYFUNCTION("""COMPUTED_VALUE"""),"-")</f>
        <v>-</v>
      </c>
    </row>
    <row r="174">
      <c r="A174" s="3" t="str">
        <f>IFERROR(__xludf.DUMMYFUNCTION("""COMPUTED_VALUE"""),"MRNBR0020")</f>
        <v>MRNBR0020</v>
      </c>
      <c r="B174" s="4">
        <f>IFERROR(__xludf.DUMMYFUNCTION("""COMPUTED_VALUE"""),45833.12308788195)</f>
        <v>45833.12309</v>
      </c>
      <c r="C174" s="4">
        <f>IFERROR(__xludf.DUMMYFUNCTION("""COMPUTED_VALUE"""),45838.87296759259)</f>
        <v>45838.87297</v>
      </c>
      <c r="D174" s="3" t="str">
        <f>IFERROR(__xludf.DUMMYFUNCTION("""COMPUTED_VALUE"""),"Proyektor")</f>
        <v>Proyektor</v>
      </c>
      <c r="E174" s="3" t="str">
        <f>IFERROR(__xludf.DUMMYFUNCTION("""COMPUTED_VALUE"""),"EJO/2025/06/160")</f>
        <v>EJO/2025/06/160</v>
      </c>
      <c r="F174" s="3" t="str">
        <f>IFERROR(__xludf.DUMMYFUNCTION("""COMPUTED_VALUE"""),"Plat strip")</f>
        <v>Plat strip</v>
      </c>
      <c r="G174" s="3">
        <f>IFERROR(__xludf.DUMMYFUNCTION("""COMPUTED_VALUE"""),1.0)</f>
        <v>1</v>
      </c>
      <c r="H174" s="3" t="str">
        <f>IFERROR(__xludf.DUMMYFUNCTION("""COMPUTED_VALUE"""),"byg")</f>
        <v>byg</v>
      </c>
      <c r="I174" s="3" t="str">
        <f>IFERROR(__xludf.DUMMYFUNCTION("""COMPUTED_VALUE"""),"Deliver")</f>
        <v>Deliver</v>
      </c>
      <c r="J174" s="3" t="str">
        <f>IFERROR(__xludf.DUMMYFUNCTION("""COMPUTED_VALUE"""),"-")</f>
        <v>-</v>
      </c>
      <c r="K174" s="3" t="str">
        <f>IFERROR(__xludf.DUMMYFUNCTION("""COMPUTED_VALUE"""),"-")</f>
        <v>-</v>
      </c>
    </row>
    <row r="175">
      <c r="A175" s="3" t="str">
        <f>IFERROR(__xludf.DUMMYFUNCTION("""COMPUTED_VALUE"""),"MRNBR0021")</f>
        <v>MRNBR0021</v>
      </c>
      <c r="B175" s="4">
        <f>IFERROR(__xludf.DUMMYFUNCTION("""COMPUTED_VALUE"""),45833.12646987268)</f>
        <v>45833.12647</v>
      </c>
      <c r="C175" s="4">
        <f>IFERROR(__xludf.DUMMYFUNCTION("""COMPUTED_VALUE"""),45838.87251738426)</f>
        <v>45838.87252</v>
      </c>
      <c r="D175" s="3" t="str">
        <f>IFERROR(__xludf.DUMMYFUNCTION("""COMPUTED_VALUE"""),"Proyektor")</f>
        <v>Proyektor</v>
      </c>
      <c r="E175" s="3" t="str">
        <f>IFERROR(__xludf.DUMMYFUNCTION("""COMPUTED_VALUE"""),"EJO/2025/06/160")</f>
        <v>EJO/2025/06/160</v>
      </c>
      <c r="F175" s="3" t="str">
        <f>IFERROR(__xludf.DUMMYFUNCTION("""COMPUTED_VALUE"""),"long drat ")</f>
        <v>long drat </v>
      </c>
      <c r="G175" s="3">
        <f>IFERROR(__xludf.DUMMYFUNCTION("""COMPUTED_VALUE"""),2.0)</f>
        <v>2</v>
      </c>
      <c r="H175" s="3" t="str">
        <f>IFERROR(__xludf.DUMMYFUNCTION("""COMPUTED_VALUE"""),"pcs")</f>
        <v>pcs</v>
      </c>
      <c r="I175" s="3" t="str">
        <f>IFERROR(__xludf.DUMMYFUNCTION("""COMPUTED_VALUE"""),"Deliver")</f>
        <v>Deliver</v>
      </c>
      <c r="J175" s="3" t="str">
        <f>IFERROR(__xludf.DUMMYFUNCTION("""COMPUTED_VALUE"""),"-")</f>
        <v>-</v>
      </c>
      <c r="K175" s="3" t="str">
        <f>IFERROR(__xludf.DUMMYFUNCTION("""COMPUTED_VALUE"""),"-")</f>
        <v>-</v>
      </c>
    </row>
    <row r="176">
      <c r="A176" s="3" t="str">
        <f>IFERROR(__xludf.DUMMYFUNCTION("""COMPUTED_VALUE"""),"MRNBR0022")</f>
        <v>MRNBR0022</v>
      </c>
      <c r="B176" s="4">
        <f>IFERROR(__xludf.DUMMYFUNCTION("""COMPUTED_VALUE"""),45833.13043015046)</f>
        <v>45833.13043</v>
      </c>
      <c r="C176" s="4">
        <f>IFERROR(__xludf.DUMMYFUNCTION("""COMPUTED_VALUE"""),45838.87218166666)</f>
        <v>45838.87218</v>
      </c>
      <c r="D176" s="3" t="str">
        <f>IFERROR(__xludf.DUMMYFUNCTION("""COMPUTED_VALUE"""),"Proyektor")</f>
        <v>Proyektor</v>
      </c>
      <c r="E176" s="3" t="str">
        <f>IFERROR(__xludf.DUMMYFUNCTION("""COMPUTED_VALUE"""),"EJO/2025/06/160")</f>
        <v>EJO/2025/06/160</v>
      </c>
      <c r="F176" s="3" t="str">
        <f>IFERROR(__xludf.DUMMYFUNCTION("""COMPUTED_VALUE"""),"Mur")</f>
        <v>Mur</v>
      </c>
      <c r="G176" s="3">
        <f>IFERROR(__xludf.DUMMYFUNCTION("""COMPUTED_VALUE"""),10.0)</f>
        <v>10</v>
      </c>
      <c r="H176" s="3" t="str">
        <f>IFERROR(__xludf.DUMMYFUNCTION("""COMPUTED_VALUE"""),"pcs")</f>
        <v>pcs</v>
      </c>
      <c r="I176" s="3" t="str">
        <f>IFERROR(__xludf.DUMMYFUNCTION("""COMPUTED_VALUE"""),"Deliver")</f>
        <v>Deliver</v>
      </c>
      <c r="J176" s="3" t="str">
        <f>IFERROR(__xludf.DUMMYFUNCTION("""COMPUTED_VALUE"""),"-")</f>
        <v>-</v>
      </c>
      <c r="K176" s="3" t="str">
        <f>IFERROR(__xludf.DUMMYFUNCTION("""COMPUTED_VALUE"""),"-")</f>
        <v>-</v>
      </c>
    </row>
    <row r="177">
      <c r="A177" s="3" t="str">
        <f>IFERROR(__xludf.DUMMYFUNCTION("""COMPUTED_VALUE"""),"MRNBR0023")</f>
        <v>MRNBR0023</v>
      </c>
      <c r="B177" s="4">
        <f>IFERROR(__xludf.DUMMYFUNCTION("""COMPUTED_VALUE"""),45833.13531938658)</f>
        <v>45833.13532</v>
      </c>
      <c r="C177" s="4">
        <f>IFERROR(__xludf.DUMMYFUNCTION("""COMPUTED_VALUE"""),45838.871833564815)</f>
        <v>45838.87183</v>
      </c>
      <c r="D177" s="3" t="str">
        <f>IFERROR(__xludf.DUMMYFUNCTION("""COMPUTED_VALUE"""),"wwtp")</f>
        <v>wwtp</v>
      </c>
      <c r="E177" s="3" t="str">
        <f>IFERROR(__xludf.DUMMYFUNCTION("""COMPUTED_VALUE"""),"EJO/2025/06/162")</f>
        <v>EJO/2025/06/162</v>
      </c>
      <c r="F177" s="3" t="str">
        <f>IFERROR(__xludf.DUMMYFUNCTION("""COMPUTED_VALUE"""),"valve")</f>
        <v>valve</v>
      </c>
      <c r="G177" s="3">
        <f>IFERROR(__xludf.DUMMYFUNCTION("""COMPUTED_VALUE"""),4.0)</f>
        <v>4</v>
      </c>
      <c r="H177" s="3" t="str">
        <f>IFERROR(__xludf.DUMMYFUNCTION("""COMPUTED_VALUE"""),"pcs")</f>
        <v>pcs</v>
      </c>
      <c r="I177" s="3" t="str">
        <f>IFERROR(__xludf.DUMMYFUNCTION("""COMPUTED_VALUE"""),"Deliver")</f>
        <v>Deliver</v>
      </c>
      <c r="J177" s="3" t="str">
        <f>IFERROR(__xludf.DUMMYFUNCTION("""COMPUTED_VALUE"""),"-")</f>
        <v>-</v>
      </c>
      <c r="K177" s="3" t="str">
        <f>IFERROR(__xludf.DUMMYFUNCTION("""COMPUTED_VALUE"""),"-")</f>
        <v>-</v>
      </c>
    </row>
    <row r="178">
      <c r="A178" s="3" t="str">
        <f>IFERROR(__xludf.DUMMYFUNCTION("""COMPUTED_VALUE"""),"MFHBR0007")</f>
        <v>MFHBR0007</v>
      </c>
      <c r="B178" s="4">
        <f>IFERROR(__xludf.DUMMYFUNCTION("""COMPUTED_VALUE"""),45834.89338793982)</f>
        <v>45834.89339</v>
      </c>
      <c r="C178" s="4">
        <f>IFERROR(__xludf.DUMMYFUNCTION("""COMPUTED_VALUE"""),45838.64436701389)</f>
        <v>45838.64437</v>
      </c>
      <c r="D178" s="3" t="str">
        <f>IFERROR(__xludf.DUMMYFUNCTION("""COMPUTED_VALUE"""),"PW")</f>
        <v>PW</v>
      </c>
      <c r="E178" s="3" t="str">
        <f>IFERROR(__xludf.DUMMYFUNCTION("""COMPUTED_VALUE"""),"-")</f>
        <v>-</v>
      </c>
      <c r="F178" s="3" t="str">
        <f>IFERROR(__xludf.DUMMYFUNCTION("""COMPUTED_VALUE"""),"Valve")</f>
        <v>Valve</v>
      </c>
      <c r="G178" s="3">
        <f>IFERROR(__xludf.DUMMYFUNCTION("""COMPUTED_VALUE"""),2.0)</f>
        <v>2</v>
      </c>
      <c r="H178" s="3" t="str">
        <f>IFERROR(__xludf.DUMMYFUNCTION("""COMPUTED_VALUE"""),"Pcs")</f>
        <v>Pcs</v>
      </c>
      <c r="I178" s="3" t="str">
        <f>IFERROR(__xludf.DUMMYFUNCTION("""COMPUTED_VALUE"""),"Deliver")</f>
        <v>Deliver</v>
      </c>
      <c r="J178" s="3" t="str">
        <f>IFERROR(__xludf.DUMMYFUNCTION("""COMPUTED_VALUE"""),"-")</f>
        <v>-</v>
      </c>
      <c r="K178" s="3" t="str">
        <f>IFERROR(__xludf.DUMMYFUNCTION("""COMPUTED_VALUE"""),"-")</f>
        <v>-</v>
      </c>
    </row>
    <row r="179">
      <c r="A179" s="3" t="str">
        <f>IFERROR(__xludf.DUMMYFUNCTION("""COMPUTED_VALUE"""),"MFHBR0008")</f>
        <v>MFHBR0008</v>
      </c>
      <c r="B179" s="4">
        <f>IFERROR(__xludf.DUMMYFUNCTION("""COMPUTED_VALUE"""),45834.89406777777)</f>
        <v>45834.89407</v>
      </c>
      <c r="C179" s="4">
        <f>IFERROR(__xludf.DUMMYFUNCTION("""COMPUTED_VALUE"""),45838.64453153936)</f>
        <v>45838.64453</v>
      </c>
      <c r="D179" s="3" t="str">
        <f>IFERROR(__xludf.DUMMYFUNCTION("""COMPUTED_VALUE"""),"Piping")</f>
        <v>Piping</v>
      </c>
      <c r="E179" s="3" t="str">
        <f>IFERROR(__xludf.DUMMYFUNCTION("""COMPUTED_VALUE"""),"-")</f>
        <v>-</v>
      </c>
      <c r="F179" s="3" t="str">
        <f>IFERROR(__xludf.DUMMYFUNCTION("""COMPUTED_VALUE"""),"-")</f>
        <v>-</v>
      </c>
      <c r="G179" s="3">
        <f>IFERROR(__xludf.DUMMYFUNCTION("""COMPUTED_VALUE"""),1.0)</f>
        <v>1</v>
      </c>
      <c r="H179" s="3" t="str">
        <f>IFERROR(__xludf.DUMMYFUNCTION("""COMPUTED_VALUE"""),"Lot")</f>
        <v>Lot</v>
      </c>
      <c r="I179" s="3" t="str">
        <f>IFERROR(__xludf.DUMMYFUNCTION("""COMPUTED_VALUE"""),"Deliver")</f>
        <v>Deliver</v>
      </c>
      <c r="J179" s="3" t="str">
        <f>IFERROR(__xludf.DUMMYFUNCTION("""COMPUTED_VALUE"""),"-")</f>
        <v>-</v>
      </c>
      <c r="K179" s="3" t="str">
        <f>IFERROR(__xludf.DUMMYFUNCTION("""COMPUTED_VALUE"""),"-")</f>
        <v>-</v>
      </c>
    </row>
    <row r="180">
      <c r="A180" s="3" t="str">
        <f>IFERROR(__xludf.DUMMYFUNCTION("""COMPUTED_VALUE"""),"MOBBR0030")</f>
        <v>MOBBR0030</v>
      </c>
      <c r="B180" s="4">
        <f>IFERROR(__xludf.DUMMYFUNCTION("""COMPUTED_VALUE"""),45835.57681784722)</f>
        <v>45835.57682</v>
      </c>
      <c r="C180" s="4">
        <f>IFERROR(__xludf.DUMMYFUNCTION("""COMPUTED_VALUE"""),45838.87395839121)</f>
        <v>45838.87396</v>
      </c>
      <c r="D180" s="3" t="str">
        <f>IFERROR(__xludf.DUMMYFUNCTION("""COMPUTED_VALUE"""),"AHU")</f>
        <v>AHU</v>
      </c>
      <c r="E180" s="3" t="str">
        <f>IFERROR(__xludf.DUMMYFUNCTION("""COMPUTED_VALUE"""),"-")</f>
        <v>-</v>
      </c>
      <c r="F180" s="3" t="str">
        <f>IFERROR(__xludf.DUMMYFUNCTION("""COMPUTED_VALUE"""),"Valve Drain Chiller AHU")</f>
        <v>Valve Drain Chiller AHU</v>
      </c>
      <c r="G180" s="3">
        <f>IFERROR(__xludf.DUMMYFUNCTION("""COMPUTED_VALUE"""),2.0)</f>
        <v>2</v>
      </c>
      <c r="H180" s="3" t="str">
        <f>IFERROR(__xludf.DUMMYFUNCTION("""COMPUTED_VALUE"""),"Pcs")</f>
        <v>Pcs</v>
      </c>
      <c r="I180" s="3" t="str">
        <f>IFERROR(__xludf.DUMMYFUNCTION("""COMPUTED_VALUE"""),"Deliver")</f>
        <v>Deliver</v>
      </c>
      <c r="J180" s="3" t="str">
        <f>IFERROR(__xludf.DUMMYFUNCTION("""COMPUTED_VALUE"""),"-")</f>
        <v>-</v>
      </c>
      <c r="K180" s="3" t="str">
        <f>IFERROR(__xludf.DUMMYFUNCTION("""COMPUTED_VALUE"""),"-")</f>
        <v>-</v>
      </c>
    </row>
    <row r="181">
      <c r="A181" s="3" t="str">
        <f>IFERROR(__xludf.DUMMYFUNCTION("""COMPUTED_VALUE"""),"INNBR0033")</f>
        <v>INNBR0033</v>
      </c>
      <c r="B181" s="4">
        <f>IFERROR(__xludf.DUMMYFUNCTION("""COMPUTED_VALUE"""),45840.65523291666)</f>
        <v>45840.65523</v>
      </c>
      <c r="C181" s="4">
        <f>IFERROR(__xludf.DUMMYFUNCTION("""COMPUTED_VALUE"""),45888.66289111111)</f>
        <v>45888.66289</v>
      </c>
      <c r="D181" s="3" t="str">
        <f>IFERROR(__xludf.DUMMYFUNCTION("""COMPUTED_VALUE"""),"Autoclave Service")</f>
        <v>Autoclave Service</v>
      </c>
      <c r="E181" s="3" t="str">
        <f>IFERROR(__xludf.DUMMYFUNCTION("""COMPUTED_VALUE"""),"EJO/2025/06/93")</f>
        <v>EJO/2025/06/93</v>
      </c>
      <c r="F181" s="3" t="str">
        <f>IFERROR(__xludf.DUMMYFUNCTION("""COMPUTED_VALUE"""),"Proximity sensor E2A-SO8KS02-M5-B1")</f>
        <v>Proximity sensor E2A-SO8KS02-M5-B1</v>
      </c>
      <c r="G181" s="3">
        <f>IFERROR(__xludf.DUMMYFUNCTION("""COMPUTED_VALUE"""),2.0)</f>
        <v>2</v>
      </c>
      <c r="H181" s="3" t="str">
        <f>IFERROR(__xludf.DUMMYFUNCTION("""COMPUTED_VALUE"""),"pcs")</f>
        <v>pcs</v>
      </c>
      <c r="I181" s="3" t="str">
        <f>IFERROR(__xludf.DUMMYFUNCTION("""COMPUTED_VALUE"""),"Deliver")</f>
        <v>Deliver</v>
      </c>
      <c r="J181" s="3" t="str">
        <f>IFERROR(__xludf.DUMMYFUNCTION("""COMPUTED_VALUE"""),"121703636 - APPROVED")</f>
        <v>121703636 - APPROVED</v>
      </c>
      <c r="K181" s="3" t="str">
        <f>IFERROR(__xludf.DUMMYFUNCTION("""COMPUTED_VALUE"""),"GL2602366")</f>
        <v>GL2602366</v>
      </c>
    </row>
    <row r="182">
      <c r="A182" s="3" t="str">
        <f>IFERROR(__xludf.DUMMYFUNCTION("""COMPUTED_VALUE"""),"ANOBR0023")</f>
        <v>ANOBR0023</v>
      </c>
      <c r="B182" s="4">
        <f>IFERROR(__xludf.DUMMYFUNCTION("""COMPUTED_VALUE"""),45841.40641902778)</f>
        <v>45841.40642</v>
      </c>
      <c r="C182" s="4">
        <f>IFERROR(__xludf.DUMMYFUNCTION("""COMPUTED_VALUE"""),45849.85099144676)</f>
        <v>45849.85099</v>
      </c>
      <c r="D182" s="3" t="str">
        <f>IFERROR(__xludf.DUMMYFUNCTION("""COMPUTED_VALUE"""),"mesin las ")</f>
        <v>mesin las </v>
      </c>
      <c r="E182" s="3" t="str">
        <f>IFERROR(__xludf.DUMMYFUNCTION("""COMPUTED_VALUE"""),"-")</f>
        <v>-</v>
      </c>
      <c r="F182" s="3" t="str">
        <f>IFERROR(__xludf.DUMMYFUNCTION("""COMPUTED_VALUE"""),"elektroda ss 2.0 mm")</f>
        <v>elektroda ss 2.0 mm</v>
      </c>
      <c r="G182" s="3">
        <f>IFERROR(__xludf.DUMMYFUNCTION("""COMPUTED_VALUE"""),2.0)</f>
        <v>2</v>
      </c>
      <c r="H182" s="3" t="str">
        <f>IFERROR(__xludf.DUMMYFUNCTION("""COMPUTED_VALUE"""),"box")</f>
        <v>box</v>
      </c>
      <c r="I182" s="3" t="str">
        <f>IFERROR(__xludf.DUMMYFUNCTION("""COMPUTED_VALUE"""),"Deliver")</f>
        <v>Deliver</v>
      </c>
      <c r="J182" s="3" t="str">
        <f>IFERROR(__xludf.DUMMYFUNCTION("""COMPUTED_VALUE"""),"-")</f>
        <v>-</v>
      </c>
      <c r="K182" s="3" t="str">
        <f>IFERROR(__xludf.DUMMYFUNCTION("""COMPUTED_VALUE"""),"-")</f>
        <v>-</v>
      </c>
    </row>
    <row r="183">
      <c r="A183" s="3" t="str">
        <f>IFERROR(__xludf.DUMMYFUNCTION("""COMPUTED_VALUE"""),"AAABR0012")</f>
        <v>AAABR0012</v>
      </c>
      <c r="B183" s="4">
        <f>IFERROR(__xludf.DUMMYFUNCTION("""COMPUTED_VALUE"""),45842.86099738426)</f>
        <v>45842.861</v>
      </c>
      <c r="C183" s="4">
        <f>IFERROR(__xludf.DUMMYFUNCTION("""COMPUTED_VALUE"""),45887.45912699075)</f>
        <v>45887.45913</v>
      </c>
      <c r="D183" s="3" t="str">
        <f>IFERROR(__xludf.DUMMYFUNCTION("""COMPUTED_VALUE"""),"Washing")</f>
        <v>Washing</v>
      </c>
      <c r="E183" s="3" t="str">
        <f>IFERROR(__xludf.DUMMYFUNCTION("""COMPUTED_VALUE"""),"EJO/2025/07/35")</f>
        <v>EJO/2025/07/35</v>
      </c>
      <c r="F183" s="3" t="str">
        <f>IFERROR(__xludf.DUMMYFUNCTION("""COMPUTED_VALUE"""),"EMERGENCY MODULE")</f>
        <v>EMERGENCY MODULE</v>
      </c>
      <c r="G183" s="3">
        <f>IFERROR(__xludf.DUMMYFUNCTION("""COMPUTED_VALUE"""),2.0)</f>
        <v>2</v>
      </c>
      <c r="H183" s="3" t="str">
        <f>IFERROR(__xludf.DUMMYFUNCTION("""COMPUTED_VALUE"""),"Set")</f>
        <v>Set</v>
      </c>
      <c r="I183" s="3" t="str">
        <f>IFERROR(__xludf.DUMMYFUNCTION("""COMPUTED_VALUE"""),"Deliver")</f>
        <v>Deliver</v>
      </c>
      <c r="J183" s="3" t="str">
        <f>IFERROR(__xludf.DUMMYFUNCTION("""COMPUTED_VALUE"""),"-")</f>
        <v>-</v>
      </c>
      <c r="K183" s="3" t="str">
        <f>IFERROR(__xludf.DUMMYFUNCTION("""COMPUTED_VALUE"""),"-")</f>
        <v>-</v>
      </c>
    </row>
    <row r="184">
      <c r="A184" s="3" t="str">
        <f>IFERROR(__xludf.DUMMYFUNCTION("""COMPUTED_VALUE"""),"AAABR0013")</f>
        <v>AAABR0013</v>
      </c>
      <c r="B184" s="4">
        <f>IFERROR(__xludf.DUMMYFUNCTION("""COMPUTED_VALUE"""),45842.86194228009)</f>
        <v>45842.86194</v>
      </c>
      <c r="C184" s="4">
        <f>IFERROR(__xludf.DUMMYFUNCTION("""COMPUTED_VALUE"""),45887.459516296294)</f>
        <v>45887.45952</v>
      </c>
      <c r="D184" s="3" t="str">
        <f>IFERROR(__xludf.DUMMYFUNCTION("""COMPUTED_VALUE"""),"Washing")</f>
        <v>Washing</v>
      </c>
      <c r="E184" s="3" t="str">
        <f>IFERROR(__xludf.DUMMYFUNCTION("""COMPUTED_VALUE"""),"EJO/2025/07/35")</f>
        <v>EJO/2025/07/35</v>
      </c>
      <c r="F184" s="3" t="str">
        <f>IFERROR(__xludf.DUMMYFUNCTION("""COMPUTED_VALUE"""),"EMERGENCY STOP BUTTON")</f>
        <v>EMERGENCY STOP BUTTON</v>
      </c>
      <c r="G184" s="3">
        <f>IFERROR(__xludf.DUMMYFUNCTION("""COMPUTED_VALUE"""),1.0)</f>
        <v>1</v>
      </c>
      <c r="H184" s="3" t="str">
        <f>IFERROR(__xludf.DUMMYFUNCTION("""COMPUTED_VALUE"""),"Set")</f>
        <v>Set</v>
      </c>
      <c r="I184" s="3" t="str">
        <f>IFERROR(__xludf.DUMMYFUNCTION("""COMPUTED_VALUE"""),"Deliver")</f>
        <v>Deliver</v>
      </c>
      <c r="J184" s="3" t="str">
        <f>IFERROR(__xludf.DUMMYFUNCTION("""COMPUTED_VALUE"""),"-")</f>
        <v>-</v>
      </c>
      <c r="K184" s="3" t="str">
        <f>IFERROR(__xludf.DUMMYFUNCTION("""COMPUTED_VALUE"""),"-")</f>
        <v>-</v>
      </c>
    </row>
    <row r="185">
      <c r="A185" s="3" t="str">
        <f>IFERROR(__xludf.DUMMYFUNCTION("""COMPUTED_VALUE"""),"ANOBR0024")</f>
        <v>ANOBR0024</v>
      </c>
      <c r="B185" s="4">
        <f>IFERROR(__xludf.DUMMYFUNCTION("""COMPUTED_VALUE"""),45846.66374609953)</f>
        <v>45846.66375</v>
      </c>
      <c r="C185" s="4">
        <f>IFERROR(__xludf.DUMMYFUNCTION("""COMPUTED_VALUE"""),45849.8530499537)</f>
        <v>45849.85305</v>
      </c>
      <c r="D185" s="3" t="str">
        <f>IFERROR(__xludf.DUMMYFUNCTION("""COMPUTED_VALUE"""),"Blistering")</f>
        <v>Blistering</v>
      </c>
      <c r="E185" s="3" t="str">
        <f>IFERROR(__xludf.DUMMYFUNCTION("""COMPUTED_VALUE"""),"-")</f>
        <v>-</v>
      </c>
      <c r="F185" s="3" t="str">
        <f>IFERROR(__xludf.DUMMYFUNCTION("""COMPUTED_VALUE"""),"Rod And Bearing")</f>
        <v>Rod And Bearing</v>
      </c>
      <c r="G185" s="3">
        <f>IFERROR(__xludf.DUMMYFUNCTION("""COMPUTED_VALUE"""),1.0)</f>
        <v>1</v>
      </c>
      <c r="H185" s="3" t="str">
        <f>IFERROR(__xludf.DUMMYFUNCTION("""COMPUTED_VALUE"""),"Pcs")</f>
        <v>Pcs</v>
      </c>
      <c r="I185" s="3" t="str">
        <f>IFERROR(__xludf.DUMMYFUNCTION("""COMPUTED_VALUE"""),"Deliver")</f>
        <v>Deliver</v>
      </c>
      <c r="J185" s="3" t="str">
        <f>IFERROR(__xludf.DUMMYFUNCTION("""COMPUTED_VALUE"""),"-")</f>
        <v>-</v>
      </c>
      <c r="K185" s="3" t="str">
        <f>IFERROR(__xludf.DUMMYFUNCTION("""COMPUTED_VALUE"""),"-")</f>
        <v>-</v>
      </c>
    </row>
    <row r="186">
      <c r="A186" s="3" t="str">
        <f>IFERROR(__xludf.DUMMYFUNCTION("""COMPUTED_VALUE"""),"ANOBR0025")</f>
        <v>ANOBR0025</v>
      </c>
      <c r="B186" s="4">
        <f>IFERROR(__xludf.DUMMYFUNCTION("""COMPUTED_VALUE"""),45846.666147662036)</f>
        <v>45846.66615</v>
      </c>
      <c r="C186" s="4">
        <f>IFERROR(__xludf.DUMMYFUNCTION("""COMPUTED_VALUE"""),45849.853471296294)</f>
        <v>45849.85347</v>
      </c>
      <c r="D186" s="3" t="str">
        <f>IFERROR(__xludf.DUMMYFUNCTION("""COMPUTED_VALUE"""),"Blistering")</f>
        <v>Blistering</v>
      </c>
      <c r="E186" s="3" t="str">
        <f>IFERROR(__xludf.DUMMYFUNCTION("""COMPUTED_VALUE"""),"-")</f>
        <v>-</v>
      </c>
      <c r="F186" s="3" t="str">
        <f>IFERROR(__xludf.DUMMYFUNCTION("""COMPUTED_VALUE"""),"Rod And Bearing")</f>
        <v>Rod And Bearing</v>
      </c>
      <c r="G186" s="3">
        <f>IFERROR(__xludf.DUMMYFUNCTION("""COMPUTED_VALUE"""),1.0)</f>
        <v>1</v>
      </c>
      <c r="H186" s="3" t="str">
        <f>IFERROR(__xludf.DUMMYFUNCTION("""COMPUTED_VALUE"""),"Pcs")</f>
        <v>Pcs</v>
      </c>
      <c r="I186" s="3" t="str">
        <f>IFERROR(__xludf.DUMMYFUNCTION("""COMPUTED_VALUE"""),"Deliver")</f>
        <v>Deliver</v>
      </c>
      <c r="J186" s="3" t="str">
        <f>IFERROR(__xludf.DUMMYFUNCTION("""COMPUTED_VALUE"""),"-")</f>
        <v>-</v>
      </c>
      <c r="K186" s="3" t="str">
        <f>IFERROR(__xludf.DUMMYFUNCTION("""COMPUTED_VALUE"""),"-")</f>
        <v>-</v>
      </c>
    </row>
    <row r="187">
      <c r="A187" s="3" t="str">
        <f>IFERROR(__xludf.DUMMYFUNCTION("""COMPUTED_VALUE"""),"INNBR0034")</f>
        <v>INNBR0034</v>
      </c>
      <c r="B187" s="4">
        <f>IFERROR(__xludf.DUMMYFUNCTION("""COMPUTED_VALUE"""),45848.135704988425)</f>
        <v>45848.1357</v>
      </c>
      <c r="C187" s="4">
        <f>IFERROR(__xludf.DUMMYFUNCTION("""COMPUTED_VALUE"""),45888.663274907405)</f>
        <v>45888.66327</v>
      </c>
      <c r="D187" s="3" t="str">
        <f>IFERROR(__xludf.DUMMYFUNCTION("""COMPUTED_VALUE"""),"Labeling")</f>
        <v>Labeling</v>
      </c>
      <c r="E187" s="3" t="str">
        <f>IFERROR(__xludf.DUMMYFUNCTION("""COMPUTED_VALUE"""),"EJO/2025/07/60")</f>
        <v>EJO/2025/07/60</v>
      </c>
      <c r="F187" s="3" t="str">
        <f>IFERROR(__xludf.DUMMYFUNCTION("""COMPUTED_VALUE"""),"Amplifier - BF3RX Autonic")</f>
        <v>Amplifier - BF3RX Autonic</v>
      </c>
      <c r="G187" s="3">
        <f>IFERROR(__xludf.DUMMYFUNCTION("""COMPUTED_VALUE"""),2.0)</f>
        <v>2</v>
      </c>
      <c r="H187" s="3" t="str">
        <f>IFERROR(__xludf.DUMMYFUNCTION("""COMPUTED_VALUE"""),"pcs")</f>
        <v>pcs</v>
      </c>
      <c r="I187" s="3" t="str">
        <f>IFERROR(__xludf.DUMMYFUNCTION("""COMPUTED_VALUE"""),"Deliver")</f>
        <v>Deliver</v>
      </c>
      <c r="J187" s="3" t="str">
        <f>IFERROR(__xludf.DUMMYFUNCTION("""COMPUTED_VALUE"""),"-")</f>
        <v>-</v>
      </c>
      <c r="K187" s="3" t="str">
        <f>IFERROR(__xludf.DUMMYFUNCTION("""COMPUTED_VALUE"""),"-")</f>
        <v>-</v>
      </c>
    </row>
    <row r="188">
      <c r="A188" s="3" t="str">
        <f>IFERROR(__xludf.DUMMYFUNCTION("""COMPUTED_VALUE"""),"INNBR0035")</f>
        <v>INNBR0035</v>
      </c>
      <c r="B188" s="4">
        <f>IFERROR(__xludf.DUMMYFUNCTION("""COMPUTED_VALUE"""),45848.13584340278)</f>
        <v>45848.13584</v>
      </c>
      <c r="C188" s="4">
        <f>IFERROR(__xludf.DUMMYFUNCTION("""COMPUTED_VALUE"""),45888.663505)</f>
        <v>45888.66351</v>
      </c>
      <c r="D188" s="3" t="str">
        <f>IFERROR(__xludf.DUMMYFUNCTION("""COMPUTED_VALUE"""),"Labeling")</f>
        <v>Labeling</v>
      </c>
      <c r="E188" s="3" t="str">
        <f>IFERROR(__xludf.DUMMYFUNCTION("""COMPUTED_VALUE"""),"EJO/2025/07/60")</f>
        <v>EJO/2025/07/60</v>
      </c>
      <c r="F188" s="3" t="str">
        <f>IFERROR(__xludf.DUMMYFUNCTION("""COMPUTED_VALUE"""),"Fiber optic - FD-620-10 Autonic")</f>
        <v>Fiber optic - FD-620-10 Autonic</v>
      </c>
      <c r="G188" s="3">
        <f>IFERROR(__xludf.DUMMYFUNCTION("""COMPUTED_VALUE"""),2.0)</f>
        <v>2</v>
      </c>
      <c r="H188" s="3" t="str">
        <f>IFERROR(__xludf.DUMMYFUNCTION("""COMPUTED_VALUE"""),"pcs")</f>
        <v>pcs</v>
      </c>
      <c r="I188" s="3" t="str">
        <f>IFERROR(__xludf.DUMMYFUNCTION("""COMPUTED_VALUE"""),"Deliver")</f>
        <v>Deliver</v>
      </c>
      <c r="J188" s="3" t="str">
        <f>IFERROR(__xludf.DUMMYFUNCTION("""COMPUTED_VALUE"""),"-")</f>
        <v>-</v>
      </c>
      <c r="K188" s="3" t="str">
        <f>IFERROR(__xludf.DUMMYFUNCTION("""COMPUTED_VALUE"""),"-")</f>
        <v>-</v>
      </c>
    </row>
    <row r="189">
      <c r="A189" s="3" t="str">
        <f>IFERROR(__xludf.DUMMYFUNCTION("""COMPUTED_VALUE"""),"RIABR0044")</f>
        <v>RIABR0044</v>
      </c>
      <c r="B189" s="4">
        <f>IFERROR(__xludf.DUMMYFUNCTION("""COMPUTED_VALUE"""),45852.67276260417)</f>
        <v>45852.67276</v>
      </c>
      <c r="C189" s="4">
        <f>IFERROR(__xludf.DUMMYFUNCTION("""COMPUTED_VALUE"""),45854.61541826389)</f>
        <v>45854.61542</v>
      </c>
      <c r="D189" s="3" t="str">
        <f>IFERROR(__xludf.DUMMYFUNCTION("""COMPUTED_VALUE"""),"Alarm System")</f>
        <v>Alarm System</v>
      </c>
      <c r="E189" s="3" t="str">
        <f>IFERROR(__xludf.DUMMYFUNCTION("""COMPUTED_VALUE"""),"-")</f>
        <v>-</v>
      </c>
      <c r="F189" s="3" t="str">
        <f>IFERROR(__xludf.DUMMYFUNCTION("""COMPUTED_VALUE"""),"Sensor PT 100 ")</f>
        <v>Sensor PT 100 </v>
      </c>
      <c r="G189" s="3">
        <f>IFERROR(__xludf.DUMMYFUNCTION("""COMPUTED_VALUE"""),6.0)</f>
        <v>6</v>
      </c>
      <c r="H189" s="3" t="str">
        <f>IFERROR(__xludf.DUMMYFUNCTION("""COMPUTED_VALUE"""),"Pcs")</f>
        <v>Pcs</v>
      </c>
      <c r="I189" s="3" t="str">
        <f>IFERROR(__xludf.DUMMYFUNCTION("""COMPUTED_VALUE"""),"Deliver")</f>
        <v>Deliver</v>
      </c>
      <c r="J189" s="3" t="str">
        <f>IFERROR(__xludf.DUMMYFUNCTION("""COMPUTED_VALUE"""),"-")</f>
        <v>-</v>
      </c>
      <c r="K189" s="3" t="str">
        <f>IFERROR(__xludf.DUMMYFUNCTION("""COMPUTED_VALUE"""),"-")</f>
        <v>-</v>
      </c>
    </row>
    <row r="190">
      <c r="A190" s="3" t="str">
        <f>IFERROR(__xludf.DUMMYFUNCTION("""COMPUTED_VALUE"""),"INNBR0036")</f>
        <v>INNBR0036</v>
      </c>
      <c r="B190" s="4">
        <f>IFERROR(__xludf.DUMMYFUNCTION("""COMPUTED_VALUE"""),45853.41180569445)</f>
        <v>45853.41181</v>
      </c>
      <c r="C190" s="4">
        <f>IFERROR(__xludf.DUMMYFUNCTION("""COMPUTED_VALUE"""),45888.66408174768)</f>
        <v>45888.66408</v>
      </c>
      <c r="D190" s="3" t="str">
        <f>IFERROR(__xludf.DUMMYFUNCTION("""COMPUTED_VALUE"""),"Labeling")</f>
        <v>Labeling</v>
      </c>
      <c r="E190" s="3" t="str">
        <f>IFERROR(__xludf.DUMMYFUNCTION("""COMPUTED_VALUE"""),"EJO/2025/07/60")</f>
        <v>EJO/2025/07/60</v>
      </c>
      <c r="F190" s="3" t="str">
        <f>IFERROR(__xludf.DUMMYFUNCTION("""COMPUTED_VALUE"""),"Fork Sensor WF2-40B410")</f>
        <v>Fork Sensor WF2-40B410</v>
      </c>
      <c r="G190" s="3">
        <f>IFERROR(__xludf.DUMMYFUNCTION("""COMPUTED_VALUE"""),2.0)</f>
        <v>2</v>
      </c>
      <c r="H190" s="3" t="str">
        <f>IFERROR(__xludf.DUMMYFUNCTION("""COMPUTED_VALUE"""),"pcs")</f>
        <v>pcs</v>
      </c>
      <c r="I190" s="3" t="str">
        <f>IFERROR(__xludf.DUMMYFUNCTION("""COMPUTED_VALUE"""),"Deliver")</f>
        <v>Deliver</v>
      </c>
      <c r="J190" s="3" t="str">
        <f>IFERROR(__xludf.DUMMYFUNCTION("""COMPUTED_VALUE"""),"-")</f>
        <v>-</v>
      </c>
      <c r="K190" s="3" t="str">
        <f>IFERROR(__xludf.DUMMYFUNCTION("""COMPUTED_VALUE"""),"-")</f>
        <v>-</v>
      </c>
    </row>
    <row r="191">
      <c r="A191" s="3" t="str">
        <f>IFERROR(__xludf.DUMMYFUNCTION("""COMPUTED_VALUE"""),"INNBR0037")</f>
        <v>INNBR0037</v>
      </c>
      <c r="B191" s="4">
        <f>IFERROR(__xludf.DUMMYFUNCTION("""COMPUTED_VALUE"""),45853.412138182866)</f>
        <v>45853.41214</v>
      </c>
      <c r="C191" s="4">
        <f>IFERROR(__xludf.DUMMYFUNCTION("""COMPUTED_VALUE"""),45888.66452697916)</f>
        <v>45888.66453</v>
      </c>
      <c r="D191" s="3" t="str">
        <f>IFERROR(__xludf.DUMMYFUNCTION("""COMPUTED_VALUE"""),"Labeling")</f>
        <v>Labeling</v>
      </c>
      <c r="E191" s="3" t="str">
        <f>IFERROR(__xludf.DUMMYFUNCTION("""COMPUTED_VALUE"""),"EJO/2025/07/60")</f>
        <v>EJO/2025/07/60</v>
      </c>
      <c r="F191" s="3" t="str">
        <f>IFERROR(__xludf.DUMMYFUNCTION("""COMPUTED_VALUE"""),"Female connector, M8, 4-pin, straight, A-coded, 2 m YF8U14-020VA3XLEAX")</f>
        <v>Female connector, M8, 4-pin, straight, A-coded, 2 m YF8U14-020VA3XLEAX</v>
      </c>
      <c r="G191" s="3">
        <f>IFERROR(__xludf.DUMMYFUNCTION("""COMPUTED_VALUE"""),2.0)</f>
        <v>2</v>
      </c>
      <c r="H191" s="3" t="str">
        <f>IFERROR(__xludf.DUMMYFUNCTION("""COMPUTED_VALUE"""),"pcs")</f>
        <v>pcs</v>
      </c>
      <c r="I191" s="3" t="str">
        <f>IFERROR(__xludf.DUMMYFUNCTION("""COMPUTED_VALUE"""),"Deliver")</f>
        <v>Deliver</v>
      </c>
      <c r="J191" s="3" t="str">
        <f>IFERROR(__xludf.DUMMYFUNCTION("""COMPUTED_VALUE"""),"-")</f>
        <v>-</v>
      </c>
      <c r="K191" s="3" t="str">
        <f>IFERROR(__xludf.DUMMYFUNCTION("""COMPUTED_VALUE"""),"-")</f>
        <v>-</v>
      </c>
    </row>
    <row r="192">
      <c r="A192" s="3" t="str">
        <f>IFERROR(__xludf.DUMMYFUNCTION("""COMPUTED_VALUE"""),"RIABR0046")</f>
        <v>RIABR0046</v>
      </c>
      <c r="B192" s="4">
        <f>IFERROR(__xludf.DUMMYFUNCTION("""COMPUTED_VALUE"""),45853.657723599536)</f>
        <v>45853.65772</v>
      </c>
      <c r="C192" s="4">
        <f>IFERROR(__xludf.DUMMYFUNCTION("""COMPUTED_VALUE"""),45854.616613900456)</f>
        <v>45854.61661</v>
      </c>
      <c r="D192" s="3" t="str">
        <f>IFERROR(__xludf.DUMMYFUNCTION("""COMPUTED_VALUE"""),"Water System")</f>
        <v>Water System</v>
      </c>
      <c r="E192" s="3" t="str">
        <f>IFERROR(__xludf.DUMMYFUNCTION("""COMPUTED_VALUE"""),"-")</f>
        <v>-</v>
      </c>
      <c r="F192" s="3" t="str">
        <f>IFERROR(__xludf.DUMMYFUNCTION("""COMPUTED_VALUE"""),"Chemical NaOH")</f>
        <v>Chemical NaOH</v>
      </c>
      <c r="G192" s="3">
        <f>IFERROR(__xludf.DUMMYFUNCTION("""COMPUTED_VALUE"""),1.0)</f>
        <v>1</v>
      </c>
      <c r="H192" s="3" t="str">
        <f>IFERROR(__xludf.DUMMYFUNCTION("""COMPUTED_VALUE"""),"Sak")</f>
        <v>Sak</v>
      </c>
      <c r="I192" s="3" t="str">
        <f>IFERROR(__xludf.DUMMYFUNCTION("""COMPUTED_VALUE"""),"PO Open")</f>
        <v>PO Open</v>
      </c>
      <c r="J192" s="3" t="str">
        <f>IFERROR(__xludf.DUMMYFUNCTION("""COMPUTED_VALUE"""),"121704359 - APPROVED")</f>
        <v>121704359 - APPROVED</v>
      </c>
      <c r="K192" s="3" t="str">
        <f>IFERROR(__xludf.DUMMYFUNCTION("""COMPUTED_VALUE"""),"GL2608040")</f>
        <v>GL2608040</v>
      </c>
    </row>
    <row r="193">
      <c r="A193" s="3" t="str">
        <f>IFERROR(__xludf.DUMMYFUNCTION("""COMPUTED_VALUE"""),"MRNBR0030")</f>
        <v>MRNBR0030</v>
      </c>
      <c r="B193" s="4">
        <f>IFERROR(__xludf.DUMMYFUNCTION("""COMPUTED_VALUE"""),45854.582451585644)</f>
        <v>45854.58245</v>
      </c>
      <c r="C193" s="4">
        <f>IFERROR(__xludf.DUMMYFUNCTION("""COMPUTED_VALUE"""),45855.45659017361)</f>
        <v>45855.45659</v>
      </c>
      <c r="D193" s="3" t="str">
        <f>IFERROR(__xludf.DUMMYFUNCTION("""COMPUTED_VALUE"""),"Pintu Extension")</f>
        <v>Pintu Extension</v>
      </c>
      <c r="E193" s="3" t="str">
        <f>IFERROR(__xludf.DUMMYFUNCTION("""COMPUTED_VALUE"""),"Ejo/2025/07/154")</f>
        <v>Ejo/2025/07/154</v>
      </c>
      <c r="F193" s="3" t="str">
        <f>IFERROR(__xludf.DUMMYFUNCTION("""COMPUTED_VALUE"""),"UNP 100")</f>
        <v>UNP 100</v>
      </c>
      <c r="G193" s="3">
        <f>IFERROR(__xludf.DUMMYFUNCTION("""COMPUTED_VALUE"""),2.0)</f>
        <v>2</v>
      </c>
      <c r="H193" s="3" t="str">
        <f>IFERROR(__xludf.DUMMYFUNCTION("""COMPUTED_VALUE"""),"btg")</f>
        <v>btg</v>
      </c>
      <c r="I193" s="3" t="str">
        <f>IFERROR(__xludf.DUMMYFUNCTION("""COMPUTED_VALUE"""),"Deliver")</f>
        <v>Deliver</v>
      </c>
      <c r="J193" s="3" t="str">
        <f>IFERROR(__xludf.DUMMYFUNCTION("""COMPUTED_VALUE"""),"-")</f>
        <v>-</v>
      </c>
      <c r="K193" s="3" t="str">
        <f>IFERROR(__xludf.DUMMYFUNCTION("""COMPUTED_VALUE"""),"-")</f>
        <v>-</v>
      </c>
    </row>
    <row r="194">
      <c r="A194" s="3" t="str">
        <f>IFERROR(__xludf.DUMMYFUNCTION("""COMPUTED_VALUE"""),"MRNBR0031")</f>
        <v>MRNBR0031</v>
      </c>
      <c r="B194" s="4">
        <f>IFERROR(__xludf.DUMMYFUNCTION("""COMPUTED_VALUE"""),45854.58495675925)</f>
        <v>45854.58496</v>
      </c>
      <c r="C194" s="4">
        <f>IFERROR(__xludf.DUMMYFUNCTION("""COMPUTED_VALUE"""),45855.45691332177)</f>
        <v>45855.45691</v>
      </c>
      <c r="D194" s="3" t="str">
        <f>IFERROR(__xludf.DUMMYFUNCTION("""COMPUTED_VALUE"""),"Pintu Extension")</f>
        <v>Pintu Extension</v>
      </c>
      <c r="E194" s="3" t="str">
        <f>IFERROR(__xludf.DUMMYFUNCTION("""COMPUTED_VALUE"""),"Ejo/2025/07/155")</f>
        <v>Ejo/2025/07/155</v>
      </c>
      <c r="F194" s="3" t="str">
        <f>IFERROR(__xludf.DUMMYFUNCTION("""COMPUTED_VALUE"""),"GRC")</f>
        <v>GRC</v>
      </c>
      <c r="G194" s="3">
        <f>IFERROR(__xludf.DUMMYFUNCTION("""COMPUTED_VALUE"""),3.0)</f>
        <v>3</v>
      </c>
      <c r="H194" s="3" t="str">
        <f>IFERROR(__xludf.DUMMYFUNCTION("""COMPUTED_VALUE"""),"lbr")</f>
        <v>lbr</v>
      </c>
      <c r="I194" s="3" t="str">
        <f>IFERROR(__xludf.DUMMYFUNCTION("""COMPUTED_VALUE"""),"Deliver")</f>
        <v>Deliver</v>
      </c>
      <c r="J194" s="3" t="str">
        <f>IFERROR(__xludf.DUMMYFUNCTION("""COMPUTED_VALUE"""),"-")</f>
        <v>-</v>
      </c>
      <c r="K194" s="3" t="str">
        <f>IFERROR(__xludf.DUMMYFUNCTION("""COMPUTED_VALUE"""),"-")</f>
        <v>-</v>
      </c>
    </row>
    <row r="195">
      <c r="A195" s="3" t="str">
        <f>IFERROR(__xludf.DUMMYFUNCTION("""COMPUTED_VALUE"""),"MRNBR0032")</f>
        <v>MRNBR0032</v>
      </c>
      <c r="B195" s="4">
        <f>IFERROR(__xludf.DUMMYFUNCTION("""COMPUTED_VALUE"""),45854.60868311342)</f>
        <v>45854.60868</v>
      </c>
      <c r="C195" s="4">
        <f>IFERROR(__xludf.DUMMYFUNCTION("""COMPUTED_VALUE"""),45855.456749282406)</f>
        <v>45855.45675</v>
      </c>
      <c r="D195" s="3" t="str">
        <f>IFERROR(__xludf.DUMMYFUNCTION("""COMPUTED_VALUE"""),"Pintu Extension")</f>
        <v>Pintu Extension</v>
      </c>
      <c r="E195" s="3" t="str">
        <f>IFERROR(__xludf.DUMMYFUNCTION("""COMPUTED_VALUE"""),"Ejo/2025/07/156")</f>
        <v>Ejo/2025/07/156</v>
      </c>
      <c r="F195" s="3" t="str">
        <f>IFERROR(__xludf.DUMMYFUNCTION("""COMPUTED_VALUE"""),"engsel")</f>
        <v>engsel</v>
      </c>
      <c r="G195" s="3">
        <f>IFERROR(__xludf.DUMMYFUNCTION("""COMPUTED_VALUE"""),3.0)</f>
        <v>3</v>
      </c>
      <c r="H195" s="3" t="str">
        <f>IFERROR(__xludf.DUMMYFUNCTION("""COMPUTED_VALUE"""),"pcs")</f>
        <v>pcs</v>
      </c>
      <c r="I195" s="3" t="str">
        <f>IFERROR(__xludf.DUMMYFUNCTION("""COMPUTED_VALUE"""),"Deliver")</f>
        <v>Deliver</v>
      </c>
      <c r="J195" s="3" t="str">
        <f>IFERROR(__xludf.DUMMYFUNCTION("""COMPUTED_VALUE"""),"-")</f>
        <v>-</v>
      </c>
      <c r="K195" s="3" t="str">
        <f>IFERROR(__xludf.DUMMYFUNCTION("""COMPUTED_VALUE"""),"-")</f>
        <v>-</v>
      </c>
    </row>
    <row r="196">
      <c r="A196" s="3" t="str">
        <f>IFERROR(__xludf.DUMMYFUNCTION("""COMPUTED_VALUE"""),"MRNBR0033")</f>
        <v>MRNBR0033</v>
      </c>
      <c r="B196" s="4">
        <f>IFERROR(__xludf.DUMMYFUNCTION("""COMPUTED_VALUE"""),45854.661876724545)</f>
        <v>45854.66188</v>
      </c>
      <c r="C196" s="4">
        <f>IFERROR(__xludf.DUMMYFUNCTION("""COMPUTED_VALUE"""),45855.472594629624)</f>
        <v>45855.47259</v>
      </c>
      <c r="D196" s="3" t="str">
        <f>IFERROR(__xludf.DUMMYFUNCTION("""COMPUTED_VALUE"""),"Pintu Extension")</f>
        <v>Pintu Extension</v>
      </c>
      <c r="E196" s="3" t="str">
        <f>IFERROR(__xludf.DUMMYFUNCTION("""COMPUTED_VALUE"""),"Ejo/2025/07/157")</f>
        <v>Ejo/2025/07/157</v>
      </c>
      <c r="F196" s="3" t="str">
        <f>IFERROR(__xludf.DUMMYFUNCTION("""COMPUTED_VALUE"""),"CNP 100")</f>
        <v>CNP 100</v>
      </c>
      <c r="G196" s="3">
        <f>IFERROR(__xludf.DUMMYFUNCTION("""COMPUTED_VALUE"""),2.0)</f>
        <v>2</v>
      </c>
      <c r="H196" s="3" t="str">
        <f>IFERROR(__xludf.DUMMYFUNCTION("""COMPUTED_VALUE"""),"btg")</f>
        <v>btg</v>
      </c>
      <c r="I196" s="3" t="str">
        <f>IFERROR(__xludf.DUMMYFUNCTION("""COMPUTED_VALUE"""),"Deliver")</f>
        <v>Deliver</v>
      </c>
      <c r="J196" s="3" t="str">
        <f>IFERROR(__xludf.DUMMYFUNCTION("""COMPUTED_VALUE"""),"-")</f>
        <v>-</v>
      </c>
      <c r="K196" s="3" t="str">
        <f>IFERROR(__xludf.DUMMYFUNCTION("""COMPUTED_VALUE"""),"-")</f>
        <v>-</v>
      </c>
    </row>
    <row r="197">
      <c r="A197" s="3" t="str">
        <f>IFERROR(__xludf.DUMMYFUNCTION("""COMPUTED_VALUE"""),"MRNBR0034")</f>
        <v>MRNBR0034</v>
      </c>
      <c r="B197" s="4">
        <f>IFERROR(__xludf.DUMMYFUNCTION("""COMPUTED_VALUE"""),45854.661876724545)</f>
        <v>45854.66188</v>
      </c>
      <c r="C197" s="4">
        <f>IFERROR(__xludf.DUMMYFUNCTION("""COMPUTED_VALUE"""),45855.47291819444)</f>
        <v>45855.47292</v>
      </c>
      <c r="D197" s="3" t="str">
        <f>IFERROR(__xludf.DUMMYFUNCTION("""COMPUTED_VALUE"""),"Pintu Extension")</f>
        <v>Pintu Extension</v>
      </c>
      <c r="E197" s="3" t="str">
        <f>IFERROR(__xludf.DUMMYFUNCTION("""COMPUTED_VALUE"""),"Ejo/2025/07/158")</f>
        <v>Ejo/2025/07/158</v>
      </c>
      <c r="F197" s="3" t="str">
        <f>IFERROR(__xludf.DUMMYFUNCTION("""COMPUTED_VALUE"""),"Kawat lass")</f>
        <v>Kawat lass</v>
      </c>
      <c r="G197" s="3">
        <f>IFERROR(__xludf.DUMMYFUNCTION("""COMPUTED_VALUE"""),1.0)</f>
        <v>1</v>
      </c>
      <c r="H197" s="3" t="str">
        <f>IFERROR(__xludf.DUMMYFUNCTION("""COMPUTED_VALUE"""),"kg")</f>
        <v>kg</v>
      </c>
      <c r="I197" s="3" t="str">
        <f>IFERROR(__xludf.DUMMYFUNCTION("""COMPUTED_VALUE"""),"Deliver")</f>
        <v>Deliver</v>
      </c>
      <c r="J197" s="3" t="str">
        <f>IFERROR(__xludf.DUMMYFUNCTION("""COMPUTED_VALUE"""),"-")</f>
        <v>-</v>
      </c>
      <c r="K197" s="3" t="str">
        <f>IFERROR(__xludf.DUMMYFUNCTION("""COMPUTED_VALUE"""),"-")</f>
        <v>-</v>
      </c>
    </row>
    <row r="198">
      <c r="A198" s="3" t="str">
        <f>IFERROR(__xludf.DUMMYFUNCTION("""COMPUTED_VALUE"""),"SFHBR0024")</f>
        <v>SFHBR0024</v>
      </c>
      <c r="B198" s="4">
        <f>IFERROR(__xludf.DUMMYFUNCTION("""COMPUTED_VALUE"""),45854.711982719906)</f>
        <v>45854.71198</v>
      </c>
      <c r="C198" s="4">
        <f>IFERROR(__xludf.DUMMYFUNCTION("""COMPUTED_VALUE"""),45855.471348541665)</f>
        <v>45855.47135</v>
      </c>
      <c r="D198" s="3" t="str">
        <f>IFERROR(__xludf.DUMMYFUNCTION("""COMPUTED_VALUE"""),"lantai 2")</f>
        <v>lantai 2</v>
      </c>
      <c r="E198" s="3" t="str">
        <f>IFERROR(__xludf.DUMMYFUNCTION("""COMPUTED_VALUE"""),"EJO/2025/06/159")</f>
        <v>EJO/2025/06/159</v>
      </c>
      <c r="F198" s="3" t="str">
        <f>IFERROR(__xludf.DUMMYFUNCTION("""COMPUTED_VALUE"""),"holo staniless mirror 304")</f>
        <v>holo staniless mirror 304</v>
      </c>
      <c r="G198" s="3">
        <f>IFERROR(__xludf.DUMMYFUNCTION("""COMPUTED_VALUE"""),3.0)</f>
        <v>3</v>
      </c>
      <c r="H198" s="3" t="str">
        <f>IFERROR(__xludf.DUMMYFUNCTION("""COMPUTED_VALUE"""),"btg")</f>
        <v>btg</v>
      </c>
      <c r="I198" s="3" t="str">
        <f>IFERROR(__xludf.DUMMYFUNCTION("""COMPUTED_VALUE"""),"Deliver")</f>
        <v>Deliver</v>
      </c>
      <c r="J198" s="3" t="str">
        <f>IFERROR(__xludf.DUMMYFUNCTION("""COMPUTED_VALUE"""),"-")</f>
        <v>-</v>
      </c>
      <c r="K198" s="3" t="str">
        <f>IFERROR(__xludf.DUMMYFUNCTION("""COMPUTED_VALUE"""),"-")</f>
        <v>-</v>
      </c>
    </row>
    <row r="199">
      <c r="A199" s="3" t="str">
        <f>IFERROR(__xludf.DUMMYFUNCTION("""COMPUTED_VALUE"""),"SFHBR0025")</f>
        <v>SFHBR0025</v>
      </c>
      <c r="B199" s="4">
        <f>IFERROR(__xludf.DUMMYFUNCTION("""COMPUTED_VALUE"""),45854.722886331016)</f>
        <v>45854.72289</v>
      </c>
      <c r="C199" s="4">
        <f>IFERROR(__xludf.DUMMYFUNCTION("""COMPUTED_VALUE"""),45855.471737534725)</f>
        <v>45855.47174</v>
      </c>
      <c r="D199" s="3" t="str">
        <f>IFERROR(__xludf.DUMMYFUNCTION("""COMPUTED_VALUE"""),"lantai 2")</f>
        <v>lantai 2</v>
      </c>
      <c r="E199" s="3" t="str">
        <f>IFERROR(__xludf.DUMMYFUNCTION("""COMPUTED_VALUE"""),"EJO/2025/06/159")</f>
        <v>EJO/2025/06/159</v>
      </c>
      <c r="F199" s="3" t="str">
        <f>IFERROR(__xludf.DUMMYFUNCTION("""COMPUTED_VALUE"""),"Besi siku staniles 304")</f>
        <v>Besi siku staniles 304</v>
      </c>
      <c r="G199" s="3">
        <f>IFERROR(__xludf.DUMMYFUNCTION("""COMPUTED_VALUE"""),2.0)</f>
        <v>2</v>
      </c>
      <c r="H199" s="3" t="str">
        <f>IFERROR(__xludf.DUMMYFUNCTION("""COMPUTED_VALUE"""),"btg")</f>
        <v>btg</v>
      </c>
      <c r="I199" s="3" t="str">
        <f>IFERROR(__xludf.DUMMYFUNCTION("""COMPUTED_VALUE"""),"Deliver")</f>
        <v>Deliver</v>
      </c>
      <c r="J199" s="3" t="str">
        <f>IFERROR(__xludf.DUMMYFUNCTION("""COMPUTED_VALUE"""),"-")</f>
        <v>-</v>
      </c>
      <c r="K199" s="3" t="str">
        <f>IFERROR(__xludf.DUMMYFUNCTION("""COMPUTED_VALUE"""),"-")</f>
        <v>-</v>
      </c>
    </row>
    <row r="200">
      <c r="A200" s="3" t="str">
        <f>IFERROR(__xludf.DUMMYFUNCTION("""COMPUTED_VALUE"""),"SFHBR0026")</f>
        <v>SFHBR0026</v>
      </c>
      <c r="B200" s="4">
        <f>IFERROR(__xludf.DUMMYFUNCTION("""COMPUTED_VALUE"""),45854.7257002662)</f>
        <v>45854.7257</v>
      </c>
      <c r="C200" s="4">
        <f>IFERROR(__xludf.DUMMYFUNCTION("""COMPUTED_VALUE"""),45855.47207337963)</f>
        <v>45855.47207</v>
      </c>
      <c r="D200" s="3" t="str">
        <f>IFERROR(__xludf.DUMMYFUNCTION("""COMPUTED_VALUE"""),"lantai 2")</f>
        <v>lantai 2</v>
      </c>
      <c r="E200" s="3" t="str">
        <f>IFERROR(__xludf.DUMMYFUNCTION("""COMPUTED_VALUE"""),"EJO/2025/06/159")</f>
        <v>EJO/2025/06/159</v>
      </c>
      <c r="F200" s="3" t="str">
        <f>IFERROR(__xludf.DUMMYFUNCTION("""COMPUTED_VALUE"""),"Expanded metal besi ")</f>
        <v>Expanded metal besi </v>
      </c>
      <c r="G200" s="3">
        <f>IFERROR(__xludf.DUMMYFUNCTION("""COMPUTED_VALUE"""),1.0)</f>
        <v>1</v>
      </c>
      <c r="H200" s="3" t="str">
        <f>IFERROR(__xludf.DUMMYFUNCTION("""COMPUTED_VALUE"""),"lembar")</f>
        <v>lembar</v>
      </c>
      <c r="I200" s="3" t="str">
        <f>IFERROR(__xludf.DUMMYFUNCTION("""COMPUTED_VALUE"""),"Deliver")</f>
        <v>Deliver</v>
      </c>
      <c r="J200" s="3" t="str">
        <f>IFERROR(__xludf.DUMMYFUNCTION("""COMPUTED_VALUE"""),"-")</f>
        <v>-</v>
      </c>
      <c r="K200" s="3" t="str">
        <f>IFERROR(__xludf.DUMMYFUNCTION("""COMPUTED_VALUE"""),"-")</f>
        <v>-</v>
      </c>
    </row>
    <row r="201">
      <c r="A201" s="3" t="str">
        <f>IFERROR(__xludf.DUMMYFUNCTION("""COMPUTED_VALUE"""),"SFHBR0027")</f>
        <v>SFHBR0027</v>
      </c>
      <c r="B201" s="4">
        <f>IFERROR(__xludf.DUMMYFUNCTION("""COMPUTED_VALUE"""),45856.946698657404)</f>
        <v>45856.9467</v>
      </c>
      <c r="C201" s="4">
        <f>IFERROR(__xludf.DUMMYFUNCTION("""COMPUTED_VALUE"""),45860.84815597222)</f>
        <v>45860.84816</v>
      </c>
      <c r="D201" s="3" t="str">
        <f>IFERROR(__xludf.DUMMYFUNCTION("""COMPUTED_VALUE"""),"lantai 2")</f>
        <v>lantai 2</v>
      </c>
      <c r="E201" s="3" t="str">
        <f>IFERROR(__xludf.DUMMYFUNCTION("""COMPUTED_VALUE"""),"-")</f>
        <v>-</v>
      </c>
      <c r="F201" s="3" t="str">
        <f>IFERROR(__xludf.DUMMYFUNCTION("""COMPUTED_VALUE"""),"nachi mata bor besi")</f>
        <v>nachi mata bor besi</v>
      </c>
      <c r="G201" s="3">
        <f>IFERROR(__xludf.DUMMYFUNCTION("""COMPUTED_VALUE"""),1.0)</f>
        <v>1</v>
      </c>
      <c r="H201" s="3" t="str">
        <f>IFERROR(__xludf.DUMMYFUNCTION("""COMPUTED_VALUE"""),"set")</f>
        <v>set</v>
      </c>
      <c r="I201" s="3" t="str">
        <f>IFERROR(__xludf.DUMMYFUNCTION("""COMPUTED_VALUE"""),"Deliver")</f>
        <v>Deliver</v>
      </c>
      <c r="J201" s="3" t="str">
        <f>IFERROR(__xludf.DUMMYFUNCTION("""COMPUTED_VALUE"""),"-")</f>
        <v>-</v>
      </c>
      <c r="K201" s="3" t="str">
        <f>IFERROR(__xludf.DUMMYFUNCTION("""COMPUTED_VALUE"""),"-")</f>
        <v>-</v>
      </c>
    </row>
    <row r="202">
      <c r="A202" s="3" t="str">
        <f>IFERROR(__xludf.DUMMYFUNCTION("""COMPUTED_VALUE"""),"RIABR0047")</f>
        <v>RIABR0047</v>
      </c>
      <c r="B202" s="4">
        <f>IFERROR(__xludf.DUMMYFUNCTION("""COMPUTED_VALUE"""),45860.91860982639)</f>
        <v>45860.91861</v>
      </c>
      <c r="C202" s="4">
        <f>IFERROR(__xludf.DUMMYFUNCTION("""COMPUTED_VALUE"""),45867.455843344906)</f>
        <v>45867.45584</v>
      </c>
      <c r="D202" s="3" t="str">
        <f>IFERROR(__xludf.DUMMYFUNCTION("""COMPUTED_VALUE"""),"WWTP")</f>
        <v>WWTP</v>
      </c>
      <c r="E202" s="3" t="str">
        <f>IFERROR(__xludf.DUMMYFUNCTION("""COMPUTED_VALUE"""),"EJO/2025/07/153")</f>
        <v>EJO/2025/07/153</v>
      </c>
      <c r="F202" s="3" t="str">
        <f>IFERROR(__xludf.DUMMYFUNCTION("""COMPUTED_VALUE"""),"Pilot Lamp")</f>
        <v>Pilot Lamp</v>
      </c>
      <c r="G202" s="3">
        <f>IFERROR(__xludf.DUMMYFUNCTION("""COMPUTED_VALUE"""),3.0)</f>
        <v>3</v>
      </c>
      <c r="H202" s="3" t="str">
        <f>IFERROR(__xludf.DUMMYFUNCTION("""COMPUTED_VALUE"""),"Pcs")</f>
        <v>Pcs</v>
      </c>
      <c r="I202" s="3" t="str">
        <f>IFERROR(__xludf.DUMMYFUNCTION("""COMPUTED_VALUE"""),"Deliver")</f>
        <v>Deliver</v>
      </c>
      <c r="J202" s="3" t="str">
        <f>IFERROR(__xludf.DUMMYFUNCTION("""COMPUTED_VALUE"""),"-")</f>
        <v>-</v>
      </c>
      <c r="K202" s="3" t="str">
        <f>IFERROR(__xludf.DUMMYFUNCTION("""COMPUTED_VALUE"""),"-")</f>
        <v>-</v>
      </c>
    </row>
    <row r="203">
      <c r="A203" s="3" t="str">
        <f>IFERROR(__xludf.DUMMYFUNCTION("""COMPUTED_VALUE"""),"INNBR0039")</f>
        <v>INNBR0039</v>
      </c>
      <c r="B203" s="4">
        <f>IFERROR(__xludf.DUMMYFUNCTION("""COMPUTED_VALUE"""),45861.66406931713)</f>
        <v>45861.66407</v>
      </c>
      <c r="C203" s="4">
        <f>IFERROR(__xludf.DUMMYFUNCTION("""COMPUTED_VALUE"""),45895.11904909722)</f>
        <v>45895.11905</v>
      </c>
      <c r="D203" s="3" t="str">
        <f>IFERROR(__xludf.DUMMYFUNCTION("""COMPUTED_VALUE"""),"GC")</f>
        <v>GC</v>
      </c>
      <c r="E203" s="3" t="str">
        <f>IFERROR(__xludf.DUMMYFUNCTION("""COMPUTED_VALUE"""),"EJO/2025/07/170")</f>
        <v>EJO/2025/07/170</v>
      </c>
      <c r="F203" s="3" t="str">
        <f>IFERROR(__xludf.DUMMYFUNCTION("""COMPUTED_VALUE"""),"HTR/Sensor for FID/TCD/NPD/SSL p/n: G1530-67950")</f>
        <v>HTR/Sensor for FID/TCD/NPD/SSL p/n: G1530-67950</v>
      </c>
      <c r="G203" s="3">
        <f>IFERROR(__xludf.DUMMYFUNCTION("""COMPUTED_VALUE"""),1.0)</f>
        <v>1</v>
      </c>
      <c r="H203" s="3" t="str">
        <f>IFERROR(__xludf.DUMMYFUNCTION("""COMPUTED_VALUE"""),"Unit")</f>
        <v>Unit</v>
      </c>
      <c r="I203" s="3" t="str">
        <f>IFERROR(__xludf.DUMMYFUNCTION("""COMPUTED_VALUE"""),"Deliver")</f>
        <v>Deliver</v>
      </c>
      <c r="J203" s="3" t="str">
        <f>IFERROR(__xludf.DUMMYFUNCTION("""COMPUTED_VALUE"""),"-")</f>
        <v>-</v>
      </c>
      <c r="K203" s="3" t="str">
        <f>IFERROR(__xludf.DUMMYFUNCTION("""COMPUTED_VALUE"""),"-")</f>
        <v>-</v>
      </c>
    </row>
    <row r="204">
      <c r="A204" s="3" t="str">
        <f>IFERROR(__xludf.DUMMYFUNCTION("""COMPUTED_VALUE"""),"ANOBR0026")</f>
        <v>ANOBR0026</v>
      </c>
      <c r="B204" s="4">
        <f>IFERROR(__xludf.DUMMYFUNCTION("""COMPUTED_VALUE"""),45862.840181064814)</f>
        <v>45862.84018</v>
      </c>
      <c r="C204" s="4">
        <f>IFERROR(__xludf.DUMMYFUNCTION("""COMPUTED_VALUE"""),45887.46930736111)</f>
        <v>45887.46931</v>
      </c>
      <c r="D204" s="3" t="str">
        <f>IFERROR(__xludf.DUMMYFUNCTION("""COMPUTED_VALUE"""),"trolley pollybotle")</f>
        <v>trolley pollybotle</v>
      </c>
      <c r="E204" s="3" t="str">
        <f>IFERROR(__xludf.DUMMYFUNCTION("""COMPUTED_VALUE"""),"EJO/2025/05/156")</f>
        <v>EJO/2025/05/156</v>
      </c>
      <c r="F204" s="3" t="str">
        <f>IFERROR(__xludf.DUMMYFUNCTION("""COMPUTED_VALUE"""),"pilox warna stainless")</f>
        <v>pilox warna stainless</v>
      </c>
      <c r="G204" s="3">
        <f>IFERROR(__xludf.DUMMYFUNCTION("""COMPUTED_VALUE"""),1.0)</f>
        <v>1</v>
      </c>
      <c r="H204" s="3" t="str">
        <f>IFERROR(__xludf.DUMMYFUNCTION("""COMPUTED_VALUE"""),"Pcs")</f>
        <v>Pcs</v>
      </c>
      <c r="I204" s="3" t="str">
        <f>IFERROR(__xludf.DUMMYFUNCTION("""COMPUTED_VALUE"""),"Deliver")</f>
        <v>Deliver</v>
      </c>
      <c r="J204" s="3" t="str">
        <f>IFERROR(__xludf.DUMMYFUNCTION("""COMPUTED_VALUE"""),"-")</f>
        <v>-</v>
      </c>
      <c r="K204" s="3" t="str">
        <f>IFERROR(__xludf.DUMMYFUNCTION("""COMPUTED_VALUE"""),"-")</f>
        <v>-</v>
      </c>
    </row>
    <row r="205">
      <c r="A205" s="3" t="str">
        <f>IFERROR(__xludf.DUMMYFUNCTION("""COMPUTED_VALUE"""),"MFHBR0009")</f>
        <v>MFHBR0009</v>
      </c>
      <c r="B205" s="4">
        <f>IFERROR(__xludf.DUMMYFUNCTION("""COMPUTED_VALUE"""),45865.62745817129)</f>
        <v>45865.62746</v>
      </c>
      <c r="C205" s="4">
        <f>IFERROR(__xludf.DUMMYFUNCTION("""COMPUTED_VALUE"""),45865.92921879629)</f>
        <v>45865.92922</v>
      </c>
      <c r="D205" s="3" t="str">
        <f>IFERROR(__xludf.DUMMYFUNCTION("""COMPUTED_VALUE"""),"Autoclave")</f>
        <v>Autoclave</v>
      </c>
      <c r="E205" s="3" t="str">
        <f>IFERROR(__xludf.DUMMYFUNCTION("""COMPUTED_VALUE"""),"-")</f>
        <v>-</v>
      </c>
      <c r="F205" s="3" t="str">
        <f>IFERROR(__xludf.DUMMYFUNCTION("""COMPUTED_VALUE"""),"HMI Siemens")</f>
        <v>HMI Siemens</v>
      </c>
      <c r="G205" s="3">
        <f>IFERROR(__xludf.DUMMYFUNCTION("""COMPUTED_VALUE"""),1.0)</f>
        <v>1</v>
      </c>
      <c r="H205" s="3" t="str">
        <f>IFERROR(__xludf.DUMMYFUNCTION("""COMPUTED_VALUE"""),"Unit")</f>
        <v>Unit</v>
      </c>
      <c r="I205" s="3" t="str">
        <f>IFERROR(__xludf.DUMMYFUNCTION("""COMPUTED_VALUE"""),"Deliver")</f>
        <v>Deliver</v>
      </c>
      <c r="J205" s="3" t="str">
        <f>IFERROR(__xludf.DUMMYFUNCTION("""COMPUTED_VALUE"""),"121702798 - APPROVED")</f>
        <v>121702798 - APPROVED</v>
      </c>
      <c r="K205" s="3" t="str">
        <f>IFERROR(__xludf.DUMMYFUNCTION("""COMPUTED_VALUE"""),"GL2507030")</f>
        <v>GL2507030</v>
      </c>
    </row>
    <row r="206">
      <c r="A206" s="3" t="str">
        <f>IFERROR(__xludf.DUMMYFUNCTION("""COMPUTED_VALUE"""),"MFHBR0010")</f>
        <v>MFHBR0010</v>
      </c>
      <c r="B206" s="4">
        <f>IFERROR(__xludf.DUMMYFUNCTION("""COMPUTED_VALUE"""),45865.6284737037)</f>
        <v>45865.62847</v>
      </c>
      <c r="C206" s="4">
        <f>IFERROR(__xludf.DUMMYFUNCTION("""COMPUTED_VALUE"""),45865.92931760417)</f>
        <v>45865.92932</v>
      </c>
      <c r="D206" s="3" t="str">
        <f>IFERROR(__xludf.DUMMYFUNCTION("""COMPUTED_VALUE"""),"Building")</f>
        <v>Building</v>
      </c>
      <c r="E206" s="3" t="str">
        <f>IFERROR(__xludf.DUMMYFUNCTION("""COMPUTED_VALUE"""),"-")</f>
        <v>-</v>
      </c>
      <c r="F206" s="3" t="str">
        <f>IFERROR(__xludf.DUMMYFUNCTION("""COMPUTED_VALUE"""),"Epoxy")</f>
        <v>Epoxy</v>
      </c>
      <c r="G206" s="3">
        <f>IFERROR(__xludf.DUMMYFUNCTION("""COMPUTED_VALUE"""),1.0)</f>
        <v>1</v>
      </c>
      <c r="H206" s="3" t="str">
        <f>IFERROR(__xludf.DUMMYFUNCTION("""COMPUTED_VALUE"""),"Lot")</f>
        <v>Lot</v>
      </c>
      <c r="I206" s="3" t="str">
        <f>IFERROR(__xludf.DUMMYFUNCTION("""COMPUTED_VALUE"""),"Deliver")</f>
        <v>Deliver</v>
      </c>
      <c r="J206" s="3" t="str">
        <f>IFERROR(__xludf.DUMMYFUNCTION("""COMPUTED_VALUE"""),"121702983 - APPROVED")</f>
        <v>121702983 - APPROVED</v>
      </c>
      <c r="K206" s="3" t="str">
        <f>IFERROR(__xludf.DUMMYFUNCTION("""COMPUTED_VALUE"""),"GL2508014")</f>
        <v>GL2508014</v>
      </c>
    </row>
    <row r="207">
      <c r="A207" s="3" t="str">
        <f>IFERROR(__xludf.DUMMYFUNCTION("""COMPUTED_VALUE"""),"MRNBR0035")</f>
        <v>MRNBR0035</v>
      </c>
      <c r="B207" s="4">
        <f>IFERROR(__xludf.DUMMYFUNCTION("""COMPUTED_VALUE"""),45865.63765895833)</f>
        <v>45865.63766</v>
      </c>
      <c r="C207" s="4">
        <f>IFERROR(__xludf.DUMMYFUNCTION("""COMPUTED_VALUE"""),45867.45658614583)</f>
        <v>45867.45659</v>
      </c>
      <c r="D207" s="3" t="str">
        <f>IFERROR(__xludf.DUMMYFUNCTION("""COMPUTED_VALUE"""),"Ruang GC lab")</f>
        <v>Ruang GC lab</v>
      </c>
      <c r="E207" s="3" t="str">
        <f>IFERROR(__xludf.DUMMYFUNCTION("""COMPUTED_VALUE"""),"EJO/2025/07/42")</f>
        <v>EJO/2025/07/42</v>
      </c>
      <c r="F207" s="3" t="str">
        <f>IFERROR(__xludf.DUMMYFUNCTION("""COMPUTED_VALUE"""),"solenoid valve 1/4 inch")</f>
        <v>solenoid valve 1/4 inch</v>
      </c>
      <c r="G207" s="3">
        <f>IFERROR(__xludf.DUMMYFUNCTION("""COMPUTED_VALUE"""),2.0)</f>
        <v>2</v>
      </c>
      <c r="H207" s="3" t="str">
        <f>IFERROR(__xludf.DUMMYFUNCTION("""COMPUTED_VALUE"""),"pcs")</f>
        <v>pcs</v>
      </c>
      <c r="I207" s="3" t="str">
        <f>IFERROR(__xludf.DUMMYFUNCTION("""COMPUTED_VALUE"""),"Deliver")</f>
        <v>Deliver</v>
      </c>
      <c r="J207" s="3" t="str">
        <f>IFERROR(__xludf.DUMMYFUNCTION("""COMPUTED_VALUE"""),"-")</f>
        <v>-</v>
      </c>
      <c r="K207" s="3" t="str">
        <f>IFERROR(__xludf.DUMMYFUNCTION("""COMPUTED_VALUE"""),"-")</f>
        <v>-</v>
      </c>
    </row>
    <row r="208">
      <c r="A208" s="3" t="str">
        <f>IFERROR(__xludf.DUMMYFUNCTION("""COMPUTED_VALUE"""),"SFHBR0028")</f>
        <v>SFHBR0028</v>
      </c>
      <c r="B208" s="4">
        <f>IFERROR(__xludf.DUMMYFUNCTION("""COMPUTED_VALUE"""),45871.05889086806)</f>
        <v>45871.05889</v>
      </c>
      <c r="C208" s="4">
        <f>IFERROR(__xludf.DUMMYFUNCTION("""COMPUTED_VALUE"""),45880.36066633102)</f>
        <v>45880.36067</v>
      </c>
      <c r="D208" s="3" t="str">
        <f>IFERROR(__xludf.DUMMYFUNCTION("""COMPUTED_VALUE"""),"lantai 2")</f>
        <v>lantai 2</v>
      </c>
      <c r="E208" s="3" t="str">
        <f>IFERROR(__xludf.DUMMYFUNCTION("""COMPUTED_VALUE"""),"-")</f>
        <v>-</v>
      </c>
      <c r="F208" s="3" t="str">
        <f>IFERROR(__xludf.DUMMYFUNCTION("""COMPUTED_VALUE"""),"cat dulux water shield")</f>
        <v>cat dulux water shield</v>
      </c>
      <c r="G208" s="3">
        <f>IFERROR(__xludf.DUMMYFUNCTION("""COMPUTED_VALUE"""),2.0)</f>
        <v>2</v>
      </c>
      <c r="H208" s="3" t="str">
        <f>IFERROR(__xludf.DUMMYFUNCTION("""COMPUTED_VALUE"""),"pel")</f>
        <v>pel</v>
      </c>
      <c r="I208" s="3" t="str">
        <f>IFERROR(__xludf.DUMMYFUNCTION("""COMPUTED_VALUE"""),"Deliver")</f>
        <v>Deliver</v>
      </c>
      <c r="J208" s="3" t="str">
        <f>IFERROR(__xludf.DUMMYFUNCTION("""COMPUTED_VALUE"""),"-")</f>
        <v>-</v>
      </c>
      <c r="K208" s="3" t="str">
        <f>IFERROR(__xludf.DUMMYFUNCTION("""COMPUTED_VALUE"""),"-")</f>
        <v>-</v>
      </c>
    </row>
    <row r="209">
      <c r="A209" s="3" t="str">
        <f>IFERROR(__xludf.DUMMYFUNCTION("""COMPUTED_VALUE"""),"MRNBR0036")</f>
        <v>MRNBR0036</v>
      </c>
      <c r="B209" s="4">
        <f>IFERROR(__xludf.DUMMYFUNCTION("""COMPUTED_VALUE"""),45873.44341615741)</f>
        <v>45873.44342</v>
      </c>
      <c r="C209" s="4">
        <f>IFERROR(__xludf.DUMMYFUNCTION("""COMPUTED_VALUE"""),45880.36175173611)</f>
        <v>45880.36175</v>
      </c>
      <c r="D209" s="3" t="str">
        <f>IFERROR(__xludf.DUMMYFUNCTION("""COMPUTED_VALUE"""),"PW SIKD")</f>
        <v>PW SIKD</v>
      </c>
      <c r="E209" s="3" t="str">
        <f>IFERROR(__xludf.DUMMYFUNCTION("""COMPUTED_VALUE"""),"EJO/2025/08/58")</f>
        <v>EJO/2025/08/58</v>
      </c>
      <c r="F209" s="3" t="str">
        <f>IFERROR(__xludf.DUMMYFUNCTION("""COMPUTED_VALUE"""),"Gasket Tanki silicon")</f>
        <v>Gasket Tanki silicon</v>
      </c>
      <c r="G209" s="3">
        <f>IFERROR(__xludf.DUMMYFUNCTION("""COMPUTED_VALUE"""),2.0)</f>
        <v>2</v>
      </c>
      <c r="H209" s="3" t="str">
        <f>IFERROR(__xludf.DUMMYFUNCTION("""COMPUTED_VALUE"""),"pcs")</f>
        <v>pcs</v>
      </c>
      <c r="I209" s="3" t="str">
        <f>IFERROR(__xludf.DUMMYFUNCTION("""COMPUTED_VALUE"""),"Deliver")</f>
        <v>Deliver</v>
      </c>
      <c r="J209" s="3" t="str">
        <f>IFERROR(__xludf.DUMMYFUNCTION("""COMPUTED_VALUE"""),"-")</f>
        <v>-</v>
      </c>
      <c r="K209" s="3" t="str">
        <f>IFERROR(__xludf.DUMMYFUNCTION("""COMPUTED_VALUE"""),"-")</f>
        <v>-</v>
      </c>
    </row>
    <row r="210">
      <c r="A210" s="3" t="str">
        <f>IFERROR(__xludf.DUMMYFUNCTION("""COMPUTED_VALUE"""),"ANOBR0027")</f>
        <v>ANOBR0027</v>
      </c>
      <c r="B210" s="4">
        <f>IFERROR(__xludf.DUMMYFUNCTION("""COMPUTED_VALUE"""),45874.41374378472)</f>
        <v>45874.41374</v>
      </c>
      <c r="C210" s="4">
        <f>IFERROR(__xludf.DUMMYFUNCTION("""COMPUTED_VALUE"""),45887.469635925925)</f>
        <v>45887.46964</v>
      </c>
      <c r="D210" s="3" t="str">
        <f>IFERROR(__xludf.DUMMYFUNCTION("""COMPUTED_VALUE"""),"Instrumen BSC")</f>
        <v>Instrumen BSC</v>
      </c>
      <c r="E210" s="3" t="str">
        <f>IFERROR(__xludf.DUMMYFUNCTION("""COMPUTED_VALUE"""),"-")</f>
        <v>-</v>
      </c>
      <c r="F210" s="3" t="str">
        <f>IFERROR(__xludf.DUMMYFUNCTION("""COMPUTED_VALUE"""),"Akrilik 3 mm")</f>
        <v>Akrilik 3 mm</v>
      </c>
      <c r="G210" s="3">
        <f>IFERROR(__xludf.DUMMYFUNCTION("""COMPUTED_VALUE"""),1.0)</f>
        <v>1</v>
      </c>
      <c r="H210" s="3" t="str">
        <f>IFERROR(__xludf.DUMMYFUNCTION("""COMPUTED_VALUE"""),"lembar")</f>
        <v>lembar</v>
      </c>
      <c r="I210" s="3" t="str">
        <f>IFERROR(__xludf.DUMMYFUNCTION("""COMPUTED_VALUE"""),"Deliver")</f>
        <v>Deliver</v>
      </c>
      <c r="J210" s="3" t="str">
        <f>IFERROR(__xludf.DUMMYFUNCTION("""COMPUTED_VALUE"""),"-")</f>
        <v>-</v>
      </c>
      <c r="K210" s="3" t="str">
        <f>IFERROR(__xludf.DUMMYFUNCTION("""COMPUTED_VALUE"""),"-")</f>
        <v>-</v>
      </c>
    </row>
    <row r="211">
      <c r="A211" s="3" t="str">
        <f>IFERROR(__xludf.DUMMYFUNCTION("""COMPUTED_VALUE"""),"ROSBR0028")</f>
        <v>ROSBR0028</v>
      </c>
      <c r="B211" s="4">
        <f>IFERROR(__xludf.DUMMYFUNCTION("""COMPUTED_VALUE"""),45875.442428726856)</f>
        <v>45875.44243</v>
      </c>
      <c r="C211" s="4">
        <f>IFERROR(__xludf.DUMMYFUNCTION("""COMPUTED_VALUE"""),45930.21111959491)</f>
        <v>45930.21112</v>
      </c>
      <c r="D211" s="3" t="str">
        <f>IFERROR(__xludf.DUMMYFUNCTION("""COMPUTED_VALUE"""),"Preparasi Autoclave Lab mikro ")</f>
        <v>Preparasi Autoclave Lab mikro </v>
      </c>
      <c r="E211" s="3" t="str">
        <f>IFERROR(__xludf.DUMMYFUNCTION("""COMPUTED_VALUE"""),"NA ")</f>
        <v>NA </v>
      </c>
      <c r="F211" s="3" t="str">
        <f>IFERROR(__xludf.DUMMYFUNCTION("""COMPUTED_VALUE"""),"Oring Dop pintu preparasi autoclave lab Mikro ")</f>
        <v>Oring Dop pintu preparasi autoclave lab Mikro </v>
      </c>
      <c r="G211" s="3">
        <f>IFERROR(__xludf.DUMMYFUNCTION("""COMPUTED_VALUE"""),10.0)</f>
        <v>10</v>
      </c>
      <c r="H211" s="3" t="str">
        <f>IFERROR(__xludf.DUMMYFUNCTION("""COMPUTED_VALUE"""),"Pcs")</f>
        <v>Pcs</v>
      </c>
      <c r="I211" s="3" t="str">
        <f>IFERROR(__xludf.DUMMYFUNCTION("""COMPUTED_VALUE"""),"Deliver")</f>
        <v>Deliver</v>
      </c>
      <c r="J211" s="3" t="str">
        <f>IFERROR(__xludf.DUMMYFUNCTION("""COMPUTED_VALUE"""),"121703764 - APPROVED")</f>
        <v>121703764 - APPROVED</v>
      </c>
      <c r="K211" s="3" t="str">
        <f>IFERROR(__xludf.DUMMYFUNCTION("""COMPUTED_VALUE"""),"GL2602415")</f>
        <v>GL2602415</v>
      </c>
    </row>
    <row r="212">
      <c r="A212" s="3" t="str">
        <f>IFERROR(__xludf.DUMMYFUNCTION("""COMPUTED_VALUE"""),"ROSBR0029")</f>
        <v>ROSBR0029</v>
      </c>
      <c r="B212" s="4">
        <f>IFERROR(__xludf.DUMMYFUNCTION("""COMPUTED_VALUE"""),45875.45508028936)</f>
        <v>45875.45508</v>
      </c>
      <c r="C212" s="4">
        <f>IFERROR(__xludf.DUMMYFUNCTION("""COMPUTED_VALUE"""),45895.12172943287)</f>
        <v>45895.12173</v>
      </c>
      <c r="D212" s="3" t="str">
        <f>IFERROR(__xludf.DUMMYFUNCTION("""COMPUTED_VALUE"""),"Preparasi Autoclave Lab Mikro 
")</f>
        <v>Preparasi Autoclave Lab Mikro 
</v>
      </c>
      <c r="E212" s="3" t="str">
        <f>IFERROR(__xludf.DUMMYFUNCTION("""COMPUTED_VALUE"""),"NA")</f>
        <v>NA</v>
      </c>
      <c r="F212" s="3" t="str">
        <f>IFERROR(__xludf.DUMMYFUNCTION("""COMPUTED_VALUE"""),"Oring Dop pintu preparasi autoclave lab Mikro ")</f>
        <v>Oring Dop pintu preparasi autoclave lab Mikro </v>
      </c>
      <c r="G212" s="3">
        <f>IFERROR(__xludf.DUMMYFUNCTION("""COMPUTED_VALUE"""),5.0)</f>
        <v>5</v>
      </c>
      <c r="H212" s="3" t="str">
        <f>IFERROR(__xludf.DUMMYFUNCTION("""COMPUTED_VALUE"""),"pcs")</f>
        <v>pcs</v>
      </c>
      <c r="I212" s="3" t="str">
        <f>IFERROR(__xludf.DUMMYFUNCTION("""COMPUTED_VALUE"""),"Deliver")</f>
        <v>Deliver</v>
      </c>
      <c r="J212" s="3" t="str">
        <f>IFERROR(__xludf.DUMMYFUNCTION("""COMPUTED_VALUE"""),"121703648 - APPROVED")</f>
        <v>121703648 - APPROVED</v>
      </c>
      <c r="K212" s="3" t="str">
        <f>IFERROR(__xludf.DUMMYFUNCTION("""COMPUTED_VALUE"""),"GL2602376")</f>
        <v>GL2602376</v>
      </c>
    </row>
    <row r="213">
      <c r="A213" s="3" t="str">
        <f>IFERROR(__xludf.DUMMYFUNCTION("""COMPUTED_VALUE"""),"ROSBR0030")</f>
        <v>ROSBR0030</v>
      </c>
      <c r="B213" s="4">
        <f>IFERROR(__xludf.DUMMYFUNCTION("""COMPUTED_VALUE"""),45875.47010125)</f>
        <v>45875.4701</v>
      </c>
      <c r="C213" s="4">
        <f>IFERROR(__xludf.DUMMYFUNCTION("""COMPUTED_VALUE"""),45895.12536355324)</f>
        <v>45895.12536</v>
      </c>
      <c r="D213" s="3" t="str">
        <f>IFERROR(__xludf.DUMMYFUNCTION("""COMPUTED_VALUE"""),"Compressor FD ")</f>
        <v>Compressor FD </v>
      </c>
      <c r="E213" s="3" t="str">
        <f>IFERROR(__xludf.DUMMYFUNCTION("""COMPUTED_VALUE"""),"NA")</f>
        <v>NA</v>
      </c>
      <c r="F213" s="3" t="str">
        <f>IFERROR(__xludf.DUMMYFUNCTION("""COMPUTED_VALUE"""),"Baut terminal kompressor ")</f>
        <v>Baut terminal kompressor </v>
      </c>
      <c r="G213" s="3">
        <f>IFERROR(__xludf.DUMMYFUNCTION("""COMPUTED_VALUE"""),20.0)</f>
        <v>20</v>
      </c>
      <c r="H213" s="3" t="str">
        <f>IFERROR(__xludf.DUMMYFUNCTION("""COMPUTED_VALUE"""),"pcs")</f>
        <v>pcs</v>
      </c>
      <c r="I213" s="3" t="str">
        <f>IFERROR(__xludf.DUMMYFUNCTION("""COMPUTED_VALUE"""),"Deliver")</f>
        <v>Deliver</v>
      </c>
      <c r="J213" s="3" t="str">
        <f>IFERROR(__xludf.DUMMYFUNCTION("""COMPUTED_VALUE"""),"-")</f>
        <v>-</v>
      </c>
      <c r="K213" s="3" t="str">
        <f>IFERROR(__xludf.DUMMYFUNCTION("""COMPUTED_VALUE"""),"-")</f>
        <v>-</v>
      </c>
    </row>
    <row r="214">
      <c r="A214" s="3" t="str">
        <f>IFERROR(__xludf.DUMMYFUNCTION("""COMPUTED_VALUE"""),"AAABR0014")</f>
        <v>AAABR0014</v>
      </c>
      <c r="B214" s="4">
        <f>IFERROR(__xludf.DUMMYFUNCTION("""COMPUTED_VALUE"""),45876.670065509265)</f>
        <v>45876.67007</v>
      </c>
      <c r="C214" s="4">
        <f>IFERROR(__xludf.DUMMYFUNCTION("""COMPUTED_VALUE"""),45887.46028659722)</f>
        <v>45887.46029</v>
      </c>
      <c r="D214" s="3" t="str">
        <f>IFERROR(__xludf.DUMMYFUNCTION("""COMPUTED_VALUE"""),"EDM")</f>
        <v>EDM</v>
      </c>
      <c r="E214" s="3" t="str">
        <f>IFERROR(__xludf.DUMMYFUNCTION("""COMPUTED_VALUE"""),"EJO/2025/08/103")</f>
        <v>EJO/2025/08/103</v>
      </c>
      <c r="F214" s="3" t="str">
        <f>IFERROR(__xludf.DUMMYFUNCTION("""COMPUTED_VALUE"""),"P.W. SPRAYING VALVE ACTUATOR")</f>
        <v>P.W. SPRAYING VALVE ACTUATOR</v>
      </c>
      <c r="G214" s="3">
        <f>IFERROR(__xludf.DUMMYFUNCTION("""COMPUTED_VALUE"""),3.0)</f>
        <v>3</v>
      </c>
      <c r="H214" s="3" t="str">
        <f>IFERROR(__xludf.DUMMYFUNCTION("""COMPUTED_VALUE"""),"Set")</f>
        <v>Set</v>
      </c>
      <c r="I214" s="3" t="str">
        <f>IFERROR(__xludf.DUMMYFUNCTION("""COMPUTED_VALUE"""),"Deliver")</f>
        <v>Deliver</v>
      </c>
      <c r="J214" s="3" t="str">
        <f>IFERROR(__xludf.DUMMYFUNCTION("""COMPUTED_VALUE"""),"121703490 - APPROVED")</f>
        <v>121703490 - APPROVED</v>
      </c>
      <c r="K214" s="3" t="str">
        <f>IFERROR(__xludf.DUMMYFUNCTION("""COMPUTED_VALUE"""),"GL2511060")</f>
        <v>GL2511060</v>
      </c>
    </row>
    <row r="215">
      <c r="A215" s="3" t="str">
        <f>IFERROR(__xludf.DUMMYFUNCTION("""COMPUTED_VALUE"""),"AAABR0015")</f>
        <v>AAABR0015</v>
      </c>
      <c r="B215" s="4">
        <f>IFERROR(__xludf.DUMMYFUNCTION("""COMPUTED_VALUE"""),45876.672597164354)</f>
        <v>45876.6726</v>
      </c>
      <c r="C215" s="4">
        <f>IFERROR(__xludf.DUMMYFUNCTION("""COMPUTED_VALUE"""),45887.46056759259)</f>
        <v>45887.46057</v>
      </c>
      <c r="D215" s="3" t="str">
        <f>IFERROR(__xludf.DUMMYFUNCTION("""COMPUTED_VALUE"""),"EDM")</f>
        <v>EDM</v>
      </c>
      <c r="E215" s="3" t="str">
        <f>IFERROR(__xludf.DUMMYFUNCTION("""COMPUTED_VALUE"""),"EJO/2025/08/103")</f>
        <v>EJO/2025/08/103</v>
      </c>
      <c r="F215" s="3" t="str">
        <f>IFERROR(__xludf.DUMMYFUNCTION("""COMPUTED_VALUE"""),"P.W. SPRAYING VALVE ACTUATOR")</f>
        <v>P.W. SPRAYING VALVE ACTUATOR</v>
      </c>
      <c r="G215" s="3">
        <f>IFERROR(__xludf.DUMMYFUNCTION("""COMPUTED_VALUE"""),3.0)</f>
        <v>3</v>
      </c>
      <c r="H215" s="3" t="str">
        <f>IFERROR(__xludf.DUMMYFUNCTION("""COMPUTED_VALUE"""),"Ser")</f>
        <v>Ser</v>
      </c>
      <c r="I215" s="3" t="str">
        <f>IFERROR(__xludf.DUMMYFUNCTION("""COMPUTED_VALUE"""),"Deliver")</f>
        <v>Deliver</v>
      </c>
      <c r="J215" s="3" t="str">
        <f>IFERROR(__xludf.DUMMYFUNCTION("""COMPUTED_VALUE"""),"121703490 - APPROVED")</f>
        <v>121703490 - APPROVED</v>
      </c>
      <c r="K215" s="3" t="str">
        <f>IFERROR(__xludf.DUMMYFUNCTION("""COMPUTED_VALUE"""),"GL2511060")</f>
        <v>GL2511060</v>
      </c>
    </row>
    <row r="216">
      <c r="A216" s="3" t="str">
        <f>IFERROR(__xludf.DUMMYFUNCTION("""COMPUTED_VALUE"""),"ROSBR0031")</f>
        <v>ROSBR0031</v>
      </c>
      <c r="B216" s="4">
        <f>IFERROR(__xludf.DUMMYFUNCTION("""COMPUTED_VALUE"""),45882.236768981486)</f>
        <v>45882.23677</v>
      </c>
      <c r="C216" s="4">
        <f>IFERROR(__xludf.DUMMYFUNCTION("""COMPUTED_VALUE"""),45895.12248414352)</f>
        <v>45895.12248</v>
      </c>
      <c r="D216" s="3" t="str">
        <f>IFERROR(__xludf.DUMMYFUNCTION("""COMPUTED_VALUE"""),"Panel Coating ")</f>
        <v>Panel Coating </v>
      </c>
      <c r="E216" s="3" t="str">
        <f>IFERROR(__xludf.DUMMYFUNCTION("""COMPUTED_VALUE"""),"EJO/2025/08/114")</f>
        <v>EJO/2025/08/114</v>
      </c>
      <c r="F216" s="3" t="str">
        <f>IFERROR(__xludf.DUMMYFUNCTION("""COMPUTED_VALUE"""),"Cooling fan ")</f>
        <v>Cooling fan </v>
      </c>
      <c r="G216" s="3">
        <f>IFERROR(__xludf.DUMMYFUNCTION("""COMPUTED_VALUE"""),1.0)</f>
        <v>1</v>
      </c>
      <c r="H216" s="3" t="str">
        <f>IFERROR(__xludf.DUMMYFUNCTION("""COMPUTED_VALUE"""),"Set")</f>
        <v>Set</v>
      </c>
      <c r="I216" s="3" t="str">
        <f>IFERROR(__xludf.DUMMYFUNCTION("""COMPUTED_VALUE"""),"Deliver")</f>
        <v>Deliver</v>
      </c>
      <c r="J216" s="3" t="str">
        <f>IFERROR(__xludf.DUMMYFUNCTION("""COMPUTED_VALUE"""),"-")</f>
        <v>-</v>
      </c>
      <c r="K216" s="3" t="str">
        <f>IFERROR(__xludf.DUMMYFUNCTION("""COMPUTED_VALUE"""),"-")</f>
        <v>-</v>
      </c>
    </row>
    <row r="217">
      <c r="A217" s="3" t="str">
        <f>IFERROR(__xludf.DUMMYFUNCTION("""COMPUTED_VALUE"""),"INNBR0040")</f>
        <v>INNBR0040</v>
      </c>
      <c r="B217" s="4">
        <f>IFERROR(__xludf.DUMMYFUNCTION("""COMPUTED_VALUE"""),45882.389632708335)</f>
        <v>45882.38963</v>
      </c>
      <c r="C217" s="4">
        <f>IFERROR(__xludf.DUMMYFUNCTION("""COMPUTED_VALUE"""),45895.11931875)</f>
        <v>45895.11932</v>
      </c>
      <c r="D217" s="3" t="str">
        <f>IFERROR(__xludf.DUMMYFUNCTION("""COMPUTED_VALUE"""),"Filling")</f>
        <v>Filling</v>
      </c>
      <c r="E217" s="3" t="str">
        <f>IFERROR(__xludf.DUMMYFUNCTION("""COMPUTED_VALUE"""),"-")</f>
        <v>-</v>
      </c>
      <c r="F217" s="3" t="str">
        <f>IFERROR(__xludf.DUMMYFUNCTION("""COMPUTED_VALUE"""),"Spare Membrane diaphragm MA8 PTFE/EPDM SED")</f>
        <v>Spare Membrane diaphragm MA8 PTFE/EPDM SED</v>
      </c>
      <c r="G217" s="3">
        <f>IFERROR(__xludf.DUMMYFUNCTION("""COMPUTED_VALUE"""),4.0)</f>
        <v>4</v>
      </c>
      <c r="H217" s="3" t="str">
        <f>IFERROR(__xludf.DUMMYFUNCTION("""COMPUTED_VALUE"""),"Pcs")</f>
        <v>Pcs</v>
      </c>
      <c r="I217" s="3" t="str">
        <f>IFERROR(__xludf.DUMMYFUNCTION("""COMPUTED_VALUE"""),"Deliver")</f>
        <v>Deliver</v>
      </c>
      <c r="J217" s="3" t="str">
        <f>IFERROR(__xludf.DUMMYFUNCTION("""COMPUTED_VALUE"""),"-")</f>
        <v>-</v>
      </c>
      <c r="K217" s="3" t="str">
        <f>IFERROR(__xludf.DUMMYFUNCTION("""COMPUTED_VALUE"""),"-")</f>
        <v>-</v>
      </c>
    </row>
    <row r="218">
      <c r="A218" s="3" t="str">
        <f>IFERROR(__xludf.DUMMYFUNCTION("""COMPUTED_VALUE"""),"RIABR0048")</f>
        <v>RIABR0048</v>
      </c>
      <c r="B218" s="4">
        <f>IFERROR(__xludf.DUMMYFUNCTION("""COMPUTED_VALUE"""),45883.968983831015)</f>
        <v>45883.96898</v>
      </c>
      <c r="C218" s="4">
        <f>IFERROR(__xludf.DUMMYFUNCTION("""COMPUTED_VALUE"""),45887.417286481475)</f>
        <v>45887.41729</v>
      </c>
      <c r="D218" s="3" t="str">
        <f>IFERROR(__xludf.DUMMYFUNCTION("""COMPUTED_VALUE"""),"Granulasi")</f>
        <v>Granulasi</v>
      </c>
      <c r="E218" s="3" t="str">
        <f>IFERROR(__xludf.DUMMYFUNCTION("""COMPUTED_VALUE"""),"EJO/2025/08/152")</f>
        <v>EJO/2025/08/152</v>
      </c>
      <c r="F218" s="3" t="str">
        <f>IFERROR(__xludf.DUMMYFUNCTION("""COMPUTED_VALUE"""),"Kabel Program")</f>
        <v>Kabel Program</v>
      </c>
      <c r="G218" s="3">
        <f>IFERROR(__xludf.DUMMYFUNCTION("""COMPUTED_VALUE"""),1.0)</f>
        <v>1</v>
      </c>
      <c r="H218" s="3" t="str">
        <f>IFERROR(__xludf.DUMMYFUNCTION("""COMPUTED_VALUE"""),"Pcs")</f>
        <v>Pcs</v>
      </c>
      <c r="I218" s="3" t="str">
        <f>IFERROR(__xludf.DUMMYFUNCTION("""COMPUTED_VALUE"""),"Deliver")</f>
        <v>Deliver</v>
      </c>
      <c r="J218" s="3" t="str">
        <f>IFERROR(__xludf.DUMMYFUNCTION("""COMPUTED_VALUE"""),"-")</f>
        <v>-</v>
      </c>
      <c r="K218" s="3" t="str">
        <f>IFERROR(__xludf.DUMMYFUNCTION("""COMPUTED_VALUE"""),"-")</f>
        <v>-</v>
      </c>
    </row>
    <row r="219">
      <c r="A219" s="3" t="str">
        <f>IFERROR(__xludf.DUMMYFUNCTION("""COMPUTED_VALUE"""),"RIABR0049")</f>
        <v>RIABR0049</v>
      </c>
      <c r="B219" s="4">
        <f>IFERROR(__xludf.DUMMYFUNCTION("""COMPUTED_VALUE"""),45883.97457641204)</f>
        <v>45883.97458</v>
      </c>
      <c r="C219" s="4">
        <f>IFERROR(__xludf.DUMMYFUNCTION("""COMPUTED_VALUE"""),45887.417522407406)</f>
        <v>45887.41752</v>
      </c>
      <c r="D219" s="3" t="str">
        <f>IFERROR(__xludf.DUMMYFUNCTION("""COMPUTED_VALUE"""),"PSG")</f>
        <v>PSG</v>
      </c>
      <c r="E219" s="3" t="str">
        <f>IFERROR(__xludf.DUMMYFUNCTION("""COMPUTED_VALUE"""),"-")</f>
        <v>-</v>
      </c>
      <c r="F219" s="3" t="str">
        <f>IFERROR(__xludf.DUMMYFUNCTION("""COMPUTED_VALUE"""),"Sarung Tangan")</f>
        <v>Sarung Tangan</v>
      </c>
      <c r="G219" s="3">
        <f>IFERROR(__xludf.DUMMYFUNCTION("""COMPUTED_VALUE"""),3.0)</f>
        <v>3</v>
      </c>
      <c r="H219" s="3" t="str">
        <f>IFERROR(__xludf.DUMMYFUNCTION("""COMPUTED_VALUE"""),"Pair")</f>
        <v>Pair</v>
      </c>
      <c r="I219" s="3" t="str">
        <f>IFERROR(__xludf.DUMMYFUNCTION("""COMPUTED_VALUE"""),"Deliver")</f>
        <v>Deliver</v>
      </c>
      <c r="J219" s="3" t="str">
        <f>IFERROR(__xludf.DUMMYFUNCTION("""COMPUTED_VALUE"""),"121703642 - APPROVED")</f>
        <v>121703642 - APPROVED</v>
      </c>
      <c r="K219" s="3" t="str">
        <f>IFERROR(__xludf.DUMMYFUNCTION("""COMPUTED_VALUE"""),"GL2604005")</f>
        <v>GL2604005</v>
      </c>
    </row>
    <row r="220">
      <c r="A220" s="3" t="str">
        <f>IFERROR(__xludf.DUMMYFUNCTION("""COMPUTED_VALUE"""),"MRNBR0037")</f>
        <v>MRNBR0037</v>
      </c>
      <c r="B220" s="4">
        <f>IFERROR(__xludf.DUMMYFUNCTION("""COMPUTED_VALUE"""),45884.82297146991)</f>
        <v>45884.82297</v>
      </c>
      <c r="C220" s="4">
        <f>IFERROR(__xludf.DUMMYFUNCTION("""COMPUTED_VALUE"""),45887.4590919676)</f>
        <v>45887.45909</v>
      </c>
      <c r="D220" s="3" t="str">
        <f>IFERROR(__xludf.DUMMYFUNCTION("""COMPUTED_VALUE"""),"Pintu gowning sampling")</f>
        <v>Pintu gowning sampling</v>
      </c>
      <c r="E220" s="3" t="str">
        <f>IFERROR(__xludf.DUMMYFUNCTION("""COMPUTED_VALUE"""),"EJO/2025/08/113")</f>
        <v>EJO/2025/08/113</v>
      </c>
      <c r="F220" s="3" t="str">
        <f>IFERROR(__xludf.DUMMYFUNCTION("""COMPUTED_VALUE"""),"Slot door")</f>
        <v>Slot door</v>
      </c>
      <c r="G220" s="3">
        <f>IFERROR(__xludf.DUMMYFUNCTION("""COMPUTED_VALUE"""),2.0)</f>
        <v>2</v>
      </c>
      <c r="H220" s="3" t="str">
        <f>IFERROR(__xludf.DUMMYFUNCTION("""COMPUTED_VALUE"""),"pcs")</f>
        <v>pcs</v>
      </c>
      <c r="I220" s="3" t="str">
        <f>IFERROR(__xludf.DUMMYFUNCTION("""COMPUTED_VALUE"""),"Deliver")</f>
        <v>Deliver</v>
      </c>
      <c r="J220" s="3" t="str">
        <f>IFERROR(__xludf.DUMMYFUNCTION("""COMPUTED_VALUE"""),"-")</f>
        <v>-</v>
      </c>
      <c r="K220" s="3" t="str">
        <f>IFERROR(__xludf.DUMMYFUNCTION("""COMPUTED_VALUE"""),"-")</f>
        <v>-</v>
      </c>
    </row>
    <row r="221">
      <c r="A221" s="3" t="str">
        <f>IFERROR(__xludf.DUMMYFUNCTION("""COMPUTED_VALUE"""),"MRNBR0039")</f>
        <v>MRNBR0039</v>
      </c>
      <c r="B221" s="4">
        <f>IFERROR(__xludf.DUMMYFUNCTION("""COMPUTED_VALUE"""),45884.88693613426)</f>
        <v>45884.88694</v>
      </c>
      <c r="C221" s="4">
        <f>IFERROR(__xludf.DUMMYFUNCTION("""COMPUTED_VALUE"""),45887.60134153935)</f>
        <v>45887.60134</v>
      </c>
      <c r="D221" s="3" t="str">
        <f>IFERROR(__xludf.DUMMYFUNCTION("""COMPUTED_VALUE"""),"AHU D1-1")</f>
        <v>AHU D1-1</v>
      </c>
      <c r="E221" s="3" t="str">
        <f>IFERROR(__xludf.DUMMYFUNCTION("""COMPUTED_VALUE"""),"EJO/2025/08/165")</f>
        <v>EJO/2025/08/165</v>
      </c>
      <c r="F221" s="3" t="str">
        <f>IFERROR(__xludf.DUMMYFUNCTION("""COMPUTED_VALUE"""),"Sensor flow")</f>
        <v>Sensor flow</v>
      </c>
      <c r="G221" s="3">
        <f>IFERROR(__xludf.DUMMYFUNCTION("""COMPUTED_VALUE"""),2.0)</f>
        <v>2</v>
      </c>
      <c r="H221" s="3" t="str">
        <f>IFERROR(__xludf.DUMMYFUNCTION("""COMPUTED_VALUE"""),"pcs")</f>
        <v>pcs</v>
      </c>
      <c r="I221" s="3" t="str">
        <f>IFERROR(__xludf.DUMMYFUNCTION("""COMPUTED_VALUE"""),"Deliver")</f>
        <v>Deliver</v>
      </c>
      <c r="J221" s="3" t="str">
        <f>IFERROR(__xludf.DUMMYFUNCTION("""COMPUTED_VALUE"""),"121703749 - APPROVED")</f>
        <v>121703749 - APPROVED</v>
      </c>
      <c r="K221" s="3" t="str">
        <f>IFERROR(__xludf.DUMMYFUNCTION("""COMPUTED_VALUE"""),"GL2602040")</f>
        <v>GL2602040</v>
      </c>
    </row>
    <row r="222">
      <c r="A222" s="3" t="str">
        <f>IFERROR(__xludf.DUMMYFUNCTION("""COMPUTED_VALUE"""),"MRNBR0041")</f>
        <v>MRNBR0041</v>
      </c>
      <c r="B222" s="4">
        <f>IFERROR(__xludf.DUMMYFUNCTION("""COMPUTED_VALUE"""),45884.99784077546)</f>
        <v>45884.99784</v>
      </c>
      <c r="C222" s="4">
        <f>IFERROR(__xludf.DUMMYFUNCTION("""COMPUTED_VALUE"""),45887.462874363424)</f>
        <v>45887.46287</v>
      </c>
      <c r="D222" s="3" t="str">
        <f>IFERROR(__xludf.DUMMYFUNCTION("""COMPUTED_VALUE"""),"AHU OSD")</f>
        <v>AHU OSD</v>
      </c>
      <c r="E222" s="3" t="str">
        <f>IFERROR(__xludf.DUMMYFUNCTION("""COMPUTED_VALUE"""),"EJO/2025/03/153")</f>
        <v>EJO/2025/03/153</v>
      </c>
      <c r="F222" s="3" t="str">
        <f>IFERROR(__xludf.DUMMYFUNCTION("""COMPUTED_VALUE"""),"Prefilter M-MNF")</f>
        <v>Prefilter M-MNF</v>
      </c>
      <c r="G222" s="3">
        <f>IFERROR(__xludf.DUMMYFUNCTION("""COMPUTED_VALUE"""),18.0)</f>
        <v>18</v>
      </c>
      <c r="H222" s="3" t="str">
        <f>IFERROR(__xludf.DUMMYFUNCTION("""COMPUTED_VALUE"""),"pcs")</f>
        <v>pcs</v>
      </c>
      <c r="I222" s="3" t="str">
        <f>IFERROR(__xludf.DUMMYFUNCTION("""COMPUTED_VALUE"""),"Deliver")</f>
        <v>Deliver</v>
      </c>
      <c r="J222" s="3" t="str">
        <f>IFERROR(__xludf.DUMMYFUNCTION("""COMPUTED_VALUE"""),"-")</f>
        <v>-</v>
      </c>
      <c r="K222" s="3" t="str">
        <f>IFERROR(__xludf.DUMMYFUNCTION("""COMPUTED_VALUE"""),"-")</f>
        <v>-</v>
      </c>
    </row>
    <row r="223">
      <c r="A223" s="3" t="str">
        <f>IFERROR(__xludf.DUMMYFUNCTION("""COMPUTED_VALUE"""),"MRNBR0042")</f>
        <v>MRNBR0042</v>
      </c>
      <c r="B223" s="4">
        <f>IFERROR(__xludf.DUMMYFUNCTION("""COMPUTED_VALUE"""),45884.99798289352)</f>
        <v>45884.99798</v>
      </c>
      <c r="C223" s="4">
        <f>IFERROR(__xludf.DUMMYFUNCTION("""COMPUTED_VALUE"""),45887.463360335656)</f>
        <v>45887.46336</v>
      </c>
      <c r="D223" s="3" t="str">
        <f>IFERROR(__xludf.DUMMYFUNCTION("""COMPUTED_VALUE"""),"AHU OSD")</f>
        <v>AHU OSD</v>
      </c>
      <c r="E223" s="3" t="str">
        <f>IFERROR(__xludf.DUMMYFUNCTION("""COMPUTED_VALUE"""),"EJO/2025/03/153")</f>
        <v>EJO/2025/03/153</v>
      </c>
      <c r="F223" s="3" t="str">
        <f>IFERROR(__xludf.DUMMYFUNCTION("""COMPUTED_VALUE"""),"Prefilter M-MNF")</f>
        <v>Prefilter M-MNF</v>
      </c>
      <c r="G223" s="3">
        <f>IFERROR(__xludf.DUMMYFUNCTION("""COMPUTED_VALUE"""),6.0)</f>
        <v>6</v>
      </c>
      <c r="H223" s="3" t="str">
        <f>IFERROR(__xludf.DUMMYFUNCTION("""COMPUTED_VALUE"""),"pcs")</f>
        <v>pcs</v>
      </c>
      <c r="I223" s="3" t="str">
        <f>IFERROR(__xludf.DUMMYFUNCTION("""COMPUTED_VALUE"""),"Deliver")</f>
        <v>Deliver</v>
      </c>
      <c r="J223" s="3" t="str">
        <f>IFERROR(__xludf.DUMMYFUNCTION("""COMPUTED_VALUE"""),"-")</f>
        <v>-</v>
      </c>
      <c r="K223" s="3" t="str">
        <f>IFERROR(__xludf.DUMMYFUNCTION("""COMPUTED_VALUE"""),"-")</f>
        <v>-</v>
      </c>
    </row>
    <row r="224">
      <c r="A224" s="3" t="str">
        <f>IFERROR(__xludf.DUMMYFUNCTION("""COMPUTED_VALUE"""),"MRNBR0043")</f>
        <v>MRNBR0043</v>
      </c>
      <c r="B224" s="4">
        <f>IFERROR(__xludf.DUMMYFUNCTION("""COMPUTED_VALUE"""),45884.99798289352)</f>
        <v>45884.99798</v>
      </c>
      <c r="C224" s="4">
        <f>IFERROR(__xludf.DUMMYFUNCTION("""COMPUTED_VALUE"""),45887.46349777778)</f>
        <v>45887.4635</v>
      </c>
      <c r="D224" s="3" t="str">
        <f>IFERROR(__xludf.DUMMYFUNCTION("""COMPUTED_VALUE"""),"AHU OSD")</f>
        <v>AHU OSD</v>
      </c>
      <c r="E224" s="3" t="str">
        <f>IFERROR(__xludf.DUMMYFUNCTION("""COMPUTED_VALUE"""),"EJO/2025/03/153")</f>
        <v>EJO/2025/03/153</v>
      </c>
      <c r="F224" s="3" t="str">
        <f>IFERROR(__xludf.DUMMYFUNCTION("""COMPUTED_VALUE"""),"Prefilter M-MNF")</f>
        <v>Prefilter M-MNF</v>
      </c>
      <c r="G224" s="3">
        <f>IFERROR(__xludf.DUMMYFUNCTION("""COMPUTED_VALUE"""),6.0)</f>
        <v>6</v>
      </c>
      <c r="H224" s="3" t="str">
        <f>IFERROR(__xludf.DUMMYFUNCTION("""COMPUTED_VALUE"""),"pcs")</f>
        <v>pcs</v>
      </c>
      <c r="I224" s="3" t="str">
        <f>IFERROR(__xludf.DUMMYFUNCTION("""COMPUTED_VALUE"""),"Deliver")</f>
        <v>Deliver</v>
      </c>
      <c r="J224" s="3" t="str">
        <f>IFERROR(__xludf.DUMMYFUNCTION("""COMPUTED_VALUE"""),"121703752 - APPROVED")</f>
        <v>121703752 - APPROVED</v>
      </c>
      <c r="K224" s="3" t="str">
        <f>IFERROR(__xludf.DUMMYFUNCTION("""COMPUTED_VALUE"""),"GL2602408")</f>
        <v>GL2602408</v>
      </c>
    </row>
    <row r="225">
      <c r="A225" s="3" t="str">
        <f>IFERROR(__xludf.DUMMYFUNCTION("""COMPUTED_VALUE"""),"MRNBR0044")</f>
        <v>MRNBR0044</v>
      </c>
      <c r="B225" s="4">
        <f>IFERROR(__xludf.DUMMYFUNCTION("""COMPUTED_VALUE"""),45884.99798289352)</f>
        <v>45884.99798</v>
      </c>
      <c r="C225" s="4">
        <f>IFERROR(__xludf.DUMMYFUNCTION("""COMPUTED_VALUE"""),45887.463701712964)</f>
        <v>45887.4637</v>
      </c>
      <c r="D225" s="3" t="str">
        <f>IFERROR(__xludf.DUMMYFUNCTION("""COMPUTED_VALUE"""),"AHU OSD")</f>
        <v>AHU OSD</v>
      </c>
      <c r="E225" s="3" t="str">
        <f>IFERROR(__xludf.DUMMYFUNCTION("""COMPUTED_VALUE"""),"EJO/2025/03/153")</f>
        <v>EJO/2025/03/153</v>
      </c>
      <c r="F225" s="3" t="str">
        <f>IFERROR(__xludf.DUMMYFUNCTION("""COMPUTED_VALUE"""),"Prefilter M-MNF")</f>
        <v>Prefilter M-MNF</v>
      </c>
      <c r="G225" s="3">
        <f>IFERROR(__xludf.DUMMYFUNCTION("""COMPUTED_VALUE"""),6.0)</f>
        <v>6</v>
      </c>
      <c r="H225" s="3" t="str">
        <f>IFERROR(__xludf.DUMMYFUNCTION("""COMPUTED_VALUE"""),"pcs")</f>
        <v>pcs</v>
      </c>
      <c r="I225" s="3" t="str">
        <f>IFERROR(__xludf.DUMMYFUNCTION("""COMPUTED_VALUE"""),"Deliver")</f>
        <v>Deliver</v>
      </c>
      <c r="J225" s="3" t="str">
        <f>IFERROR(__xludf.DUMMYFUNCTION("""COMPUTED_VALUE"""),"-")</f>
        <v>-</v>
      </c>
      <c r="K225" s="3" t="str">
        <f>IFERROR(__xludf.DUMMYFUNCTION("""COMPUTED_VALUE"""),"-")</f>
        <v>-</v>
      </c>
    </row>
    <row r="226">
      <c r="A226" s="3" t="str">
        <f>IFERROR(__xludf.DUMMYFUNCTION("""COMPUTED_VALUE"""),"MRNBR0045")</f>
        <v>MRNBR0045</v>
      </c>
      <c r="B226" s="4">
        <f>IFERROR(__xludf.DUMMYFUNCTION("""COMPUTED_VALUE"""),45884.99798289352)</f>
        <v>45884.99798</v>
      </c>
      <c r="C226" s="4">
        <f>IFERROR(__xludf.DUMMYFUNCTION("""COMPUTED_VALUE"""),46204.94700630787)</f>
        <v>46204.94701</v>
      </c>
      <c r="D226" s="3" t="str">
        <f>IFERROR(__xludf.DUMMYFUNCTION("""COMPUTED_VALUE"""),"AHU OSD")</f>
        <v>AHU OSD</v>
      </c>
      <c r="E226" s="3" t="str">
        <f>IFERROR(__xludf.DUMMYFUNCTION("""COMPUTED_VALUE"""),"EJO/2025/03/153")</f>
        <v>EJO/2025/03/153</v>
      </c>
      <c r="F226" s="3" t="str">
        <f>IFERROR(__xludf.DUMMYFUNCTION("""COMPUTED_VALUE"""),"Prefilter M-MNF")</f>
        <v>Prefilter M-MNF</v>
      </c>
      <c r="G226" s="3">
        <f>IFERROR(__xludf.DUMMYFUNCTION("""COMPUTED_VALUE"""),6.0)</f>
        <v>6</v>
      </c>
      <c r="H226" s="3" t="str">
        <f>IFERROR(__xludf.DUMMYFUNCTION("""COMPUTED_VALUE"""),"pcs")</f>
        <v>pcs</v>
      </c>
      <c r="I226" s="3" t="str">
        <f>IFERROR(__xludf.DUMMYFUNCTION("""COMPUTED_VALUE"""),"-")</f>
        <v>-</v>
      </c>
      <c r="J226" s="3" t="str">
        <f>IFERROR(__xludf.DUMMYFUNCTION("""COMPUTED_VALUE"""),"-")</f>
        <v>-</v>
      </c>
      <c r="K226" s="3" t="str">
        <f>IFERROR(__xludf.DUMMYFUNCTION("""COMPUTED_VALUE"""),"-")</f>
        <v>-</v>
      </c>
    </row>
    <row r="227">
      <c r="A227" s="3" t="str">
        <f>IFERROR(__xludf.DUMMYFUNCTION("""COMPUTED_VALUE"""),"MRNBR0046")</f>
        <v>MRNBR0046</v>
      </c>
      <c r="B227" s="4">
        <f>IFERROR(__xludf.DUMMYFUNCTION("""COMPUTED_VALUE"""),45884.99798289352)</f>
        <v>45884.99798</v>
      </c>
      <c r="C227" s="4">
        <f>IFERROR(__xludf.DUMMYFUNCTION("""COMPUTED_VALUE"""),45887.464236631946)</f>
        <v>45887.46424</v>
      </c>
      <c r="D227" s="3" t="str">
        <f>IFERROR(__xludf.DUMMYFUNCTION("""COMPUTED_VALUE"""),"AHU OSD")</f>
        <v>AHU OSD</v>
      </c>
      <c r="E227" s="3" t="str">
        <f>IFERROR(__xludf.DUMMYFUNCTION("""COMPUTED_VALUE"""),"EJO/2025/03/153")</f>
        <v>EJO/2025/03/153</v>
      </c>
      <c r="F227" s="3" t="str">
        <f>IFERROR(__xludf.DUMMYFUNCTION("""COMPUTED_VALUE"""),"Prefilter M-MNF")</f>
        <v>Prefilter M-MNF</v>
      </c>
      <c r="G227" s="3">
        <f>IFERROR(__xludf.DUMMYFUNCTION("""COMPUTED_VALUE"""),6.0)</f>
        <v>6</v>
      </c>
      <c r="H227" s="3" t="str">
        <f>IFERROR(__xludf.DUMMYFUNCTION("""COMPUTED_VALUE"""),"pcs")</f>
        <v>pcs</v>
      </c>
      <c r="I227" s="3" t="str">
        <f>IFERROR(__xludf.DUMMYFUNCTION("""COMPUTED_VALUE"""),"Deliver")</f>
        <v>Deliver</v>
      </c>
      <c r="J227" s="3" t="str">
        <f>IFERROR(__xludf.DUMMYFUNCTION("""COMPUTED_VALUE"""),"-")</f>
        <v>-</v>
      </c>
      <c r="K227" s="3" t="str">
        <f>IFERROR(__xludf.DUMMYFUNCTION("""COMPUTED_VALUE"""),"-")</f>
        <v>-</v>
      </c>
    </row>
    <row r="228">
      <c r="A228" s="3" t="str">
        <f>IFERROR(__xludf.DUMMYFUNCTION("""COMPUTED_VALUE"""),"ROSBR0033")</f>
        <v>ROSBR0033</v>
      </c>
      <c r="B228" s="4">
        <f>IFERROR(__xludf.DUMMYFUNCTION("""COMPUTED_VALUE"""),45885.28570204861)</f>
        <v>45885.2857</v>
      </c>
      <c r="C228" s="4">
        <f>IFERROR(__xludf.DUMMYFUNCTION("""COMPUTED_VALUE"""),45890.511124895835)</f>
        <v>45890.51112</v>
      </c>
      <c r="D228" s="3" t="str">
        <f>IFERROR(__xludf.DUMMYFUNCTION("""COMPUTED_VALUE"""),"Filling")</f>
        <v>Filling</v>
      </c>
      <c r="E228" s="3" t="str">
        <f>IFERROR(__xludf.DUMMYFUNCTION("""COMPUTED_VALUE"""),"EJO/2025/07/164
EJO/2025/07/64")</f>
        <v>EJO/2025/07/164
EJO/2025/07/64</v>
      </c>
      <c r="F228" s="3" t="str">
        <f>IFERROR(__xludf.DUMMYFUNCTION("""COMPUTED_VALUE"""),"Handle Manual Valve Model Hexagon")</f>
        <v>Handle Manual Valve Model Hexagon</v>
      </c>
      <c r="G228" s="3">
        <f>IFERROR(__xludf.DUMMYFUNCTION("""COMPUTED_VALUE"""),3.0)</f>
        <v>3</v>
      </c>
      <c r="H228" s="3" t="str">
        <f>IFERROR(__xludf.DUMMYFUNCTION("""COMPUTED_VALUE"""),"unit")</f>
        <v>unit</v>
      </c>
      <c r="I228" s="3" t="str">
        <f>IFERROR(__xludf.DUMMYFUNCTION("""COMPUTED_VALUE"""),"Deliver")</f>
        <v>Deliver</v>
      </c>
      <c r="J228" s="3" t="str">
        <f>IFERROR(__xludf.DUMMYFUNCTION("""COMPUTED_VALUE"""),"-")</f>
        <v>-</v>
      </c>
      <c r="K228" s="3" t="str">
        <f>IFERROR(__xludf.DUMMYFUNCTION("""COMPUTED_VALUE"""),"-")</f>
        <v>-</v>
      </c>
    </row>
    <row r="229">
      <c r="A229" s="3" t="str">
        <f>IFERROR(__xludf.DUMMYFUNCTION("""COMPUTED_VALUE"""),"NDSBR0019")</f>
        <v>NDSBR0019</v>
      </c>
      <c r="B229" s="4">
        <f>IFERROR(__xludf.DUMMYFUNCTION("""COMPUTED_VALUE"""),45887.75498704861)</f>
        <v>45887.75499</v>
      </c>
      <c r="C229" s="4">
        <f>IFERROR(__xludf.DUMMYFUNCTION("""COMPUTED_VALUE"""),45895.12778446759)</f>
        <v>45895.12778</v>
      </c>
      <c r="D229" s="3" t="str">
        <f>IFERROR(__xludf.DUMMYFUNCTION("""COMPUTED_VALUE"""),"Heating Plate")</f>
        <v>Heating Plate</v>
      </c>
      <c r="E229" s="3" t="str">
        <f>IFERROR(__xludf.DUMMYFUNCTION("""COMPUTED_VALUE"""),"EJO/2025/08/64")</f>
        <v>EJO/2025/08/64</v>
      </c>
      <c r="F229" s="3" t="str">
        <f>IFERROR(__xludf.DUMMYFUNCTION("""COMPUTED_VALUE"""),"Kabel Power")</f>
        <v>Kabel Power</v>
      </c>
      <c r="G229" s="3">
        <f>IFERROR(__xludf.DUMMYFUNCTION("""COMPUTED_VALUE"""),1.0)</f>
        <v>1</v>
      </c>
      <c r="H229" s="3" t="str">
        <f>IFERROR(__xludf.DUMMYFUNCTION("""COMPUTED_VALUE"""),"PCS")</f>
        <v>PCS</v>
      </c>
      <c r="I229" s="3" t="str">
        <f>IFERROR(__xludf.DUMMYFUNCTION("""COMPUTED_VALUE"""),"Deliver")</f>
        <v>Deliver</v>
      </c>
      <c r="J229" s="3" t="str">
        <f>IFERROR(__xludf.DUMMYFUNCTION("""COMPUTED_VALUE"""),"-")</f>
        <v>-</v>
      </c>
      <c r="K229" s="3" t="str">
        <f>IFERROR(__xludf.DUMMYFUNCTION("""COMPUTED_VALUE"""),"-")</f>
        <v>-</v>
      </c>
    </row>
    <row r="230">
      <c r="A230" s="3" t="str">
        <f>IFERROR(__xludf.DUMMYFUNCTION("""COMPUTED_VALUE"""),"SFHBR0029")</f>
        <v>SFHBR0029</v>
      </c>
      <c r="B230" s="4">
        <f>IFERROR(__xludf.DUMMYFUNCTION("""COMPUTED_VALUE"""),45888.95884670139)</f>
        <v>45888.95885</v>
      </c>
      <c r="C230" s="4">
        <f>IFERROR(__xludf.DUMMYFUNCTION("""COMPUTED_VALUE"""),45890.96210405093)</f>
        <v>45890.9621</v>
      </c>
      <c r="D230" s="3" t="str">
        <f>IFERROR(__xludf.DUMMYFUNCTION("""COMPUTED_VALUE"""),"lantai 1")</f>
        <v>lantai 1</v>
      </c>
      <c r="E230" s="3" t="str">
        <f>IFERROR(__xludf.DUMMYFUNCTION("""COMPUTED_VALUE"""),"EJO/2025/08/80")</f>
        <v>EJO/2025/08/80</v>
      </c>
      <c r="F230" s="3" t="str">
        <f>IFERROR(__xludf.DUMMYFUNCTION("""COMPUTED_VALUE"""),"kaca film 3M")</f>
        <v>kaca film 3M</v>
      </c>
      <c r="G230" s="3">
        <f>IFERROR(__xludf.DUMMYFUNCTION("""COMPUTED_VALUE"""),1.0)</f>
        <v>1</v>
      </c>
      <c r="H230" s="3" t="str">
        <f>IFERROR(__xludf.DUMMYFUNCTION("""COMPUTED_VALUE"""),"Roll")</f>
        <v>Roll</v>
      </c>
      <c r="I230" s="3" t="str">
        <f>IFERROR(__xludf.DUMMYFUNCTION("""COMPUTED_VALUE"""),"Deliver")</f>
        <v>Deliver</v>
      </c>
      <c r="J230" s="3" t="str">
        <f>IFERROR(__xludf.DUMMYFUNCTION("""COMPUTED_VALUE"""),"-")</f>
        <v>-</v>
      </c>
      <c r="K230" s="3" t="str">
        <f>IFERROR(__xludf.DUMMYFUNCTION("""COMPUTED_VALUE"""),"-")</f>
        <v>-</v>
      </c>
    </row>
    <row r="231">
      <c r="A231" s="3" t="str">
        <f>IFERROR(__xludf.DUMMYFUNCTION("""COMPUTED_VALUE"""),"RIABR0050")</f>
        <v>RIABR0050</v>
      </c>
      <c r="B231" s="4">
        <f>IFERROR(__xludf.DUMMYFUNCTION("""COMPUTED_VALUE"""),45889.52683224537)</f>
        <v>45889.52683</v>
      </c>
      <c r="C231" s="4">
        <f>IFERROR(__xludf.DUMMYFUNCTION("""COMPUTED_VALUE"""),45890.96072604167)</f>
        <v>45890.96073</v>
      </c>
      <c r="D231" s="3" t="str">
        <f>IFERROR(__xludf.DUMMYFUNCTION("""COMPUTED_VALUE"""),"Soften Water")</f>
        <v>Soften Water</v>
      </c>
      <c r="E231" s="3" t="str">
        <f>IFERROR(__xludf.DUMMYFUNCTION("""COMPUTED_VALUE"""),"EJO/2025/05/152")</f>
        <v>EJO/2025/05/152</v>
      </c>
      <c r="F231" s="3" t="str">
        <f>IFERROR(__xludf.DUMMYFUNCTION("""COMPUTED_VALUE"""),"T Reducer pvc")</f>
        <v>T Reducer pvc</v>
      </c>
      <c r="G231" s="3">
        <f>IFERROR(__xludf.DUMMYFUNCTION("""COMPUTED_VALUE"""),1.0)</f>
        <v>1</v>
      </c>
      <c r="H231" s="3" t="str">
        <f>IFERROR(__xludf.DUMMYFUNCTION("""COMPUTED_VALUE"""),"Pcs")</f>
        <v>Pcs</v>
      </c>
      <c r="I231" s="3" t="str">
        <f>IFERROR(__xludf.DUMMYFUNCTION("""COMPUTED_VALUE"""),"Deliver")</f>
        <v>Deliver</v>
      </c>
      <c r="J231" s="3" t="str">
        <f>IFERROR(__xludf.DUMMYFUNCTION("""COMPUTED_VALUE"""),"-")</f>
        <v>-</v>
      </c>
      <c r="K231" s="3" t="str">
        <f>IFERROR(__xludf.DUMMYFUNCTION("""COMPUTED_VALUE"""),"-")</f>
        <v>-</v>
      </c>
    </row>
    <row r="232">
      <c r="A232" s="3" t="str">
        <f>IFERROR(__xludf.DUMMYFUNCTION("""COMPUTED_VALUE"""),"RIABR0051")</f>
        <v>RIABR0051</v>
      </c>
      <c r="B232" s="4">
        <f>IFERROR(__xludf.DUMMYFUNCTION("""COMPUTED_VALUE"""),45889.52683224537)</f>
        <v>45889.52683</v>
      </c>
      <c r="C232" s="4">
        <f>IFERROR(__xludf.DUMMYFUNCTION("""COMPUTED_VALUE"""),45890.96088561343)</f>
        <v>45890.96089</v>
      </c>
      <c r="D232" s="3" t="str">
        <f>IFERROR(__xludf.DUMMYFUNCTION("""COMPUTED_VALUE"""),"Soften Water")</f>
        <v>Soften Water</v>
      </c>
      <c r="E232" s="3" t="str">
        <f>IFERROR(__xludf.DUMMYFUNCTION("""COMPUTED_VALUE"""),"EJO/2025/05/152")</f>
        <v>EJO/2025/05/152</v>
      </c>
      <c r="F232" s="3" t="str">
        <f>IFERROR(__xludf.DUMMYFUNCTION("""COMPUTED_VALUE"""),"Shock Drat Luar PVC")</f>
        <v>Shock Drat Luar PVC</v>
      </c>
      <c r="G232" s="3">
        <f>IFERROR(__xludf.DUMMYFUNCTION("""COMPUTED_VALUE"""),2.0)</f>
        <v>2</v>
      </c>
      <c r="H232" s="3" t="str">
        <f>IFERROR(__xludf.DUMMYFUNCTION("""COMPUTED_VALUE"""),"Pcs")</f>
        <v>Pcs</v>
      </c>
      <c r="I232" s="3" t="str">
        <f>IFERROR(__xludf.DUMMYFUNCTION("""COMPUTED_VALUE"""),"Deliver")</f>
        <v>Deliver</v>
      </c>
      <c r="J232" s="3" t="str">
        <f>IFERROR(__xludf.DUMMYFUNCTION("""COMPUTED_VALUE"""),"-")</f>
        <v>-</v>
      </c>
      <c r="K232" s="3" t="str">
        <f>IFERROR(__xludf.DUMMYFUNCTION("""COMPUTED_VALUE"""),"-")</f>
        <v>-</v>
      </c>
    </row>
    <row r="233">
      <c r="A233" s="3" t="str">
        <f>IFERROR(__xludf.DUMMYFUNCTION("""COMPUTED_VALUE"""),"RIABR0052")</f>
        <v>RIABR0052</v>
      </c>
      <c r="B233" s="4">
        <f>IFERROR(__xludf.DUMMYFUNCTION("""COMPUTED_VALUE"""),45889.52683224537)</f>
        <v>45889.52683</v>
      </c>
      <c r="C233" s="4">
        <f>IFERROR(__xludf.DUMMYFUNCTION("""COMPUTED_VALUE"""),45890.961043020834)</f>
        <v>45890.96104</v>
      </c>
      <c r="D233" s="3" t="str">
        <f>IFERROR(__xludf.DUMMYFUNCTION("""COMPUTED_VALUE"""),"Soften Water")</f>
        <v>Soften Water</v>
      </c>
      <c r="E233" s="3" t="str">
        <f>IFERROR(__xludf.DUMMYFUNCTION("""COMPUTED_VALUE"""),"EJO/2025/05/152")</f>
        <v>EJO/2025/05/152</v>
      </c>
      <c r="F233" s="3" t="str">
        <f>IFERROR(__xludf.DUMMYFUNCTION("""COMPUTED_VALUE"""),"Ball Valve")</f>
        <v>Ball Valve</v>
      </c>
      <c r="G233" s="3">
        <f>IFERROR(__xludf.DUMMYFUNCTION("""COMPUTED_VALUE"""),2.0)</f>
        <v>2</v>
      </c>
      <c r="H233" s="3" t="str">
        <f>IFERROR(__xludf.DUMMYFUNCTION("""COMPUTED_VALUE"""),"Pcs")</f>
        <v>Pcs</v>
      </c>
      <c r="I233" s="3" t="str">
        <f>IFERROR(__xludf.DUMMYFUNCTION("""COMPUTED_VALUE"""),"Deliver")</f>
        <v>Deliver</v>
      </c>
      <c r="J233" s="3" t="str">
        <f>IFERROR(__xludf.DUMMYFUNCTION("""COMPUTED_VALUE"""),"-")</f>
        <v>-</v>
      </c>
      <c r="K233" s="3" t="str">
        <f>IFERROR(__xludf.DUMMYFUNCTION("""COMPUTED_VALUE"""),"-")</f>
        <v>-</v>
      </c>
    </row>
    <row r="234">
      <c r="A234" s="3" t="str">
        <f>IFERROR(__xludf.DUMMYFUNCTION("""COMPUTED_VALUE"""),"RIABR0053")</f>
        <v>RIABR0053</v>
      </c>
      <c r="B234" s="4">
        <f>IFERROR(__xludf.DUMMYFUNCTION("""COMPUTED_VALUE"""),45889.52683224537)</f>
        <v>45889.52683</v>
      </c>
      <c r="C234" s="4">
        <f>IFERROR(__xludf.DUMMYFUNCTION("""COMPUTED_VALUE"""),45890.96125710648)</f>
        <v>45890.96126</v>
      </c>
      <c r="D234" s="3" t="str">
        <f>IFERROR(__xludf.DUMMYFUNCTION("""COMPUTED_VALUE"""),"Soften Water")</f>
        <v>Soften Water</v>
      </c>
      <c r="E234" s="3" t="str">
        <f>IFERROR(__xludf.DUMMYFUNCTION("""COMPUTED_VALUE"""),"EJO/2025/05/152")</f>
        <v>EJO/2025/05/152</v>
      </c>
      <c r="F234" s="3" t="str">
        <f>IFERROR(__xludf.DUMMYFUNCTION("""COMPUTED_VALUE"""),"Pressure Gauge")</f>
        <v>Pressure Gauge</v>
      </c>
      <c r="G234" s="3">
        <f>IFERROR(__xludf.DUMMYFUNCTION("""COMPUTED_VALUE"""),1.0)</f>
        <v>1</v>
      </c>
      <c r="H234" s="3" t="str">
        <f>IFERROR(__xludf.DUMMYFUNCTION("""COMPUTED_VALUE"""),"Pcs")</f>
        <v>Pcs</v>
      </c>
      <c r="I234" s="3" t="str">
        <f>IFERROR(__xludf.DUMMYFUNCTION("""COMPUTED_VALUE"""),"Deliver")</f>
        <v>Deliver</v>
      </c>
      <c r="J234" s="3" t="str">
        <f>IFERROR(__xludf.DUMMYFUNCTION("""COMPUTED_VALUE"""),"-")</f>
        <v>-</v>
      </c>
      <c r="K234" s="3" t="str">
        <f>IFERROR(__xludf.DUMMYFUNCTION("""COMPUTED_VALUE"""),"-")</f>
        <v>-</v>
      </c>
    </row>
    <row r="235">
      <c r="A235" s="3" t="str">
        <f>IFERROR(__xludf.DUMMYFUNCTION("""COMPUTED_VALUE"""),"RIABR0054")</f>
        <v>RIABR0054</v>
      </c>
      <c r="B235" s="4">
        <f>IFERROR(__xludf.DUMMYFUNCTION("""COMPUTED_VALUE"""),45889.52683224537)</f>
        <v>45889.52683</v>
      </c>
      <c r="C235" s="4">
        <f>IFERROR(__xludf.DUMMYFUNCTION("""COMPUTED_VALUE"""),45890.96140555556)</f>
        <v>45890.96141</v>
      </c>
      <c r="D235" s="3" t="str">
        <f>IFERROR(__xludf.DUMMYFUNCTION("""COMPUTED_VALUE"""),"Fresh Water")</f>
        <v>Fresh Water</v>
      </c>
      <c r="E235" s="3" t="str">
        <f>IFERROR(__xludf.DUMMYFUNCTION("""COMPUTED_VALUE"""),"EJO/2025/05/152")</f>
        <v>EJO/2025/05/152</v>
      </c>
      <c r="F235" s="3" t="str">
        <f>IFERROR(__xludf.DUMMYFUNCTION("""COMPUTED_VALUE"""),"T Reducer pvc")</f>
        <v>T Reducer pvc</v>
      </c>
      <c r="G235" s="3">
        <f>IFERROR(__xludf.DUMMYFUNCTION("""COMPUTED_VALUE"""),1.0)</f>
        <v>1</v>
      </c>
      <c r="H235" s="3" t="str">
        <f>IFERROR(__xludf.DUMMYFUNCTION("""COMPUTED_VALUE"""),"Pcs")</f>
        <v>Pcs</v>
      </c>
      <c r="I235" s="3" t="str">
        <f>IFERROR(__xludf.DUMMYFUNCTION("""COMPUTED_VALUE"""),"Deliver")</f>
        <v>Deliver</v>
      </c>
      <c r="J235" s="3" t="str">
        <f>IFERROR(__xludf.DUMMYFUNCTION("""COMPUTED_VALUE"""),"-")</f>
        <v>-</v>
      </c>
      <c r="K235" s="3" t="str">
        <f>IFERROR(__xludf.DUMMYFUNCTION("""COMPUTED_VALUE"""),"-")</f>
        <v>-</v>
      </c>
    </row>
    <row r="236">
      <c r="A236" s="3" t="str">
        <f>IFERROR(__xludf.DUMMYFUNCTION("""COMPUTED_VALUE"""),"MRNBR0048")</f>
        <v>MRNBR0048</v>
      </c>
      <c r="B236" s="4">
        <f>IFERROR(__xludf.DUMMYFUNCTION("""COMPUTED_VALUE"""),45890.58345658565)</f>
        <v>45890.58346</v>
      </c>
      <c r="C236" s="4">
        <f>IFERROR(__xludf.DUMMYFUNCTION("""COMPUTED_VALUE"""),45890.962904629625)</f>
        <v>45890.9629</v>
      </c>
      <c r="D236" s="3" t="str">
        <f>IFERROR(__xludf.DUMMYFUNCTION("""COMPUTED_VALUE"""),"AC lantai 3")</f>
        <v>AC lantai 3</v>
      </c>
      <c r="E236" s="3" t="str">
        <f>IFERROR(__xludf.DUMMYFUNCTION("""COMPUTED_VALUE"""),"EJO/2025/05/102")</f>
        <v>EJO/2025/05/102</v>
      </c>
      <c r="F236" s="3" t="str">
        <f>IFERROR(__xludf.DUMMYFUNCTION("""COMPUTED_VALUE"""),"Untuk AC QC dan Server")</f>
        <v>Untuk AC QC dan Server</v>
      </c>
      <c r="G236" s="3">
        <f>IFERROR(__xludf.DUMMYFUNCTION("""COMPUTED_VALUE"""),2.0)</f>
        <v>2</v>
      </c>
      <c r="H236" s="3" t="str">
        <f>IFERROR(__xludf.DUMMYFUNCTION("""COMPUTED_VALUE"""),"klg")</f>
        <v>klg</v>
      </c>
      <c r="I236" s="3" t="str">
        <f>IFERROR(__xludf.DUMMYFUNCTION("""COMPUTED_VALUE"""),"Deliver")</f>
        <v>Deliver</v>
      </c>
      <c r="J236" s="3" t="str">
        <f>IFERROR(__xludf.DUMMYFUNCTION("""COMPUTED_VALUE"""),"-")</f>
        <v>-</v>
      </c>
      <c r="K236" s="3" t="str">
        <f>IFERROR(__xludf.DUMMYFUNCTION("""COMPUTED_VALUE"""),"-")</f>
        <v>-</v>
      </c>
    </row>
    <row r="237">
      <c r="A237" s="3" t="str">
        <f>IFERROR(__xludf.DUMMYFUNCTION("""COMPUTED_VALUE"""),"MRNBR0049")</f>
        <v>MRNBR0049</v>
      </c>
      <c r="B237" s="4">
        <f>IFERROR(__xludf.DUMMYFUNCTION("""COMPUTED_VALUE"""),45890.58558893518)</f>
        <v>45890.58559</v>
      </c>
      <c r="C237" s="4">
        <f>IFERROR(__xludf.DUMMYFUNCTION("""COMPUTED_VALUE"""),45890.963093171296)</f>
        <v>45890.96309</v>
      </c>
      <c r="D237" s="3" t="str">
        <f>IFERROR(__xludf.DUMMYFUNCTION("""COMPUTED_VALUE"""),"AC split")</f>
        <v>AC split</v>
      </c>
      <c r="E237" s="3" t="str">
        <f>IFERROR(__xludf.DUMMYFUNCTION("""COMPUTED_VALUE"""),"EJO/2025/05/102")</f>
        <v>EJO/2025/05/102</v>
      </c>
      <c r="F237" s="3" t="str">
        <f>IFERROR(__xludf.DUMMYFUNCTION("""COMPUTED_VALUE"""),"AC kurang dingin")</f>
        <v>AC kurang dingin</v>
      </c>
      <c r="G237" s="3">
        <f>IFERROR(__xludf.DUMMYFUNCTION("""COMPUTED_VALUE"""),5.0)</f>
        <v>5</v>
      </c>
      <c r="H237" s="3" t="str">
        <f>IFERROR(__xludf.DUMMYFUNCTION("""COMPUTED_VALUE"""),"pcs")</f>
        <v>pcs</v>
      </c>
      <c r="I237" s="3" t="str">
        <f>IFERROR(__xludf.DUMMYFUNCTION("""COMPUTED_VALUE"""),"Deliver")</f>
        <v>Deliver</v>
      </c>
      <c r="J237" s="3" t="str">
        <f>IFERROR(__xludf.DUMMYFUNCTION("""COMPUTED_VALUE"""),"-")</f>
        <v>-</v>
      </c>
      <c r="K237" s="3" t="str">
        <f>IFERROR(__xludf.DUMMYFUNCTION("""COMPUTED_VALUE"""),"-")</f>
        <v>-</v>
      </c>
    </row>
    <row r="238">
      <c r="A238" s="3" t="str">
        <f>IFERROR(__xludf.DUMMYFUNCTION("""COMPUTED_VALUE"""),"MRNBR0050")</f>
        <v>MRNBR0050</v>
      </c>
      <c r="B238" s="4">
        <f>IFERROR(__xludf.DUMMYFUNCTION("""COMPUTED_VALUE"""),45890.59159186342)</f>
        <v>45890.59159</v>
      </c>
      <c r="C238" s="4">
        <f>IFERROR(__xludf.DUMMYFUNCTION("""COMPUTED_VALUE"""),45890.96379674768)</f>
        <v>45890.9638</v>
      </c>
      <c r="D238" s="3" t="str">
        <f>IFERROR(__xludf.DUMMYFUNCTION("""COMPUTED_VALUE"""),"Lantai 2")</f>
        <v>Lantai 2</v>
      </c>
      <c r="E238" s="3" t="str">
        <f>IFERROR(__xludf.DUMMYFUNCTION("""COMPUTED_VALUE"""),"EJO/2025/01/13")</f>
        <v>EJO/2025/01/13</v>
      </c>
      <c r="F238" s="3" t="str">
        <f>IFERROR(__xludf.DUMMYFUNCTION("""COMPUTED_VALUE"""),"Kondensasi menetes")</f>
        <v>Kondensasi menetes</v>
      </c>
      <c r="G238" s="3">
        <f>IFERROR(__xludf.DUMMYFUNCTION("""COMPUTED_VALUE"""),5.0)</f>
        <v>5</v>
      </c>
      <c r="H238" s="3" t="str">
        <f>IFERROR(__xludf.DUMMYFUNCTION("""COMPUTED_VALUE"""),"roll")</f>
        <v>roll</v>
      </c>
      <c r="I238" s="3" t="str">
        <f>IFERROR(__xludf.DUMMYFUNCTION("""COMPUTED_VALUE"""),"Deliver")</f>
        <v>Deliver</v>
      </c>
      <c r="J238" s="3" t="str">
        <f>IFERROR(__xludf.DUMMYFUNCTION("""COMPUTED_VALUE"""),"121703754 - APPROVED")</f>
        <v>121703754 - APPROVED</v>
      </c>
      <c r="K238" s="3" t="str">
        <f>IFERROR(__xludf.DUMMYFUNCTION("""COMPUTED_VALUE"""),"GL2603431")</f>
        <v>GL2603431</v>
      </c>
    </row>
    <row r="239">
      <c r="A239" s="3" t="str">
        <f>IFERROR(__xludf.DUMMYFUNCTION("""COMPUTED_VALUE"""),"ROSBR0035")</f>
        <v>ROSBR0035</v>
      </c>
      <c r="B239" s="4">
        <f>IFERROR(__xludf.DUMMYFUNCTION("""COMPUTED_VALUE"""),45891.47744128472)</f>
        <v>45891.47744</v>
      </c>
      <c r="C239" s="4">
        <f>IFERROR(__xludf.DUMMYFUNCTION("""COMPUTED_VALUE"""),45895.12462378473)</f>
        <v>45895.12462</v>
      </c>
      <c r="D239" s="3" t="str">
        <f>IFERROR(__xludf.DUMMYFUNCTION("""COMPUTED_VALUE"""),"Capping ")</f>
        <v>Capping </v>
      </c>
      <c r="E239" s="3" t="str">
        <f>IFERROR(__xludf.DUMMYFUNCTION("""COMPUTED_VALUE"""),"NA")</f>
        <v>NA</v>
      </c>
      <c r="F239" s="3" t="str">
        <f>IFERROR(__xludf.DUMMYFUNCTION("""COMPUTED_VALUE"""),"Oil Seal Head Caps ")</f>
        <v>Oil Seal Head Caps </v>
      </c>
      <c r="G239" s="3">
        <f>IFERROR(__xludf.DUMMYFUNCTION("""COMPUTED_VALUE"""),40.0)</f>
        <v>40</v>
      </c>
      <c r="H239" s="3" t="str">
        <f>IFERROR(__xludf.DUMMYFUNCTION("""COMPUTED_VALUE"""),"pcs")</f>
        <v>pcs</v>
      </c>
      <c r="I239" s="3" t="str">
        <f>IFERROR(__xludf.DUMMYFUNCTION("""COMPUTED_VALUE"""),"Deliver")</f>
        <v>Deliver</v>
      </c>
      <c r="J239" s="3" t="str">
        <f>IFERROR(__xludf.DUMMYFUNCTION("""COMPUTED_VALUE"""),"-")</f>
        <v>-</v>
      </c>
      <c r="K239" s="3" t="str">
        <f>IFERROR(__xludf.DUMMYFUNCTION("""COMPUTED_VALUE"""),"-")</f>
        <v>-</v>
      </c>
    </row>
    <row r="240">
      <c r="A240" s="3" t="str">
        <f>IFERROR(__xludf.DUMMYFUNCTION("""COMPUTED_VALUE"""),"RIABR0096")</f>
        <v>RIABR0096</v>
      </c>
      <c r="B240" s="4">
        <f>IFERROR(__xludf.DUMMYFUNCTION("""COMPUTED_VALUE"""),45891.581506388895)</f>
        <v>45891.58151</v>
      </c>
      <c r="C240" s="4">
        <f>IFERROR(__xludf.DUMMYFUNCTION("""COMPUTED_VALUE"""),45921.882597199074)</f>
        <v>45921.8826</v>
      </c>
      <c r="D240" s="3" t="str">
        <f>IFERROR(__xludf.DUMMYFUNCTION("""COMPUTED_VALUE"""),"WWTP")</f>
        <v>WWTP</v>
      </c>
      <c r="E240" s="3" t="str">
        <f>IFERROR(__xludf.DUMMYFUNCTION("""COMPUTED_VALUE"""),"EJO/2025/08/56")</f>
        <v>EJO/2025/08/56</v>
      </c>
      <c r="F240" s="3" t="str">
        <f>IFERROR(__xludf.DUMMYFUNCTION("""COMPUTED_VALUE"""),"Busbar Sisir 3Pole")</f>
        <v>Busbar Sisir 3Pole</v>
      </c>
      <c r="G240" s="3">
        <f>IFERROR(__xludf.DUMMYFUNCTION("""COMPUTED_VALUE"""),2.0)</f>
        <v>2</v>
      </c>
      <c r="H240" s="3" t="str">
        <f>IFERROR(__xludf.DUMMYFUNCTION("""COMPUTED_VALUE"""),"Pcs")</f>
        <v>Pcs</v>
      </c>
      <c r="I240" s="3" t="str">
        <f>IFERROR(__xludf.DUMMYFUNCTION("""COMPUTED_VALUE"""),"Deliver")</f>
        <v>Deliver</v>
      </c>
      <c r="J240" s="3" t="str">
        <f>IFERROR(__xludf.DUMMYFUNCTION("""COMPUTED_VALUE"""),"121703754 - APPROVED")</f>
        <v>121703754 - APPROVED</v>
      </c>
      <c r="K240" s="3" t="str">
        <f>IFERROR(__xludf.DUMMYFUNCTION("""COMPUTED_VALUE"""),"GL2603431")</f>
        <v>GL2603431</v>
      </c>
    </row>
    <row r="241">
      <c r="A241" s="3" t="str">
        <f>IFERROR(__xludf.DUMMYFUNCTION("""COMPUTED_VALUE"""),"RIABR0058")</f>
        <v>RIABR0058</v>
      </c>
      <c r="B241" s="4">
        <f>IFERROR(__xludf.DUMMYFUNCTION("""COMPUTED_VALUE"""),45891.58188841435)</f>
        <v>45891.58189</v>
      </c>
      <c r="C241" s="4">
        <f>IFERROR(__xludf.DUMMYFUNCTION("""COMPUTED_VALUE"""),45896.66621203704)</f>
        <v>45896.66621</v>
      </c>
      <c r="D241" s="3" t="str">
        <f>IFERROR(__xludf.DUMMYFUNCTION("""COMPUTED_VALUE"""),"WWTP")</f>
        <v>WWTP</v>
      </c>
      <c r="E241" s="3" t="str">
        <f>IFERROR(__xludf.DUMMYFUNCTION("""COMPUTED_VALUE"""),"EJO/2025/08/56")</f>
        <v>EJO/2025/08/56</v>
      </c>
      <c r="F241" s="3" t="str">
        <f>IFERROR(__xludf.DUMMYFUNCTION("""COMPUTED_VALUE"""),"MCB 3P 32A")</f>
        <v>MCB 3P 32A</v>
      </c>
      <c r="G241" s="3">
        <f>IFERROR(__xludf.DUMMYFUNCTION("""COMPUTED_VALUE"""),1.0)</f>
        <v>1</v>
      </c>
      <c r="H241" s="3" t="str">
        <f>IFERROR(__xludf.DUMMYFUNCTION("""COMPUTED_VALUE"""),"Pcs")</f>
        <v>Pcs</v>
      </c>
      <c r="I241" s="3" t="str">
        <f>IFERROR(__xludf.DUMMYFUNCTION("""COMPUTED_VALUE"""),"Deliver")</f>
        <v>Deliver</v>
      </c>
      <c r="J241" s="3" t="str">
        <f>IFERROR(__xludf.DUMMYFUNCTION("""COMPUTED_VALUE"""),"-")</f>
        <v>-</v>
      </c>
      <c r="K241" s="3" t="str">
        <f>IFERROR(__xludf.DUMMYFUNCTION("""COMPUTED_VALUE"""),"-")</f>
        <v>-</v>
      </c>
    </row>
    <row r="242">
      <c r="A242" s="3" t="str">
        <f>IFERROR(__xludf.DUMMYFUNCTION("""COMPUTED_VALUE"""),"RIABR0059")</f>
        <v>RIABR0059</v>
      </c>
      <c r="B242" s="4">
        <f>IFERROR(__xludf.DUMMYFUNCTION("""COMPUTED_VALUE"""),45891.58188841435)</f>
        <v>45891.58189</v>
      </c>
      <c r="C242" s="4">
        <f>IFERROR(__xludf.DUMMYFUNCTION("""COMPUTED_VALUE"""),45896.66603800926)</f>
        <v>45896.66604</v>
      </c>
      <c r="D242" s="3" t="str">
        <f>IFERROR(__xludf.DUMMYFUNCTION("""COMPUTED_VALUE"""),"WWTP")</f>
        <v>WWTP</v>
      </c>
      <c r="E242" s="3" t="str">
        <f>IFERROR(__xludf.DUMMYFUNCTION("""COMPUTED_VALUE"""),"EJO/2025/08/56")</f>
        <v>EJO/2025/08/56</v>
      </c>
      <c r="F242" s="3" t="str">
        <f>IFERROR(__xludf.DUMMYFUNCTION("""COMPUTED_VALUE"""),"MCB 3P 6A")</f>
        <v>MCB 3P 6A</v>
      </c>
      <c r="G242" s="3">
        <f>IFERROR(__xludf.DUMMYFUNCTION("""COMPUTED_VALUE"""),5.0)</f>
        <v>5</v>
      </c>
      <c r="H242" s="3" t="str">
        <f>IFERROR(__xludf.DUMMYFUNCTION("""COMPUTED_VALUE"""),"Pcs")</f>
        <v>Pcs</v>
      </c>
      <c r="I242" s="3" t="str">
        <f>IFERROR(__xludf.DUMMYFUNCTION("""COMPUTED_VALUE"""),"Deliver")</f>
        <v>Deliver</v>
      </c>
      <c r="J242" s="3" t="str">
        <f>IFERROR(__xludf.DUMMYFUNCTION("""COMPUTED_VALUE"""),"-")</f>
        <v>-</v>
      </c>
      <c r="K242" s="3" t="str">
        <f>IFERROR(__xludf.DUMMYFUNCTION("""COMPUTED_VALUE"""),"-")</f>
        <v>-</v>
      </c>
    </row>
    <row r="243">
      <c r="A243" s="3" t="str">
        <f>IFERROR(__xludf.DUMMYFUNCTION("""COMPUTED_VALUE"""),"RIABR0060")</f>
        <v>RIABR0060</v>
      </c>
      <c r="B243" s="4">
        <f>IFERROR(__xludf.DUMMYFUNCTION("""COMPUTED_VALUE"""),45891.58188841435)</f>
        <v>45891.58189</v>
      </c>
      <c r="C243" s="4">
        <f>IFERROR(__xludf.DUMMYFUNCTION("""COMPUTED_VALUE"""),45896.66588100694)</f>
        <v>45896.66588</v>
      </c>
      <c r="D243" s="3" t="str">
        <f>IFERROR(__xludf.DUMMYFUNCTION("""COMPUTED_VALUE"""),"WWTP")</f>
        <v>WWTP</v>
      </c>
      <c r="E243" s="3" t="str">
        <f>IFERROR(__xludf.DUMMYFUNCTION("""COMPUTED_VALUE"""),"EJO/2025/08/56")</f>
        <v>EJO/2025/08/56</v>
      </c>
      <c r="F243" s="3" t="str">
        <f>IFERROR(__xludf.DUMMYFUNCTION("""COMPUTED_VALUE"""),"MCB 1P 10A")</f>
        <v>MCB 1P 10A</v>
      </c>
      <c r="G243" s="3">
        <f>IFERROR(__xludf.DUMMYFUNCTION("""COMPUTED_VALUE"""),3.0)</f>
        <v>3</v>
      </c>
      <c r="H243" s="3" t="str">
        <f>IFERROR(__xludf.DUMMYFUNCTION("""COMPUTED_VALUE"""),"Pcs")</f>
        <v>Pcs</v>
      </c>
      <c r="I243" s="3" t="str">
        <f>IFERROR(__xludf.DUMMYFUNCTION("""COMPUTED_VALUE"""),"Deliver")</f>
        <v>Deliver</v>
      </c>
      <c r="J243" s="3" t="str">
        <f>IFERROR(__xludf.DUMMYFUNCTION("""COMPUTED_VALUE"""),"-")</f>
        <v>-</v>
      </c>
      <c r="K243" s="3" t="str">
        <f>IFERROR(__xludf.DUMMYFUNCTION("""COMPUTED_VALUE"""),"-")</f>
        <v>-</v>
      </c>
    </row>
    <row r="244">
      <c r="A244" s="3" t="str">
        <f>IFERROR(__xludf.DUMMYFUNCTION("""COMPUTED_VALUE"""),"RIABR0061")</f>
        <v>RIABR0061</v>
      </c>
      <c r="B244" s="4">
        <f>IFERROR(__xludf.DUMMYFUNCTION("""COMPUTED_VALUE"""),45891.58188841435)</f>
        <v>45891.58189</v>
      </c>
      <c r="C244" s="4">
        <f>IFERROR(__xludf.DUMMYFUNCTION("""COMPUTED_VALUE"""),45896.66571821759)</f>
        <v>45896.66572</v>
      </c>
      <c r="D244" s="3" t="str">
        <f>IFERROR(__xludf.DUMMYFUNCTION("""COMPUTED_VALUE"""),"WWTP")</f>
        <v>WWTP</v>
      </c>
      <c r="E244" s="3" t="str">
        <f>IFERROR(__xludf.DUMMYFUNCTION("""COMPUTED_VALUE"""),"EJO/2025/08/56")</f>
        <v>EJO/2025/08/56</v>
      </c>
      <c r="F244" s="3" t="str">
        <f>IFERROR(__xludf.DUMMYFUNCTION("""COMPUTED_VALUE"""),"MCB 1P 6A")</f>
        <v>MCB 1P 6A</v>
      </c>
      <c r="G244" s="3">
        <f>IFERROR(__xludf.DUMMYFUNCTION("""COMPUTED_VALUE"""),2.0)</f>
        <v>2</v>
      </c>
      <c r="H244" s="3" t="str">
        <f>IFERROR(__xludf.DUMMYFUNCTION("""COMPUTED_VALUE"""),"Pcs")</f>
        <v>Pcs</v>
      </c>
      <c r="I244" s="3" t="str">
        <f>IFERROR(__xludf.DUMMYFUNCTION("""COMPUTED_VALUE"""),"Deliver")</f>
        <v>Deliver</v>
      </c>
      <c r="J244" s="3" t="str">
        <f>IFERROR(__xludf.DUMMYFUNCTION("""COMPUTED_VALUE"""),"-")</f>
        <v>-</v>
      </c>
      <c r="K244" s="3" t="str">
        <f>IFERROR(__xludf.DUMMYFUNCTION("""COMPUTED_VALUE"""),"-")</f>
        <v>-</v>
      </c>
    </row>
    <row r="245">
      <c r="A245" s="3" t="str">
        <f>IFERROR(__xludf.DUMMYFUNCTION("""COMPUTED_VALUE"""),"RIABR0062")</f>
        <v>RIABR0062</v>
      </c>
      <c r="B245" s="4">
        <f>IFERROR(__xludf.DUMMYFUNCTION("""COMPUTED_VALUE"""),45891.58188841435)</f>
        <v>45891.58189</v>
      </c>
      <c r="C245" s="4">
        <f>IFERROR(__xludf.DUMMYFUNCTION("""COMPUTED_VALUE"""),45896.665553796294)</f>
        <v>45896.66555</v>
      </c>
      <c r="D245" s="3" t="str">
        <f>IFERROR(__xludf.DUMMYFUNCTION("""COMPUTED_VALUE"""),"WWTP")</f>
        <v>WWTP</v>
      </c>
      <c r="E245" s="3" t="str">
        <f>IFERROR(__xludf.DUMMYFUNCTION("""COMPUTED_VALUE"""),"EJO/2025/08/56")</f>
        <v>EJO/2025/08/56</v>
      </c>
      <c r="F245" s="3" t="str">
        <f>IFERROR(__xludf.DUMMYFUNCTION("""COMPUTED_VALUE"""),"MCB 1P 4A")</f>
        <v>MCB 1P 4A</v>
      </c>
      <c r="G245" s="3">
        <f>IFERROR(__xludf.DUMMYFUNCTION("""COMPUTED_VALUE"""),3.0)</f>
        <v>3</v>
      </c>
      <c r="H245" s="3" t="str">
        <f>IFERROR(__xludf.DUMMYFUNCTION("""COMPUTED_VALUE"""),"Pcs")</f>
        <v>Pcs</v>
      </c>
      <c r="I245" s="3" t="str">
        <f>IFERROR(__xludf.DUMMYFUNCTION("""COMPUTED_VALUE"""),"Deliver")</f>
        <v>Deliver</v>
      </c>
      <c r="J245" s="3" t="str">
        <f>IFERROR(__xludf.DUMMYFUNCTION("""COMPUTED_VALUE"""),"-")</f>
        <v>-</v>
      </c>
      <c r="K245" s="3" t="str">
        <f>IFERROR(__xludf.DUMMYFUNCTION("""COMPUTED_VALUE"""),"-")</f>
        <v>-</v>
      </c>
    </row>
    <row r="246">
      <c r="A246" s="3" t="str">
        <f>IFERROR(__xludf.DUMMYFUNCTION("""COMPUTED_VALUE"""),"RIABR0063")</f>
        <v>RIABR0063</v>
      </c>
      <c r="B246" s="4">
        <f>IFERROR(__xludf.DUMMYFUNCTION("""COMPUTED_VALUE"""),45891.58188841435)</f>
        <v>45891.58189</v>
      </c>
      <c r="C246" s="4">
        <f>IFERROR(__xludf.DUMMYFUNCTION("""COMPUTED_VALUE"""),45896.66536791666)</f>
        <v>45896.66537</v>
      </c>
      <c r="D246" s="3" t="str">
        <f>IFERROR(__xludf.DUMMYFUNCTION("""COMPUTED_VALUE"""),"WWTP")</f>
        <v>WWTP</v>
      </c>
      <c r="E246" s="3" t="str">
        <f>IFERROR(__xludf.DUMMYFUNCTION("""COMPUTED_VALUE"""),"EJO/2025/08/56")</f>
        <v>EJO/2025/08/56</v>
      </c>
      <c r="F246" s="3" t="str">
        <f>IFERROR(__xludf.DUMMYFUNCTION("""COMPUTED_VALUE"""),"Kontaktor LC1D12M7 220VAC")</f>
        <v>Kontaktor LC1D12M7 220VAC</v>
      </c>
      <c r="G246" s="3">
        <f>IFERROR(__xludf.DUMMYFUNCTION("""COMPUTED_VALUE"""),9.0)</f>
        <v>9</v>
      </c>
      <c r="H246" s="3" t="str">
        <f>IFERROR(__xludf.DUMMYFUNCTION("""COMPUTED_VALUE"""),"Pcs")</f>
        <v>Pcs</v>
      </c>
      <c r="I246" s="3" t="str">
        <f>IFERROR(__xludf.DUMMYFUNCTION("""COMPUTED_VALUE"""),"Deliver")</f>
        <v>Deliver</v>
      </c>
      <c r="J246" s="3" t="str">
        <f>IFERROR(__xludf.DUMMYFUNCTION("""COMPUTED_VALUE"""),"-")</f>
        <v>-</v>
      </c>
      <c r="K246" s="3" t="str">
        <f>IFERROR(__xludf.DUMMYFUNCTION("""COMPUTED_VALUE"""),"-")</f>
        <v>-</v>
      </c>
    </row>
    <row r="247">
      <c r="A247" s="3" t="str">
        <f>IFERROR(__xludf.DUMMYFUNCTION("""COMPUTED_VALUE"""),"RIABR0064")</f>
        <v>RIABR0064</v>
      </c>
      <c r="B247" s="4">
        <f>IFERROR(__xludf.DUMMYFUNCTION("""COMPUTED_VALUE"""),45891.58188841435)</f>
        <v>45891.58189</v>
      </c>
      <c r="C247" s="4">
        <f>IFERROR(__xludf.DUMMYFUNCTION("""COMPUTED_VALUE"""),45896.66521804398)</f>
        <v>45896.66522</v>
      </c>
      <c r="D247" s="3" t="str">
        <f>IFERROR(__xludf.DUMMYFUNCTION("""COMPUTED_VALUE"""),"WWTP")</f>
        <v>WWTP</v>
      </c>
      <c r="E247" s="3" t="str">
        <f>IFERROR(__xludf.DUMMYFUNCTION("""COMPUTED_VALUE"""),"EJO/2025/08/56")</f>
        <v>EJO/2025/08/56</v>
      </c>
      <c r="F247" s="3" t="str">
        <f>IFERROR(__xludf.DUMMYFUNCTION("""COMPUTED_VALUE"""),"TOR LRD09")</f>
        <v>TOR LRD09</v>
      </c>
      <c r="G247" s="3">
        <f>IFERROR(__xludf.DUMMYFUNCTION("""COMPUTED_VALUE"""),9.0)</f>
        <v>9</v>
      </c>
      <c r="H247" s="3" t="str">
        <f>IFERROR(__xludf.DUMMYFUNCTION("""COMPUTED_VALUE"""),"Pcs")</f>
        <v>Pcs</v>
      </c>
      <c r="I247" s="3" t="str">
        <f>IFERROR(__xludf.DUMMYFUNCTION("""COMPUTED_VALUE"""),"Deliver")</f>
        <v>Deliver</v>
      </c>
      <c r="J247" s="3" t="str">
        <f>IFERROR(__xludf.DUMMYFUNCTION("""COMPUTED_VALUE"""),"-")</f>
        <v>-</v>
      </c>
      <c r="K247" s="3" t="str">
        <f>IFERROR(__xludf.DUMMYFUNCTION("""COMPUTED_VALUE"""),"-")</f>
        <v>-</v>
      </c>
    </row>
    <row r="248">
      <c r="A248" s="3" t="str">
        <f>IFERROR(__xludf.DUMMYFUNCTION("""COMPUTED_VALUE"""),"RIABR0069")</f>
        <v>RIABR0069</v>
      </c>
      <c r="B248" s="4">
        <f>IFERROR(__xludf.DUMMYFUNCTION("""COMPUTED_VALUE"""),45891.58188841435)</f>
        <v>45891.58189</v>
      </c>
      <c r="C248" s="4">
        <f>IFERROR(__xludf.DUMMYFUNCTION("""COMPUTED_VALUE"""),45896.55741896991)</f>
        <v>45896.55742</v>
      </c>
      <c r="D248" s="3" t="str">
        <f>IFERROR(__xludf.DUMMYFUNCTION("""COMPUTED_VALUE"""),"WWTP")</f>
        <v>WWTP</v>
      </c>
      <c r="E248" s="3" t="str">
        <f>IFERROR(__xludf.DUMMYFUNCTION("""COMPUTED_VALUE"""),"EJO/2025/08/56")</f>
        <v>EJO/2025/08/56</v>
      </c>
      <c r="F248" s="3" t="str">
        <f>IFERROR(__xludf.DUMMYFUNCTION("""COMPUTED_VALUE"""),"Terminal Block TBR20")</f>
        <v>Terminal Block TBR20</v>
      </c>
      <c r="G248" s="3">
        <f>IFERROR(__xludf.DUMMYFUNCTION("""COMPUTED_VALUE"""),1.0)</f>
        <v>1</v>
      </c>
      <c r="H248" s="3" t="str">
        <f>IFERROR(__xludf.DUMMYFUNCTION("""COMPUTED_VALUE"""),"Pack")</f>
        <v>Pack</v>
      </c>
      <c r="I248" s="3" t="str">
        <f>IFERROR(__xludf.DUMMYFUNCTION("""COMPUTED_VALUE"""),"Deliver")</f>
        <v>Deliver</v>
      </c>
      <c r="J248" s="3" t="str">
        <f>IFERROR(__xludf.DUMMYFUNCTION("""COMPUTED_VALUE"""),"121703757 - APPROVED")</f>
        <v>121703757 - APPROVED</v>
      </c>
      <c r="K248" s="3" t="str">
        <f>IFERROR(__xludf.DUMMYFUNCTION("""COMPUTED_VALUE"""),"GL2603431")</f>
        <v>GL2603431</v>
      </c>
    </row>
    <row r="249">
      <c r="A249" s="3" t="str">
        <f>IFERROR(__xludf.DUMMYFUNCTION("""COMPUTED_VALUE"""),"RIABR0070")</f>
        <v>RIABR0070</v>
      </c>
      <c r="B249" s="4">
        <f>IFERROR(__xludf.DUMMYFUNCTION("""COMPUTED_VALUE"""),45891.58188841435)</f>
        <v>45891.58189</v>
      </c>
      <c r="C249" s="4">
        <f>IFERROR(__xludf.DUMMYFUNCTION("""COMPUTED_VALUE"""),45896.556805671295)</f>
        <v>45896.55681</v>
      </c>
      <c r="D249" s="3" t="str">
        <f>IFERROR(__xludf.DUMMYFUNCTION("""COMPUTED_VALUE"""),"WWTP")</f>
        <v>WWTP</v>
      </c>
      <c r="E249" s="3" t="str">
        <f>IFERROR(__xludf.DUMMYFUNCTION("""COMPUTED_VALUE"""),"EJO/2025/08/56")</f>
        <v>EJO/2025/08/56</v>
      </c>
      <c r="F249" s="3" t="str">
        <f>IFERROR(__xludf.DUMMYFUNCTION("""COMPUTED_VALUE"""),"End Plate TBR20")</f>
        <v>End Plate TBR20</v>
      </c>
      <c r="G249" s="3">
        <f>IFERROR(__xludf.DUMMYFUNCTION("""COMPUTED_VALUE"""),100.0)</f>
        <v>100</v>
      </c>
      <c r="H249" s="3" t="str">
        <f>IFERROR(__xludf.DUMMYFUNCTION("""COMPUTED_VALUE"""),"Pcs")</f>
        <v>Pcs</v>
      </c>
      <c r="I249" s="3" t="str">
        <f>IFERROR(__xludf.DUMMYFUNCTION("""COMPUTED_VALUE"""),"Deliver")</f>
        <v>Deliver</v>
      </c>
      <c r="J249" s="3" t="str">
        <f>IFERROR(__xludf.DUMMYFUNCTION("""COMPUTED_VALUE"""),"121704043 - APPROVED")</f>
        <v>121704043 - APPROVED</v>
      </c>
      <c r="K249" s="3" t="str">
        <f>IFERROR(__xludf.DUMMYFUNCTION("""COMPUTED_VALUE"""),"GL2604490")</f>
        <v>GL2604490</v>
      </c>
    </row>
    <row r="250">
      <c r="A250" s="3" t="str">
        <f>IFERROR(__xludf.DUMMYFUNCTION("""COMPUTED_VALUE"""),"RIABR0071")</f>
        <v>RIABR0071</v>
      </c>
      <c r="B250" s="4">
        <f>IFERROR(__xludf.DUMMYFUNCTION("""COMPUTED_VALUE"""),45891.58188841435)</f>
        <v>45891.58189</v>
      </c>
      <c r="C250" s="4">
        <f>IFERROR(__xludf.DUMMYFUNCTION("""COMPUTED_VALUE"""),45896.5557759838)</f>
        <v>45896.55578</v>
      </c>
      <c r="D250" s="3" t="str">
        <f>IFERROR(__xludf.DUMMYFUNCTION("""COMPUTED_VALUE"""),"WWTP")</f>
        <v>WWTP</v>
      </c>
      <c r="E250" s="3" t="str">
        <f>IFERROR(__xludf.DUMMYFUNCTION("""COMPUTED_VALUE"""),"EJO/2025/08/56")</f>
        <v>EJO/2025/08/56</v>
      </c>
      <c r="F250" s="3" t="str">
        <f>IFERROR(__xludf.DUMMYFUNCTION("""COMPUTED_VALUE"""),"Stopper Terminal TBR20")</f>
        <v>Stopper Terminal TBR20</v>
      </c>
      <c r="G250" s="3">
        <f>IFERROR(__xludf.DUMMYFUNCTION("""COMPUTED_VALUE"""),25.0)</f>
        <v>25</v>
      </c>
      <c r="H250" s="3" t="str">
        <f>IFERROR(__xludf.DUMMYFUNCTION("""COMPUTED_VALUE"""),"Pcs")</f>
        <v>Pcs</v>
      </c>
      <c r="I250" s="3" t="str">
        <f>IFERROR(__xludf.DUMMYFUNCTION("""COMPUTED_VALUE"""),"Deliver")</f>
        <v>Deliver</v>
      </c>
      <c r="J250" s="3" t="str">
        <f>IFERROR(__xludf.DUMMYFUNCTION("""COMPUTED_VALUE"""),"121703825 - APPROVED")</f>
        <v>121703825 - APPROVED</v>
      </c>
      <c r="K250" s="3" t="str">
        <f>IFERROR(__xludf.DUMMYFUNCTION("""COMPUTED_VALUE"""),"GL2603431")</f>
        <v>GL2603431</v>
      </c>
    </row>
    <row r="251">
      <c r="A251" s="3" t="str">
        <f>IFERROR(__xludf.DUMMYFUNCTION("""COMPUTED_VALUE"""),"RIABR0072")</f>
        <v>RIABR0072</v>
      </c>
      <c r="B251" s="4">
        <f>IFERROR(__xludf.DUMMYFUNCTION("""COMPUTED_VALUE"""),45891.58188841435)</f>
        <v>45891.58189</v>
      </c>
      <c r="C251" s="4">
        <f>IFERROR(__xludf.DUMMYFUNCTION("""COMPUTED_VALUE"""),45896.55504349537)</f>
        <v>45896.55504</v>
      </c>
      <c r="D251" s="3" t="str">
        <f>IFERROR(__xludf.DUMMYFUNCTION("""COMPUTED_VALUE"""),"WWTP")</f>
        <v>WWTP</v>
      </c>
      <c r="E251" s="3" t="str">
        <f>IFERROR(__xludf.DUMMYFUNCTION("""COMPUTED_VALUE"""),"EJO/2025/08/56")</f>
        <v>EJO/2025/08/56</v>
      </c>
      <c r="F251" s="3" t="str">
        <f>IFERROR(__xludf.DUMMYFUNCTION("""COMPUTED_VALUE"""),"Din Rel TBR")</f>
        <v>Din Rel TBR</v>
      </c>
      <c r="G251" s="3">
        <f>IFERROR(__xludf.DUMMYFUNCTION("""COMPUTED_VALUE"""),10.0)</f>
        <v>10</v>
      </c>
      <c r="H251" s="3" t="str">
        <f>IFERROR(__xludf.DUMMYFUNCTION("""COMPUTED_VALUE"""),"Btg")</f>
        <v>Btg</v>
      </c>
      <c r="I251" s="3" t="str">
        <f>IFERROR(__xludf.DUMMYFUNCTION("""COMPUTED_VALUE"""),"Deliver")</f>
        <v>Deliver</v>
      </c>
      <c r="J251" s="3" t="str">
        <f>IFERROR(__xludf.DUMMYFUNCTION("""COMPUTED_VALUE"""),"-")</f>
        <v>-</v>
      </c>
      <c r="K251" s="3" t="str">
        <f>IFERROR(__xludf.DUMMYFUNCTION("""COMPUTED_VALUE"""),"-")</f>
        <v>-</v>
      </c>
    </row>
    <row r="252">
      <c r="A252" s="3" t="str">
        <f>IFERROR(__xludf.DUMMYFUNCTION("""COMPUTED_VALUE"""),"RIABR0073")</f>
        <v>RIABR0073</v>
      </c>
      <c r="B252" s="4">
        <f>IFERROR(__xludf.DUMMYFUNCTION("""COMPUTED_VALUE"""),45891.58188841435)</f>
        <v>45891.58189</v>
      </c>
      <c r="C252" s="4">
        <f>IFERROR(__xludf.DUMMYFUNCTION("""COMPUTED_VALUE"""),45896.55436533564)</f>
        <v>45896.55437</v>
      </c>
      <c r="D252" s="3" t="str">
        <f>IFERROR(__xludf.DUMMYFUNCTION("""COMPUTED_VALUE"""),"WWTP")</f>
        <v>WWTP</v>
      </c>
      <c r="E252" s="3" t="str">
        <f>IFERROR(__xludf.DUMMYFUNCTION("""COMPUTED_VALUE"""),"EJO/2025/08/56")</f>
        <v>EJO/2025/08/56</v>
      </c>
      <c r="F252" s="3" t="str">
        <f>IFERROR(__xludf.DUMMYFUNCTION("""COMPUTED_VALUE"""),"Skun Kabel Y 2.5mm Merah")</f>
        <v>Skun Kabel Y 2.5mm Merah</v>
      </c>
      <c r="G252" s="3">
        <f>IFERROR(__xludf.DUMMYFUNCTION("""COMPUTED_VALUE"""),1.0)</f>
        <v>1</v>
      </c>
      <c r="H252" s="3" t="str">
        <f>IFERROR(__xludf.DUMMYFUNCTION("""COMPUTED_VALUE"""),"Pack")</f>
        <v>Pack</v>
      </c>
      <c r="I252" s="3" t="str">
        <f>IFERROR(__xludf.DUMMYFUNCTION("""COMPUTED_VALUE"""),"Deliver")</f>
        <v>Deliver</v>
      </c>
      <c r="J252" s="3" t="str">
        <f>IFERROR(__xludf.DUMMYFUNCTION("""COMPUTED_VALUE"""),"121703754 - APPROVED")</f>
        <v>121703754 - APPROVED</v>
      </c>
      <c r="K252" s="3" t="str">
        <f>IFERROR(__xludf.DUMMYFUNCTION("""COMPUTED_VALUE"""),"GL2603431")</f>
        <v>GL2603431</v>
      </c>
    </row>
    <row r="253">
      <c r="A253" s="3" t="str">
        <f>IFERROR(__xludf.DUMMYFUNCTION("""COMPUTED_VALUE"""),"RIABR0074")</f>
        <v>RIABR0074</v>
      </c>
      <c r="B253" s="4">
        <f>IFERROR(__xludf.DUMMYFUNCTION("""COMPUTED_VALUE"""),45891.58188841435)</f>
        <v>45891.58189</v>
      </c>
      <c r="C253" s="4">
        <f>IFERROR(__xludf.DUMMYFUNCTION("""COMPUTED_VALUE"""),45896.5016456713)</f>
        <v>45896.50165</v>
      </c>
      <c r="D253" s="3" t="str">
        <f>IFERROR(__xludf.DUMMYFUNCTION("""COMPUTED_VALUE"""),"WWTP")</f>
        <v>WWTP</v>
      </c>
      <c r="E253" s="3" t="str">
        <f>IFERROR(__xludf.DUMMYFUNCTION("""COMPUTED_VALUE"""),"EJO/2025/08/56")</f>
        <v>EJO/2025/08/56</v>
      </c>
      <c r="F253" s="3" t="str">
        <f>IFERROR(__xludf.DUMMYFUNCTION("""COMPUTED_VALUE"""),"Skun Kabel Y 2.5mm Kuning")</f>
        <v>Skun Kabel Y 2.5mm Kuning</v>
      </c>
      <c r="G253" s="3">
        <f>IFERROR(__xludf.DUMMYFUNCTION("""COMPUTED_VALUE"""),1.0)</f>
        <v>1</v>
      </c>
      <c r="H253" s="3" t="str">
        <f>IFERROR(__xludf.DUMMYFUNCTION("""COMPUTED_VALUE"""),"Pack")</f>
        <v>Pack</v>
      </c>
      <c r="I253" s="3" t="str">
        <f>IFERROR(__xludf.DUMMYFUNCTION("""COMPUTED_VALUE"""),"Deliver")</f>
        <v>Deliver</v>
      </c>
      <c r="J253" s="3" t="str">
        <f>IFERROR(__xludf.DUMMYFUNCTION("""COMPUTED_VALUE"""),"121703754 - APPROVED")</f>
        <v>121703754 - APPROVED</v>
      </c>
      <c r="K253" s="3" t="str">
        <f>IFERROR(__xludf.DUMMYFUNCTION("""COMPUTED_VALUE"""),"GL2603431")</f>
        <v>GL2603431</v>
      </c>
    </row>
    <row r="254">
      <c r="A254" s="3" t="str">
        <f>IFERROR(__xludf.DUMMYFUNCTION("""COMPUTED_VALUE"""),"RIABR0075")</f>
        <v>RIABR0075</v>
      </c>
      <c r="B254" s="4">
        <f>IFERROR(__xludf.DUMMYFUNCTION("""COMPUTED_VALUE"""),45891.58188841435)</f>
        <v>45891.58189</v>
      </c>
      <c r="C254" s="4">
        <f>IFERROR(__xludf.DUMMYFUNCTION("""COMPUTED_VALUE"""),45896.501414803235)</f>
        <v>45896.50141</v>
      </c>
      <c r="D254" s="3" t="str">
        <f>IFERROR(__xludf.DUMMYFUNCTION("""COMPUTED_VALUE"""),"WWTP")</f>
        <v>WWTP</v>
      </c>
      <c r="E254" s="3" t="str">
        <f>IFERROR(__xludf.DUMMYFUNCTION("""COMPUTED_VALUE"""),"EJO/2025/08/56")</f>
        <v>EJO/2025/08/56</v>
      </c>
      <c r="F254" s="3" t="str">
        <f>IFERROR(__xludf.DUMMYFUNCTION("""COMPUTED_VALUE"""),"Skun Kabel Y 2.5mm Hijau")</f>
        <v>Skun Kabel Y 2.5mm Hijau</v>
      </c>
      <c r="G254" s="3">
        <f>IFERROR(__xludf.DUMMYFUNCTION("""COMPUTED_VALUE"""),1.0)</f>
        <v>1</v>
      </c>
      <c r="H254" s="3" t="str">
        <f>IFERROR(__xludf.DUMMYFUNCTION("""COMPUTED_VALUE"""),"Pack")</f>
        <v>Pack</v>
      </c>
      <c r="I254" s="3" t="str">
        <f>IFERROR(__xludf.DUMMYFUNCTION("""COMPUTED_VALUE"""),"Deliver")</f>
        <v>Deliver</v>
      </c>
      <c r="J254" s="3" t="str">
        <f>IFERROR(__xludf.DUMMYFUNCTION("""COMPUTED_VALUE"""),"121703754 - APPROVED")</f>
        <v>121703754 - APPROVED</v>
      </c>
      <c r="K254" s="3" t="str">
        <f>IFERROR(__xludf.DUMMYFUNCTION("""COMPUTED_VALUE"""),"GL2603431")</f>
        <v>GL2603431</v>
      </c>
    </row>
    <row r="255">
      <c r="A255" s="3" t="str">
        <f>IFERROR(__xludf.DUMMYFUNCTION("""COMPUTED_VALUE"""),"RIABR0076")</f>
        <v>RIABR0076</v>
      </c>
      <c r="B255" s="4">
        <f>IFERROR(__xludf.DUMMYFUNCTION("""COMPUTED_VALUE"""),45891.58188841435)</f>
        <v>45891.58189</v>
      </c>
      <c r="C255" s="4">
        <f>IFERROR(__xludf.DUMMYFUNCTION("""COMPUTED_VALUE"""),45896.49956871528)</f>
        <v>45896.49957</v>
      </c>
      <c r="D255" s="3" t="str">
        <f>IFERROR(__xludf.DUMMYFUNCTION("""COMPUTED_VALUE"""),"WWTP")</f>
        <v>WWTP</v>
      </c>
      <c r="E255" s="3" t="str">
        <f>IFERROR(__xludf.DUMMYFUNCTION("""COMPUTED_VALUE"""),"EJO/2025/08/56")</f>
        <v>EJO/2025/08/56</v>
      </c>
      <c r="F255" s="3" t="str">
        <f>IFERROR(__xludf.DUMMYFUNCTION("""COMPUTED_VALUE"""),"Skun Kabel O 2.5mm Merah")</f>
        <v>Skun Kabel O 2.5mm Merah</v>
      </c>
      <c r="G255" s="3">
        <f>IFERROR(__xludf.DUMMYFUNCTION("""COMPUTED_VALUE"""),1.0)</f>
        <v>1</v>
      </c>
      <c r="H255" s="3" t="str">
        <f>IFERROR(__xludf.DUMMYFUNCTION("""COMPUTED_VALUE"""),"Pack")</f>
        <v>Pack</v>
      </c>
      <c r="I255" s="3" t="str">
        <f>IFERROR(__xludf.DUMMYFUNCTION("""COMPUTED_VALUE"""),"Deliver")</f>
        <v>Deliver</v>
      </c>
      <c r="J255" s="3" t="str">
        <f>IFERROR(__xludf.DUMMYFUNCTION("""COMPUTED_VALUE"""),"-")</f>
        <v>-</v>
      </c>
      <c r="K255" s="3" t="str">
        <f>IFERROR(__xludf.DUMMYFUNCTION("""COMPUTED_VALUE"""),"-")</f>
        <v>-</v>
      </c>
    </row>
    <row r="256">
      <c r="A256" s="3" t="str">
        <f>IFERROR(__xludf.DUMMYFUNCTION("""COMPUTED_VALUE"""),"RIABR0077")</f>
        <v>RIABR0077</v>
      </c>
      <c r="B256" s="4">
        <f>IFERROR(__xludf.DUMMYFUNCTION("""COMPUTED_VALUE"""),45891.58188841435)</f>
        <v>45891.58189</v>
      </c>
      <c r="C256" s="4">
        <f>IFERROR(__xludf.DUMMYFUNCTION("""COMPUTED_VALUE"""),45896.49942895833)</f>
        <v>45896.49943</v>
      </c>
      <c r="D256" s="3" t="str">
        <f>IFERROR(__xludf.DUMMYFUNCTION("""COMPUTED_VALUE"""),"WWTP")</f>
        <v>WWTP</v>
      </c>
      <c r="E256" s="3" t="str">
        <f>IFERROR(__xludf.DUMMYFUNCTION("""COMPUTED_VALUE"""),"EJO/2025/08/56")</f>
        <v>EJO/2025/08/56</v>
      </c>
      <c r="F256" s="3" t="str">
        <f>IFERROR(__xludf.DUMMYFUNCTION("""COMPUTED_VALUE"""),"Skun Kabel O 2.5mm Kuning")</f>
        <v>Skun Kabel O 2.5mm Kuning</v>
      </c>
      <c r="G256" s="3">
        <f>IFERROR(__xludf.DUMMYFUNCTION("""COMPUTED_VALUE"""),1.0)</f>
        <v>1</v>
      </c>
      <c r="H256" s="3" t="str">
        <f>IFERROR(__xludf.DUMMYFUNCTION("""COMPUTED_VALUE"""),"Pack")</f>
        <v>Pack</v>
      </c>
      <c r="I256" s="3" t="str">
        <f>IFERROR(__xludf.DUMMYFUNCTION("""COMPUTED_VALUE"""),"Deliver")</f>
        <v>Deliver</v>
      </c>
      <c r="J256" s="3" t="str">
        <f>IFERROR(__xludf.DUMMYFUNCTION("""COMPUTED_VALUE"""),"-")</f>
        <v>-</v>
      </c>
      <c r="K256" s="3" t="str">
        <f>IFERROR(__xludf.DUMMYFUNCTION("""COMPUTED_VALUE"""),"-")</f>
        <v>-</v>
      </c>
    </row>
    <row r="257">
      <c r="A257" s="3" t="str">
        <f>IFERROR(__xludf.DUMMYFUNCTION("""COMPUTED_VALUE"""),"RIABR0078")</f>
        <v>RIABR0078</v>
      </c>
      <c r="B257" s="4">
        <f>IFERROR(__xludf.DUMMYFUNCTION("""COMPUTED_VALUE"""),45891.58188841435)</f>
        <v>45891.58189</v>
      </c>
      <c r="C257" s="4">
        <f>IFERROR(__xludf.DUMMYFUNCTION("""COMPUTED_VALUE"""),45896.49927898148)</f>
        <v>45896.49928</v>
      </c>
      <c r="D257" s="3" t="str">
        <f>IFERROR(__xludf.DUMMYFUNCTION("""COMPUTED_VALUE"""),"WWTP")</f>
        <v>WWTP</v>
      </c>
      <c r="E257" s="3" t="str">
        <f>IFERROR(__xludf.DUMMYFUNCTION("""COMPUTED_VALUE"""),"EJO/2025/08/56")</f>
        <v>EJO/2025/08/56</v>
      </c>
      <c r="F257" s="3" t="str">
        <f>IFERROR(__xludf.DUMMYFUNCTION("""COMPUTED_VALUE"""),"Skun Kabel O 2.5mm Hijau")</f>
        <v>Skun Kabel O 2.5mm Hijau</v>
      </c>
      <c r="G257" s="3">
        <f>IFERROR(__xludf.DUMMYFUNCTION("""COMPUTED_VALUE"""),1.0)</f>
        <v>1</v>
      </c>
      <c r="H257" s="3" t="str">
        <f>IFERROR(__xludf.DUMMYFUNCTION("""COMPUTED_VALUE"""),"Pack")</f>
        <v>Pack</v>
      </c>
      <c r="I257" s="3" t="str">
        <f>IFERROR(__xludf.DUMMYFUNCTION("""COMPUTED_VALUE"""),"Deliver")</f>
        <v>Deliver</v>
      </c>
      <c r="J257" s="3" t="str">
        <f>IFERROR(__xludf.DUMMYFUNCTION("""COMPUTED_VALUE"""),"-")</f>
        <v>-</v>
      </c>
      <c r="K257" s="3" t="str">
        <f>IFERROR(__xludf.DUMMYFUNCTION("""COMPUTED_VALUE"""),"-")</f>
        <v>-</v>
      </c>
    </row>
    <row r="258">
      <c r="A258" s="3" t="str">
        <f>IFERROR(__xludf.DUMMYFUNCTION("""COMPUTED_VALUE"""),"RIABR0079")</f>
        <v>RIABR0079</v>
      </c>
      <c r="B258" s="4">
        <f>IFERROR(__xludf.DUMMYFUNCTION("""COMPUTED_VALUE"""),45891.58188841435)</f>
        <v>45891.58189</v>
      </c>
      <c r="C258" s="4">
        <f>IFERROR(__xludf.DUMMYFUNCTION("""COMPUTED_VALUE"""),45896.49913887731)</f>
        <v>45896.49914</v>
      </c>
      <c r="D258" s="3" t="str">
        <f>IFERROR(__xludf.DUMMYFUNCTION("""COMPUTED_VALUE"""),"WWTP")</f>
        <v>WWTP</v>
      </c>
      <c r="E258" s="3" t="str">
        <f>IFERROR(__xludf.DUMMYFUNCTION("""COMPUTED_VALUE"""),"EJO/2025/08/56")</f>
        <v>EJO/2025/08/56</v>
      </c>
      <c r="F258" s="3" t="str">
        <f>IFERROR(__xludf.DUMMYFUNCTION("""COMPUTED_VALUE"""),"Tagging Kabel")</f>
        <v>Tagging Kabel</v>
      </c>
      <c r="G258" s="3">
        <f>IFERROR(__xludf.DUMMYFUNCTION("""COMPUTED_VALUE"""),500.0)</f>
        <v>500</v>
      </c>
      <c r="H258" s="3" t="str">
        <f>IFERROR(__xludf.DUMMYFUNCTION("""COMPUTED_VALUE"""),"Pcs")</f>
        <v>Pcs</v>
      </c>
      <c r="I258" s="3" t="str">
        <f>IFERROR(__xludf.DUMMYFUNCTION("""COMPUTED_VALUE"""),"Deliver")</f>
        <v>Deliver</v>
      </c>
      <c r="J258" s="3" t="str">
        <f>IFERROR(__xludf.DUMMYFUNCTION("""COMPUTED_VALUE"""),"-")</f>
        <v>-</v>
      </c>
      <c r="K258" s="3" t="str">
        <f>IFERROR(__xludf.DUMMYFUNCTION("""COMPUTED_VALUE"""),"-")</f>
        <v>-</v>
      </c>
    </row>
    <row r="259">
      <c r="A259" s="3" t="str">
        <f>IFERROR(__xludf.DUMMYFUNCTION("""COMPUTED_VALUE"""),"RIABR0080")</f>
        <v>RIABR0080</v>
      </c>
      <c r="B259" s="4">
        <f>IFERROR(__xludf.DUMMYFUNCTION("""COMPUTED_VALUE"""),45891.58188841435)</f>
        <v>45891.58189</v>
      </c>
      <c r="C259" s="4">
        <f>IFERROR(__xludf.DUMMYFUNCTION("""COMPUTED_VALUE"""),45896.49896917825)</f>
        <v>45896.49897</v>
      </c>
      <c r="D259" s="3" t="str">
        <f>IFERROR(__xludf.DUMMYFUNCTION("""COMPUTED_VALUE"""),"WWTP")</f>
        <v>WWTP</v>
      </c>
      <c r="E259" s="3" t="str">
        <f>IFERROR(__xludf.DUMMYFUNCTION("""COMPUTED_VALUE"""),"EJO/2025/08/56")</f>
        <v>EJO/2025/08/56</v>
      </c>
      <c r="F259" s="3" t="str">
        <f>IFERROR(__xludf.DUMMYFUNCTION("""COMPUTED_VALUE"""),"Pilot Lamp AD22-22DS 220VAC Hijau")</f>
        <v>Pilot Lamp AD22-22DS 220VAC Hijau</v>
      </c>
      <c r="G259" s="3">
        <f>IFERROR(__xludf.DUMMYFUNCTION("""COMPUTED_VALUE"""),10.0)</f>
        <v>10</v>
      </c>
      <c r="H259" s="3" t="str">
        <f>IFERROR(__xludf.DUMMYFUNCTION("""COMPUTED_VALUE"""),"Pcs")</f>
        <v>Pcs</v>
      </c>
      <c r="I259" s="3" t="str">
        <f>IFERROR(__xludf.DUMMYFUNCTION("""COMPUTED_VALUE"""),"Deliver")</f>
        <v>Deliver</v>
      </c>
      <c r="J259" s="3" t="str">
        <f>IFERROR(__xludf.DUMMYFUNCTION("""COMPUTED_VALUE"""),"-")</f>
        <v>-</v>
      </c>
      <c r="K259" s="3" t="str">
        <f>IFERROR(__xludf.DUMMYFUNCTION("""COMPUTED_VALUE"""),"-")</f>
        <v>-</v>
      </c>
    </row>
    <row r="260">
      <c r="A260" s="3" t="str">
        <f>IFERROR(__xludf.DUMMYFUNCTION("""COMPUTED_VALUE"""),"RIABR0081")</f>
        <v>RIABR0081</v>
      </c>
      <c r="B260" s="4">
        <f>IFERROR(__xludf.DUMMYFUNCTION("""COMPUTED_VALUE"""),45891.58188841435)</f>
        <v>45891.58189</v>
      </c>
      <c r="C260" s="4">
        <f>IFERROR(__xludf.DUMMYFUNCTION("""COMPUTED_VALUE"""),45896.498795949075)</f>
        <v>45896.4988</v>
      </c>
      <c r="D260" s="3" t="str">
        <f>IFERROR(__xludf.DUMMYFUNCTION("""COMPUTED_VALUE"""),"WWTP")</f>
        <v>WWTP</v>
      </c>
      <c r="E260" s="3" t="str">
        <f>IFERROR(__xludf.DUMMYFUNCTION("""COMPUTED_VALUE"""),"EJO/2025/08/56")</f>
        <v>EJO/2025/08/56</v>
      </c>
      <c r="F260" s="3" t="str">
        <f>IFERROR(__xludf.DUMMYFUNCTION("""COMPUTED_VALUE"""),"Pilot Lamp AD22-22DS 220VAC Kuning")</f>
        <v>Pilot Lamp AD22-22DS 220VAC Kuning</v>
      </c>
      <c r="G260" s="3">
        <f>IFERROR(__xludf.DUMMYFUNCTION("""COMPUTED_VALUE"""),1.0)</f>
        <v>1</v>
      </c>
      <c r="H260" s="3" t="str">
        <f>IFERROR(__xludf.DUMMYFUNCTION("""COMPUTED_VALUE"""),"Pcs")</f>
        <v>Pcs</v>
      </c>
      <c r="I260" s="3" t="str">
        <f>IFERROR(__xludf.DUMMYFUNCTION("""COMPUTED_VALUE"""),"Deliver")</f>
        <v>Deliver</v>
      </c>
      <c r="J260" s="3" t="str">
        <f>IFERROR(__xludf.DUMMYFUNCTION("""COMPUTED_VALUE"""),"-")</f>
        <v>-</v>
      </c>
      <c r="K260" s="3" t="str">
        <f>IFERROR(__xludf.DUMMYFUNCTION("""COMPUTED_VALUE"""),"-")</f>
        <v>-</v>
      </c>
    </row>
    <row r="261">
      <c r="A261" s="3" t="str">
        <f>IFERROR(__xludf.DUMMYFUNCTION("""COMPUTED_VALUE"""),"RIABR0083")</f>
        <v>RIABR0083</v>
      </c>
      <c r="B261" s="4">
        <f>IFERROR(__xludf.DUMMYFUNCTION("""COMPUTED_VALUE"""),45891.58188841435)</f>
        <v>45891.58189</v>
      </c>
      <c r="C261" s="4">
        <f>IFERROR(__xludf.DUMMYFUNCTION("""COMPUTED_VALUE"""),45921.881087685186)</f>
        <v>45921.88109</v>
      </c>
      <c r="D261" s="3" t="str">
        <f>IFERROR(__xludf.DUMMYFUNCTION("""COMPUTED_VALUE"""),"WWTP")</f>
        <v>WWTP</v>
      </c>
      <c r="E261" s="3" t="str">
        <f>IFERROR(__xludf.DUMMYFUNCTION("""COMPUTED_VALUE"""),"EJO/2025/08/56")</f>
        <v>EJO/2025/08/56</v>
      </c>
      <c r="F261" s="3" t="str">
        <f>IFERROR(__xludf.DUMMYFUNCTION("""COMPUTED_VALUE"""),"Selector Switch 3 Posisi YW1S-3E20")</f>
        <v>Selector Switch 3 Posisi YW1S-3E20</v>
      </c>
      <c r="G261" s="3">
        <f>IFERROR(__xludf.DUMMYFUNCTION("""COMPUTED_VALUE"""),9.0)</f>
        <v>9</v>
      </c>
      <c r="H261" s="3" t="str">
        <f>IFERROR(__xludf.DUMMYFUNCTION("""COMPUTED_VALUE"""),"Pcs")</f>
        <v>Pcs</v>
      </c>
      <c r="I261" s="3" t="str">
        <f>IFERROR(__xludf.DUMMYFUNCTION("""COMPUTED_VALUE"""),"Deliver")</f>
        <v>Deliver</v>
      </c>
      <c r="J261" s="3" t="str">
        <f>IFERROR(__xludf.DUMMYFUNCTION("""COMPUTED_VALUE"""),"-")</f>
        <v>-</v>
      </c>
      <c r="K261" s="3" t="str">
        <f>IFERROR(__xludf.DUMMYFUNCTION("""COMPUTED_VALUE"""),"-")</f>
        <v>-</v>
      </c>
    </row>
    <row r="262">
      <c r="A262" s="3" t="str">
        <f>IFERROR(__xludf.DUMMYFUNCTION("""COMPUTED_VALUE"""),"RIABR0084")</f>
        <v>RIABR0084</v>
      </c>
      <c r="B262" s="4">
        <f>IFERROR(__xludf.DUMMYFUNCTION("""COMPUTED_VALUE"""),45891.58188841435)</f>
        <v>45891.58189</v>
      </c>
      <c r="C262" s="4">
        <f>IFERROR(__xludf.DUMMYFUNCTION("""COMPUTED_VALUE"""),45921.88119206019)</f>
        <v>45921.88119</v>
      </c>
      <c r="D262" s="3" t="str">
        <f>IFERROR(__xludf.DUMMYFUNCTION("""COMPUTED_VALUE"""),"WWTP")</f>
        <v>WWTP</v>
      </c>
      <c r="E262" s="3" t="str">
        <f>IFERROR(__xludf.DUMMYFUNCTION("""COMPUTED_VALUE"""),"EJO/2025/08/56")</f>
        <v>EJO/2025/08/56</v>
      </c>
      <c r="F262" s="3" t="str">
        <f>IFERROR(__xludf.DUMMYFUNCTION("""COMPUTED_VALUE"""),"Kabel 4x2.5 NYYHY")</f>
        <v>Kabel 4x2.5 NYYHY</v>
      </c>
      <c r="G262" s="3">
        <f>IFERROR(__xludf.DUMMYFUNCTION("""COMPUTED_VALUE"""),1.0)</f>
        <v>1</v>
      </c>
      <c r="H262" s="3" t="str">
        <f>IFERROR(__xludf.DUMMYFUNCTION("""COMPUTED_VALUE"""),"Roll")</f>
        <v>Roll</v>
      </c>
      <c r="I262" s="3" t="str">
        <f>IFERROR(__xludf.DUMMYFUNCTION("""COMPUTED_VALUE"""),"Deliver")</f>
        <v>Deliver</v>
      </c>
      <c r="J262" s="3" t="str">
        <f>IFERROR(__xludf.DUMMYFUNCTION("""COMPUTED_VALUE"""),"-")</f>
        <v>-</v>
      </c>
      <c r="K262" s="3" t="str">
        <f>IFERROR(__xludf.DUMMYFUNCTION("""COMPUTED_VALUE"""),"-")</f>
        <v>-</v>
      </c>
    </row>
    <row r="263">
      <c r="A263" s="3" t="str">
        <f>IFERROR(__xludf.DUMMYFUNCTION("""COMPUTED_VALUE"""),"RIABR0085")</f>
        <v>RIABR0085</v>
      </c>
      <c r="B263" s="4">
        <f>IFERROR(__xludf.DUMMYFUNCTION("""COMPUTED_VALUE"""),45891.58188841435)</f>
        <v>45891.58189</v>
      </c>
      <c r="C263" s="4">
        <f>IFERROR(__xludf.DUMMYFUNCTION("""COMPUTED_VALUE"""),45921.881320625)</f>
        <v>45921.88132</v>
      </c>
      <c r="D263" s="3" t="str">
        <f>IFERROR(__xludf.DUMMYFUNCTION("""COMPUTED_VALUE"""),"WWTP")</f>
        <v>WWTP</v>
      </c>
      <c r="E263" s="3" t="str">
        <f>IFERROR(__xludf.DUMMYFUNCTION("""COMPUTED_VALUE"""),"EJO/2025/08/56")</f>
        <v>EJO/2025/08/56</v>
      </c>
      <c r="F263" s="3" t="str">
        <f>IFERROR(__xludf.DUMMYFUNCTION("""COMPUTED_VALUE"""),"Kabel 1x1.5 NYAF Hitam")</f>
        <v>Kabel 1x1.5 NYAF Hitam</v>
      </c>
      <c r="G263" s="3">
        <f>IFERROR(__xludf.DUMMYFUNCTION("""COMPUTED_VALUE"""),1.0)</f>
        <v>1</v>
      </c>
      <c r="H263" s="3" t="str">
        <f>IFERROR(__xludf.DUMMYFUNCTION("""COMPUTED_VALUE"""),"Roll")</f>
        <v>Roll</v>
      </c>
      <c r="I263" s="3" t="str">
        <f>IFERROR(__xludf.DUMMYFUNCTION("""COMPUTED_VALUE"""),"Deliver")</f>
        <v>Deliver</v>
      </c>
      <c r="J263" s="3" t="str">
        <f>IFERROR(__xludf.DUMMYFUNCTION("""COMPUTED_VALUE"""),"121703760 - APPROVED")</f>
        <v>121703760 - APPROVED</v>
      </c>
      <c r="K263" s="3" t="str">
        <f>IFERROR(__xludf.DUMMYFUNCTION("""COMPUTED_VALUE"""),"GL2603428")</f>
        <v>GL2603428</v>
      </c>
    </row>
    <row r="264">
      <c r="A264" s="3" t="str">
        <f>IFERROR(__xludf.DUMMYFUNCTION("""COMPUTED_VALUE"""),"RIABR0086")</f>
        <v>RIABR0086</v>
      </c>
      <c r="B264" s="4">
        <f>IFERROR(__xludf.DUMMYFUNCTION("""COMPUTED_VALUE"""),45891.58188841435)</f>
        <v>45891.58189</v>
      </c>
      <c r="C264" s="4">
        <f>IFERROR(__xludf.DUMMYFUNCTION("""COMPUTED_VALUE"""),45921.88142194445)</f>
        <v>45921.88142</v>
      </c>
      <c r="D264" s="3" t="str">
        <f>IFERROR(__xludf.DUMMYFUNCTION("""COMPUTED_VALUE"""),"WWTP")</f>
        <v>WWTP</v>
      </c>
      <c r="E264" s="3" t="str">
        <f>IFERROR(__xludf.DUMMYFUNCTION("""COMPUTED_VALUE"""),"EJO/2025/08/56")</f>
        <v>EJO/2025/08/56</v>
      </c>
      <c r="F264" s="3" t="str">
        <f>IFERROR(__xludf.DUMMYFUNCTION("""COMPUTED_VALUE"""),"Kabel Duct 32 x 32")</f>
        <v>Kabel Duct 32 x 32</v>
      </c>
      <c r="G264" s="3">
        <f>IFERROR(__xludf.DUMMYFUNCTION("""COMPUTED_VALUE"""),5.0)</f>
        <v>5</v>
      </c>
      <c r="H264" s="3" t="str">
        <f>IFERROR(__xludf.DUMMYFUNCTION("""COMPUTED_VALUE"""),"Btg")</f>
        <v>Btg</v>
      </c>
      <c r="I264" s="3" t="str">
        <f>IFERROR(__xludf.DUMMYFUNCTION("""COMPUTED_VALUE"""),"Deliver")</f>
        <v>Deliver</v>
      </c>
      <c r="J264" s="3" t="str">
        <f>IFERROR(__xludf.DUMMYFUNCTION("""COMPUTED_VALUE"""),"121703754 - APPROVED")</f>
        <v>121703754 - APPROVED</v>
      </c>
      <c r="K264" s="3" t="str">
        <f>IFERROR(__xludf.DUMMYFUNCTION("""COMPUTED_VALUE"""),"GL2603434")</f>
        <v>GL2603434</v>
      </c>
    </row>
    <row r="265">
      <c r="A265" s="3" t="str">
        <f>IFERROR(__xludf.DUMMYFUNCTION("""COMPUTED_VALUE"""),"RIABR0087")</f>
        <v>RIABR0087</v>
      </c>
      <c r="B265" s="4">
        <f>IFERROR(__xludf.DUMMYFUNCTION("""COMPUTED_VALUE"""),45891.58188841435)</f>
        <v>45891.58189</v>
      </c>
      <c r="C265" s="4">
        <f>IFERROR(__xludf.DUMMYFUNCTION("""COMPUTED_VALUE"""),45921.88154811343)</f>
        <v>45921.88155</v>
      </c>
      <c r="D265" s="3" t="str">
        <f>IFERROR(__xludf.DUMMYFUNCTION("""COMPUTED_VALUE"""),"WWTP")</f>
        <v>WWTP</v>
      </c>
      <c r="E265" s="3" t="str">
        <f>IFERROR(__xludf.DUMMYFUNCTION("""COMPUTED_VALUE"""),"EJO/2025/08/56")</f>
        <v>EJO/2025/08/56</v>
      </c>
      <c r="F265" s="3" t="str">
        <f>IFERROR(__xludf.DUMMYFUNCTION("""COMPUTED_VALUE"""),"Hole Saw 23 mm Stainless Steel")</f>
        <v>Hole Saw 23 mm Stainless Steel</v>
      </c>
      <c r="G265" s="3">
        <f>IFERROR(__xludf.DUMMYFUNCTION("""COMPUTED_VALUE"""),2.0)</f>
        <v>2</v>
      </c>
      <c r="H265" s="3" t="str">
        <f>IFERROR(__xludf.DUMMYFUNCTION("""COMPUTED_VALUE"""),"Pcs")</f>
        <v>Pcs</v>
      </c>
      <c r="I265" s="3" t="str">
        <f>IFERROR(__xludf.DUMMYFUNCTION("""COMPUTED_VALUE"""),"Deliver")</f>
        <v>Deliver</v>
      </c>
      <c r="J265" s="3" t="str">
        <f>IFERROR(__xludf.DUMMYFUNCTION("""COMPUTED_VALUE"""),"121703754 - APPROVED")</f>
        <v>121703754 - APPROVED</v>
      </c>
      <c r="K265" s="3" t="str">
        <f>IFERROR(__xludf.DUMMYFUNCTION("""COMPUTED_VALUE"""),"GL2603431")</f>
        <v>GL2603431</v>
      </c>
    </row>
    <row r="266">
      <c r="A266" s="3" t="str">
        <f>IFERROR(__xludf.DUMMYFUNCTION("""COMPUTED_VALUE"""),"RIABR0088")</f>
        <v>RIABR0088</v>
      </c>
      <c r="B266" s="4">
        <f>IFERROR(__xludf.DUMMYFUNCTION("""COMPUTED_VALUE"""),45891.58188841435)</f>
        <v>45891.58189</v>
      </c>
      <c r="C266" s="4">
        <f>IFERROR(__xludf.DUMMYFUNCTION("""COMPUTED_VALUE"""),45921.88166413194)</f>
        <v>45921.88166</v>
      </c>
      <c r="D266" s="3" t="str">
        <f>IFERROR(__xludf.DUMMYFUNCTION("""COMPUTED_VALUE"""),"WWTP")</f>
        <v>WWTP</v>
      </c>
      <c r="E266" s="3" t="str">
        <f>IFERROR(__xludf.DUMMYFUNCTION("""COMPUTED_VALUE"""),"EJO/2025/08/56")</f>
        <v>EJO/2025/08/56</v>
      </c>
      <c r="F266" s="3" t="str">
        <f>IFERROR(__xludf.DUMMYFUNCTION("""COMPUTED_VALUE"""),"Kabel Gland PG25")</f>
        <v>Kabel Gland PG25</v>
      </c>
      <c r="G266" s="3">
        <f>IFERROR(__xludf.DUMMYFUNCTION("""COMPUTED_VALUE"""),10.0)</f>
        <v>10</v>
      </c>
      <c r="H266" s="3" t="str">
        <f>IFERROR(__xludf.DUMMYFUNCTION("""COMPUTED_VALUE"""),"Pcs")</f>
        <v>Pcs</v>
      </c>
      <c r="I266" s="3" t="str">
        <f>IFERROR(__xludf.DUMMYFUNCTION("""COMPUTED_VALUE"""),"Deliver")</f>
        <v>Deliver</v>
      </c>
      <c r="J266" s="3" t="str">
        <f>IFERROR(__xludf.DUMMYFUNCTION("""COMPUTED_VALUE"""),"121703754 - APPROVED")</f>
        <v>121703754 - APPROVED</v>
      </c>
      <c r="K266" s="3" t="str">
        <f>IFERROR(__xludf.DUMMYFUNCTION("""COMPUTED_VALUE"""),"GL2603428")</f>
        <v>GL2603428</v>
      </c>
    </row>
    <row r="267">
      <c r="A267" s="3" t="str">
        <f>IFERROR(__xludf.DUMMYFUNCTION("""COMPUTED_VALUE"""),"RIABR0089")</f>
        <v>RIABR0089</v>
      </c>
      <c r="B267" s="4">
        <f>IFERROR(__xludf.DUMMYFUNCTION("""COMPUTED_VALUE"""),45891.58188841435)</f>
        <v>45891.58189</v>
      </c>
      <c r="C267" s="4">
        <f>IFERROR(__xludf.DUMMYFUNCTION("""COMPUTED_VALUE"""),45921.88175465278)</f>
        <v>45921.88175</v>
      </c>
      <c r="D267" s="3" t="str">
        <f>IFERROR(__xludf.DUMMYFUNCTION("""COMPUTED_VALUE"""),"WWTP")</f>
        <v>WWTP</v>
      </c>
      <c r="E267" s="3" t="str">
        <f>IFERROR(__xludf.DUMMYFUNCTION("""COMPUTED_VALUE"""),"EJO/2025/08/56")</f>
        <v>EJO/2025/08/56</v>
      </c>
      <c r="F267" s="3" t="str">
        <f>IFERROR(__xludf.DUMMYFUNCTION("""COMPUTED_VALUE"""),"Paku Rivet")</f>
        <v>Paku Rivet</v>
      </c>
      <c r="G267" s="3">
        <f>IFERROR(__xludf.DUMMYFUNCTION("""COMPUTED_VALUE"""),1.0)</f>
        <v>1</v>
      </c>
      <c r="H267" s="3" t="str">
        <f>IFERROR(__xludf.DUMMYFUNCTION("""COMPUTED_VALUE"""),"Pack")</f>
        <v>Pack</v>
      </c>
      <c r="I267" s="3" t="str">
        <f>IFERROR(__xludf.DUMMYFUNCTION("""COMPUTED_VALUE"""),"Deliver")</f>
        <v>Deliver</v>
      </c>
      <c r="J267" s="3" t="str">
        <f>IFERROR(__xludf.DUMMYFUNCTION("""COMPUTED_VALUE"""),"121703754 - APPROVED")</f>
        <v>121703754 - APPROVED</v>
      </c>
      <c r="K267" s="3" t="str">
        <f>IFERROR(__xludf.DUMMYFUNCTION("""COMPUTED_VALUE"""),"GL2603449")</f>
        <v>GL2603449</v>
      </c>
    </row>
    <row r="268">
      <c r="A268" s="3" t="str">
        <f>IFERROR(__xludf.DUMMYFUNCTION("""COMPUTED_VALUE"""),"RIABR0091")</f>
        <v>RIABR0091</v>
      </c>
      <c r="B268" s="4">
        <f>IFERROR(__xludf.DUMMYFUNCTION("""COMPUTED_VALUE"""),45891.58188841435)</f>
        <v>45891.58189</v>
      </c>
      <c r="C268" s="4">
        <f>IFERROR(__xludf.DUMMYFUNCTION("""COMPUTED_VALUE"""),45921.88209400463)</f>
        <v>45921.88209</v>
      </c>
      <c r="D268" s="3" t="str">
        <f>IFERROR(__xludf.DUMMYFUNCTION("""COMPUTED_VALUE"""),"WWTP")</f>
        <v>WWTP</v>
      </c>
      <c r="E268" s="3" t="str">
        <f>IFERROR(__xludf.DUMMYFUNCTION("""COMPUTED_VALUE"""),"EJO/2025/08/56")</f>
        <v>EJO/2025/08/56</v>
      </c>
      <c r="F268" s="3" t="str">
        <f>IFERROR(__xludf.DUMMYFUNCTION("""COMPUTED_VALUE"""),"Stop Kontak Panel CEE112")</f>
        <v>Stop Kontak Panel CEE112</v>
      </c>
      <c r="G268" s="3">
        <f>IFERROR(__xludf.DUMMYFUNCTION("""COMPUTED_VALUE"""),1.0)</f>
        <v>1</v>
      </c>
      <c r="H268" s="3" t="str">
        <f>IFERROR(__xludf.DUMMYFUNCTION("""COMPUTED_VALUE"""),"Pcs")</f>
        <v>Pcs</v>
      </c>
      <c r="I268" s="3" t="str">
        <f>IFERROR(__xludf.DUMMYFUNCTION("""COMPUTED_VALUE"""),"Deliver")</f>
        <v>Deliver</v>
      </c>
      <c r="J268" s="3" t="str">
        <f>IFERROR(__xludf.DUMMYFUNCTION("""COMPUTED_VALUE"""),"121703757 - APPROVED")</f>
        <v>121703757 - APPROVED</v>
      </c>
      <c r="K268" s="3" t="str">
        <f>IFERROR(__xludf.DUMMYFUNCTION("""COMPUTED_VALUE"""),"GL2603428")</f>
        <v>GL2603428</v>
      </c>
    </row>
    <row r="269">
      <c r="A269" s="3" t="str">
        <f>IFERROR(__xludf.DUMMYFUNCTION("""COMPUTED_VALUE"""),"RIABR0092")</f>
        <v>RIABR0092</v>
      </c>
      <c r="B269" s="4">
        <f>IFERROR(__xludf.DUMMYFUNCTION("""COMPUTED_VALUE"""),45891.58188841435)</f>
        <v>45891.58189</v>
      </c>
      <c r="C269" s="4">
        <f>IFERROR(__xludf.DUMMYFUNCTION("""COMPUTED_VALUE"""),45921.88217761574)</f>
        <v>45921.88218</v>
      </c>
      <c r="D269" s="3" t="str">
        <f>IFERROR(__xludf.DUMMYFUNCTION("""COMPUTED_VALUE"""),"WWTP")</f>
        <v>WWTP</v>
      </c>
      <c r="E269" s="3" t="str">
        <f>IFERROR(__xludf.DUMMYFUNCTION("""COMPUTED_VALUE"""),"EJO/2025/08/56")</f>
        <v>EJO/2025/08/56</v>
      </c>
      <c r="F269" s="3" t="str">
        <f>IFERROR(__xludf.DUMMYFUNCTION("""COMPUTED_VALUE"""),"Box Panel 950 x 600 x 300")</f>
        <v>Box Panel 950 x 600 x 300</v>
      </c>
      <c r="G269" s="3">
        <f>IFERROR(__xludf.DUMMYFUNCTION("""COMPUTED_VALUE"""),1.0)</f>
        <v>1</v>
      </c>
      <c r="H269" s="3" t="str">
        <f>IFERROR(__xludf.DUMMYFUNCTION("""COMPUTED_VALUE"""),"Pcs")</f>
        <v>Pcs</v>
      </c>
      <c r="I269" s="3" t="str">
        <f>IFERROR(__xludf.DUMMYFUNCTION("""COMPUTED_VALUE"""),"Deliver")</f>
        <v>Deliver</v>
      </c>
      <c r="J269" s="3" t="str">
        <f>IFERROR(__xludf.DUMMYFUNCTION("""COMPUTED_VALUE"""),"121704369 - APPROVED")</f>
        <v>121704369 - APPROVED</v>
      </c>
      <c r="K269" s="3" t="str">
        <f>IFERROR(__xludf.DUMMYFUNCTION("""COMPUTED_VALUE"""),"GL2607378")</f>
        <v>GL2607378</v>
      </c>
    </row>
    <row r="270">
      <c r="A270" s="3" t="str">
        <f>IFERROR(__xludf.DUMMYFUNCTION("""COMPUTED_VALUE"""),"RIABR0093")</f>
        <v>RIABR0093</v>
      </c>
      <c r="B270" s="4">
        <f>IFERROR(__xludf.DUMMYFUNCTION("""COMPUTED_VALUE"""),45891.58188841435)</f>
        <v>45891.58189</v>
      </c>
      <c r="C270" s="4">
        <f>IFERROR(__xludf.DUMMYFUNCTION("""COMPUTED_VALUE"""),45921.88228673611)</f>
        <v>45921.88229</v>
      </c>
      <c r="D270" s="3" t="str">
        <f>IFERROR(__xludf.DUMMYFUNCTION("""COMPUTED_VALUE"""),"WWTP")</f>
        <v>WWTP</v>
      </c>
      <c r="E270" s="3" t="str">
        <f>IFERROR(__xludf.DUMMYFUNCTION("""COMPUTED_VALUE"""),"EJO/2025/08/56")</f>
        <v>EJO/2025/08/56</v>
      </c>
      <c r="F270" s="3" t="str">
        <f>IFERROR(__xludf.DUMMYFUNCTION("""COMPUTED_VALUE"""),"Buzzer AD16-22SM 220 VAC")</f>
        <v>Buzzer AD16-22SM 220 VAC</v>
      </c>
      <c r="G270" s="3">
        <f>IFERROR(__xludf.DUMMYFUNCTION("""COMPUTED_VALUE"""),3.0)</f>
        <v>3</v>
      </c>
      <c r="H270" s="3" t="str">
        <f>IFERROR(__xludf.DUMMYFUNCTION("""COMPUTED_VALUE"""),"Pcs")</f>
        <v>Pcs</v>
      </c>
      <c r="I270" s="3" t="str">
        <f>IFERROR(__xludf.DUMMYFUNCTION("""COMPUTED_VALUE"""),"Deliver")</f>
        <v>Deliver</v>
      </c>
      <c r="J270" s="3" t="str">
        <f>IFERROR(__xludf.DUMMYFUNCTION("""COMPUTED_VALUE"""),"-")</f>
        <v>-</v>
      </c>
      <c r="K270" s="3" t="str">
        <f>IFERROR(__xludf.DUMMYFUNCTION("""COMPUTED_VALUE"""),"-")</f>
        <v>-</v>
      </c>
    </row>
    <row r="271">
      <c r="A271" s="3" t="str">
        <f>IFERROR(__xludf.DUMMYFUNCTION("""COMPUTED_VALUE"""),"RIABR0095")</f>
        <v>RIABR0095</v>
      </c>
      <c r="B271" s="4">
        <f>IFERROR(__xludf.DUMMYFUNCTION("""COMPUTED_VALUE"""),45891.58188841435)</f>
        <v>45891.58189</v>
      </c>
      <c r="C271" s="4">
        <f>IFERROR(__xludf.DUMMYFUNCTION("""COMPUTED_VALUE"""),45921.88246361111)</f>
        <v>45921.88246</v>
      </c>
      <c r="D271" s="3" t="str">
        <f>IFERROR(__xludf.DUMMYFUNCTION("""COMPUTED_VALUE"""),"WWTP")</f>
        <v>WWTP</v>
      </c>
      <c r="E271" s="3" t="str">
        <f>IFERROR(__xludf.DUMMYFUNCTION("""COMPUTED_VALUE"""),"EJO/2025/08/56")</f>
        <v>EJO/2025/08/56</v>
      </c>
      <c r="F271" s="3" t="str">
        <f>IFERROR(__xludf.DUMMYFUNCTION("""COMPUTED_VALUE"""),"Busbar Sisir 1Pole")</f>
        <v>Busbar Sisir 1Pole</v>
      </c>
      <c r="G271" s="3">
        <f>IFERROR(__xludf.DUMMYFUNCTION("""COMPUTED_VALUE"""),1.0)</f>
        <v>1</v>
      </c>
      <c r="H271" s="3" t="str">
        <f>IFERROR(__xludf.DUMMYFUNCTION("""COMPUTED_VALUE"""),"Pcs")</f>
        <v>Pcs</v>
      </c>
      <c r="I271" s="3" t="str">
        <f>IFERROR(__xludf.DUMMYFUNCTION("""COMPUTED_VALUE"""),"Approval PR")</f>
        <v>Approval PR</v>
      </c>
      <c r="J271" s="3" t="str">
        <f>IFERROR(__xludf.DUMMYFUNCTION("""COMPUTED_VALUE"""),"121703994 - INCOMPLETE")</f>
        <v>121703994 - INCOMPLETE</v>
      </c>
      <c r="K271" s="3" t="str">
        <f>IFERROR(__xludf.DUMMYFUNCTION("""COMPUTED_VALUE"""),"-")</f>
        <v>-</v>
      </c>
    </row>
    <row r="272">
      <c r="A272" s="3" t="str">
        <f>IFERROR(__xludf.DUMMYFUNCTION("""COMPUTED_VALUE"""),"RIABR0097")</f>
        <v>RIABR0097</v>
      </c>
      <c r="B272" s="4">
        <f>IFERROR(__xludf.DUMMYFUNCTION("""COMPUTED_VALUE"""),45894.64253824075)</f>
        <v>45894.64254</v>
      </c>
      <c r="C272" s="4">
        <f>IFERROR(__xludf.DUMMYFUNCTION("""COMPUTED_VALUE"""),45921.88269344907)</f>
        <v>45921.88269</v>
      </c>
      <c r="D272" s="3" t="str">
        <f>IFERROR(__xludf.DUMMYFUNCTION("""COMPUTED_VALUE"""),"Alarm System")</f>
        <v>Alarm System</v>
      </c>
      <c r="E272" s="3" t="str">
        <f>IFERROR(__xludf.DUMMYFUNCTION("""COMPUTED_VALUE"""),"-")</f>
        <v>-</v>
      </c>
      <c r="F272" s="3" t="str">
        <f>IFERROR(__xludf.DUMMYFUNCTION("""COMPUTED_VALUE"""),"Buzzer")</f>
        <v>Buzzer</v>
      </c>
      <c r="G272" s="3">
        <f>IFERROR(__xludf.DUMMYFUNCTION("""COMPUTED_VALUE"""),5.0)</f>
        <v>5</v>
      </c>
      <c r="H272" s="3" t="str">
        <f>IFERROR(__xludf.DUMMYFUNCTION("""COMPUTED_VALUE"""),"Pcs")</f>
        <v>Pcs</v>
      </c>
      <c r="I272" s="3" t="str">
        <f>IFERROR(__xludf.DUMMYFUNCTION("""COMPUTED_VALUE"""),"Deliver")</f>
        <v>Deliver</v>
      </c>
      <c r="J272" s="3" t="str">
        <f>IFERROR(__xludf.DUMMYFUNCTION("""COMPUTED_VALUE"""),"121703754 - APPROVED")</f>
        <v>121703754 - APPROVED</v>
      </c>
      <c r="K272" s="3" t="str">
        <f>IFERROR(__xludf.DUMMYFUNCTION("""COMPUTED_VALUE"""),"GL2603428")</f>
        <v>GL2603428</v>
      </c>
    </row>
    <row r="273">
      <c r="A273" s="3" t="str">
        <f>IFERROR(__xludf.DUMMYFUNCTION("""COMPUTED_VALUE"""),"MRNBR0051")</f>
        <v>MRNBR0051</v>
      </c>
      <c r="B273" s="4">
        <f>IFERROR(__xludf.DUMMYFUNCTION("""COMPUTED_VALUE"""),45894.91257525463)</f>
        <v>45894.91258</v>
      </c>
      <c r="C273" s="4">
        <f>IFERROR(__xludf.DUMMYFUNCTION("""COMPUTED_VALUE"""),45896.66490251157)</f>
        <v>45896.6649</v>
      </c>
      <c r="D273" s="3" t="str">
        <f>IFERROR(__xludf.DUMMYFUNCTION("""COMPUTED_VALUE"""),"PW gen")</f>
        <v>PW gen</v>
      </c>
      <c r="E273" s="3" t="str">
        <f>IFERROR(__xludf.DUMMYFUNCTION("""COMPUTED_VALUE"""),"EJO/2028/08/133")</f>
        <v>EJO/2028/08/133</v>
      </c>
      <c r="F273" s="3" t="str">
        <f>IFERROR(__xludf.DUMMYFUNCTION("""COMPUTED_VALUE"""),"PG tanki softener")</f>
        <v>PG tanki softener</v>
      </c>
      <c r="G273" s="3">
        <f>IFERROR(__xludf.DUMMYFUNCTION("""COMPUTED_VALUE"""),2.0)</f>
        <v>2</v>
      </c>
      <c r="H273" s="3" t="str">
        <f>IFERROR(__xludf.DUMMYFUNCTION("""COMPUTED_VALUE"""),"pcs")</f>
        <v>pcs</v>
      </c>
      <c r="I273" s="3" t="str">
        <f>IFERROR(__xludf.DUMMYFUNCTION("""COMPUTED_VALUE"""),"Deliver")</f>
        <v>Deliver</v>
      </c>
      <c r="J273" s="3" t="str">
        <f>IFERROR(__xludf.DUMMYFUNCTION("""COMPUTED_VALUE"""),"-")</f>
        <v>-</v>
      </c>
      <c r="K273" s="3" t="str">
        <f>IFERROR(__xludf.DUMMYFUNCTION("""COMPUTED_VALUE"""),"-")</f>
        <v>-</v>
      </c>
    </row>
    <row r="274">
      <c r="A274" s="3" t="str">
        <f>IFERROR(__xludf.DUMMYFUNCTION("""COMPUTED_VALUE"""),"MRNBR0052")</f>
        <v>MRNBR0052</v>
      </c>
      <c r="B274" s="4">
        <f>IFERROR(__xludf.DUMMYFUNCTION("""COMPUTED_VALUE"""),45894.93864987268)</f>
        <v>45894.93865</v>
      </c>
      <c r="C274" s="4">
        <f>IFERROR(__xludf.DUMMYFUNCTION("""COMPUTED_VALUE"""),45896.56086309028)</f>
        <v>45896.56086</v>
      </c>
      <c r="D274" s="3" t="str">
        <f>IFERROR(__xludf.DUMMYFUNCTION("""COMPUTED_VALUE"""),"pintu produksi")</f>
        <v>pintu produksi</v>
      </c>
      <c r="E274" s="3" t="str">
        <f>IFERROR(__xludf.DUMMYFUNCTION("""COMPUTED_VALUE"""),"EJO/2025/08/107")</f>
        <v>EJO/2025/08/107</v>
      </c>
      <c r="F274" s="3" t="str">
        <f>IFERROR(__xludf.DUMMYFUNCTION("""COMPUTED_VALUE"""),"Slot pintu")</f>
        <v>Slot pintu</v>
      </c>
      <c r="G274" s="3">
        <f>IFERROR(__xludf.DUMMYFUNCTION("""COMPUTED_VALUE"""),2.0)</f>
        <v>2</v>
      </c>
      <c r="H274" s="3" t="str">
        <f>IFERROR(__xludf.DUMMYFUNCTION("""COMPUTED_VALUE"""),"pcs")</f>
        <v>pcs</v>
      </c>
      <c r="I274" s="3" t="str">
        <f>IFERROR(__xludf.DUMMYFUNCTION("""COMPUTED_VALUE"""),"Deliver")</f>
        <v>Deliver</v>
      </c>
      <c r="J274" s="3" t="str">
        <f>IFERROR(__xludf.DUMMYFUNCTION("""COMPUTED_VALUE"""),"-")</f>
        <v>-</v>
      </c>
      <c r="K274" s="3" t="str">
        <f>IFERROR(__xludf.DUMMYFUNCTION("""COMPUTED_VALUE"""),"-")</f>
        <v>-</v>
      </c>
    </row>
    <row r="275">
      <c r="A275" s="3" t="str">
        <f>IFERROR(__xludf.DUMMYFUNCTION("""COMPUTED_VALUE"""),"MRNBR0054")</f>
        <v>MRNBR0054</v>
      </c>
      <c r="B275" s="4">
        <f>IFERROR(__xludf.DUMMYFUNCTION("""COMPUTED_VALUE"""),45894.99086912037)</f>
        <v>45894.99087</v>
      </c>
      <c r="C275" s="4">
        <f>IFERROR(__xludf.DUMMYFUNCTION("""COMPUTED_VALUE"""),45896.50116162037)</f>
        <v>45896.50116</v>
      </c>
      <c r="D275" s="3" t="str">
        <f>IFERROR(__xludf.DUMMYFUNCTION("""COMPUTED_VALUE"""),"Passbox packaging")</f>
        <v>Passbox packaging</v>
      </c>
      <c r="E275" s="3" t="str">
        <f>IFERROR(__xludf.DUMMYFUNCTION("""COMPUTED_VALUE"""),"EJO/2025/09/37")</f>
        <v>EJO/2025/09/37</v>
      </c>
      <c r="F275" s="3" t="str">
        <f>IFERROR(__xludf.DUMMYFUNCTION("""COMPUTED_VALUE"""),"Seal")</f>
        <v>Seal</v>
      </c>
      <c r="G275" s="3">
        <f>IFERROR(__xludf.DUMMYFUNCTION("""COMPUTED_VALUE"""),50.0)</f>
        <v>50</v>
      </c>
      <c r="H275" s="3" t="str">
        <f>IFERROR(__xludf.DUMMYFUNCTION("""COMPUTED_VALUE"""),"meter")</f>
        <v>meter</v>
      </c>
      <c r="I275" s="3" t="str">
        <f>IFERROR(__xludf.DUMMYFUNCTION("""COMPUTED_VALUE"""),"Deliver")</f>
        <v>Deliver</v>
      </c>
      <c r="J275" s="3" t="str">
        <f>IFERROR(__xludf.DUMMYFUNCTION("""COMPUTED_VALUE"""),"121704164 - APPROVED")</f>
        <v>121704164 - APPROVED</v>
      </c>
      <c r="K275" s="3" t="str">
        <f>IFERROR(__xludf.DUMMYFUNCTION("""COMPUTED_VALUE"""),"GL2605018")</f>
        <v>GL2605018</v>
      </c>
    </row>
    <row r="276">
      <c r="A276" s="3" t="str">
        <f>IFERROR(__xludf.DUMMYFUNCTION("""COMPUTED_VALUE"""),"MOBBR0042")</f>
        <v>MOBBR0042</v>
      </c>
      <c r="B276" s="4">
        <f>IFERROR(__xludf.DUMMYFUNCTION("""COMPUTED_VALUE"""),45895.50681996528)</f>
        <v>45895.50682</v>
      </c>
      <c r="C276" s="4">
        <f>IFERROR(__xludf.DUMMYFUNCTION("""COMPUTED_VALUE"""),45896.66713054398)</f>
        <v>45896.66713</v>
      </c>
      <c r="D276" s="3" t="str">
        <f>IFERROR(__xludf.DUMMYFUNCTION("""COMPUTED_VALUE"""),"AHU")</f>
        <v>AHU</v>
      </c>
      <c r="E276" s="3" t="str">
        <f>IFERROR(__xludf.DUMMYFUNCTION("""COMPUTED_VALUE"""),"EJO/2025/09/47")</f>
        <v>EJO/2025/09/47</v>
      </c>
      <c r="F276" s="3" t="str">
        <f>IFERROR(__xludf.DUMMYFUNCTION("""COMPUTED_VALUE"""),"Temperature Sensor")</f>
        <v>Temperature Sensor</v>
      </c>
      <c r="G276" s="3">
        <f>IFERROR(__xludf.DUMMYFUNCTION("""COMPUTED_VALUE"""),4.0)</f>
        <v>4</v>
      </c>
      <c r="H276" s="3" t="str">
        <f>IFERROR(__xludf.DUMMYFUNCTION("""COMPUTED_VALUE"""),"Pcs")</f>
        <v>Pcs</v>
      </c>
      <c r="I276" s="3" t="str">
        <f>IFERROR(__xludf.DUMMYFUNCTION("""COMPUTED_VALUE"""),"Deliver")</f>
        <v>Deliver</v>
      </c>
      <c r="J276" s="3" t="str">
        <f>IFERROR(__xludf.DUMMYFUNCTION("""COMPUTED_VALUE"""),"-")</f>
        <v>-</v>
      </c>
      <c r="K276" s="3" t="str">
        <f>IFERROR(__xludf.DUMMYFUNCTION("""COMPUTED_VALUE"""),"-")</f>
        <v>-</v>
      </c>
    </row>
    <row r="277">
      <c r="A277" s="3" t="str">
        <f>IFERROR(__xludf.DUMMYFUNCTION("""COMPUTED_VALUE"""),"ROSBR0036")</f>
        <v>ROSBR0036</v>
      </c>
      <c r="B277" s="4">
        <f>IFERROR(__xludf.DUMMYFUNCTION("""COMPUTED_VALUE"""),45897.44022846065)</f>
        <v>45897.44023</v>
      </c>
      <c r="C277" s="4">
        <f>IFERROR(__xludf.DUMMYFUNCTION("""COMPUTED_VALUE"""),45936.596004479165)</f>
        <v>45936.596</v>
      </c>
      <c r="D277" s="3" t="str">
        <f>IFERROR(__xludf.DUMMYFUNCTION("""COMPUTED_VALUE"""),"Washing ")</f>
        <v>Washing </v>
      </c>
      <c r="E277" s="3" t="str">
        <f>IFERROR(__xludf.DUMMYFUNCTION("""COMPUTED_VALUE"""),"NA")</f>
        <v>NA</v>
      </c>
      <c r="F277" s="3" t="str">
        <f>IFERROR(__xludf.DUMMYFUNCTION("""COMPUTED_VALUE"""),"Compact Cylinder")</f>
        <v>Compact Cylinder</v>
      </c>
      <c r="G277" s="3">
        <f>IFERROR(__xludf.DUMMYFUNCTION("""COMPUTED_VALUE"""),1.0)</f>
        <v>1</v>
      </c>
      <c r="H277" s="3" t="str">
        <f>IFERROR(__xludf.DUMMYFUNCTION("""COMPUTED_VALUE"""),"pcs")</f>
        <v>pcs</v>
      </c>
      <c r="I277" s="3" t="str">
        <f>IFERROR(__xludf.DUMMYFUNCTION("""COMPUTED_VALUE"""),"Deliver")</f>
        <v>Deliver</v>
      </c>
      <c r="J277" s="3" t="str">
        <f>IFERROR(__xludf.DUMMYFUNCTION("""COMPUTED_VALUE"""),"-")</f>
        <v>-</v>
      </c>
      <c r="K277" s="3" t="str">
        <f>IFERROR(__xludf.DUMMYFUNCTION("""COMPUTED_VALUE"""),"-")</f>
        <v>-</v>
      </c>
    </row>
    <row r="278">
      <c r="A278" s="3" t="str">
        <f>IFERROR(__xludf.DUMMYFUNCTION("""COMPUTED_VALUE"""),"ROSBR0037")</f>
        <v>ROSBR0037</v>
      </c>
      <c r="B278" s="4">
        <f>IFERROR(__xludf.DUMMYFUNCTION("""COMPUTED_VALUE"""),45897.44489056713)</f>
        <v>45897.44489</v>
      </c>
      <c r="C278" s="4">
        <f>IFERROR(__xludf.DUMMYFUNCTION("""COMPUTED_VALUE"""),45930.21709614583)</f>
        <v>45930.2171</v>
      </c>
      <c r="D278" s="3" t="str">
        <f>IFERROR(__xludf.DUMMYFUNCTION("""COMPUTED_VALUE"""),"Washing ")</f>
        <v>Washing </v>
      </c>
      <c r="E278" s="3" t="str">
        <f>IFERROR(__xludf.DUMMYFUNCTION("""COMPUTED_VALUE"""),"NA")</f>
        <v>NA</v>
      </c>
      <c r="F278" s="3" t="str">
        <f>IFERROR(__xludf.DUMMYFUNCTION("""COMPUTED_VALUE"""),"Speed Control")</f>
        <v>Speed Control</v>
      </c>
      <c r="G278" s="3">
        <f>IFERROR(__xludf.DUMMYFUNCTION("""COMPUTED_VALUE"""),6.0)</f>
        <v>6</v>
      </c>
      <c r="H278" s="3" t="str">
        <f>IFERROR(__xludf.DUMMYFUNCTION("""COMPUTED_VALUE"""),"pcs")</f>
        <v>pcs</v>
      </c>
      <c r="I278" s="3" t="str">
        <f>IFERROR(__xludf.DUMMYFUNCTION("""COMPUTED_VALUE"""),"Deliver")</f>
        <v>Deliver</v>
      </c>
      <c r="J278" s="3" t="str">
        <f>IFERROR(__xludf.DUMMYFUNCTION("""COMPUTED_VALUE"""),"-")</f>
        <v>-</v>
      </c>
      <c r="K278" s="3" t="str">
        <f>IFERROR(__xludf.DUMMYFUNCTION("""COMPUTED_VALUE"""),"-")</f>
        <v>-</v>
      </c>
    </row>
    <row r="279">
      <c r="A279" s="3" t="str">
        <f>IFERROR(__xludf.DUMMYFUNCTION("""COMPUTED_VALUE"""),"MRNBR0056")</f>
        <v>MRNBR0056</v>
      </c>
      <c r="B279" s="4">
        <f>IFERROR(__xludf.DUMMYFUNCTION("""COMPUTED_VALUE"""),45898.26265208333)</f>
        <v>45898.26265</v>
      </c>
      <c r="C279" s="4">
        <f>IFERROR(__xludf.DUMMYFUNCTION("""COMPUTED_VALUE"""),45901.85888231482)</f>
        <v>45901.85888</v>
      </c>
      <c r="D279" s="3" t="str">
        <f>IFERROR(__xludf.DUMMYFUNCTION("""COMPUTED_VALUE"""),"Chamber WIP dan incubator")</f>
        <v>Chamber WIP dan incubator</v>
      </c>
      <c r="E279" s="3" t="str">
        <f>IFERROR(__xludf.DUMMYFUNCTION("""COMPUTED_VALUE"""),"EJO/2025/07/105")</f>
        <v>EJO/2025/07/105</v>
      </c>
      <c r="F279" s="3" t="str">
        <f>IFERROR(__xludf.DUMMYFUNCTION("""COMPUTED_VALUE"""),"Pipa tembaga")</f>
        <v>Pipa tembaga</v>
      </c>
      <c r="G279" s="3">
        <f>IFERROR(__xludf.DUMMYFUNCTION("""COMPUTED_VALUE"""),25.0)</f>
        <v>25</v>
      </c>
      <c r="H279" s="3" t="str">
        <f>IFERROR(__xludf.DUMMYFUNCTION("""COMPUTED_VALUE"""),"meter")</f>
        <v>meter</v>
      </c>
      <c r="I279" s="3" t="str">
        <f>IFERROR(__xludf.DUMMYFUNCTION("""COMPUTED_VALUE"""),"Deliver")</f>
        <v>Deliver</v>
      </c>
      <c r="J279" s="3" t="str">
        <f>IFERROR(__xludf.DUMMYFUNCTION("""COMPUTED_VALUE"""),"-")</f>
        <v>-</v>
      </c>
      <c r="K279" s="3" t="str">
        <f>IFERROR(__xludf.DUMMYFUNCTION("""COMPUTED_VALUE"""),"-")</f>
        <v>-</v>
      </c>
    </row>
    <row r="280">
      <c r="A280" s="3" t="str">
        <f>IFERROR(__xludf.DUMMYFUNCTION("""COMPUTED_VALUE"""),"MRNBR0057")</f>
        <v>MRNBR0057</v>
      </c>
      <c r="B280" s="4">
        <f>IFERROR(__xludf.DUMMYFUNCTION("""COMPUTED_VALUE"""),45898.264021840274)</f>
        <v>45898.26402</v>
      </c>
      <c r="C280" s="4">
        <f>IFERROR(__xludf.DUMMYFUNCTION("""COMPUTED_VALUE"""),45901.858689884255)</f>
        <v>45901.85869</v>
      </c>
      <c r="D280" s="3" t="str">
        <f>IFERROR(__xludf.DUMMYFUNCTION("""COMPUTED_VALUE"""),"Chamber WIP dan incubator")</f>
        <v>Chamber WIP dan incubator</v>
      </c>
      <c r="E280" s="3" t="str">
        <f>IFERROR(__xludf.DUMMYFUNCTION("""COMPUTED_VALUE"""),"EJO/2025/07/105")</f>
        <v>EJO/2025/07/105</v>
      </c>
      <c r="F280" s="3" t="str">
        <f>IFERROR(__xludf.DUMMYFUNCTION("""COMPUTED_VALUE"""),"Elbow tembaga")</f>
        <v>Elbow tembaga</v>
      </c>
      <c r="G280" s="3">
        <f>IFERROR(__xludf.DUMMYFUNCTION("""COMPUTED_VALUE"""),5.0)</f>
        <v>5</v>
      </c>
      <c r="H280" s="3" t="str">
        <f>IFERROR(__xludf.DUMMYFUNCTION("""COMPUTED_VALUE"""),"pcs")</f>
        <v>pcs</v>
      </c>
      <c r="I280" s="3" t="str">
        <f>IFERROR(__xludf.DUMMYFUNCTION("""COMPUTED_VALUE"""),"Deliver")</f>
        <v>Deliver</v>
      </c>
      <c r="J280" s="3" t="str">
        <f>IFERROR(__xludf.DUMMYFUNCTION("""COMPUTED_VALUE"""),"-")</f>
        <v>-</v>
      </c>
      <c r="K280" s="3" t="str">
        <f>IFERROR(__xludf.DUMMYFUNCTION("""COMPUTED_VALUE"""),"-")</f>
        <v>-</v>
      </c>
    </row>
    <row r="281">
      <c r="A281" s="3" t="str">
        <f>IFERROR(__xludf.DUMMYFUNCTION("""COMPUTED_VALUE"""),"MRNBR0058")</f>
        <v>MRNBR0058</v>
      </c>
      <c r="B281" s="4">
        <f>IFERROR(__xludf.DUMMYFUNCTION("""COMPUTED_VALUE"""),45898.26689313657)</f>
        <v>45898.26689</v>
      </c>
      <c r="C281" s="4">
        <f>IFERROR(__xludf.DUMMYFUNCTION("""COMPUTED_VALUE"""),45901.85787987268)</f>
        <v>45901.85788</v>
      </c>
      <c r="D281" s="3" t="str">
        <f>IFERROR(__xludf.DUMMYFUNCTION("""COMPUTED_VALUE"""),"Chamber WIP dan incubator")</f>
        <v>Chamber WIP dan incubator</v>
      </c>
      <c r="E281" s="3" t="str">
        <f>IFERROR(__xludf.DUMMYFUNCTION("""COMPUTED_VALUE"""),"EJO/2025/07/105")</f>
        <v>EJO/2025/07/105</v>
      </c>
      <c r="F281" s="3" t="str">
        <f>IFERROR(__xludf.DUMMYFUNCTION("""COMPUTED_VALUE"""),"Elbow tembaga")</f>
        <v>Elbow tembaga</v>
      </c>
      <c r="G281" s="3">
        <f>IFERROR(__xludf.DUMMYFUNCTION("""COMPUTED_VALUE"""),5.0)</f>
        <v>5</v>
      </c>
      <c r="H281" s="3" t="str">
        <f>IFERROR(__xludf.DUMMYFUNCTION("""COMPUTED_VALUE"""),"pcs")</f>
        <v>pcs</v>
      </c>
      <c r="I281" s="3" t="str">
        <f>IFERROR(__xludf.DUMMYFUNCTION("""COMPUTED_VALUE"""),"Deliver")</f>
        <v>Deliver</v>
      </c>
      <c r="J281" s="3" t="str">
        <f>IFERROR(__xludf.DUMMYFUNCTION("""COMPUTED_VALUE"""),"-")</f>
        <v>-</v>
      </c>
      <c r="K281" s="3" t="str">
        <f>IFERROR(__xludf.DUMMYFUNCTION("""COMPUTED_VALUE"""),"-")</f>
        <v>-</v>
      </c>
    </row>
    <row r="282">
      <c r="A282" s="3" t="str">
        <f>IFERROR(__xludf.DUMMYFUNCTION("""COMPUTED_VALUE"""),"MRNBR0059")</f>
        <v>MRNBR0059</v>
      </c>
      <c r="B282" s="4">
        <f>IFERROR(__xludf.DUMMYFUNCTION("""COMPUTED_VALUE"""),45898.26739858796)</f>
        <v>45898.2674</v>
      </c>
      <c r="C282" s="4">
        <f>IFERROR(__xludf.DUMMYFUNCTION("""COMPUTED_VALUE"""),45901.857729560186)</f>
        <v>45901.85773</v>
      </c>
      <c r="D282" s="3" t="str">
        <f>IFERROR(__xludf.DUMMYFUNCTION("""COMPUTED_VALUE"""),"Chamber WIP dan incubator")</f>
        <v>Chamber WIP dan incubator</v>
      </c>
      <c r="E282" s="3" t="str">
        <f>IFERROR(__xludf.DUMMYFUNCTION("""COMPUTED_VALUE"""),"EJO/2025/07/105")</f>
        <v>EJO/2025/07/105</v>
      </c>
      <c r="F282" s="3" t="str">
        <f>IFERROR(__xludf.DUMMYFUNCTION("""COMPUTED_VALUE"""),"Shock tembaga")</f>
        <v>Shock tembaga</v>
      </c>
      <c r="G282" s="3">
        <f>IFERROR(__xludf.DUMMYFUNCTION("""COMPUTED_VALUE"""),5.0)</f>
        <v>5</v>
      </c>
      <c r="H282" s="3" t="str">
        <f>IFERROR(__xludf.DUMMYFUNCTION("""COMPUTED_VALUE"""),"pcs")</f>
        <v>pcs</v>
      </c>
      <c r="I282" s="3" t="str">
        <f>IFERROR(__xludf.DUMMYFUNCTION("""COMPUTED_VALUE"""),"Deliver")</f>
        <v>Deliver</v>
      </c>
      <c r="J282" s="3" t="str">
        <f>IFERROR(__xludf.DUMMYFUNCTION("""COMPUTED_VALUE"""),"-")</f>
        <v>-</v>
      </c>
      <c r="K282" s="3" t="str">
        <f>IFERROR(__xludf.DUMMYFUNCTION("""COMPUTED_VALUE"""),"-")</f>
        <v>-</v>
      </c>
    </row>
    <row r="283">
      <c r="A283" s="3" t="str">
        <f>IFERROR(__xludf.DUMMYFUNCTION("""COMPUTED_VALUE"""),"MRNBR0060")</f>
        <v>MRNBR0060</v>
      </c>
      <c r="B283" s="4">
        <f>IFERROR(__xludf.DUMMYFUNCTION("""COMPUTED_VALUE"""),45898.267572696765)</f>
        <v>45898.26757</v>
      </c>
      <c r="C283" s="4">
        <f>IFERROR(__xludf.DUMMYFUNCTION("""COMPUTED_VALUE"""),45901.857557766205)</f>
        <v>45901.85756</v>
      </c>
      <c r="D283" s="3" t="str">
        <f>IFERROR(__xludf.DUMMYFUNCTION("""COMPUTED_VALUE"""),"Chamber WIP dan incubator")</f>
        <v>Chamber WIP dan incubator</v>
      </c>
      <c r="E283" s="3" t="str">
        <f>IFERROR(__xludf.DUMMYFUNCTION("""COMPUTED_VALUE"""),"EJO/2025/07/105")</f>
        <v>EJO/2025/07/105</v>
      </c>
      <c r="F283" s="3" t="str">
        <f>IFERROR(__xludf.DUMMYFUNCTION("""COMPUTED_VALUE"""),"Shock tembaga")</f>
        <v>Shock tembaga</v>
      </c>
      <c r="G283" s="3">
        <f>IFERROR(__xludf.DUMMYFUNCTION("""COMPUTED_VALUE"""),5.0)</f>
        <v>5</v>
      </c>
      <c r="H283" s="3" t="str">
        <f>IFERROR(__xludf.DUMMYFUNCTION("""COMPUTED_VALUE"""),"pcs")</f>
        <v>pcs</v>
      </c>
      <c r="I283" s="3" t="str">
        <f>IFERROR(__xludf.DUMMYFUNCTION("""COMPUTED_VALUE"""),"Deliver")</f>
        <v>Deliver</v>
      </c>
      <c r="J283" s="3" t="str">
        <f>IFERROR(__xludf.DUMMYFUNCTION("""COMPUTED_VALUE"""),"-")</f>
        <v>-</v>
      </c>
      <c r="K283" s="3" t="str">
        <f>IFERROR(__xludf.DUMMYFUNCTION("""COMPUTED_VALUE"""),"-")</f>
        <v>-</v>
      </c>
    </row>
    <row r="284">
      <c r="A284" s="3" t="str">
        <f>IFERROR(__xludf.DUMMYFUNCTION("""COMPUTED_VALUE"""),"MRNBR0061")</f>
        <v>MRNBR0061</v>
      </c>
      <c r="B284" s="4">
        <f>IFERROR(__xludf.DUMMYFUNCTION("""COMPUTED_VALUE"""),45898.27047527778)</f>
        <v>45898.27048</v>
      </c>
      <c r="C284" s="4">
        <f>IFERROR(__xludf.DUMMYFUNCTION("""COMPUTED_VALUE"""),45901.85733048611)</f>
        <v>45901.85733</v>
      </c>
      <c r="D284" s="3" t="str">
        <f>IFERROR(__xludf.DUMMYFUNCTION("""COMPUTED_VALUE"""),"Chamber WIP dan incubator")</f>
        <v>Chamber WIP dan incubator</v>
      </c>
      <c r="E284" s="3" t="str">
        <f>IFERROR(__xludf.DUMMYFUNCTION("""COMPUTED_VALUE"""),"EJO/2025/07/105")</f>
        <v>EJO/2025/07/105</v>
      </c>
      <c r="F284" s="3" t="str">
        <f>IFERROR(__xludf.DUMMYFUNCTION("""COMPUTED_VALUE"""),"Insulasi pipa tembaga")</f>
        <v>Insulasi pipa tembaga</v>
      </c>
      <c r="G284" s="3">
        <f>IFERROR(__xludf.DUMMYFUNCTION("""COMPUTED_VALUE"""),50.0)</f>
        <v>50</v>
      </c>
      <c r="H284" s="3" t="str">
        <f>IFERROR(__xludf.DUMMYFUNCTION("""COMPUTED_VALUE"""),"meter")</f>
        <v>meter</v>
      </c>
      <c r="I284" s="3" t="str">
        <f>IFERROR(__xludf.DUMMYFUNCTION("""COMPUTED_VALUE"""),"Deliver")</f>
        <v>Deliver</v>
      </c>
      <c r="J284" s="3" t="str">
        <f>IFERROR(__xludf.DUMMYFUNCTION("""COMPUTED_VALUE"""),"-")</f>
        <v>-</v>
      </c>
      <c r="K284" s="3" t="str">
        <f>IFERROR(__xludf.DUMMYFUNCTION("""COMPUTED_VALUE"""),"-")</f>
        <v>-</v>
      </c>
    </row>
    <row r="285">
      <c r="A285" s="3" t="str">
        <f>IFERROR(__xludf.DUMMYFUNCTION("""COMPUTED_VALUE"""),"MRNBR0062")</f>
        <v>MRNBR0062</v>
      </c>
      <c r="B285" s="4">
        <f>IFERROR(__xludf.DUMMYFUNCTION("""COMPUTED_VALUE"""),45898.27142380786)</f>
        <v>45898.27142</v>
      </c>
      <c r="C285" s="4">
        <f>IFERROR(__xludf.DUMMYFUNCTION("""COMPUTED_VALUE"""),45901.85639673611)</f>
        <v>45901.8564</v>
      </c>
      <c r="D285" s="3" t="str">
        <f>IFERROR(__xludf.DUMMYFUNCTION("""COMPUTED_VALUE"""),"Chamber WIP dan incubator")</f>
        <v>Chamber WIP dan incubator</v>
      </c>
      <c r="E285" s="3" t="str">
        <f>IFERROR(__xludf.DUMMYFUNCTION("""COMPUTED_VALUE"""),"EJO/2025/07/105")</f>
        <v>EJO/2025/07/105</v>
      </c>
      <c r="F285" s="3" t="str">
        <f>IFERROR(__xludf.DUMMYFUNCTION("""COMPUTED_VALUE"""),"Insulasi pipa tembaga")</f>
        <v>Insulasi pipa tembaga</v>
      </c>
      <c r="G285" s="3">
        <f>IFERROR(__xludf.DUMMYFUNCTION("""COMPUTED_VALUE"""),50.0)</f>
        <v>50</v>
      </c>
      <c r="H285" s="3" t="str">
        <f>IFERROR(__xludf.DUMMYFUNCTION("""COMPUTED_VALUE"""),"meter")</f>
        <v>meter</v>
      </c>
      <c r="I285" s="3" t="str">
        <f>IFERROR(__xludf.DUMMYFUNCTION("""COMPUTED_VALUE"""),"Deliver")</f>
        <v>Deliver</v>
      </c>
      <c r="J285" s="3" t="str">
        <f>IFERROR(__xludf.DUMMYFUNCTION("""COMPUTED_VALUE"""),"-")</f>
        <v>-</v>
      </c>
      <c r="K285" s="3" t="str">
        <f>IFERROR(__xludf.DUMMYFUNCTION("""COMPUTED_VALUE"""),"-")</f>
        <v>-</v>
      </c>
    </row>
    <row r="286">
      <c r="A286" s="3" t="str">
        <f>IFERROR(__xludf.DUMMYFUNCTION("""COMPUTED_VALUE"""),"MRNBR0063")</f>
        <v>MRNBR0063</v>
      </c>
      <c r="B286" s="4">
        <f>IFERROR(__xludf.DUMMYFUNCTION("""COMPUTED_VALUE"""),45898.27144203704)</f>
        <v>45898.27144</v>
      </c>
      <c r="C286" s="4">
        <f>IFERROR(__xludf.DUMMYFUNCTION("""COMPUTED_VALUE"""),45901.855446504625)</f>
        <v>45901.85545</v>
      </c>
      <c r="D286" s="3" t="str">
        <f>IFERROR(__xludf.DUMMYFUNCTION("""COMPUTED_VALUE"""),"Chamber WIP dan incubator")</f>
        <v>Chamber WIP dan incubator</v>
      </c>
      <c r="E286" s="3" t="str">
        <f>IFERROR(__xludf.DUMMYFUNCTION("""COMPUTED_VALUE"""),"EJO/2025/07/105")</f>
        <v>EJO/2025/07/105</v>
      </c>
      <c r="F286" s="3" t="str">
        <f>IFERROR(__xludf.DUMMYFUNCTION("""COMPUTED_VALUE"""),"Insulasi pipa tembaga")</f>
        <v>Insulasi pipa tembaga</v>
      </c>
      <c r="G286" s="3">
        <f>IFERROR(__xludf.DUMMYFUNCTION("""COMPUTED_VALUE"""),10.0)</f>
        <v>10</v>
      </c>
      <c r="H286" s="3" t="str">
        <f>IFERROR(__xludf.DUMMYFUNCTION("""COMPUTED_VALUE"""),"meter")</f>
        <v>meter</v>
      </c>
      <c r="I286" s="3" t="str">
        <f>IFERROR(__xludf.DUMMYFUNCTION("""COMPUTED_VALUE"""),"Deliver")</f>
        <v>Deliver</v>
      </c>
      <c r="J286" s="3" t="str">
        <f>IFERROR(__xludf.DUMMYFUNCTION("""COMPUTED_VALUE"""),"-")</f>
        <v>-</v>
      </c>
      <c r="K286" s="3" t="str">
        <f>IFERROR(__xludf.DUMMYFUNCTION("""COMPUTED_VALUE"""),"-")</f>
        <v>-</v>
      </c>
    </row>
    <row r="287">
      <c r="A287" s="3" t="str">
        <f>IFERROR(__xludf.DUMMYFUNCTION("""COMPUTED_VALUE"""),"RIABR0098")</f>
        <v>RIABR0098</v>
      </c>
      <c r="B287" s="4">
        <f>IFERROR(__xludf.DUMMYFUNCTION("""COMPUTED_VALUE"""),45898.545948136576)</f>
        <v>45898.54595</v>
      </c>
      <c r="C287" s="4">
        <f>IFERROR(__xludf.DUMMYFUNCTION("""COMPUTED_VALUE"""),45901.85472818287)</f>
        <v>45901.85473</v>
      </c>
      <c r="D287" s="3" t="str">
        <f>IFERROR(__xludf.DUMMYFUNCTION("""COMPUTED_VALUE"""),"Smoke Detector")</f>
        <v>Smoke Detector</v>
      </c>
      <c r="E287" s="3" t="str">
        <f>IFERROR(__xludf.DUMMYFUNCTION("""COMPUTED_VALUE"""),"-")</f>
        <v>-</v>
      </c>
      <c r="F287" s="3" t="str">
        <f>IFERROR(__xludf.DUMMYFUNCTION("""COMPUTED_VALUE"""),"Smoke Test")</f>
        <v>Smoke Test</v>
      </c>
      <c r="G287" s="3">
        <f>IFERROR(__xludf.DUMMYFUNCTION("""COMPUTED_VALUE"""),5.0)</f>
        <v>5</v>
      </c>
      <c r="H287" s="3" t="str">
        <f>IFERROR(__xludf.DUMMYFUNCTION("""COMPUTED_VALUE"""),"Pcs")</f>
        <v>Pcs</v>
      </c>
      <c r="I287" s="3" t="str">
        <f>IFERROR(__xludf.DUMMYFUNCTION("""COMPUTED_VALUE"""),"Deliver")</f>
        <v>Deliver</v>
      </c>
      <c r="J287" s="3" t="str">
        <f>IFERROR(__xludf.DUMMYFUNCTION("""COMPUTED_VALUE"""),"121703827 - APPROVED")</f>
        <v>121703827 - APPROVED</v>
      </c>
      <c r="K287" s="3" t="str">
        <f>IFERROR(__xludf.DUMMYFUNCTION("""COMPUTED_VALUE"""),"GL2603049")</f>
        <v>GL2603049</v>
      </c>
    </row>
    <row r="288">
      <c r="A288" s="3" t="str">
        <f>IFERROR(__xludf.DUMMYFUNCTION("""COMPUTED_VALUE"""),"MOBBR0044")</f>
        <v>MOBBR0044</v>
      </c>
      <c r="B288" s="4">
        <f>IFERROR(__xludf.DUMMYFUNCTION("""COMPUTED_VALUE"""),45901.75995636574)</f>
        <v>45901.75996</v>
      </c>
      <c r="C288" s="4">
        <f>IFERROR(__xludf.DUMMYFUNCTION("""COMPUTED_VALUE"""),45901.86004449074)</f>
        <v>45901.86004</v>
      </c>
      <c r="D288" s="3" t="str">
        <f>IFERROR(__xludf.DUMMYFUNCTION("""COMPUTED_VALUE"""),"AHU")</f>
        <v>AHU</v>
      </c>
      <c r="E288" s="3" t="str">
        <f>IFERROR(__xludf.DUMMYFUNCTION("""COMPUTED_VALUE"""),"EJO/2025/09/23")</f>
        <v>EJO/2025/09/23</v>
      </c>
      <c r="F288" s="3" t="str">
        <f>IFERROR(__xludf.DUMMYFUNCTION("""COMPUTED_VALUE"""),"Diffuser+OBD")</f>
        <v>Diffuser+OBD</v>
      </c>
      <c r="G288" s="3">
        <f>IFERROR(__xludf.DUMMYFUNCTION("""COMPUTED_VALUE"""),5.0)</f>
        <v>5</v>
      </c>
      <c r="H288" s="3" t="str">
        <f>IFERROR(__xludf.DUMMYFUNCTION("""COMPUTED_VALUE"""),"Pcs")</f>
        <v>Pcs</v>
      </c>
      <c r="I288" s="3" t="str">
        <f>IFERROR(__xludf.DUMMYFUNCTION("""COMPUTED_VALUE"""),"Deliver")</f>
        <v>Deliver</v>
      </c>
      <c r="J288" s="3" t="str">
        <f>IFERROR(__xludf.DUMMYFUNCTION("""COMPUTED_VALUE"""),"121703761 - APPROVED")</f>
        <v>121703761 - APPROVED</v>
      </c>
      <c r="K288" s="3" t="str">
        <f>IFERROR(__xludf.DUMMYFUNCTION("""COMPUTED_VALUE"""),"GL2603430")</f>
        <v>GL2603430</v>
      </c>
    </row>
    <row r="289">
      <c r="A289" s="3" t="str">
        <f>IFERROR(__xludf.DUMMYFUNCTION("""COMPUTED_VALUE"""),"SFHBR0032")</f>
        <v>SFHBR0032</v>
      </c>
      <c r="B289" s="4">
        <f>IFERROR(__xludf.DUMMYFUNCTION("""COMPUTED_VALUE"""),45902.87549679398)</f>
        <v>45902.8755</v>
      </c>
      <c r="C289" s="4">
        <f>IFERROR(__xludf.DUMMYFUNCTION("""COMPUTED_VALUE"""),45902.90894790509)</f>
        <v>45902.90895</v>
      </c>
      <c r="D289" s="3" t="str">
        <f>IFERROR(__xludf.DUMMYFUNCTION("""COMPUTED_VALUE"""),"lantai 3")</f>
        <v>lantai 3</v>
      </c>
      <c r="E289" s="3" t="str">
        <f>IFERROR(__xludf.DUMMYFUNCTION("""COMPUTED_VALUE"""),"-")</f>
        <v>-</v>
      </c>
      <c r="F289" s="3" t="str">
        <f>IFERROR(__xludf.DUMMYFUNCTION("""COMPUTED_VALUE"""),"kunci slot pintu toilet")</f>
        <v>kunci slot pintu toilet</v>
      </c>
      <c r="G289" s="3">
        <f>IFERROR(__xludf.DUMMYFUNCTION("""COMPUTED_VALUE"""),4.0)</f>
        <v>4</v>
      </c>
      <c r="H289" s="3" t="str">
        <f>IFERROR(__xludf.DUMMYFUNCTION("""COMPUTED_VALUE"""),"pcs")</f>
        <v>pcs</v>
      </c>
      <c r="I289" s="3" t="str">
        <f>IFERROR(__xludf.DUMMYFUNCTION("""COMPUTED_VALUE"""),"Deliver")</f>
        <v>Deliver</v>
      </c>
      <c r="J289" s="3" t="str">
        <f>IFERROR(__xludf.DUMMYFUNCTION("""COMPUTED_VALUE"""),"121703759 - APPROVED")</f>
        <v>121703759 - APPROVED</v>
      </c>
      <c r="K289" s="3" t="str">
        <f>IFERROR(__xludf.DUMMYFUNCTION("""COMPUTED_VALUE"""),"GL2602027")</f>
        <v>GL2602027</v>
      </c>
    </row>
    <row r="290">
      <c r="A290" s="3" t="str">
        <f>IFERROR(__xludf.DUMMYFUNCTION("""COMPUTED_VALUE"""),"ANOBR0028")</f>
        <v>ANOBR0028</v>
      </c>
      <c r="B290" s="4">
        <f>IFERROR(__xludf.DUMMYFUNCTION("""COMPUTED_VALUE"""),45904.46296048612)</f>
        <v>45904.46296</v>
      </c>
      <c r="C290" s="4">
        <f>IFERROR(__xludf.DUMMYFUNCTION("""COMPUTED_VALUE"""),45930.21977555556)</f>
        <v>45930.21978</v>
      </c>
      <c r="D290" s="3" t="str">
        <f>IFERROR(__xludf.DUMMYFUNCTION("""COMPUTED_VALUE"""),"Instrumen BSC")</f>
        <v>Instrumen BSC</v>
      </c>
      <c r="E290" s="3" t="str">
        <f>IFERROR(__xludf.DUMMYFUNCTION("""COMPUTED_VALUE"""),"-")</f>
        <v>-</v>
      </c>
      <c r="F290" s="3" t="str">
        <f>IFERROR(__xludf.DUMMYFUNCTION("""COMPUTED_VALUE"""),"kunci L bintang ")</f>
        <v>kunci L bintang </v>
      </c>
      <c r="G290" s="3">
        <f>IFERROR(__xludf.DUMMYFUNCTION("""COMPUTED_VALUE"""),1.0)</f>
        <v>1</v>
      </c>
      <c r="H290" s="3" t="str">
        <f>IFERROR(__xludf.DUMMYFUNCTION("""COMPUTED_VALUE"""),"set")</f>
        <v>set</v>
      </c>
      <c r="I290" s="3" t="str">
        <f>IFERROR(__xludf.DUMMYFUNCTION("""COMPUTED_VALUE"""),"Deliver")</f>
        <v>Deliver</v>
      </c>
      <c r="J290" s="3" t="str">
        <f>IFERROR(__xludf.DUMMYFUNCTION("""COMPUTED_VALUE"""),"121703826 - APPROVED")</f>
        <v>121703826 - APPROVED</v>
      </c>
      <c r="K290" s="3" t="str">
        <f>IFERROR(__xludf.DUMMYFUNCTION("""COMPUTED_VALUE"""),"GL2603049")</f>
        <v>GL2603049</v>
      </c>
    </row>
    <row r="291">
      <c r="A291" s="3" t="str">
        <f>IFERROR(__xludf.DUMMYFUNCTION("""COMPUTED_VALUE"""),"ANOBR0029")</f>
        <v>ANOBR0029</v>
      </c>
      <c r="B291" s="4">
        <f>IFERROR(__xludf.DUMMYFUNCTION("""COMPUTED_VALUE"""),45904.463117037034)</f>
        <v>45904.46312</v>
      </c>
      <c r="C291" s="4">
        <f>IFERROR(__xludf.DUMMYFUNCTION("""COMPUTED_VALUE"""),45930.22063673611)</f>
        <v>45930.22064</v>
      </c>
      <c r="D291" s="3" t="str">
        <f>IFERROR(__xludf.DUMMYFUNCTION("""COMPUTED_VALUE"""),"MS30,HPLC")</f>
        <v>MS30,HPLC</v>
      </c>
      <c r="E291" s="3" t="str">
        <f>IFERROR(__xludf.DUMMYFUNCTION("""COMPUTED_VALUE"""),"-")</f>
        <v>-</v>
      </c>
      <c r="F291" s="3" t="str">
        <f>IFERROR(__xludf.DUMMYFUNCTION("""COMPUTED_VALUE"""),"kunci L MINI SIze ")</f>
        <v>kunci L MINI SIze </v>
      </c>
      <c r="G291" s="3">
        <f>IFERROR(__xludf.DUMMYFUNCTION("""COMPUTED_VALUE"""),1.0)</f>
        <v>1</v>
      </c>
      <c r="H291" s="3" t="str">
        <f>IFERROR(__xludf.DUMMYFUNCTION("""COMPUTED_VALUE"""),"set")</f>
        <v>set</v>
      </c>
      <c r="I291" s="3" t="str">
        <f>IFERROR(__xludf.DUMMYFUNCTION("""COMPUTED_VALUE"""),"Deliver")</f>
        <v>Deliver</v>
      </c>
      <c r="J291" s="3" t="str">
        <f>IFERROR(__xludf.DUMMYFUNCTION("""COMPUTED_VALUE"""),"121703645 - APPROVED")</f>
        <v>121703645 - APPROVED</v>
      </c>
      <c r="K291" s="3" t="str">
        <f>IFERROR(__xludf.DUMMYFUNCTION("""COMPUTED_VALUE"""),"GL2602027")</f>
        <v>GL2602027</v>
      </c>
    </row>
    <row r="292">
      <c r="A292" s="3" t="str">
        <f>IFERROR(__xludf.DUMMYFUNCTION("""COMPUTED_VALUE"""),"RIABR0099")</f>
        <v>RIABR0099</v>
      </c>
      <c r="B292" s="4">
        <f>IFERROR(__xludf.DUMMYFUNCTION("""COMPUTED_VALUE"""),45905.45207731482)</f>
        <v>45905.45208</v>
      </c>
      <c r="C292" s="4">
        <f>IFERROR(__xludf.DUMMYFUNCTION("""COMPUTED_VALUE"""),45912.416066307866)</f>
        <v>45912.41607</v>
      </c>
      <c r="D292" s="3" t="str">
        <f>IFERROR(__xludf.DUMMYFUNCTION("""COMPUTED_VALUE"""),"WWTP")</f>
        <v>WWTP</v>
      </c>
      <c r="E292" s="3" t="str">
        <f>IFERROR(__xludf.DUMMYFUNCTION("""COMPUTED_VALUE"""),"-")</f>
        <v>-</v>
      </c>
      <c r="F292" s="3" t="str">
        <f>IFERROR(__xludf.DUMMYFUNCTION("""COMPUTED_VALUE"""),"Benang")</f>
        <v>Benang</v>
      </c>
      <c r="G292" s="3">
        <f>IFERROR(__xludf.DUMMYFUNCTION("""COMPUTED_VALUE"""),10.0)</f>
        <v>10</v>
      </c>
      <c r="H292" s="3" t="str">
        <f>IFERROR(__xludf.DUMMYFUNCTION("""COMPUTED_VALUE"""),"Mtr")</f>
        <v>Mtr</v>
      </c>
      <c r="I292" s="3" t="str">
        <f>IFERROR(__xludf.DUMMYFUNCTION("""COMPUTED_VALUE"""),"Deliver")</f>
        <v>Deliver</v>
      </c>
      <c r="J292" s="3" t="str">
        <f>IFERROR(__xludf.DUMMYFUNCTION("""COMPUTED_VALUE"""),"121704165 - APPROVED")</f>
        <v>121704165 - APPROVED</v>
      </c>
      <c r="K292" s="3" t="str">
        <f>IFERROR(__xludf.DUMMYFUNCTION("""COMPUTED_VALUE"""),"GL2605018")</f>
        <v>GL2605018</v>
      </c>
    </row>
    <row r="293">
      <c r="A293" s="3" t="str">
        <f>IFERROR(__xludf.DUMMYFUNCTION("""COMPUTED_VALUE"""),"MOBBR0045")</f>
        <v>MOBBR0045</v>
      </c>
      <c r="B293" s="4">
        <f>IFERROR(__xludf.DUMMYFUNCTION("""COMPUTED_VALUE"""),45906.539621261574)</f>
        <v>45906.53962</v>
      </c>
      <c r="C293" s="4">
        <f>IFERROR(__xludf.DUMMYFUNCTION("""COMPUTED_VALUE"""),45912.416240011575)</f>
        <v>45912.41624</v>
      </c>
      <c r="D293" s="3" t="str">
        <f>IFERROR(__xludf.DUMMYFUNCTION("""COMPUTED_VALUE"""),"PC ASRS")</f>
        <v>PC ASRS</v>
      </c>
      <c r="E293" s="3" t="str">
        <f>IFERROR(__xludf.DUMMYFUNCTION("""COMPUTED_VALUE"""),"-")</f>
        <v>-</v>
      </c>
      <c r="F293" s="3" t="str">
        <f>IFERROR(__xludf.DUMMYFUNCTION("""COMPUTED_VALUE"""),"Converter RS232 to USB")</f>
        <v>Converter RS232 to USB</v>
      </c>
      <c r="G293" s="3">
        <f>IFERROR(__xludf.DUMMYFUNCTION("""COMPUTED_VALUE"""),4.0)</f>
        <v>4</v>
      </c>
      <c r="H293" s="3" t="str">
        <f>IFERROR(__xludf.DUMMYFUNCTION("""COMPUTED_VALUE"""),"Pcs")</f>
        <v>Pcs</v>
      </c>
      <c r="I293" s="3" t="str">
        <f>IFERROR(__xludf.DUMMYFUNCTION("""COMPUTED_VALUE"""),"Deliver")</f>
        <v>Deliver</v>
      </c>
      <c r="J293" s="3" t="str">
        <f>IFERROR(__xludf.DUMMYFUNCTION("""COMPUTED_VALUE"""),"121703819 - APPROVED")</f>
        <v>121703819 - APPROVED</v>
      </c>
      <c r="K293" s="3" t="str">
        <f>IFERROR(__xludf.DUMMYFUNCTION("""COMPUTED_VALUE"""),"GL2603038")</f>
        <v>GL2603038</v>
      </c>
    </row>
    <row r="294">
      <c r="A294" s="3" t="str">
        <f>IFERROR(__xludf.DUMMYFUNCTION("""COMPUTED_VALUE"""),"NDSBR0021")</f>
        <v>NDSBR0021</v>
      </c>
      <c r="B294" s="4">
        <f>IFERROR(__xludf.DUMMYFUNCTION("""COMPUTED_VALUE"""),45906.69848425926)</f>
        <v>45906.69848</v>
      </c>
      <c r="C294" s="4">
        <f>IFERROR(__xludf.DUMMYFUNCTION("""COMPUTED_VALUE"""),45915.50779773148)</f>
        <v>45915.5078</v>
      </c>
      <c r="D294" s="3" t="str">
        <f>IFERROR(__xludf.DUMMYFUNCTION("""COMPUTED_VALUE"""),"Isolator Dispesing OSD")</f>
        <v>Isolator Dispesing OSD</v>
      </c>
      <c r="E294" s="3" t="str">
        <f>IFERROR(__xludf.DUMMYFUNCTION("""COMPUTED_VALUE"""),"EJO/2025/08/32")</f>
        <v>EJO/2025/08/32</v>
      </c>
      <c r="F294" s="3" t="str">
        <f>IFERROR(__xludf.DUMMYFUNCTION("""COMPUTED_VALUE"""),"O Ring")</f>
        <v>O Ring</v>
      </c>
      <c r="G294" s="3">
        <f>IFERROR(__xludf.DUMMYFUNCTION("""COMPUTED_VALUE"""),3.0)</f>
        <v>3</v>
      </c>
      <c r="H294" s="3" t="str">
        <f>IFERROR(__xludf.DUMMYFUNCTION("""COMPUTED_VALUE"""),"Pcs")</f>
        <v>Pcs</v>
      </c>
      <c r="I294" s="3" t="str">
        <f>IFERROR(__xludf.DUMMYFUNCTION("""COMPUTED_VALUE"""),"Deliver")</f>
        <v>Deliver</v>
      </c>
      <c r="J294" s="3" t="str">
        <f>IFERROR(__xludf.DUMMYFUNCTION("""COMPUTED_VALUE"""),"-")</f>
        <v>-</v>
      </c>
      <c r="K294" s="3" t="str">
        <f>IFERROR(__xludf.DUMMYFUNCTION("""COMPUTED_VALUE"""),"-")</f>
        <v>-</v>
      </c>
    </row>
    <row r="295">
      <c r="A295" s="3" t="str">
        <f>IFERROR(__xludf.DUMMYFUNCTION("""COMPUTED_VALUE"""),"AAABR0016")</f>
        <v>AAABR0016</v>
      </c>
      <c r="B295" s="4">
        <f>IFERROR(__xludf.DUMMYFUNCTION("""COMPUTED_VALUE"""),45909.97674041667)</f>
        <v>45909.97674</v>
      </c>
      <c r="C295" s="4">
        <f>IFERROR(__xludf.DUMMYFUNCTION("""COMPUTED_VALUE"""),45917.72166707176)</f>
        <v>45917.72167</v>
      </c>
      <c r="D295" s="3" t="str">
        <f>IFERROR(__xludf.DUMMYFUNCTION("""COMPUTED_VALUE"""),"lampu cRABS")</f>
        <v>lampu cRABS</v>
      </c>
      <c r="E295" s="3" t="str">
        <f>IFERROR(__xludf.DUMMYFUNCTION("""COMPUTED_VALUE"""),"Menyusul")</f>
        <v>Menyusul</v>
      </c>
      <c r="F295" s="3" t="str">
        <f>IFERROR(__xludf.DUMMYFUNCTION("""COMPUTED_VALUE"""),"kabel power")</f>
        <v>kabel power</v>
      </c>
      <c r="G295" s="3">
        <f>IFERROR(__xludf.DUMMYFUNCTION("""COMPUTED_VALUE"""),100.0)</f>
        <v>100</v>
      </c>
      <c r="H295" s="3" t="str">
        <f>IFERROR(__xludf.DUMMYFUNCTION("""COMPUTED_VALUE"""),"mtr")</f>
        <v>mtr</v>
      </c>
      <c r="I295" s="3" t="str">
        <f>IFERROR(__xludf.DUMMYFUNCTION("""COMPUTED_VALUE"""),"Deliver")</f>
        <v>Deliver</v>
      </c>
      <c r="J295" s="3" t="str">
        <f>IFERROR(__xludf.DUMMYFUNCTION("""COMPUTED_VALUE"""),"-")</f>
        <v>-</v>
      </c>
      <c r="K295" s="3" t="str">
        <f>IFERROR(__xludf.DUMMYFUNCTION("""COMPUTED_VALUE"""),"-")</f>
        <v>-</v>
      </c>
    </row>
    <row r="296">
      <c r="A296" s="3" t="str">
        <f>IFERROR(__xludf.DUMMYFUNCTION("""COMPUTED_VALUE"""),"AAABR0017")</f>
        <v>AAABR0017</v>
      </c>
      <c r="B296" s="4">
        <f>IFERROR(__xludf.DUMMYFUNCTION("""COMPUTED_VALUE"""),45909.97684480324)</f>
        <v>45909.97684</v>
      </c>
      <c r="C296" s="4">
        <f>IFERROR(__xludf.DUMMYFUNCTION("""COMPUTED_VALUE"""),45917.72477538194)</f>
        <v>45917.72478</v>
      </c>
      <c r="D296" s="3" t="str">
        <f>IFERROR(__xludf.DUMMYFUNCTION("""COMPUTED_VALUE"""),"lampu cRABS")</f>
        <v>lampu cRABS</v>
      </c>
      <c r="E296" s="3" t="str">
        <f>IFERROR(__xludf.DUMMYFUNCTION("""COMPUTED_VALUE"""),"Menyusul")</f>
        <v>Menyusul</v>
      </c>
      <c r="F296" s="3" t="str">
        <f>IFERROR(__xludf.DUMMYFUNCTION("""COMPUTED_VALUE"""),"junction box plastik")</f>
        <v>junction box plastik</v>
      </c>
      <c r="G296" s="3">
        <f>IFERROR(__xludf.DUMMYFUNCTION("""COMPUTED_VALUE"""),5.0)</f>
        <v>5</v>
      </c>
      <c r="H296" s="3" t="str">
        <f>IFERROR(__xludf.DUMMYFUNCTION("""COMPUTED_VALUE"""),"pcs")</f>
        <v>pcs</v>
      </c>
      <c r="I296" s="3" t="str">
        <f>IFERROR(__xludf.DUMMYFUNCTION("""COMPUTED_VALUE"""),"Deliver")</f>
        <v>Deliver</v>
      </c>
      <c r="J296" s="3" t="str">
        <f>IFERROR(__xludf.DUMMYFUNCTION("""COMPUTED_VALUE"""),"-")</f>
        <v>-</v>
      </c>
      <c r="K296" s="3" t="str">
        <f>IFERROR(__xludf.DUMMYFUNCTION("""COMPUTED_VALUE"""),"-")</f>
        <v>-</v>
      </c>
    </row>
    <row r="297">
      <c r="A297" s="3" t="str">
        <f>IFERROR(__xludf.DUMMYFUNCTION("""COMPUTED_VALUE"""),"AAABR0018")</f>
        <v>AAABR0018</v>
      </c>
      <c r="B297" s="4">
        <f>IFERROR(__xludf.DUMMYFUNCTION("""COMPUTED_VALUE"""),45909.97854922454)</f>
        <v>45909.97855</v>
      </c>
      <c r="C297" s="4">
        <f>IFERROR(__xludf.DUMMYFUNCTION("""COMPUTED_VALUE"""),45917.72600570602)</f>
        <v>45917.72601</v>
      </c>
      <c r="D297" s="3" t="str">
        <f>IFERROR(__xludf.DUMMYFUNCTION("""COMPUTED_VALUE"""),"lampu cRABS")</f>
        <v>lampu cRABS</v>
      </c>
      <c r="E297" s="3" t="str">
        <f>IFERROR(__xludf.DUMMYFUNCTION("""COMPUTED_VALUE"""),"Menyusul")</f>
        <v>Menyusul</v>
      </c>
      <c r="F297" s="3" t="str">
        <f>IFERROR(__xludf.DUMMYFUNCTION("""COMPUTED_VALUE"""),"terminal viking")</f>
        <v>terminal viking</v>
      </c>
      <c r="G297" s="3">
        <f>IFERROR(__xludf.DUMMYFUNCTION("""COMPUTED_VALUE"""),70.0)</f>
        <v>70</v>
      </c>
      <c r="H297" s="3" t="str">
        <f>IFERROR(__xludf.DUMMYFUNCTION("""COMPUTED_VALUE"""),"pcs")</f>
        <v>pcs</v>
      </c>
      <c r="I297" s="3" t="str">
        <f>IFERROR(__xludf.DUMMYFUNCTION("""COMPUTED_VALUE"""),"Deliver")</f>
        <v>Deliver</v>
      </c>
      <c r="J297" s="3" t="str">
        <f>IFERROR(__xludf.DUMMYFUNCTION("""COMPUTED_VALUE"""),"-")</f>
        <v>-</v>
      </c>
      <c r="K297" s="3" t="str">
        <f>IFERROR(__xludf.DUMMYFUNCTION("""COMPUTED_VALUE"""),"-")</f>
        <v>-</v>
      </c>
    </row>
    <row r="298">
      <c r="A298" s="3" t="str">
        <f>IFERROR(__xludf.DUMMYFUNCTION("""COMPUTED_VALUE"""),"AAABR0019")</f>
        <v>AAABR0019</v>
      </c>
      <c r="B298" s="4">
        <f>IFERROR(__xludf.DUMMYFUNCTION("""COMPUTED_VALUE"""),45909.9800743287)</f>
        <v>45909.98007</v>
      </c>
      <c r="C298" s="4">
        <f>IFERROR(__xludf.DUMMYFUNCTION("""COMPUTED_VALUE"""),45917.72634642361)</f>
        <v>45917.72635</v>
      </c>
      <c r="D298" s="3" t="str">
        <f>IFERROR(__xludf.DUMMYFUNCTION("""COMPUTED_VALUE"""),"lampu cRABS")</f>
        <v>lampu cRABS</v>
      </c>
      <c r="E298" s="3" t="str">
        <f>IFERROR(__xludf.DUMMYFUNCTION("""COMPUTED_VALUE"""),"Menyusul")</f>
        <v>Menyusul</v>
      </c>
      <c r="F298" s="3" t="str">
        <f>IFERROR(__xludf.DUMMYFUNCTION("""COMPUTED_VALUE"""),"din rail")</f>
        <v>din rail</v>
      </c>
      <c r="G298" s="3">
        <f>IFERROR(__xludf.DUMMYFUNCTION("""COMPUTED_VALUE"""),2.0)</f>
        <v>2</v>
      </c>
      <c r="H298" s="3" t="str">
        <f>IFERROR(__xludf.DUMMYFUNCTION("""COMPUTED_VALUE"""),"batang")</f>
        <v>batang</v>
      </c>
      <c r="I298" s="3" t="str">
        <f>IFERROR(__xludf.DUMMYFUNCTION("""COMPUTED_VALUE"""),"Deliver")</f>
        <v>Deliver</v>
      </c>
      <c r="J298" s="3" t="str">
        <f>IFERROR(__xludf.DUMMYFUNCTION("""COMPUTED_VALUE"""),"-")</f>
        <v>-</v>
      </c>
      <c r="K298" s="3" t="str">
        <f>IFERROR(__xludf.DUMMYFUNCTION("""COMPUTED_VALUE"""),"-")</f>
        <v>-</v>
      </c>
    </row>
    <row r="299">
      <c r="A299" s="3" t="str">
        <f>IFERROR(__xludf.DUMMYFUNCTION("""COMPUTED_VALUE"""),"AAABR0020")</f>
        <v>AAABR0020</v>
      </c>
      <c r="B299" s="4">
        <f>IFERROR(__xludf.DUMMYFUNCTION("""COMPUTED_VALUE"""),45909.98105969908)</f>
        <v>45909.98106</v>
      </c>
      <c r="C299" s="4">
        <f>IFERROR(__xludf.DUMMYFUNCTION("""COMPUTED_VALUE"""),45923.64146407407)</f>
        <v>45923.64146</v>
      </c>
      <c r="D299" s="3" t="str">
        <f>IFERROR(__xludf.DUMMYFUNCTION("""COMPUTED_VALUE"""),"lampu cRABS")</f>
        <v>lampu cRABS</v>
      </c>
      <c r="E299" s="3" t="str">
        <f>IFERROR(__xludf.DUMMYFUNCTION("""COMPUTED_VALUE"""),"Menyusul")</f>
        <v>Menyusul</v>
      </c>
      <c r="F299" s="3" t="str">
        <f>IFERROR(__xludf.DUMMYFUNCTION("""COMPUTED_VALUE"""),"round bar")</f>
        <v>round bar</v>
      </c>
      <c r="G299" s="3">
        <f>IFERROR(__xludf.DUMMYFUNCTION("""COMPUTED_VALUE"""),8.0)</f>
        <v>8</v>
      </c>
      <c r="H299" s="3" t="str">
        <f>IFERROR(__xludf.DUMMYFUNCTION("""COMPUTED_VALUE"""),"batang (@6 meter)")</f>
        <v>batang (@6 meter)</v>
      </c>
      <c r="I299" s="3" t="str">
        <f>IFERROR(__xludf.DUMMYFUNCTION("""COMPUTED_VALUE"""),"Deliver")</f>
        <v>Deliver</v>
      </c>
      <c r="J299" s="3" t="str">
        <f>IFERROR(__xludf.DUMMYFUNCTION("""COMPUTED_VALUE"""),"-")</f>
        <v>-</v>
      </c>
      <c r="K299" s="3" t="str">
        <f>IFERROR(__xludf.DUMMYFUNCTION("""COMPUTED_VALUE"""),"-")</f>
        <v>-</v>
      </c>
    </row>
    <row r="300">
      <c r="A300" s="3" t="str">
        <f>IFERROR(__xludf.DUMMYFUNCTION("""COMPUTED_VALUE"""),"AAABR0022")</f>
        <v>AAABR0022</v>
      </c>
      <c r="B300" s="4">
        <f>IFERROR(__xludf.DUMMYFUNCTION("""COMPUTED_VALUE"""),45909.982993437494)</f>
        <v>45909.98299</v>
      </c>
      <c r="C300" s="4">
        <f>IFERROR(__xludf.DUMMYFUNCTION("""COMPUTED_VALUE"""),45917.73049653935)</f>
        <v>45917.7305</v>
      </c>
      <c r="D300" s="3" t="str">
        <f>IFERROR(__xludf.DUMMYFUNCTION("""COMPUTED_VALUE"""),"lampu cRABS")</f>
        <v>lampu cRABS</v>
      </c>
      <c r="E300" s="3" t="str">
        <f>IFERROR(__xludf.DUMMYFUNCTION("""COMPUTED_VALUE"""),"Menyusul")</f>
        <v>Menyusul</v>
      </c>
      <c r="F300" s="3" t="str">
        <f>IFERROR(__xludf.DUMMYFUNCTION("""COMPUTED_VALUE"""),"terminal viking grounding")</f>
        <v>terminal viking grounding</v>
      </c>
      <c r="G300" s="3">
        <f>IFERROR(__xludf.DUMMYFUNCTION("""COMPUTED_VALUE"""),10.0)</f>
        <v>10</v>
      </c>
      <c r="H300" s="3" t="str">
        <f>IFERROR(__xludf.DUMMYFUNCTION("""COMPUTED_VALUE"""),"pcs")</f>
        <v>pcs</v>
      </c>
      <c r="I300" s="3" t="str">
        <f>IFERROR(__xludf.DUMMYFUNCTION("""COMPUTED_VALUE"""),"Deliver")</f>
        <v>Deliver</v>
      </c>
      <c r="J300" s="3" t="str">
        <f>IFERROR(__xludf.DUMMYFUNCTION("""COMPUTED_VALUE"""),"-")</f>
        <v>-</v>
      </c>
      <c r="K300" s="3" t="str">
        <f>IFERROR(__xludf.DUMMYFUNCTION("""COMPUTED_VALUE"""),"-")</f>
        <v>-</v>
      </c>
    </row>
    <row r="301">
      <c r="A301" s="3" t="str">
        <f>IFERROR(__xludf.DUMMYFUNCTION("""COMPUTED_VALUE"""),"NDSBR0022")</f>
        <v>NDSBR0022</v>
      </c>
      <c r="B301" s="4">
        <f>IFERROR(__xludf.DUMMYFUNCTION("""COMPUTED_VALUE"""),45910.59488872685)</f>
        <v>45910.59489</v>
      </c>
      <c r="C301" s="4">
        <f>IFERROR(__xludf.DUMMYFUNCTION("""COMPUTED_VALUE"""),45930.24271623843)</f>
        <v>45930.24272</v>
      </c>
      <c r="D301" s="3" t="str">
        <f>IFERROR(__xludf.DUMMYFUNCTION("""COMPUTED_VALUE"""),"Disolution tester")</f>
        <v>Disolution tester</v>
      </c>
      <c r="E301" s="3" t="str">
        <f>IFERROR(__xludf.DUMMYFUNCTION("""COMPUTED_VALUE"""),"-")</f>
        <v>-</v>
      </c>
      <c r="F301" s="3" t="str">
        <f>IFERROR(__xludf.DUMMYFUNCTION("""COMPUTED_VALUE"""),"Konekstor")</f>
        <v>Konekstor</v>
      </c>
      <c r="G301" s="3">
        <f>IFERROR(__xludf.DUMMYFUNCTION("""COMPUTED_VALUE"""),10.0)</f>
        <v>10</v>
      </c>
      <c r="H301" s="3" t="str">
        <f>IFERROR(__xludf.DUMMYFUNCTION("""COMPUTED_VALUE""")," Pcs")</f>
        <v> Pcs</v>
      </c>
      <c r="I301" s="3" t="str">
        <f>IFERROR(__xludf.DUMMYFUNCTION("""COMPUTED_VALUE"""),"Approval PR")</f>
        <v>Approval PR</v>
      </c>
      <c r="J301" s="3" t="str">
        <f>IFERROR(__xludf.DUMMYFUNCTION("""COMPUTED_VALUE"""),"121703994 - INCOMPLETE")</f>
        <v>121703994 - INCOMPLETE</v>
      </c>
      <c r="K301" s="3" t="str">
        <f>IFERROR(__xludf.DUMMYFUNCTION("""COMPUTED_VALUE"""),"-")</f>
        <v>-</v>
      </c>
    </row>
    <row r="302">
      <c r="A302" s="3" t="str">
        <f>IFERROR(__xludf.DUMMYFUNCTION("""COMPUTED_VALUE"""),"AAABR0025")</f>
        <v>AAABR0025</v>
      </c>
      <c r="B302" s="4">
        <f>IFERROR(__xludf.DUMMYFUNCTION("""COMPUTED_VALUE"""),45910.67402706018)</f>
        <v>45910.67403</v>
      </c>
      <c r="C302" s="4">
        <f>IFERROR(__xludf.DUMMYFUNCTION("""COMPUTED_VALUE"""),45917.73348814815)</f>
        <v>45917.73349</v>
      </c>
      <c r="D302" s="3" t="str">
        <f>IFERROR(__xludf.DUMMYFUNCTION("""COMPUTED_VALUE"""),"Camera MS 30")</f>
        <v>Camera MS 30</v>
      </c>
      <c r="E302" s="3" t="str">
        <f>IFERROR(__xludf.DUMMYFUNCTION("""COMPUTED_VALUE"""),"Menyusul")</f>
        <v>Menyusul</v>
      </c>
      <c r="F302" s="3" t="str">
        <f>IFERROR(__xludf.DUMMYFUNCTION("""COMPUTED_VALUE"""),"Kunci L")</f>
        <v>Kunci L</v>
      </c>
      <c r="G302" s="3">
        <f>IFERROR(__xludf.DUMMYFUNCTION("""COMPUTED_VALUE"""),1.0)</f>
        <v>1</v>
      </c>
      <c r="H302" s="3" t="str">
        <f>IFERROR(__xludf.DUMMYFUNCTION("""COMPUTED_VALUE"""),"set")</f>
        <v>set</v>
      </c>
      <c r="I302" s="3" t="str">
        <f>IFERROR(__xludf.DUMMYFUNCTION("""COMPUTED_VALUE"""),"Deliver")</f>
        <v>Deliver</v>
      </c>
      <c r="J302" s="3" t="str">
        <f>IFERROR(__xludf.DUMMYFUNCTION("""COMPUTED_VALUE"""),"121703645 - APPROVED")</f>
        <v>121703645 - APPROVED</v>
      </c>
      <c r="K302" s="3" t="str">
        <f>IFERROR(__xludf.DUMMYFUNCTION("""COMPUTED_VALUE"""),"GL2602027")</f>
        <v>GL2602027</v>
      </c>
    </row>
    <row r="303">
      <c r="A303" s="3" t="str">
        <f>IFERROR(__xludf.DUMMYFUNCTION("""COMPUTED_VALUE"""),"MFHBR0011")</f>
        <v>MFHBR0011</v>
      </c>
      <c r="B303" s="4">
        <f>IFERROR(__xludf.DUMMYFUNCTION("""COMPUTED_VALUE"""),45910.9287546412)</f>
        <v>45910.92875</v>
      </c>
      <c r="C303" s="4">
        <f>IFERROR(__xludf.DUMMYFUNCTION("""COMPUTED_VALUE"""),45911.891165706016)</f>
        <v>45911.89117</v>
      </c>
      <c r="D303" s="3" t="str">
        <f>IFERROR(__xludf.DUMMYFUNCTION("""COMPUTED_VALUE"""),"Building")</f>
        <v>Building</v>
      </c>
      <c r="E303" s="3" t="str">
        <f>IFERROR(__xludf.DUMMYFUNCTION("""COMPUTED_VALUE"""),"-")</f>
        <v>-</v>
      </c>
      <c r="F303" s="3" t="str">
        <f>IFERROR(__xludf.DUMMYFUNCTION("""COMPUTED_VALUE"""),"N2")</f>
        <v>N2</v>
      </c>
      <c r="G303" s="3">
        <f>IFERROR(__xludf.DUMMYFUNCTION("""COMPUTED_VALUE"""),1.0)</f>
        <v>1</v>
      </c>
      <c r="H303" s="3" t="str">
        <f>IFERROR(__xludf.DUMMYFUNCTION("""COMPUTED_VALUE"""),"Lot")</f>
        <v>Lot</v>
      </c>
      <c r="I303" s="3" t="str">
        <f>IFERROR(__xludf.DUMMYFUNCTION("""COMPUTED_VALUE"""),"Deliver")</f>
        <v>Deliver</v>
      </c>
      <c r="J303" s="3" t="str">
        <f>IFERROR(__xludf.DUMMYFUNCTION("""COMPUTED_VALUE"""),"-")</f>
        <v>-</v>
      </c>
      <c r="K303" s="3" t="str">
        <f>IFERROR(__xludf.DUMMYFUNCTION("""COMPUTED_VALUE"""),"-")</f>
        <v>-</v>
      </c>
    </row>
    <row r="304">
      <c r="A304" s="3" t="str">
        <f>IFERROR(__xludf.DUMMYFUNCTION("""COMPUTED_VALUE"""),"MFHBR0012")</f>
        <v>MFHBR0012</v>
      </c>
      <c r="B304" s="4">
        <f>IFERROR(__xludf.DUMMYFUNCTION("""COMPUTED_VALUE"""),45910.93053945602)</f>
        <v>45910.93054</v>
      </c>
      <c r="C304" s="4">
        <f>IFERROR(__xludf.DUMMYFUNCTION("""COMPUTED_VALUE"""),45911.891289293984)</f>
        <v>45911.89129</v>
      </c>
      <c r="D304" s="3" t="str">
        <f>IFERROR(__xludf.DUMMYFUNCTION("""COMPUTED_VALUE"""),"FD")</f>
        <v>FD</v>
      </c>
      <c r="E304" s="3" t="str">
        <f>IFERROR(__xludf.DUMMYFUNCTION("""COMPUTED_VALUE"""),"-")</f>
        <v>-</v>
      </c>
      <c r="F304" s="3" t="str">
        <f>IFERROR(__xludf.DUMMYFUNCTION("""COMPUTED_VALUE"""),"PoU")</f>
        <v>PoU</v>
      </c>
      <c r="G304" s="3">
        <f>IFERROR(__xludf.DUMMYFUNCTION("""COMPUTED_VALUE"""),1.0)</f>
        <v>1</v>
      </c>
      <c r="H304" s="3" t="str">
        <f>IFERROR(__xludf.DUMMYFUNCTION("""COMPUTED_VALUE"""),"Lot")</f>
        <v>Lot</v>
      </c>
      <c r="I304" s="3" t="str">
        <f>IFERROR(__xludf.DUMMYFUNCTION("""COMPUTED_VALUE"""),"Deliver")</f>
        <v>Deliver</v>
      </c>
      <c r="J304" s="3" t="str">
        <f>IFERROR(__xludf.DUMMYFUNCTION("""COMPUTED_VALUE"""),"-")</f>
        <v>-</v>
      </c>
      <c r="K304" s="3" t="str">
        <f>IFERROR(__xludf.DUMMYFUNCTION("""COMPUTED_VALUE"""),"-")</f>
        <v>-</v>
      </c>
    </row>
    <row r="305">
      <c r="A305" s="3" t="str">
        <f>IFERROR(__xludf.DUMMYFUNCTION("""COMPUTED_VALUE"""),"MFHBR0014")</f>
        <v>MFHBR0014</v>
      </c>
      <c r="B305" s="4">
        <f>IFERROR(__xludf.DUMMYFUNCTION("""COMPUTED_VALUE"""),45910.93274539352)</f>
        <v>45910.93275</v>
      </c>
      <c r="C305" s="4">
        <f>IFERROR(__xludf.DUMMYFUNCTION("""COMPUTED_VALUE"""),45911.891490925926)</f>
        <v>45911.89149</v>
      </c>
      <c r="D305" s="3" t="str">
        <f>IFERROR(__xludf.DUMMYFUNCTION("""COMPUTED_VALUE"""),"Building")</f>
        <v>Building</v>
      </c>
      <c r="E305" s="3" t="str">
        <f>IFERROR(__xludf.DUMMYFUNCTION("""COMPUTED_VALUE"""),"-")</f>
        <v>-</v>
      </c>
      <c r="F305" s="3" t="str">
        <f>IFERROR(__xludf.DUMMYFUNCTION("""COMPUTED_VALUE"""),"Perluasan Bangunan")</f>
        <v>Perluasan Bangunan</v>
      </c>
      <c r="G305" s="3">
        <f>IFERROR(__xludf.DUMMYFUNCTION("""COMPUTED_VALUE"""),1.0)</f>
        <v>1</v>
      </c>
      <c r="H305" s="3" t="str">
        <f>IFERROR(__xludf.DUMMYFUNCTION("""COMPUTED_VALUE"""),"Lot")</f>
        <v>Lot</v>
      </c>
      <c r="I305" s="3" t="str">
        <f>IFERROR(__xludf.DUMMYFUNCTION("""COMPUTED_VALUE"""),"Deliver")</f>
        <v>Deliver</v>
      </c>
      <c r="J305" s="3" t="str">
        <f>IFERROR(__xludf.DUMMYFUNCTION("""COMPUTED_VALUE"""),"-")</f>
        <v>-</v>
      </c>
      <c r="K305" s="3" t="str">
        <f>IFERROR(__xludf.DUMMYFUNCTION("""COMPUTED_VALUE"""),"-")</f>
        <v>-</v>
      </c>
    </row>
    <row r="306">
      <c r="A306" s="3" t="str">
        <f>IFERROR(__xludf.DUMMYFUNCTION("""COMPUTED_VALUE"""),"MFHBR0015")</f>
        <v>MFHBR0015</v>
      </c>
      <c r="B306" s="4">
        <f>IFERROR(__xludf.DUMMYFUNCTION("""COMPUTED_VALUE"""),45910.93522018518)</f>
        <v>45910.93522</v>
      </c>
      <c r="C306" s="4">
        <f>IFERROR(__xludf.DUMMYFUNCTION("""COMPUTED_VALUE"""),45911.89159944445)</f>
        <v>45911.8916</v>
      </c>
      <c r="D306" s="3" t="str">
        <f>IFERROR(__xludf.DUMMYFUNCTION("""COMPUTED_VALUE"""),"Cooling Water")</f>
        <v>Cooling Water</v>
      </c>
      <c r="E306" s="3" t="str">
        <f>IFERROR(__xludf.DUMMYFUNCTION("""COMPUTED_VALUE"""),"-")</f>
        <v>-</v>
      </c>
      <c r="F306" s="3" t="str">
        <f>IFERROR(__xludf.DUMMYFUNCTION("""COMPUTED_VALUE"""),"Inverter")</f>
        <v>Inverter</v>
      </c>
      <c r="G306" s="3">
        <f>IFERROR(__xludf.DUMMYFUNCTION("""COMPUTED_VALUE"""),1.0)</f>
        <v>1</v>
      </c>
      <c r="H306" s="3" t="str">
        <f>IFERROR(__xludf.DUMMYFUNCTION("""COMPUTED_VALUE"""),"Pcs")</f>
        <v>Pcs</v>
      </c>
      <c r="I306" s="3" t="str">
        <f>IFERROR(__xludf.DUMMYFUNCTION("""COMPUTED_VALUE"""),"Deliver")</f>
        <v>Deliver</v>
      </c>
      <c r="J306" s="3" t="str">
        <f>IFERROR(__xludf.DUMMYFUNCTION("""COMPUTED_VALUE"""),"-")</f>
        <v>-</v>
      </c>
      <c r="K306" s="3" t="str">
        <f>IFERROR(__xludf.DUMMYFUNCTION("""COMPUTED_VALUE"""),"-")</f>
        <v>-</v>
      </c>
    </row>
    <row r="307">
      <c r="A307" s="3" t="str">
        <f>IFERROR(__xludf.DUMMYFUNCTION("""COMPUTED_VALUE"""),"NDSBR0025")</f>
        <v>NDSBR0025</v>
      </c>
      <c r="B307" s="4">
        <f>IFERROR(__xludf.DUMMYFUNCTION("""COMPUTED_VALUE"""),45915.56884364583)</f>
        <v>45915.56884</v>
      </c>
      <c r="C307" s="4">
        <f>IFERROR(__xludf.DUMMYFUNCTION("""COMPUTED_VALUE"""),45930.24407311343)</f>
        <v>45930.24407</v>
      </c>
      <c r="D307" s="3" t="str">
        <f>IFERROR(__xludf.DUMMYFUNCTION("""COMPUTED_VALUE"""),"Blister")</f>
        <v>Blister</v>
      </c>
      <c r="E307" s="3" t="str">
        <f>IFERROR(__xludf.DUMMYFUNCTION("""COMPUTED_VALUE"""),"EJO/2025/08/73")</f>
        <v>EJO/2025/08/73</v>
      </c>
      <c r="F307" s="3" t="str">
        <f>IFERROR(__xludf.DUMMYFUNCTION("""COMPUTED_VALUE"""),"Shaft forming")</f>
        <v>Shaft forming</v>
      </c>
      <c r="G307" s="3">
        <f>IFERROR(__xludf.DUMMYFUNCTION("""COMPUTED_VALUE"""),2.0)</f>
        <v>2</v>
      </c>
      <c r="H307" s="3" t="str">
        <f>IFERROR(__xludf.DUMMYFUNCTION("""COMPUTED_VALUE"""),"pcs")</f>
        <v>pcs</v>
      </c>
      <c r="I307" s="3" t="str">
        <f>IFERROR(__xludf.DUMMYFUNCTION("""COMPUTED_VALUE"""),"Deliver")</f>
        <v>Deliver</v>
      </c>
      <c r="J307" s="3" t="str">
        <f>IFERROR(__xludf.DUMMYFUNCTION("""COMPUTED_VALUE"""),"-")</f>
        <v>-</v>
      </c>
      <c r="K307" s="3" t="str">
        <f>IFERROR(__xludf.DUMMYFUNCTION("""COMPUTED_VALUE"""),"-")</f>
        <v>-</v>
      </c>
    </row>
    <row r="308">
      <c r="A308" s="3" t="str">
        <f>IFERROR(__xludf.DUMMYFUNCTION("""COMPUTED_VALUE"""),"NDSBR0026")</f>
        <v>NDSBR0026</v>
      </c>
      <c r="B308" s="4">
        <f>IFERROR(__xludf.DUMMYFUNCTION("""COMPUTED_VALUE"""),45915.572459814815)</f>
        <v>45915.57246</v>
      </c>
      <c r="C308" s="4">
        <f>IFERROR(__xludf.DUMMYFUNCTION("""COMPUTED_VALUE"""),45930.24438283564)</f>
        <v>45930.24438</v>
      </c>
      <c r="D308" s="3" t="str">
        <f>IFERROR(__xludf.DUMMYFUNCTION("""COMPUTED_VALUE"""),"Blister")</f>
        <v>Blister</v>
      </c>
      <c r="E308" s="3" t="str">
        <f>IFERROR(__xludf.DUMMYFUNCTION("""COMPUTED_VALUE"""),"EJO/2025/08/73")</f>
        <v>EJO/2025/08/73</v>
      </c>
      <c r="F308" s="3" t="str">
        <f>IFERROR(__xludf.DUMMYFUNCTION("""COMPUTED_VALUE"""),"Mur shaft forming")</f>
        <v>Mur shaft forming</v>
      </c>
      <c r="G308" s="3">
        <f>IFERROR(__xludf.DUMMYFUNCTION("""COMPUTED_VALUE"""),3.0)</f>
        <v>3</v>
      </c>
      <c r="H308" s="3" t="str">
        <f>IFERROR(__xludf.DUMMYFUNCTION("""COMPUTED_VALUE"""),"pcs")</f>
        <v>pcs</v>
      </c>
      <c r="I308" s="3" t="str">
        <f>IFERROR(__xludf.DUMMYFUNCTION("""COMPUTED_VALUE"""),"Deliver")</f>
        <v>Deliver</v>
      </c>
      <c r="J308" s="3" t="str">
        <f>IFERROR(__xludf.DUMMYFUNCTION("""COMPUTED_VALUE"""),"-")</f>
        <v>-</v>
      </c>
      <c r="K308" s="3" t="str">
        <f>IFERROR(__xludf.DUMMYFUNCTION("""COMPUTED_VALUE"""),"-")</f>
        <v>-</v>
      </c>
    </row>
    <row r="309">
      <c r="A309" s="3" t="str">
        <f>IFERROR(__xludf.DUMMYFUNCTION("""COMPUTED_VALUE"""),"ANOBR0030")</f>
        <v>ANOBR0030</v>
      </c>
      <c r="B309" s="4">
        <f>IFERROR(__xludf.DUMMYFUNCTION("""COMPUTED_VALUE"""),45916.68767291667)</f>
        <v>45916.68767</v>
      </c>
      <c r="C309" s="4">
        <f>IFERROR(__xludf.DUMMYFUNCTION("""COMPUTED_VALUE"""),45938.23009247685)</f>
        <v>45938.23009</v>
      </c>
      <c r="D309" s="3" t="str">
        <f>IFERROR(__xludf.DUMMYFUNCTION("""COMPUTED_VALUE"""),"Aerosol Generator")</f>
        <v>Aerosol Generator</v>
      </c>
      <c r="E309" s="3" t="str">
        <f>IFERROR(__xludf.DUMMYFUNCTION("""COMPUTED_VALUE"""),"EJO/2025/08/94")</f>
        <v>EJO/2025/08/94</v>
      </c>
      <c r="F309" s="3" t="str">
        <f>IFERROR(__xludf.DUMMYFUNCTION("""COMPUTED_VALUE"""),"Regulator")</f>
        <v>Regulator</v>
      </c>
      <c r="G309" s="3">
        <f>IFERROR(__xludf.DUMMYFUNCTION("""COMPUTED_VALUE"""),2.0)</f>
        <v>2</v>
      </c>
      <c r="H309" s="3" t="str">
        <f>IFERROR(__xludf.DUMMYFUNCTION("""COMPUTED_VALUE"""),"PCS")</f>
        <v>PCS</v>
      </c>
      <c r="I309" s="3" t="str">
        <f>IFERROR(__xludf.DUMMYFUNCTION("""COMPUTED_VALUE"""),"Deliver")</f>
        <v>Deliver</v>
      </c>
      <c r="J309" s="3" t="str">
        <f>IFERROR(__xludf.DUMMYFUNCTION("""COMPUTED_VALUE"""),"-")</f>
        <v>-</v>
      </c>
      <c r="K309" s="3" t="str">
        <f>IFERROR(__xludf.DUMMYFUNCTION("""COMPUTED_VALUE"""),"-")</f>
        <v>-</v>
      </c>
    </row>
    <row r="310">
      <c r="A310" s="3" t="str">
        <f>IFERROR(__xludf.DUMMYFUNCTION("""COMPUTED_VALUE"""),"ANOBR0032")</f>
        <v>ANOBR0032</v>
      </c>
      <c r="B310" s="4">
        <f>IFERROR(__xludf.DUMMYFUNCTION("""COMPUTED_VALUE"""),45917.94847574075)</f>
        <v>45917.94848</v>
      </c>
      <c r="C310" s="4">
        <f>IFERROR(__xludf.DUMMYFUNCTION("""COMPUTED_VALUE"""),45936.57942606481)</f>
        <v>45936.57943</v>
      </c>
      <c r="D310" s="3" t="str">
        <f>IFERROR(__xludf.DUMMYFUNCTION("""COMPUTED_VALUE"""),"tunnel")</f>
        <v>tunnel</v>
      </c>
      <c r="E310" s="3" t="str">
        <f>IFERROR(__xludf.DUMMYFUNCTION("""COMPUTED_VALUE"""),"-")</f>
        <v>-</v>
      </c>
      <c r="F310" s="3" t="str">
        <f>IFERROR(__xludf.DUMMYFUNCTION("""COMPUTED_VALUE"""),"konektor star actuator 3 way valve")</f>
        <v>konektor star actuator 3 way valve</v>
      </c>
      <c r="G310" s="3">
        <f>IFERROR(__xludf.DUMMYFUNCTION("""COMPUTED_VALUE"""),2.0)</f>
        <v>2</v>
      </c>
      <c r="H310" s="3" t="str">
        <f>IFERROR(__xludf.DUMMYFUNCTION("""COMPUTED_VALUE"""),"set")</f>
        <v>set</v>
      </c>
      <c r="I310" s="3" t="str">
        <f>IFERROR(__xludf.DUMMYFUNCTION("""COMPUTED_VALUE"""),"Deliver")</f>
        <v>Deliver</v>
      </c>
      <c r="J310" s="3" t="str">
        <f>IFERROR(__xludf.DUMMYFUNCTION("""COMPUTED_VALUE"""),"121703828 - APPROVED")</f>
        <v>121703828 - APPROVED</v>
      </c>
      <c r="K310" s="3" t="str">
        <f>IFERROR(__xludf.DUMMYFUNCTION("""COMPUTED_VALUE"""),"GL2603436")</f>
        <v>GL2603436</v>
      </c>
    </row>
    <row r="311">
      <c r="A311" s="3" t="str">
        <f>IFERROR(__xludf.DUMMYFUNCTION("""COMPUTED_VALUE"""),"RIABR0100")</f>
        <v>RIABR0100</v>
      </c>
      <c r="B311" s="4">
        <f>IFERROR(__xludf.DUMMYFUNCTION("""COMPUTED_VALUE"""),45919.675639444446)</f>
        <v>45919.67564</v>
      </c>
      <c r="C311" s="4">
        <f>IFERROR(__xludf.DUMMYFUNCTION("""COMPUTED_VALUE"""),45922.36875606482)</f>
        <v>45922.36876</v>
      </c>
      <c r="D311" s="3" t="str">
        <f>IFERROR(__xludf.DUMMYFUNCTION("""COMPUTED_VALUE"""),"AHU")</f>
        <v>AHU</v>
      </c>
      <c r="E311" s="3" t="str">
        <f>IFERROR(__xludf.DUMMYFUNCTION("""COMPUTED_VALUE"""),"-")</f>
        <v>-</v>
      </c>
      <c r="F311" s="3" t="str">
        <f>IFERROR(__xludf.DUMMYFUNCTION("""COMPUTED_VALUE"""),"Danfoss")</f>
        <v>Danfoss</v>
      </c>
      <c r="G311" s="3">
        <f>IFERROR(__xludf.DUMMYFUNCTION("""COMPUTED_VALUE"""),1.0)</f>
        <v>1</v>
      </c>
      <c r="H311" s="3" t="str">
        <f>IFERROR(__xludf.DUMMYFUNCTION("""COMPUTED_VALUE"""),"Pcs")</f>
        <v>Pcs</v>
      </c>
      <c r="I311" s="3" t="str">
        <f>IFERROR(__xludf.DUMMYFUNCTION("""COMPUTED_VALUE"""),"Deliver")</f>
        <v>Deliver</v>
      </c>
      <c r="J311" s="3" t="str">
        <f>IFERROR(__xludf.DUMMYFUNCTION("""COMPUTED_VALUE"""),"-")</f>
        <v>-</v>
      </c>
      <c r="K311" s="3" t="str">
        <f>IFERROR(__xludf.DUMMYFUNCTION("""COMPUTED_VALUE"""),"-")</f>
        <v>-</v>
      </c>
    </row>
    <row r="312">
      <c r="A312" s="3" t="str">
        <f>IFERROR(__xludf.DUMMYFUNCTION("""COMPUTED_VALUE"""),"RIABR0101")</f>
        <v>RIABR0101</v>
      </c>
      <c r="B312" s="4">
        <f>IFERROR(__xludf.DUMMYFUNCTION("""COMPUTED_VALUE"""),45919.677289826395)</f>
        <v>45919.67729</v>
      </c>
      <c r="C312" s="4">
        <f>IFERROR(__xludf.DUMMYFUNCTION("""COMPUTED_VALUE"""),45922.369119537034)</f>
        <v>45922.36912</v>
      </c>
      <c r="D312" s="3" t="str">
        <f>IFERROR(__xludf.DUMMYFUNCTION("""COMPUTED_VALUE"""),"Exhaust Fan")</f>
        <v>Exhaust Fan</v>
      </c>
      <c r="E312" s="3" t="str">
        <f>IFERROR(__xludf.DUMMYFUNCTION("""COMPUTED_VALUE"""),"-")</f>
        <v>-</v>
      </c>
      <c r="F312" s="3" t="str">
        <f>IFERROR(__xludf.DUMMYFUNCTION("""COMPUTED_VALUE"""),"Danfoss")</f>
        <v>Danfoss</v>
      </c>
      <c r="G312" s="3">
        <f>IFERROR(__xludf.DUMMYFUNCTION("""COMPUTED_VALUE"""),1.0)</f>
        <v>1</v>
      </c>
      <c r="H312" s="3" t="str">
        <f>IFERROR(__xludf.DUMMYFUNCTION("""COMPUTED_VALUE"""),"Pcs")</f>
        <v>Pcs</v>
      </c>
      <c r="I312" s="3" t="str">
        <f>IFERROR(__xludf.DUMMYFUNCTION("""COMPUTED_VALUE"""),"Deliver")</f>
        <v>Deliver</v>
      </c>
      <c r="J312" s="3" t="str">
        <f>IFERROR(__xludf.DUMMYFUNCTION("""COMPUTED_VALUE"""),"-")</f>
        <v>-</v>
      </c>
      <c r="K312" s="3" t="str">
        <f>IFERROR(__xludf.DUMMYFUNCTION("""COMPUTED_VALUE"""),"-")</f>
        <v>-</v>
      </c>
    </row>
    <row r="313">
      <c r="A313" s="3" t="str">
        <f>IFERROR(__xludf.DUMMYFUNCTION("""COMPUTED_VALUE"""),"MFHBR0016")</f>
        <v>MFHBR0016</v>
      </c>
      <c r="B313" s="4">
        <f>IFERROR(__xludf.DUMMYFUNCTION("""COMPUTED_VALUE"""),45921.46139768518)</f>
        <v>45921.4614</v>
      </c>
      <c r="C313" s="4">
        <f>IFERROR(__xludf.DUMMYFUNCTION("""COMPUTED_VALUE"""),45921.876313657405)</f>
        <v>45921.87631</v>
      </c>
      <c r="D313" s="3" t="str">
        <f>IFERROR(__xludf.DUMMYFUNCTION("""COMPUTED_VALUE"""),"Steriline")</f>
        <v>Steriline</v>
      </c>
      <c r="E313" s="3" t="str">
        <f>IFERROR(__xludf.DUMMYFUNCTION("""COMPUTED_VALUE"""),"-")</f>
        <v>-</v>
      </c>
      <c r="F313" s="3" t="str">
        <f>IFERROR(__xludf.DUMMYFUNCTION("""COMPUTED_VALUE"""),"Additional Cable Length")</f>
        <v>Additional Cable Length</v>
      </c>
      <c r="G313" s="3">
        <f>IFERROR(__xludf.DUMMYFUNCTION("""COMPUTED_VALUE"""),1.0)</f>
        <v>1</v>
      </c>
      <c r="H313" s="3" t="str">
        <f>IFERROR(__xludf.DUMMYFUNCTION("""COMPUTED_VALUE"""),"Lot")</f>
        <v>Lot</v>
      </c>
      <c r="I313" s="3" t="str">
        <f>IFERROR(__xludf.DUMMYFUNCTION("""COMPUTED_VALUE"""),"Deliver")</f>
        <v>Deliver</v>
      </c>
      <c r="J313" s="3" t="str">
        <f>IFERROR(__xludf.DUMMYFUNCTION("""COMPUTED_VALUE"""),"-")</f>
        <v>-</v>
      </c>
      <c r="K313" s="3" t="str">
        <f>IFERROR(__xludf.DUMMYFUNCTION("""COMPUTED_VALUE"""),"-")</f>
        <v>-</v>
      </c>
    </row>
    <row r="314">
      <c r="A314" s="3" t="str">
        <f>IFERROR(__xludf.DUMMYFUNCTION("""COMPUTED_VALUE"""),"MFHBR0017")</f>
        <v>MFHBR0017</v>
      </c>
      <c r="B314" s="4">
        <f>IFERROR(__xludf.DUMMYFUNCTION("""COMPUTED_VALUE"""),45921.46139768518)</f>
        <v>45921.4614</v>
      </c>
      <c r="C314" s="4">
        <f>IFERROR(__xludf.DUMMYFUNCTION("""COMPUTED_VALUE"""),45921.87640421296)</f>
        <v>45921.8764</v>
      </c>
      <c r="D314" s="3" t="str">
        <f>IFERROR(__xludf.DUMMYFUNCTION("""COMPUTED_VALUE"""),"Steriline")</f>
        <v>Steriline</v>
      </c>
      <c r="E314" s="3" t="str">
        <f>IFERROR(__xludf.DUMMYFUNCTION("""COMPUTED_VALUE"""),"-")</f>
        <v>-</v>
      </c>
      <c r="F314" s="3" t="str">
        <f>IFERROR(__xludf.DUMMYFUNCTION("""COMPUTED_VALUE"""),"Hardware Upgrade")</f>
        <v>Hardware Upgrade</v>
      </c>
      <c r="G314" s="3">
        <f>IFERROR(__xludf.DUMMYFUNCTION("""COMPUTED_VALUE"""),1.0)</f>
        <v>1</v>
      </c>
      <c r="H314" s="3" t="str">
        <f>IFERROR(__xludf.DUMMYFUNCTION("""COMPUTED_VALUE"""),"Lot")</f>
        <v>Lot</v>
      </c>
      <c r="I314" s="3" t="str">
        <f>IFERROR(__xludf.DUMMYFUNCTION("""COMPUTED_VALUE"""),"Deliver")</f>
        <v>Deliver</v>
      </c>
      <c r="J314" s="3" t="str">
        <f>IFERROR(__xludf.DUMMYFUNCTION("""COMPUTED_VALUE"""),"121703163 - APPROVED")</f>
        <v>121703163 - APPROVED</v>
      </c>
      <c r="K314" s="3" t="str">
        <f>IFERROR(__xludf.DUMMYFUNCTION("""COMPUTED_VALUE"""),"GL2509025")</f>
        <v>GL2509025</v>
      </c>
    </row>
    <row r="315">
      <c r="A315" s="3" t="str">
        <f>IFERROR(__xludf.DUMMYFUNCTION("""COMPUTED_VALUE"""),"MFHBR0018")</f>
        <v>MFHBR0018</v>
      </c>
      <c r="B315" s="4">
        <f>IFERROR(__xludf.DUMMYFUNCTION("""COMPUTED_VALUE"""),45921.46140724537)</f>
        <v>45921.46141</v>
      </c>
      <c r="C315" s="4">
        <f>IFERROR(__xludf.DUMMYFUNCTION("""COMPUTED_VALUE"""),45921.87650194445)</f>
        <v>45921.8765</v>
      </c>
      <c r="D315" s="3" t="str">
        <f>IFERROR(__xludf.DUMMYFUNCTION("""COMPUTED_VALUE"""),"Steriline")</f>
        <v>Steriline</v>
      </c>
      <c r="E315" s="3" t="str">
        <f>IFERROR(__xludf.DUMMYFUNCTION("""COMPUTED_VALUE"""),"-")</f>
        <v>-</v>
      </c>
      <c r="F315" s="3" t="str">
        <f>IFERROR(__xludf.DUMMYFUNCTION("""COMPUTED_VALUE"""),"Software Upgrade")</f>
        <v>Software Upgrade</v>
      </c>
      <c r="G315" s="3">
        <f>IFERROR(__xludf.DUMMYFUNCTION("""COMPUTED_VALUE"""),1.0)</f>
        <v>1</v>
      </c>
      <c r="H315" s="3" t="str">
        <f>IFERROR(__xludf.DUMMYFUNCTION("""COMPUTED_VALUE"""),"Lot")</f>
        <v>Lot</v>
      </c>
      <c r="I315" s="3" t="str">
        <f>IFERROR(__xludf.DUMMYFUNCTION("""COMPUTED_VALUE"""),"Deliver")</f>
        <v>Deliver</v>
      </c>
      <c r="J315" s="3" t="str">
        <f>IFERROR(__xludf.DUMMYFUNCTION("""COMPUTED_VALUE"""),"121703163 - APPROVED")</f>
        <v>121703163 - APPROVED</v>
      </c>
      <c r="K315" s="3" t="str">
        <f>IFERROR(__xludf.DUMMYFUNCTION("""COMPUTED_VALUE"""),"GL2509025")</f>
        <v>GL2509025</v>
      </c>
    </row>
    <row r="316">
      <c r="A316" s="3" t="str">
        <f>IFERROR(__xludf.DUMMYFUNCTION("""COMPUTED_VALUE"""),"AAABR0026")</f>
        <v>AAABR0026</v>
      </c>
      <c r="B316" s="4">
        <f>IFERROR(__xludf.DUMMYFUNCTION("""COMPUTED_VALUE"""),45923.26065189815)</f>
        <v>45923.26065</v>
      </c>
      <c r="C316" s="4">
        <f>IFERROR(__xludf.DUMMYFUNCTION("""COMPUTED_VALUE"""),45923.64193420139)</f>
        <v>45923.64193</v>
      </c>
      <c r="D316" s="3" t="str">
        <f>IFERROR(__xludf.DUMMYFUNCTION("""COMPUTED_VALUE"""),"CR 3")</f>
        <v>CR 3</v>
      </c>
      <c r="E316" s="3" t="str">
        <f>IFERROR(__xludf.DUMMYFUNCTION("""COMPUTED_VALUE"""),"Menyusul")</f>
        <v>Menyusul</v>
      </c>
      <c r="F316" s="3" t="str">
        <f>IFERROR(__xludf.DUMMYFUNCTION("""COMPUTED_VALUE"""),"HEPA Filter")</f>
        <v>HEPA Filter</v>
      </c>
      <c r="G316" s="3">
        <f>IFERROR(__xludf.DUMMYFUNCTION("""COMPUTED_VALUE"""),5.0)</f>
        <v>5</v>
      </c>
      <c r="H316" s="3" t="str">
        <f>IFERROR(__xludf.DUMMYFUNCTION("""COMPUTED_VALUE"""),"Pcs")</f>
        <v>Pcs</v>
      </c>
      <c r="I316" s="3" t="str">
        <f>IFERROR(__xludf.DUMMYFUNCTION("""COMPUTED_VALUE"""),"Deliver")</f>
        <v>Deliver</v>
      </c>
      <c r="J316" s="3" t="str">
        <f>IFERROR(__xludf.DUMMYFUNCTION("""COMPUTED_VALUE"""),"-")</f>
        <v>-</v>
      </c>
      <c r="K316" s="3" t="str">
        <f>IFERROR(__xludf.DUMMYFUNCTION("""COMPUTED_VALUE"""),"-")</f>
        <v>-</v>
      </c>
    </row>
    <row r="317">
      <c r="A317" s="3" t="str">
        <f>IFERROR(__xludf.DUMMYFUNCTION("""COMPUTED_VALUE"""),"ROSBR0038")</f>
        <v>ROSBR0038</v>
      </c>
      <c r="B317" s="4">
        <f>IFERROR(__xludf.DUMMYFUNCTION("""COMPUTED_VALUE"""),45923.39518503472)</f>
        <v>45923.39519</v>
      </c>
      <c r="C317" s="4">
        <f>IFERROR(__xludf.DUMMYFUNCTION("""COMPUTED_VALUE"""),45930.213165277775)</f>
        <v>45930.21317</v>
      </c>
      <c r="D317" s="3" t="str">
        <f>IFERROR(__xludf.DUMMYFUNCTION("""COMPUTED_VALUE"""),"Engineering ")</f>
        <v>Engineering </v>
      </c>
      <c r="E317" s="3" t="str">
        <f>IFERROR(__xludf.DUMMYFUNCTION("""COMPUTED_VALUE"""),"NA")</f>
        <v>NA</v>
      </c>
      <c r="F317" s="3" t="str">
        <f>IFERROR(__xludf.DUMMYFUNCTION("""COMPUTED_VALUE"""),"Adapter Converter USB to LAN RJ45")</f>
        <v>Adapter Converter USB to LAN RJ45</v>
      </c>
      <c r="G317" s="3">
        <f>IFERROR(__xludf.DUMMYFUNCTION("""COMPUTED_VALUE"""),4.0)</f>
        <v>4</v>
      </c>
      <c r="H317" s="3" t="str">
        <f>IFERROR(__xludf.DUMMYFUNCTION("""COMPUTED_VALUE"""),"pcs")</f>
        <v>pcs</v>
      </c>
      <c r="I317" s="3" t="str">
        <f>IFERROR(__xludf.DUMMYFUNCTION("""COMPUTED_VALUE"""),"Deliver")</f>
        <v>Deliver</v>
      </c>
      <c r="J317" s="3" t="str">
        <f>IFERROR(__xludf.DUMMYFUNCTION("""COMPUTED_VALUE"""),"121703819 - APPROVED")</f>
        <v>121703819 - APPROVED</v>
      </c>
      <c r="K317" s="3" t="str">
        <f>IFERROR(__xludf.DUMMYFUNCTION("""COMPUTED_VALUE"""),"GL2603038")</f>
        <v>GL2603038</v>
      </c>
    </row>
    <row r="318">
      <c r="A318" s="3" t="str">
        <f>IFERROR(__xludf.DUMMYFUNCTION("""COMPUTED_VALUE"""),"MRNBR0066")</f>
        <v>MRNBR0066</v>
      </c>
      <c r="B318" s="4">
        <f>IFERROR(__xludf.DUMMYFUNCTION("""COMPUTED_VALUE"""),45924.26367417824)</f>
        <v>45924.26367</v>
      </c>
      <c r="C318" s="4">
        <f>IFERROR(__xludf.DUMMYFUNCTION("""COMPUTED_VALUE"""),45930.552312754626)</f>
        <v>45930.55231</v>
      </c>
      <c r="D318" s="3" t="str">
        <f>IFERROR(__xludf.DUMMYFUNCTION("""COMPUTED_VALUE"""),"PHE hot water")</f>
        <v>PHE hot water</v>
      </c>
      <c r="E318" s="3" t="str">
        <f>IFERROR(__xludf.DUMMYFUNCTION("""COMPUTED_VALUE"""),"EJO/2025/08/129")</f>
        <v>EJO/2025/08/129</v>
      </c>
      <c r="F318" s="3" t="str">
        <f>IFERROR(__xludf.DUMMYFUNCTION("""COMPUTED_VALUE"""),"Steam trap ")</f>
        <v>Steam trap </v>
      </c>
      <c r="G318" s="3">
        <f>IFERROR(__xludf.DUMMYFUNCTION("""COMPUTED_VALUE"""),2.0)</f>
        <v>2</v>
      </c>
      <c r="H318" s="3" t="str">
        <f>IFERROR(__xludf.DUMMYFUNCTION("""COMPUTED_VALUE"""),"pcs")</f>
        <v>pcs</v>
      </c>
      <c r="I318" s="3" t="str">
        <f>IFERROR(__xludf.DUMMYFUNCTION("""COMPUTED_VALUE"""),"Deliver")</f>
        <v>Deliver</v>
      </c>
      <c r="J318" s="3" t="str">
        <f>IFERROR(__xludf.DUMMYFUNCTION("""COMPUTED_VALUE"""),"-")</f>
        <v>-</v>
      </c>
      <c r="K318" s="3" t="str">
        <f>IFERROR(__xludf.DUMMYFUNCTION("""COMPUTED_VALUE"""),"-")</f>
        <v>-</v>
      </c>
    </row>
    <row r="319">
      <c r="A319" s="3" t="str">
        <f>IFERROR(__xludf.DUMMYFUNCTION("""COMPUTED_VALUE"""),"RIABR0102")</f>
        <v>RIABR0102</v>
      </c>
      <c r="B319" s="4">
        <f>IFERROR(__xludf.DUMMYFUNCTION("""COMPUTED_VALUE"""),45924.65788548611)</f>
        <v>45924.65789</v>
      </c>
      <c r="C319" s="4">
        <f>IFERROR(__xludf.DUMMYFUNCTION("""COMPUTED_VALUE"""),45930.62697363426)</f>
        <v>45930.62697</v>
      </c>
      <c r="D319" s="3" t="str">
        <f>IFERROR(__xludf.DUMMYFUNCTION("""COMPUTED_VALUE"""),"Kapsul")</f>
        <v>Kapsul</v>
      </c>
      <c r="E319" s="3" t="str">
        <f>IFERROR(__xludf.DUMMYFUNCTION("""COMPUTED_VALUE"""),"EJO/2025/09/34")</f>
        <v>EJO/2025/09/34</v>
      </c>
      <c r="F319" s="3" t="str">
        <f>IFERROR(__xludf.DUMMYFUNCTION("""COMPUTED_VALUE"""),"Pusher Kapsul")</f>
        <v>Pusher Kapsul</v>
      </c>
      <c r="G319" s="3">
        <f>IFERROR(__xludf.DUMMYFUNCTION("""COMPUTED_VALUE"""),1.0)</f>
        <v>1</v>
      </c>
      <c r="H319" s="3" t="str">
        <f>IFERROR(__xludf.DUMMYFUNCTION("""COMPUTED_VALUE"""),"Set")</f>
        <v>Set</v>
      </c>
      <c r="I319" s="3" t="str">
        <f>IFERROR(__xludf.DUMMYFUNCTION("""COMPUTED_VALUE"""),"Deliver")</f>
        <v>Deliver</v>
      </c>
      <c r="J319" s="3" t="str">
        <f>IFERROR(__xludf.DUMMYFUNCTION("""COMPUTED_VALUE"""),"-")</f>
        <v>-</v>
      </c>
      <c r="K319" s="3" t="str">
        <f>IFERROR(__xludf.DUMMYFUNCTION("""COMPUTED_VALUE"""),"-")</f>
        <v>-</v>
      </c>
    </row>
    <row r="320">
      <c r="A320" s="3" t="str">
        <f>IFERROR(__xludf.DUMMYFUNCTION("""COMPUTED_VALUE"""),"NDSBR0027")</f>
        <v>NDSBR0027</v>
      </c>
      <c r="B320" s="4">
        <f>IFERROR(__xludf.DUMMYFUNCTION("""COMPUTED_VALUE"""),45924.918901412035)</f>
        <v>45924.9189</v>
      </c>
      <c r="C320" s="4">
        <f>IFERROR(__xludf.DUMMYFUNCTION("""COMPUTED_VALUE"""),46050.88074798611)</f>
        <v>46050.88075</v>
      </c>
      <c r="D320" s="3" t="str">
        <f>IFERROR(__xludf.DUMMYFUNCTION("""COMPUTED_VALUE"""),"Blister")</f>
        <v>Blister</v>
      </c>
      <c r="E320" s="3" t="str">
        <f>IFERROR(__xludf.DUMMYFUNCTION("""COMPUTED_VALUE"""),"EJO/2025/09/118")</f>
        <v>EJO/2025/09/118</v>
      </c>
      <c r="F320" s="3" t="str">
        <f>IFERROR(__xludf.DUMMYFUNCTION("""COMPUTED_VALUE"""),"Teflon Forming 568")</f>
        <v>Teflon Forming 568</v>
      </c>
      <c r="G320" s="3">
        <f>IFERROR(__xludf.DUMMYFUNCTION("""COMPUTED_VALUE"""),30.0)</f>
        <v>30</v>
      </c>
      <c r="H320" s="3" t="str">
        <f>IFERROR(__xludf.DUMMYFUNCTION("""COMPUTED_VALUE"""),"pcs")</f>
        <v>pcs</v>
      </c>
      <c r="I320" s="3" t="str">
        <f>IFERROR(__xludf.DUMMYFUNCTION("""COMPUTED_VALUE"""),"Deliver")</f>
        <v>Deliver</v>
      </c>
      <c r="J320" s="3" t="str">
        <f>IFERROR(__xludf.DUMMYFUNCTION("""COMPUTED_VALUE"""),"121704017 - APPROVED")</f>
        <v>121704017 - APPROVED</v>
      </c>
      <c r="K320" s="3" t="str">
        <f>IFERROR(__xludf.DUMMYFUNCTION("""COMPUTED_VALUE"""),"GL2603478")</f>
        <v>GL2603478</v>
      </c>
    </row>
    <row r="321">
      <c r="A321" s="3" t="str">
        <f>IFERROR(__xludf.DUMMYFUNCTION("""COMPUTED_VALUE"""),"NDSBR0028")</f>
        <v>NDSBR0028</v>
      </c>
      <c r="B321" s="4">
        <f>IFERROR(__xludf.DUMMYFUNCTION("""COMPUTED_VALUE"""),45924.920813888886)</f>
        <v>45924.92081</v>
      </c>
      <c r="C321" s="4">
        <f>IFERROR(__xludf.DUMMYFUNCTION("""COMPUTED_VALUE"""),46050.88103100695)</f>
        <v>46050.88103</v>
      </c>
      <c r="D321" s="3" t="str">
        <f>IFERROR(__xludf.DUMMYFUNCTION("""COMPUTED_VALUE"""),"Blister")</f>
        <v>Blister</v>
      </c>
      <c r="E321" s="3" t="str">
        <f>IFERROR(__xludf.DUMMYFUNCTION("""COMPUTED_VALUE"""),"EJO/2025/09/118")</f>
        <v>EJO/2025/09/118</v>
      </c>
      <c r="F321" s="3" t="str">
        <f>IFERROR(__xludf.DUMMYFUNCTION("""COMPUTED_VALUE"""),"Teflon Forming 569")</f>
        <v>Teflon Forming 569</v>
      </c>
      <c r="G321" s="3">
        <f>IFERROR(__xludf.DUMMYFUNCTION("""COMPUTED_VALUE"""),30.0)</f>
        <v>30</v>
      </c>
      <c r="H321" s="3" t="str">
        <f>IFERROR(__xludf.DUMMYFUNCTION("""COMPUTED_VALUE"""),"Pcs")</f>
        <v>Pcs</v>
      </c>
      <c r="I321" s="3" t="str">
        <f>IFERROR(__xludf.DUMMYFUNCTION("""COMPUTED_VALUE"""),"Deliver")</f>
        <v>Deliver</v>
      </c>
      <c r="J321" s="3" t="str">
        <f>IFERROR(__xludf.DUMMYFUNCTION("""COMPUTED_VALUE"""),"121704017 - APPROVED")</f>
        <v>121704017 - APPROVED</v>
      </c>
      <c r="K321" s="3" t="str">
        <f>IFERROR(__xludf.DUMMYFUNCTION("""COMPUTED_VALUE"""),"GL2603478")</f>
        <v>GL2603478</v>
      </c>
    </row>
    <row r="322">
      <c r="A322" s="3" t="str">
        <f>IFERROR(__xludf.DUMMYFUNCTION("""COMPUTED_VALUE"""),"SFHBR0034")</f>
        <v>SFHBR0034</v>
      </c>
      <c r="B322" s="4">
        <f>IFERROR(__xludf.DUMMYFUNCTION("""COMPUTED_VALUE"""),45925.579620046294)</f>
        <v>45925.57962</v>
      </c>
      <c r="C322" s="4">
        <f>IFERROR(__xludf.DUMMYFUNCTION("""COMPUTED_VALUE"""),45930.553623252315)</f>
        <v>45930.55362</v>
      </c>
      <c r="D322" s="3" t="str">
        <f>IFERROR(__xludf.DUMMYFUNCTION("""COMPUTED_VALUE"""),"lantai 3")</f>
        <v>lantai 3</v>
      </c>
      <c r="E322" s="3" t="str">
        <f>IFERROR(__xludf.DUMMYFUNCTION("""COMPUTED_VALUE"""),"EJO/2025/09/151")</f>
        <v>EJO/2025/09/151</v>
      </c>
      <c r="F322" s="3" t="str">
        <f>IFERROR(__xludf.DUMMYFUNCTION("""COMPUTED_VALUE"""),"engsel sendok Ferrari ")</f>
        <v>engsel sendok Ferrari </v>
      </c>
      <c r="G322" s="3">
        <f>IFERROR(__xludf.DUMMYFUNCTION("""COMPUTED_VALUE"""),5.0)</f>
        <v>5</v>
      </c>
      <c r="H322" s="3" t="str">
        <f>IFERROR(__xludf.DUMMYFUNCTION("""COMPUTED_VALUE"""),"pasang ")</f>
        <v>pasang </v>
      </c>
      <c r="I322" s="3" t="str">
        <f>IFERROR(__xludf.DUMMYFUNCTION("""COMPUTED_VALUE"""),"Deliver")</f>
        <v>Deliver</v>
      </c>
      <c r="J322" s="3" t="str">
        <f>IFERROR(__xludf.DUMMYFUNCTION("""COMPUTED_VALUE"""),"121703826 - APPROVED")</f>
        <v>121703826 - APPROVED</v>
      </c>
      <c r="K322" s="3" t="str">
        <f>IFERROR(__xludf.DUMMYFUNCTION("""COMPUTED_VALUE"""),"GL2603049")</f>
        <v>GL2603049</v>
      </c>
    </row>
    <row r="323">
      <c r="A323" s="3" t="str">
        <f>IFERROR(__xludf.DUMMYFUNCTION("""COMPUTED_VALUE"""),"RIABR0103")</f>
        <v>RIABR0103</v>
      </c>
      <c r="B323" s="4">
        <f>IFERROR(__xludf.DUMMYFUNCTION("""COMPUTED_VALUE"""),45925.70730620371)</f>
        <v>45925.70731</v>
      </c>
      <c r="C323" s="4">
        <f>IFERROR(__xludf.DUMMYFUNCTION("""COMPUTED_VALUE"""),45930.62711704861)</f>
        <v>45930.62712</v>
      </c>
      <c r="D323" s="3" t="str">
        <f>IFERROR(__xludf.DUMMYFUNCTION("""COMPUTED_VALUE"""),"Tangga Portable")</f>
        <v>Tangga Portable</v>
      </c>
      <c r="E323" s="3" t="str">
        <f>IFERROR(__xludf.DUMMYFUNCTION("""COMPUTED_VALUE"""),"EJO/2025/09/134")</f>
        <v>EJO/2025/09/134</v>
      </c>
      <c r="F323" s="3" t="str">
        <f>IFERROR(__xludf.DUMMYFUNCTION("""COMPUTED_VALUE"""),"Kaki Karet Tangga")</f>
        <v>Kaki Karet Tangga</v>
      </c>
      <c r="G323" s="3">
        <f>IFERROR(__xludf.DUMMYFUNCTION("""COMPUTED_VALUE"""),10.0)</f>
        <v>10</v>
      </c>
      <c r="H323" s="3" t="str">
        <f>IFERROR(__xludf.DUMMYFUNCTION("""COMPUTED_VALUE"""),"Pcs")</f>
        <v>Pcs</v>
      </c>
      <c r="I323" s="3" t="str">
        <f>IFERROR(__xludf.DUMMYFUNCTION("""COMPUTED_VALUE"""),"Deliver")</f>
        <v>Deliver</v>
      </c>
      <c r="J323" s="3" t="str">
        <f>IFERROR(__xludf.DUMMYFUNCTION("""COMPUTED_VALUE"""),"121704162 - APPROVED")</f>
        <v>121704162 - APPROVED</v>
      </c>
      <c r="K323" s="3" t="str">
        <f>IFERROR(__xludf.DUMMYFUNCTION("""COMPUTED_VALUE"""),"GL2605332")</f>
        <v>GL2605332</v>
      </c>
    </row>
    <row r="324">
      <c r="A324" s="3" t="str">
        <f>IFERROR(__xludf.DUMMYFUNCTION("""COMPUTED_VALUE"""),"ANOBR0035")</f>
        <v>ANOBR0035</v>
      </c>
      <c r="B324" s="4">
        <f>IFERROR(__xludf.DUMMYFUNCTION("""COMPUTED_VALUE"""),45925.78222758102)</f>
        <v>45925.78223</v>
      </c>
      <c r="C324" s="4">
        <f>IFERROR(__xludf.DUMMYFUNCTION("""COMPUTED_VALUE"""),45930.232803726845)</f>
        <v>45930.2328</v>
      </c>
      <c r="D324" s="3" t="str">
        <f>IFERROR(__xludf.DUMMYFUNCTION("""COMPUTED_VALUE"""),"isolator dispensing osd")</f>
        <v>isolator dispensing osd</v>
      </c>
      <c r="E324" s="3" t="str">
        <f>IFERROR(__xludf.DUMMYFUNCTION("""COMPUTED_VALUE"""),"EJO/2025/08/32")</f>
        <v>EJO/2025/08/32</v>
      </c>
      <c r="F324" s="3" t="str">
        <f>IFERROR(__xludf.DUMMYFUNCTION("""COMPUTED_VALUE"""),"oring gasket port sampling")</f>
        <v>oring gasket port sampling</v>
      </c>
      <c r="G324" s="3">
        <f>IFERROR(__xludf.DUMMYFUNCTION("""COMPUTED_VALUE"""),3.0)</f>
        <v>3</v>
      </c>
      <c r="H324" s="3" t="str">
        <f>IFERROR(__xludf.DUMMYFUNCTION("""COMPUTED_VALUE"""),"PCS")</f>
        <v>PCS</v>
      </c>
      <c r="I324" s="3" t="str">
        <f>IFERROR(__xludf.DUMMYFUNCTION("""COMPUTED_VALUE"""),"Deliver")</f>
        <v>Deliver</v>
      </c>
      <c r="J324" s="3" t="str">
        <f>IFERROR(__xludf.DUMMYFUNCTION("""COMPUTED_VALUE"""),"121703818 - APPROVED")</f>
        <v>121703818 - APPROVED</v>
      </c>
      <c r="K324" s="3" t="str">
        <f>IFERROR(__xludf.DUMMYFUNCTION("""COMPUTED_VALUE"""),"GL2602034")</f>
        <v>GL2602034</v>
      </c>
    </row>
    <row r="325">
      <c r="A325" s="3" t="str">
        <f>IFERROR(__xludf.DUMMYFUNCTION("""COMPUTED_VALUE"""),"ROSBR0040")</f>
        <v>ROSBR0040</v>
      </c>
      <c r="B325" s="4">
        <f>IFERROR(__xludf.DUMMYFUNCTION("""COMPUTED_VALUE"""),45926.379023078705)</f>
        <v>45926.37902</v>
      </c>
      <c r="C325" s="4">
        <f>IFERROR(__xludf.DUMMYFUNCTION("""COMPUTED_VALUE"""),45930.21485674768)</f>
        <v>45930.21486</v>
      </c>
      <c r="D325" s="3" t="str">
        <f>IFERROR(__xludf.DUMMYFUNCTION("""COMPUTED_VALUE"""),"Gloove tester  isolator Skan mikro")</f>
        <v>Gloove tester  isolator Skan mikro</v>
      </c>
      <c r="E325" s="3" t="str">
        <f>IFERROR(__xludf.DUMMYFUNCTION("""COMPUTED_VALUE"""),"EJO/2025/09/147")</f>
        <v>EJO/2025/09/147</v>
      </c>
      <c r="F325" s="3" t="str">
        <f>IFERROR(__xludf.DUMMYFUNCTION("""COMPUTED_VALUE"""),"Push-in fitting")</f>
        <v>Push-in fitting</v>
      </c>
      <c r="G325" s="3">
        <f>IFERROR(__xludf.DUMMYFUNCTION("""COMPUTED_VALUE"""),10.0)</f>
        <v>10</v>
      </c>
      <c r="H325" s="3" t="str">
        <f>IFERROR(__xludf.DUMMYFUNCTION("""COMPUTED_VALUE"""),"pcs")</f>
        <v>pcs</v>
      </c>
      <c r="I325" s="3" t="str">
        <f>IFERROR(__xludf.DUMMYFUNCTION("""COMPUTED_VALUE"""),"Deliver")</f>
        <v>Deliver</v>
      </c>
      <c r="J325" s="3" t="str">
        <f>IFERROR(__xludf.DUMMYFUNCTION("""COMPUTED_VALUE"""),"121703989 - APPROVED")</f>
        <v>121703989 - APPROVED</v>
      </c>
      <c r="K325" s="3" t="str">
        <f>IFERROR(__xludf.DUMMYFUNCTION("""COMPUTED_VALUE"""),"GL2604306")</f>
        <v>GL2604306</v>
      </c>
    </row>
    <row r="326">
      <c r="A326" s="3" t="str">
        <f>IFERROR(__xludf.DUMMYFUNCTION("""COMPUTED_VALUE"""),"ROSBR0041")</f>
        <v>ROSBR0041</v>
      </c>
      <c r="B326" s="4">
        <f>IFERROR(__xludf.DUMMYFUNCTION("""COMPUTED_VALUE"""),45926.37904696759)</f>
        <v>45926.37905</v>
      </c>
      <c r="C326" s="4">
        <f>IFERROR(__xludf.DUMMYFUNCTION("""COMPUTED_VALUE"""),45930.215076238426)</f>
        <v>45930.21508</v>
      </c>
      <c r="D326" s="3" t="str">
        <f>IFERROR(__xludf.DUMMYFUNCTION("""COMPUTED_VALUE"""),"Gloove tester  isolator Skan mikro")</f>
        <v>Gloove tester  isolator Skan mikro</v>
      </c>
      <c r="E326" s="3" t="str">
        <f>IFERROR(__xludf.DUMMYFUNCTION("""COMPUTED_VALUE"""),"EJO/2025/09/147")</f>
        <v>EJO/2025/09/147</v>
      </c>
      <c r="F326" s="3" t="str">
        <f>IFERROR(__xludf.DUMMYFUNCTION("""COMPUTED_VALUE"""),"P/in connector")</f>
        <v>P/in connector</v>
      </c>
      <c r="G326" s="3">
        <f>IFERROR(__xludf.DUMMYFUNCTION("""COMPUTED_VALUE"""),10.0)</f>
        <v>10</v>
      </c>
      <c r="H326" s="3" t="str">
        <f>IFERROR(__xludf.DUMMYFUNCTION("""COMPUTED_VALUE"""),"pcs")</f>
        <v>pcs</v>
      </c>
      <c r="I326" s="3" t="str">
        <f>IFERROR(__xludf.DUMMYFUNCTION("""COMPUTED_VALUE"""),"Deliver")</f>
        <v>Deliver</v>
      </c>
      <c r="J326" s="3" t="str">
        <f>IFERROR(__xludf.DUMMYFUNCTION("""COMPUTED_VALUE"""),"-")</f>
        <v>-</v>
      </c>
      <c r="K326" s="3" t="str">
        <f>IFERROR(__xludf.DUMMYFUNCTION("""COMPUTED_VALUE"""),"-")</f>
        <v>-</v>
      </c>
    </row>
    <row r="327">
      <c r="A327" s="3" t="str">
        <f>IFERROR(__xludf.DUMMYFUNCTION("""COMPUTED_VALUE"""),"ANOBR0036")</f>
        <v>ANOBR0036</v>
      </c>
      <c r="B327" s="4">
        <f>IFERROR(__xludf.DUMMYFUNCTION("""COMPUTED_VALUE"""),45929.472361527776)</f>
        <v>45929.47236</v>
      </c>
      <c r="C327" s="4">
        <f>IFERROR(__xludf.DUMMYFUNCTION("""COMPUTED_VALUE"""),45930.23315528936)</f>
        <v>45930.23316</v>
      </c>
      <c r="D327" s="3" t="str">
        <f>IFERROR(__xludf.DUMMYFUNCTION("""COMPUTED_VALUE"""),"instrumen Tap Density")</f>
        <v>instrumen Tap Density</v>
      </c>
      <c r="E327" s="3" t="str">
        <f>IFERROR(__xludf.DUMMYFUNCTION("""COMPUTED_VALUE"""),"-")</f>
        <v>-</v>
      </c>
      <c r="F327" s="3" t="str">
        <f>IFERROR(__xludf.DUMMYFUNCTION("""COMPUTED_VALUE"""),"gelas ukur 100ML")</f>
        <v>gelas ukur 100ML</v>
      </c>
      <c r="G327" s="3">
        <f>IFERROR(__xludf.DUMMYFUNCTION("""COMPUTED_VALUE"""),1.0)</f>
        <v>1</v>
      </c>
      <c r="H327" s="3" t="str">
        <f>IFERROR(__xludf.DUMMYFUNCTION("""COMPUTED_VALUE"""),"set")</f>
        <v>set</v>
      </c>
      <c r="I327" s="3" t="str">
        <f>IFERROR(__xludf.DUMMYFUNCTION("""COMPUTED_VALUE"""),"Deliver")</f>
        <v>Deliver</v>
      </c>
      <c r="J327" s="3" t="str">
        <f>IFERROR(__xludf.DUMMYFUNCTION("""COMPUTED_VALUE"""),"-")</f>
        <v>-</v>
      </c>
      <c r="K327" s="3" t="str">
        <f>IFERROR(__xludf.DUMMYFUNCTION("""COMPUTED_VALUE"""),"-")</f>
        <v>-</v>
      </c>
    </row>
    <row r="328">
      <c r="A328" s="3" t="str">
        <f>IFERROR(__xludf.DUMMYFUNCTION("""COMPUTED_VALUE"""),"AAABR0027")</f>
        <v>AAABR0027</v>
      </c>
      <c r="B328" s="4">
        <f>IFERROR(__xludf.DUMMYFUNCTION("""COMPUTED_VALUE"""),45929.65036210648)</f>
        <v>45929.65036</v>
      </c>
      <c r="C328" s="4">
        <f>IFERROR(__xludf.DUMMYFUNCTION("""COMPUTED_VALUE"""),45936.59789988426)</f>
        <v>45936.5979</v>
      </c>
      <c r="D328" s="3" t="str">
        <f>IFERROR(__xludf.DUMMYFUNCTION("""COMPUTED_VALUE"""),"meja inspeksi packhall")</f>
        <v>meja inspeksi packhall</v>
      </c>
      <c r="E328" s="3" t="str">
        <f>IFERROR(__xludf.DUMMYFUNCTION("""COMPUTED_VALUE"""),"EJO/2025/09/108")</f>
        <v>EJO/2025/09/108</v>
      </c>
      <c r="F328" s="3" t="str">
        <f>IFERROR(__xludf.DUMMYFUNCTION("""COMPUTED_VALUE"""),"oval cable duct")</f>
        <v>oval cable duct</v>
      </c>
      <c r="G328" s="3">
        <f>IFERROR(__xludf.DUMMYFUNCTION("""COMPUTED_VALUE"""),2.0)</f>
        <v>2</v>
      </c>
      <c r="H328" s="3" t="str">
        <f>IFERROR(__xludf.DUMMYFUNCTION("""COMPUTED_VALUE"""),"batang (@2.9 meter)")</f>
        <v>batang (@2.9 meter)</v>
      </c>
      <c r="I328" s="3" t="str">
        <f>IFERROR(__xludf.DUMMYFUNCTION("""COMPUTED_VALUE"""),"Deliver")</f>
        <v>Deliver</v>
      </c>
      <c r="J328" s="3" t="str">
        <f>IFERROR(__xludf.DUMMYFUNCTION("""COMPUTED_VALUE"""),"121703829 - APPROVED")</f>
        <v>121703829 - APPROVED</v>
      </c>
      <c r="K328" s="3" t="str">
        <f>IFERROR(__xludf.DUMMYFUNCTION("""COMPUTED_VALUE"""),"GL2603431")</f>
        <v>GL2603431</v>
      </c>
    </row>
    <row r="329">
      <c r="A329" s="3" t="str">
        <f>IFERROR(__xludf.DUMMYFUNCTION("""COMPUTED_VALUE"""),"NDSBR0029")</f>
        <v>NDSBR0029</v>
      </c>
      <c r="B329" s="4">
        <f>IFERROR(__xludf.DUMMYFUNCTION("""COMPUTED_VALUE"""),45930.58295809028)</f>
        <v>45930.58296</v>
      </c>
      <c r="C329" s="4">
        <f>IFERROR(__xludf.DUMMYFUNCTION("""COMPUTED_VALUE"""),45936.47978836805)</f>
        <v>45936.47979</v>
      </c>
      <c r="D329" s="3" t="str">
        <f>IFERROR(__xludf.DUMMYFUNCTION("""COMPUTED_VALUE"""),"Cytotoxic Cabinet")</f>
        <v>Cytotoxic Cabinet</v>
      </c>
      <c r="E329" s="3" t="str">
        <f>IFERROR(__xludf.DUMMYFUNCTION("""COMPUTED_VALUE"""),"EJO/2025/09/54")</f>
        <v>EJO/2025/09/54</v>
      </c>
      <c r="F329" s="3" t="str">
        <f>IFERROR(__xludf.DUMMYFUNCTION("""COMPUTED_VALUE"""),"Lampu TL-D")</f>
        <v>Lampu TL-D</v>
      </c>
      <c r="G329" s="3">
        <f>IFERROR(__xludf.DUMMYFUNCTION("""COMPUTED_VALUE"""),2.0)</f>
        <v>2</v>
      </c>
      <c r="H329" s="3" t="str">
        <f>IFERROR(__xludf.DUMMYFUNCTION("""COMPUTED_VALUE"""),"Pcs")</f>
        <v>Pcs</v>
      </c>
      <c r="I329" s="3" t="str">
        <f>IFERROR(__xludf.DUMMYFUNCTION("""COMPUTED_VALUE"""),"Deliver")</f>
        <v>Deliver</v>
      </c>
      <c r="J329" s="3" t="str">
        <f>IFERROR(__xludf.DUMMYFUNCTION("""COMPUTED_VALUE"""),"121703829 - APPROVED")</f>
        <v>121703829 - APPROVED</v>
      </c>
      <c r="K329" s="3" t="str">
        <f>IFERROR(__xludf.DUMMYFUNCTION("""COMPUTED_VALUE"""),"GL2603431")</f>
        <v>GL2603431</v>
      </c>
    </row>
    <row r="330">
      <c r="A330" s="3" t="str">
        <f>IFERROR(__xludf.DUMMYFUNCTION("""COMPUTED_VALUE"""),"ROSBR0042")</f>
        <v>ROSBR0042</v>
      </c>
      <c r="B330" s="4">
        <f>IFERROR(__xludf.DUMMYFUNCTION("""COMPUTED_VALUE"""),45930.83123210648)</f>
        <v>45930.83123</v>
      </c>
      <c r="C330" s="4">
        <f>IFERROR(__xludf.DUMMYFUNCTION("""COMPUTED_VALUE"""),45936.58262759259)</f>
        <v>45936.58263</v>
      </c>
      <c r="D330" s="3" t="str">
        <f>IFERROR(__xludf.DUMMYFUNCTION("""COMPUTED_VALUE"""),"Gloove tester  isolator Skan mikro")</f>
        <v>Gloove tester  isolator Skan mikro</v>
      </c>
      <c r="E330" s="3" t="str">
        <f>IFERROR(__xludf.DUMMYFUNCTION("""COMPUTED_VALUE"""),"EJO/2025/09/147")</f>
        <v>EJO/2025/09/147</v>
      </c>
      <c r="F330" s="3" t="str">
        <f>IFERROR(__xludf.DUMMYFUNCTION("""COMPUTED_VALUE"""),"F/panel valve")</f>
        <v>F/panel valve</v>
      </c>
      <c r="G330" s="3">
        <f>IFERROR(__xludf.DUMMYFUNCTION("""COMPUTED_VALUE"""),1.0)</f>
        <v>1</v>
      </c>
      <c r="H330" s="3" t="str">
        <f>IFERROR(__xludf.DUMMYFUNCTION("""COMPUTED_VALUE"""),"pcs")</f>
        <v>pcs</v>
      </c>
      <c r="I330" s="3" t="str">
        <f>IFERROR(__xludf.DUMMYFUNCTION("""COMPUTED_VALUE"""),"Deliver")</f>
        <v>Deliver</v>
      </c>
      <c r="J330" s="3" t="str">
        <f>IFERROR(__xludf.DUMMYFUNCTION("""COMPUTED_VALUE"""),"-")</f>
        <v>-</v>
      </c>
      <c r="K330" s="3" t="str">
        <f>IFERROR(__xludf.DUMMYFUNCTION("""COMPUTED_VALUE"""),"-")</f>
        <v>-</v>
      </c>
    </row>
    <row r="331">
      <c r="A331" s="3" t="str">
        <f>IFERROR(__xludf.DUMMYFUNCTION("""COMPUTED_VALUE"""),"ANOBR0037")</f>
        <v>ANOBR0037</v>
      </c>
      <c r="B331" s="4">
        <f>IFERROR(__xludf.DUMMYFUNCTION("""COMPUTED_VALUE"""),45931.70556581019)</f>
        <v>45931.70557</v>
      </c>
      <c r="C331" s="4">
        <f>IFERROR(__xludf.DUMMYFUNCTION("""COMPUTED_VALUE"""),45936.57750832176)</f>
        <v>45936.57751</v>
      </c>
      <c r="D331" s="3" t="str">
        <f>IFERROR(__xludf.DUMMYFUNCTION("""COMPUTED_VALUE"""),"Instrumen Moisture")</f>
        <v>Instrumen Moisture</v>
      </c>
      <c r="E331" s="3" t="str">
        <f>IFERROR(__xludf.DUMMYFUNCTION("""COMPUTED_VALUE"""),"-")</f>
        <v>-</v>
      </c>
      <c r="F331" s="3" t="str">
        <f>IFERROR(__xludf.DUMMYFUNCTION("""COMPUTED_VALUE"""),"alat perata sample granul")</f>
        <v>alat perata sample granul</v>
      </c>
      <c r="G331" s="3">
        <f>IFERROR(__xludf.DUMMYFUNCTION("""COMPUTED_VALUE"""),1.0)</f>
        <v>1</v>
      </c>
      <c r="H331" s="3" t="str">
        <f>IFERROR(__xludf.DUMMYFUNCTION("""COMPUTED_VALUE"""),"pcs")</f>
        <v>pcs</v>
      </c>
      <c r="I331" s="3" t="str">
        <f>IFERROR(__xludf.DUMMYFUNCTION("""COMPUTED_VALUE"""),"Deliver")</f>
        <v>Deliver</v>
      </c>
      <c r="J331" s="3" t="str">
        <f>IFERROR(__xludf.DUMMYFUNCTION("""COMPUTED_VALUE"""),"-")</f>
        <v>-</v>
      </c>
      <c r="K331" s="3" t="str">
        <f>IFERROR(__xludf.DUMMYFUNCTION("""COMPUTED_VALUE"""),"-")</f>
        <v>-</v>
      </c>
    </row>
    <row r="332">
      <c r="A332" s="3" t="str">
        <f>IFERROR(__xludf.DUMMYFUNCTION("""COMPUTED_VALUE"""),"MRNBR0073")</f>
        <v>MRNBR0073</v>
      </c>
      <c r="B332" s="4">
        <f>IFERROR(__xludf.DUMMYFUNCTION("""COMPUTED_VALUE"""),45931.866243749995)</f>
        <v>45931.86624</v>
      </c>
      <c r="C332" s="4">
        <f>IFERROR(__xludf.DUMMYFUNCTION("""COMPUTED_VALUE"""),45937.651849884256)</f>
        <v>45937.65185</v>
      </c>
      <c r="D332" s="3" t="str">
        <f>IFERROR(__xludf.DUMMYFUNCTION("""COMPUTED_VALUE"""),"WFI skid")</f>
        <v>WFI skid</v>
      </c>
      <c r="E332" s="3" t="str">
        <f>IFERROR(__xludf.DUMMYFUNCTION("""COMPUTED_VALUE"""),"EJO/2025/09/123")</f>
        <v>EJO/2025/09/123</v>
      </c>
      <c r="F332" s="3" t="str">
        <f>IFERROR(__xludf.DUMMYFUNCTION("""COMPUTED_VALUE"""),"Regulator")</f>
        <v>Regulator</v>
      </c>
      <c r="G332" s="3">
        <f>IFERROR(__xludf.DUMMYFUNCTION("""COMPUTED_VALUE"""),2.0)</f>
        <v>2</v>
      </c>
      <c r="H332" s="3" t="str">
        <f>IFERROR(__xludf.DUMMYFUNCTION("""COMPUTED_VALUE"""),"pcs")</f>
        <v>pcs</v>
      </c>
      <c r="I332" s="3" t="str">
        <f>IFERROR(__xludf.DUMMYFUNCTION("""COMPUTED_VALUE"""),"Deliver")</f>
        <v>Deliver</v>
      </c>
      <c r="J332" s="3" t="str">
        <f>IFERROR(__xludf.DUMMYFUNCTION("""COMPUTED_VALUE"""),"121703831 - APPROVED")</f>
        <v>121703831 - APPROVED</v>
      </c>
      <c r="K332" s="3" t="str">
        <f>IFERROR(__xludf.DUMMYFUNCTION("""COMPUTED_VALUE"""),"GL2603008")</f>
        <v>GL2603008</v>
      </c>
    </row>
    <row r="333">
      <c r="A333" s="3" t="str">
        <f>IFERROR(__xludf.DUMMYFUNCTION("""COMPUTED_VALUE"""),"RIABR0105")</f>
        <v>RIABR0105</v>
      </c>
      <c r="B333" s="4">
        <f>IFERROR(__xludf.DUMMYFUNCTION("""COMPUTED_VALUE"""),45937.65862320602)</f>
        <v>45937.65862</v>
      </c>
      <c r="C333" s="4">
        <f>IFERROR(__xludf.DUMMYFUNCTION("""COMPUTED_VALUE"""),45943.98748982639)</f>
        <v>45943.98749</v>
      </c>
      <c r="D333" s="3" t="str">
        <f>IFERROR(__xludf.DUMMYFUNCTION("""COMPUTED_VALUE"""),"Controll")</f>
        <v>Controll</v>
      </c>
      <c r="E333" s="3" t="str">
        <f>IFERROR(__xludf.DUMMYFUNCTION("""COMPUTED_VALUE"""),"-")</f>
        <v>-</v>
      </c>
      <c r="F333" s="3" t="str">
        <f>IFERROR(__xludf.DUMMYFUNCTION("""COMPUTED_VALUE"""),"Relay")</f>
        <v>Relay</v>
      </c>
      <c r="G333" s="3">
        <f>IFERROR(__xludf.DUMMYFUNCTION("""COMPUTED_VALUE"""),10.0)</f>
        <v>10</v>
      </c>
      <c r="H333" s="3" t="str">
        <f>IFERROR(__xludf.DUMMYFUNCTION("""COMPUTED_VALUE"""),"Pcs")</f>
        <v>Pcs</v>
      </c>
      <c r="I333" s="3" t="str">
        <f>IFERROR(__xludf.DUMMYFUNCTION("""COMPUTED_VALUE"""),"Deliver")</f>
        <v>Deliver</v>
      </c>
      <c r="J333" s="3" t="str">
        <f>IFERROR(__xludf.DUMMYFUNCTION("""COMPUTED_VALUE"""),"121703820 - APPROVED")</f>
        <v>121703820 - APPROVED</v>
      </c>
      <c r="K333" s="3" t="str">
        <f>IFERROR(__xludf.DUMMYFUNCTION("""COMPUTED_VALUE"""),"GL2603004")</f>
        <v>GL2603004</v>
      </c>
    </row>
    <row r="334">
      <c r="A334" s="3" t="str">
        <f>IFERROR(__xludf.DUMMYFUNCTION("""COMPUTED_VALUE"""),"RIABR0106")</f>
        <v>RIABR0106</v>
      </c>
      <c r="B334" s="4">
        <f>IFERROR(__xludf.DUMMYFUNCTION("""COMPUTED_VALUE"""),45938.42526802083)</f>
        <v>45938.42527</v>
      </c>
      <c r="C334" s="4">
        <f>IFERROR(__xludf.DUMMYFUNCTION("""COMPUTED_VALUE"""),45944.9840013889)</f>
        <v>45944.984</v>
      </c>
      <c r="D334" s="3" t="str">
        <f>IFERROR(__xludf.DUMMYFUNCTION("""COMPUTED_VALUE"""),"Granulasi")</f>
        <v>Granulasi</v>
      </c>
      <c r="E334" s="3" t="str">
        <f>IFERROR(__xludf.DUMMYFUNCTION("""COMPUTED_VALUE"""),"-")</f>
        <v>-</v>
      </c>
      <c r="F334" s="3" t="str">
        <f>IFERROR(__xludf.DUMMYFUNCTION("""COMPUTED_VALUE"""),"Gasket")</f>
        <v>Gasket</v>
      </c>
      <c r="G334" s="3">
        <f>IFERROR(__xludf.DUMMYFUNCTION("""COMPUTED_VALUE"""),5.0)</f>
        <v>5</v>
      </c>
      <c r="H334" s="3" t="str">
        <f>IFERROR(__xludf.DUMMYFUNCTION("""COMPUTED_VALUE"""),"Pcs")</f>
        <v>Pcs</v>
      </c>
      <c r="I334" s="3" t="str">
        <f>IFERROR(__xludf.DUMMYFUNCTION("""COMPUTED_VALUE"""),"Deliver")</f>
        <v>Deliver</v>
      </c>
      <c r="J334" s="3" t="str">
        <f>IFERROR(__xludf.DUMMYFUNCTION("""COMPUTED_VALUE"""),"121703916 - APPROVED")</f>
        <v>121703916 - APPROVED</v>
      </c>
      <c r="K334" s="3" t="str">
        <f>IFERROR(__xludf.DUMMYFUNCTION("""COMPUTED_VALUE"""),"GL2603037")</f>
        <v>GL2603037</v>
      </c>
    </row>
    <row r="335">
      <c r="A335" s="3" t="str">
        <f>IFERROR(__xludf.DUMMYFUNCTION("""COMPUTED_VALUE"""),"RIABR0107")</f>
        <v>RIABR0107</v>
      </c>
      <c r="B335" s="4">
        <f>IFERROR(__xludf.DUMMYFUNCTION("""COMPUTED_VALUE"""),45938.42963164352)</f>
        <v>45938.42963</v>
      </c>
      <c r="C335" s="4">
        <f>IFERROR(__xludf.DUMMYFUNCTION("""COMPUTED_VALUE"""),45944.98373422454)</f>
        <v>45944.98373</v>
      </c>
      <c r="D335" s="3" t="str">
        <f>IFERROR(__xludf.DUMMYFUNCTION("""COMPUTED_VALUE"""),"Granulasi")</f>
        <v>Granulasi</v>
      </c>
      <c r="E335" s="3" t="str">
        <f>IFERROR(__xludf.DUMMYFUNCTION("""COMPUTED_VALUE"""),"EJO/2025/08/170")</f>
        <v>EJO/2025/08/170</v>
      </c>
      <c r="F335" s="3" t="str">
        <f>IFERROR(__xludf.DUMMYFUNCTION("""COMPUTED_VALUE"""),"Flexible Hose")</f>
        <v>Flexible Hose</v>
      </c>
      <c r="G335" s="3">
        <f>IFERROR(__xludf.DUMMYFUNCTION("""COMPUTED_VALUE"""),1.0)</f>
        <v>1</v>
      </c>
      <c r="H335" s="3" t="str">
        <f>IFERROR(__xludf.DUMMYFUNCTION("""COMPUTED_VALUE"""),"Pcs")</f>
        <v>Pcs</v>
      </c>
      <c r="I335" s="3" t="str">
        <f>IFERROR(__xludf.DUMMYFUNCTION("""COMPUTED_VALUE"""),"Deliver")</f>
        <v>Deliver</v>
      </c>
      <c r="J335" s="3" t="str">
        <f>IFERROR(__xludf.DUMMYFUNCTION("""COMPUTED_VALUE"""),"121703303 - APPROVED")</f>
        <v>121703303 - APPROVED</v>
      </c>
      <c r="K335" s="3" t="str">
        <f>IFERROR(__xludf.DUMMYFUNCTION("""COMPUTED_VALUE"""),"GL2511033")</f>
        <v>GL2511033</v>
      </c>
    </row>
    <row r="336">
      <c r="A336" s="3" t="str">
        <f>IFERROR(__xludf.DUMMYFUNCTION("""COMPUTED_VALUE"""),"MRNBR0074")</f>
        <v>MRNBR0074</v>
      </c>
      <c r="B336" s="4">
        <f>IFERROR(__xludf.DUMMYFUNCTION("""COMPUTED_VALUE"""),45938.64512349537)</f>
        <v>45938.64512</v>
      </c>
      <c r="C336" s="4">
        <f>IFERROR(__xludf.DUMMYFUNCTION("""COMPUTED_VALUE"""),45944.9819063426)</f>
        <v>45944.98191</v>
      </c>
      <c r="D336" s="3" t="str">
        <f>IFERROR(__xludf.DUMMYFUNCTION("""COMPUTED_VALUE"""),"cooling water ")</f>
        <v>cooling water </v>
      </c>
      <c r="E336" s="3" t="str">
        <f>IFERROR(__xludf.DUMMYFUNCTION("""COMPUTED_VALUE"""),"EJO/2025/08/144")</f>
        <v>EJO/2025/08/144</v>
      </c>
      <c r="F336" s="3" t="str">
        <f>IFERROR(__xludf.DUMMYFUNCTION("""COMPUTED_VALUE"""),"body valve")</f>
        <v>body valve</v>
      </c>
      <c r="G336" s="3">
        <f>IFERROR(__xludf.DUMMYFUNCTION("""COMPUTED_VALUE"""),1.0)</f>
        <v>1</v>
      </c>
      <c r="H336" s="3" t="str">
        <f>IFERROR(__xludf.DUMMYFUNCTION("""COMPUTED_VALUE"""),"pcs")</f>
        <v>pcs</v>
      </c>
      <c r="I336" s="3" t="str">
        <f>IFERROR(__xludf.DUMMYFUNCTION("""COMPUTED_VALUE"""),"Deliver")</f>
        <v>Deliver</v>
      </c>
      <c r="J336" s="3" t="str">
        <f>IFERROR(__xludf.DUMMYFUNCTION("""COMPUTED_VALUE"""),"121703552 - APPROVED")</f>
        <v>121703552 - APPROVED</v>
      </c>
      <c r="K336" s="3" t="str">
        <f>IFERROR(__xludf.DUMMYFUNCTION("""COMPUTED_VALUE"""),"GL2512018")</f>
        <v>GL2512018</v>
      </c>
    </row>
    <row r="337">
      <c r="A337" s="3" t="str">
        <f>IFERROR(__xludf.DUMMYFUNCTION("""COMPUTED_VALUE"""),"MRNBR0075")</f>
        <v>MRNBR0075</v>
      </c>
      <c r="B337" s="4">
        <f>IFERROR(__xludf.DUMMYFUNCTION("""COMPUTED_VALUE"""),45938.64786121527)</f>
        <v>45938.64786</v>
      </c>
      <c r="C337" s="4">
        <f>IFERROR(__xludf.DUMMYFUNCTION("""COMPUTED_VALUE"""),45944.98168372685)</f>
        <v>45944.98168</v>
      </c>
      <c r="D337" s="3" t="str">
        <f>IFERROR(__xludf.DUMMYFUNCTION("""COMPUTED_VALUE"""),"facd")</f>
        <v>facd</v>
      </c>
      <c r="E337" s="3" t="str">
        <f>IFERROR(__xludf.DUMMYFUNCTION("""COMPUTED_VALUE"""),"EJO/2025/08/144")</f>
        <v>EJO/2025/08/144</v>
      </c>
      <c r="F337" s="3" t="str">
        <f>IFERROR(__xludf.DUMMYFUNCTION("""COMPUTED_VALUE"""),"body valve")</f>
        <v>body valve</v>
      </c>
      <c r="G337" s="3">
        <f>IFERROR(__xludf.DUMMYFUNCTION("""COMPUTED_VALUE"""),1.0)</f>
        <v>1</v>
      </c>
      <c r="H337" s="3" t="str">
        <f>IFERROR(__xludf.DUMMYFUNCTION("""COMPUTED_VALUE"""),"pcs")</f>
        <v>pcs</v>
      </c>
      <c r="I337" s="3" t="str">
        <f>IFERROR(__xludf.DUMMYFUNCTION("""COMPUTED_VALUE"""),"Deliver")</f>
        <v>Deliver</v>
      </c>
      <c r="J337" s="3" t="str">
        <f>IFERROR(__xludf.DUMMYFUNCTION("""COMPUTED_VALUE"""),"121703552 - APPROVED")</f>
        <v>121703552 - APPROVED</v>
      </c>
      <c r="K337" s="3" t="str">
        <f>IFERROR(__xludf.DUMMYFUNCTION("""COMPUTED_VALUE"""),"GL2512018")</f>
        <v>GL2512018</v>
      </c>
    </row>
    <row r="338">
      <c r="A338" s="3" t="str">
        <f>IFERROR(__xludf.DUMMYFUNCTION("""COMPUTED_VALUE"""),"RIABR0108")</f>
        <v>RIABR0108</v>
      </c>
      <c r="B338" s="4">
        <f>IFERROR(__xludf.DUMMYFUNCTION("""COMPUTED_VALUE"""),45938.666689837955)</f>
        <v>45938.66669</v>
      </c>
      <c r="C338" s="4">
        <f>IFERROR(__xludf.DUMMYFUNCTION("""COMPUTED_VALUE"""),46202.9199297338)</f>
        <v>46202.91993</v>
      </c>
      <c r="D338" s="3" t="str">
        <f>IFERROR(__xludf.DUMMYFUNCTION("""COMPUTED_VALUE"""),"WWTP")</f>
        <v>WWTP</v>
      </c>
      <c r="E338" s="3" t="str">
        <f>IFERROR(__xludf.DUMMYFUNCTION("""COMPUTED_VALUE"""),"EJO/2025/10/40")</f>
        <v>EJO/2025/10/40</v>
      </c>
      <c r="F338" s="3" t="str">
        <f>IFERROR(__xludf.DUMMYFUNCTION("""COMPUTED_VALUE"""),"Level Switch")</f>
        <v>Level Switch</v>
      </c>
      <c r="G338" s="3">
        <f>IFERROR(__xludf.DUMMYFUNCTION("""COMPUTED_VALUE"""),1.0)</f>
        <v>1</v>
      </c>
      <c r="H338" s="3" t="str">
        <f>IFERROR(__xludf.DUMMYFUNCTION("""COMPUTED_VALUE"""),"Set")</f>
        <v>Set</v>
      </c>
      <c r="I338" s="3" t="str">
        <f>IFERROR(__xludf.DUMMYFUNCTION("""COMPUTED_VALUE"""),"Approval PR")</f>
        <v>Approval PR</v>
      </c>
      <c r="J338" s="3" t="str">
        <f>IFERROR(__xludf.DUMMYFUNCTION("""COMPUTED_VALUE"""),"121704553 - INCOMPLETE")</f>
        <v>121704553 - INCOMPLETE</v>
      </c>
      <c r="K338" s="3" t="str">
        <f>IFERROR(__xludf.DUMMYFUNCTION("""COMPUTED_VALUE"""),"-")</f>
        <v>-</v>
      </c>
    </row>
    <row r="339">
      <c r="A339" s="3" t="str">
        <f>IFERROR(__xludf.DUMMYFUNCTION("""COMPUTED_VALUE"""),"SFHBR0035")</f>
        <v>SFHBR0035</v>
      </c>
      <c r="B339" s="4">
        <f>IFERROR(__xludf.DUMMYFUNCTION("""COMPUTED_VALUE"""),45944.843428541666)</f>
        <v>45944.84343</v>
      </c>
      <c r="C339" s="4">
        <f>IFERROR(__xludf.DUMMYFUNCTION("""COMPUTED_VALUE"""),45937.653298530095)</f>
        <v>45937.6533</v>
      </c>
      <c r="D339" s="3" t="str">
        <f>IFERROR(__xludf.DUMMYFUNCTION("""COMPUTED_VALUE"""),"lantai 2")</f>
        <v>lantai 2</v>
      </c>
      <c r="E339" s="3" t="str">
        <f>IFERROR(__xludf.DUMMYFUNCTION("""COMPUTED_VALUE"""),"-")</f>
        <v>-</v>
      </c>
      <c r="F339" s="3" t="str">
        <f>IFERROR(__xludf.DUMMYFUNCTION("""COMPUTED_VALUE"""),"WD-40 Specialist® Chain Lube 360ml - Pelumas Rantai Syntetic")</f>
        <v>WD-40 Specialist® Chain Lube 360ml - Pelumas Rantai Syntetic</v>
      </c>
      <c r="G339" s="3">
        <f>IFERROR(__xludf.DUMMYFUNCTION("""COMPUTED_VALUE"""),3.0)</f>
        <v>3</v>
      </c>
      <c r="H339" s="3" t="str">
        <f>IFERROR(__xludf.DUMMYFUNCTION("""COMPUTED_VALUE"""),"pcs")</f>
        <v>pcs</v>
      </c>
      <c r="I339" s="3" t="str">
        <f>IFERROR(__xludf.DUMMYFUNCTION("""COMPUTED_VALUE"""),"Deliver")</f>
        <v>Deliver</v>
      </c>
      <c r="J339" s="3" t="str">
        <f>IFERROR(__xludf.DUMMYFUNCTION("""COMPUTED_VALUE"""),"121703830 - APPROVED")</f>
        <v>121703830 - APPROVED</v>
      </c>
      <c r="K339" s="3" t="str">
        <f>IFERROR(__xludf.DUMMYFUNCTION("""COMPUTED_VALUE"""),"GL2603049")</f>
        <v>GL2603049</v>
      </c>
    </row>
    <row r="340">
      <c r="A340" s="3" t="str">
        <f>IFERROR(__xludf.DUMMYFUNCTION("""COMPUTED_VALUE"""),"SFHBR0037")</f>
        <v>SFHBR0037</v>
      </c>
      <c r="B340" s="4">
        <f>IFERROR(__xludf.DUMMYFUNCTION("""COMPUTED_VALUE"""),45944.84759662037)</f>
        <v>45944.8476</v>
      </c>
      <c r="C340" s="4">
        <f>IFERROR(__xludf.DUMMYFUNCTION("""COMPUTED_VALUE"""),45944.98486592592)</f>
        <v>45944.98487</v>
      </c>
      <c r="D340" s="3" t="str">
        <f>IFERROR(__xludf.DUMMYFUNCTION("""COMPUTED_VALUE"""),"lantai 2")</f>
        <v>lantai 2</v>
      </c>
      <c r="E340" s="3" t="str">
        <f>IFERROR(__xludf.DUMMYFUNCTION("""COMPUTED_VALUE"""),"-")</f>
        <v>-</v>
      </c>
      <c r="F340" s="3" t="str">
        <f>IFERROR(__xludf.DUMMYFUNCTION("""COMPUTED_VALUE"""),"PRESTONE BELT DRESSING (250ML) - V belt - Fan Belt")</f>
        <v>PRESTONE BELT DRESSING (250ML) - V belt - Fan Belt</v>
      </c>
      <c r="G340" s="3">
        <f>IFERROR(__xludf.DUMMYFUNCTION("""COMPUTED_VALUE"""),5.0)</f>
        <v>5</v>
      </c>
      <c r="H340" s="3" t="str">
        <f>IFERROR(__xludf.DUMMYFUNCTION("""COMPUTED_VALUE"""),"pcs")</f>
        <v>pcs</v>
      </c>
      <c r="I340" s="3" t="str">
        <f>IFERROR(__xludf.DUMMYFUNCTION("""COMPUTED_VALUE"""),"Deliver")</f>
        <v>Deliver</v>
      </c>
      <c r="J340" s="3" t="str">
        <f>IFERROR(__xludf.DUMMYFUNCTION("""COMPUTED_VALUE"""),"121704047 - APPROVED")</f>
        <v>121704047 - APPROVED</v>
      </c>
      <c r="K340" s="3" t="str">
        <f>IFERROR(__xludf.DUMMYFUNCTION("""COMPUTED_VALUE"""),"GL2604492")</f>
        <v>GL2604492</v>
      </c>
    </row>
    <row r="341">
      <c r="A341" s="3" t="str">
        <f>IFERROR(__xludf.DUMMYFUNCTION("""COMPUTED_VALUE"""),"MRNBR0076")</f>
        <v>MRNBR0076</v>
      </c>
      <c r="B341" s="4">
        <f>IFERROR(__xludf.DUMMYFUNCTION("""COMPUTED_VALUE"""),45945.2732487963)</f>
        <v>45945.27325</v>
      </c>
      <c r="C341" s="4">
        <f>IFERROR(__xludf.DUMMYFUNCTION("""COMPUTED_VALUE"""),45947.89270149305)</f>
        <v>45947.8927</v>
      </c>
      <c r="D341" s="3" t="str">
        <f>IFERROR(__xludf.DUMMYFUNCTION("""COMPUTED_VALUE"""),"EF C1-3")</f>
        <v>EF C1-3</v>
      </c>
      <c r="E341" s="3" t="str">
        <f>IFERROR(__xludf.DUMMYFUNCTION("""COMPUTED_VALUE"""),"EJO/2025/08/191")</f>
        <v>EJO/2025/08/191</v>
      </c>
      <c r="F341" s="3" t="str">
        <f>IFERROR(__xludf.DUMMYFUNCTION("""COMPUTED_VALUE"""),"Motorize valve")</f>
        <v>Motorize valve</v>
      </c>
      <c r="G341" s="3">
        <f>IFERROR(__xludf.DUMMYFUNCTION("""COMPUTED_VALUE"""),1.0)</f>
        <v>1</v>
      </c>
      <c r="H341" s="3" t="str">
        <f>IFERROR(__xludf.DUMMYFUNCTION("""COMPUTED_VALUE"""),"pcs")</f>
        <v>pcs</v>
      </c>
      <c r="I341" s="3" t="str">
        <f>IFERROR(__xludf.DUMMYFUNCTION("""COMPUTED_VALUE"""),"Deliver")</f>
        <v>Deliver</v>
      </c>
      <c r="J341" s="3" t="str">
        <f>IFERROR(__xludf.DUMMYFUNCTION("""COMPUTED_VALUE"""),"121704008 - APPROVED")</f>
        <v>121704008 - APPROVED</v>
      </c>
      <c r="K341" s="3" t="str">
        <f>IFERROR(__xludf.DUMMYFUNCTION("""COMPUTED_VALUE"""),"GL2605332")</f>
        <v>GL2605332</v>
      </c>
    </row>
    <row r="342">
      <c r="A342" s="3" t="str">
        <f>IFERROR(__xludf.DUMMYFUNCTION("""COMPUTED_VALUE"""),"RIABR0109")</f>
        <v>RIABR0109</v>
      </c>
      <c r="B342" s="4">
        <f>IFERROR(__xludf.DUMMYFUNCTION("""COMPUTED_VALUE"""),45945.34417518518)</f>
        <v>45945.34418</v>
      </c>
      <c r="C342" s="4">
        <f>IFERROR(__xludf.DUMMYFUNCTION("""COMPUTED_VALUE"""),45947.90372144675)</f>
        <v>45947.90372</v>
      </c>
      <c r="D342" s="3" t="str">
        <f>IFERROR(__xludf.DUMMYFUNCTION("""COMPUTED_VALUE"""),"WWTP")</f>
        <v>WWTP</v>
      </c>
      <c r="E342" s="3" t="str">
        <f>IFERROR(__xludf.DUMMYFUNCTION("""COMPUTED_VALUE"""),"EJO/2025/10/40")</f>
        <v>EJO/2025/10/40</v>
      </c>
      <c r="F342" s="3" t="str">
        <f>IFERROR(__xludf.DUMMYFUNCTION("""COMPUTED_VALUE"""),"Level Switch")</f>
        <v>Level Switch</v>
      </c>
      <c r="G342" s="3">
        <f>IFERROR(__xludf.DUMMYFUNCTION("""COMPUTED_VALUE"""),1.0)</f>
        <v>1</v>
      </c>
      <c r="H342" s="3" t="str">
        <f>IFERROR(__xludf.DUMMYFUNCTION("""COMPUTED_VALUE"""),"Set")</f>
        <v>Set</v>
      </c>
      <c r="I342" s="3" t="str">
        <f>IFERROR(__xludf.DUMMYFUNCTION("""COMPUTED_VALUE"""),"Deliver")</f>
        <v>Deliver</v>
      </c>
      <c r="J342" s="3" t="str">
        <f>IFERROR(__xludf.DUMMYFUNCTION("""COMPUTED_VALUE"""),"-")</f>
        <v>-</v>
      </c>
      <c r="K342" s="3" t="str">
        <f>IFERROR(__xludf.DUMMYFUNCTION("""COMPUTED_VALUE"""),"-")</f>
        <v>-</v>
      </c>
    </row>
    <row r="343">
      <c r="A343" s="3" t="str">
        <f>IFERROR(__xludf.DUMMYFUNCTION("""COMPUTED_VALUE"""),"RIABR0110")</f>
        <v>RIABR0110</v>
      </c>
      <c r="B343" s="4">
        <f>IFERROR(__xludf.DUMMYFUNCTION("""COMPUTED_VALUE"""),45945.346454374994)</f>
        <v>45945.34645</v>
      </c>
      <c r="C343" s="4">
        <f>IFERROR(__xludf.DUMMYFUNCTION("""COMPUTED_VALUE"""),45947.90399125)</f>
        <v>45947.90399</v>
      </c>
      <c r="D343" s="3" t="str">
        <f>IFERROR(__xludf.DUMMYFUNCTION("""COMPUTED_VALUE"""),"Lift")</f>
        <v>Lift</v>
      </c>
      <c r="E343" s="3" t="str">
        <f>IFERROR(__xludf.DUMMYFUNCTION("""COMPUTED_VALUE"""),"EJO/2025/10/110")</f>
        <v>EJO/2025/10/110</v>
      </c>
      <c r="F343" s="3" t="str">
        <f>IFERROR(__xludf.DUMMYFUNCTION("""COMPUTED_VALUE"""),"Tombol")</f>
        <v>Tombol</v>
      </c>
      <c r="G343" s="3">
        <f>IFERROR(__xludf.DUMMYFUNCTION("""COMPUTED_VALUE"""),1.0)</f>
        <v>1</v>
      </c>
      <c r="H343" s="3" t="str">
        <f>IFERROR(__xludf.DUMMYFUNCTION("""COMPUTED_VALUE"""),"Set")</f>
        <v>Set</v>
      </c>
      <c r="I343" s="3" t="str">
        <f>IFERROR(__xludf.DUMMYFUNCTION("""COMPUTED_VALUE"""),"Deliver")</f>
        <v>Deliver</v>
      </c>
      <c r="J343" s="3" t="str">
        <f>IFERROR(__xludf.DUMMYFUNCTION("""COMPUTED_VALUE"""),"121703640 - APPROVED")</f>
        <v>121703640 - APPROVED</v>
      </c>
      <c r="K343" s="3" t="str">
        <f>IFERROR(__xludf.DUMMYFUNCTION("""COMPUTED_VALUE"""),"GL2602042")</f>
        <v>GL2602042</v>
      </c>
    </row>
    <row r="344">
      <c r="A344" s="3" t="str">
        <f>IFERROR(__xludf.DUMMYFUNCTION("""COMPUTED_VALUE"""),"MRNBR0077")</f>
        <v>MRNBR0077</v>
      </c>
      <c r="B344" s="4">
        <f>IFERROR(__xludf.DUMMYFUNCTION("""COMPUTED_VALUE"""),45946.302757708334)</f>
        <v>45946.30276</v>
      </c>
      <c r="C344" s="4">
        <f>IFERROR(__xludf.DUMMYFUNCTION("""COMPUTED_VALUE"""),45947.9032684375)</f>
        <v>45947.90327</v>
      </c>
      <c r="D344" s="3" t="str">
        <f>IFERROR(__xludf.DUMMYFUNCTION("""COMPUTED_VALUE"""),"Dehum")</f>
        <v>Dehum</v>
      </c>
      <c r="E344" s="3" t="str">
        <f>IFERROR(__xludf.DUMMYFUNCTION("""COMPUTED_VALUE"""),"EJO/2025/10/95")</f>
        <v>EJO/2025/10/95</v>
      </c>
      <c r="F344" s="3" t="str">
        <f>IFERROR(__xludf.DUMMYFUNCTION("""COMPUTED_VALUE"""),"Bag filter")</f>
        <v>Bag filter</v>
      </c>
      <c r="G344" s="3">
        <f>IFERROR(__xludf.DUMMYFUNCTION("""COMPUTED_VALUE"""),2.0)</f>
        <v>2</v>
      </c>
      <c r="H344" s="3" t="str">
        <f>IFERROR(__xludf.DUMMYFUNCTION("""COMPUTED_VALUE"""),"pcs")</f>
        <v>pcs</v>
      </c>
      <c r="I344" s="3" t="str">
        <f>IFERROR(__xludf.DUMMYFUNCTION("""COMPUTED_VALUE"""),"Deliver")</f>
        <v>Deliver</v>
      </c>
      <c r="J344" s="3" t="str">
        <f>IFERROR(__xludf.DUMMYFUNCTION("""COMPUTED_VALUE"""),"121703823 - APPROVED")</f>
        <v>121703823 - APPROVED</v>
      </c>
      <c r="K344" s="3" t="str">
        <f>IFERROR(__xludf.DUMMYFUNCTION("""COMPUTED_VALUE"""),"GL2602408")</f>
        <v>GL2602408</v>
      </c>
    </row>
    <row r="345">
      <c r="A345" s="3" t="str">
        <f>IFERROR(__xludf.DUMMYFUNCTION("""COMPUTED_VALUE"""),"MRNBR0078")</f>
        <v>MRNBR0078</v>
      </c>
      <c r="B345" s="4">
        <f>IFERROR(__xludf.DUMMYFUNCTION("""COMPUTED_VALUE"""),45946.30447243056)</f>
        <v>45946.30447</v>
      </c>
      <c r="C345" s="4">
        <f>IFERROR(__xludf.DUMMYFUNCTION("""COMPUTED_VALUE"""),45947.903467025455)</f>
        <v>45947.90347</v>
      </c>
      <c r="D345" s="3" t="str">
        <f>IFERROR(__xludf.DUMMYFUNCTION("""COMPUTED_VALUE"""),"Dehum")</f>
        <v>Dehum</v>
      </c>
      <c r="E345" s="3" t="str">
        <f>IFERROR(__xludf.DUMMYFUNCTION("""COMPUTED_VALUE"""),"EJO/2025/10/95")</f>
        <v>EJO/2025/10/95</v>
      </c>
      <c r="F345" s="3" t="str">
        <f>IFERROR(__xludf.DUMMYFUNCTION("""COMPUTED_VALUE"""),"Bag filter")</f>
        <v>Bag filter</v>
      </c>
      <c r="G345" s="3">
        <f>IFERROR(__xludf.DUMMYFUNCTION("""COMPUTED_VALUE"""),2.0)</f>
        <v>2</v>
      </c>
      <c r="H345" s="3" t="str">
        <f>IFERROR(__xludf.DUMMYFUNCTION("""COMPUTED_VALUE"""),"pcs")</f>
        <v>pcs</v>
      </c>
      <c r="I345" s="3" t="str">
        <f>IFERROR(__xludf.DUMMYFUNCTION("""COMPUTED_VALUE"""),"Deliver")</f>
        <v>Deliver</v>
      </c>
      <c r="J345" s="3" t="str">
        <f>IFERROR(__xludf.DUMMYFUNCTION("""COMPUTED_VALUE"""),"121703823 - APPROVED")</f>
        <v>121703823 - APPROVED</v>
      </c>
      <c r="K345" s="3" t="str">
        <f>IFERROR(__xludf.DUMMYFUNCTION("""COMPUTED_VALUE"""),"GL2602408")</f>
        <v>GL2602408</v>
      </c>
    </row>
    <row r="346">
      <c r="A346" s="3" t="str">
        <f>IFERROR(__xludf.DUMMYFUNCTION("""COMPUTED_VALUE"""),"ANOBR0038")</f>
        <v>ANOBR0038</v>
      </c>
      <c r="B346" s="4">
        <f>IFERROR(__xludf.DUMMYFUNCTION("""COMPUTED_VALUE"""),45946.367363344914)</f>
        <v>45946.36736</v>
      </c>
      <c r="C346" s="4">
        <f>IFERROR(__xludf.DUMMYFUNCTION("""COMPUTED_VALUE"""),45951.45635818288)</f>
        <v>45951.45636</v>
      </c>
      <c r="D346" s="3" t="str">
        <f>IFERROR(__xludf.DUMMYFUNCTION("""COMPUTED_VALUE"""),"mixing tank")</f>
        <v>mixing tank</v>
      </c>
      <c r="E346" s="3" t="str">
        <f>IFERROR(__xludf.DUMMYFUNCTION("""COMPUTED_VALUE"""),"-")</f>
        <v>-</v>
      </c>
      <c r="F346" s="3" t="str">
        <f>IFERROR(__xludf.DUMMYFUNCTION("""COMPUTED_VALUE"""),"vesel light MV60")</f>
        <v>vesel light MV60</v>
      </c>
      <c r="G346" s="3">
        <f>IFERROR(__xludf.DUMMYFUNCTION("""COMPUTED_VALUE"""),5.0)</f>
        <v>5</v>
      </c>
      <c r="H346" s="3" t="str">
        <f>IFERROR(__xludf.DUMMYFUNCTION("""COMPUTED_VALUE"""),"pcs")</f>
        <v>pcs</v>
      </c>
      <c r="I346" s="3" t="str">
        <f>IFERROR(__xludf.DUMMYFUNCTION("""COMPUTED_VALUE"""),"Deliver")</f>
        <v>Deliver</v>
      </c>
      <c r="J346" s="3" t="str">
        <f>IFERROR(__xludf.DUMMYFUNCTION("""COMPUTED_VALUE"""),"121704047 - APPROVED")</f>
        <v>121704047 - APPROVED</v>
      </c>
      <c r="K346" s="3" t="str">
        <f>IFERROR(__xludf.DUMMYFUNCTION("""COMPUTED_VALUE"""),"GL2604492")</f>
        <v>GL2604492</v>
      </c>
    </row>
    <row r="347">
      <c r="A347" s="3" t="str">
        <f>IFERROR(__xludf.DUMMYFUNCTION("""COMPUTED_VALUE"""),"INNBR0043")</f>
        <v>INNBR0043</v>
      </c>
      <c r="B347" s="4">
        <f>IFERROR(__xludf.DUMMYFUNCTION("""COMPUTED_VALUE"""),45946.95129831019)</f>
        <v>45946.9513</v>
      </c>
      <c r="C347" s="4">
        <f>IFERROR(__xludf.DUMMYFUNCTION("""COMPUTED_VALUE"""),45951.453269826394)</f>
        <v>45951.45327</v>
      </c>
      <c r="D347" s="3" t="str">
        <f>IFERROR(__xludf.DUMMYFUNCTION("""COMPUTED_VALUE"""),"Filling ")</f>
        <v>Filling </v>
      </c>
      <c r="E347" s="3" t="str">
        <f>IFERROR(__xludf.DUMMYFUNCTION("""COMPUTED_VALUE"""),"EJO/2025/10/69")</f>
        <v>EJO/2025/10/69</v>
      </c>
      <c r="F347" s="3" t="str">
        <f>IFERROR(__xludf.DUMMYFUNCTION("""COMPUTED_VALUE"""),"Female connector, M8, 4-pin, straight, A-coded DOS-0804-G p/n:  6009974 SICK")</f>
        <v>Female connector, M8, 4-pin, straight, A-coded DOS-0804-G p/n:  6009974 SICK</v>
      </c>
      <c r="G347" s="3">
        <f>IFERROR(__xludf.DUMMYFUNCTION("""COMPUTED_VALUE"""),2.0)</f>
        <v>2</v>
      </c>
      <c r="H347" s="3" t="str">
        <f>IFERROR(__xludf.DUMMYFUNCTION("""COMPUTED_VALUE"""),"Pcs")</f>
        <v>Pcs</v>
      </c>
      <c r="I347" s="3" t="str">
        <f>IFERROR(__xludf.DUMMYFUNCTION("""COMPUTED_VALUE"""),"Deliver")</f>
        <v>Deliver</v>
      </c>
      <c r="J347" s="3" t="str">
        <f>IFERROR(__xludf.DUMMYFUNCTION("""COMPUTED_VALUE"""),"-")</f>
        <v>-</v>
      </c>
      <c r="K347" s="3" t="str">
        <f>IFERROR(__xludf.DUMMYFUNCTION("""COMPUTED_VALUE"""),"-")</f>
        <v>-</v>
      </c>
    </row>
    <row r="348">
      <c r="A348" s="3" t="str">
        <f>IFERROR(__xludf.DUMMYFUNCTION("""COMPUTED_VALUE"""),"MRNBR0080")</f>
        <v>MRNBR0080</v>
      </c>
      <c r="B348" s="4">
        <f>IFERROR(__xludf.DUMMYFUNCTION("""COMPUTED_VALUE"""),45947.24364872685)</f>
        <v>45947.24365</v>
      </c>
      <c r="C348" s="4">
        <f>IFERROR(__xludf.DUMMYFUNCTION("""COMPUTED_VALUE"""),45951.44216528935)</f>
        <v>45951.44217</v>
      </c>
      <c r="D348" s="3" t="str">
        <f>IFERROR(__xludf.DUMMYFUNCTION("""COMPUTED_VALUE"""),"AHU")</f>
        <v>AHU</v>
      </c>
      <c r="E348" s="3" t="str">
        <f>IFERROR(__xludf.DUMMYFUNCTION("""COMPUTED_VALUE"""),"EJO/2025/08/165")</f>
        <v>EJO/2025/08/165</v>
      </c>
      <c r="F348" s="3" t="str">
        <f>IFERROR(__xludf.DUMMYFUNCTION("""COMPUTED_VALUE"""),"Cat semprot")</f>
        <v>Cat semprot</v>
      </c>
      <c r="G348" s="3">
        <f>IFERROR(__xludf.DUMMYFUNCTION("""COMPUTED_VALUE"""),10.0)</f>
        <v>10</v>
      </c>
      <c r="H348" s="3" t="str">
        <f>IFERROR(__xludf.DUMMYFUNCTION("""COMPUTED_VALUE"""),"pcs")</f>
        <v>pcs</v>
      </c>
      <c r="I348" s="3" t="str">
        <f>IFERROR(__xludf.DUMMYFUNCTION("""COMPUTED_VALUE"""),"Deliver")</f>
        <v>Deliver</v>
      </c>
      <c r="J348" s="3" t="str">
        <f>IFERROR(__xludf.DUMMYFUNCTION("""COMPUTED_VALUE"""),"121703830 - APPROVED")</f>
        <v>121703830 - APPROVED</v>
      </c>
      <c r="K348" s="3" t="str">
        <f>IFERROR(__xludf.DUMMYFUNCTION("""COMPUTED_VALUE"""),"GL2604040")</f>
        <v>GL2604040</v>
      </c>
    </row>
    <row r="349">
      <c r="A349" s="3" t="str">
        <f>IFERROR(__xludf.DUMMYFUNCTION("""COMPUTED_VALUE"""),"MRNBR0081")</f>
        <v>MRNBR0081</v>
      </c>
      <c r="B349" s="4">
        <f>IFERROR(__xludf.DUMMYFUNCTION("""COMPUTED_VALUE"""),45947.24492538194)</f>
        <v>45947.24493</v>
      </c>
      <c r="C349" s="4">
        <f>IFERROR(__xludf.DUMMYFUNCTION("""COMPUTED_VALUE"""),45951.44234466435)</f>
        <v>45951.44234</v>
      </c>
      <c r="D349" s="3" t="str">
        <f>IFERROR(__xludf.DUMMYFUNCTION("""COMPUTED_VALUE"""),"AHU")</f>
        <v>AHU</v>
      </c>
      <c r="E349" s="3" t="str">
        <f>IFERROR(__xludf.DUMMYFUNCTION("""COMPUTED_VALUE"""),"EJO/2025/08/165")</f>
        <v>EJO/2025/08/165</v>
      </c>
      <c r="F349" s="3" t="str">
        <f>IFERROR(__xludf.DUMMYFUNCTION("""COMPUTED_VALUE"""),"Cat semprot")</f>
        <v>Cat semprot</v>
      </c>
      <c r="G349" s="3">
        <f>IFERROR(__xludf.DUMMYFUNCTION("""COMPUTED_VALUE"""),10.0)</f>
        <v>10</v>
      </c>
      <c r="H349" s="3" t="str">
        <f>IFERROR(__xludf.DUMMYFUNCTION("""COMPUTED_VALUE"""),"pcs")</f>
        <v>pcs</v>
      </c>
      <c r="I349" s="3" t="str">
        <f>IFERROR(__xludf.DUMMYFUNCTION("""COMPUTED_VALUE"""),"Deliver")</f>
        <v>Deliver</v>
      </c>
      <c r="J349" s="3" t="str">
        <f>IFERROR(__xludf.DUMMYFUNCTION("""COMPUTED_VALUE"""),"121703995 - APPROVED")</f>
        <v>121703995 - APPROVED</v>
      </c>
      <c r="K349" s="3" t="str">
        <f>IFERROR(__xludf.DUMMYFUNCTION("""COMPUTED_VALUE"""),"GL2604040")</f>
        <v>GL2604040</v>
      </c>
    </row>
    <row r="350">
      <c r="A350" s="3" t="str">
        <f>IFERROR(__xludf.DUMMYFUNCTION("""COMPUTED_VALUE"""),"MRNBR0082")</f>
        <v>MRNBR0082</v>
      </c>
      <c r="B350" s="4">
        <f>IFERROR(__xludf.DUMMYFUNCTION("""COMPUTED_VALUE"""),45947.25592511574)</f>
        <v>45947.25593</v>
      </c>
      <c r="C350" s="4">
        <f>IFERROR(__xludf.DUMMYFUNCTION("""COMPUTED_VALUE"""),45951.44265549769)</f>
        <v>45951.44266</v>
      </c>
      <c r="D350" s="3" t="str">
        <f>IFERROR(__xludf.DUMMYFUNCTION("""COMPUTED_VALUE"""),"AHU")</f>
        <v>AHU</v>
      </c>
      <c r="E350" s="3" t="str">
        <f>IFERROR(__xludf.DUMMYFUNCTION("""COMPUTED_VALUE"""),"EJO/2025/08/165")</f>
        <v>EJO/2025/08/165</v>
      </c>
      <c r="F350" s="3" t="str">
        <f>IFERROR(__xludf.DUMMYFUNCTION("""COMPUTED_VALUE"""),"sikat kawat")</f>
        <v>sikat kawat</v>
      </c>
      <c r="G350" s="3">
        <f>IFERROR(__xludf.DUMMYFUNCTION("""COMPUTED_VALUE"""),1.0)</f>
        <v>1</v>
      </c>
      <c r="H350" s="3" t="str">
        <f>IFERROR(__xludf.DUMMYFUNCTION("""COMPUTED_VALUE"""),"pack")</f>
        <v>pack</v>
      </c>
      <c r="I350" s="3" t="str">
        <f>IFERROR(__xludf.DUMMYFUNCTION("""COMPUTED_VALUE"""),"Deliver")</f>
        <v>Deliver</v>
      </c>
      <c r="J350" s="3" t="str">
        <f>IFERROR(__xludf.DUMMYFUNCTION("""COMPUTED_VALUE"""),"121704162 - APPROVED")</f>
        <v>121704162 - APPROVED</v>
      </c>
      <c r="K350" s="3" t="str">
        <f>IFERROR(__xludf.DUMMYFUNCTION("""COMPUTED_VALUE"""),"GL2605332")</f>
        <v>GL2605332</v>
      </c>
    </row>
    <row r="351">
      <c r="A351" s="3" t="str">
        <f>IFERROR(__xludf.DUMMYFUNCTION("""COMPUTED_VALUE"""),"MRNBR0083")</f>
        <v>MRNBR0083</v>
      </c>
      <c r="B351" s="4">
        <f>IFERROR(__xludf.DUMMYFUNCTION("""COMPUTED_VALUE"""),45947.25845518518)</f>
        <v>45947.25846</v>
      </c>
      <c r="C351" s="4">
        <f>IFERROR(__xludf.DUMMYFUNCTION("""COMPUTED_VALUE"""),45951.57243273148)</f>
        <v>45951.57243</v>
      </c>
      <c r="D351" s="3" t="str">
        <f>IFERROR(__xludf.DUMMYFUNCTION("""COMPUTED_VALUE"""),"AHU")</f>
        <v>AHU</v>
      </c>
      <c r="E351" s="3" t="str">
        <f>IFERROR(__xludf.DUMMYFUNCTION("""COMPUTED_VALUE"""),"EJO/2025/08/165")</f>
        <v>EJO/2025/08/165</v>
      </c>
      <c r="F351" s="3" t="str">
        <f>IFERROR(__xludf.DUMMYFUNCTION("""COMPUTED_VALUE"""),"Heat gun")</f>
        <v>Heat gun</v>
      </c>
      <c r="G351" s="3">
        <f>IFERROR(__xludf.DUMMYFUNCTION("""COMPUTED_VALUE"""),1.0)</f>
        <v>1</v>
      </c>
      <c r="H351" s="3" t="str">
        <f>IFERROR(__xludf.DUMMYFUNCTION("""COMPUTED_VALUE"""),"pcs")</f>
        <v>pcs</v>
      </c>
      <c r="I351" s="3" t="str">
        <f>IFERROR(__xludf.DUMMYFUNCTION("""COMPUTED_VALUE"""),"Approval PR")</f>
        <v>Approval PR</v>
      </c>
      <c r="J351" s="3" t="str">
        <f>IFERROR(__xludf.DUMMYFUNCTION("""COMPUTED_VALUE"""),"121704048 - INCOMPLETE")</f>
        <v>121704048 - INCOMPLETE</v>
      </c>
      <c r="K351" s="3" t="str">
        <f>IFERROR(__xludf.DUMMYFUNCTION("""COMPUTED_VALUE"""),"-")</f>
        <v>-</v>
      </c>
    </row>
    <row r="352">
      <c r="A352" s="3" t="str">
        <f>IFERROR(__xludf.DUMMYFUNCTION("""COMPUTED_VALUE"""),"INNBR0044")</f>
        <v>INNBR0044</v>
      </c>
      <c r="B352" s="4">
        <f>IFERROR(__xludf.DUMMYFUNCTION("""COMPUTED_VALUE"""),45947.992890486115)</f>
        <v>45947.99289</v>
      </c>
      <c r="C352" s="4">
        <f>IFERROR(__xludf.DUMMYFUNCTION("""COMPUTED_VALUE"""),45951.453942685184)</f>
        <v>45951.45394</v>
      </c>
      <c r="D352" s="3" t="str">
        <f>IFERROR(__xludf.DUMMYFUNCTION("""COMPUTED_VALUE"""),"VideoJet")</f>
        <v>VideoJet</v>
      </c>
      <c r="E352" s="3" t="str">
        <f>IFERROR(__xludf.DUMMYFUNCTION("""COMPUTED_VALUE"""),"Na")</f>
        <v>Na</v>
      </c>
      <c r="F352" s="3" t="str">
        <f>IFERROR(__xludf.DUMMYFUNCTION("""COMPUTED_VALUE"""),"Gutter Pump P/N: 399-171")</f>
        <v>Gutter Pump P/N: 399-171</v>
      </c>
      <c r="G352" s="3">
        <f>IFERROR(__xludf.DUMMYFUNCTION("""COMPUTED_VALUE"""),1.0)</f>
        <v>1</v>
      </c>
      <c r="H352" s="3" t="str">
        <f>IFERROR(__xludf.DUMMYFUNCTION("""COMPUTED_VALUE"""),"Unit")</f>
        <v>Unit</v>
      </c>
      <c r="I352" s="3" t="str">
        <f>IFERROR(__xludf.DUMMYFUNCTION("""COMPUTED_VALUE"""),"Deliver")</f>
        <v>Deliver</v>
      </c>
      <c r="J352" s="3" t="str">
        <f>IFERROR(__xludf.DUMMYFUNCTION("""COMPUTED_VALUE"""),"-")</f>
        <v>-</v>
      </c>
      <c r="K352" s="3" t="str">
        <f>IFERROR(__xludf.DUMMYFUNCTION("""COMPUTED_VALUE"""),"-")</f>
        <v>-</v>
      </c>
    </row>
    <row r="353">
      <c r="A353" s="3" t="str">
        <f>IFERROR(__xludf.DUMMYFUNCTION("""COMPUTED_VALUE"""),"ANOBR0039")</f>
        <v>ANOBR0039</v>
      </c>
      <c r="B353" s="4">
        <f>IFERROR(__xludf.DUMMYFUNCTION("""COMPUTED_VALUE"""),45950.68093871528)</f>
        <v>45950.68094</v>
      </c>
      <c r="C353" s="4">
        <f>IFERROR(__xludf.DUMMYFUNCTION("""COMPUTED_VALUE"""),45951.45684857639)</f>
        <v>45951.45685</v>
      </c>
      <c r="D353" s="3" t="str">
        <f>IFERROR(__xludf.DUMMYFUNCTION("""COMPUTED_VALUE"""),"Dispensing isolator OSD")</f>
        <v>Dispensing isolator OSD</v>
      </c>
      <c r="E353" s="3" t="str">
        <f>IFERROR(__xludf.DUMMYFUNCTION("""COMPUTED_VALUE"""),"EJO/2025/10/61")</f>
        <v>EJO/2025/10/61</v>
      </c>
      <c r="F353" s="3" t="str">
        <f>IFERROR(__xludf.DUMMYFUNCTION("""COMPUTED_VALUE"""),"Cover sensor RH")</f>
        <v>Cover sensor RH</v>
      </c>
      <c r="G353" s="3">
        <f>IFERROR(__xludf.DUMMYFUNCTION("""COMPUTED_VALUE"""),1.0)</f>
        <v>1</v>
      </c>
      <c r="H353" s="3" t="str">
        <f>IFERROR(__xludf.DUMMYFUNCTION("""COMPUTED_VALUE"""),"PCS")</f>
        <v>PCS</v>
      </c>
      <c r="I353" s="3" t="str">
        <f>IFERROR(__xludf.DUMMYFUNCTION("""COMPUTED_VALUE"""),"Deliver")</f>
        <v>Deliver</v>
      </c>
      <c r="J353" s="3" t="str">
        <f>IFERROR(__xludf.DUMMYFUNCTION("""COMPUTED_VALUE"""),"121703466 - APPROVED")</f>
        <v>121703466 - APPROVED</v>
      </c>
      <c r="K353" s="3" t="str">
        <f>IFERROR(__xludf.DUMMYFUNCTION("""COMPUTED_VALUE"""),"GL2511054")</f>
        <v>GL2511054</v>
      </c>
    </row>
    <row r="354">
      <c r="A354" s="3" t="str">
        <f>IFERROR(__xludf.DUMMYFUNCTION("""COMPUTED_VALUE"""),"ROSBR0043")</f>
        <v>ROSBR0043</v>
      </c>
      <c r="B354" s="4">
        <f>IFERROR(__xludf.DUMMYFUNCTION("""COMPUTED_VALUE"""),45952.64881773148)</f>
        <v>45952.64882</v>
      </c>
      <c r="C354" s="4">
        <f>IFERROR(__xludf.DUMMYFUNCTION("""COMPUTED_VALUE"""),45976.21925439815)</f>
        <v>45976.21925</v>
      </c>
      <c r="D354" s="3" t="str">
        <f>IFERROR(__xludf.DUMMYFUNCTION("""COMPUTED_VALUE"""),"cover kabel timbangan isolator sampling ")</f>
        <v>cover kabel timbangan isolator sampling </v>
      </c>
      <c r="E354" s="3" t="str">
        <f>IFERROR(__xludf.DUMMYFUNCTION("""COMPUTED_VALUE"""),"EJO/2025/10/37")</f>
        <v>EJO/2025/10/37</v>
      </c>
      <c r="F354" s="3" t="str">
        <f>IFERROR(__xludf.DUMMYFUNCTION("""COMPUTED_VALUE"""),"Cover kabel timbangan ")</f>
        <v>Cover kabel timbangan </v>
      </c>
      <c r="G354" s="3">
        <f>IFERROR(__xludf.DUMMYFUNCTION("""COMPUTED_VALUE"""),1.0)</f>
        <v>1</v>
      </c>
      <c r="H354" s="3" t="str">
        <f>IFERROR(__xludf.DUMMYFUNCTION("""COMPUTED_VALUE"""),"set")</f>
        <v>set</v>
      </c>
      <c r="I354" s="3" t="str">
        <f>IFERROR(__xludf.DUMMYFUNCTION("""COMPUTED_VALUE"""),"Deliver")</f>
        <v>Deliver</v>
      </c>
      <c r="J354" s="3" t="str">
        <f>IFERROR(__xludf.DUMMYFUNCTION("""COMPUTED_VALUE"""),"121703635 - APPROVED")</f>
        <v>121703635 - APPROVED</v>
      </c>
      <c r="K354" s="3" t="str">
        <f>IFERROR(__xludf.DUMMYFUNCTION("""COMPUTED_VALUE"""),"GL2602365")</f>
        <v>GL2602365</v>
      </c>
    </row>
    <row r="355">
      <c r="A355" s="3" t="str">
        <f>IFERROR(__xludf.DUMMYFUNCTION("""COMPUTED_VALUE"""),"ANOBR0040")</f>
        <v>ANOBR0040</v>
      </c>
      <c r="B355" s="4">
        <f>IFERROR(__xludf.DUMMYFUNCTION("""COMPUTED_VALUE"""),45953.6555884838)</f>
        <v>45953.65559</v>
      </c>
      <c r="C355" s="4">
        <f>IFERROR(__xludf.DUMMYFUNCTION("""COMPUTED_VALUE"""),45976.21846325231)</f>
        <v>45976.21846</v>
      </c>
      <c r="D355" s="3" t="str">
        <f>IFERROR(__xludf.DUMMYFUNCTION("""COMPUTED_VALUE"""),"Dispensing isolator Steril")</f>
        <v>Dispensing isolator Steril</v>
      </c>
      <c r="E355" s="3" t="str">
        <f>IFERROR(__xludf.DUMMYFUNCTION("""COMPUTED_VALUE"""),"EJO/2025/10/41")</f>
        <v>EJO/2025/10/41</v>
      </c>
      <c r="F355" s="3" t="str">
        <f>IFERROR(__xludf.DUMMYFUNCTION("""COMPUTED_VALUE"""),"baut pengunci pintu ")</f>
        <v>baut pengunci pintu </v>
      </c>
      <c r="G355" s="3">
        <f>IFERROR(__xludf.DUMMYFUNCTION("""COMPUTED_VALUE"""),1.0)</f>
        <v>1</v>
      </c>
      <c r="H355" s="3" t="str">
        <f>IFERROR(__xludf.DUMMYFUNCTION("""COMPUTED_VALUE"""),"box")</f>
        <v>box</v>
      </c>
      <c r="I355" s="3" t="str">
        <f>IFERROR(__xludf.DUMMYFUNCTION("""COMPUTED_VALUE"""),"Deliver")</f>
        <v>Deliver</v>
      </c>
      <c r="J355" s="3" t="str">
        <f>IFERROR(__xludf.DUMMYFUNCTION("""COMPUTED_VALUE"""),"121703993 - APPROVED")</f>
        <v>121703993 - APPROVED</v>
      </c>
      <c r="K355" s="3" t="str">
        <f>IFERROR(__xludf.DUMMYFUNCTION("""COMPUTED_VALUE"""),"GL2604482")</f>
        <v>GL2604482</v>
      </c>
    </row>
    <row r="356">
      <c r="A356" s="3" t="str">
        <f>IFERROR(__xludf.DUMMYFUNCTION("""COMPUTED_VALUE"""),"MOBBR0047")</f>
        <v>MOBBR0047</v>
      </c>
      <c r="B356" s="4">
        <f>IFERROR(__xludf.DUMMYFUNCTION("""COMPUTED_VALUE"""),45957.510968587965)</f>
        <v>45957.51097</v>
      </c>
      <c r="C356" s="4">
        <f>IFERROR(__xludf.DUMMYFUNCTION("""COMPUTED_VALUE"""),45958.49157315972)</f>
        <v>45958.49157</v>
      </c>
      <c r="D356" s="3" t="str">
        <f>IFERROR(__xludf.DUMMYFUNCTION("""COMPUTED_VALUE"""),"PW SKID dan WFI SKID")</f>
        <v>PW SKID dan WFI SKID</v>
      </c>
      <c r="E356" s="3" t="str">
        <f>IFERROR(__xludf.DUMMYFUNCTION("""COMPUTED_VALUE"""),"Spare")</f>
        <v>Spare</v>
      </c>
      <c r="F356" s="3" t="str">
        <f>IFERROR(__xludf.DUMMYFUNCTION("""COMPUTED_VALUE"""),"Inverter Circulation Pump")</f>
        <v>Inverter Circulation Pump</v>
      </c>
      <c r="G356" s="3">
        <f>IFERROR(__xludf.DUMMYFUNCTION("""COMPUTED_VALUE"""),1.0)</f>
        <v>1</v>
      </c>
      <c r="H356" s="3" t="str">
        <f>IFERROR(__xludf.DUMMYFUNCTION("""COMPUTED_VALUE"""),"Pcs")</f>
        <v>Pcs</v>
      </c>
      <c r="I356" s="3" t="str">
        <f>IFERROR(__xludf.DUMMYFUNCTION("""COMPUTED_VALUE"""),"Deliver")</f>
        <v>Deliver</v>
      </c>
      <c r="J356" s="3" t="str">
        <f>IFERROR(__xludf.DUMMYFUNCTION("""COMPUTED_VALUE"""),"-")</f>
        <v>-</v>
      </c>
      <c r="K356" s="3" t="str">
        <f>IFERROR(__xludf.DUMMYFUNCTION("""COMPUTED_VALUE"""),"-")</f>
        <v>-</v>
      </c>
    </row>
    <row r="357">
      <c r="A357" s="3" t="str">
        <f>IFERROR(__xludf.DUMMYFUNCTION("""COMPUTED_VALUE"""),"ROSBR0044")</f>
        <v>ROSBR0044</v>
      </c>
      <c r="B357" s="4">
        <f>IFERROR(__xludf.DUMMYFUNCTION("""COMPUTED_VALUE"""),45958.661331296295)</f>
        <v>45958.66133</v>
      </c>
      <c r="C357" s="4">
        <f>IFERROR(__xludf.DUMMYFUNCTION("""COMPUTED_VALUE"""),45976.21966811343)</f>
        <v>45976.21967</v>
      </c>
      <c r="D357" s="3" t="str">
        <f>IFERROR(__xludf.DUMMYFUNCTION("""COMPUTED_VALUE"""),"Autoclave Service ")</f>
        <v>Autoclave Service </v>
      </c>
      <c r="E357" s="3" t="str">
        <f>IFERROR(__xludf.DUMMYFUNCTION("""COMPUTED_VALUE"""),"NA ")</f>
        <v>NA </v>
      </c>
      <c r="F357" s="3" t="str">
        <f>IFERROR(__xludf.DUMMYFUNCTION("""COMPUTED_VALUE"""),"Oil Seal valve modulating ")</f>
        <v>Oil Seal valve modulating </v>
      </c>
      <c r="G357" s="3">
        <f>IFERROR(__xludf.DUMMYFUNCTION("""COMPUTED_VALUE"""),5.0)</f>
        <v>5</v>
      </c>
      <c r="H357" s="3" t="str">
        <f>IFERROR(__xludf.DUMMYFUNCTION("""COMPUTED_VALUE"""),"pcs")</f>
        <v>pcs</v>
      </c>
      <c r="I357" s="3" t="str">
        <f>IFERROR(__xludf.DUMMYFUNCTION("""COMPUTED_VALUE"""),"Deliver")</f>
        <v>Deliver</v>
      </c>
      <c r="J357" s="3" t="str">
        <f>IFERROR(__xludf.DUMMYFUNCTION("""COMPUTED_VALUE"""),"121703702 - APPROVED")</f>
        <v>121703702 - APPROVED</v>
      </c>
      <c r="K357" s="3" t="str">
        <f>IFERROR(__xludf.DUMMYFUNCTION("""COMPUTED_VALUE"""),"GL2602412")</f>
        <v>GL2602412</v>
      </c>
    </row>
    <row r="358">
      <c r="A358" s="3" t="str">
        <f>IFERROR(__xludf.DUMMYFUNCTION("""COMPUTED_VALUE"""),"INNBR0046")</f>
        <v>INNBR0046</v>
      </c>
      <c r="B358" s="4">
        <f>IFERROR(__xludf.DUMMYFUNCTION("""COMPUTED_VALUE"""),45958.6625225)</f>
        <v>45958.66252</v>
      </c>
      <c r="C358" s="4">
        <f>IFERROR(__xludf.DUMMYFUNCTION("""COMPUTED_VALUE"""),45976.21706649305)</f>
        <v>45976.21707</v>
      </c>
      <c r="D358" s="3" t="str">
        <f>IFERROR(__xludf.DUMMYFUNCTION("""COMPUTED_VALUE"""),"HPLC 4")</f>
        <v>HPLC 4</v>
      </c>
      <c r="E358" s="3" t="str">
        <f>IFERROR(__xludf.DUMMYFUNCTION("""COMPUTED_VALUE"""),"EJO/2025/10/104")</f>
        <v>EJO/2025/10/104</v>
      </c>
      <c r="F358" s="3" t="str">
        <f>IFERROR(__xludf.DUMMYFUNCTION("""COMPUTED_VALUE"""),"Engine, Heater/Cooler P/N : 700002139")</f>
        <v>Engine, Heater/Cooler P/N : 700002139</v>
      </c>
      <c r="G358" s="3">
        <f>IFERROR(__xludf.DUMMYFUNCTION("""COMPUTED_VALUE"""),2.0)</f>
        <v>2</v>
      </c>
      <c r="H358" s="3" t="str">
        <f>IFERROR(__xludf.DUMMYFUNCTION("""COMPUTED_VALUE"""),"Unit")</f>
        <v>Unit</v>
      </c>
      <c r="I358" s="3" t="str">
        <f>IFERROR(__xludf.DUMMYFUNCTION("""COMPUTED_VALUE"""),"Deliver")</f>
        <v>Deliver</v>
      </c>
      <c r="J358" s="3" t="str">
        <f>IFERROR(__xludf.DUMMYFUNCTION("""COMPUTED_VALUE"""),"121704003 - APPROVED")</f>
        <v>121704003 - APPROVED</v>
      </c>
      <c r="K358" s="3" t="str">
        <f>IFERROR(__xludf.DUMMYFUNCTION("""COMPUTED_VALUE"""),"GL2603470")</f>
        <v>GL2603470</v>
      </c>
    </row>
    <row r="359">
      <c r="A359" s="3" t="str">
        <f>IFERROR(__xludf.DUMMYFUNCTION("""COMPUTED_VALUE"""),"SFHBR0038")</f>
        <v>SFHBR0038</v>
      </c>
      <c r="B359" s="4">
        <f>IFERROR(__xludf.DUMMYFUNCTION("""COMPUTED_VALUE"""),45962.43386340277)</f>
        <v>45962.43386</v>
      </c>
      <c r="C359" s="4">
        <f>IFERROR(__xludf.DUMMYFUNCTION("""COMPUTED_VALUE"""),45964.842853368056)</f>
        <v>45964.84285</v>
      </c>
      <c r="D359" s="3" t="str">
        <f>IFERROR(__xludf.DUMMYFUNCTION("""COMPUTED_VALUE"""),"lantai 2")</f>
        <v>lantai 2</v>
      </c>
      <c r="E359" s="3" t="str">
        <f>IFERROR(__xludf.DUMMYFUNCTION("""COMPUTED_VALUE"""),"EJO/2025/08/02")</f>
        <v>EJO/2025/08/02</v>
      </c>
      <c r="F359" s="3" t="str">
        <f>IFERROR(__xludf.DUMMYFUNCTION("""COMPUTED_VALUE"""),"Sika SikaTop Seal 107 - 2 Komponen (20kg Semen + 5kg Cairan) - Kantor")</f>
        <v>Sika SikaTop Seal 107 - 2 Komponen (20kg Semen + 5kg Cairan) - Kantor</v>
      </c>
      <c r="G359" s="3">
        <f>IFERROR(__xludf.DUMMYFUNCTION("""COMPUTED_VALUE"""),20.0)</f>
        <v>20</v>
      </c>
      <c r="H359" s="3" t="str">
        <f>IFERROR(__xludf.DUMMYFUNCTION("""COMPUTED_VALUE"""),"kg")</f>
        <v>kg</v>
      </c>
      <c r="I359" s="3" t="str">
        <f>IFERROR(__xludf.DUMMYFUNCTION("""COMPUTED_VALUE"""),"Deliver")</f>
        <v>Deliver</v>
      </c>
      <c r="J359" s="3" t="str">
        <f>IFERROR(__xludf.DUMMYFUNCTION("""COMPUTED_VALUE"""),"121703995 - APPROVED")</f>
        <v>121703995 - APPROVED</v>
      </c>
      <c r="K359" s="3" t="str">
        <f>IFERROR(__xludf.DUMMYFUNCTION("""COMPUTED_VALUE"""),"GL2604011")</f>
        <v>GL2604011</v>
      </c>
    </row>
    <row r="360">
      <c r="A360" s="3" t="str">
        <f>IFERROR(__xludf.DUMMYFUNCTION("""COMPUTED_VALUE"""),"SFHBR0039")</f>
        <v>SFHBR0039</v>
      </c>
      <c r="B360" s="4">
        <f>IFERROR(__xludf.DUMMYFUNCTION("""COMPUTED_VALUE"""),45962.44112657407)</f>
        <v>45962.44113</v>
      </c>
      <c r="C360" s="4">
        <f>IFERROR(__xludf.DUMMYFUNCTION("""COMPUTED_VALUE"""),45964.84255743055)</f>
        <v>45964.84256</v>
      </c>
      <c r="D360" s="3" t="str">
        <f>IFERROR(__xludf.DUMMYFUNCTION("""COMPUTED_VALUE"""),"lantai 2")</f>
        <v>lantai 2</v>
      </c>
      <c r="E360" s="3" t="str">
        <f>IFERROR(__xludf.DUMMYFUNCTION("""COMPUTED_VALUE"""),"EJO/2025/08/02")</f>
        <v>EJO/2025/08/02</v>
      </c>
      <c r="F360" s="3" t="str">
        <f>IFERROR(__xludf.DUMMYFUNCTION("""COMPUTED_VALUE"""),"Aqualuxe Lem Anti Bocor 1kg Transparan Waterproof Nano Serbaguna untuk Tembok Atap &amp; Lantai Super Kuat Teknologi Nano Particle Invisible Tahan Air")</f>
        <v>Aqualuxe Lem Anti Bocor 1kg Transparan Waterproof Nano Serbaguna untuk Tembok Atap &amp; Lantai Super Kuat Teknologi Nano Particle Invisible Tahan Air</v>
      </c>
      <c r="G360" s="3">
        <f>IFERROR(__xludf.DUMMYFUNCTION("""COMPUTED_VALUE"""),5.0)</f>
        <v>5</v>
      </c>
      <c r="H360" s="3" t="str">
        <f>IFERROR(__xludf.DUMMYFUNCTION("""COMPUTED_VALUE"""),"kg")</f>
        <v>kg</v>
      </c>
      <c r="I360" s="3" t="str">
        <f>IFERROR(__xludf.DUMMYFUNCTION("""COMPUTED_VALUE"""),"Deliver")</f>
        <v>Deliver</v>
      </c>
      <c r="J360" s="3" t="str">
        <f>IFERROR(__xludf.DUMMYFUNCTION("""COMPUTED_VALUE"""),"121703995 - APPROVED")</f>
        <v>121703995 - APPROVED</v>
      </c>
      <c r="K360" s="3" t="str">
        <f>IFERROR(__xludf.DUMMYFUNCTION("""COMPUTED_VALUE"""),"GL2604040")</f>
        <v>GL2604040</v>
      </c>
    </row>
    <row r="361">
      <c r="A361" s="3" t="str">
        <f>IFERROR(__xludf.DUMMYFUNCTION("""COMPUTED_VALUE"""),"ROSBR0045")</f>
        <v>ROSBR0045</v>
      </c>
      <c r="B361" s="4">
        <f>IFERROR(__xludf.DUMMYFUNCTION("""COMPUTED_VALUE"""),45965.43246111111)</f>
        <v>45965.43246</v>
      </c>
      <c r="C361" s="4">
        <f>IFERROR(__xludf.DUMMYFUNCTION("""COMPUTED_VALUE"""),45976.22034482639)</f>
        <v>45976.22034</v>
      </c>
      <c r="D361" s="3" t="str">
        <f>IFERROR(__xludf.DUMMYFUNCTION("""COMPUTED_VALUE"""),"plab coating ")</f>
        <v>plab coating </v>
      </c>
      <c r="E361" s="3" t="str">
        <f>IFERROR(__xludf.DUMMYFUNCTION("""COMPUTED_VALUE"""),"NA")</f>
        <v>NA</v>
      </c>
      <c r="F361" s="3" t="str">
        <f>IFERROR(__xludf.DUMMYFUNCTION("""COMPUTED_VALUE"""),"Oring cover Shaft Line washing coating ")</f>
        <v>Oring cover Shaft Line washing coating </v>
      </c>
      <c r="G361" s="3">
        <f>IFERROR(__xludf.DUMMYFUNCTION("""COMPUTED_VALUE"""),5.0)</f>
        <v>5</v>
      </c>
      <c r="H361" s="3" t="str">
        <f>IFERROR(__xludf.DUMMYFUNCTION("""COMPUTED_VALUE"""),"pcs")</f>
        <v>pcs</v>
      </c>
      <c r="I361" s="3" t="str">
        <f>IFERROR(__xludf.DUMMYFUNCTION("""COMPUTED_VALUE"""),"Deliver")</f>
        <v>Deliver</v>
      </c>
      <c r="J361" s="3" t="str">
        <f>IFERROR(__xludf.DUMMYFUNCTION("""COMPUTED_VALUE"""),"121704050 - APPROVED")</f>
        <v>121704050 - APPROVED</v>
      </c>
      <c r="K361" s="3" t="str">
        <f>IFERROR(__xludf.DUMMYFUNCTION("""COMPUTED_VALUE"""),"GL2604486")</f>
        <v>GL2604486</v>
      </c>
    </row>
    <row r="362">
      <c r="A362" s="3" t="str">
        <f>IFERROR(__xludf.DUMMYFUNCTION("""COMPUTED_VALUE"""),"RIABR0115")</f>
        <v>RIABR0115</v>
      </c>
      <c r="B362" s="4">
        <f>IFERROR(__xludf.DUMMYFUNCTION("""COMPUTED_VALUE"""),45972.40130546296)</f>
        <v>45972.40131</v>
      </c>
      <c r="C362" s="4">
        <f>IFERROR(__xludf.DUMMYFUNCTION("""COMPUTED_VALUE"""),45972.59004099537)</f>
        <v>45972.59004</v>
      </c>
      <c r="D362" s="3" t="str">
        <f>IFERROR(__xludf.DUMMYFUNCTION("""COMPUTED_VALUE"""),"All Area")</f>
        <v>All Area</v>
      </c>
      <c r="E362" s="3" t="str">
        <f>IFERROR(__xludf.DUMMYFUNCTION("""COMPUTED_VALUE"""),"-")</f>
        <v>-</v>
      </c>
      <c r="F362" s="3" t="str">
        <f>IFERROR(__xludf.DUMMYFUNCTION("""COMPUTED_VALUE"""),"Head Lamp")</f>
        <v>Head Lamp</v>
      </c>
      <c r="G362" s="3">
        <f>IFERROR(__xludf.DUMMYFUNCTION("""COMPUTED_VALUE"""),3.0)</f>
        <v>3</v>
      </c>
      <c r="H362" s="3" t="str">
        <f>IFERROR(__xludf.DUMMYFUNCTION("""COMPUTED_VALUE"""),"Pcs")</f>
        <v>Pcs</v>
      </c>
      <c r="I362" s="3" t="str">
        <f>IFERROR(__xludf.DUMMYFUNCTION("""COMPUTED_VALUE"""),"Deliver")</f>
        <v>Deliver</v>
      </c>
      <c r="J362" s="3" t="str">
        <f>IFERROR(__xludf.DUMMYFUNCTION("""COMPUTED_VALUE"""),"121704044 - APPROVED")</f>
        <v>121704044 - APPROVED</v>
      </c>
      <c r="K362" s="3" t="str">
        <f>IFERROR(__xludf.DUMMYFUNCTION("""COMPUTED_VALUE"""),"GL2604023")</f>
        <v>GL2604023</v>
      </c>
    </row>
    <row r="363">
      <c r="A363" s="3" t="str">
        <f>IFERROR(__xludf.DUMMYFUNCTION("""COMPUTED_VALUE"""),"ROSBR0046")</f>
        <v>ROSBR0046</v>
      </c>
      <c r="B363" s="4">
        <f>IFERROR(__xludf.DUMMYFUNCTION("""COMPUTED_VALUE"""),45973.88009362268)</f>
        <v>45973.88009</v>
      </c>
      <c r="C363" s="4">
        <f>IFERROR(__xludf.DUMMYFUNCTION("""COMPUTED_VALUE"""),46010.247716736114)</f>
        <v>46010.24772</v>
      </c>
      <c r="D363" s="3" t="str">
        <f>IFERROR(__xludf.DUMMYFUNCTION("""COMPUTED_VALUE"""),"Membran Crabs ")</f>
        <v>Membran Crabs </v>
      </c>
      <c r="E363" s="3" t="str">
        <f>IFERROR(__xludf.DUMMYFUNCTION("""COMPUTED_VALUE"""),"NA")</f>
        <v>NA</v>
      </c>
      <c r="F363" s="3" t="str">
        <f>IFERROR(__xludf.DUMMYFUNCTION("""COMPUTED_VALUE"""),"tang Riveter nuts guns")</f>
        <v>tang Riveter nuts guns</v>
      </c>
      <c r="G363" s="3">
        <f>IFERROR(__xludf.DUMMYFUNCTION("""COMPUTED_VALUE"""),1.0)</f>
        <v>1</v>
      </c>
      <c r="H363" s="3" t="str">
        <f>IFERROR(__xludf.DUMMYFUNCTION("""COMPUTED_VALUE"""),"set")</f>
        <v>set</v>
      </c>
      <c r="I363" s="3" t="str">
        <f>IFERROR(__xludf.DUMMYFUNCTION("""COMPUTED_VALUE"""),"Deliver")</f>
        <v>Deliver</v>
      </c>
      <c r="J363" s="3" t="str">
        <f>IFERROR(__xludf.DUMMYFUNCTION("""COMPUTED_VALUE"""),"121703995 - APPROVED")</f>
        <v>121703995 - APPROVED</v>
      </c>
      <c r="K363" s="3" t="str">
        <f>IFERROR(__xludf.DUMMYFUNCTION("""COMPUTED_VALUE"""),"GL2604040")</f>
        <v>GL2604040</v>
      </c>
    </row>
    <row r="364">
      <c r="A364" s="3" t="str">
        <f>IFERROR(__xludf.DUMMYFUNCTION("""COMPUTED_VALUE"""),"ROSBR0047")</f>
        <v>ROSBR0047</v>
      </c>
      <c r="B364" s="4">
        <f>IFERROR(__xludf.DUMMYFUNCTION("""COMPUTED_VALUE"""),45973.891167546295)</f>
        <v>45973.89117</v>
      </c>
      <c r="C364" s="4">
        <f>IFERROR(__xludf.DUMMYFUNCTION("""COMPUTED_VALUE"""),46010.247950613426)</f>
        <v>46010.24795</v>
      </c>
      <c r="D364" s="3" t="str">
        <f>IFERROR(__xludf.DUMMYFUNCTION("""COMPUTED_VALUE"""),"Membran Crabs ")</f>
        <v>Membran Crabs </v>
      </c>
      <c r="E364" s="3" t="str">
        <f>IFERROR(__xludf.DUMMYFUNCTION("""COMPUTED_VALUE"""),"NA")</f>
        <v>NA</v>
      </c>
      <c r="F364" s="3" t="str">
        <f>IFERROR(__xludf.DUMMYFUNCTION("""COMPUTED_VALUE"""),"Mur nuts rivet ")</f>
        <v>Mur nuts rivet </v>
      </c>
      <c r="G364" s="3">
        <f>IFERROR(__xludf.DUMMYFUNCTION("""COMPUTED_VALUE"""),2.0)</f>
        <v>2</v>
      </c>
      <c r="H364" s="3" t="str">
        <f>IFERROR(__xludf.DUMMYFUNCTION("""COMPUTED_VALUE"""),"pak")</f>
        <v>pak</v>
      </c>
      <c r="I364" s="3" t="str">
        <f>IFERROR(__xludf.DUMMYFUNCTION("""COMPUTED_VALUE"""),"Deliver")</f>
        <v>Deliver</v>
      </c>
      <c r="J364" s="3" t="str">
        <f>IFERROR(__xludf.DUMMYFUNCTION("""COMPUTED_VALUE"""),"121704043 - APPROVED")</f>
        <v>121704043 - APPROVED</v>
      </c>
      <c r="K364" s="3" t="str">
        <f>IFERROR(__xludf.DUMMYFUNCTION("""COMPUTED_VALUE"""),"GL2604490")</f>
        <v>GL2604490</v>
      </c>
    </row>
    <row r="365">
      <c r="A365" s="3" t="str">
        <f>IFERROR(__xludf.DUMMYFUNCTION("""COMPUTED_VALUE"""),"ROSBR0048")</f>
        <v>ROSBR0048</v>
      </c>
      <c r="B365" s="4">
        <f>IFERROR(__xludf.DUMMYFUNCTION("""COMPUTED_VALUE"""),45973.923991261574)</f>
        <v>45973.92399</v>
      </c>
      <c r="C365" s="4">
        <f>IFERROR(__xludf.DUMMYFUNCTION("""COMPUTED_VALUE"""),46010.248172638894)</f>
        <v>46010.24817</v>
      </c>
      <c r="D365" s="3" t="str">
        <f>IFERROR(__xludf.DUMMYFUNCTION("""COMPUTED_VALUE"""),"Membran Crabs ")</f>
        <v>Membran Crabs </v>
      </c>
      <c r="E365" s="3" t="str">
        <f>IFERROR(__xludf.DUMMYFUNCTION("""COMPUTED_VALUE"""),"NA")</f>
        <v>NA</v>
      </c>
      <c r="F365" s="3" t="str">
        <f>IFERROR(__xludf.DUMMYFUNCTION("""COMPUTED_VALUE"""),"GB5789 Serrated Flanged Hexagon Bolt Stainless Steel SUS304 M5x16")</f>
        <v>GB5789 Serrated Flanged Hexagon Bolt Stainless Steel SUS304 M5x16</v>
      </c>
      <c r="G365" s="3">
        <f>IFERROR(__xludf.DUMMYFUNCTION("""COMPUTED_VALUE"""),100.0)</f>
        <v>100</v>
      </c>
      <c r="H365" s="3" t="str">
        <f>IFERROR(__xludf.DUMMYFUNCTION("""COMPUTED_VALUE"""),"pcs")</f>
        <v>pcs</v>
      </c>
      <c r="I365" s="3" t="str">
        <f>IFERROR(__xludf.DUMMYFUNCTION("""COMPUTED_VALUE"""),"Approval PR")</f>
        <v>Approval PR</v>
      </c>
      <c r="J365" s="3" t="str">
        <f>IFERROR(__xludf.DUMMYFUNCTION("""COMPUTED_VALUE"""),"121703994 - INCOMPLETE")</f>
        <v>121703994 - INCOMPLETE</v>
      </c>
      <c r="K365" s="3" t="str">
        <f>IFERROR(__xludf.DUMMYFUNCTION("""COMPUTED_VALUE"""),"-")</f>
        <v>-</v>
      </c>
    </row>
    <row r="366">
      <c r="A366" s="3" t="str">
        <f>IFERROR(__xludf.DUMMYFUNCTION("""COMPUTED_VALUE"""),"MRNBR0087")</f>
        <v>MRNBR0087</v>
      </c>
      <c r="B366" s="4">
        <f>IFERROR(__xludf.DUMMYFUNCTION("""COMPUTED_VALUE"""),45975.68165363426)</f>
        <v>45975.68165</v>
      </c>
      <c r="C366" s="4">
        <f>IFERROR(__xludf.DUMMYFUNCTION("""COMPUTED_VALUE"""),45978.67151234954)</f>
        <v>45978.67151</v>
      </c>
      <c r="D366" s="3" t="str">
        <f>IFERROR(__xludf.DUMMYFUNCTION("""COMPUTED_VALUE"""),"hot water")</f>
        <v>hot water</v>
      </c>
      <c r="E366" s="3" t="str">
        <f>IFERROR(__xludf.DUMMYFUNCTION("""COMPUTED_VALUE"""),"EJO/2025/08/114")</f>
        <v>EJO/2025/08/114</v>
      </c>
      <c r="F366" s="3" t="str">
        <f>IFERROR(__xludf.DUMMYFUNCTION("""COMPUTED_VALUE"""),"Valve ball")</f>
        <v>Valve ball</v>
      </c>
      <c r="G366" s="3">
        <f>IFERROR(__xludf.DUMMYFUNCTION("""COMPUTED_VALUE"""),2.0)</f>
        <v>2</v>
      </c>
      <c r="H366" s="3" t="str">
        <f>IFERROR(__xludf.DUMMYFUNCTION("""COMPUTED_VALUE"""),"pcs")</f>
        <v>pcs</v>
      </c>
      <c r="I366" s="3" t="str">
        <f>IFERROR(__xludf.DUMMYFUNCTION("""COMPUTED_VALUE"""),"Approval PR")</f>
        <v>Approval PR</v>
      </c>
      <c r="J366" s="3" t="str">
        <f>IFERROR(__xludf.DUMMYFUNCTION("""COMPUTED_VALUE"""),"121703994 - INCOMPLETE")</f>
        <v>121703994 - INCOMPLETE</v>
      </c>
      <c r="K366" s="3" t="str">
        <f>IFERROR(__xludf.DUMMYFUNCTION("""COMPUTED_VALUE"""),"-")</f>
        <v>-</v>
      </c>
    </row>
    <row r="367">
      <c r="A367" s="3" t="str">
        <f>IFERROR(__xludf.DUMMYFUNCTION("""COMPUTED_VALUE"""),"MRNBR0088")</f>
        <v>MRNBR0088</v>
      </c>
      <c r="B367" s="4">
        <f>IFERROR(__xludf.DUMMYFUNCTION("""COMPUTED_VALUE"""),45975.690408194445)</f>
        <v>45975.69041</v>
      </c>
      <c r="C367" s="4">
        <f>IFERROR(__xludf.DUMMYFUNCTION("""COMPUTED_VALUE"""),45978.671384050926)</f>
        <v>45978.67138</v>
      </c>
      <c r="D367" s="3" t="str">
        <f>IFERROR(__xludf.DUMMYFUNCTION("""COMPUTED_VALUE"""),"-")</f>
        <v>-</v>
      </c>
      <c r="E367" s="3" t="str">
        <f>IFERROR(__xludf.DUMMYFUNCTION("""COMPUTED_VALUE"""),"EJO/2025/08/114")</f>
        <v>EJO/2025/08/114</v>
      </c>
      <c r="F367" s="3" t="str">
        <f>IFERROR(__xludf.DUMMYFUNCTION("""COMPUTED_VALUE"""),"valve ball")</f>
        <v>valve ball</v>
      </c>
      <c r="G367" s="3">
        <f>IFERROR(__xludf.DUMMYFUNCTION("""COMPUTED_VALUE"""),2.0)</f>
        <v>2</v>
      </c>
      <c r="H367" s="3" t="str">
        <f>IFERROR(__xludf.DUMMYFUNCTION("""COMPUTED_VALUE"""),"pcs")</f>
        <v>pcs</v>
      </c>
      <c r="I367" s="3" t="str">
        <f>IFERROR(__xludf.DUMMYFUNCTION("""COMPUTED_VALUE"""),"Approval PR")</f>
        <v>Approval PR</v>
      </c>
      <c r="J367" s="3" t="str">
        <f>IFERROR(__xludf.DUMMYFUNCTION("""COMPUTED_VALUE"""),"121703994 - INCOMPLETE")</f>
        <v>121703994 - INCOMPLETE</v>
      </c>
      <c r="K367" s="3" t="str">
        <f>IFERROR(__xludf.DUMMYFUNCTION("""COMPUTED_VALUE"""),"-")</f>
        <v>-</v>
      </c>
    </row>
    <row r="368">
      <c r="A368" s="3" t="str">
        <f>IFERROR(__xludf.DUMMYFUNCTION("""COMPUTED_VALUE"""),"ROSBR0049")</f>
        <v>ROSBR0049</v>
      </c>
      <c r="B368" s="4">
        <f>IFERROR(__xludf.DUMMYFUNCTION("""COMPUTED_VALUE"""),45975.9534983912)</f>
        <v>45975.9535</v>
      </c>
      <c r="C368" s="4">
        <f>IFERROR(__xludf.DUMMYFUNCTION("""COMPUTED_VALUE"""),45976.22124277778)</f>
        <v>45976.22124</v>
      </c>
      <c r="D368" s="3" t="str">
        <f>IFERROR(__xludf.DUMMYFUNCTION("""COMPUTED_VALUE"""),"Base Plate Capping")</f>
        <v>Base Plate Capping</v>
      </c>
      <c r="E368" s="3" t="str">
        <f>IFERROR(__xludf.DUMMYFUNCTION("""COMPUTED_VALUE"""),"NA")</f>
        <v>NA</v>
      </c>
      <c r="F368" s="3" t="str">
        <f>IFERROR(__xludf.DUMMYFUNCTION("""COMPUTED_VALUE"""),"Baut L 
hexagon Socket head Cap screws")</f>
        <v>Baut L 
hexagon Socket head Cap screws</v>
      </c>
      <c r="G368" s="3">
        <f>IFERROR(__xludf.DUMMYFUNCTION("""COMPUTED_VALUE"""),50.0)</f>
        <v>50</v>
      </c>
      <c r="H368" s="3" t="str">
        <f>IFERROR(__xludf.DUMMYFUNCTION("""COMPUTED_VALUE"""),"pac/pcs")</f>
        <v>pac/pcs</v>
      </c>
      <c r="I368" s="3" t="str">
        <f>IFERROR(__xludf.DUMMYFUNCTION("""COMPUTED_VALUE"""),"Deliver")</f>
        <v>Deliver</v>
      </c>
      <c r="J368" s="3" t="str">
        <f>IFERROR(__xludf.DUMMYFUNCTION("""COMPUTED_VALUE"""),"121704162 - APPROVED")</f>
        <v>121704162 - APPROVED</v>
      </c>
      <c r="K368" s="3" t="str">
        <f>IFERROR(__xludf.DUMMYFUNCTION("""COMPUTED_VALUE"""),"GL2605332")</f>
        <v>GL2605332</v>
      </c>
    </row>
    <row r="369">
      <c r="A369" s="3" t="str">
        <f>IFERROR(__xludf.DUMMYFUNCTION("""COMPUTED_VALUE"""),"NDSBR0034")</f>
        <v>NDSBR0034</v>
      </c>
      <c r="B369" s="4">
        <f>IFERROR(__xludf.DUMMYFUNCTION("""COMPUTED_VALUE"""),45977.83608590278)</f>
        <v>45977.83609</v>
      </c>
      <c r="C369" s="4">
        <f>IFERROR(__xludf.DUMMYFUNCTION("""COMPUTED_VALUE"""),46027.74721570601)</f>
        <v>46027.74722</v>
      </c>
      <c r="D369" s="3" t="str">
        <f>IFERROR(__xludf.DUMMYFUNCTION("""COMPUTED_VALUE"""),"Chiller Blister")</f>
        <v>Chiller Blister</v>
      </c>
      <c r="E369" s="3" t="str">
        <f>IFERROR(__xludf.DUMMYFUNCTION("""COMPUTED_VALUE"""),"-")</f>
        <v>-</v>
      </c>
      <c r="F369" s="3" t="str">
        <f>IFERROR(__xludf.DUMMYFUNCTION("""COMPUTED_VALUE"""),"Sensor Suhu Chiller")</f>
        <v>Sensor Suhu Chiller</v>
      </c>
      <c r="G369" s="3">
        <f>IFERROR(__xludf.DUMMYFUNCTION("""COMPUTED_VALUE"""),2.0)</f>
        <v>2</v>
      </c>
      <c r="H369" s="3" t="str">
        <f>IFERROR(__xludf.DUMMYFUNCTION("""COMPUTED_VALUE"""),"Pcs")</f>
        <v>Pcs</v>
      </c>
      <c r="I369" s="3" t="str">
        <f>IFERROR(__xludf.DUMMYFUNCTION("""COMPUTED_VALUE"""),"PR Open")</f>
        <v>PR Open</v>
      </c>
      <c r="J369" s="3" t="str">
        <f>IFERROR(__xludf.DUMMYFUNCTION("""COMPUTED_VALUE"""),"121704548 - APPROVED")</f>
        <v>121704548 - APPROVED</v>
      </c>
      <c r="K369" s="3" t="str">
        <f>IFERROR(__xludf.DUMMYFUNCTION("""COMPUTED_VALUE"""),"GL2609434")</f>
        <v>GL2609434</v>
      </c>
    </row>
    <row r="370">
      <c r="A370" s="3" t="str">
        <f>IFERROR(__xludf.DUMMYFUNCTION("""COMPUTED_VALUE"""),"NDSBR0035")</f>
        <v>NDSBR0035</v>
      </c>
      <c r="B370" s="4">
        <f>IFERROR(__xludf.DUMMYFUNCTION("""COMPUTED_VALUE"""),45979.66681965278)</f>
        <v>45979.66682</v>
      </c>
      <c r="C370" s="4">
        <f>IFERROR(__xludf.DUMMYFUNCTION("""COMPUTED_VALUE"""),46027.764268391205)</f>
        <v>46027.76427</v>
      </c>
      <c r="D370" s="3" t="str">
        <f>IFERROR(__xludf.DUMMYFUNCTION("""COMPUTED_VALUE"""),"Washing Tunnel")</f>
        <v>Washing Tunnel</v>
      </c>
      <c r="E370" s="3" t="str">
        <f>IFERROR(__xludf.DUMMYFUNCTION("""COMPUTED_VALUE"""),"EJO/2025/11/10")</f>
        <v>EJO/2025/11/10</v>
      </c>
      <c r="F370" s="3" t="str">
        <f>IFERROR(__xludf.DUMMYFUNCTION("""COMPUTED_VALUE"""),"Kabel Duct")</f>
        <v>Kabel Duct</v>
      </c>
      <c r="G370" s="3">
        <f>IFERROR(__xludf.DUMMYFUNCTION("""COMPUTED_VALUE"""),1.0)</f>
        <v>1</v>
      </c>
      <c r="H370" s="3" t="str">
        <f>IFERROR(__xludf.DUMMYFUNCTION("""COMPUTED_VALUE"""),"Pcs")</f>
        <v>Pcs</v>
      </c>
      <c r="I370" s="3" t="str">
        <f>IFERROR(__xludf.DUMMYFUNCTION("""COMPUTED_VALUE"""),"Deliver")</f>
        <v>Deliver</v>
      </c>
      <c r="J370" s="3" t="str">
        <f>IFERROR(__xludf.DUMMYFUNCTION("""COMPUTED_VALUE"""),"121704020 - APPROVED")</f>
        <v>121704020 - APPROVED</v>
      </c>
      <c r="K370" s="3" t="str">
        <f>IFERROR(__xludf.DUMMYFUNCTION("""COMPUTED_VALUE"""),"GL2603478")</f>
        <v>GL2603478</v>
      </c>
    </row>
    <row r="371">
      <c r="A371" s="3" t="str">
        <f>IFERROR(__xludf.DUMMYFUNCTION("""COMPUTED_VALUE"""),"RIABR0116")</f>
        <v>RIABR0116</v>
      </c>
      <c r="B371" s="4">
        <f>IFERROR(__xludf.DUMMYFUNCTION("""COMPUTED_VALUE"""),45979.67283787037)</f>
        <v>45979.67284</v>
      </c>
      <c r="C371" s="4">
        <f>IFERROR(__xludf.DUMMYFUNCTION("""COMPUTED_VALUE"""),45981.890449907405)</f>
        <v>45981.89045</v>
      </c>
      <c r="D371" s="3" t="str">
        <f>IFERROR(__xludf.DUMMYFUNCTION("""COMPUTED_VALUE"""),"PWG")</f>
        <v>PWG</v>
      </c>
      <c r="E371" s="3" t="str">
        <f>IFERROR(__xludf.DUMMYFUNCTION("""COMPUTED_VALUE"""),"EJO/2025/09/16")</f>
        <v>EJO/2025/09/16</v>
      </c>
      <c r="F371" s="3" t="str">
        <f>IFERROR(__xludf.DUMMYFUNCTION("""COMPUTED_VALUE"""),"Pressure Gauge")</f>
        <v>Pressure Gauge</v>
      </c>
      <c r="G371" s="3">
        <f>IFERROR(__xludf.DUMMYFUNCTION("""COMPUTED_VALUE"""),1.0)</f>
        <v>1</v>
      </c>
      <c r="H371" s="3" t="str">
        <f>IFERROR(__xludf.DUMMYFUNCTION("""COMPUTED_VALUE"""),"Pcs")</f>
        <v>Pcs</v>
      </c>
      <c r="I371" s="3" t="str">
        <f>IFERROR(__xludf.DUMMYFUNCTION("""COMPUTED_VALUE"""),"Deliver")</f>
        <v>Deliver</v>
      </c>
      <c r="J371" s="3" t="str">
        <f>IFERROR(__xludf.DUMMYFUNCTION("""COMPUTED_VALUE"""),"-")</f>
        <v>-</v>
      </c>
      <c r="K371" s="3" t="str">
        <f>IFERROR(__xludf.DUMMYFUNCTION("""COMPUTED_VALUE"""),"-")</f>
        <v>-</v>
      </c>
    </row>
    <row r="372">
      <c r="A372" s="3" t="str">
        <f>IFERROR(__xludf.DUMMYFUNCTION("""COMPUTED_VALUE"""),"RIABR0117")</f>
        <v>RIABR0117</v>
      </c>
      <c r="B372" s="4">
        <f>IFERROR(__xludf.DUMMYFUNCTION("""COMPUTED_VALUE"""),45979.71473649306)</f>
        <v>45979.71474</v>
      </c>
      <c r="C372" s="4">
        <f>IFERROR(__xludf.DUMMYFUNCTION("""COMPUTED_VALUE"""),45981.89031020833)</f>
        <v>45981.89031</v>
      </c>
      <c r="D372" s="3" t="str">
        <f>IFERROR(__xludf.DUMMYFUNCTION("""COMPUTED_VALUE"""),"Cooling Water")</f>
        <v>Cooling Water</v>
      </c>
      <c r="E372" s="3" t="str">
        <f>IFERROR(__xludf.DUMMYFUNCTION("""COMPUTED_VALUE"""),"-")</f>
        <v>-</v>
      </c>
      <c r="F372" s="3" t="str">
        <f>IFERROR(__xludf.DUMMYFUNCTION("""COMPUTED_VALUE"""),"Mechseal")</f>
        <v>Mechseal</v>
      </c>
      <c r="G372" s="3">
        <f>IFERROR(__xludf.DUMMYFUNCTION("""COMPUTED_VALUE"""),1.0)</f>
        <v>1</v>
      </c>
      <c r="H372" s="3" t="str">
        <f>IFERROR(__xludf.DUMMYFUNCTION("""COMPUTED_VALUE"""),"Set")</f>
        <v>Set</v>
      </c>
      <c r="I372" s="3" t="str">
        <f>IFERROR(__xludf.DUMMYFUNCTION("""COMPUTED_VALUE"""),"Deliver")</f>
        <v>Deliver</v>
      </c>
      <c r="J372" s="3" t="str">
        <f>IFERROR(__xludf.DUMMYFUNCTION("""COMPUTED_VALUE"""),"121703646 - APPROVED")</f>
        <v>121703646 - APPROVED</v>
      </c>
      <c r="K372" s="3" t="str">
        <f>IFERROR(__xludf.DUMMYFUNCTION("""COMPUTED_VALUE"""),"GL2601017")</f>
        <v>GL2601017</v>
      </c>
    </row>
    <row r="373">
      <c r="A373" s="3" t="str">
        <f>IFERROR(__xludf.DUMMYFUNCTION("""COMPUTED_VALUE"""),"RIABR0118")</f>
        <v>RIABR0118</v>
      </c>
      <c r="B373" s="4">
        <f>IFERROR(__xludf.DUMMYFUNCTION("""COMPUTED_VALUE"""),45979.72622349537)</f>
        <v>45979.72622</v>
      </c>
      <c r="C373" s="4">
        <f>IFERROR(__xludf.DUMMYFUNCTION("""COMPUTED_VALUE"""),45981.89015611111)</f>
        <v>45981.89016</v>
      </c>
      <c r="D373" s="3" t="str">
        <f>IFERROR(__xludf.DUMMYFUNCTION("""COMPUTED_VALUE"""),"Hot Water")</f>
        <v>Hot Water</v>
      </c>
      <c r="E373" s="3" t="str">
        <f>IFERROR(__xludf.DUMMYFUNCTION("""COMPUTED_VALUE"""),"-")</f>
        <v>-</v>
      </c>
      <c r="F373" s="3" t="str">
        <f>IFERROR(__xludf.DUMMYFUNCTION("""COMPUTED_VALUE"""),"Pressure Gauge + Pressure Transmiter")</f>
        <v>Pressure Gauge + Pressure Transmiter</v>
      </c>
      <c r="G373" s="3">
        <f>IFERROR(__xludf.DUMMYFUNCTION("""COMPUTED_VALUE"""),1.0)</f>
        <v>1</v>
      </c>
      <c r="H373" s="3" t="str">
        <f>IFERROR(__xludf.DUMMYFUNCTION("""COMPUTED_VALUE"""),"Pcs")</f>
        <v>Pcs</v>
      </c>
      <c r="I373" s="3" t="str">
        <f>IFERROR(__xludf.DUMMYFUNCTION("""COMPUTED_VALUE"""),"Deliver")</f>
        <v>Deliver</v>
      </c>
      <c r="J373" s="3" t="str">
        <f>IFERROR(__xludf.DUMMYFUNCTION("""COMPUTED_VALUE"""),"121704043 - APPROVED")</f>
        <v>121704043 - APPROVED</v>
      </c>
      <c r="K373" s="3" t="str">
        <f>IFERROR(__xludf.DUMMYFUNCTION("""COMPUTED_VALUE"""),"GL2604497")</f>
        <v>GL2604497</v>
      </c>
    </row>
    <row r="374">
      <c r="A374" s="3" t="str">
        <f>IFERROR(__xludf.DUMMYFUNCTION("""COMPUTED_VALUE"""),"RIABR0121")</f>
        <v>RIABR0121</v>
      </c>
      <c r="B374" s="4">
        <f>IFERROR(__xludf.DUMMYFUNCTION("""COMPUTED_VALUE"""),45979.732386365744)</f>
        <v>45979.73239</v>
      </c>
      <c r="C374" s="4">
        <f>IFERROR(__xludf.DUMMYFUNCTION("""COMPUTED_VALUE"""),45981.88925293982)</f>
        <v>45981.88925</v>
      </c>
      <c r="D374" s="3" t="str">
        <f>IFERROR(__xludf.DUMMYFUNCTION("""COMPUTED_VALUE"""),"AHU OS E1-1")</f>
        <v>AHU OS E1-1</v>
      </c>
      <c r="E374" s="3" t="str">
        <f>IFERROR(__xludf.DUMMYFUNCTION("""COMPUTED_VALUE"""),"-")</f>
        <v>-</v>
      </c>
      <c r="F374" s="3" t="str">
        <f>IFERROR(__xludf.DUMMYFUNCTION("""COMPUTED_VALUE"""),"Magnehelic")</f>
        <v>Magnehelic</v>
      </c>
      <c r="G374" s="3">
        <f>IFERROR(__xludf.DUMMYFUNCTION("""COMPUTED_VALUE"""),3.0)</f>
        <v>3</v>
      </c>
      <c r="H374" s="3" t="str">
        <f>IFERROR(__xludf.DUMMYFUNCTION("""COMPUTED_VALUE"""),"Pcs")</f>
        <v>Pcs</v>
      </c>
      <c r="I374" s="3" t="str">
        <f>IFERROR(__xludf.DUMMYFUNCTION("""COMPUTED_VALUE"""),"Deliver")</f>
        <v>Deliver</v>
      </c>
      <c r="J374" s="3" t="str">
        <f>IFERROR(__xludf.DUMMYFUNCTION("""COMPUTED_VALUE"""),"121704000 - APPROVED")</f>
        <v>121704000 - APPROVED</v>
      </c>
      <c r="K374" s="3" t="str">
        <f>IFERROR(__xludf.DUMMYFUNCTION("""COMPUTED_VALUE"""),"GL2603055")</f>
        <v>GL2603055</v>
      </c>
    </row>
    <row r="375">
      <c r="A375" s="3" t="str">
        <f>IFERROR(__xludf.DUMMYFUNCTION("""COMPUTED_VALUE"""),"RIABR0122")</f>
        <v>RIABR0122</v>
      </c>
      <c r="B375" s="4">
        <f>IFERROR(__xludf.DUMMYFUNCTION("""COMPUTED_VALUE"""),45979.73319178241)</f>
        <v>45979.73319</v>
      </c>
      <c r="C375" s="4">
        <f>IFERROR(__xludf.DUMMYFUNCTION("""COMPUTED_VALUE"""),45981.88903643519)</f>
        <v>45981.88904</v>
      </c>
      <c r="D375" s="3" t="str">
        <f>IFERROR(__xludf.DUMMYFUNCTION("""COMPUTED_VALUE"""),"Tool")</f>
        <v>Tool</v>
      </c>
      <c r="E375" s="3" t="str">
        <f>IFERROR(__xludf.DUMMYFUNCTION("""COMPUTED_VALUE"""),"-")</f>
        <v>-</v>
      </c>
      <c r="F375" s="3" t="str">
        <f>IFERROR(__xludf.DUMMYFUNCTION("""COMPUTED_VALUE"""),"Tang Buaya")</f>
        <v>Tang Buaya</v>
      </c>
      <c r="G375" s="3">
        <f>IFERROR(__xludf.DUMMYFUNCTION("""COMPUTED_VALUE"""),4.0)</f>
        <v>4</v>
      </c>
      <c r="H375" s="3" t="str">
        <f>IFERROR(__xludf.DUMMYFUNCTION("""COMPUTED_VALUE"""),"Pcs")</f>
        <v>Pcs</v>
      </c>
      <c r="I375" s="3" t="str">
        <f>IFERROR(__xludf.DUMMYFUNCTION("""COMPUTED_VALUE"""),"Deliver")</f>
        <v>Deliver</v>
      </c>
      <c r="J375" s="3" t="str">
        <f>IFERROR(__xludf.DUMMYFUNCTION("""COMPUTED_VALUE"""),"121703995 - APPROVED")</f>
        <v>121703995 - APPROVED</v>
      </c>
      <c r="K375" s="3" t="str">
        <f>IFERROR(__xludf.DUMMYFUNCTION("""COMPUTED_VALUE"""),"GL2604038")</f>
        <v>GL2604038</v>
      </c>
    </row>
    <row r="376">
      <c r="A376" s="3" t="str">
        <f>IFERROR(__xludf.DUMMYFUNCTION("""COMPUTED_VALUE"""),"NDSBR0038")</f>
        <v>NDSBR0038</v>
      </c>
      <c r="B376" s="4">
        <f>IFERROR(__xludf.DUMMYFUNCTION("""COMPUTED_VALUE"""),45980.92822083333)</f>
        <v>45980.92822</v>
      </c>
      <c r="C376" s="4">
        <f>IFERROR(__xludf.DUMMYFUNCTION("""COMPUTED_VALUE"""),46027.76283961805)</f>
        <v>46027.76284</v>
      </c>
      <c r="D376" s="3" t="str">
        <f>IFERROR(__xludf.DUMMYFUNCTION("""COMPUTED_VALUE"""),"Cartoning")</f>
        <v>Cartoning</v>
      </c>
      <c r="E376" s="3" t="str">
        <f>IFERROR(__xludf.DUMMYFUNCTION("""COMPUTED_VALUE"""),"EJO/2025/11/109")</f>
        <v>EJO/2025/11/109</v>
      </c>
      <c r="F376" s="3" t="str">
        <f>IFERROR(__xludf.DUMMYFUNCTION("""COMPUTED_VALUE"""),"Metal Finger")</f>
        <v>Metal Finger</v>
      </c>
      <c r="G376" s="3">
        <f>IFERROR(__xludf.DUMMYFUNCTION("""COMPUTED_VALUE"""),5.0)</f>
        <v>5</v>
      </c>
      <c r="H376" s="3" t="str">
        <f>IFERROR(__xludf.DUMMYFUNCTION("""COMPUTED_VALUE"""),"Pcs")</f>
        <v>Pcs</v>
      </c>
      <c r="I376" s="3" t="str">
        <f>IFERROR(__xludf.DUMMYFUNCTION("""COMPUTED_VALUE"""),"Deliver")</f>
        <v>Deliver</v>
      </c>
      <c r="J376" s="3" t="str">
        <f>IFERROR(__xludf.DUMMYFUNCTION("""COMPUTED_VALUE"""),"121704045 - APPROVED")</f>
        <v>121704045 - APPROVED</v>
      </c>
      <c r="K376" s="3" t="str">
        <f>IFERROR(__xludf.DUMMYFUNCTION("""COMPUTED_VALUE"""),"GL2604004")</f>
        <v>GL2604004</v>
      </c>
    </row>
    <row r="377">
      <c r="A377" s="3" t="str">
        <f>IFERROR(__xludf.DUMMYFUNCTION("""COMPUTED_VALUE"""),"NDSBR0039")</f>
        <v>NDSBR0039</v>
      </c>
      <c r="B377" s="4">
        <f>IFERROR(__xludf.DUMMYFUNCTION("""COMPUTED_VALUE"""),45980.92952231481)</f>
        <v>45980.92952</v>
      </c>
      <c r="C377" s="4">
        <f>IFERROR(__xludf.DUMMYFUNCTION("""COMPUTED_VALUE"""),46027.763134085646)</f>
        <v>46027.76313</v>
      </c>
      <c r="D377" s="3" t="str">
        <f>IFERROR(__xludf.DUMMYFUNCTION("""COMPUTED_VALUE"""),"Cartoning")</f>
        <v>Cartoning</v>
      </c>
      <c r="E377" s="3" t="str">
        <f>IFERROR(__xludf.DUMMYFUNCTION("""COMPUTED_VALUE"""),"EJO/2025/11/109")</f>
        <v>EJO/2025/11/109</v>
      </c>
      <c r="F377" s="3" t="str">
        <f>IFERROR(__xludf.DUMMYFUNCTION("""COMPUTED_VALUE"""),"Metal Finger")</f>
        <v>Metal Finger</v>
      </c>
      <c r="G377" s="3">
        <f>IFERROR(__xludf.DUMMYFUNCTION("""COMPUTED_VALUE"""),2.0)</f>
        <v>2</v>
      </c>
      <c r="H377" s="3" t="str">
        <f>IFERROR(__xludf.DUMMYFUNCTION("""COMPUTED_VALUE"""),"Pcs")</f>
        <v>Pcs</v>
      </c>
      <c r="I377" s="3" t="str">
        <f>IFERROR(__xludf.DUMMYFUNCTION("""COMPUTED_VALUE"""),"Deliver")</f>
        <v>Deliver</v>
      </c>
      <c r="J377" s="3" t="str">
        <f>IFERROR(__xludf.DUMMYFUNCTION("""COMPUTED_VALUE"""),"121704045 - APPROVED")</f>
        <v>121704045 - APPROVED</v>
      </c>
      <c r="K377" s="3" t="str">
        <f>IFERROR(__xludf.DUMMYFUNCTION("""COMPUTED_VALUE"""),"GL2604004")</f>
        <v>GL2604004</v>
      </c>
    </row>
    <row r="378">
      <c r="A378" s="3" t="str">
        <f>IFERROR(__xludf.DUMMYFUNCTION("""COMPUTED_VALUE"""),"NDSBR0040")</f>
        <v>NDSBR0040</v>
      </c>
      <c r="B378" s="4">
        <f>IFERROR(__xludf.DUMMYFUNCTION("""COMPUTED_VALUE"""),45981.6397477662)</f>
        <v>45981.63975</v>
      </c>
      <c r="C378" s="4">
        <f>IFERROR(__xludf.DUMMYFUNCTION("""COMPUTED_VALUE"""),46027.763552268516)</f>
        <v>46027.76355</v>
      </c>
      <c r="D378" s="3" t="str">
        <f>IFERROR(__xludf.DUMMYFUNCTION("""COMPUTED_VALUE"""),"Washing Tunnel")</f>
        <v>Washing Tunnel</v>
      </c>
      <c r="E378" s="3" t="str">
        <f>IFERROR(__xludf.DUMMYFUNCTION("""COMPUTED_VALUE"""),"EJO/2025/11/10")</f>
        <v>EJO/2025/11/10</v>
      </c>
      <c r="F378" s="3" t="str">
        <f>IFERROR(__xludf.DUMMYFUNCTION("""COMPUTED_VALUE"""),"Manual Valve Washing")</f>
        <v>Manual Valve Washing</v>
      </c>
      <c r="G378" s="3">
        <f>IFERROR(__xludf.DUMMYFUNCTION("""COMPUTED_VALUE"""),1.0)</f>
        <v>1</v>
      </c>
      <c r="H378" s="3" t="str">
        <f>IFERROR(__xludf.DUMMYFUNCTION("""COMPUTED_VALUE"""),"Pcs")</f>
        <v>Pcs</v>
      </c>
      <c r="I378" s="3" t="str">
        <f>IFERROR(__xludf.DUMMYFUNCTION("""COMPUTED_VALUE"""),"Deliver")</f>
        <v>Deliver</v>
      </c>
      <c r="J378" s="3" t="str">
        <f>IFERROR(__xludf.DUMMYFUNCTION("""COMPUTED_VALUE"""),"121704021 - APPROVED")</f>
        <v>121704021 - APPROVED</v>
      </c>
      <c r="K378" s="3" t="str">
        <f>IFERROR(__xludf.DUMMYFUNCTION("""COMPUTED_VALUE"""),"GL2604487")</f>
        <v>GL2604487</v>
      </c>
    </row>
    <row r="379">
      <c r="A379" s="3" t="str">
        <f>IFERROR(__xludf.DUMMYFUNCTION("""COMPUTED_VALUE"""),"NDSBR0041")</f>
        <v>NDSBR0041</v>
      </c>
      <c r="B379" s="4">
        <f>IFERROR(__xludf.DUMMYFUNCTION("""COMPUTED_VALUE"""),45981.64048634259)</f>
        <v>45981.64049</v>
      </c>
      <c r="C379" s="4">
        <f>IFERROR(__xludf.DUMMYFUNCTION("""COMPUTED_VALUE"""),46027.76376793982)</f>
        <v>46027.76377</v>
      </c>
      <c r="D379" s="3" t="str">
        <f>IFERROR(__xludf.DUMMYFUNCTION("""COMPUTED_VALUE"""),"Washing Tunnel")</f>
        <v>Washing Tunnel</v>
      </c>
      <c r="E379" s="3" t="str">
        <f>IFERROR(__xludf.DUMMYFUNCTION("""COMPUTED_VALUE"""),"EJO/2025/11/10")</f>
        <v>EJO/2025/11/10</v>
      </c>
      <c r="F379" s="3" t="str">
        <f>IFERROR(__xludf.DUMMYFUNCTION("""COMPUTED_VALUE"""),"Manual Valve Washing")</f>
        <v>Manual Valve Washing</v>
      </c>
      <c r="G379" s="3">
        <f>IFERROR(__xludf.DUMMYFUNCTION("""COMPUTED_VALUE"""),1.0)</f>
        <v>1</v>
      </c>
      <c r="H379" s="3" t="str">
        <f>IFERROR(__xludf.DUMMYFUNCTION("""COMPUTED_VALUE"""),"Pcs")</f>
        <v>Pcs</v>
      </c>
      <c r="I379" s="3" t="str">
        <f>IFERROR(__xludf.DUMMYFUNCTION("""COMPUTED_VALUE"""),"Deliver")</f>
        <v>Deliver</v>
      </c>
      <c r="J379" s="3" t="str">
        <f>IFERROR(__xludf.DUMMYFUNCTION("""COMPUTED_VALUE"""),"121704021 - APPROVED")</f>
        <v>121704021 - APPROVED</v>
      </c>
      <c r="K379" s="3" t="str">
        <f>IFERROR(__xludf.DUMMYFUNCTION("""COMPUTED_VALUE"""),"GL2604487")</f>
        <v>GL2604487</v>
      </c>
    </row>
    <row r="380">
      <c r="A380" s="3" t="str">
        <f>IFERROR(__xludf.DUMMYFUNCTION("""COMPUTED_VALUE"""),"ROSBR0050")</f>
        <v>ROSBR0050</v>
      </c>
      <c r="B380" s="4">
        <f>IFERROR(__xludf.DUMMYFUNCTION("""COMPUTED_VALUE"""),45991.93372652777)</f>
        <v>45991.93373</v>
      </c>
      <c r="C380" s="4">
        <f>IFERROR(__xludf.DUMMYFUNCTION("""COMPUTED_VALUE"""),46010.24990333333)</f>
        <v>46010.2499</v>
      </c>
      <c r="D380" s="3" t="str">
        <f>IFERROR(__xludf.DUMMYFUNCTION("""COMPUTED_VALUE"""),"Bor baterai ")</f>
        <v>Bor baterai </v>
      </c>
      <c r="E380" s="3" t="str">
        <f>IFERROR(__xludf.DUMMYFUNCTION("""COMPUTED_VALUE"""),"NA ")</f>
        <v>NA </v>
      </c>
      <c r="F380" s="3" t="str">
        <f>IFERROR(__xludf.DUMMYFUNCTION("""COMPUTED_VALUE"""),"Mata Bor Socket Hex Nut / Baut Roofing Adaptor")</f>
        <v>Mata Bor Socket Hex Nut / Baut Roofing Adaptor</v>
      </c>
      <c r="G380" s="3">
        <f>IFERROR(__xludf.DUMMYFUNCTION("""COMPUTED_VALUE"""),1.0)</f>
        <v>1</v>
      </c>
      <c r="H380" s="3" t="str">
        <f>IFERROR(__xludf.DUMMYFUNCTION("""COMPUTED_VALUE"""),"Set")</f>
        <v>Set</v>
      </c>
      <c r="I380" s="3" t="str">
        <f>IFERROR(__xludf.DUMMYFUNCTION("""COMPUTED_VALUE"""),"Deliver")</f>
        <v>Deliver</v>
      </c>
      <c r="J380" s="3" t="str">
        <f>IFERROR(__xludf.DUMMYFUNCTION("""COMPUTED_VALUE"""),"121704043 - APPROVED")</f>
        <v>121704043 - APPROVED</v>
      </c>
      <c r="K380" s="3" t="str">
        <f>IFERROR(__xludf.DUMMYFUNCTION("""COMPUTED_VALUE"""),"GL2604497")</f>
        <v>GL2604497</v>
      </c>
    </row>
    <row r="381">
      <c r="A381" s="3" t="str">
        <f>IFERROR(__xludf.DUMMYFUNCTION("""COMPUTED_VALUE"""),"MOBBR0049")</f>
        <v>MOBBR0049</v>
      </c>
      <c r="B381" s="4">
        <f>IFERROR(__xludf.DUMMYFUNCTION("""COMPUTED_VALUE"""),45993.49638828704)</f>
        <v>45993.49639</v>
      </c>
      <c r="C381" s="4">
        <f>IFERROR(__xludf.DUMMYFUNCTION("""COMPUTED_VALUE"""),46002.46435789352)</f>
        <v>46002.46436</v>
      </c>
      <c r="D381" s="3" t="str">
        <f>IFERROR(__xludf.DUMMYFUNCTION("""COMPUTED_VALUE"""),"Pneumatic Fitting")</f>
        <v>Pneumatic Fitting</v>
      </c>
      <c r="E381" s="3" t="str">
        <f>IFERROR(__xludf.DUMMYFUNCTION("""COMPUTED_VALUE"""),"-")</f>
        <v>-</v>
      </c>
      <c r="F381" s="3" t="str">
        <f>IFERROR(__xludf.DUMMYFUNCTION("""COMPUTED_VALUE"""),"QS")</f>
        <v>QS</v>
      </c>
      <c r="G381" s="3">
        <f>IFERROR(__xludf.DUMMYFUNCTION("""COMPUTED_VALUE"""),10.0)</f>
        <v>10</v>
      </c>
      <c r="H381" s="3" t="str">
        <f>IFERROR(__xludf.DUMMYFUNCTION("""COMPUTED_VALUE"""),"Pcs")</f>
        <v>Pcs</v>
      </c>
      <c r="I381" s="3" t="str">
        <f>IFERROR(__xludf.DUMMYFUNCTION("""COMPUTED_VALUE"""),"Deliver")</f>
        <v>Deliver</v>
      </c>
      <c r="J381" s="3" t="str">
        <f>IFERROR(__xludf.DUMMYFUNCTION("""COMPUTED_VALUE"""),"121703989 - APPROVED")</f>
        <v>121703989 - APPROVED</v>
      </c>
      <c r="K381" s="3" t="str">
        <f>IFERROR(__xludf.DUMMYFUNCTION("""COMPUTED_VALUE"""),"GL2604306")</f>
        <v>GL2604306</v>
      </c>
    </row>
    <row r="382">
      <c r="A382" s="3" t="str">
        <f>IFERROR(__xludf.DUMMYFUNCTION("""COMPUTED_VALUE"""),"MOBBR0051")</f>
        <v>MOBBR0051</v>
      </c>
      <c r="B382" s="4">
        <f>IFERROR(__xludf.DUMMYFUNCTION("""COMPUTED_VALUE"""),45993.499915659726)</f>
        <v>45993.49992</v>
      </c>
      <c r="C382" s="4">
        <f>IFERROR(__xludf.DUMMYFUNCTION("""COMPUTED_VALUE"""),46002.464720613425)</f>
        <v>46002.46472</v>
      </c>
      <c r="D382" s="3" t="str">
        <f>IFERROR(__xludf.DUMMYFUNCTION("""COMPUTED_VALUE"""),"Pneumatic Fitting")</f>
        <v>Pneumatic Fitting</v>
      </c>
      <c r="E382" s="3" t="str">
        <f>IFERROR(__xludf.DUMMYFUNCTION("""COMPUTED_VALUE"""),"-")</f>
        <v>-</v>
      </c>
      <c r="F382" s="3" t="str">
        <f>IFERROR(__xludf.DUMMYFUNCTION("""COMPUTED_VALUE"""),"QS")</f>
        <v>QS</v>
      </c>
      <c r="G382" s="3">
        <f>IFERROR(__xludf.DUMMYFUNCTION("""COMPUTED_VALUE"""),10.0)</f>
        <v>10</v>
      </c>
      <c r="H382" s="3" t="str">
        <f>IFERROR(__xludf.DUMMYFUNCTION("""COMPUTED_VALUE"""),"Pcs")</f>
        <v>Pcs</v>
      </c>
      <c r="I382" s="3" t="str">
        <f>IFERROR(__xludf.DUMMYFUNCTION("""COMPUTED_VALUE"""),"Deliver")</f>
        <v>Deliver</v>
      </c>
      <c r="J382" s="3" t="str">
        <f>IFERROR(__xludf.DUMMYFUNCTION("""COMPUTED_VALUE"""),"121703989 - APPROVED")</f>
        <v>121703989 - APPROVED</v>
      </c>
      <c r="K382" s="3" t="str">
        <f>IFERROR(__xludf.DUMMYFUNCTION("""COMPUTED_VALUE"""),"GL2604306")</f>
        <v>GL2604306</v>
      </c>
    </row>
    <row r="383">
      <c r="A383" s="3" t="str">
        <f>IFERROR(__xludf.DUMMYFUNCTION("""COMPUTED_VALUE"""),"MRNBR0090")</f>
        <v>MRNBR0090</v>
      </c>
      <c r="B383" s="4">
        <f>IFERROR(__xludf.DUMMYFUNCTION("""COMPUTED_VALUE"""),45995.88686731482)</f>
        <v>45995.88687</v>
      </c>
      <c r="C383" s="4">
        <f>IFERROR(__xludf.DUMMYFUNCTION("""COMPUTED_VALUE"""),46002.465424236114)</f>
        <v>46002.46542</v>
      </c>
      <c r="D383" s="3" t="str">
        <f>IFERROR(__xludf.DUMMYFUNCTION("""COMPUTED_VALUE"""),"AHU F2-4")</f>
        <v>AHU F2-4</v>
      </c>
      <c r="E383" s="3" t="str">
        <f>IFERROR(__xludf.DUMMYFUNCTION("""COMPUTED_VALUE"""),"EJO/2025/11/120")</f>
        <v>EJO/2025/11/120</v>
      </c>
      <c r="F383" s="3" t="str">
        <f>IFERROR(__xludf.DUMMYFUNCTION("""COMPUTED_VALUE"""),"Trafo Step Down")</f>
        <v>Trafo Step Down</v>
      </c>
      <c r="G383" s="3">
        <f>IFERROR(__xludf.DUMMYFUNCTION("""COMPUTED_VALUE"""),1.0)</f>
        <v>1</v>
      </c>
      <c r="H383" s="3" t="str">
        <f>IFERROR(__xludf.DUMMYFUNCTION("""COMPUTED_VALUE"""),"pcs")</f>
        <v>pcs</v>
      </c>
      <c r="I383" s="3" t="str">
        <f>IFERROR(__xludf.DUMMYFUNCTION("""COMPUTED_VALUE"""),"Approval PR")</f>
        <v>Approval PR</v>
      </c>
      <c r="J383" s="3" t="str">
        <f>IFERROR(__xludf.DUMMYFUNCTION("""COMPUTED_VALUE"""),"121703994 - INCOMPLETE")</f>
        <v>121703994 - INCOMPLETE</v>
      </c>
      <c r="K383" s="3" t="str">
        <f>IFERROR(__xludf.DUMMYFUNCTION("""COMPUTED_VALUE"""),"-")</f>
        <v>-</v>
      </c>
    </row>
    <row r="384">
      <c r="A384" s="3" t="str">
        <f>IFERROR(__xludf.DUMMYFUNCTION("""COMPUTED_VALUE"""),"RIABR0124")</f>
        <v>RIABR0124</v>
      </c>
      <c r="B384" s="4">
        <f>IFERROR(__xludf.DUMMYFUNCTION("""COMPUTED_VALUE"""),46003.3452017824)</f>
        <v>46003.3452</v>
      </c>
      <c r="C384" s="4">
        <f>IFERROR(__xludf.DUMMYFUNCTION("""COMPUTED_VALUE"""),46003.66614560185)</f>
        <v>46003.66615</v>
      </c>
      <c r="D384" s="3" t="str">
        <f>IFERROR(__xludf.DUMMYFUNCTION("""COMPUTED_VALUE"""),"PWG")</f>
        <v>PWG</v>
      </c>
      <c r="E384" s="3" t="str">
        <f>IFERROR(__xludf.DUMMYFUNCTION("""COMPUTED_VALUE"""),"EJO/2025/08/133")</f>
        <v>EJO/2025/08/133</v>
      </c>
      <c r="F384" s="3" t="str">
        <f>IFERROR(__xludf.DUMMYFUNCTION("""COMPUTED_VALUE"""),"Pressure Gauge")</f>
        <v>Pressure Gauge</v>
      </c>
      <c r="G384" s="3">
        <f>IFERROR(__xludf.DUMMYFUNCTION("""COMPUTED_VALUE"""),1.0)</f>
        <v>1</v>
      </c>
      <c r="H384" s="3" t="str">
        <f>IFERROR(__xludf.DUMMYFUNCTION("""COMPUTED_VALUE"""),"Pcs")</f>
        <v>Pcs</v>
      </c>
      <c r="I384" s="3" t="str">
        <f>IFERROR(__xludf.DUMMYFUNCTION("""COMPUTED_VALUE"""),"Deliver")</f>
        <v>Deliver</v>
      </c>
      <c r="J384" s="3" t="str">
        <f>IFERROR(__xludf.DUMMYFUNCTION("""COMPUTED_VALUE"""),"-")</f>
        <v>-</v>
      </c>
      <c r="K384" s="3" t="str">
        <f>IFERROR(__xludf.DUMMYFUNCTION("""COMPUTED_VALUE"""),"-")</f>
        <v>-</v>
      </c>
    </row>
    <row r="385">
      <c r="A385" s="3" t="str">
        <f>IFERROR(__xludf.DUMMYFUNCTION("""COMPUTED_VALUE"""),"MRNBR0091")</f>
        <v>MRNBR0091</v>
      </c>
      <c r="B385" s="4">
        <f>IFERROR(__xludf.DUMMYFUNCTION("""COMPUTED_VALUE"""),46005.657085555555)</f>
        <v>46005.65709</v>
      </c>
      <c r="C385" s="4">
        <f>IFERROR(__xludf.DUMMYFUNCTION("""COMPUTED_VALUE"""),46010.40739758102)</f>
        <v>46010.4074</v>
      </c>
      <c r="D385" s="3" t="str">
        <f>IFERROR(__xludf.DUMMYFUNCTION("""COMPUTED_VALUE"""),"Deep frezzer API")</f>
        <v>Deep frezzer API</v>
      </c>
      <c r="E385" s="3" t="str">
        <f>IFERROR(__xludf.DUMMYFUNCTION("""COMPUTED_VALUE"""),"EJO/2025/10/02")</f>
        <v>EJO/2025/10/02</v>
      </c>
      <c r="F385" s="3" t="str">
        <f>IFERROR(__xludf.DUMMYFUNCTION("""COMPUTED_VALUE"""),"Dinamo fan")</f>
        <v>Dinamo fan</v>
      </c>
      <c r="G385" s="3">
        <f>IFERROR(__xludf.DUMMYFUNCTION("""COMPUTED_VALUE"""),5.0)</f>
        <v>5</v>
      </c>
      <c r="H385" s="3" t="str">
        <f>IFERROR(__xludf.DUMMYFUNCTION("""COMPUTED_VALUE"""),"pcs")</f>
        <v>pcs</v>
      </c>
      <c r="I385" s="3" t="str">
        <f>IFERROR(__xludf.DUMMYFUNCTION("""COMPUTED_VALUE"""),"Deliver")</f>
        <v>Deliver</v>
      </c>
      <c r="J385" s="3" t="str">
        <f>IFERROR(__xludf.DUMMYFUNCTION("""COMPUTED_VALUE"""),"121704162 - APPROVED")</f>
        <v>121704162 - APPROVED</v>
      </c>
      <c r="K385" s="3" t="str">
        <f>IFERROR(__xludf.DUMMYFUNCTION("""COMPUTED_VALUE"""),"GL2605332")</f>
        <v>GL2605332</v>
      </c>
    </row>
    <row r="386">
      <c r="A386" s="3" t="str">
        <f>IFERROR(__xludf.DUMMYFUNCTION("""COMPUTED_VALUE"""),"RIABR0125")</f>
        <v>RIABR0125</v>
      </c>
      <c r="B386" s="4">
        <f>IFERROR(__xludf.DUMMYFUNCTION("""COMPUTED_VALUE"""),46008.26701225694)</f>
        <v>46008.26701</v>
      </c>
      <c r="C386" s="4">
        <f>IFERROR(__xludf.DUMMYFUNCTION("""COMPUTED_VALUE"""),46010.40679681714)</f>
        <v>46010.4068</v>
      </c>
      <c r="D386" s="3" t="str">
        <f>IFERROR(__xludf.DUMMYFUNCTION("""COMPUTED_VALUE"""),"BIBO C1-3")</f>
        <v>BIBO C1-3</v>
      </c>
      <c r="E386" s="3" t="str">
        <f>IFERROR(__xludf.DUMMYFUNCTION("""COMPUTED_VALUE"""),"EJO/2025/11/121")</f>
        <v>EJO/2025/11/121</v>
      </c>
      <c r="F386" s="3" t="str">
        <f>IFERROR(__xludf.DUMMYFUNCTION("""COMPUTED_VALUE"""),"Magnehelic")</f>
        <v>Magnehelic</v>
      </c>
      <c r="G386" s="3">
        <f>IFERROR(__xludf.DUMMYFUNCTION("""COMPUTED_VALUE"""),3.0)</f>
        <v>3</v>
      </c>
      <c r="H386" s="3" t="str">
        <f>IFERROR(__xludf.DUMMYFUNCTION("""COMPUTED_VALUE"""),"Pcs")</f>
        <v>Pcs</v>
      </c>
      <c r="I386" s="3" t="str">
        <f>IFERROR(__xludf.DUMMYFUNCTION("""COMPUTED_VALUE"""),"Deliver")</f>
        <v>Deliver</v>
      </c>
      <c r="J386" s="3" t="str">
        <f>IFERROR(__xludf.DUMMYFUNCTION("""COMPUTED_VALUE"""),"121703763 - APPROVED")</f>
        <v>121703763 - APPROVED</v>
      </c>
      <c r="K386" s="3" t="str">
        <f>IFERROR(__xludf.DUMMYFUNCTION("""COMPUTED_VALUE"""),"GL2602016")</f>
        <v>GL2602016</v>
      </c>
    </row>
    <row r="387">
      <c r="A387" s="3" t="str">
        <f>IFERROR(__xludf.DUMMYFUNCTION("""COMPUTED_VALUE"""),"RIABR0126")</f>
        <v>RIABR0126</v>
      </c>
      <c r="B387" s="4">
        <f>IFERROR(__xludf.DUMMYFUNCTION("""COMPUTED_VALUE"""),46008.26784240741)</f>
        <v>46008.26784</v>
      </c>
      <c r="C387" s="4">
        <f>IFERROR(__xludf.DUMMYFUNCTION("""COMPUTED_VALUE"""),46010.407085046296)</f>
        <v>46010.40709</v>
      </c>
      <c r="D387" s="3" t="str">
        <f>IFERROR(__xludf.DUMMYFUNCTION("""COMPUTED_VALUE"""),"AHU OS E1-1")</f>
        <v>AHU OS E1-1</v>
      </c>
      <c r="E387" s="3" t="str">
        <f>IFERROR(__xludf.DUMMYFUNCTION("""COMPUTED_VALUE"""),"-")</f>
        <v>-</v>
      </c>
      <c r="F387" s="3" t="str">
        <f>IFERROR(__xludf.DUMMYFUNCTION("""COMPUTED_VALUE"""),"Magnehelic")</f>
        <v>Magnehelic</v>
      </c>
      <c r="G387" s="3">
        <f>IFERROR(__xludf.DUMMYFUNCTION("""COMPUTED_VALUE"""),3.0)</f>
        <v>3</v>
      </c>
      <c r="H387" s="3" t="str">
        <f>IFERROR(__xludf.DUMMYFUNCTION("""COMPUTED_VALUE"""),"Pcs")</f>
        <v>Pcs</v>
      </c>
      <c r="I387" s="3" t="str">
        <f>IFERROR(__xludf.DUMMYFUNCTION("""COMPUTED_VALUE"""),"Deliver")</f>
        <v>Deliver</v>
      </c>
      <c r="J387" s="3" t="str">
        <f>IFERROR(__xludf.DUMMYFUNCTION("""COMPUTED_VALUE"""),"121704178 - APPROVED")</f>
        <v>121704178 - APPROVED</v>
      </c>
      <c r="K387" s="3" t="str">
        <f>IFERROR(__xludf.DUMMYFUNCTION("""COMPUTED_VALUE"""),"GL2605004")</f>
        <v>GL2605004</v>
      </c>
    </row>
    <row r="388">
      <c r="A388" s="3" t="str">
        <f>IFERROR(__xludf.DUMMYFUNCTION("""COMPUTED_VALUE"""),"RIABR0127")</f>
        <v>RIABR0127</v>
      </c>
      <c r="B388" s="4">
        <f>IFERROR(__xludf.DUMMYFUNCTION("""COMPUTED_VALUE"""),46008.26853159723)</f>
        <v>46008.26853</v>
      </c>
      <c r="C388" s="4">
        <f>IFERROR(__xludf.DUMMYFUNCTION("""COMPUTED_VALUE"""),46010.40723341436)</f>
        <v>46010.40723</v>
      </c>
      <c r="D388" s="3" t="str">
        <f>IFERROR(__xludf.DUMMYFUNCTION("""COMPUTED_VALUE"""),"AHU OS E1-1")</f>
        <v>AHU OS E1-1</v>
      </c>
      <c r="E388" s="3" t="str">
        <f>IFERROR(__xludf.DUMMYFUNCTION("""COMPUTED_VALUE"""),"-")</f>
        <v>-</v>
      </c>
      <c r="F388" s="3" t="str">
        <f>IFERROR(__xludf.DUMMYFUNCTION("""COMPUTED_VALUE"""),"Magnehelic")</f>
        <v>Magnehelic</v>
      </c>
      <c r="G388" s="3">
        <f>IFERROR(__xludf.DUMMYFUNCTION("""COMPUTED_VALUE"""),3.0)</f>
        <v>3</v>
      </c>
      <c r="H388" s="3" t="str">
        <f>IFERROR(__xludf.DUMMYFUNCTION("""COMPUTED_VALUE"""),"Pcs")</f>
        <v>Pcs</v>
      </c>
      <c r="I388" s="3" t="str">
        <f>IFERROR(__xludf.DUMMYFUNCTION("""COMPUTED_VALUE"""),"Deliver")</f>
        <v>Deliver</v>
      </c>
      <c r="J388" s="3" t="str">
        <f>IFERROR(__xludf.DUMMYFUNCTION("""COMPUTED_VALUE"""),"-")</f>
        <v>-</v>
      </c>
      <c r="K388" s="3" t="str">
        <f>IFERROR(__xludf.DUMMYFUNCTION("""COMPUTED_VALUE"""),"-")</f>
        <v>-</v>
      </c>
    </row>
    <row r="389">
      <c r="A389" s="3" t="str">
        <f>IFERROR(__xludf.DUMMYFUNCTION("""COMPUTED_VALUE"""),"ANOBR0041")</f>
        <v>ANOBR0041</v>
      </c>
      <c r="B389" s="4">
        <f>IFERROR(__xludf.DUMMYFUNCTION("""COMPUTED_VALUE"""),46009.38019087963)</f>
        <v>46009.38019</v>
      </c>
      <c r="C389" s="4">
        <f>IFERROR(__xludf.DUMMYFUNCTION("""COMPUTED_VALUE"""),46010.25740143519)</f>
        <v>46010.2574</v>
      </c>
      <c r="D389" s="3" t="str">
        <f>IFERROR(__xludf.DUMMYFUNCTION("""COMPUTED_VALUE"""),"Chiler Blistering")</f>
        <v>Chiler Blistering</v>
      </c>
      <c r="E389" s="3" t="str">
        <f>IFERROR(__xludf.DUMMYFUNCTION("""COMPUTED_VALUE"""),"-")</f>
        <v>-</v>
      </c>
      <c r="F389" s="3" t="str">
        <f>IFERROR(__xludf.DUMMYFUNCTION("""COMPUTED_VALUE"""),"Elbow Ornamen SS 201 dia. 4""")</f>
        <v>Elbow Ornamen SS 201 dia. 4"</v>
      </c>
      <c r="G389" s="3">
        <f>IFERROR(__xludf.DUMMYFUNCTION("""COMPUTED_VALUE"""),2.0)</f>
        <v>2</v>
      </c>
      <c r="H389" s="3" t="str">
        <f>IFERROR(__xludf.DUMMYFUNCTION("""COMPUTED_VALUE"""),"PCS")</f>
        <v>PCS</v>
      </c>
      <c r="I389" s="3" t="str">
        <f>IFERROR(__xludf.DUMMYFUNCTION("""COMPUTED_VALUE"""),"Deliver")</f>
        <v>Deliver</v>
      </c>
      <c r="J389" s="3" t="str">
        <f>IFERROR(__xludf.DUMMYFUNCTION("""COMPUTED_VALUE"""),"121703618 - APPROVED")</f>
        <v>121703618 - APPROVED</v>
      </c>
      <c r="K389" s="3" t="str">
        <f>IFERROR(__xludf.DUMMYFUNCTION("""COMPUTED_VALUE"""),"GL2512049")</f>
        <v>GL2512049</v>
      </c>
    </row>
    <row r="390">
      <c r="A390" s="3" t="str">
        <f>IFERROR(__xludf.DUMMYFUNCTION("""COMPUTED_VALUE"""),"ANOBR0042")</f>
        <v>ANOBR0042</v>
      </c>
      <c r="B390" s="4">
        <f>IFERROR(__xludf.DUMMYFUNCTION("""COMPUTED_VALUE"""),46009.391036678244)</f>
        <v>46009.39104</v>
      </c>
      <c r="C390" s="4">
        <f>IFERROR(__xludf.DUMMYFUNCTION("""COMPUTED_VALUE"""),46010.25768833333)</f>
        <v>46010.25769</v>
      </c>
      <c r="D390" s="3" t="str">
        <f>IFERROR(__xludf.DUMMYFUNCTION("""COMPUTED_VALUE"""),"Chiler Blistering")</f>
        <v>Chiler Blistering</v>
      </c>
      <c r="E390" s="3" t="str">
        <f>IFERROR(__xludf.DUMMYFUNCTION("""COMPUTED_VALUE"""),"-")</f>
        <v>-</v>
      </c>
      <c r="F390" s="3" t="str">
        <f>IFERROR(__xludf.DUMMYFUNCTION("""COMPUTED_VALUE"""),"03-Round Pipe Hanger with Blue Rubber Seat and Base SS 304 dia. 4""")</f>
        <v>03-Round Pipe Hanger with Blue Rubber Seat and Base SS 304 dia. 4"</v>
      </c>
      <c r="G390" s="3">
        <f>IFERROR(__xludf.DUMMYFUNCTION("""COMPUTED_VALUE"""),3.0)</f>
        <v>3</v>
      </c>
      <c r="H390" s="3" t="str">
        <f>IFERROR(__xludf.DUMMYFUNCTION("""COMPUTED_VALUE"""),"PCS")</f>
        <v>PCS</v>
      </c>
      <c r="I390" s="3" t="str">
        <f>IFERROR(__xludf.DUMMYFUNCTION("""COMPUTED_VALUE"""),"Deliver")</f>
        <v>Deliver</v>
      </c>
      <c r="J390" s="3" t="str">
        <f>IFERROR(__xludf.DUMMYFUNCTION("""COMPUTED_VALUE"""),"121703618 - APPROVED")</f>
        <v>121703618 - APPROVED</v>
      </c>
      <c r="K390" s="3" t="str">
        <f>IFERROR(__xludf.DUMMYFUNCTION("""COMPUTED_VALUE"""),"GL2512049")</f>
        <v>GL2512049</v>
      </c>
    </row>
    <row r="391">
      <c r="A391" s="3" t="str">
        <f>IFERROR(__xludf.DUMMYFUNCTION("""COMPUTED_VALUE"""),"INNBR0047")</f>
        <v>INNBR0047</v>
      </c>
      <c r="B391" s="4">
        <f>IFERROR(__xludf.DUMMYFUNCTION("""COMPUTED_VALUE"""),46009.3948921875)</f>
        <v>46009.39489</v>
      </c>
      <c r="C391" s="4">
        <f>IFERROR(__xludf.DUMMYFUNCTION("""COMPUTED_VALUE"""),46010.86646377314)</f>
        <v>46010.86646</v>
      </c>
      <c r="D391" s="3" t="str">
        <f>IFERROR(__xludf.DUMMYFUNCTION("""COMPUTED_VALUE"""),"HPLC 3")</f>
        <v>HPLC 3</v>
      </c>
      <c r="E391" s="3" t="str">
        <f>IFERROR(__xludf.DUMMYFUNCTION("""COMPUTED_VALUE"""),"EJO/2025/09/91")</f>
        <v>EJO/2025/09/91</v>
      </c>
      <c r="F391" s="3" t="str">
        <f>IFERROR(__xludf.DUMMYFUNCTION("""COMPUTED_VALUE"""),"WAT073109 SYRINGE, 250 uL W/ SHRINK WRAP PLUNGER")</f>
        <v>WAT073109 SYRINGE, 250 uL W/ SHRINK WRAP PLUNGER</v>
      </c>
      <c r="G391" s="3">
        <f>IFERROR(__xludf.DUMMYFUNCTION("""COMPUTED_VALUE"""),1.0)</f>
        <v>1</v>
      </c>
      <c r="H391" s="3" t="str">
        <f>IFERROR(__xludf.DUMMYFUNCTION("""COMPUTED_VALUE"""),"Pcs")</f>
        <v>Pcs</v>
      </c>
      <c r="I391" s="3" t="str">
        <f>IFERROR(__xludf.DUMMYFUNCTION("""COMPUTED_VALUE"""),"Deliver")</f>
        <v>Deliver</v>
      </c>
      <c r="J391" s="3" t="str">
        <f>IFERROR(__xludf.DUMMYFUNCTION("""COMPUTED_VALUE"""),"121704161 - APPROVED")</f>
        <v>121704161 - APPROVED</v>
      </c>
      <c r="K391" s="3" t="str">
        <f>IFERROR(__xludf.DUMMYFUNCTION("""COMPUTED_VALUE"""),"GL2604316")</f>
        <v>GL2604316</v>
      </c>
    </row>
    <row r="392">
      <c r="A392" s="3" t="str">
        <f>IFERROR(__xludf.DUMMYFUNCTION("""COMPUTED_VALUE"""),"RIABR0128")</f>
        <v>RIABR0128</v>
      </c>
      <c r="B392" s="4">
        <f>IFERROR(__xludf.DUMMYFUNCTION("""COMPUTED_VALUE"""),46010.25584149305)</f>
        <v>46010.25584</v>
      </c>
      <c r="C392" s="4">
        <f>IFERROR(__xludf.DUMMYFUNCTION("""COMPUTED_VALUE"""),46010.412136817125)</f>
        <v>46010.41214</v>
      </c>
      <c r="D392" s="3" t="str">
        <f>IFERROR(__xludf.DUMMYFUNCTION("""COMPUTED_VALUE"""),"All Area")</f>
        <v>All Area</v>
      </c>
      <c r="E392" s="3" t="str">
        <f>IFERROR(__xludf.DUMMYFUNCTION("""COMPUTED_VALUE"""),"-")</f>
        <v>-</v>
      </c>
      <c r="F392" s="3" t="str">
        <f>IFERROR(__xludf.DUMMYFUNCTION("""COMPUTED_VALUE"""),"Ventilator Portable")</f>
        <v>Ventilator Portable</v>
      </c>
      <c r="G392" s="3">
        <f>IFERROR(__xludf.DUMMYFUNCTION("""COMPUTED_VALUE"""),2.0)</f>
        <v>2</v>
      </c>
      <c r="H392" s="3" t="str">
        <f>IFERROR(__xludf.DUMMYFUNCTION("""COMPUTED_VALUE"""),"Set")</f>
        <v>Set</v>
      </c>
      <c r="I392" s="3" t="str">
        <f>IFERROR(__xludf.DUMMYFUNCTION("""COMPUTED_VALUE"""),"Deliver")</f>
        <v>Deliver</v>
      </c>
      <c r="J392" s="3" t="str">
        <f>IFERROR(__xludf.DUMMYFUNCTION("""COMPUTED_VALUE"""),"121704447 - APPROVED")</f>
        <v>121704447 - APPROVED</v>
      </c>
      <c r="K392" s="3" t="str">
        <f>IFERROR(__xludf.DUMMYFUNCTION("""COMPUTED_VALUE"""),"GL2608397")</f>
        <v>GL2608397</v>
      </c>
    </row>
    <row r="393">
      <c r="A393" s="3" t="str">
        <f>IFERROR(__xludf.DUMMYFUNCTION("""COMPUTED_VALUE"""),"RIABR0131")</f>
        <v>RIABR0131</v>
      </c>
      <c r="B393" s="4">
        <f>IFERROR(__xludf.DUMMYFUNCTION("""COMPUTED_VALUE"""),46010.26237335648)</f>
        <v>46010.26237</v>
      </c>
      <c r="C393" s="4">
        <f>IFERROR(__xludf.DUMMYFUNCTION("""COMPUTED_VALUE"""),46015.37696512731)</f>
        <v>46015.37697</v>
      </c>
      <c r="D393" s="3" t="str">
        <f>IFERROR(__xludf.DUMMYFUNCTION("""COMPUTED_VALUE"""),"All Area")</f>
        <v>All Area</v>
      </c>
      <c r="E393" s="3" t="str">
        <f>IFERROR(__xludf.DUMMYFUNCTION("""COMPUTED_VALUE"""),"-")</f>
        <v>-</v>
      </c>
      <c r="F393" s="3" t="str">
        <f>IFERROR(__xludf.DUMMYFUNCTION("""COMPUTED_VALUE"""),"MCB Finder")</f>
        <v>MCB Finder</v>
      </c>
      <c r="G393" s="3">
        <f>IFERROR(__xludf.DUMMYFUNCTION("""COMPUTED_VALUE"""),1.0)</f>
        <v>1</v>
      </c>
      <c r="H393" s="3" t="str">
        <f>IFERROR(__xludf.DUMMYFUNCTION("""COMPUTED_VALUE"""),"Set")</f>
        <v>Set</v>
      </c>
      <c r="I393" s="3" t="str">
        <f>IFERROR(__xludf.DUMMYFUNCTION("""COMPUTED_VALUE"""),"Deliver")</f>
        <v>Deliver</v>
      </c>
      <c r="J393" s="3" t="str">
        <f>IFERROR(__xludf.DUMMYFUNCTION("""COMPUTED_VALUE"""),"121703997 - APPROVED")</f>
        <v>121703997 - APPROVED</v>
      </c>
      <c r="K393" s="3" t="str">
        <f>IFERROR(__xludf.DUMMYFUNCTION("""COMPUTED_VALUE"""),"GL2604492")</f>
        <v>GL2604492</v>
      </c>
    </row>
    <row r="394">
      <c r="A394" s="3" t="str">
        <f>IFERROR(__xludf.DUMMYFUNCTION("""COMPUTED_VALUE"""),"RIABR0132")</f>
        <v>RIABR0132</v>
      </c>
      <c r="B394" s="4">
        <f>IFERROR(__xludf.DUMMYFUNCTION("""COMPUTED_VALUE"""),46010.26792935185)</f>
        <v>46010.26793</v>
      </c>
      <c r="C394" s="4">
        <f>IFERROR(__xludf.DUMMYFUNCTION("""COMPUTED_VALUE"""),46015.42953011574)</f>
        <v>46015.42953</v>
      </c>
      <c r="D394" s="3" t="str">
        <f>IFERROR(__xludf.DUMMYFUNCTION("""COMPUTED_VALUE"""),"All Area")</f>
        <v>All Area</v>
      </c>
      <c r="E394" s="3" t="str">
        <f>IFERROR(__xludf.DUMMYFUNCTION("""COMPUTED_VALUE"""),"-")</f>
        <v>-</v>
      </c>
      <c r="F394" s="3" t="str">
        <f>IFERROR(__xludf.DUMMYFUNCTION("""COMPUTED_VALUE"""),"Stop Kontak Tester")</f>
        <v>Stop Kontak Tester</v>
      </c>
      <c r="G394" s="3">
        <f>IFERROR(__xludf.DUMMYFUNCTION("""COMPUTED_VALUE"""),2.0)</f>
        <v>2</v>
      </c>
      <c r="H394" s="3" t="str">
        <f>IFERROR(__xludf.DUMMYFUNCTION("""COMPUTED_VALUE"""),"Pcs")</f>
        <v>Pcs</v>
      </c>
      <c r="I394" s="3" t="str">
        <f>IFERROR(__xludf.DUMMYFUNCTION("""COMPUTED_VALUE"""),"Deliver")</f>
        <v>Deliver</v>
      </c>
      <c r="J394" s="3" t="str">
        <f>IFERROR(__xludf.DUMMYFUNCTION("""COMPUTED_VALUE"""),"121704043 - APPROVED")</f>
        <v>121704043 - APPROVED</v>
      </c>
      <c r="K394" s="3" t="str">
        <f>IFERROR(__xludf.DUMMYFUNCTION("""COMPUTED_VALUE"""),"GL2604492")</f>
        <v>GL2604492</v>
      </c>
    </row>
    <row r="395">
      <c r="A395" s="3" t="str">
        <f>IFERROR(__xludf.DUMMYFUNCTION("""COMPUTED_VALUE"""),"RIABR0133")</f>
        <v>RIABR0133</v>
      </c>
      <c r="B395" s="4">
        <f>IFERROR(__xludf.DUMMYFUNCTION("""COMPUTED_VALUE"""),46010.27164604166)</f>
        <v>46010.27165</v>
      </c>
      <c r="C395" s="4">
        <f>IFERROR(__xludf.DUMMYFUNCTION("""COMPUTED_VALUE"""),46015.47676028935)</f>
        <v>46015.47676</v>
      </c>
      <c r="D395" s="3" t="str">
        <f>IFERROR(__xludf.DUMMYFUNCTION("""COMPUTED_VALUE"""),"All Area")</f>
        <v>All Area</v>
      </c>
      <c r="E395" s="3" t="str">
        <f>IFERROR(__xludf.DUMMYFUNCTION("""COMPUTED_VALUE"""),"-")</f>
        <v>-</v>
      </c>
      <c r="F395" s="3" t="str">
        <f>IFERROR(__xludf.DUMMYFUNCTION("""COMPUTED_VALUE"""),"Thermal Mobile Cam")</f>
        <v>Thermal Mobile Cam</v>
      </c>
      <c r="G395" s="3">
        <f>IFERROR(__xludf.DUMMYFUNCTION("""COMPUTED_VALUE"""),1.0)</f>
        <v>1</v>
      </c>
      <c r="H395" s="3" t="str">
        <f>IFERROR(__xludf.DUMMYFUNCTION("""COMPUTED_VALUE"""),"Pcs")</f>
        <v>Pcs</v>
      </c>
      <c r="I395" s="3" t="str">
        <f>IFERROR(__xludf.DUMMYFUNCTION("""COMPUTED_VALUE"""),"Approval PR")</f>
        <v>Approval PR</v>
      </c>
      <c r="J395" s="3" t="str">
        <f>IFERROR(__xludf.DUMMYFUNCTION("""COMPUTED_VALUE"""),"121703999 - INCOMPLETE")</f>
        <v>121703999 - INCOMPLETE</v>
      </c>
      <c r="K395" s="3" t="str">
        <f>IFERROR(__xludf.DUMMYFUNCTION("""COMPUTED_VALUE"""),"-")</f>
        <v>-</v>
      </c>
    </row>
    <row r="396">
      <c r="A396" s="3" t="str">
        <f>IFERROR(__xludf.DUMMYFUNCTION("""COMPUTED_VALUE"""),"NDSBR0046")</f>
        <v>NDSBR0046</v>
      </c>
      <c r="B396" s="4">
        <f>IFERROR(__xludf.DUMMYFUNCTION("""COMPUTED_VALUE"""),46010.59134186342)</f>
        <v>46010.59134</v>
      </c>
      <c r="C396" s="4">
        <f>IFERROR(__xludf.DUMMYFUNCTION("""COMPUTED_VALUE"""),46027.76048601852)</f>
        <v>46027.76049</v>
      </c>
      <c r="D396" s="3" t="str">
        <f>IFERROR(__xludf.DUMMYFUNCTION("""COMPUTED_VALUE"""),"Intermediat OSD")</f>
        <v>Intermediat OSD</v>
      </c>
      <c r="E396" s="3" t="str">
        <f>IFERROR(__xludf.DUMMYFUNCTION("""COMPUTED_VALUE"""),"EJO/2025/10/180")</f>
        <v>EJO/2025/10/180</v>
      </c>
      <c r="F396" s="3" t="str">
        <f>IFERROR(__xludf.DUMMYFUNCTION("""COMPUTED_VALUE"""),"Bracket Timbangan VGA")</f>
        <v>Bracket Timbangan VGA</v>
      </c>
      <c r="G396" s="3">
        <f>IFERROR(__xludf.DUMMYFUNCTION("""COMPUTED_VALUE"""),1.0)</f>
        <v>1</v>
      </c>
      <c r="H396" s="3" t="str">
        <f>IFERROR(__xludf.DUMMYFUNCTION("""COMPUTED_VALUE"""),"PCS")</f>
        <v>PCS</v>
      </c>
      <c r="I396" s="3" t="str">
        <f>IFERROR(__xludf.DUMMYFUNCTION("""COMPUTED_VALUE"""),"Deliver")</f>
        <v>Deliver</v>
      </c>
      <c r="J396" s="3" t="str">
        <f>IFERROR(__xludf.DUMMYFUNCTION("""COMPUTED_VALUE"""),"121703987 - APPROVED")</f>
        <v>121703987 - APPROVED</v>
      </c>
      <c r="K396" s="3" t="str">
        <f>IFERROR(__xludf.DUMMYFUNCTION("""COMPUTED_VALUE"""),"GL2603054")</f>
        <v>GL2603054</v>
      </c>
    </row>
    <row r="397">
      <c r="A397" s="3" t="str">
        <f>IFERROR(__xludf.DUMMYFUNCTION("""COMPUTED_VALUE"""),"ROSBR0052")</f>
        <v>ROSBR0052</v>
      </c>
      <c r="B397" s="4">
        <f>IFERROR(__xludf.DUMMYFUNCTION("""COMPUTED_VALUE"""),46017.358376909724)</f>
        <v>46017.35838</v>
      </c>
      <c r="C397" s="4">
        <f>IFERROR(__xludf.DUMMYFUNCTION("""COMPUTED_VALUE"""),46027.7848984375)</f>
        <v>46027.7849</v>
      </c>
      <c r="D397" s="3" t="str">
        <f>IFERROR(__xludf.DUMMYFUNCTION("""COMPUTED_VALUE"""),"Cylinder Outfeed Washing ")</f>
        <v>Cylinder Outfeed Washing </v>
      </c>
      <c r="E397" s="3" t="str">
        <f>IFERROR(__xludf.DUMMYFUNCTION("""COMPUTED_VALUE"""),"NA")</f>
        <v>NA</v>
      </c>
      <c r="F397" s="3" t="str">
        <f>IFERROR(__xludf.DUMMYFUNCTION("""COMPUTED_VALUE"""),"Push-in fitting")</f>
        <v>Push-in fitting</v>
      </c>
      <c r="G397" s="3">
        <f>IFERROR(__xludf.DUMMYFUNCTION("""COMPUTED_VALUE"""),10.0)</f>
        <v>10</v>
      </c>
      <c r="H397" s="3" t="str">
        <f>IFERROR(__xludf.DUMMYFUNCTION("""COMPUTED_VALUE"""),"pcs")</f>
        <v>pcs</v>
      </c>
      <c r="I397" s="3" t="str">
        <f>IFERROR(__xludf.DUMMYFUNCTION("""COMPUTED_VALUE"""),"Approval Item Code")</f>
        <v>Approval Item Code</v>
      </c>
      <c r="J397" s="3" t="str">
        <f>IFERROR(__xludf.DUMMYFUNCTION("""COMPUTED_VALUE"""),"-")</f>
        <v>-</v>
      </c>
      <c r="K397" s="3" t="str">
        <f>IFERROR(__xludf.DUMMYFUNCTION("""COMPUTED_VALUE"""),"-")</f>
        <v>-</v>
      </c>
    </row>
    <row r="398">
      <c r="A398" s="3" t="str">
        <f>IFERROR(__xludf.DUMMYFUNCTION("""COMPUTED_VALUE"""),"ROSBR0053")</f>
        <v>ROSBR0053</v>
      </c>
      <c r="B398" s="4">
        <f>IFERROR(__xludf.DUMMYFUNCTION("""COMPUTED_VALUE"""),46017.3594032176)</f>
        <v>46017.3594</v>
      </c>
      <c r="C398" s="4">
        <f>IFERROR(__xludf.DUMMYFUNCTION("""COMPUTED_VALUE"""),46027.785303564815)</f>
        <v>46027.7853</v>
      </c>
      <c r="D398" s="3" t="str">
        <f>IFERROR(__xludf.DUMMYFUNCTION("""COMPUTED_VALUE"""),"Cylinder Outfeed Washing ")</f>
        <v>Cylinder Outfeed Washing </v>
      </c>
      <c r="E398" s="3" t="str">
        <f>IFERROR(__xludf.DUMMYFUNCTION("""COMPUTED_VALUE"""),"NA")</f>
        <v>NA</v>
      </c>
      <c r="F398" s="3" t="str">
        <f>IFERROR(__xludf.DUMMYFUNCTION("""COMPUTED_VALUE"""),"Push-in fitting")</f>
        <v>Push-in fitting</v>
      </c>
      <c r="G398" s="3">
        <f>IFERROR(__xludf.DUMMYFUNCTION("""COMPUTED_VALUE"""),10.0)</f>
        <v>10</v>
      </c>
      <c r="H398" s="3" t="str">
        <f>IFERROR(__xludf.DUMMYFUNCTION("""COMPUTED_VALUE"""),"pcs")</f>
        <v>pcs</v>
      </c>
      <c r="I398" s="3" t="str">
        <f>IFERROR(__xludf.DUMMYFUNCTION("""COMPUTED_VALUE"""),"Deliver")</f>
        <v>Deliver</v>
      </c>
      <c r="J398" s="3" t="str">
        <f>IFERROR(__xludf.DUMMYFUNCTION("""COMPUTED_VALUE"""),"121704041 - APPROVED")</f>
        <v>121704041 - APPROVED</v>
      </c>
      <c r="K398" s="3" t="str">
        <f>IFERROR(__xludf.DUMMYFUNCTION("""COMPUTED_VALUE"""),"GL2604306")</f>
        <v>GL2604306</v>
      </c>
    </row>
    <row r="399">
      <c r="A399" s="3" t="str">
        <f>IFERROR(__xludf.DUMMYFUNCTION("""COMPUTED_VALUE"""),"ROSBR0055")</f>
        <v>ROSBR0055</v>
      </c>
      <c r="B399" s="4">
        <f>IFERROR(__xludf.DUMMYFUNCTION("""COMPUTED_VALUE"""),46024.655250138894)</f>
        <v>46024.65525</v>
      </c>
      <c r="C399" s="4">
        <f>IFERROR(__xludf.DUMMYFUNCTION("""COMPUTED_VALUE"""),46027.78761982639)</f>
        <v>46027.78762</v>
      </c>
      <c r="D399" s="3" t="str">
        <f>IFERROR(__xludf.DUMMYFUNCTION("""COMPUTED_VALUE"""),"Stoper rubber filling ")</f>
        <v>Stoper rubber filling </v>
      </c>
      <c r="E399" s="3" t="str">
        <f>IFERROR(__xludf.DUMMYFUNCTION("""COMPUTED_VALUE"""),"NA")</f>
        <v>NA</v>
      </c>
      <c r="F399" s="3" t="str">
        <f>IFERROR(__xludf.DUMMYFUNCTION("""COMPUTED_VALUE"""),"Oring Head stoper rubber")</f>
        <v>Oring Head stoper rubber</v>
      </c>
      <c r="G399" s="3">
        <f>IFERROR(__xludf.DUMMYFUNCTION("""COMPUTED_VALUE"""),20.0)</f>
        <v>20</v>
      </c>
      <c r="H399" s="3" t="str">
        <f>IFERROR(__xludf.DUMMYFUNCTION("""COMPUTED_VALUE"""),"pcs")</f>
        <v>pcs</v>
      </c>
      <c r="I399" s="3" t="str">
        <f>IFERROR(__xludf.DUMMYFUNCTION("""COMPUTED_VALUE"""),"PR Open")</f>
        <v>PR Open</v>
      </c>
      <c r="J399" s="3" t="str">
        <f>IFERROR(__xludf.DUMMYFUNCTION("""COMPUTED_VALUE"""),"121704555 - APPROVED")</f>
        <v>121704555 - APPROVED</v>
      </c>
      <c r="K399" s="3" t="str">
        <f>IFERROR(__xludf.DUMMYFUNCTION("""COMPUTED_VALUE"""),"-")</f>
        <v>-</v>
      </c>
    </row>
    <row r="400">
      <c r="A400" s="3" t="str">
        <f>IFERROR(__xludf.DUMMYFUNCTION("""COMPUTED_VALUE"""),"ROSBR0056")</f>
        <v>ROSBR0056</v>
      </c>
      <c r="B400" s="4">
        <f>IFERROR(__xludf.DUMMYFUNCTION("""COMPUTED_VALUE"""),46024.97027935185)</f>
        <v>46024.97028</v>
      </c>
      <c r="C400" s="4">
        <f>IFERROR(__xludf.DUMMYFUNCTION("""COMPUTED_VALUE"""),46027.788053888886)</f>
        <v>46027.78805</v>
      </c>
      <c r="D400" s="3" t="str">
        <f>IFERROR(__xludf.DUMMYFUNCTION("""COMPUTED_VALUE"""),"BOD 3")</f>
        <v>BOD 3</v>
      </c>
      <c r="E400" s="3" t="str">
        <f>IFERROR(__xludf.DUMMYFUNCTION("""COMPUTED_VALUE"""),"NA")</f>
        <v>NA</v>
      </c>
      <c r="F400" s="3" t="str">
        <f>IFERROR(__xludf.DUMMYFUNCTION("""COMPUTED_VALUE"""),"Swinghandle BOD 3")</f>
        <v>Swinghandle BOD 3</v>
      </c>
      <c r="G400" s="3">
        <f>IFERROR(__xludf.DUMMYFUNCTION("""COMPUTED_VALUE"""),2.0)</f>
        <v>2</v>
      </c>
      <c r="H400" s="3" t="str">
        <f>IFERROR(__xludf.DUMMYFUNCTION("""COMPUTED_VALUE"""),"set")</f>
        <v>set</v>
      </c>
      <c r="I400" s="3" t="str">
        <f>IFERROR(__xludf.DUMMYFUNCTION("""COMPUTED_VALUE"""),"Deliver")</f>
        <v>Deliver</v>
      </c>
      <c r="J400" s="3" t="str">
        <f>IFERROR(__xludf.DUMMYFUNCTION("""COMPUTED_VALUE"""),"121703822 - APPROVED")</f>
        <v>121703822 - APPROVED</v>
      </c>
      <c r="K400" s="3" t="str">
        <f>IFERROR(__xludf.DUMMYFUNCTION("""COMPUTED_VALUE"""),"GL2603003")</f>
        <v>GL2603003</v>
      </c>
    </row>
    <row r="401">
      <c r="A401" s="3" t="str">
        <f>IFERROR(__xludf.DUMMYFUNCTION("""COMPUTED_VALUE"""),"AAABR0029")</f>
        <v>AAABR0029</v>
      </c>
      <c r="B401" s="4">
        <f>IFERROR(__xludf.DUMMYFUNCTION("""COMPUTED_VALUE"""),46027.6861356713)</f>
        <v>46027.68614</v>
      </c>
      <c r="C401" s="4">
        <f>IFERROR(__xludf.DUMMYFUNCTION("""COMPUTED_VALUE"""),46050.27985724537)</f>
        <v>46050.27986</v>
      </c>
      <c r="D401" s="3" t="str">
        <f>IFERROR(__xludf.DUMMYFUNCTION("""COMPUTED_VALUE"""),"dissolution tester")</f>
        <v>dissolution tester</v>
      </c>
      <c r="E401" s="3" t="str">
        <f>IFERROR(__xludf.DUMMYFUNCTION("""COMPUTED_VALUE"""),"Menyusul")</f>
        <v>Menyusul</v>
      </c>
      <c r="F401" s="3" t="str">
        <f>IFERROR(__xludf.DUMMYFUNCTION("""COMPUTED_VALUE"""),"refill board DSR auto sampler ")</f>
        <v>refill board DSR auto sampler </v>
      </c>
      <c r="G401" s="3">
        <f>IFERROR(__xludf.DUMMYFUNCTION("""COMPUTED_VALUE"""),1.0)</f>
        <v>1</v>
      </c>
      <c r="H401" s="3" t="str">
        <f>IFERROR(__xludf.DUMMYFUNCTION("""COMPUTED_VALUE"""),"unit")</f>
        <v>unit</v>
      </c>
      <c r="I401" s="3" t="str">
        <f>IFERROR(__xludf.DUMMYFUNCTION("""COMPUTED_VALUE"""),"Deliver")</f>
        <v>Deliver</v>
      </c>
      <c r="J401" s="3" t="str">
        <f>IFERROR(__xludf.DUMMYFUNCTION("""COMPUTED_VALUE"""),"121703904 - APPROVED")</f>
        <v>121703904 - APPROVED</v>
      </c>
      <c r="K401" s="3" t="str">
        <f>IFERROR(__xludf.DUMMYFUNCTION("""COMPUTED_VALUE"""),"GL2603022")</f>
        <v>GL2603022</v>
      </c>
    </row>
    <row r="402">
      <c r="A402" s="3" t="str">
        <f>IFERROR(__xludf.DUMMYFUNCTION("""COMPUTED_VALUE"""),"ROSBR0057")</f>
        <v>ROSBR0057</v>
      </c>
      <c r="B402" s="4">
        <f>IFERROR(__xludf.DUMMYFUNCTION("""COMPUTED_VALUE"""),46029.51480841436)</f>
        <v>46029.51481</v>
      </c>
      <c r="C402" s="4">
        <f>IFERROR(__xludf.DUMMYFUNCTION("""COMPUTED_VALUE"""),46030.50310611111)</f>
        <v>46030.50311</v>
      </c>
      <c r="D402" s="3" t="str">
        <f>IFERROR(__xludf.DUMMYFUNCTION("""COMPUTED_VALUE"""),"Paku rivet ")</f>
        <v>Paku rivet </v>
      </c>
      <c r="E402" s="3" t="str">
        <f>IFERROR(__xludf.DUMMYFUNCTION("""COMPUTED_VALUE"""),"NA")</f>
        <v>NA</v>
      </c>
      <c r="F402" s="3" t="str">
        <f>IFERROR(__xludf.DUMMYFUNCTION("""COMPUTED_VALUE"""),"Paku rivet ")</f>
        <v>Paku rivet </v>
      </c>
      <c r="G402" s="3">
        <f>IFERROR(__xludf.DUMMYFUNCTION("""COMPUTED_VALUE"""),1.0)</f>
        <v>1</v>
      </c>
      <c r="H402" s="3" t="str">
        <f>IFERROR(__xludf.DUMMYFUNCTION("""COMPUTED_VALUE"""),"pac")</f>
        <v>pac</v>
      </c>
      <c r="I402" s="3" t="str">
        <f>IFERROR(__xludf.DUMMYFUNCTION("""COMPUTED_VALUE"""),"Deliver")</f>
        <v>Deliver</v>
      </c>
      <c r="J402" s="3" t="str">
        <f>IFERROR(__xludf.DUMMYFUNCTION("""COMPUTED_VALUE"""),"121704369 - APPROVED")</f>
        <v>121704369 - APPROVED</v>
      </c>
      <c r="K402" s="3" t="str">
        <f>IFERROR(__xludf.DUMMYFUNCTION("""COMPUTED_VALUE"""),"GL2607378")</f>
        <v>GL2607378</v>
      </c>
    </row>
    <row r="403">
      <c r="A403" s="3" t="str">
        <f>IFERROR(__xludf.DUMMYFUNCTION("""COMPUTED_VALUE"""),"ROSBR0058")</f>
        <v>ROSBR0058</v>
      </c>
      <c r="B403" s="4">
        <f>IFERROR(__xludf.DUMMYFUNCTION("""COMPUTED_VALUE"""),46029.51480841436)</f>
        <v>46029.51481</v>
      </c>
      <c r="C403" s="4">
        <f>IFERROR(__xludf.DUMMYFUNCTION("""COMPUTED_VALUE"""),46030.503285046296)</f>
        <v>46030.50329</v>
      </c>
      <c r="D403" s="3" t="str">
        <f>IFERROR(__xludf.DUMMYFUNCTION("""COMPUTED_VALUE"""),"Paku rivet ")</f>
        <v>Paku rivet </v>
      </c>
      <c r="E403" s="3" t="str">
        <f>IFERROR(__xludf.DUMMYFUNCTION("""COMPUTED_VALUE"""),"NA")</f>
        <v>NA</v>
      </c>
      <c r="F403" s="3" t="str">
        <f>IFERROR(__xludf.DUMMYFUNCTION("""COMPUTED_VALUE"""),"Paku rivet ")</f>
        <v>Paku rivet </v>
      </c>
      <c r="G403" s="3">
        <f>IFERROR(__xludf.DUMMYFUNCTION("""COMPUTED_VALUE"""),1.0)</f>
        <v>1</v>
      </c>
      <c r="H403" s="3" t="str">
        <f>IFERROR(__xludf.DUMMYFUNCTION("""COMPUTED_VALUE"""),"pac")</f>
        <v>pac</v>
      </c>
      <c r="I403" s="3" t="str">
        <f>IFERROR(__xludf.DUMMYFUNCTION("""COMPUTED_VALUE"""),"Deliver")</f>
        <v>Deliver</v>
      </c>
      <c r="J403" s="3" t="str">
        <f>IFERROR(__xludf.DUMMYFUNCTION("""COMPUTED_VALUE"""),"121704369 - APPROVED")</f>
        <v>121704369 - APPROVED</v>
      </c>
      <c r="K403" s="3" t="str">
        <f>IFERROR(__xludf.DUMMYFUNCTION("""COMPUTED_VALUE"""),"GL2607378")</f>
        <v>GL2607378</v>
      </c>
    </row>
    <row r="404">
      <c r="A404" s="3" t="str">
        <f>IFERROR(__xludf.DUMMYFUNCTION("""COMPUTED_VALUE"""),"ROSBR0060")</f>
        <v>ROSBR0060</v>
      </c>
      <c r="B404" s="4">
        <f>IFERROR(__xludf.DUMMYFUNCTION("""COMPUTED_VALUE"""),46029.52208690972)</f>
        <v>46029.52209</v>
      </c>
      <c r="C404" s="4">
        <f>IFERROR(__xludf.DUMMYFUNCTION("""COMPUTED_VALUE"""),46030.56064773148)</f>
        <v>46030.56065</v>
      </c>
      <c r="D404" s="3" t="str">
        <f>IFERROR(__xludf.DUMMYFUNCTION("""COMPUTED_VALUE"""),"Kunci L bintang ")</f>
        <v>Kunci L bintang </v>
      </c>
      <c r="E404" s="3" t="str">
        <f>IFERROR(__xludf.DUMMYFUNCTION("""COMPUTED_VALUE"""),"NA")</f>
        <v>NA</v>
      </c>
      <c r="F404" s="3" t="str">
        <f>IFERROR(__xludf.DUMMYFUNCTION("""COMPUTED_VALUE"""),"KUNCI L BINTANG SET LUBANG")</f>
        <v>KUNCI L BINTANG SET LUBANG</v>
      </c>
      <c r="G404" s="3">
        <f>IFERROR(__xludf.DUMMYFUNCTION("""COMPUTED_VALUE"""),1.0)</f>
        <v>1</v>
      </c>
      <c r="H404" s="3" t="str">
        <f>IFERROR(__xludf.DUMMYFUNCTION("""COMPUTED_VALUE"""),"set")</f>
        <v>set</v>
      </c>
      <c r="I404" s="3" t="str">
        <f>IFERROR(__xludf.DUMMYFUNCTION("""COMPUTED_VALUE"""),"Deliver")</f>
        <v>Deliver</v>
      </c>
      <c r="J404" s="3" t="str">
        <f>IFERROR(__xludf.DUMMYFUNCTION("""COMPUTED_VALUE"""),"121703826 - APPROVED")</f>
        <v>121703826 - APPROVED</v>
      </c>
      <c r="K404" s="3" t="str">
        <f>IFERROR(__xludf.DUMMYFUNCTION("""COMPUTED_VALUE"""),"GL2603049")</f>
        <v>GL2603049</v>
      </c>
    </row>
    <row r="405">
      <c r="A405" s="3" t="str">
        <f>IFERROR(__xludf.DUMMYFUNCTION("""COMPUTED_VALUE"""),"ROSBR0061")</f>
        <v>ROSBR0061</v>
      </c>
      <c r="B405" s="4">
        <f>IFERROR(__xludf.DUMMYFUNCTION("""COMPUTED_VALUE"""),46029.583617199074)</f>
        <v>46029.58362</v>
      </c>
      <c r="C405" s="4">
        <f>IFERROR(__xludf.DUMMYFUNCTION("""COMPUTED_VALUE"""),46030.56394912037)</f>
        <v>46030.56395</v>
      </c>
      <c r="D405" s="3" t="str">
        <f>IFERROR(__xludf.DUMMYFUNCTION("""COMPUTED_VALUE"""),"Obeng minus dan plus")</f>
        <v>Obeng minus dan plus</v>
      </c>
      <c r="E405" s="3" t="str">
        <f>IFERROR(__xludf.DUMMYFUNCTION("""COMPUTED_VALUE"""),"NA")</f>
        <v>NA</v>
      </c>
      <c r="F405" s="3" t="str">
        <f>IFERROR(__xludf.DUMMYFUNCTION("""COMPUTED_VALUE"""),"Krisbow Screwdriver Obeng Plus &amp; Minus 8 Pcs - Kuning Lrsst8")</f>
        <v>Krisbow Screwdriver Obeng Plus &amp; Minus 8 Pcs - Kuning Lrsst8</v>
      </c>
      <c r="G405" s="3">
        <f>IFERROR(__xludf.DUMMYFUNCTION("""COMPUTED_VALUE"""),2.0)</f>
        <v>2</v>
      </c>
      <c r="H405" s="3" t="str">
        <f>IFERROR(__xludf.DUMMYFUNCTION("""COMPUTED_VALUE"""),"set")</f>
        <v>set</v>
      </c>
      <c r="I405" s="3" t="str">
        <f>IFERROR(__xludf.DUMMYFUNCTION("""COMPUTED_VALUE"""),"PR Open")</f>
        <v>PR Open</v>
      </c>
      <c r="J405" s="3" t="str">
        <f>IFERROR(__xludf.DUMMYFUNCTION("""COMPUTED_VALUE"""),"121704550 - APPROVED")</f>
        <v>121704550 - APPROVED</v>
      </c>
      <c r="K405" s="3" t="str">
        <f>IFERROR(__xludf.DUMMYFUNCTION("""COMPUTED_VALUE"""),"-")</f>
        <v>-</v>
      </c>
    </row>
    <row r="406">
      <c r="A406" s="3" t="str">
        <f>IFERROR(__xludf.DUMMYFUNCTION("""COMPUTED_VALUE"""),"ROSBR0062")</f>
        <v>ROSBR0062</v>
      </c>
      <c r="B406" s="4">
        <f>IFERROR(__xludf.DUMMYFUNCTION("""COMPUTED_VALUE"""),46029.58978219907)</f>
        <v>46029.58978</v>
      </c>
      <c r="C406" s="4">
        <f>IFERROR(__xludf.DUMMYFUNCTION("""COMPUTED_VALUE"""),46030.564154328706)</f>
        <v>46030.56415</v>
      </c>
      <c r="D406" s="3" t="str">
        <f>IFERROR(__xludf.DUMMYFUNCTION("""COMPUTED_VALUE"""),"Tang tekiro bengkok")</f>
        <v>Tang tekiro bengkok</v>
      </c>
      <c r="E406" s="3" t="str">
        <f>IFERROR(__xludf.DUMMYFUNCTION("""COMPUTED_VALUE"""),"NA ")</f>
        <v>NA </v>
      </c>
      <c r="F406" s="3" t="str">
        <f>IFERROR(__xludf.DUMMYFUNCTION("""COMPUTED_VALUE"""),"TEKIRO TANG BUAYA BENGKOK 10 INCH /")</f>
        <v>TEKIRO TANG BUAYA BENGKOK 10 INCH /</v>
      </c>
      <c r="G406" s="3">
        <f>IFERROR(__xludf.DUMMYFUNCTION("""COMPUTED_VALUE"""),2.0)</f>
        <v>2</v>
      </c>
      <c r="H406" s="3" t="str">
        <f>IFERROR(__xludf.DUMMYFUNCTION("""COMPUTED_VALUE"""),"pcs")</f>
        <v>pcs</v>
      </c>
      <c r="I406" s="3" t="str">
        <f>IFERROR(__xludf.DUMMYFUNCTION("""COMPUTED_VALUE"""),"PO Open")</f>
        <v>PO Open</v>
      </c>
      <c r="J406" s="3" t="str">
        <f>IFERROR(__xludf.DUMMYFUNCTION("""COMPUTED_VALUE"""),"121704379 - APPROVED")</f>
        <v>121704379 - APPROVED</v>
      </c>
      <c r="K406" s="3" t="str">
        <f>IFERROR(__xludf.DUMMYFUNCTION("""COMPUTED_VALUE"""),"GL2608001")</f>
        <v>GL2608001</v>
      </c>
    </row>
    <row r="407">
      <c r="A407" s="3" t="str">
        <f>IFERROR(__xludf.DUMMYFUNCTION("""COMPUTED_VALUE"""),"ROSBR0064")</f>
        <v>ROSBR0064</v>
      </c>
      <c r="B407" s="4">
        <f>IFERROR(__xludf.DUMMYFUNCTION("""COMPUTED_VALUE"""),46030.47601230324)</f>
        <v>46030.47601</v>
      </c>
      <c r="C407" s="4">
        <f>IFERROR(__xludf.DUMMYFUNCTION("""COMPUTED_VALUE"""),46030.564615104166)</f>
        <v>46030.56462</v>
      </c>
      <c r="D407" s="3" t="str">
        <f>IFERROR(__xludf.DUMMYFUNCTION("""COMPUTED_VALUE"""),"Gloove Port Orabs ")</f>
        <v>Gloove Port Orabs </v>
      </c>
      <c r="E407" s="3" t="str">
        <f>IFERROR(__xludf.DUMMYFUNCTION("""COMPUTED_VALUE"""),"NA")</f>
        <v>NA</v>
      </c>
      <c r="F407" s="3" t="str">
        <f>IFERROR(__xludf.DUMMYFUNCTION("""COMPUTED_VALUE"""),"O-Ring Sleeve Orabs  Gloove port ")</f>
        <v>O-Ring Sleeve Orabs  Gloove port </v>
      </c>
      <c r="G407" s="3">
        <f>IFERROR(__xludf.DUMMYFUNCTION("""COMPUTED_VALUE"""),5.0)</f>
        <v>5</v>
      </c>
      <c r="H407" s="3" t="str">
        <f>IFERROR(__xludf.DUMMYFUNCTION("""COMPUTED_VALUE"""),"pcs")</f>
        <v>pcs</v>
      </c>
      <c r="I407" s="3" t="str">
        <f>IFERROR(__xludf.DUMMYFUNCTION("""COMPUTED_VALUE"""),"Deliver")</f>
        <v>Deliver</v>
      </c>
      <c r="J407" s="3" t="str">
        <f>IFERROR(__xludf.DUMMYFUNCTION("""COMPUTED_VALUE"""),"121704179 - APPROVED")</f>
        <v>121704179 - APPROVED</v>
      </c>
      <c r="K407" s="3" t="str">
        <f>IFERROR(__xludf.DUMMYFUNCTION("""COMPUTED_VALUE"""),"GL2605005")</f>
        <v>GL2605005</v>
      </c>
    </row>
    <row r="408">
      <c r="A408" s="3" t="str">
        <f>IFERROR(__xludf.DUMMYFUNCTION("""COMPUTED_VALUE"""),"ROSBR0065")</f>
        <v>ROSBR0065</v>
      </c>
      <c r="B408" s="4">
        <f>IFERROR(__xludf.DUMMYFUNCTION("""COMPUTED_VALUE"""),46030.476465057865)</f>
        <v>46030.47647</v>
      </c>
      <c r="C408" s="4">
        <f>IFERROR(__xludf.DUMMYFUNCTION("""COMPUTED_VALUE"""),46030.564990555555)</f>
        <v>46030.56499</v>
      </c>
      <c r="D408" s="3" t="str">
        <f>IFERROR(__xludf.DUMMYFUNCTION("""COMPUTED_VALUE"""),"Gloove Port Orabs ")</f>
        <v>Gloove Port Orabs </v>
      </c>
      <c r="E408" s="3" t="str">
        <f>IFERROR(__xludf.DUMMYFUNCTION("""COMPUTED_VALUE"""),"NA ")</f>
        <v>NA </v>
      </c>
      <c r="F408" s="3" t="str">
        <f>IFERROR(__xludf.DUMMYFUNCTION("""COMPUTED_VALUE"""),"O-ring Gloove port Orabs ")</f>
        <v>O-ring Gloove port Orabs </v>
      </c>
      <c r="G408" s="3">
        <f>IFERROR(__xludf.DUMMYFUNCTION("""COMPUTED_VALUE"""),10.0)</f>
        <v>10</v>
      </c>
      <c r="H408" s="3" t="str">
        <f>IFERROR(__xludf.DUMMYFUNCTION("""COMPUTED_VALUE"""),"pcs")</f>
        <v>pcs</v>
      </c>
      <c r="I408" s="3" t="str">
        <f>IFERROR(__xludf.DUMMYFUNCTION("""COMPUTED_VALUE"""),"Deliver")</f>
        <v>Deliver</v>
      </c>
      <c r="J408" s="3" t="str">
        <f>IFERROR(__xludf.DUMMYFUNCTION("""COMPUTED_VALUE"""),"121704179 - APPROVED")</f>
        <v>121704179 - APPROVED</v>
      </c>
      <c r="K408" s="3" t="str">
        <f>IFERROR(__xludf.DUMMYFUNCTION("""COMPUTED_VALUE"""),"GL2605005")</f>
        <v>GL2605005</v>
      </c>
    </row>
    <row r="409">
      <c r="A409" s="3" t="str">
        <f>IFERROR(__xludf.DUMMYFUNCTION("""COMPUTED_VALUE"""),"ROSBR0066")</f>
        <v>ROSBR0066</v>
      </c>
      <c r="B409" s="4">
        <f>IFERROR(__xludf.DUMMYFUNCTION("""COMPUTED_VALUE"""),46030.49320335648)</f>
        <v>46030.4932</v>
      </c>
      <c r="C409" s="4">
        <f>IFERROR(__xludf.DUMMYFUNCTION("""COMPUTED_VALUE"""),46030.56648543981)</f>
        <v>46030.56649</v>
      </c>
      <c r="D409" s="3" t="str">
        <f>IFERROR(__xludf.DUMMYFUNCTION("""COMPUTED_VALUE"""),"Toolbox Maintenance ")</f>
        <v>Toolbox Maintenance </v>
      </c>
      <c r="E409" s="3" t="str">
        <f>IFERROR(__xludf.DUMMYFUNCTION("""COMPUTED_VALUE"""),"NA")</f>
        <v>NA</v>
      </c>
      <c r="F409" s="3" t="str">
        <f>IFERROR(__xludf.DUMMYFUNCTION("""COMPUTED_VALUE"""),"TEKIRO TANG POTONG 6 INCH (N - R)")</f>
        <v>TEKIRO TANG POTONG 6 INCH (N - R)</v>
      </c>
      <c r="G409" s="3">
        <f>IFERROR(__xludf.DUMMYFUNCTION("""COMPUTED_VALUE"""),1.0)</f>
        <v>1</v>
      </c>
      <c r="H409" s="3" t="str">
        <f>IFERROR(__xludf.DUMMYFUNCTION("""COMPUTED_VALUE"""),"pcs")</f>
        <v>pcs</v>
      </c>
      <c r="I409" s="3" t="str">
        <f>IFERROR(__xludf.DUMMYFUNCTION("""COMPUTED_VALUE"""),"PO Open")</f>
        <v>PO Open</v>
      </c>
      <c r="J409" s="3" t="str">
        <f>IFERROR(__xludf.DUMMYFUNCTION("""COMPUTED_VALUE"""),"121704362 - APPROVED")</f>
        <v>121704362 - APPROVED</v>
      </c>
      <c r="K409" s="3" t="str">
        <f>IFERROR(__xludf.DUMMYFUNCTION("""COMPUTED_VALUE"""),"GL2609003")</f>
        <v>GL2609003</v>
      </c>
    </row>
    <row r="410">
      <c r="A410" s="3" t="str">
        <f>IFERROR(__xludf.DUMMYFUNCTION("""COMPUTED_VALUE"""),"ROSBR0067")</f>
        <v>ROSBR0067</v>
      </c>
      <c r="B410" s="4">
        <f>IFERROR(__xludf.DUMMYFUNCTION("""COMPUTED_VALUE"""),46030.493779143515)</f>
        <v>46030.49378</v>
      </c>
      <c r="C410" s="4">
        <f>IFERROR(__xludf.DUMMYFUNCTION("""COMPUTED_VALUE"""),46030.56670899306)</f>
        <v>46030.56671</v>
      </c>
      <c r="D410" s="3" t="str">
        <f>IFERROR(__xludf.DUMMYFUNCTION("""COMPUTED_VALUE"""),"Toolbox Maintenance ")</f>
        <v>Toolbox Maintenance </v>
      </c>
      <c r="E410" s="3" t="str">
        <f>IFERROR(__xludf.DUMMYFUNCTION("""COMPUTED_VALUE"""),"NA")</f>
        <v>NA</v>
      </c>
      <c r="F410" s="3" t="str">
        <f>IFERROR(__xludf.DUMMYFUNCTION("""COMPUTED_VALUE"""),"TEKIRO TANG KOMBINASI 7 INCH (N - R")</f>
        <v>TEKIRO TANG KOMBINASI 7 INCH (N - R</v>
      </c>
      <c r="G410" s="3">
        <f>IFERROR(__xludf.DUMMYFUNCTION("""COMPUTED_VALUE"""),2.0)</f>
        <v>2</v>
      </c>
      <c r="H410" s="3" t="str">
        <f>IFERROR(__xludf.DUMMYFUNCTION("""COMPUTED_VALUE"""),"pcs")</f>
        <v>pcs</v>
      </c>
      <c r="I410" s="3" t="str">
        <f>IFERROR(__xludf.DUMMYFUNCTION("""COMPUTED_VALUE"""),"PR Open")</f>
        <v>PR Open</v>
      </c>
      <c r="J410" s="3" t="str">
        <f>IFERROR(__xludf.DUMMYFUNCTION("""COMPUTED_VALUE"""),"121704550 - APPROVED")</f>
        <v>121704550 - APPROVED</v>
      </c>
      <c r="K410" s="3" t="str">
        <f>IFERROR(__xludf.DUMMYFUNCTION("""COMPUTED_VALUE"""),"-")</f>
        <v>-</v>
      </c>
    </row>
    <row r="411">
      <c r="A411" s="3" t="str">
        <f>IFERROR(__xludf.DUMMYFUNCTION("""COMPUTED_VALUE"""),"ROSBR0068")</f>
        <v>ROSBR0068</v>
      </c>
      <c r="B411" s="4">
        <f>IFERROR(__xludf.DUMMYFUNCTION("""COMPUTED_VALUE"""),46030.495596469904)</f>
        <v>46030.4956</v>
      </c>
      <c r="C411" s="4">
        <f>IFERROR(__xludf.DUMMYFUNCTION("""COMPUTED_VALUE"""),46030.56706429399)</f>
        <v>46030.56706</v>
      </c>
      <c r="D411" s="3" t="str">
        <f>IFERROR(__xludf.DUMMYFUNCTION("""COMPUTED_VALUE"""),"Toolbox Maintenance ")</f>
        <v>Toolbox Maintenance </v>
      </c>
      <c r="E411" s="3" t="str">
        <f>IFERROR(__xludf.DUMMYFUNCTION("""COMPUTED_VALUE"""),"NA")</f>
        <v>NA</v>
      </c>
      <c r="F411" s="3" t="str">
        <f>IFERROR(__xludf.DUMMYFUNCTION("""COMPUTED_VALUE"""),"TEKIRO TANG LANCIP 6 INCH (N - R)")</f>
        <v>TEKIRO TANG LANCIP 6 INCH (N - R)</v>
      </c>
      <c r="G411" s="3">
        <f>IFERROR(__xludf.DUMMYFUNCTION("""COMPUTED_VALUE"""),1.0)</f>
        <v>1</v>
      </c>
      <c r="H411" s="3" t="str">
        <f>IFERROR(__xludf.DUMMYFUNCTION("""COMPUTED_VALUE"""),"Pcs")</f>
        <v>Pcs</v>
      </c>
      <c r="I411" s="3" t="str">
        <f>IFERROR(__xludf.DUMMYFUNCTION("""COMPUTED_VALUE"""),"PR Open")</f>
        <v>PR Open</v>
      </c>
      <c r="J411" s="3" t="str">
        <f>IFERROR(__xludf.DUMMYFUNCTION("""COMPUTED_VALUE"""),"121704550 - APPROVED")</f>
        <v>121704550 - APPROVED</v>
      </c>
      <c r="K411" s="3" t="str">
        <f>IFERROR(__xludf.DUMMYFUNCTION("""COMPUTED_VALUE"""),"GL2609433")</f>
        <v>GL2609433</v>
      </c>
    </row>
    <row r="412">
      <c r="A412" s="3" t="str">
        <f>IFERROR(__xludf.DUMMYFUNCTION("""COMPUTED_VALUE"""),"ROSBR0069")</f>
        <v>ROSBR0069</v>
      </c>
      <c r="B412" s="4">
        <f>IFERROR(__xludf.DUMMYFUNCTION("""COMPUTED_VALUE"""),46030.84627806713)</f>
        <v>46030.84628</v>
      </c>
      <c r="C412" s="4">
        <f>IFERROR(__xludf.DUMMYFUNCTION("""COMPUTED_VALUE"""),46034.295567407404)</f>
        <v>46034.29557</v>
      </c>
      <c r="D412" s="3" t="str">
        <f>IFERROR(__xludf.DUMMYFUNCTION("""COMPUTED_VALUE"""),"Toolbox Maintenance ")</f>
        <v>Toolbox Maintenance </v>
      </c>
      <c r="E412" s="3" t="str">
        <f>IFERROR(__xludf.DUMMYFUNCTION("""COMPUTED_VALUE"""),"NA")</f>
        <v>NA</v>
      </c>
      <c r="F412" s="3" t="str">
        <f>IFERROR(__xludf.DUMMYFUNCTION("""COMPUTED_VALUE"""),"OBENG KETOK SET TEKIRO IMPACT DRIVE 11 PCS")</f>
        <v>OBENG KETOK SET TEKIRO IMPACT DRIVE 11 PCS</v>
      </c>
      <c r="G412" s="3">
        <f>IFERROR(__xludf.DUMMYFUNCTION("""COMPUTED_VALUE"""),1.0)</f>
        <v>1</v>
      </c>
      <c r="H412" s="3" t="str">
        <f>IFERROR(__xludf.DUMMYFUNCTION("""COMPUTED_VALUE"""),"Set")</f>
        <v>Set</v>
      </c>
      <c r="I412" s="3" t="str">
        <f>IFERROR(__xludf.DUMMYFUNCTION("""COMPUTED_VALUE"""),"PR Open")</f>
        <v>PR Open</v>
      </c>
      <c r="J412" s="3" t="str">
        <f>IFERROR(__xludf.DUMMYFUNCTION("""COMPUTED_VALUE"""),"121704550 - APPROVED")</f>
        <v>121704550 - APPROVED</v>
      </c>
      <c r="K412" s="3" t="str">
        <f>IFERROR(__xludf.DUMMYFUNCTION("""COMPUTED_VALUE"""),"GL2609434")</f>
        <v>GL2609434</v>
      </c>
    </row>
    <row r="413">
      <c r="A413" s="3" t="str">
        <f>IFERROR(__xludf.DUMMYFUNCTION("""COMPUTED_VALUE"""),"ANOBR0045")</f>
        <v>ANOBR0045</v>
      </c>
      <c r="B413" s="4">
        <f>IFERROR(__xludf.DUMMYFUNCTION("""COMPUTED_VALUE"""),46031.64408528935)</f>
        <v>46031.64409</v>
      </c>
      <c r="C413" s="4">
        <f>IFERROR(__xludf.DUMMYFUNCTION("""COMPUTED_VALUE"""),46034.29268427083)</f>
        <v>46034.29268</v>
      </c>
      <c r="D413" s="3" t="str">
        <f>IFERROR(__xludf.DUMMYFUNCTION("""COMPUTED_VALUE"""),"passbox capping")</f>
        <v>passbox capping</v>
      </c>
      <c r="E413" s="3" t="str">
        <f>IFERROR(__xludf.DUMMYFUNCTION("""COMPUTED_VALUE"""),"EJO/2026/01/16")</f>
        <v>EJO/2026/01/16</v>
      </c>
      <c r="F413" s="3" t="str">
        <f>IFERROR(__xludf.DUMMYFUNCTION("""COMPUTED_VALUE"""),"lampu passbox capping")</f>
        <v>lampu passbox capping</v>
      </c>
      <c r="G413" s="3">
        <f>IFERROR(__xludf.DUMMYFUNCTION("""COMPUTED_VALUE"""),3.0)</f>
        <v>3</v>
      </c>
      <c r="H413" s="3" t="str">
        <f>IFERROR(__xludf.DUMMYFUNCTION("""COMPUTED_VALUE"""),"PCS")</f>
        <v>PCS</v>
      </c>
      <c r="I413" s="3" t="str">
        <f>IFERROR(__xludf.DUMMYFUNCTION("""COMPUTED_VALUE"""),"PR Open")</f>
        <v>PR Open</v>
      </c>
      <c r="J413" s="3" t="str">
        <f>IFERROR(__xludf.DUMMYFUNCTION("""COMPUTED_VALUE"""),"121704550 - APPROVED")</f>
        <v>121704550 - APPROVED</v>
      </c>
      <c r="K413" s="3" t="str">
        <f>IFERROR(__xludf.DUMMYFUNCTION("""COMPUTED_VALUE"""),"GL2609434")</f>
        <v>GL2609434</v>
      </c>
    </row>
    <row r="414">
      <c r="A414" s="3" t="str">
        <f>IFERROR(__xludf.DUMMYFUNCTION("""COMPUTED_VALUE"""),"MRNBR0092")</f>
        <v>MRNBR0092</v>
      </c>
      <c r="B414" s="4">
        <f>IFERROR(__xludf.DUMMYFUNCTION("""COMPUTED_VALUE"""),46032.826918113424)</f>
        <v>46032.82692</v>
      </c>
      <c r="C414" s="4">
        <f>IFERROR(__xludf.DUMMYFUNCTION("""COMPUTED_VALUE"""),46036.536320949075)</f>
        <v>46036.53632</v>
      </c>
      <c r="D414" s="3" t="str">
        <f>IFERROR(__xludf.DUMMYFUNCTION("""COMPUTED_VALUE"""),"pipa hot water")</f>
        <v>pipa hot water</v>
      </c>
      <c r="E414" s="3" t="str">
        <f>IFERROR(__xludf.DUMMYFUNCTION("""COMPUTED_VALUE"""),"EJO/2025/07/105")</f>
        <v>EJO/2025/07/105</v>
      </c>
      <c r="F414" s="3" t="str">
        <f>IFERROR(__xludf.DUMMYFUNCTION("""COMPUTED_VALUE"""),"Tee SS lass")</f>
        <v>Tee SS lass</v>
      </c>
      <c r="G414" s="3">
        <f>IFERROR(__xludf.DUMMYFUNCTION("""COMPUTED_VALUE"""),4.0)</f>
        <v>4</v>
      </c>
      <c r="H414" s="3" t="str">
        <f>IFERROR(__xludf.DUMMYFUNCTION("""COMPUTED_VALUE"""),"pcs")</f>
        <v>pcs</v>
      </c>
      <c r="I414" s="3" t="str">
        <f>IFERROR(__xludf.DUMMYFUNCTION("""COMPUTED_VALUE"""),"PR Open")</f>
        <v>PR Open</v>
      </c>
      <c r="J414" s="3" t="str">
        <f>IFERROR(__xludf.DUMMYFUNCTION("""COMPUTED_VALUE"""),"121704549 - APPROVED")</f>
        <v>121704549 - APPROVED</v>
      </c>
      <c r="K414" s="3" t="str">
        <f>IFERROR(__xludf.DUMMYFUNCTION("""COMPUTED_VALUE"""),"GL2609021")</f>
        <v>GL2609021</v>
      </c>
    </row>
    <row r="415">
      <c r="A415" s="3" t="str">
        <f>IFERROR(__xludf.DUMMYFUNCTION("""COMPUTED_VALUE"""),"MRNBR0093")</f>
        <v>MRNBR0093</v>
      </c>
      <c r="B415" s="4">
        <f>IFERROR(__xludf.DUMMYFUNCTION("""COMPUTED_VALUE"""),46032.83043792824)</f>
        <v>46032.83044</v>
      </c>
      <c r="C415" s="4">
        <f>IFERROR(__xludf.DUMMYFUNCTION("""COMPUTED_VALUE"""),46036.53548401621)</f>
        <v>46036.53548</v>
      </c>
      <c r="D415" s="3" t="str">
        <f>IFERROR(__xludf.DUMMYFUNCTION("""COMPUTED_VALUE"""),"pipa hot water")</f>
        <v>pipa hot water</v>
      </c>
      <c r="E415" s="3" t="str">
        <f>IFERROR(__xludf.DUMMYFUNCTION("""COMPUTED_VALUE"""),"EJO/2025/07/105")</f>
        <v>EJO/2025/07/105</v>
      </c>
      <c r="F415" s="3" t="str">
        <f>IFERROR(__xludf.DUMMYFUNCTION("""COMPUTED_VALUE"""),"Pipa hot water")</f>
        <v>Pipa hot water</v>
      </c>
      <c r="G415" s="3">
        <f>IFERROR(__xludf.DUMMYFUNCTION("""COMPUTED_VALUE"""),5.0)</f>
        <v>5</v>
      </c>
      <c r="H415" s="3" t="str">
        <f>IFERROR(__xludf.DUMMYFUNCTION("""COMPUTED_VALUE"""),"pcs")</f>
        <v>pcs</v>
      </c>
      <c r="I415" s="3" t="str">
        <f>IFERROR(__xludf.DUMMYFUNCTION("""COMPUTED_VALUE"""),"PR Open")</f>
        <v>PR Open</v>
      </c>
      <c r="J415" s="3" t="str">
        <f>IFERROR(__xludf.DUMMYFUNCTION("""COMPUTED_VALUE"""),"121704549 - APPROVED")</f>
        <v>121704549 - APPROVED</v>
      </c>
      <c r="K415" s="3" t="str">
        <f>IFERROR(__xludf.DUMMYFUNCTION("""COMPUTED_VALUE"""),"-")</f>
        <v>-</v>
      </c>
    </row>
    <row r="416">
      <c r="A416" s="3" t="str">
        <f>IFERROR(__xludf.DUMMYFUNCTION("""COMPUTED_VALUE"""),"MRNBR0094")</f>
        <v>MRNBR0094</v>
      </c>
      <c r="B416" s="4">
        <f>IFERROR(__xludf.DUMMYFUNCTION("""COMPUTED_VALUE"""),46032.83837027778)</f>
        <v>46032.83837</v>
      </c>
      <c r="C416" s="4">
        <f>IFERROR(__xludf.DUMMYFUNCTION("""COMPUTED_VALUE"""),46036.535237881944)</f>
        <v>46036.53524</v>
      </c>
      <c r="D416" s="3" t="str">
        <f>IFERROR(__xludf.DUMMYFUNCTION("""COMPUTED_VALUE"""),"pipa hot water")</f>
        <v>pipa hot water</v>
      </c>
      <c r="E416" s="3" t="str">
        <f>IFERROR(__xludf.DUMMYFUNCTION("""COMPUTED_VALUE"""),"EJO/2025/07/105")</f>
        <v>EJO/2025/07/105</v>
      </c>
      <c r="F416" s="3" t="str">
        <f>IFERROR(__xludf.DUMMYFUNCTION("""COMPUTED_VALUE"""),"Pipa hot water")</f>
        <v>Pipa hot water</v>
      </c>
      <c r="G416" s="3">
        <f>IFERROR(__xludf.DUMMYFUNCTION("""COMPUTED_VALUE"""),5.0)</f>
        <v>5</v>
      </c>
      <c r="H416" s="3" t="str">
        <f>IFERROR(__xludf.DUMMYFUNCTION("""COMPUTED_VALUE"""),"pcs")</f>
        <v>pcs</v>
      </c>
      <c r="I416" s="3" t="str">
        <f>IFERROR(__xludf.DUMMYFUNCTION("""COMPUTED_VALUE"""),"PR Open")</f>
        <v>PR Open</v>
      </c>
      <c r="J416" s="3" t="str">
        <f>IFERROR(__xludf.DUMMYFUNCTION("""COMPUTED_VALUE"""),"121704549 - APPROVED")</f>
        <v>121704549 - APPROVED</v>
      </c>
      <c r="K416" s="3" t="str">
        <f>IFERROR(__xludf.DUMMYFUNCTION("""COMPUTED_VALUE"""),"-")</f>
        <v>-</v>
      </c>
    </row>
    <row r="417">
      <c r="A417" s="3" t="str">
        <f>IFERROR(__xludf.DUMMYFUNCTION("""COMPUTED_VALUE"""),"MRNBR0095")</f>
        <v>MRNBR0095</v>
      </c>
      <c r="B417" s="4">
        <f>IFERROR(__xludf.DUMMYFUNCTION("""COMPUTED_VALUE"""),46032.83897131944)</f>
        <v>46032.83897</v>
      </c>
      <c r="C417" s="4">
        <f>IFERROR(__xludf.DUMMYFUNCTION("""COMPUTED_VALUE"""),46036.53501658564)</f>
        <v>46036.53502</v>
      </c>
      <c r="D417" s="3" t="str">
        <f>IFERROR(__xludf.DUMMYFUNCTION("""COMPUTED_VALUE"""),"pipa hot water")</f>
        <v>pipa hot water</v>
      </c>
      <c r="E417" s="3" t="str">
        <f>IFERROR(__xludf.DUMMYFUNCTION("""COMPUTED_VALUE"""),"EJO/2025/07/105")</f>
        <v>EJO/2025/07/105</v>
      </c>
      <c r="F417" s="3" t="str">
        <f>IFERROR(__xludf.DUMMYFUNCTION("""COMPUTED_VALUE"""),"Pipa hot water")</f>
        <v>Pipa hot water</v>
      </c>
      <c r="G417" s="3">
        <f>IFERROR(__xludf.DUMMYFUNCTION("""COMPUTED_VALUE"""),5.0)</f>
        <v>5</v>
      </c>
      <c r="H417" s="3" t="str">
        <f>IFERROR(__xludf.DUMMYFUNCTION("""COMPUTED_VALUE"""),"pcs")</f>
        <v>pcs</v>
      </c>
      <c r="I417" s="3" t="str">
        <f>IFERROR(__xludf.DUMMYFUNCTION("""COMPUTED_VALUE"""),"PR Open")</f>
        <v>PR Open</v>
      </c>
      <c r="J417" s="3" t="str">
        <f>IFERROR(__xludf.DUMMYFUNCTION("""COMPUTED_VALUE"""),"121704549 - APPROVED")</f>
        <v>121704549 - APPROVED</v>
      </c>
      <c r="K417" s="3" t="str">
        <f>IFERROR(__xludf.DUMMYFUNCTION("""COMPUTED_VALUE"""),"-")</f>
        <v>-</v>
      </c>
    </row>
    <row r="418">
      <c r="A418" s="3" t="str">
        <f>IFERROR(__xludf.DUMMYFUNCTION("""COMPUTED_VALUE"""),"ANOBR0046")</f>
        <v>ANOBR0046</v>
      </c>
      <c r="B418" s="4">
        <f>IFERROR(__xludf.DUMMYFUNCTION("""COMPUTED_VALUE"""),46034.490454375)</f>
        <v>46034.49045</v>
      </c>
      <c r="C418" s="4">
        <f>IFERROR(__xludf.DUMMYFUNCTION("""COMPUTED_VALUE"""),46035.97370027778)</f>
        <v>46035.9737</v>
      </c>
      <c r="D418" s="3" t="str">
        <f>IFERROR(__xludf.DUMMYFUNCTION("""COMPUTED_VALUE"""),"Chiler Blistering")</f>
        <v>Chiler Blistering</v>
      </c>
      <c r="E418" s="3" t="str">
        <f>IFERROR(__xludf.DUMMYFUNCTION("""COMPUTED_VALUE"""),"-")</f>
        <v>-</v>
      </c>
      <c r="F418" s="3" t="str">
        <f>IFERROR(__xludf.DUMMYFUNCTION("""COMPUTED_VALUE"""),"ferrule 1 set ss304 dia 4""")</f>
        <v>ferrule 1 set ss304 dia 4"</v>
      </c>
      <c r="G418" s="3">
        <f>IFERROR(__xludf.DUMMYFUNCTION("""COMPUTED_VALUE"""),1.0)</f>
        <v>1</v>
      </c>
      <c r="H418" s="3" t="str">
        <f>IFERROR(__xludf.DUMMYFUNCTION("""COMPUTED_VALUE"""),"set")</f>
        <v>set</v>
      </c>
      <c r="I418" s="3" t="str">
        <f>IFERROR(__xludf.DUMMYFUNCTION("""COMPUTED_VALUE"""),"Deliver")</f>
        <v>Deliver</v>
      </c>
      <c r="J418" s="3" t="str">
        <f>IFERROR(__xludf.DUMMYFUNCTION("""COMPUTED_VALUE"""),"-")</f>
        <v>-</v>
      </c>
      <c r="K418" s="3" t="str">
        <f>IFERROR(__xludf.DUMMYFUNCTION("""COMPUTED_VALUE"""),"-")</f>
        <v>-</v>
      </c>
    </row>
    <row r="419">
      <c r="A419" s="3" t="str">
        <f>IFERROR(__xludf.DUMMYFUNCTION("""COMPUTED_VALUE"""),"ANOBR0047")</f>
        <v>ANOBR0047</v>
      </c>
      <c r="B419" s="4">
        <f>IFERROR(__xludf.DUMMYFUNCTION("""COMPUTED_VALUE"""),46034.81387712963)</f>
        <v>46034.81388</v>
      </c>
      <c r="C419" s="4">
        <f>IFERROR(__xludf.DUMMYFUNCTION("""COMPUTED_VALUE"""),46050.88258842593)</f>
        <v>46050.88259</v>
      </c>
      <c r="D419" s="3" t="str">
        <f>IFERROR(__xludf.DUMMYFUNCTION("""COMPUTED_VALUE"""),"Chiler Blistering")</f>
        <v>Chiler Blistering</v>
      </c>
      <c r="E419" s="3" t="str">
        <f>IFERROR(__xludf.DUMMYFUNCTION("""COMPUTED_VALUE"""),"-")</f>
        <v>-</v>
      </c>
      <c r="F419" s="3" t="str">
        <f>IFERROR(__xludf.DUMMYFUNCTION("""COMPUTED_VALUE"""),"rifet nut M10")</f>
        <v>rifet nut M10</v>
      </c>
      <c r="G419" s="3">
        <f>IFERROR(__xludf.DUMMYFUNCTION("""COMPUTED_VALUE"""),1.0)</f>
        <v>1</v>
      </c>
      <c r="H419" s="3" t="str">
        <f>IFERROR(__xludf.DUMMYFUNCTION("""COMPUTED_VALUE"""),"PACK")</f>
        <v>PACK</v>
      </c>
      <c r="I419" s="3" t="str">
        <f>IFERROR(__xludf.DUMMYFUNCTION("""COMPUTED_VALUE"""),"Deliver")</f>
        <v>Deliver</v>
      </c>
      <c r="J419" s="3" t="str">
        <f>IFERROR(__xludf.DUMMYFUNCTION("""COMPUTED_VALUE"""),"121704004 - APPROVED")</f>
        <v>121704004 - APPROVED</v>
      </c>
      <c r="K419" s="3" t="str">
        <f>IFERROR(__xludf.DUMMYFUNCTION("""COMPUTED_VALUE"""),"GL2604490")</f>
        <v>GL2604490</v>
      </c>
    </row>
    <row r="420">
      <c r="A420" s="3" t="str">
        <f>IFERROR(__xludf.DUMMYFUNCTION("""COMPUTED_VALUE"""),"ANOBR0048")</f>
        <v>ANOBR0048</v>
      </c>
      <c r="B420" s="4">
        <f>IFERROR(__xludf.DUMMYFUNCTION("""COMPUTED_VALUE"""),46034.8150003588)</f>
        <v>46034.815</v>
      </c>
      <c r="C420" s="4">
        <f>IFERROR(__xludf.DUMMYFUNCTION("""COMPUTED_VALUE"""),46036.00451738426)</f>
        <v>46036.00452</v>
      </c>
      <c r="D420" s="3" t="str">
        <f>IFERROR(__xludf.DUMMYFUNCTION("""COMPUTED_VALUE"""),"Chiler Blistering")</f>
        <v>Chiler Blistering</v>
      </c>
      <c r="E420" s="3" t="str">
        <f>IFERROR(__xludf.DUMMYFUNCTION("""COMPUTED_VALUE"""),"-")</f>
        <v>-</v>
      </c>
      <c r="F420" s="3" t="str">
        <f>IFERROR(__xludf.DUMMYFUNCTION("""COMPUTED_VALUE"""),"rifet nut M10")</f>
        <v>rifet nut M10</v>
      </c>
      <c r="G420" s="3">
        <f>IFERROR(__xludf.DUMMYFUNCTION("""COMPUTED_VALUE"""),1.0)</f>
        <v>1</v>
      </c>
      <c r="H420" s="3" t="str">
        <f>IFERROR(__xludf.DUMMYFUNCTION("""COMPUTED_VALUE"""),"PCS")</f>
        <v>PCS</v>
      </c>
      <c r="I420" s="3" t="str">
        <f>IFERROR(__xludf.DUMMYFUNCTION("""COMPUTED_VALUE"""),"Deliver")</f>
        <v>Deliver</v>
      </c>
      <c r="J420" s="3" t="str">
        <f>IFERROR(__xludf.DUMMYFUNCTION("""COMPUTED_VALUE"""),"121704162 - APPROVED")</f>
        <v>121704162 - APPROVED</v>
      </c>
      <c r="K420" s="3" t="str">
        <f>IFERROR(__xludf.DUMMYFUNCTION("""COMPUTED_VALUE"""),"GL2605325")</f>
        <v>GL2605325</v>
      </c>
    </row>
    <row r="421">
      <c r="A421" s="3" t="str">
        <f>IFERROR(__xludf.DUMMYFUNCTION("""COMPUTED_VALUE"""),"ROSBR0070")</f>
        <v>ROSBR0070</v>
      </c>
      <c r="B421" s="4">
        <f>IFERROR(__xludf.DUMMYFUNCTION("""COMPUTED_VALUE"""),46035.65791913194)</f>
        <v>46035.65792</v>
      </c>
      <c r="C421" s="4">
        <f>IFERROR(__xludf.DUMMYFUNCTION("""COMPUTED_VALUE"""),46050.9528146875)</f>
        <v>46050.95281</v>
      </c>
      <c r="D421" s="3" t="str">
        <f>IFERROR(__xludf.DUMMYFUNCTION("""COMPUTED_VALUE"""),"Washing ")</f>
        <v>Washing </v>
      </c>
      <c r="E421" s="3" t="str">
        <f>IFERROR(__xludf.DUMMYFUNCTION("""COMPUTED_VALUE"""),"NA")</f>
        <v>NA</v>
      </c>
      <c r="F421" s="3" t="str">
        <f>IFERROR(__xludf.DUMMYFUNCTION("""COMPUTED_VALUE"""),"Tubing ")</f>
        <v>Tubing </v>
      </c>
      <c r="G421" s="3">
        <f>IFERROR(__xludf.DUMMYFUNCTION("""COMPUTED_VALUE"""),100.0)</f>
        <v>100</v>
      </c>
      <c r="H421" s="3" t="str">
        <f>IFERROR(__xludf.DUMMYFUNCTION("""COMPUTED_VALUE"""),"meter")</f>
        <v>meter</v>
      </c>
      <c r="I421" s="3" t="str">
        <f>IFERROR(__xludf.DUMMYFUNCTION("""COMPUTED_VALUE"""),"Approval Item Code")</f>
        <v>Approval Item Code</v>
      </c>
      <c r="J421" s="3" t="str">
        <f>IFERROR(__xludf.DUMMYFUNCTION("""COMPUTED_VALUE"""),"-")</f>
        <v>-</v>
      </c>
      <c r="K421" s="3" t="str">
        <f>IFERROR(__xludf.DUMMYFUNCTION("""COMPUTED_VALUE"""),"-")</f>
        <v>-</v>
      </c>
    </row>
    <row r="422">
      <c r="A422" s="3" t="str">
        <f>IFERROR(__xludf.DUMMYFUNCTION("""COMPUTED_VALUE"""),"ROSBR0071")</f>
        <v>ROSBR0071</v>
      </c>
      <c r="B422" s="4">
        <f>IFERROR(__xludf.DUMMYFUNCTION("""COMPUTED_VALUE"""),46035.65811038194)</f>
        <v>46035.65811</v>
      </c>
      <c r="C422" s="4">
        <f>IFERROR(__xludf.DUMMYFUNCTION("""COMPUTED_VALUE"""),46050.88850653935)</f>
        <v>46050.88851</v>
      </c>
      <c r="D422" s="3" t="str">
        <f>IFERROR(__xludf.DUMMYFUNCTION("""COMPUTED_VALUE"""),"Washing ")</f>
        <v>Washing </v>
      </c>
      <c r="E422" s="3" t="str">
        <f>IFERROR(__xludf.DUMMYFUNCTION("""COMPUTED_VALUE"""),"NA")</f>
        <v>NA</v>
      </c>
      <c r="F422" s="3" t="str">
        <f>IFERROR(__xludf.DUMMYFUNCTION("""COMPUTED_VALUE"""),"Tubing ")</f>
        <v>Tubing </v>
      </c>
      <c r="G422" s="3">
        <f>IFERROR(__xludf.DUMMYFUNCTION("""COMPUTED_VALUE"""),100.0)</f>
        <v>100</v>
      </c>
      <c r="H422" s="3" t="str">
        <f>IFERROR(__xludf.DUMMYFUNCTION("""COMPUTED_VALUE"""),"meter")</f>
        <v>meter</v>
      </c>
      <c r="I422" s="3" t="str">
        <f>IFERROR(__xludf.DUMMYFUNCTION("""COMPUTED_VALUE"""),"Approval Item Code")</f>
        <v>Approval Item Code</v>
      </c>
      <c r="J422" s="3" t="str">
        <f>IFERROR(__xludf.DUMMYFUNCTION("""COMPUTED_VALUE"""),"-")</f>
        <v>-</v>
      </c>
      <c r="K422" s="3" t="str">
        <f>IFERROR(__xludf.DUMMYFUNCTION("""COMPUTED_VALUE"""),"-")</f>
        <v>-</v>
      </c>
    </row>
    <row r="423">
      <c r="A423" s="3" t="str">
        <f>IFERROR(__xludf.DUMMYFUNCTION("""COMPUTED_VALUE"""),"ROSBR0072")</f>
        <v>ROSBR0072</v>
      </c>
      <c r="B423" s="4">
        <f>IFERROR(__xludf.DUMMYFUNCTION("""COMPUTED_VALUE"""),46035.65954763888)</f>
        <v>46035.65955</v>
      </c>
      <c r="C423" s="4">
        <f>IFERROR(__xludf.DUMMYFUNCTION("""COMPUTED_VALUE"""),46050.953058865736)</f>
        <v>46050.95306</v>
      </c>
      <c r="D423" s="3" t="str">
        <f>IFERROR(__xludf.DUMMYFUNCTION("""COMPUTED_VALUE"""),"Washing ")</f>
        <v>Washing </v>
      </c>
      <c r="E423" s="3" t="str">
        <f>IFERROR(__xludf.DUMMYFUNCTION("""COMPUTED_VALUE"""),"NA")</f>
        <v>NA</v>
      </c>
      <c r="F423" s="3" t="str">
        <f>IFERROR(__xludf.DUMMYFUNCTION("""COMPUTED_VALUE"""),"Tubing ")</f>
        <v>Tubing </v>
      </c>
      <c r="G423" s="3">
        <f>IFERROR(__xludf.DUMMYFUNCTION("""COMPUTED_VALUE"""),100.0)</f>
        <v>100</v>
      </c>
      <c r="H423" s="3" t="str">
        <f>IFERROR(__xludf.DUMMYFUNCTION("""COMPUTED_VALUE"""),"meter")</f>
        <v>meter</v>
      </c>
      <c r="I423" s="3" t="str">
        <f>IFERROR(__xludf.DUMMYFUNCTION("""COMPUTED_VALUE"""),"Proses PR")</f>
        <v>Proses PR</v>
      </c>
      <c r="J423" s="3" t="str">
        <f>IFERROR(__xludf.DUMMYFUNCTION("""COMPUTED_VALUE"""),"-")</f>
        <v>-</v>
      </c>
      <c r="K423" s="3" t="str">
        <f>IFERROR(__xludf.DUMMYFUNCTION("""COMPUTED_VALUE"""),"-")</f>
        <v>-</v>
      </c>
    </row>
    <row r="424">
      <c r="A424" s="3" t="str">
        <f>IFERROR(__xludf.DUMMYFUNCTION("""COMPUTED_VALUE"""),"MOBBR0052")</f>
        <v>MOBBR0052</v>
      </c>
      <c r="B424" s="4">
        <f>IFERROR(__xludf.DUMMYFUNCTION("""COMPUTED_VALUE"""),46035.70744361111)</f>
        <v>46035.70744</v>
      </c>
      <c r="C424" s="4">
        <f>IFERROR(__xludf.DUMMYFUNCTION("""COMPUTED_VALUE"""),46036.53435172454)</f>
        <v>46036.53435</v>
      </c>
      <c r="D424" s="3" t="str">
        <f>IFERROR(__xludf.DUMMYFUNCTION("""COMPUTED_VALUE"""),"Hot water")</f>
        <v>Hot water</v>
      </c>
      <c r="E424" s="3" t="str">
        <f>IFERROR(__xludf.DUMMYFUNCTION("""COMPUTED_VALUE"""),"Menyusul")</f>
        <v>Menyusul</v>
      </c>
      <c r="F424" s="3" t="str">
        <f>IFERROR(__xludf.DUMMYFUNCTION("""COMPUTED_VALUE"""),"PRV")</f>
        <v>PRV</v>
      </c>
      <c r="G424" s="3">
        <f>IFERROR(__xludf.DUMMYFUNCTION("""COMPUTED_VALUE"""),1.0)</f>
        <v>1</v>
      </c>
      <c r="H424" s="3" t="str">
        <f>IFERROR(__xludf.DUMMYFUNCTION("""COMPUTED_VALUE"""),"Pcs")</f>
        <v>Pcs</v>
      </c>
      <c r="I424" s="3" t="str">
        <f>IFERROR(__xludf.DUMMYFUNCTION("""COMPUTED_VALUE"""),"Deliver")</f>
        <v>Deliver</v>
      </c>
      <c r="J424" s="3" t="str">
        <f>IFERROR(__xludf.DUMMYFUNCTION("""COMPUTED_VALUE"""),"121704381 - APPROVED")</f>
        <v>121704381 - APPROVED</v>
      </c>
      <c r="K424" s="3" t="str">
        <f>IFERROR(__xludf.DUMMYFUNCTION("""COMPUTED_VALUE"""),"GL2607010")</f>
        <v>GL2607010</v>
      </c>
    </row>
    <row r="425">
      <c r="A425" s="3" t="str">
        <f>IFERROR(__xludf.DUMMYFUNCTION("""COMPUTED_VALUE"""),"MOBBR0053")</f>
        <v>MOBBR0053</v>
      </c>
      <c r="B425" s="4">
        <f>IFERROR(__xludf.DUMMYFUNCTION("""COMPUTED_VALUE"""),46035.70894765046)</f>
        <v>46035.70895</v>
      </c>
      <c r="C425" s="4">
        <f>IFERROR(__xludf.DUMMYFUNCTION("""COMPUTED_VALUE"""),46036.53418136574)</f>
        <v>46036.53418</v>
      </c>
      <c r="D425" s="3" t="str">
        <f>IFERROR(__xludf.DUMMYFUNCTION("""COMPUTED_VALUE"""),"Gas QC")</f>
        <v>Gas QC</v>
      </c>
      <c r="E425" s="3" t="str">
        <f>IFERROR(__xludf.DUMMYFUNCTION("""COMPUTED_VALUE"""),"Menyusul")</f>
        <v>Menyusul</v>
      </c>
      <c r="F425" s="3" t="str">
        <f>IFERROR(__xludf.DUMMYFUNCTION("""COMPUTED_VALUE"""),"Valve")</f>
        <v>Valve</v>
      </c>
      <c r="G425" s="3">
        <f>IFERROR(__xludf.DUMMYFUNCTION("""COMPUTED_VALUE"""),1.0)</f>
        <v>1</v>
      </c>
      <c r="H425" s="3" t="str">
        <f>IFERROR(__xludf.DUMMYFUNCTION("""COMPUTED_VALUE"""),"Pcs")</f>
        <v>Pcs</v>
      </c>
      <c r="I425" s="3" t="str">
        <f>IFERROR(__xludf.DUMMYFUNCTION("""COMPUTED_VALUE"""),"Mencari Penawaran")</f>
        <v>Mencari Penawaran</v>
      </c>
      <c r="J425" s="3" t="str">
        <f>IFERROR(__xludf.DUMMYFUNCTION("""COMPUTED_VALUE"""),"-")</f>
        <v>-</v>
      </c>
      <c r="K425" s="3" t="str">
        <f>IFERROR(__xludf.DUMMYFUNCTION("""COMPUTED_VALUE"""),"-")</f>
        <v>-</v>
      </c>
    </row>
    <row r="426">
      <c r="A426" s="3" t="str">
        <f>IFERROR(__xludf.DUMMYFUNCTION("""COMPUTED_VALUE"""),"RIABR0134")</f>
        <v>RIABR0134</v>
      </c>
      <c r="B426" s="4">
        <f>IFERROR(__xludf.DUMMYFUNCTION("""COMPUTED_VALUE"""),46036.4085400463)</f>
        <v>46036.40854</v>
      </c>
      <c r="C426" s="4">
        <f>IFERROR(__xludf.DUMMYFUNCTION("""COMPUTED_VALUE"""),46037.41147682871)</f>
        <v>46037.41148</v>
      </c>
      <c r="D426" s="3" t="str">
        <f>IFERROR(__xludf.DUMMYFUNCTION("""COMPUTED_VALUE"""),"N2 Generator")</f>
        <v>N2 Generator</v>
      </c>
      <c r="E426" s="3" t="str">
        <f>IFERROR(__xludf.DUMMYFUNCTION("""COMPUTED_VALUE"""),"EJO/2026/01/78")</f>
        <v>EJO/2026/01/78</v>
      </c>
      <c r="F426" s="3" t="str">
        <f>IFERROR(__xludf.DUMMYFUNCTION("""COMPUTED_VALUE"""),"Sensor Flow")</f>
        <v>Sensor Flow</v>
      </c>
      <c r="G426" s="3">
        <f>IFERROR(__xludf.DUMMYFUNCTION("""COMPUTED_VALUE"""),2.0)</f>
        <v>2</v>
      </c>
      <c r="H426" s="3" t="str">
        <f>IFERROR(__xludf.DUMMYFUNCTION("""COMPUTED_VALUE"""),"Pcs")</f>
        <v>Pcs</v>
      </c>
      <c r="I426" s="3" t="str">
        <f>IFERROR(__xludf.DUMMYFUNCTION("""COMPUTED_VALUE"""),"Deliver")</f>
        <v>Deliver</v>
      </c>
      <c r="J426" s="3" t="str">
        <f>IFERROR(__xludf.DUMMYFUNCTION("""COMPUTED_VALUE"""),"-")</f>
        <v>-</v>
      </c>
      <c r="K426" s="3" t="str">
        <f>IFERROR(__xludf.DUMMYFUNCTION("""COMPUTED_VALUE"""),"-")</f>
        <v>-</v>
      </c>
    </row>
    <row r="427">
      <c r="A427" s="3" t="str">
        <f>IFERROR(__xludf.DUMMYFUNCTION("""COMPUTED_VALUE"""),"RIABR0135")</f>
        <v>RIABR0135</v>
      </c>
      <c r="B427" s="4">
        <f>IFERROR(__xludf.DUMMYFUNCTION("""COMPUTED_VALUE"""),46036.413528125)</f>
        <v>46036.41353</v>
      </c>
      <c r="C427" s="4">
        <f>IFERROR(__xludf.DUMMYFUNCTION("""COMPUTED_VALUE"""),46037.415978807876)</f>
        <v>46037.41598</v>
      </c>
      <c r="D427" s="3" t="str">
        <f>IFERROR(__xludf.DUMMYFUNCTION("""COMPUTED_VALUE"""),"All Area")</f>
        <v>All Area</v>
      </c>
      <c r="E427" s="3" t="str">
        <f>IFERROR(__xludf.DUMMYFUNCTION("""COMPUTED_VALUE"""),"-")</f>
        <v>-</v>
      </c>
      <c r="F427" s="3" t="str">
        <f>IFERROR(__xludf.DUMMYFUNCTION("""COMPUTED_VALUE"""),"Blower")</f>
        <v>Blower</v>
      </c>
      <c r="G427" s="3">
        <f>IFERROR(__xludf.DUMMYFUNCTION("""COMPUTED_VALUE"""),1.0)</f>
        <v>1</v>
      </c>
      <c r="H427" s="3" t="str">
        <f>IFERROR(__xludf.DUMMYFUNCTION("""COMPUTED_VALUE"""),"Set")</f>
        <v>Set</v>
      </c>
      <c r="I427" s="3" t="str">
        <f>IFERROR(__xludf.DUMMYFUNCTION("""COMPUTED_VALUE"""),"Mencari Penawaran")</f>
        <v>Mencari Penawaran</v>
      </c>
      <c r="J427" s="3" t="str">
        <f>IFERROR(__xludf.DUMMYFUNCTION("""COMPUTED_VALUE"""),"-")</f>
        <v>-</v>
      </c>
      <c r="K427" s="3" t="str">
        <f>IFERROR(__xludf.DUMMYFUNCTION("""COMPUTED_VALUE"""),"-")</f>
        <v>-</v>
      </c>
    </row>
    <row r="428">
      <c r="A428" s="3" t="str">
        <f>IFERROR(__xludf.DUMMYFUNCTION("""COMPUTED_VALUE"""),"ROSBR0073")</f>
        <v>ROSBR0073</v>
      </c>
      <c r="B428" s="4">
        <f>IFERROR(__xludf.DUMMYFUNCTION("""COMPUTED_VALUE"""),46040.00858920139)</f>
        <v>46040.00859</v>
      </c>
      <c r="C428" s="4">
        <f>IFERROR(__xludf.DUMMYFUNCTION("""COMPUTED_VALUE"""),46050.953702453706)</f>
        <v>46050.9537</v>
      </c>
      <c r="D428" s="3" t="str">
        <f>IFERROR(__xludf.DUMMYFUNCTION("""COMPUTED_VALUE"""),"Filling")</f>
        <v>Filling</v>
      </c>
      <c r="E428" s="3" t="str">
        <f>IFERROR(__xludf.DUMMYFUNCTION("""COMPUTED_VALUE"""),"EJO/2026/01/71")</f>
        <v>EJO/2026/01/71</v>
      </c>
      <c r="F428" s="3" t="str">
        <f>IFERROR(__xludf.DUMMYFUNCTION("""COMPUTED_VALUE"""),"Gasket ferrule ")</f>
        <v>Gasket ferrule </v>
      </c>
      <c r="G428" s="3">
        <f>IFERROR(__xludf.DUMMYFUNCTION("""COMPUTED_VALUE"""),25.0)</f>
        <v>25</v>
      </c>
      <c r="H428" s="3" t="str">
        <f>IFERROR(__xludf.DUMMYFUNCTION("""COMPUTED_VALUE"""),"pcs")</f>
        <v>pcs</v>
      </c>
      <c r="I428" s="3" t="str">
        <f>IFERROR(__xludf.DUMMYFUNCTION("""COMPUTED_VALUE"""),"PO Open")</f>
        <v>PO Open</v>
      </c>
      <c r="J428" s="3" t="str">
        <f>IFERROR(__xludf.DUMMYFUNCTION("""COMPUTED_VALUE"""),"121704090 - APPROVED")</f>
        <v>121704090 - APPROVED</v>
      </c>
      <c r="K428" s="3" t="str">
        <f>IFERROR(__xludf.DUMMYFUNCTION("""COMPUTED_VALUE"""),"GL2604022")</f>
        <v>GL2604022</v>
      </c>
    </row>
    <row r="429">
      <c r="A429" s="3" t="str">
        <f>IFERROR(__xludf.DUMMYFUNCTION("""COMPUTED_VALUE"""),"ROSBR0074")</f>
        <v>ROSBR0074</v>
      </c>
      <c r="B429" s="4">
        <f>IFERROR(__xludf.DUMMYFUNCTION("""COMPUTED_VALUE"""),46040.02310868056)</f>
        <v>46040.02311</v>
      </c>
      <c r="C429" s="4">
        <f>IFERROR(__xludf.DUMMYFUNCTION("""COMPUTED_VALUE"""),46050.954008472225)</f>
        <v>46050.95401</v>
      </c>
      <c r="D429" s="3" t="str">
        <f>IFERROR(__xludf.DUMMYFUNCTION("""COMPUTED_VALUE"""),"capping")</f>
        <v>capping</v>
      </c>
      <c r="E429" s="3" t="str">
        <f>IFERROR(__xludf.DUMMYFUNCTION("""COMPUTED_VALUE"""),"NA")</f>
        <v>NA</v>
      </c>
      <c r="F429" s="3" t="str">
        <f>IFERROR(__xludf.DUMMYFUNCTION("""COMPUTED_VALUE"""),"Oring capping zometa")</f>
        <v>Oring capping zometa</v>
      </c>
      <c r="G429" s="3">
        <f>IFERROR(__xludf.DUMMYFUNCTION("""COMPUTED_VALUE"""),25.0)</f>
        <v>25</v>
      </c>
      <c r="H429" s="3" t="str">
        <f>IFERROR(__xludf.DUMMYFUNCTION("""COMPUTED_VALUE"""),"pcs")</f>
        <v>pcs</v>
      </c>
      <c r="I429" s="3" t="str">
        <f>IFERROR(__xludf.DUMMYFUNCTION("""COMPUTED_VALUE"""),"Proses PR")</f>
        <v>Proses PR</v>
      </c>
      <c r="J429" s="3" t="str">
        <f>IFERROR(__xludf.DUMMYFUNCTION("""COMPUTED_VALUE"""),"-")</f>
        <v>-</v>
      </c>
      <c r="K429" s="3" t="str">
        <f>IFERROR(__xludf.DUMMYFUNCTION("""COMPUTED_VALUE"""),"-")</f>
        <v>-</v>
      </c>
    </row>
    <row r="430">
      <c r="A430" s="3" t="str">
        <f>IFERROR(__xludf.DUMMYFUNCTION("""COMPUTED_VALUE"""),"MRNBR0096")</f>
        <v>MRNBR0096</v>
      </c>
      <c r="B430" s="4">
        <f>IFERROR(__xludf.DUMMYFUNCTION("""COMPUTED_VALUE"""),46041.40846489583)</f>
        <v>46041.40846</v>
      </c>
      <c r="C430" s="4">
        <f>IFERROR(__xludf.DUMMYFUNCTION("""COMPUTED_VALUE"""),46048.6230996412)</f>
        <v>46048.6231</v>
      </c>
      <c r="D430" s="3" t="str">
        <f>IFERROR(__xludf.DUMMYFUNCTION("""COMPUTED_VALUE"""),"POU IPC")</f>
        <v>POU IPC</v>
      </c>
      <c r="E430" s="3" t="str">
        <f>IFERROR(__xludf.DUMMYFUNCTION("""COMPUTED_VALUE"""),"EJO/2025/09/129")</f>
        <v>EJO/2025/09/129</v>
      </c>
      <c r="F430" s="3" t="str">
        <f>IFERROR(__xludf.DUMMYFUNCTION("""COMPUTED_VALUE"""),"Diaphragm valve")</f>
        <v>Diaphragm valve</v>
      </c>
      <c r="G430" s="3">
        <f>IFERROR(__xludf.DUMMYFUNCTION("""COMPUTED_VALUE"""),2.0)</f>
        <v>2</v>
      </c>
      <c r="H430" s="3" t="str">
        <f>IFERROR(__xludf.DUMMYFUNCTION("""COMPUTED_VALUE"""),"pcs")</f>
        <v>pcs</v>
      </c>
      <c r="I430" s="3" t="str">
        <f>IFERROR(__xludf.DUMMYFUNCTION("""COMPUTED_VALUE"""),"Deliver")</f>
        <v>Deliver</v>
      </c>
      <c r="J430" s="3" t="str">
        <f>IFERROR(__xludf.DUMMYFUNCTION("""COMPUTED_VALUE"""),"121704361 - APPROVED")</f>
        <v>121704361 - APPROVED</v>
      </c>
      <c r="K430" s="3" t="str">
        <f>IFERROR(__xludf.DUMMYFUNCTION("""COMPUTED_VALUE"""),"GL2607375")</f>
        <v>GL2607375</v>
      </c>
    </row>
    <row r="431">
      <c r="A431" s="3" t="str">
        <f>IFERROR(__xludf.DUMMYFUNCTION("""COMPUTED_VALUE"""),"MRNBR0097")</f>
        <v>MRNBR0097</v>
      </c>
      <c r="B431" s="4">
        <f>IFERROR(__xludf.DUMMYFUNCTION("""COMPUTED_VALUE"""),46041.41471111111)</f>
        <v>46041.41471</v>
      </c>
      <c r="C431" s="4">
        <f>IFERROR(__xludf.DUMMYFUNCTION("""COMPUTED_VALUE"""),46048.62226775463)</f>
        <v>46048.62227</v>
      </c>
      <c r="D431" s="3" t="str">
        <f>IFERROR(__xludf.DUMMYFUNCTION("""COMPUTED_VALUE"""),"Toilet")</f>
        <v>Toilet</v>
      </c>
      <c r="E431" s="3" t="str">
        <f>IFERROR(__xludf.DUMMYFUNCTION("""COMPUTED_VALUE"""),"EJO/2025/11/139")</f>
        <v>EJO/2025/11/139</v>
      </c>
      <c r="F431" s="3" t="str">
        <f>IFERROR(__xludf.DUMMYFUNCTION("""COMPUTED_VALUE"""),"Drain cleaner")</f>
        <v>Drain cleaner</v>
      </c>
      <c r="G431" s="3">
        <f>IFERROR(__xludf.DUMMYFUNCTION("""COMPUTED_VALUE"""),1.0)</f>
        <v>1</v>
      </c>
      <c r="H431" s="3" t="str">
        <f>IFERROR(__xludf.DUMMYFUNCTION("""COMPUTED_VALUE"""),"unit")</f>
        <v>unit</v>
      </c>
      <c r="I431" s="3" t="str">
        <f>IFERROR(__xludf.DUMMYFUNCTION("""COMPUTED_VALUE"""),"PR Open")</f>
        <v>PR Open</v>
      </c>
      <c r="J431" s="3" t="str">
        <f>IFERROR(__xludf.DUMMYFUNCTION("""COMPUTED_VALUE"""),"121704549 - APPROVED")</f>
        <v>121704549 - APPROVED</v>
      </c>
      <c r="K431" s="3" t="str">
        <f>IFERROR(__xludf.DUMMYFUNCTION("""COMPUTED_VALUE"""),"-")</f>
        <v>-</v>
      </c>
    </row>
    <row r="432">
      <c r="A432" s="3" t="str">
        <f>IFERROR(__xludf.DUMMYFUNCTION("""COMPUTED_VALUE"""),"NDSBR0049")</f>
        <v>NDSBR0049</v>
      </c>
      <c r="B432" s="4">
        <f>IFERROR(__xludf.DUMMYFUNCTION("""COMPUTED_VALUE"""),46043.298426030095)</f>
        <v>46043.29843</v>
      </c>
      <c r="C432" s="4">
        <f>IFERROR(__xludf.DUMMYFUNCTION("""COMPUTED_VALUE"""),46050.261325590276)</f>
        <v>46050.26133</v>
      </c>
      <c r="D432" s="3" t="str">
        <f>IFERROR(__xludf.DUMMYFUNCTION("""COMPUTED_VALUE"""),"Fumehood")</f>
        <v>Fumehood</v>
      </c>
      <c r="E432" s="3" t="str">
        <f>IFERROR(__xludf.DUMMYFUNCTION("""COMPUTED_VALUE"""),"EJO/2026/01/52")</f>
        <v>EJO/2026/01/52</v>
      </c>
      <c r="F432" s="3" t="str">
        <f>IFERROR(__xludf.DUMMYFUNCTION("""COMPUTED_VALUE"""),"Lampu LED 25 Watt")</f>
        <v>Lampu LED 25 Watt</v>
      </c>
      <c r="G432" s="3">
        <f>IFERROR(__xludf.DUMMYFUNCTION("""COMPUTED_VALUE"""),3.0)</f>
        <v>3</v>
      </c>
      <c r="H432" s="3" t="str">
        <f>IFERROR(__xludf.DUMMYFUNCTION("""COMPUTED_VALUE"""),"Pcs")</f>
        <v>Pcs</v>
      </c>
      <c r="I432" s="3" t="str">
        <f>IFERROR(__xludf.DUMMYFUNCTION("""COMPUTED_VALUE"""),"PR Open")</f>
        <v>PR Open</v>
      </c>
      <c r="J432" s="3" t="str">
        <f>IFERROR(__xludf.DUMMYFUNCTION("""COMPUTED_VALUE"""),"121704549 - APPROVED")</f>
        <v>121704549 - APPROVED</v>
      </c>
      <c r="K432" s="3" t="str">
        <f>IFERROR(__xludf.DUMMYFUNCTION("""COMPUTED_VALUE"""),"-")</f>
        <v>-</v>
      </c>
    </row>
    <row r="433">
      <c r="A433" s="3" t="str">
        <f>IFERROR(__xludf.DUMMYFUNCTION("""COMPUTED_VALUE"""),"ANOBR0049")</f>
        <v>ANOBR0049</v>
      </c>
      <c r="B433" s="4">
        <f>IFERROR(__xludf.DUMMYFUNCTION("""COMPUTED_VALUE"""),46043.96991226852)</f>
        <v>46043.96991</v>
      </c>
      <c r="C433" s="4">
        <f>IFERROR(__xludf.DUMMYFUNCTION("""COMPUTED_VALUE"""),46050.88319275463)</f>
        <v>46050.88319</v>
      </c>
      <c r="D433" s="3" t="str">
        <f>IFERROR(__xludf.DUMMYFUNCTION("""COMPUTED_VALUE"""),"Isolator sampling")</f>
        <v>Isolator sampling</v>
      </c>
      <c r="E433" s="3" t="str">
        <f>IFERROR(__xludf.DUMMYFUNCTION("""COMPUTED_VALUE"""),"EJO/2025/12/105")</f>
        <v>EJO/2025/12/105</v>
      </c>
      <c r="F433" s="3" t="str">
        <f>IFERROR(__xludf.DUMMYFUNCTION("""COMPUTED_VALUE"""),"manual valve 1.5 inch")</f>
        <v>manual valve 1.5 inch</v>
      </c>
      <c r="G433" s="3">
        <f>IFERROR(__xludf.DUMMYFUNCTION("""COMPUTED_VALUE"""),2.0)</f>
        <v>2</v>
      </c>
      <c r="H433" s="3" t="str">
        <f>IFERROR(__xludf.DUMMYFUNCTION("""COMPUTED_VALUE"""),"PCS")</f>
        <v>PCS</v>
      </c>
      <c r="I433" s="3" t="str">
        <f>IFERROR(__xludf.DUMMYFUNCTION("""COMPUTED_VALUE"""),"Proses PR")</f>
        <v>Proses PR</v>
      </c>
      <c r="J433" s="3" t="str">
        <f>IFERROR(__xludf.DUMMYFUNCTION("""COMPUTED_VALUE"""),"-")</f>
        <v>-</v>
      </c>
      <c r="K433" s="3" t="str">
        <f>IFERROR(__xludf.DUMMYFUNCTION("""COMPUTED_VALUE"""),"-")</f>
        <v>-</v>
      </c>
    </row>
    <row r="434">
      <c r="A434" s="3" t="str">
        <f>IFERROR(__xludf.DUMMYFUNCTION("""COMPUTED_VALUE"""),"RIABR0136")</f>
        <v>RIABR0136</v>
      </c>
      <c r="B434" s="4">
        <f>IFERROR(__xludf.DUMMYFUNCTION("""COMPUTED_VALUE"""),46044.487892129626)</f>
        <v>46044.48789</v>
      </c>
      <c r="C434" s="4">
        <f>IFERROR(__xludf.DUMMYFUNCTION("""COMPUTED_VALUE"""),46048.62328075231)</f>
        <v>46048.62328</v>
      </c>
      <c r="D434" s="3" t="str">
        <f>IFERROR(__xludf.DUMMYFUNCTION("""COMPUTED_VALUE"""),"Power Stacker Warehouse")</f>
        <v>Power Stacker Warehouse</v>
      </c>
      <c r="E434" s="3" t="str">
        <f>IFERROR(__xludf.DUMMYFUNCTION("""COMPUTED_VALUE"""),"EJO/2026/01/140")</f>
        <v>EJO/2026/01/140</v>
      </c>
      <c r="F434" s="3" t="str">
        <f>IFERROR(__xludf.DUMMYFUNCTION("""COMPUTED_VALUE"""),"Baterai")</f>
        <v>Baterai</v>
      </c>
      <c r="G434" s="3">
        <f>IFERROR(__xludf.DUMMYFUNCTION("""COMPUTED_VALUE"""),2.0)</f>
        <v>2</v>
      </c>
      <c r="H434" s="3" t="str">
        <f>IFERROR(__xludf.DUMMYFUNCTION("""COMPUTED_VALUE"""),"Pcs")</f>
        <v>Pcs</v>
      </c>
      <c r="I434" s="3" t="str">
        <f>IFERROR(__xludf.DUMMYFUNCTION("""COMPUTED_VALUE"""),"Deliver")</f>
        <v>Deliver</v>
      </c>
      <c r="J434" s="3" t="str">
        <f>IFERROR(__xludf.DUMMYFUNCTION("""COMPUTED_VALUE"""),"121704012 - APPROVED")</f>
        <v>121704012 - APPROVED</v>
      </c>
      <c r="K434" s="3" t="str">
        <f>IFERROR(__xludf.DUMMYFUNCTION("""COMPUTED_VALUE"""),"GL2604497")</f>
        <v>GL2604497</v>
      </c>
    </row>
    <row r="435">
      <c r="A435" s="3" t="str">
        <f>IFERROR(__xludf.DUMMYFUNCTION("""COMPUTED_VALUE"""),"ROSBR0075")</f>
        <v>ROSBR0075</v>
      </c>
      <c r="B435" s="4">
        <f>IFERROR(__xludf.DUMMYFUNCTION("""COMPUTED_VALUE"""),46045.70816630787)</f>
        <v>46045.70817</v>
      </c>
      <c r="C435" s="4">
        <f>IFERROR(__xludf.DUMMYFUNCTION("""COMPUTED_VALUE"""),46050.95464265046)</f>
        <v>46050.95464</v>
      </c>
      <c r="D435" s="3" t="str">
        <f>IFERROR(__xludf.DUMMYFUNCTION("""COMPUTED_VALUE"""),"Washing ")</f>
        <v>Washing </v>
      </c>
      <c r="E435" s="3" t="str">
        <f>IFERROR(__xludf.DUMMYFUNCTION("""COMPUTED_VALUE"""),"NA")</f>
        <v>NA</v>
      </c>
      <c r="F435" s="3" t="str">
        <f>IFERROR(__xludf.DUMMYFUNCTION("""COMPUTED_VALUE"""),"Shaft Puhser Washing")</f>
        <v>Shaft Puhser Washing</v>
      </c>
      <c r="G435" s="3">
        <f>IFERROR(__xludf.DUMMYFUNCTION("""COMPUTED_VALUE"""),1.0)</f>
        <v>1</v>
      </c>
      <c r="H435" s="3" t="str">
        <f>IFERROR(__xludf.DUMMYFUNCTION("""COMPUTED_VALUE"""),"set")</f>
        <v>set</v>
      </c>
      <c r="I435" s="3" t="str">
        <f>IFERROR(__xludf.DUMMYFUNCTION("""COMPUTED_VALUE"""),"PO Open")</f>
        <v>PO Open</v>
      </c>
      <c r="J435" s="3" t="str">
        <f>IFERROR(__xludf.DUMMYFUNCTION("""COMPUTED_VALUE"""),"121704357 - APPROVED")</f>
        <v>121704357 - APPROVED</v>
      </c>
      <c r="K435" s="3" t="str">
        <f>IFERROR(__xludf.DUMMYFUNCTION("""COMPUTED_VALUE"""),"GL2607372")</f>
        <v>GL2607372</v>
      </c>
    </row>
    <row r="436">
      <c r="A436" s="3" t="str">
        <f>IFERROR(__xludf.DUMMYFUNCTION("""COMPUTED_VALUE"""),"NDSBR0050")</f>
        <v>NDSBR0050</v>
      </c>
      <c r="B436" s="4">
        <f>IFERROR(__xludf.DUMMYFUNCTION("""COMPUTED_VALUE"""),46045.720527638885)</f>
        <v>46045.72053</v>
      </c>
      <c r="C436" s="4">
        <f>IFERROR(__xludf.DUMMYFUNCTION("""COMPUTED_VALUE"""),46050.27945408565)</f>
        <v>46050.27945</v>
      </c>
      <c r="D436" s="3" t="str">
        <f>IFERROR(__xludf.DUMMYFUNCTION("""COMPUTED_VALUE"""),"Blister")</f>
        <v>Blister</v>
      </c>
      <c r="E436" s="3" t="str">
        <f>IFERROR(__xludf.DUMMYFUNCTION("""COMPUTED_VALUE"""),"EJO/2025/10/130")</f>
        <v>EJO/2025/10/130</v>
      </c>
      <c r="F436" s="3" t="str">
        <f>IFERROR(__xludf.DUMMYFUNCTION("""COMPUTED_VALUE"""),"Cover Seluncuran Pass through")</f>
        <v>Cover Seluncuran Pass through</v>
      </c>
      <c r="G436" s="3">
        <f>IFERROR(__xludf.DUMMYFUNCTION("""COMPUTED_VALUE"""),1.0)</f>
        <v>1</v>
      </c>
      <c r="H436" s="3" t="str">
        <f>IFERROR(__xludf.DUMMYFUNCTION("""COMPUTED_VALUE"""),"Pcs")</f>
        <v>Pcs</v>
      </c>
      <c r="I436" s="3" t="str">
        <f>IFERROR(__xludf.DUMMYFUNCTION("""COMPUTED_VALUE"""),"Deliver")</f>
        <v>Deliver</v>
      </c>
      <c r="J436" s="3" t="str">
        <f>IFERROR(__xludf.DUMMYFUNCTION("""COMPUTED_VALUE"""),"121704032 - APPROVED")</f>
        <v>121704032 - APPROVED</v>
      </c>
      <c r="K436" s="3" t="str">
        <f>IFERROR(__xludf.DUMMYFUNCTION("""COMPUTED_VALUE"""),"GL2603478")</f>
        <v>GL2603478</v>
      </c>
    </row>
    <row r="437">
      <c r="A437" s="3" t="str">
        <f>IFERROR(__xludf.DUMMYFUNCTION("""COMPUTED_VALUE"""),"ROSBR0076")</f>
        <v>ROSBR0076</v>
      </c>
      <c r="B437" s="4">
        <f>IFERROR(__xludf.DUMMYFUNCTION("""COMPUTED_VALUE"""),46046.32567832176)</f>
        <v>46046.32568</v>
      </c>
      <c r="C437" s="4">
        <f>IFERROR(__xludf.DUMMYFUNCTION("""COMPUTED_VALUE"""),46050.95491854166)</f>
        <v>46050.95492</v>
      </c>
      <c r="D437" s="3" t="str">
        <f>IFERROR(__xludf.DUMMYFUNCTION("""COMPUTED_VALUE"""),"Autoclave Service ")</f>
        <v>Autoclave Service </v>
      </c>
      <c r="E437" s="3" t="str">
        <f>IFERROR(__xludf.DUMMYFUNCTION("""COMPUTED_VALUE"""),"NA ")</f>
        <v>NA </v>
      </c>
      <c r="F437" s="3" t="str">
        <f>IFERROR(__xludf.DUMMYFUNCTION("""COMPUTED_VALUE"""),"Oil Seal valve modulating ")</f>
        <v>Oil Seal valve modulating </v>
      </c>
      <c r="G437" s="3">
        <f>IFERROR(__xludf.DUMMYFUNCTION("""COMPUTED_VALUE"""),20.0)</f>
        <v>20</v>
      </c>
      <c r="H437" s="3" t="str">
        <f>IFERROR(__xludf.DUMMYFUNCTION("""COMPUTED_VALUE"""),"pcs")</f>
        <v>pcs</v>
      </c>
      <c r="I437" s="3" t="str">
        <f>IFERROR(__xludf.DUMMYFUNCTION("""COMPUTED_VALUE"""),"Proses PR")</f>
        <v>Proses PR</v>
      </c>
      <c r="J437" s="3" t="str">
        <f>IFERROR(__xludf.DUMMYFUNCTION("""COMPUTED_VALUE"""),"-")</f>
        <v>-</v>
      </c>
      <c r="K437" s="3" t="str">
        <f>IFERROR(__xludf.DUMMYFUNCTION("""COMPUTED_VALUE"""),"-")</f>
        <v>-</v>
      </c>
    </row>
    <row r="438">
      <c r="A438" s="3" t="str">
        <f>IFERROR(__xludf.DUMMYFUNCTION("""COMPUTED_VALUE"""),"MRNBR0098")</f>
        <v>MRNBR0098</v>
      </c>
      <c r="B438" s="4">
        <f>IFERROR(__xludf.DUMMYFUNCTION("""COMPUTED_VALUE"""),46047.86876768519)</f>
        <v>46047.86877</v>
      </c>
      <c r="C438" s="4">
        <f>IFERROR(__xludf.DUMMYFUNCTION("""COMPUTED_VALUE"""),46048.61972805556)</f>
        <v>46048.61973</v>
      </c>
      <c r="D438" s="3" t="str">
        <f>IFERROR(__xludf.DUMMYFUNCTION("""COMPUTED_VALUE"""),"Roll opack")</f>
        <v>Roll opack</v>
      </c>
      <c r="E438" s="3" t="str">
        <f>IFERROR(__xludf.DUMMYFUNCTION("""COMPUTED_VALUE"""),"EJO/2025/12/99")</f>
        <v>EJO/2025/12/99</v>
      </c>
      <c r="F438" s="3" t="str">
        <f>IFERROR(__xludf.DUMMYFUNCTION("""COMPUTED_VALUE"""),"Rantai")</f>
        <v>Rantai</v>
      </c>
      <c r="G438" s="3">
        <f>IFERROR(__xludf.DUMMYFUNCTION("""COMPUTED_VALUE"""),1.0)</f>
        <v>1</v>
      </c>
      <c r="H438" s="3" t="str">
        <f>IFERROR(__xludf.DUMMYFUNCTION("""COMPUTED_VALUE"""),"set")</f>
        <v>set</v>
      </c>
      <c r="I438" s="3" t="str">
        <f>IFERROR(__xludf.DUMMYFUNCTION("""COMPUTED_VALUE"""),"Deliver")</f>
        <v>Deliver</v>
      </c>
      <c r="J438" s="3" t="str">
        <f>IFERROR(__xludf.DUMMYFUNCTION("""COMPUTED_VALUE"""),"121704011 - APPROVED")</f>
        <v>121704011 - APPROVED</v>
      </c>
      <c r="K438" s="3" t="str">
        <f>IFERROR(__xludf.DUMMYFUNCTION("""COMPUTED_VALUE"""),"GL2604487")</f>
        <v>GL2604487</v>
      </c>
    </row>
    <row r="439">
      <c r="A439" s="3" t="str">
        <f>IFERROR(__xludf.DUMMYFUNCTION("""COMPUTED_VALUE"""),"SFHBR0043")</f>
        <v>SFHBR0043</v>
      </c>
      <c r="B439" s="4">
        <f>IFERROR(__xludf.DUMMYFUNCTION("""COMPUTED_VALUE"""),46049.929765520836)</f>
        <v>46049.92977</v>
      </c>
      <c r="C439" s="4">
        <f>IFERROR(__xludf.DUMMYFUNCTION("""COMPUTED_VALUE"""),46050.719330763895)</f>
        <v>46050.71933</v>
      </c>
      <c r="D439" s="3" t="str">
        <f>IFERROR(__xludf.DUMMYFUNCTION("""COMPUTED_VALUE"""),"lantai 2")</f>
        <v>lantai 2</v>
      </c>
      <c r="E439" s="3" t="str">
        <f>IFERROR(__xludf.DUMMYFUNCTION("""COMPUTED_VALUE"""),"EJO/2025/05/64")</f>
        <v>EJO/2025/05/64</v>
      </c>
      <c r="F439" s="3" t="str">
        <f>IFERROR(__xludf.DUMMYFUNCTION("""COMPUTED_VALUE"""),"Cat Epoxy lantai PROPAN POLYFLOOR PRIMER PFP-241 2K SB(20KG - SET)")</f>
        <v>Cat Epoxy lantai PROPAN POLYFLOOR PRIMER PFP-241 2K SB(20KG - SET)</v>
      </c>
      <c r="G439" s="3">
        <f>IFERROR(__xludf.DUMMYFUNCTION("""COMPUTED_VALUE"""),2.0)</f>
        <v>2</v>
      </c>
      <c r="H439" s="3" t="str">
        <f>IFERROR(__xludf.DUMMYFUNCTION("""COMPUTED_VALUE"""),"pel")</f>
        <v>pel</v>
      </c>
      <c r="I439" s="3" t="str">
        <f>IFERROR(__xludf.DUMMYFUNCTION("""COMPUTED_VALUE"""),"Deliver")</f>
        <v>Deliver</v>
      </c>
      <c r="J439" s="3" t="str">
        <f>IFERROR(__xludf.DUMMYFUNCTION("""COMPUTED_VALUE"""),"121704378 - APPROVED")</f>
        <v>121704378 - APPROVED</v>
      </c>
      <c r="K439" s="3" t="str">
        <f>IFERROR(__xludf.DUMMYFUNCTION("""COMPUTED_VALUE"""),"GL2607024")</f>
        <v>GL2607024</v>
      </c>
    </row>
    <row r="440">
      <c r="A440" s="3" t="str">
        <f>IFERROR(__xludf.DUMMYFUNCTION("""COMPUTED_VALUE"""),"ROSBR0077")</f>
        <v>ROSBR0077</v>
      </c>
      <c r="B440" s="4">
        <f>IFERROR(__xludf.DUMMYFUNCTION("""COMPUTED_VALUE"""),46049.96787770833)</f>
        <v>46049.96788</v>
      </c>
      <c r="C440" s="4">
        <f>IFERROR(__xludf.DUMMYFUNCTION("""COMPUTED_VALUE"""),46050.95522707176)</f>
        <v>46050.95523</v>
      </c>
      <c r="D440" s="3" t="str">
        <f>IFERROR(__xludf.DUMMYFUNCTION("""COMPUTED_VALUE"""),"Mixing")</f>
        <v>Mixing</v>
      </c>
      <c r="E440" s="3" t="str">
        <f>IFERROR(__xludf.DUMMYFUNCTION("""COMPUTED_VALUE"""),"NA")</f>
        <v>NA</v>
      </c>
      <c r="F440" s="3" t="str">
        <f>IFERROR(__xludf.DUMMYFUNCTION("""COMPUTED_VALUE"""),"Oring port dop Mixing")</f>
        <v>Oring port dop Mixing</v>
      </c>
      <c r="G440" s="3">
        <f>IFERROR(__xludf.DUMMYFUNCTION("""COMPUTED_VALUE"""),10.0)</f>
        <v>10</v>
      </c>
      <c r="H440" s="3" t="str">
        <f>IFERROR(__xludf.DUMMYFUNCTION("""COMPUTED_VALUE"""),"Pcs")</f>
        <v>Pcs</v>
      </c>
      <c r="I440" s="3" t="str">
        <f>IFERROR(__xludf.DUMMYFUNCTION("""COMPUTED_VALUE"""),"PR Open")</f>
        <v>PR Open</v>
      </c>
      <c r="J440" s="3" t="str">
        <f>IFERROR(__xludf.DUMMYFUNCTION("""COMPUTED_VALUE"""),"121704555 - APPROVED")</f>
        <v>121704555 - APPROVED</v>
      </c>
      <c r="K440" s="3" t="str">
        <f>IFERROR(__xludf.DUMMYFUNCTION("""COMPUTED_VALUE"""),"-")</f>
        <v>-</v>
      </c>
    </row>
    <row r="441">
      <c r="A441" s="3" t="str">
        <f>IFERROR(__xludf.DUMMYFUNCTION("""COMPUTED_VALUE"""),"NDSBR0051")</f>
        <v>NDSBR0051</v>
      </c>
      <c r="B441" s="4">
        <f>IFERROR(__xludf.DUMMYFUNCTION("""COMPUTED_VALUE"""),46050.58623450232)</f>
        <v>46050.58623</v>
      </c>
      <c r="C441" s="4">
        <f>IFERROR(__xludf.DUMMYFUNCTION("""COMPUTED_VALUE"""),46050.873435023146)</f>
        <v>46050.87344</v>
      </c>
      <c r="D441" s="3" t="str">
        <f>IFERROR(__xludf.DUMMYFUNCTION("""COMPUTED_VALUE"""),"Blister")</f>
        <v>Blister</v>
      </c>
      <c r="E441" s="3" t="str">
        <f>IFERROR(__xludf.DUMMYFUNCTION("""COMPUTED_VALUE"""),"EJO/2026/02/18")</f>
        <v>EJO/2026/02/18</v>
      </c>
      <c r="F441" s="3" t="str">
        <f>IFERROR(__xludf.DUMMYFUNCTION("""COMPUTED_VALUE"""),"Filter Regulator")</f>
        <v>Filter Regulator</v>
      </c>
      <c r="G441" s="3">
        <f>IFERROR(__xludf.DUMMYFUNCTION("""COMPUTED_VALUE"""),1.0)</f>
        <v>1</v>
      </c>
      <c r="H441" s="3" t="str">
        <f>IFERROR(__xludf.DUMMYFUNCTION("""COMPUTED_VALUE"""),"Pcs")</f>
        <v>Pcs</v>
      </c>
      <c r="I441" s="3" t="str">
        <f>IFERROR(__xludf.DUMMYFUNCTION("""COMPUTED_VALUE"""),"Deliver")</f>
        <v>Deliver</v>
      </c>
      <c r="J441" s="3" t="str">
        <f>IFERROR(__xludf.DUMMYFUNCTION("""COMPUTED_VALUE"""),"121704049 - APPROVED")</f>
        <v>121704049 - APPROVED</v>
      </c>
      <c r="K441" s="3" t="str">
        <f>IFERROR(__xludf.DUMMYFUNCTION("""COMPUTED_VALUE"""),"GL2604489")</f>
        <v>GL2604489</v>
      </c>
    </row>
    <row r="442">
      <c r="A442" s="3" t="str">
        <f>IFERROR(__xludf.DUMMYFUNCTION("""COMPUTED_VALUE"""),"KFFBR0002")</f>
        <v>KFFBR0002</v>
      </c>
      <c r="B442" s="4">
        <f>IFERROR(__xludf.DUMMYFUNCTION("""COMPUTED_VALUE"""),46050.9636718287)</f>
        <v>46050.96367</v>
      </c>
      <c r="C442" s="4">
        <f>IFERROR(__xludf.DUMMYFUNCTION("""COMPUTED_VALUE"""),46069.63451960648)</f>
        <v>46069.63452</v>
      </c>
      <c r="D442" s="3" t="str">
        <f>IFERROR(__xludf.DUMMYFUNCTION("""COMPUTED_VALUE"""),"Capping")</f>
        <v>Capping</v>
      </c>
      <c r="E442" s="3" t="str">
        <f>IFERROR(__xludf.DUMMYFUNCTION("""COMPUTED_VALUE"""),"EJO/2026/02/33")</f>
        <v>EJO/2026/02/33</v>
      </c>
      <c r="F442" s="3" t="str">
        <f>IFERROR(__xludf.DUMMYFUNCTION("""COMPUTED_VALUE"""),"Helicoil ")</f>
        <v>Helicoil </v>
      </c>
      <c r="G442" s="3">
        <f>IFERROR(__xludf.DUMMYFUNCTION("""COMPUTED_VALUE"""),1.0)</f>
        <v>1</v>
      </c>
      <c r="H442" s="3" t="str">
        <f>IFERROR(__xludf.DUMMYFUNCTION("""COMPUTED_VALUE"""),"set")</f>
        <v>set</v>
      </c>
      <c r="I442" s="3" t="str">
        <f>IFERROR(__xludf.DUMMYFUNCTION("""COMPUTED_VALUE"""),"PR Open")</f>
        <v>PR Open</v>
      </c>
      <c r="J442" s="3" t="str">
        <f>IFERROR(__xludf.DUMMYFUNCTION("""COMPUTED_VALUE"""),"121704549 - APPROVED")</f>
        <v>121704549 - APPROVED</v>
      </c>
      <c r="K442" s="3" t="str">
        <f>IFERROR(__xludf.DUMMYFUNCTION("""COMPUTED_VALUE"""),"GL2609428")</f>
        <v>GL2609428</v>
      </c>
    </row>
    <row r="443">
      <c r="A443" s="3" t="str">
        <f>IFERROR(__xludf.DUMMYFUNCTION("""COMPUTED_VALUE"""),"KFFBR0001")</f>
        <v>KFFBR0001</v>
      </c>
      <c r="B443" s="4">
        <f>IFERROR(__xludf.DUMMYFUNCTION("""COMPUTED_VALUE"""),46050.964547442134)</f>
        <v>46050.96455</v>
      </c>
      <c r="C443" s="4">
        <f>IFERROR(__xludf.DUMMYFUNCTION("""COMPUTED_VALUE"""),46051.06442122685)</f>
        <v>46051.06442</v>
      </c>
      <c r="D443" s="3" t="str">
        <f>IFERROR(__xludf.DUMMYFUNCTION("""COMPUTED_VALUE"""),"Blistering OSD ")</f>
        <v>Blistering OSD </v>
      </c>
      <c r="E443" s="3" t="str">
        <f>IFERROR(__xludf.DUMMYFUNCTION("""COMPUTED_VALUE"""),"EJO/2026/01/100")</f>
        <v>EJO/2026/01/100</v>
      </c>
      <c r="F443" s="3" t="str">
        <f>IFERROR(__xludf.DUMMYFUNCTION("""COMPUTED_VALUE"""),"penggaris siku")</f>
        <v>penggaris siku</v>
      </c>
      <c r="G443" s="3">
        <f>IFERROR(__xludf.DUMMYFUNCTION("""COMPUTED_VALUE"""),1.0)</f>
        <v>1</v>
      </c>
      <c r="H443" s="3" t="str">
        <f>IFERROR(__xludf.DUMMYFUNCTION("""COMPUTED_VALUE"""),"pcs")</f>
        <v>pcs</v>
      </c>
      <c r="I443" s="3" t="str">
        <f>IFERROR(__xludf.DUMMYFUNCTION("""COMPUTED_VALUE"""),"Proses PR")</f>
        <v>Proses PR</v>
      </c>
      <c r="J443" s="3" t="str">
        <f>IFERROR(__xludf.DUMMYFUNCTION("""COMPUTED_VALUE"""),"-")</f>
        <v>-</v>
      </c>
      <c r="K443" s="3" t="str">
        <f>IFERROR(__xludf.DUMMYFUNCTION("""COMPUTED_VALUE"""),"-")</f>
        <v>-</v>
      </c>
    </row>
    <row r="444">
      <c r="A444" s="3" t="str">
        <f>IFERROR(__xludf.DUMMYFUNCTION("""COMPUTED_VALUE"""),"KFFBR0004")</f>
        <v>KFFBR0004</v>
      </c>
      <c r="B444" s="4">
        <f>IFERROR(__xludf.DUMMYFUNCTION("""COMPUTED_VALUE"""),46050.97148141204)</f>
        <v>46050.97148</v>
      </c>
      <c r="C444" s="4">
        <f>IFERROR(__xludf.DUMMYFUNCTION("""COMPUTED_VALUE"""),46069.62070291666)</f>
        <v>46069.6207</v>
      </c>
      <c r="D444" s="3" t="str">
        <f>IFERROR(__xludf.DUMMYFUNCTION("""COMPUTED_VALUE"""),"HPLC ")</f>
        <v>HPLC </v>
      </c>
      <c r="E444" s="3" t="str">
        <f>IFERROR(__xludf.DUMMYFUNCTION("""COMPUTED_VALUE"""),"EJO/2025/09/131")</f>
        <v>EJO/2025/09/131</v>
      </c>
      <c r="F444" s="3" t="str">
        <f>IFERROR(__xludf.DUMMYFUNCTION("""COMPUTED_VALUE"""),"Plat SS316 ")</f>
        <v>Plat SS316 </v>
      </c>
      <c r="G444" s="3">
        <f>IFERROR(__xludf.DUMMYFUNCTION("""COMPUTED_VALUE"""),1.0)</f>
        <v>1</v>
      </c>
      <c r="H444" s="3" t="str">
        <f>IFERROR(__xludf.DUMMYFUNCTION("""COMPUTED_VALUE"""),"sheet")</f>
        <v>sheet</v>
      </c>
      <c r="I444" s="3" t="str">
        <f>IFERROR(__xludf.DUMMYFUNCTION("""COMPUTED_VALUE"""),"Deliver")</f>
        <v>Deliver</v>
      </c>
      <c r="J444" s="3" t="str">
        <f>IFERROR(__xludf.DUMMYFUNCTION("""COMPUTED_VALUE"""),"121704162 - APPROVED")</f>
        <v>121704162 - APPROVED</v>
      </c>
      <c r="K444" s="3" t="str">
        <f>IFERROR(__xludf.DUMMYFUNCTION("""COMPUTED_VALUE"""),"GL2605008")</f>
        <v>GL2605008</v>
      </c>
    </row>
    <row r="445">
      <c r="A445" s="3" t="str">
        <f>IFERROR(__xludf.DUMMYFUNCTION("""COMPUTED_VALUE"""),"RIABR0137")</f>
        <v>RIABR0137</v>
      </c>
      <c r="B445" s="4">
        <f>IFERROR(__xludf.DUMMYFUNCTION("""COMPUTED_VALUE"""),46056.464922708336)</f>
        <v>46056.46492</v>
      </c>
      <c r="C445" s="4">
        <f>IFERROR(__xludf.DUMMYFUNCTION("""COMPUTED_VALUE"""),46202.915880277775)</f>
        <v>46202.91588</v>
      </c>
      <c r="D445" s="3" t="str">
        <f>IFERROR(__xludf.DUMMYFUNCTION("""COMPUTED_VALUE"""),"N2 Generator")</f>
        <v>N2 Generator</v>
      </c>
      <c r="E445" s="3" t="str">
        <f>IFERROR(__xludf.DUMMYFUNCTION("""COMPUTED_VALUE"""),"EJO/2026/02/14")</f>
        <v>EJO/2026/02/14</v>
      </c>
      <c r="F445" s="3" t="str">
        <f>IFERROR(__xludf.DUMMYFUNCTION("""COMPUTED_VALUE"""),"Display Flow Meter")</f>
        <v>Display Flow Meter</v>
      </c>
      <c r="G445" s="3">
        <f>IFERROR(__xludf.DUMMYFUNCTION("""COMPUTED_VALUE"""),1.0)</f>
        <v>1</v>
      </c>
      <c r="H445" s="3" t="str">
        <f>IFERROR(__xludf.DUMMYFUNCTION("""COMPUTED_VALUE"""),"Pcs")</f>
        <v>Pcs</v>
      </c>
      <c r="I445" s="3" t="str">
        <f>IFERROR(__xludf.DUMMYFUNCTION("""COMPUTED_VALUE"""),"Pembuatan Item Code")</f>
        <v>Pembuatan Item Code</v>
      </c>
      <c r="J445" s="3" t="str">
        <f>IFERROR(__xludf.DUMMYFUNCTION("""COMPUTED_VALUE"""),"-")</f>
        <v>-</v>
      </c>
      <c r="K445" s="3" t="str">
        <f>IFERROR(__xludf.DUMMYFUNCTION("""COMPUTED_VALUE"""),"-")</f>
        <v>-</v>
      </c>
    </row>
    <row r="446">
      <c r="A446" s="3" t="str">
        <f>IFERROR(__xludf.DUMMYFUNCTION("""COMPUTED_VALUE"""),"ROSBR0079")</f>
        <v>ROSBR0079</v>
      </c>
      <c r="B446" s="4">
        <f>IFERROR(__xludf.DUMMYFUNCTION("""COMPUTED_VALUE"""),46056.69940715278)</f>
        <v>46056.69941</v>
      </c>
      <c r="C446" s="4">
        <f>IFERROR(__xludf.DUMMYFUNCTION("""COMPUTED_VALUE"""),46064.99641225695)</f>
        <v>46064.99641</v>
      </c>
      <c r="D446" s="3" t="str">
        <f>IFERROR(__xludf.DUMMYFUNCTION("""COMPUTED_VALUE"""),"Autoclave preparasi dan decontam 
Lab Micro ")</f>
        <v>Autoclave preparasi dan decontam 
Lab Micro </v>
      </c>
      <c r="E446" s="3" t="str">
        <f>IFERROR(__xludf.DUMMYFUNCTION("""COMPUTED_VALUE"""),"NA")</f>
        <v>NA</v>
      </c>
      <c r="F446" s="3" t="str">
        <f>IFERROR(__xludf.DUMMYFUNCTION("""COMPUTED_VALUE"""),"Water Presence Probe Kit and OR Seal")</f>
        <v>Water Presence Probe Kit and OR Seal</v>
      </c>
      <c r="G446" s="3">
        <f>IFERROR(__xludf.DUMMYFUNCTION("""COMPUTED_VALUE"""),10.0)</f>
        <v>10</v>
      </c>
      <c r="H446" s="3" t="str">
        <f>IFERROR(__xludf.DUMMYFUNCTION("""COMPUTED_VALUE"""),"Set")</f>
        <v>Set</v>
      </c>
      <c r="I446" s="3" t="str">
        <f>IFERROR(__xludf.DUMMYFUNCTION("""COMPUTED_VALUE"""),"PO Open")</f>
        <v>PO Open</v>
      </c>
      <c r="J446" s="3" t="str">
        <f>IFERROR(__xludf.DUMMYFUNCTION("""COMPUTED_VALUE"""),"121704393 - APPROVED")</f>
        <v>121704393 - APPROVED</v>
      </c>
      <c r="K446" s="3" t="str">
        <f>IFERROR(__xludf.DUMMYFUNCTION("""COMPUTED_VALUE"""),"GL2607373")</f>
        <v>GL2607373</v>
      </c>
    </row>
    <row r="447">
      <c r="A447" s="3" t="str">
        <f>IFERROR(__xludf.DUMMYFUNCTION("""COMPUTED_VALUE"""),"ROSBR0080")</f>
        <v>ROSBR0080</v>
      </c>
      <c r="B447" s="4">
        <f>IFERROR(__xludf.DUMMYFUNCTION("""COMPUTED_VALUE"""),46056.709090289354)</f>
        <v>46056.70909</v>
      </c>
      <c r="C447" s="4">
        <f>IFERROR(__xludf.DUMMYFUNCTION("""COMPUTED_VALUE"""),46064.996788634264)</f>
        <v>46064.99679</v>
      </c>
      <c r="D447" s="3" t="str">
        <f>IFERROR(__xludf.DUMMYFUNCTION("""COMPUTED_VALUE"""),"Printer head autoclave prepaarasi")</f>
        <v>Printer head autoclave prepaarasi</v>
      </c>
      <c r="E447" s="3" t="str">
        <f>IFERROR(__xludf.DUMMYFUNCTION("""COMPUTED_VALUE"""),"NA")</f>
        <v>NA</v>
      </c>
      <c r="F447" s="3" t="str">
        <f>IFERROR(__xludf.DUMMYFUNCTION("""COMPUTED_VALUE"""),"PROFACE PRINTER")</f>
        <v>PROFACE PRINTER</v>
      </c>
      <c r="G447" s="3">
        <f>IFERROR(__xludf.DUMMYFUNCTION("""COMPUTED_VALUE"""),2.0)</f>
        <v>2</v>
      </c>
      <c r="H447" s="3" t="str">
        <f>IFERROR(__xludf.DUMMYFUNCTION("""COMPUTED_VALUE"""),"set")</f>
        <v>set</v>
      </c>
      <c r="I447" s="3" t="str">
        <f>IFERROR(__xludf.DUMMYFUNCTION("""COMPUTED_VALUE"""),"PO Open")</f>
        <v>PO Open</v>
      </c>
      <c r="J447" s="3" t="str">
        <f>IFERROR(__xludf.DUMMYFUNCTION("""COMPUTED_VALUE"""),"121704159 - APPROVED")</f>
        <v>121704159 - APPROVED</v>
      </c>
      <c r="K447" s="3" t="str">
        <f>IFERROR(__xludf.DUMMYFUNCTION("""COMPUTED_VALUE"""),"GL2605340")</f>
        <v>GL2605340</v>
      </c>
    </row>
    <row r="448">
      <c r="A448" s="3" t="str">
        <f>IFERROR(__xludf.DUMMYFUNCTION("""COMPUTED_VALUE"""),"MFHBR0020")</f>
        <v>MFHBR0020</v>
      </c>
      <c r="B448" s="4">
        <f>IFERROR(__xludf.DUMMYFUNCTION("""COMPUTED_VALUE"""),46062.37783008102)</f>
        <v>46062.37783</v>
      </c>
      <c r="C448" s="4">
        <f>IFERROR(__xludf.DUMMYFUNCTION("""COMPUTED_VALUE"""),46047.89274121528)</f>
        <v>46047.89274</v>
      </c>
      <c r="D448" s="3" t="str">
        <f>IFERROR(__xludf.DUMMYFUNCTION("""COMPUTED_VALUE"""),"Building")</f>
        <v>Building</v>
      </c>
      <c r="E448" s="3" t="str">
        <f>IFERROR(__xludf.DUMMYFUNCTION("""COMPUTED_VALUE"""),"-")</f>
        <v>-</v>
      </c>
      <c r="F448" s="3" t="str">
        <f>IFERROR(__xludf.DUMMYFUNCTION("""COMPUTED_VALUE"""),"Renovation - Penambahan AHU B1-3")</f>
        <v>Renovation - Penambahan AHU B1-3</v>
      </c>
      <c r="G448" s="3">
        <f>IFERROR(__xludf.DUMMYFUNCTION("""COMPUTED_VALUE"""),1.0)</f>
        <v>1</v>
      </c>
      <c r="H448" s="3" t="str">
        <f>IFERROR(__xludf.DUMMYFUNCTION("""COMPUTED_VALUE"""),"Lot")</f>
        <v>Lot</v>
      </c>
      <c r="I448" s="3" t="str">
        <f>IFERROR(__xludf.DUMMYFUNCTION("""COMPUTED_VALUE"""),"PO Open")</f>
        <v>PO Open</v>
      </c>
      <c r="J448" s="3" t="str">
        <f>IFERROR(__xludf.DUMMYFUNCTION("""COMPUTED_VALUE"""),"121703291 - APPROVED")</f>
        <v>121703291 - APPROVED</v>
      </c>
      <c r="K448" s="3" t="str">
        <f>IFERROR(__xludf.DUMMYFUNCTION("""COMPUTED_VALUE"""),"-")</f>
        <v>-</v>
      </c>
    </row>
    <row r="449">
      <c r="A449" s="3" t="str">
        <f>IFERROR(__xludf.DUMMYFUNCTION("""COMPUTED_VALUE"""),"MFHBR0021")</f>
        <v>MFHBR0021</v>
      </c>
      <c r="B449" s="4">
        <f>IFERROR(__xludf.DUMMYFUNCTION("""COMPUTED_VALUE"""),46062.37783008102)</f>
        <v>46062.37783</v>
      </c>
      <c r="C449" s="4">
        <f>IFERROR(__xludf.DUMMYFUNCTION("""COMPUTED_VALUE"""),46047.89282384259)</f>
        <v>46047.89282</v>
      </c>
      <c r="D449" s="3" t="str">
        <f>IFERROR(__xludf.DUMMYFUNCTION("""COMPUTED_VALUE"""),"FD")</f>
        <v>FD</v>
      </c>
      <c r="E449" s="3" t="str">
        <f>IFERROR(__xludf.DUMMYFUNCTION("""COMPUTED_VALUE"""),"-")</f>
        <v>-</v>
      </c>
      <c r="F449" s="3" t="str">
        <f>IFERROR(__xludf.DUMMYFUNCTION("""COMPUTED_VALUE"""),"Machine Equipment; ; ; - Suplai dan Instalasi Sistim Exhaust untuk Chimney, BIBO/Safe Change + Preparasi")</f>
        <v>Machine Equipment; ; ; - Suplai dan Instalasi Sistim Exhaust untuk Chimney, BIBO/Safe Change + Preparasi</v>
      </c>
      <c r="G449" s="3">
        <f>IFERROR(__xludf.DUMMYFUNCTION("""COMPUTED_VALUE"""),1.0)</f>
        <v>1</v>
      </c>
      <c r="H449" s="3" t="str">
        <f>IFERROR(__xludf.DUMMYFUNCTION("""COMPUTED_VALUE"""),"Lot")</f>
        <v>Lot</v>
      </c>
      <c r="I449" s="3" t="str">
        <f>IFERROR(__xludf.DUMMYFUNCTION("""COMPUTED_VALUE"""),"Deliver")</f>
        <v>Deliver</v>
      </c>
      <c r="J449" s="3" t="str">
        <f>IFERROR(__xludf.DUMMYFUNCTION("""COMPUTED_VALUE"""),"121703500 - APPROVED")</f>
        <v>121703500 - APPROVED</v>
      </c>
      <c r="K449" s="3" t="str">
        <f>IFERROR(__xludf.DUMMYFUNCTION("""COMPUTED_VALUE"""),"GL2601005")</f>
        <v>GL2601005</v>
      </c>
    </row>
    <row r="450">
      <c r="A450" s="3" t="str">
        <f>IFERROR(__xludf.DUMMYFUNCTION("""COMPUTED_VALUE"""),"MFHBR0022")</f>
        <v>MFHBR0022</v>
      </c>
      <c r="B450" s="4">
        <f>IFERROR(__xludf.DUMMYFUNCTION("""COMPUTED_VALUE"""),46062.37783008102)</f>
        <v>46062.37783</v>
      </c>
      <c r="C450" s="4">
        <f>IFERROR(__xludf.DUMMYFUNCTION("""COMPUTED_VALUE"""),46047.892903368054)</f>
        <v>46047.8929</v>
      </c>
      <c r="D450" s="3" t="str">
        <f>IFERROR(__xludf.DUMMYFUNCTION("""COMPUTED_VALUE"""),"Water System")</f>
        <v>Water System</v>
      </c>
      <c r="E450" s="3" t="str">
        <f>IFERROR(__xludf.DUMMYFUNCTION("""COMPUTED_VALUE"""),"-")</f>
        <v>-</v>
      </c>
      <c r="F450" s="3" t="str">
        <f>IFERROR(__xludf.DUMMYFUNCTION("""COMPUTED_VALUE"""),"Inverter")</f>
        <v>Inverter</v>
      </c>
      <c r="G450" s="3">
        <f>IFERROR(__xludf.DUMMYFUNCTION("""COMPUTED_VALUE"""),1.0)</f>
        <v>1</v>
      </c>
      <c r="H450" s="3" t="str">
        <f>IFERROR(__xludf.DUMMYFUNCTION("""COMPUTED_VALUE"""),"Unit")</f>
        <v>Unit</v>
      </c>
      <c r="I450" s="3" t="str">
        <f>IFERROR(__xludf.DUMMYFUNCTION("""COMPUTED_VALUE"""),"Deliver")</f>
        <v>Deliver</v>
      </c>
      <c r="J450" s="3" t="str">
        <f>IFERROR(__xludf.DUMMYFUNCTION("""COMPUTED_VALUE"""),"-")</f>
        <v>-</v>
      </c>
      <c r="K450" s="3" t="str">
        <f>IFERROR(__xludf.DUMMYFUNCTION("""COMPUTED_VALUE"""),"-")</f>
        <v>-</v>
      </c>
    </row>
    <row r="451">
      <c r="A451" s="3" t="str">
        <f>IFERROR(__xludf.DUMMYFUNCTION("""COMPUTED_VALUE"""),"MFHBR0023")</f>
        <v>MFHBR0023</v>
      </c>
      <c r="B451" s="4">
        <f>IFERROR(__xludf.DUMMYFUNCTION("""COMPUTED_VALUE"""),46062.37783008102)</f>
        <v>46062.37783</v>
      </c>
      <c r="C451" s="4">
        <f>IFERROR(__xludf.DUMMYFUNCTION("""COMPUTED_VALUE"""),46047.89297937501)</f>
        <v>46047.89298</v>
      </c>
      <c r="D451" s="3" t="str">
        <f>IFERROR(__xludf.DUMMYFUNCTION("""COMPUTED_VALUE"""),"Building")</f>
        <v>Building</v>
      </c>
      <c r="E451" s="3" t="str">
        <f>IFERROR(__xludf.DUMMYFUNCTION("""COMPUTED_VALUE"""),"-")</f>
        <v>-</v>
      </c>
      <c r="F451" s="3" t="str">
        <f>IFERROR(__xludf.DUMMYFUNCTION("""COMPUTED_VALUE"""),"Machine Equipment; ; ; - Addtitional Project Pipa Utilitas - Addtitional Project Pipa Utilitas - Addtitional Project Pipa Utilitas - Addtitional Project Pipa Utilitas - Addtitional Project Pipa Utilitas - Addtitional Project Pipa Utilitas")</f>
        <v>Machine Equipment; ; ; - Addtitional Project Pipa Utilitas - Addtitional Project Pipa Utilitas - Addtitional Project Pipa Utilitas - Addtitional Project Pipa Utilitas - Addtitional Project Pipa Utilitas - Addtitional Project Pipa Utilitas</v>
      </c>
      <c r="G451" s="3">
        <f>IFERROR(__xludf.DUMMYFUNCTION("""COMPUTED_VALUE"""),1.0)</f>
        <v>1</v>
      </c>
      <c r="H451" s="3" t="str">
        <f>IFERROR(__xludf.DUMMYFUNCTION("""COMPUTED_VALUE"""),"Lot")</f>
        <v>Lot</v>
      </c>
      <c r="I451" s="3" t="str">
        <f>IFERROR(__xludf.DUMMYFUNCTION("""COMPUTED_VALUE"""),"Deliver")</f>
        <v>Deliver</v>
      </c>
      <c r="J451" s="3" t="str">
        <f>IFERROR(__xludf.DUMMYFUNCTION("""COMPUTED_VALUE"""),"121703584 - APPROVED")</f>
        <v>121703584 - APPROVED</v>
      </c>
      <c r="K451" s="3" t="str">
        <f>IFERROR(__xludf.DUMMYFUNCTION("""COMPUTED_VALUE"""),"-")</f>
        <v>-</v>
      </c>
    </row>
    <row r="452">
      <c r="A452" s="3" t="str">
        <f>IFERROR(__xludf.DUMMYFUNCTION("""COMPUTED_VALUE"""),"MFHBR0024")</f>
        <v>MFHBR0024</v>
      </c>
      <c r="B452" s="4">
        <f>IFERROR(__xludf.DUMMYFUNCTION("""COMPUTED_VALUE"""),46062.37783008102)</f>
        <v>46062.37783</v>
      </c>
      <c r="C452" s="4">
        <f>IFERROR(__xludf.DUMMYFUNCTION("""COMPUTED_VALUE"""),46047.89306042824)</f>
        <v>46047.89306</v>
      </c>
      <c r="D452" s="3" t="str">
        <f>IFERROR(__xludf.DUMMYFUNCTION("""COMPUTED_VALUE"""),"Building")</f>
        <v>Building</v>
      </c>
      <c r="E452" s="3" t="str">
        <f>IFERROR(__xludf.DUMMYFUNCTION("""COMPUTED_VALUE"""),"-")</f>
        <v>-</v>
      </c>
      <c r="F452" s="3" t="str">
        <f>IFERROR(__xludf.DUMMYFUNCTION("""COMPUTED_VALUE"""),"Flow Meter")</f>
        <v>Flow Meter</v>
      </c>
      <c r="G452" s="3">
        <f>IFERROR(__xludf.DUMMYFUNCTION("""COMPUTED_VALUE"""),1.0)</f>
        <v>1</v>
      </c>
      <c r="H452" s="3" t="str">
        <f>IFERROR(__xludf.DUMMYFUNCTION("""COMPUTED_VALUE"""),"Unit")</f>
        <v>Unit</v>
      </c>
      <c r="I452" s="3" t="str">
        <f>IFERROR(__xludf.DUMMYFUNCTION("""COMPUTED_VALUE"""),"Deliver")</f>
        <v>Deliver</v>
      </c>
      <c r="J452" s="3" t="str">
        <f>IFERROR(__xludf.DUMMYFUNCTION("""COMPUTED_VALUE"""),"121703597 - APPROVED")</f>
        <v>121703597 - APPROVED</v>
      </c>
      <c r="K452" s="3" t="str">
        <f>IFERROR(__xludf.DUMMYFUNCTION("""COMPUTED_VALUE"""),"GL2602010")</f>
        <v>GL2602010</v>
      </c>
    </row>
    <row r="453">
      <c r="A453" s="3" t="str">
        <f>IFERROR(__xludf.DUMMYFUNCTION("""COMPUTED_VALUE"""),"MFHBR0025")</f>
        <v>MFHBR0025</v>
      </c>
      <c r="B453" s="4">
        <f>IFERROR(__xludf.DUMMYFUNCTION("""COMPUTED_VALUE"""),46062.37783008102)</f>
        <v>46062.37783</v>
      </c>
      <c r="C453" s="4">
        <f>IFERROR(__xludf.DUMMYFUNCTION("""COMPUTED_VALUE"""),46047.893142835645)</f>
        <v>46047.89314</v>
      </c>
      <c r="D453" s="3" t="str">
        <f>IFERROR(__xludf.DUMMYFUNCTION("""COMPUTED_VALUE"""),"Building")</f>
        <v>Building</v>
      </c>
      <c r="E453" s="3" t="str">
        <f>IFERROR(__xludf.DUMMYFUNCTION("""COMPUTED_VALUE"""),"-")</f>
        <v>-</v>
      </c>
      <c r="F453" s="3" t="str">
        <f>IFERROR(__xludf.DUMMYFUNCTION("""COMPUTED_VALUE"""),"Flow Meter")</f>
        <v>Flow Meter</v>
      </c>
      <c r="G453" s="3">
        <f>IFERROR(__xludf.DUMMYFUNCTION("""COMPUTED_VALUE"""),1.0)</f>
        <v>1</v>
      </c>
      <c r="H453" s="3" t="str">
        <f>IFERROR(__xludf.DUMMYFUNCTION("""COMPUTED_VALUE"""),"Unit")</f>
        <v>Unit</v>
      </c>
      <c r="I453" s="3" t="str">
        <f>IFERROR(__xludf.DUMMYFUNCTION("""COMPUTED_VALUE"""),"Deliver")</f>
        <v>Deliver</v>
      </c>
      <c r="J453" s="3" t="str">
        <f>IFERROR(__xludf.DUMMYFUNCTION("""COMPUTED_VALUE"""),"121703600 - APPROVED")</f>
        <v>121703600 - APPROVED</v>
      </c>
      <c r="K453" s="3" t="str">
        <f>IFERROR(__xludf.DUMMYFUNCTION("""COMPUTED_VALUE"""),"GL2602010")</f>
        <v>GL2602010</v>
      </c>
    </row>
    <row r="454">
      <c r="A454" s="3" t="str">
        <f>IFERROR(__xludf.DUMMYFUNCTION("""COMPUTED_VALUE"""),"MFHBR0026")</f>
        <v>MFHBR0026</v>
      </c>
      <c r="B454" s="4">
        <f>IFERROR(__xludf.DUMMYFUNCTION("""COMPUTED_VALUE"""),46062.37783008102)</f>
        <v>46062.37783</v>
      </c>
      <c r="C454" s="4">
        <f>IFERROR(__xludf.DUMMYFUNCTION("""COMPUTED_VALUE"""),46047.893252951384)</f>
        <v>46047.89325</v>
      </c>
      <c r="D454" s="3" t="str">
        <f>IFERROR(__xludf.DUMMYFUNCTION("""COMPUTED_VALUE"""),"Water System")</f>
        <v>Water System</v>
      </c>
      <c r="E454" s="3" t="str">
        <f>IFERROR(__xludf.DUMMYFUNCTION("""COMPUTED_VALUE"""),"-")</f>
        <v>-</v>
      </c>
      <c r="F454" s="3" t="str">
        <f>IFERROR(__xludf.DUMMYFUNCTION("""COMPUTED_VALUE"""),"Pompa")</f>
        <v>Pompa</v>
      </c>
      <c r="G454" s="3">
        <f>IFERROR(__xludf.DUMMYFUNCTION("""COMPUTED_VALUE"""),1.0)</f>
        <v>1</v>
      </c>
      <c r="H454" s="3" t="str">
        <f>IFERROR(__xludf.DUMMYFUNCTION("""COMPUTED_VALUE"""),"Unit")</f>
        <v>Unit</v>
      </c>
      <c r="I454" s="3" t="str">
        <f>IFERROR(__xludf.DUMMYFUNCTION("""COMPUTED_VALUE"""),"Deliver")</f>
        <v>Deliver</v>
      </c>
      <c r="J454" s="3" t="str">
        <f>IFERROR(__xludf.DUMMYFUNCTION("""COMPUTED_VALUE"""),"121703620 - APPROVED")</f>
        <v>121703620 - APPROVED</v>
      </c>
      <c r="K454" s="3" t="str">
        <f>IFERROR(__xludf.DUMMYFUNCTION("""COMPUTED_VALUE"""),"GL2601022")</f>
        <v>GL2601022</v>
      </c>
    </row>
    <row r="455">
      <c r="A455" s="3" t="str">
        <f>IFERROR(__xludf.DUMMYFUNCTION("""COMPUTED_VALUE"""),"MFHBR0027")</f>
        <v>MFHBR0027</v>
      </c>
      <c r="B455" s="4">
        <f>IFERROR(__xludf.DUMMYFUNCTION("""COMPUTED_VALUE"""),46062.37783008102)</f>
        <v>46062.37783</v>
      </c>
      <c r="C455" s="4">
        <f>IFERROR(__xludf.DUMMYFUNCTION("""COMPUTED_VALUE"""),46047.893337002315)</f>
        <v>46047.89334</v>
      </c>
      <c r="D455" s="3" t="str">
        <f>IFERROR(__xludf.DUMMYFUNCTION("""COMPUTED_VALUE"""),"Water System")</f>
        <v>Water System</v>
      </c>
      <c r="E455" s="3" t="str">
        <f>IFERROR(__xludf.DUMMYFUNCTION("""COMPUTED_VALUE"""),"-")</f>
        <v>-</v>
      </c>
      <c r="F455" s="3" t="str">
        <f>IFERROR(__xludf.DUMMYFUNCTION("""COMPUTED_VALUE"""),"Upgrade Sensor Ozone")</f>
        <v>Upgrade Sensor Ozone</v>
      </c>
      <c r="G455" s="3">
        <f>IFERROR(__xludf.DUMMYFUNCTION("""COMPUTED_VALUE"""),1.0)</f>
        <v>1</v>
      </c>
      <c r="H455" s="3" t="str">
        <f>IFERROR(__xludf.DUMMYFUNCTION("""COMPUTED_VALUE"""),"Unit")</f>
        <v>Unit</v>
      </c>
      <c r="I455" s="3" t="str">
        <f>IFERROR(__xludf.DUMMYFUNCTION("""COMPUTED_VALUE"""),"Deliver")</f>
        <v>Deliver</v>
      </c>
      <c r="J455" s="3" t="str">
        <f>IFERROR(__xludf.DUMMYFUNCTION("""COMPUTED_VALUE"""),"121703680 - APPROVED")</f>
        <v>121703680 - APPROVED</v>
      </c>
      <c r="K455" s="3" t="str">
        <f>IFERROR(__xludf.DUMMYFUNCTION("""COMPUTED_VALUE"""),"GL2602017")</f>
        <v>GL2602017</v>
      </c>
    </row>
    <row r="456">
      <c r="A456" s="3" t="str">
        <f>IFERROR(__xludf.DUMMYFUNCTION("""COMPUTED_VALUE"""),"MFHBR0028")</f>
        <v>MFHBR0028</v>
      </c>
      <c r="B456" s="4">
        <f>IFERROR(__xludf.DUMMYFUNCTION("""COMPUTED_VALUE"""),46062.37783008102)</f>
        <v>46062.37783</v>
      </c>
      <c r="C456" s="4">
        <f>IFERROR(__xludf.DUMMYFUNCTION("""COMPUTED_VALUE"""),46047.89429628472)</f>
        <v>46047.8943</v>
      </c>
      <c r="D456" s="3" t="str">
        <f>IFERROR(__xludf.DUMMYFUNCTION("""COMPUTED_VALUE"""),"Water System")</f>
        <v>Water System</v>
      </c>
      <c r="E456" s="3" t="str">
        <f>IFERROR(__xludf.DUMMYFUNCTION("""COMPUTED_VALUE"""),"-")</f>
        <v>-</v>
      </c>
      <c r="F456" s="3" t="str">
        <f>IFERROR(__xludf.DUMMYFUNCTION("""COMPUTED_VALUE"""),"Upgrade Sensor Ozone")</f>
        <v>Upgrade Sensor Ozone</v>
      </c>
      <c r="G456" s="3">
        <f>IFERROR(__xludf.DUMMYFUNCTION("""COMPUTED_VALUE"""),1.0)</f>
        <v>1</v>
      </c>
      <c r="H456" s="3" t="str">
        <f>IFERROR(__xludf.DUMMYFUNCTION("""COMPUTED_VALUE"""),"Unit")</f>
        <v>Unit</v>
      </c>
      <c r="I456" s="3" t="str">
        <f>IFERROR(__xludf.DUMMYFUNCTION("""COMPUTED_VALUE"""),"Deliver")</f>
        <v>Deliver</v>
      </c>
      <c r="J456" s="3" t="str">
        <f>IFERROR(__xludf.DUMMYFUNCTION("""COMPUTED_VALUE"""),"121703680 - APPROVED")</f>
        <v>121703680 - APPROVED</v>
      </c>
      <c r="K456" s="3" t="str">
        <f>IFERROR(__xludf.DUMMYFUNCTION("""COMPUTED_VALUE"""),"GL2602017")</f>
        <v>GL2602017</v>
      </c>
    </row>
    <row r="457">
      <c r="A457" s="3" t="str">
        <f>IFERROR(__xludf.DUMMYFUNCTION("""COMPUTED_VALUE"""),"MFHBR0029")</f>
        <v>MFHBR0029</v>
      </c>
      <c r="B457" s="4">
        <f>IFERROR(__xludf.DUMMYFUNCTION("""COMPUTED_VALUE"""),46062.37783008102)</f>
        <v>46062.37783</v>
      </c>
      <c r="C457" s="4">
        <f>IFERROR(__xludf.DUMMYFUNCTION("""COMPUTED_VALUE"""),46089.983068263886)</f>
        <v>46089.98307</v>
      </c>
      <c r="D457" s="3" t="str">
        <f>IFERROR(__xludf.DUMMYFUNCTION("""COMPUTED_VALUE"""),"Water System")</f>
        <v>Water System</v>
      </c>
      <c r="E457" s="3" t="str">
        <f>IFERROR(__xludf.DUMMYFUNCTION("""COMPUTED_VALUE"""),"-")</f>
        <v>-</v>
      </c>
      <c r="F457" s="3" t="str">
        <f>IFERROR(__xludf.DUMMYFUNCTION("""COMPUTED_VALUE"""),"Upgrade Sensor Ozone")</f>
        <v>Upgrade Sensor Ozone</v>
      </c>
      <c r="G457" s="3">
        <f>IFERROR(__xludf.DUMMYFUNCTION("""COMPUTED_VALUE"""),1.0)</f>
        <v>1</v>
      </c>
      <c r="H457" s="3" t="str">
        <f>IFERROR(__xludf.DUMMYFUNCTION("""COMPUTED_VALUE"""),"Unit")</f>
        <v>Unit</v>
      </c>
      <c r="I457" s="3" t="str">
        <f>IFERROR(__xludf.DUMMYFUNCTION("""COMPUTED_VALUE"""),"Deliver")</f>
        <v>Deliver</v>
      </c>
      <c r="J457" s="3" t="str">
        <f>IFERROR(__xludf.DUMMYFUNCTION("""COMPUTED_VALUE"""),"121703680 - APPROVED")</f>
        <v>121703680 - APPROVED</v>
      </c>
      <c r="K457" s="3" t="str">
        <f>IFERROR(__xludf.DUMMYFUNCTION("""COMPUTED_VALUE"""),"GL2602017")</f>
        <v>GL2602017</v>
      </c>
    </row>
    <row r="458">
      <c r="A458" s="3" t="str">
        <f>IFERROR(__xludf.DUMMYFUNCTION("""COMPUTED_VALUE"""),"MFHBR0030")</f>
        <v>MFHBR0030</v>
      </c>
      <c r="B458" s="4">
        <f>IFERROR(__xludf.DUMMYFUNCTION("""COMPUTED_VALUE"""),46062.37783008102)</f>
        <v>46062.37783</v>
      </c>
      <c r="C458" s="4">
        <f>IFERROR(__xludf.DUMMYFUNCTION("""COMPUTED_VALUE"""),46047.89449179398)</f>
        <v>46047.89449</v>
      </c>
      <c r="D458" s="3" t="str">
        <f>IFERROR(__xludf.DUMMYFUNCTION("""COMPUTED_VALUE"""),"Water System")</f>
        <v>Water System</v>
      </c>
      <c r="E458" s="3" t="str">
        <f>IFERROR(__xludf.DUMMYFUNCTION("""COMPUTED_VALUE"""),"-")</f>
        <v>-</v>
      </c>
      <c r="F458" s="3" t="str">
        <f>IFERROR(__xludf.DUMMYFUNCTION("""COMPUTED_VALUE"""),"Upgrade Sensor Ozone")</f>
        <v>Upgrade Sensor Ozone</v>
      </c>
      <c r="G458" s="3">
        <f>IFERROR(__xludf.DUMMYFUNCTION("""COMPUTED_VALUE"""),1.0)</f>
        <v>1</v>
      </c>
      <c r="H458" s="3" t="str">
        <f>IFERROR(__xludf.DUMMYFUNCTION("""COMPUTED_VALUE"""),"Unit")</f>
        <v>Unit</v>
      </c>
      <c r="I458" s="3" t="str">
        <f>IFERROR(__xludf.DUMMYFUNCTION("""COMPUTED_VALUE"""),"Deliver")</f>
        <v>Deliver</v>
      </c>
      <c r="J458" s="3" t="str">
        <f>IFERROR(__xludf.DUMMYFUNCTION("""COMPUTED_VALUE"""),"121703680 - APPROVED")</f>
        <v>121703680 - APPROVED</v>
      </c>
      <c r="K458" s="3" t="str">
        <f>IFERROR(__xludf.DUMMYFUNCTION("""COMPUTED_VALUE"""),"GL2602017")</f>
        <v>GL2602017</v>
      </c>
    </row>
    <row r="459">
      <c r="A459" s="3" t="str">
        <f>IFERROR(__xludf.DUMMYFUNCTION("""COMPUTED_VALUE"""),"MFHBR0031")</f>
        <v>MFHBR0031</v>
      </c>
      <c r="B459" s="4">
        <f>IFERROR(__xludf.DUMMYFUNCTION("""COMPUTED_VALUE"""),46062.37783008102)</f>
        <v>46062.37783</v>
      </c>
      <c r="C459" s="4">
        <f>IFERROR(__xludf.DUMMYFUNCTION("""COMPUTED_VALUE"""),46047.894578402775)</f>
        <v>46047.89458</v>
      </c>
      <c r="D459" s="3" t="str">
        <f>IFERROR(__xludf.DUMMYFUNCTION("""COMPUTED_VALUE"""),"Water System")</f>
        <v>Water System</v>
      </c>
      <c r="E459" s="3" t="str">
        <f>IFERROR(__xludf.DUMMYFUNCTION("""COMPUTED_VALUE"""),"-")</f>
        <v>-</v>
      </c>
      <c r="F459" s="3" t="str">
        <f>IFERROR(__xludf.DUMMYFUNCTION("""COMPUTED_VALUE"""),"Upgrade Sensor Ozone")</f>
        <v>Upgrade Sensor Ozone</v>
      </c>
      <c r="G459" s="3">
        <f>IFERROR(__xludf.DUMMYFUNCTION("""COMPUTED_VALUE"""),1.0)</f>
        <v>1</v>
      </c>
      <c r="H459" s="3" t="str">
        <f>IFERROR(__xludf.DUMMYFUNCTION("""COMPUTED_VALUE"""),"Unit")</f>
        <v>Unit</v>
      </c>
      <c r="I459" s="3" t="str">
        <f>IFERROR(__xludf.DUMMYFUNCTION("""COMPUTED_VALUE"""),"PO Open")</f>
        <v>PO Open</v>
      </c>
      <c r="J459" s="3" t="str">
        <f>IFERROR(__xludf.DUMMYFUNCTION("""COMPUTED_VALUE"""),"121703680 - APPROVED")</f>
        <v>121703680 - APPROVED</v>
      </c>
      <c r="K459" s="3" t="str">
        <f>IFERROR(__xludf.DUMMYFUNCTION("""COMPUTED_VALUE"""),"GL2602017")</f>
        <v>GL2602017</v>
      </c>
    </row>
    <row r="460">
      <c r="A460" s="3" t="str">
        <f>IFERROR(__xludf.DUMMYFUNCTION("""COMPUTED_VALUE"""),"MFHBR0032")</f>
        <v>MFHBR0032</v>
      </c>
      <c r="B460" s="4">
        <f>IFERROR(__xludf.DUMMYFUNCTION("""COMPUTED_VALUE"""),46062.37783008102)</f>
        <v>46062.37783</v>
      </c>
      <c r="C460" s="4">
        <f>IFERROR(__xludf.DUMMYFUNCTION("""COMPUTED_VALUE"""),46047.8946590162)</f>
        <v>46047.89466</v>
      </c>
      <c r="D460" s="3" t="str">
        <f>IFERROR(__xludf.DUMMYFUNCTION("""COMPUTED_VALUE"""),"FD")</f>
        <v>FD</v>
      </c>
      <c r="E460" s="3" t="str">
        <f>IFERROR(__xludf.DUMMYFUNCTION("""COMPUTED_VALUE"""),"-")</f>
        <v>-</v>
      </c>
      <c r="F460" s="3" t="str">
        <f>IFERROR(__xludf.DUMMYFUNCTION("""COMPUTED_VALUE"""),"Machine Equipment; ; ; - Exhaust Freeze Dryer")</f>
        <v>Machine Equipment; ; ; - Exhaust Freeze Dryer</v>
      </c>
      <c r="G460" s="3">
        <f>IFERROR(__xludf.DUMMYFUNCTION("""COMPUTED_VALUE"""),1.0)</f>
        <v>1</v>
      </c>
      <c r="H460" s="3" t="str">
        <f>IFERROR(__xludf.DUMMYFUNCTION("""COMPUTED_VALUE"""),"Unit")</f>
        <v>Unit</v>
      </c>
      <c r="I460" s="3" t="str">
        <f>IFERROR(__xludf.DUMMYFUNCTION("""COMPUTED_VALUE"""),"PO Open")</f>
        <v>PO Open</v>
      </c>
      <c r="J460" s="3" t="str">
        <f>IFERROR(__xludf.DUMMYFUNCTION("""COMPUTED_VALUE"""),"121703686 - APPROVED")</f>
        <v>121703686 - APPROVED</v>
      </c>
      <c r="K460" s="3" t="str">
        <f>IFERROR(__xludf.DUMMYFUNCTION("""COMPUTED_VALUE"""),"-")</f>
        <v>-</v>
      </c>
    </row>
    <row r="461">
      <c r="A461" s="3" t="str">
        <f>IFERROR(__xludf.DUMMYFUNCTION("""COMPUTED_VALUE"""),"MFHBR0033")</f>
        <v>MFHBR0033</v>
      </c>
      <c r="B461" s="4">
        <f>IFERROR(__xludf.DUMMYFUNCTION("""COMPUTED_VALUE"""),46062.37783008102)</f>
        <v>46062.37783</v>
      </c>
      <c r="C461" s="4">
        <f>IFERROR(__xludf.DUMMYFUNCTION("""COMPUTED_VALUE"""),46047.89475114584)</f>
        <v>46047.89475</v>
      </c>
      <c r="D461" s="3" t="str">
        <f>IFERROR(__xludf.DUMMYFUNCTION("""COMPUTED_VALUE"""),"Office")</f>
        <v>Office</v>
      </c>
      <c r="E461" s="3" t="str">
        <f>IFERROR(__xludf.DUMMYFUNCTION("""COMPUTED_VALUE"""),"-")</f>
        <v>-</v>
      </c>
      <c r="F461" s="3" t="str">
        <f>IFERROR(__xludf.DUMMYFUNCTION("""COMPUTED_VALUE"""),"TC ENG")</f>
        <v>TC ENG</v>
      </c>
      <c r="G461" s="3">
        <f>IFERROR(__xludf.DUMMYFUNCTION("""COMPUTED_VALUE"""),2.0)</f>
        <v>2</v>
      </c>
      <c r="H461" s="3" t="str">
        <f>IFERROR(__xludf.DUMMYFUNCTION("""COMPUTED_VALUE"""),"Unit")</f>
        <v>Unit</v>
      </c>
      <c r="I461" s="3" t="str">
        <f>IFERROR(__xludf.DUMMYFUNCTION("""COMPUTED_VALUE"""),"Deliver")</f>
        <v>Deliver</v>
      </c>
      <c r="J461" s="3" t="str">
        <f>IFERROR(__xludf.DUMMYFUNCTION("""COMPUTED_VALUE"""),"-")</f>
        <v>-</v>
      </c>
      <c r="K461" s="3" t="str">
        <f>IFERROR(__xludf.DUMMYFUNCTION("""COMPUTED_VALUE"""),"-")</f>
        <v>-</v>
      </c>
    </row>
    <row r="462">
      <c r="A462" s="3" t="str">
        <f>IFERROR(__xludf.DUMMYFUNCTION("""COMPUTED_VALUE"""),"MFHBR0034")</f>
        <v>MFHBR0034</v>
      </c>
      <c r="B462" s="4">
        <f>IFERROR(__xludf.DUMMYFUNCTION("""COMPUTED_VALUE"""),46062.37783008102)</f>
        <v>46062.37783</v>
      </c>
      <c r="C462" s="4">
        <f>IFERROR(__xludf.DUMMYFUNCTION("""COMPUTED_VALUE"""),46062.37973662037)</f>
        <v>46062.37974</v>
      </c>
      <c r="D462" s="3" t="str">
        <f>IFERROR(__xludf.DUMMYFUNCTION("""COMPUTED_VALUE"""),"Office")</f>
        <v>Office</v>
      </c>
      <c r="E462" s="3" t="str">
        <f>IFERROR(__xludf.DUMMYFUNCTION("""COMPUTED_VALUE"""),"-")</f>
        <v>-</v>
      </c>
      <c r="F462" s="3" t="str">
        <f>IFERROR(__xludf.DUMMYFUNCTION("""COMPUTED_VALUE"""),"TC ENG")</f>
        <v>TC ENG</v>
      </c>
      <c r="G462" s="3">
        <f>IFERROR(__xludf.DUMMYFUNCTION("""COMPUTED_VALUE"""),2.0)</f>
        <v>2</v>
      </c>
      <c r="H462" s="3" t="str">
        <f>IFERROR(__xludf.DUMMYFUNCTION("""COMPUTED_VALUE"""),"Unit")</f>
        <v>Unit</v>
      </c>
      <c r="I462" s="3" t="str">
        <f>IFERROR(__xludf.DUMMYFUNCTION("""COMPUTED_VALUE"""),"Deliver")</f>
        <v>Deliver</v>
      </c>
      <c r="J462" s="3" t="str">
        <f>IFERROR(__xludf.DUMMYFUNCTION("""COMPUTED_VALUE"""),"121703695 - APPROVED")</f>
        <v>121703695 - APPROVED</v>
      </c>
      <c r="K462" s="3" t="str">
        <f>IFERROR(__xludf.DUMMYFUNCTION("""COMPUTED_VALUE"""),"GL2603030")</f>
        <v>GL2603030</v>
      </c>
    </row>
    <row r="463">
      <c r="A463" s="3" t="str">
        <f>IFERROR(__xludf.DUMMYFUNCTION("""COMPUTED_VALUE"""),"MFHBR0019")</f>
        <v>MFHBR0019</v>
      </c>
      <c r="B463" s="4">
        <f>IFERROR(__xludf.DUMMYFUNCTION("""COMPUTED_VALUE"""),46062.37800035879)</f>
        <v>46062.378</v>
      </c>
      <c r="C463" s="4">
        <f>IFERROR(__xludf.DUMMYFUNCTION("""COMPUTED_VALUE"""),46047.89265155092)</f>
        <v>46047.89265</v>
      </c>
      <c r="D463" s="3" t="str">
        <f>IFERROR(__xludf.DUMMYFUNCTION("""COMPUTED_VALUE"""),"Coating")</f>
        <v>Coating</v>
      </c>
      <c r="E463" s="3" t="str">
        <f>IFERROR(__xludf.DUMMYFUNCTION("""COMPUTED_VALUE"""),"EJO/2026/02/01")</f>
        <v>EJO/2026/02/01</v>
      </c>
      <c r="F463" s="3" t="str">
        <f>IFERROR(__xludf.DUMMYFUNCTION("""COMPUTED_VALUE"""),"Coating PLAB - Directional Control Valve; SMC; VNA101A-F6A; 1 Pc")</f>
        <v>Coating PLAB - Directional Control Valve; SMC; VNA101A-F6A; 1 Pc</v>
      </c>
      <c r="G463" s="3">
        <f>IFERROR(__xludf.DUMMYFUNCTION("""COMPUTED_VALUE"""),3.0)</f>
        <v>3</v>
      </c>
      <c r="H463" s="3" t="str">
        <f>IFERROR(__xludf.DUMMYFUNCTION("""COMPUTED_VALUE"""),"Pcs")</f>
        <v>Pcs</v>
      </c>
      <c r="I463" s="3" t="str">
        <f>IFERROR(__xludf.DUMMYFUNCTION("""COMPUTED_VALUE"""),"Deliver")</f>
        <v>Deliver</v>
      </c>
      <c r="J463" s="3" t="str">
        <f>IFERROR(__xludf.DUMMYFUNCTION("""COMPUTED_VALUE"""),"-")</f>
        <v>-</v>
      </c>
      <c r="K463" s="3" t="str">
        <f>IFERROR(__xludf.DUMMYFUNCTION("""COMPUTED_VALUE"""),"-")</f>
        <v>-</v>
      </c>
    </row>
    <row r="464">
      <c r="A464" s="3" t="str">
        <f>IFERROR(__xludf.DUMMYFUNCTION("""COMPUTED_VALUE"""),"RIABR0139")</f>
        <v>RIABR0139</v>
      </c>
      <c r="B464" s="4">
        <f>IFERROR(__xludf.DUMMYFUNCTION("""COMPUTED_VALUE"""),46062.63300458333)</f>
        <v>46062.633</v>
      </c>
      <c r="C464" s="4">
        <f>IFERROR(__xludf.DUMMYFUNCTION("""COMPUTED_VALUE"""),46072.99029052084)</f>
        <v>46072.99029</v>
      </c>
      <c r="D464" s="3" t="str">
        <f>IFERROR(__xludf.DUMMYFUNCTION("""COMPUTED_VALUE"""),"WWTP")</f>
        <v>WWTP</v>
      </c>
      <c r="E464" s="3" t="str">
        <f>IFERROR(__xludf.DUMMYFUNCTION("""COMPUTED_VALUE"""),"EJO/2026/02/70")</f>
        <v>EJO/2026/02/70</v>
      </c>
      <c r="F464" s="3" t="str">
        <f>IFERROR(__xludf.DUMMYFUNCTION("""COMPUTED_VALUE"""),"Solenoid Valve")</f>
        <v>Solenoid Valve</v>
      </c>
      <c r="G464" s="3">
        <f>IFERROR(__xludf.DUMMYFUNCTION("""COMPUTED_VALUE"""),2.0)</f>
        <v>2</v>
      </c>
      <c r="H464" s="3" t="str">
        <f>IFERROR(__xludf.DUMMYFUNCTION("""COMPUTED_VALUE"""),"Pcs")</f>
        <v>Pcs</v>
      </c>
      <c r="I464" s="3" t="str">
        <f>IFERROR(__xludf.DUMMYFUNCTION("""COMPUTED_VALUE"""),"Deliver")</f>
        <v>Deliver</v>
      </c>
      <c r="J464" s="3" t="str">
        <f>IFERROR(__xludf.DUMMYFUNCTION("""COMPUTED_VALUE"""),"121704447 - APPROVED")</f>
        <v>121704447 - APPROVED</v>
      </c>
      <c r="K464" s="3" t="str">
        <f>IFERROR(__xludf.DUMMYFUNCTION("""COMPUTED_VALUE"""),"GL2608397")</f>
        <v>GL2608397</v>
      </c>
    </row>
    <row r="465">
      <c r="A465" s="3" t="str">
        <f>IFERROR(__xludf.DUMMYFUNCTION("""COMPUTED_VALUE"""),"RIABR0140")</f>
        <v>RIABR0140</v>
      </c>
      <c r="B465" s="4">
        <f>IFERROR(__xludf.DUMMYFUNCTION("""COMPUTED_VALUE"""),46062.97194194444)</f>
        <v>46062.97194</v>
      </c>
      <c r="C465" s="4">
        <f>IFERROR(__xludf.DUMMYFUNCTION("""COMPUTED_VALUE"""),46072.990085000005)</f>
        <v>46072.99009</v>
      </c>
      <c r="D465" s="3" t="str">
        <f>IFERROR(__xludf.DUMMYFUNCTION("""COMPUTED_VALUE"""),"Hot Water")</f>
        <v>Hot Water</v>
      </c>
      <c r="E465" s="3" t="str">
        <f>IFERROR(__xludf.DUMMYFUNCTION("""COMPUTED_VALUE"""),"EJO/2026/01/92")</f>
        <v>EJO/2026/01/92</v>
      </c>
      <c r="F465" s="3" t="str">
        <f>IFERROR(__xludf.DUMMYFUNCTION("""COMPUTED_VALUE"""),"Insulasi")</f>
        <v>Insulasi</v>
      </c>
      <c r="G465" s="3">
        <f>IFERROR(__xludf.DUMMYFUNCTION("""COMPUTED_VALUE"""),3.0)</f>
        <v>3</v>
      </c>
      <c r="H465" s="3" t="str">
        <f>IFERROR(__xludf.DUMMYFUNCTION("""COMPUTED_VALUE"""),"Btg")</f>
        <v>Btg</v>
      </c>
      <c r="I465" s="3" t="str">
        <f>IFERROR(__xludf.DUMMYFUNCTION("""COMPUTED_VALUE"""),"PO Open")</f>
        <v>PO Open</v>
      </c>
      <c r="J465" s="3" t="str">
        <f>IFERROR(__xludf.DUMMYFUNCTION("""COMPUTED_VALUE"""),"121704158 - APPROVED")</f>
        <v>121704158 - APPROVED</v>
      </c>
      <c r="K465" s="3" t="str">
        <f>IFERROR(__xludf.DUMMYFUNCTION("""COMPUTED_VALUE"""),"GL2606349")</f>
        <v>GL2606349</v>
      </c>
    </row>
    <row r="466">
      <c r="A466" s="3" t="str">
        <f>IFERROR(__xludf.DUMMYFUNCTION("""COMPUTED_VALUE"""),"RIABR0141")</f>
        <v>RIABR0141</v>
      </c>
      <c r="B466" s="4">
        <f>IFERROR(__xludf.DUMMYFUNCTION("""COMPUTED_VALUE"""),46062.97194194444)</f>
        <v>46062.97194</v>
      </c>
      <c r="C466" s="4">
        <f>IFERROR(__xludf.DUMMYFUNCTION("""COMPUTED_VALUE"""),46072.9894259838)</f>
        <v>46072.98943</v>
      </c>
      <c r="D466" s="3" t="str">
        <f>IFERROR(__xludf.DUMMYFUNCTION("""COMPUTED_VALUE"""),"Hot Water")</f>
        <v>Hot Water</v>
      </c>
      <c r="E466" s="3" t="str">
        <f>IFERROR(__xludf.DUMMYFUNCTION("""COMPUTED_VALUE"""),"EJO/2026/01/92")</f>
        <v>EJO/2026/01/92</v>
      </c>
      <c r="F466" s="3" t="str">
        <f>IFERROR(__xludf.DUMMYFUNCTION("""COMPUTED_VALUE"""),"Insulasi")</f>
        <v>Insulasi</v>
      </c>
      <c r="G466" s="3">
        <f>IFERROR(__xludf.DUMMYFUNCTION("""COMPUTED_VALUE"""),3.0)</f>
        <v>3</v>
      </c>
      <c r="H466" s="3" t="str">
        <f>IFERROR(__xludf.DUMMYFUNCTION("""COMPUTED_VALUE"""),"Btg")</f>
        <v>Btg</v>
      </c>
      <c r="I466" s="3" t="str">
        <f>IFERROR(__xludf.DUMMYFUNCTION("""COMPUTED_VALUE"""),"PO Open")</f>
        <v>PO Open</v>
      </c>
      <c r="J466" s="3" t="str">
        <f>IFERROR(__xludf.DUMMYFUNCTION("""COMPUTED_VALUE"""),"121704158 - APPROVED")</f>
        <v>121704158 - APPROVED</v>
      </c>
      <c r="K466" s="3" t="str">
        <f>IFERROR(__xludf.DUMMYFUNCTION("""COMPUTED_VALUE"""),"GL2606349")</f>
        <v>GL2606349</v>
      </c>
    </row>
    <row r="467">
      <c r="A467" s="3" t="str">
        <f>IFERROR(__xludf.DUMMYFUNCTION("""COMPUTED_VALUE"""),"RIABR0142")</f>
        <v>RIABR0142</v>
      </c>
      <c r="B467" s="4">
        <f>IFERROR(__xludf.DUMMYFUNCTION("""COMPUTED_VALUE"""),46062.97194194444)</f>
        <v>46062.97194</v>
      </c>
      <c r="C467" s="4">
        <f>IFERROR(__xludf.DUMMYFUNCTION("""COMPUTED_VALUE"""),46072.98764241898)</f>
        <v>46072.98764</v>
      </c>
      <c r="D467" s="3" t="str">
        <f>IFERROR(__xludf.DUMMYFUNCTION("""COMPUTED_VALUE"""),"Hot Water")</f>
        <v>Hot Water</v>
      </c>
      <c r="E467" s="3" t="str">
        <f>IFERROR(__xludf.DUMMYFUNCTION("""COMPUTED_VALUE"""),"EJO/2026/01/92")</f>
        <v>EJO/2026/01/92</v>
      </c>
      <c r="F467" s="3" t="str">
        <f>IFERROR(__xludf.DUMMYFUNCTION("""COMPUTED_VALUE"""),"Insulasi")</f>
        <v>Insulasi</v>
      </c>
      <c r="G467" s="3">
        <f>IFERROR(__xludf.DUMMYFUNCTION("""COMPUTED_VALUE"""),3.0)</f>
        <v>3</v>
      </c>
      <c r="H467" s="3" t="str">
        <f>IFERROR(__xludf.DUMMYFUNCTION("""COMPUTED_VALUE"""),"Btg")</f>
        <v>Btg</v>
      </c>
      <c r="I467" s="3" t="str">
        <f>IFERROR(__xludf.DUMMYFUNCTION("""COMPUTED_VALUE"""),"PO Open")</f>
        <v>PO Open</v>
      </c>
      <c r="J467" s="3" t="str">
        <f>IFERROR(__xludf.DUMMYFUNCTION("""COMPUTED_VALUE"""),"121704158 - APPROVED")</f>
        <v>121704158 - APPROVED</v>
      </c>
      <c r="K467" s="3" t="str">
        <f>IFERROR(__xludf.DUMMYFUNCTION("""COMPUTED_VALUE"""),"GL2606349")</f>
        <v>GL2606349</v>
      </c>
    </row>
    <row r="468">
      <c r="A468" s="3" t="str">
        <f>IFERROR(__xludf.DUMMYFUNCTION("""COMPUTED_VALUE"""),"RIABR0143")</f>
        <v>RIABR0143</v>
      </c>
      <c r="B468" s="4">
        <f>IFERROR(__xludf.DUMMYFUNCTION("""COMPUTED_VALUE"""),46062.97194194444)</f>
        <v>46062.97194</v>
      </c>
      <c r="C468" s="4">
        <f>IFERROR(__xludf.DUMMYFUNCTION("""COMPUTED_VALUE"""),46072.98739634259)</f>
        <v>46072.9874</v>
      </c>
      <c r="D468" s="3" t="str">
        <f>IFERROR(__xludf.DUMMYFUNCTION("""COMPUTED_VALUE"""),"Hot Water")</f>
        <v>Hot Water</v>
      </c>
      <c r="E468" s="3" t="str">
        <f>IFERROR(__xludf.DUMMYFUNCTION("""COMPUTED_VALUE"""),"EJO/2026/01/92")</f>
        <v>EJO/2026/01/92</v>
      </c>
      <c r="F468" s="3" t="str">
        <f>IFERROR(__xludf.DUMMYFUNCTION("""COMPUTED_VALUE"""),"Insulasi")</f>
        <v>Insulasi</v>
      </c>
      <c r="G468" s="3">
        <f>IFERROR(__xludf.DUMMYFUNCTION("""COMPUTED_VALUE"""),1.0)</f>
        <v>1</v>
      </c>
      <c r="H468" s="3" t="str">
        <f>IFERROR(__xludf.DUMMYFUNCTION("""COMPUTED_VALUE"""),"Btg")</f>
        <v>Btg</v>
      </c>
      <c r="I468" s="3" t="str">
        <f>IFERROR(__xludf.DUMMYFUNCTION("""COMPUTED_VALUE"""),"PO Open")</f>
        <v>PO Open</v>
      </c>
      <c r="J468" s="3" t="str">
        <f>IFERROR(__xludf.DUMMYFUNCTION("""COMPUTED_VALUE"""),"121704158 - APPROVED")</f>
        <v>121704158 - APPROVED</v>
      </c>
      <c r="K468" s="3" t="str">
        <f>IFERROR(__xludf.DUMMYFUNCTION("""COMPUTED_VALUE"""),"GL2606349")</f>
        <v>GL2606349</v>
      </c>
    </row>
    <row r="469">
      <c r="A469" s="3" t="str">
        <f>IFERROR(__xludf.DUMMYFUNCTION("""COMPUTED_VALUE"""),"RIABR0144")</f>
        <v>RIABR0144</v>
      </c>
      <c r="B469" s="4">
        <f>IFERROR(__xludf.DUMMYFUNCTION("""COMPUTED_VALUE"""),46062.97194194444)</f>
        <v>46062.97194</v>
      </c>
      <c r="C469" s="4">
        <f>IFERROR(__xludf.DUMMYFUNCTION("""COMPUTED_VALUE"""),46072.9871616088)</f>
        <v>46072.98716</v>
      </c>
      <c r="D469" s="3" t="str">
        <f>IFERROR(__xludf.DUMMYFUNCTION("""COMPUTED_VALUE"""),"Hot Water")</f>
        <v>Hot Water</v>
      </c>
      <c r="E469" s="3" t="str">
        <f>IFERROR(__xludf.DUMMYFUNCTION("""COMPUTED_VALUE"""),"EJO/2026/01/92")</f>
        <v>EJO/2026/01/92</v>
      </c>
      <c r="F469" s="3" t="str">
        <f>IFERROR(__xludf.DUMMYFUNCTION("""COMPUTED_VALUE"""),"Insulasi")</f>
        <v>Insulasi</v>
      </c>
      <c r="G469" s="3">
        <f>IFERROR(__xludf.DUMMYFUNCTION("""COMPUTED_VALUE"""),1.0)</f>
        <v>1</v>
      </c>
      <c r="H469" s="3" t="str">
        <f>IFERROR(__xludf.DUMMYFUNCTION("""COMPUTED_VALUE"""),"Btg")</f>
        <v>Btg</v>
      </c>
      <c r="I469" s="3" t="str">
        <f>IFERROR(__xludf.DUMMYFUNCTION("""COMPUTED_VALUE"""),"PO Open")</f>
        <v>PO Open</v>
      </c>
      <c r="J469" s="3" t="str">
        <f>IFERROR(__xludf.DUMMYFUNCTION("""COMPUTED_VALUE"""),"121704158 - APPROVED")</f>
        <v>121704158 - APPROVED</v>
      </c>
      <c r="K469" s="3" t="str">
        <f>IFERROR(__xludf.DUMMYFUNCTION("""COMPUTED_VALUE"""),"GL2606349")</f>
        <v>GL2606349</v>
      </c>
    </row>
    <row r="470">
      <c r="A470" s="3" t="str">
        <f>IFERROR(__xludf.DUMMYFUNCTION("""COMPUTED_VALUE"""),"RIABR0145")</f>
        <v>RIABR0145</v>
      </c>
      <c r="B470" s="4">
        <f>IFERROR(__xludf.DUMMYFUNCTION("""COMPUTED_VALUE"""),46062.97194194444)</f>
        <v>46062.97194</v>
      </c>
      <c r="C470" s="4">
        <f>IFERROR(__xludf.DUMMYFUNCTION("""COMPUTED_VALUE"""),46072.98701711805)</f>
        <v>46072.98702</v>
      </c>
      <c r="D470" s="3" t="str">
        <f>IFERROR(__xludf.DUMMYFUNCTION("""COMPUTED_VALUE"""),"Hot Water")</f>
        <v>Hot Water</v>
      </c>
      <c r="E470" s="3" t="str">
        <f>IFERROR(__xludf.DUMMYFUNCTION("""COMPUTED_VALUE"""),"EJO/2026/01/92")</f>
        <v>EJO/2026/01/92</v>
      </c>
      <c r="F470" s="3" t="str">
        <f>IFERROR(__xludf.DUMMYFUNCTION("""COMPUTED_VALUE"""),"Insulasi")</f>
        <v>Insulasi</v>
      </c>
      <c r="G470" s="3">
        <f>IFERROR(__xludf.DUMMYFUNCTION("""COMPUTED_VALUE"""),1.0)</f>
        <v>1</v>
      </c>
      <c r="H470" s="3" t="str">
        <f>IFERROR(__xludf.DUMMYFUNCTION("""COMPUTED_VALUE"""),"Mtr")</f>
        <v>Mtr</v>
      </c>
      <c r="I470" s="3" t="str">
        <f>IFERROR(__xludf.DUMMYFUNCTION("""COMPUTED_VALUE"""),"PO Open")</f>
        <v>PO Open</v>
      </c>
      <c r="J470" s="3" t="str">
        <f>IFERROR(__xludf.DUMMYFUNCTION("""COMPUTED_VALUE"""),"121704158 - APPROVED")</f>
        <v>121704158 - APPROVED</v>
      </c>
      <c r="K470" s="3" t="str">
        <f>IFERROR(__xludf.DUMMYFUNCTION("""COMPUTED_VALUE"""),"GL2606349")</f>
        <v>GL2606349</v>
      </c>
    </row>
    <row r="471">
      <c r="A471" s="3" t="str">
        <f>IFERROR(__xludf.DUMMYFUNCTION("""COMPUTED_VALUE"""),"SFHBR0044")</f>
        <v>SFHBR0044</v>
      </c>
      <c r="B471" s="4">
        <f>IFERROR(__xludf.DUMMYFUNCTION("""COMPUTED_VALUE"""),46066.361161863424)</f>
        <v>46066.36116</v>
      </c>
      <c r="C471" s="4">
        <f>IFERROR(__xludf.DUMMYFUNCTION("""COMPUTED_VALUE"""),46072.98538219907)</f>
        <v>46072.98538</v>
      </c>
      <c r="D471" s="3" t="str">
        <f>IFERROR(__xludf.DUMMYFUNCTION("""COMPUTED_VALUE"""),"lantai 2")</f>
        <v>lantai 2</v>
      </c>
      <c r="E471" s="3" t="str">
        <f>IFERROR(__xludf.DUMMYFUNCTION("""COMPUTED_VALUE"""),"-")</f>
        <v>-</v>
      </c>
      <c r="F471" s="3" t="str">
        <f>IFERROR(__xludf.DUMMYFUNCTION("""COMPUTED_VALUE"""),"kasa flafon")</f>
        <v>kasa flafon</v>
      </c>
      <c r="G471" s="3">
        <f>IFERROR(__xludf.DUMMYFUNCTION("""COMPUTED_VALUE"""),5.0)</f>
        <v>5</v>
      </c>
      <c r="H471" s="3" t="str">
        <f>IFERROR(__xludf.DUMMYFUNCTION("""COMPUTED_VALUE"""),"Roll")</f>
        <v>Roll</v>
      </c>
      <c r="I471" s="3" t="str">
        <f>IFERROR(__xludf.DUMMYFUNCTION("""COMPUTED_VALUE"""),"PR Open")</f>
        <v>PR Open</v>
      </c>
      <c r="J471" s="3" t="str">
        <f>IFERROR(__xludf.DUMMYFUNCTION("""COMPUTED_VALUE"""),"121704550 - APPROVED")</f>
        <v>121704550 - APPROVED</v>
      </c>
      <c r="K471" s="3" t="str">
        <f>IFERROR(__xludf.DUMMYFUNCTION("""COMPUTED_VALUE"""),"GL2609434")</f>
        <v>GL2609434</v>
      </c>
    </row>
    <row r="472">
      <c r="A472" s="3" t="str">
        <f>IFERROR(__xludf.DUMMYFUNCTION("""COMPUTED_VALUE"""),"SFHBR0045")</f>
        <v>SFHBR0045</v>
      </c>
      <c r="B472" s="4">
        <f>IFERROR(__xludf.DUMMYFUNCTION("""COMPUTED_VALUE"""),46066.44875253472)</f>
        <v>46066.44875</v>
      </c>
      <c r="C472" s="4">
        <f>IFERROR(__xludf.DUMMYFUNCTION("""COMPUTED_VALUE"""),46072.98365234953)</f>
        <v>46072.98365</v>
      </c>
      <c r="D472" s="3" t="str">
        <f>IFERROR(__xludf.DUMMYFUNCTION("""COMPUTED_VALUE"""),"lantai 2")</f>
        <v>lantai 2</v>
      </c>
      <c r="E472" s="3" t="str">
        <f>IFERROR(__xludf.DUMMYFUNCTION("""COMPUTED_VALUE"""),"-")</f>
        <v>-</v>
      </c>
      <c r="F472" s="3" t="str">
        <f>IFERROR(__xludf.DUMMYFUNCTION("""COMPUTED_VALUE"""),"slot pintu kaca toilet")</f>
        <v>slot pintu kaca toilet</v>
      </c>
      <c r="G472" s="3">
        <f>IFERROR(__xludf.DUMMYFUNCTION("""COMPUTED_VALUE"""),5.0)</f>
        <v>5</v>
      </c>
      <c r="H472" s="3" t="str">
        <f>IFERROR(__xludf.DUMMYFUNCTION("""COMPUTED_VALUE"""),"pcs")</f>
        <v>pcs</v>
      </c>
      <c r="I472" s="3" t="str">
        <f>IFERROR(__xludf.DUMMYFUNCTION("""COMPUTED_VALUE"""),"Approval Item Code")</f>
        <v>Approval Item Code</v>
      </c>
      <c r="J472" s="3" t="str">
        <f>IFERROR(__xludf.DUMMYFUNCTION("""COMPUTED_VALUE"""),"-")</f>
        <v>-</v>
      </c>
      <c r="K472" s="3" t="str">
        <f>IFERROR(__xludf.DUMMYFUNCTION("""COMPUTED_VALUE"""),"-")</f>
        <v>-</v>
      </c>
    </row>
    <row r="473">
      <c r="A473" s="3" t="str">
        <f>IFERROR(__xludf.DUMMYFUNCTION("""COMPUTED_VALUE"""),"RIABR0146")</f>
        <v>RIABR0146</v>
      </c>
      <c r="B473" s="4">
        <f>IFERROR(__xludf.DUMMYFUNCTION("""COMPUTED_VALUE"""),46068.685726678246)</f>
        <v>46068.68573</v>
      </c>
      <c r="C473" s="4">
        <f>IFERROR(__xludf.DUMMYFUNCTION("""COMPUTED_VALUE"""),46072.982614953704)</f>
        <v>46072.98261</v>
      </c>
      <c r="D473" s="3" t="str">
        <f>IFERROR(__xludf.DUMMYFUNCTION("""COMPUTED_VALUE"""),"WWTP")</f>
        <v>WWTP</v>
      </c>
      <c r="E473" s="3" t="str">
        <f>IFERROR(__xludf.DUMMYFUNCTION("""COMPUTED_VALUE"""),"EJO/2025/08/56")</f>
        <v>EJO/2025/08/56</v>
      </c>
      <c r="F473" s="3" t="str">
        <f>IFERROR(__xludf.DUMMYFUNCTION("""COMPUTED_VALUE"""),"Selector Switch 3 Posisi YW1S-3E20")</f>
        <v>Selector Switch 3 Posisi YW1S-3E20</v>
      </c>
      <c r="G473" s="3">
        <f>IFERROR(__xludf.DUMMYFUNCTION("""COMPUTED_VALUE"""),3.0)</f>
        <v>3</v>
      </c>
      <c r="H473" s="3" t="str">
        <f>IFERROR(__xludf.DUMMYFUNCTION("""COMPUTED_VALUE"""),"Pcs")</f>
        <v>Pcs</v>
      </c>
      <c r="I473" s="3" t="str">
        <f>IFERROR(__xludf.DUMMYFUNCTION("""COMPUTED_VALUE"""),"Deliver")</f>
        <v>Deliver</v>
      </c>
      <c r="J473" s="3" t="str">
        <f>IFERROR(__xludf.DUMMYFUNCTION("""COMPUTED_VALUE"""),"121704110 - APPROVED")</f>
        <v>121704110 - APPROVED</v>
      </c>
      <c r="K473" s="3" t="str">
        <f>IFERROR(__xludf.DUMMYFUNCTION("""COMPUTED_VALUE"""),"GL2604318")</f>
        <v>GL2604318</v>
      </c>
    </row>
    <row r="474">
      <c r="A474" s="3" t="str">
        <f>IFERROR(__xludf.DUMMYFUNCTION("""COMPUTED_VALUE"""),"ROSBR0082")</f>
        <v>ROSBR0082</v>
      </c>
      <c r="B474" s="4">
        <f>IFERROR(__xludf.DUMMYFUNCTION("""COMPUTED_VALUE"""),46070.42437122685)</f>
        <v>46070.42437</v>
      </c>
      <c r="C474" s="4">
        <f>IFERROR(__xludf.DUMMYFUNCTION("""COMPUTED_VALUE"""),46077.65953875)</f>
        <v>46077.65954</v>
      </c>
      <c r="D474" s="3" t="str">
        <f>IFERROR(__xludf.DUMMYFUNCTION("""COMPUTED_VALUE"""),"Isolator Skan ")</f>
        <v>Isolator Skan </v>
      </c>
      <c r="E474" s="3" t="str">
        <f>IFERROR(__xludf.DUMMYFUNCTION("""COMPUTED_VALUE"""),"2025/11/142")</f>
        <v>2025/11/142</v>
      </c>
      <c r="F474" s="3" t="str">
        <f>IFERROR(__xludf.DUMMYFUNCTION("""COMPUTED_VALUE"""),"Dudukan equinox New")</f>
        <v>Dudukan equinox New</v>
      </c>
      <c r="G474" s="3">
        <f>IFERROR(__xludf.DUMMYFUNCTION("""COMPUTED_VALUE"""),1.0)</f>
        <v>1</v>
      </c>
      <c r="H474" s="3" t="str">
        <f>IFERROR(__xludf.DUMMYFUNCTION("""COMPUTED_VALUE"""),"set")</f>
        <v>set</v>
      </c>
      <c r="I474" s="3" t="str">
        <f>IFERROR(__xludf.DUMMYFUNCTION("""COMPUTED_VALUE"""),"Deliver")</f>
        <v>Deliver</v>
      </c>
      <c r="J474" s="3" t="str">
        <f>IFERROR(__xludf.DUMMYFUNCTION("""COMPUTED_VALUE"""),"121704023 - APPROVED")</f>
        <v>121704023 - APPROVED</v>
      </c>
      <c r="K474" s="3" t="str">
        <f>IFERROR(__xludf.DUMMYFUNCTION("""COMPUTED_VALUE"""),"GL2603054")</f>
        <v>GL2603054</v>
      </c>
    </row>
    <row r="475">
      <c r="A475" s="3" t="str">
        <f>IFERROR(__xludf.DUMMYFUNCTION("""COMPUTED_VALUE"""),"RIABR0147")</f>
        <v>RIABR0147</v>
      </c>
      <c r="B475" s="4">
        <f>IFERROR(__xludf.DUMMYFUNCTION("""COMPUTED_VALUE"""),46071.63137935185)</f>
        <v>46071.63138</v>
      </c>
      <c r="C475" s="4">
        <f>IFERROR(__xludf.DUMMYFUNCTION("""COMPUTED_VALUE"""),46072.99164951388)</f>
        <v>46072.99165</v>
      </c>
      <c r="D475" s="3" t="str">
        <f>IFERROR(__xludf.DUMMYFUNCTION("""COMPUTED_VALUE"""),"Rolling Door")</f>
        <v>Rolling Door</v>
      </c>
      <c r="E475" s="3" t="str">
        <f>IFERROR(__xludf.DUMMYFUNCTION("""COMPUTED_VALUE"""),"EJO/2026/02/166")</f>
        <v>EJO/2026/02/166</v>
      </c>
      <c r="F475" s="3" t="str">
        <f>IFERROR(__xludf.DUMMYFUNCTION("""COMPUTED_VALUE"""),"Emergency Stop + Junction Box")</f>
        <v>Emergency Stop + Junction Box</v>
      </c>
      <c r="G475" s="3">
        <f>IFERROR(__xludf.DUMMYFUNCTION("""COMPUTED_VALUE"""),5.0)</f>
        <v>5</v>
      </c>
      <c r="H475" s="3" t="str">
        <f>IFERROR(__xludf.DUMMYFUNCTION("""COMPUTED_VALUE"""),"Pcs")</f>
        <v>Pcs</v>
      </c>
      <c r="I475" s="3" t="str">
        <f>IFERROR(__xludf.DUMMYFUNCTION("""COMPUTED_VALUE"""),"PR Open")</f>
        <v>PR Open</v>
      </c>
      <c r="J475" s="3" t="str">
        <f>IFERROR(__xludf.DUMMYFUNCTION("""COMPUTED_VALUE"""),"121704549 - APPROVED")</f>
        <v>121704549 - APPROVED</v>
      </c>
      <c r="K475" s="3" t="str">
        <f>IFERROR(__xludf.DUMMYFUNCTION("""COMPUTED_VALUE"""),"-")</f>
        <v>-</v>
      </c>
    </row>
    <row r="476">
      <c r="A476" s="3" t="str">
        <f>IFERROR(__xludf.DUMMYFUNCTION("""COMPUTED_VALUE"""),"KFFBR0008")</f>
        <v>KFFBR0008</v>
      </c>
      <c r="B476" s="4">
        <f>IFERROR(__xludf.DUMMYFUNCTION("""COMPUTED_VALUE"""),46077.95242194445)</f>
        <v>46077.95242</v>
      </c>
      <c r="C476" s="4">
        <f>IFERROR(__xludf.DUMMYFUNCTION("""COMPUTED_VALUE"""),46080.94719604167)</f>
        <v>46080.9472</v>
      </c>
      <c r="D476" s="3" t="str">
        <f>IFERROR(__xludf.DUMMYFUNCTION("""COMPUTED_VALUE"""),"HPLC ")</f>
        <v>HPLC </v>
      </c>
      <c r="E476" s="3" t="str">
        <f>IFERROR(__xludf.DUMMYFUNCTION("""COMPUTED_VALUE"""),"EJO/2025/09/131")</f>
        <v>EJO/2025/09/131</v>
      </c>
      <c r="F476" s="3" t="str">
        <f>IFERROR(__xludf.DUMMYFUNCTION("""COMPUTED_VALUE"""),"Pipa Hollo ")</f>
        <v>Pipa Hollo </v>
      </c>
      <c r="G476" s="3">
        <f>IFERROR(__xludf.DUMMYFUNCTION("""COMPUTED_VALUE"""),2.0)</f>
        <v>2</v>
      </c>
      <c r="H476" s="3" t="str">
        <f>IFERROR(__xludf.DUMMYFUNCTION("""COMPUTED_VALUE"""),"btg")</f>
        <v>btg</v>
      </c>
      <c r="I476" s="3" t="str">
        <f>IFERROR(__xludf.DUMMYFUNCTION("""COMPUTED_VALUE"""),"Deliver")</f>
        <v>Deliver</v>
      </c>
      <c r="J476" s="3" t="str">
        <f>IFERROR(__xludf.DUMMYFUNCTION("""COMPUTED_VALUE"""),"121703961 - APPROVED")</f>
        <v>121703961 - APPROVED</v>
      </c>
      <c r="K476" s="3" t="str">
        <f>IFERROR(__xludf.DUMMYFUNCTION("""COMPUTED_VALUE"""),"GL2604305")</f>
        <v>GL2604305</v>
      </c>
    </row>
    <row r="477">
      <c r="A477" s="3" t="str">
        <f>IFERROR(__xludf.DUMMYFUNCTION("""COMPUTED_VALUE"""),"RIABR0148")</f>
        <v>RIABR0148</v>
      </c>
      <c r="B477" s="4">
        <f>IFERROR(__xludf.DUMMYFUNCTION("""COMPUTED_VALUE"""),46078.68495199074)</f>
        <v>46078.68495</v>
      </c>
      <c r="C477" s="4">
        <f>IFERROR(__xludf.DUMMYFUNCTION("""COMPUTED_VALUE"""),46079.619517465275)</f>
        <v>46079.61952</v>
      </c>
      <c r="D477" s="3" t="str">
        <f>IFERROR(__xludf.DUMMYFUNCTION("""COMPUTED_VALUE"""),"All Area")</f>
        <v>All Area</v>
      </c>
      <c r="E477" s="3" t="str">
        <f>IFERROR(__xludf.DUMMYFUNCTION("""COMPUTED_VALUE"""),"-")</f>
        <v>-</v>
      </c>
      <c r="F477" s="3" t="str">
        <f>IFERROR(__xludf.DUMMYFUNCTION("""COMPUTED_VALUE"""),"Pilox")</f>
        <v>Pilox</v>
      </c>
      <c r="G477" s="3">
        <f>IFERROR(__xludf.DUMMYFUNCTION("""COMPUTED_VALUE"""),5.0)</f>
        <v>5</v>
      </c>
      <c r="H477" s="3" t="str">
        <f>IFERROR(__xludf.DUMMYFUNCTION("""COMPUTED_VALUE"""),"Pcs")</f>
        <v>Pcs</v>
      </c>
      <c r="I477" s="3" t="str">
        <f>IFERROR(__xludf.DUMMYFUNCTION("""COMPUTED_VALUE"""),"Deliver")</f>
        <v>Deliver</v>
      </c>
      <c r="J477" s="3" t="str">
        <f>IFERROR(__xludf.DUMMYFUNCTION("""COMPUTED_VALUE"""),"121704452 - APPROVED")</f>
        <v>121704452 - APPROVED</v>
      </c>
      <c r="K477" s="3" t="str">
        <f>IFERROR(__xludf.DUMMYFUNCTION("""COMPUTED_VALUE"""),"GL2608399")</f>
        <v>GL2608399</v>
      </c>
    </row>
    <row r="478">
      <c r="A478" s="3" t="str">
        <f>IFERROR(__xludf.DUMMYFUNCTION("""COMPUTED_VALUE"""),"RIABR0149")</f>
        <v>RIABR0149</v>
      </c>
      <c r="B478" s="4">
        <f>IFERROR(__xludf.DUMMYFUNCTION("""COMPUTED_VALUE"""),46078.68613465278)</f>
        <v>46078.68613</v>
      </c>
      <c r="C478" s="4">
        <f>IFERROR(__xludf.DUMMYFUNCTION("""COMPUTED_VALUE"""),46079.619705613426)</f>
        <v>46079.61971</v>
      </c>
      <c r="D478" s="3" t="str">
        <f>IFERROR(__xludf.DUMMYFUNCTION("""COMPUTED_VALUE"""),"All Area")</f>
        <v>All Area</v>
      </c>
      <c r="E478" s="3" t="str">
        <f>IFERROR(__xludf.DUMMYFUNCTION("""COMPUTED_VALUE"""),"-")</f>
        <v>-</v>
      </c>
      <c r="F478" s="3" t="str">
        <f>IFERROR(__xludf.DUMMYFUNCTION("""COMPUTED_VALUE"""),"Pilox")</f>
        <v>Pilox</v>
      </c>
      <c r="G478" s="3">
        <f>IFERROR(__xludf.DUMMYFUNCTION("""COMPUTED_VALUE"""),3.0)</f>
        <v>3</v>
      </c>
      <c r="H478" s="3" t="str">
        <f>IFERROR(__xludf.DUMMYFUNCTION("""COMPUTED_VALUE"""),"Pcs")</f>
        <v>Pcs</v>
      </c>
      <c r="I478" s="3" t="str">
        <f>IFERROR(__xludf.DUMMYFUNCTION("""COMPUTED_VALUE"""),"Deliver")</f>
        <v>Deliver</v>
      </c>
      <c r="J478" s="3" t="str">
        <f>IFERROR(__xludf.DUMMYFUNCTION("""COMPUTED_VALUE"""),"121704452 - APPROVED")</f>
        <v>121704452 - APPROVED</v>
      </c>
      <c r="K478" s="3" t="str">
        <f>IFERROR(__xludf.DUMMYFUNCTION("""COMPUTED_VALUE"""),"GL2608399")</f>
        <v>GL2608399</v>
      </c>
    </row>
    <row r="479">
      <c r="A479" s="3" t="str">
        <f>IFERROR(__xludf.DUMMYFUNCTION("""COMPUTED_VALUE"""),"RIABR0150")</f>
        <v>RIABR0150</v>
      </c>
      <c r="B479" s="4">
        <f>IFERROR(__xludf.DUMMYFUNCTION("""COMPUTED_VALUE"""),46078.68657689815)</f>
        <v>46078.68658</v>
      </c>
      <c r="C479" s="4">
        <f>IFERROR(__xludf.DUMMYFUNCTION("""COMPUTED_VALUE"""),46079.61984962963)</f>
        <v>46079.61985</v>
      </c>
      <c r="D479" s="3" t="str">
        <f>IFERROR(__xludf.DUMMYFUNCTION("""COMPUTED_VALUE"""),"All Area")</f>
        <v>All Area</v>
      </c>
      <c r="E479" s="3" t="str">
        <f>IFERROR(__xludf.DUMMYFUNCTION("""COMPUTED_VALUE"""),"-")</f>
        <v>-</v>
      </c>
      <c r="F479" s="3" t="str">
        <f>IFERROR(__xludf.DUMMYFUNCTION("""COMPUTED_VALUE"""),"Pilox")</f>
        <v>Pilox</v>
      </c>
      <c r="G479" s="3">
        <f>IFERROR(__xludf.DUMMYFUNCTION("""COMPUTED_VALUE"""),5.0)</f>
        <v>5</v>
      </c>
      <c r="H479" s="3" t="str">
        <f>IFERROR(__xludf.DUMMYFUNCTION("""COMPUTED_VALUE"""),"Pcs")</f>
        <v>Pcs</v>
      </c>
      <c r="I479" s="3" t="str">
        <f>IFERROR(__xludf.DUMMYFUNCTION("""COMPUTED_VALUE"""),"Deliver")</f>
        <v>Deliver</v>
      </c>
      <c r="J479" s="3" t="str">
        <f>IFERROR(__xludf.DUMMYFUNCTION("""COMPUTED_VALUE"""),"121704452 - APPROVED")</f>
        <v>121704452 - APPROVED</v>
      </c>
      <c r="K479" s="3" t="str">
        <f>IFERROR(__xludf.DUMMYFUNCTION("""COMPUTED_VALUE"""),"GL2608399")</f>
        <v>GL2608399</v>
      </c>
    </row>
    <row r="480">
      <c r="A480" s="3" t="str">
        <f>IFERROR(__xludf.DUMMYFUNCTION("""COMPUTED_VALUE"""),"RIABR0151")</f>
        <v>RIABR0151</v>
      </c>
      <c r="B480" s="4">
        <f>IFERROR(__xludf.DUMMYFUNCTION("""COMPUTED_VALUE"""),46078.68762921296)</f>
        <v>46078.68763</v>
      </c>
      <c r="C480" s="4">
        <f>IFERROR(__xludf.DUMMYFUNCTION("""COMPUTED_VALUE"""),46079.620027303245)</f>
        <v>46079.62003</v>
      </c>
      <c r="D480" s="3" t="str">
        <f>IFERROR(__xludf.DUMMYFUNCTION("""COMPUTED_VALUE"""),"All Area")</f>
        <v>All Area</v>
      </c>
      <c r="E480" s="3" t="str">
        <f>IFERROR(__xludf.DUMMYFUNCTION("""COMPUTED_VALUE"""),"-")</f>
        <v>-</v>
      </c>
      <c r="F480" s="3" t="str">
        <f>IFERROR(__xludf.DUMMYFUNCTION("""COMPUTED_VALUE"""),"Pilox")</f>
        <v>Pilox</v>
      </c>
      <c r="G480" s="3">
        <f>IFERROR(__xludf.DUMMYFUNCTION("""COMPUTED_VALUE"""),3.0)</f>
        <v>3</v>
      </c>
      <c r="H480" s="3" t="str">
        <f>IFERROR(__xludf.DUMMYFUNCTION("""COMPUTED_VALUE"""),"Pcs")</f>
        <v>Pcs</v>
      </c>
      <c r="I480" s="3" t="str">
        <f>IFERROR(__xludf.DUMMYFUNCTION("""COMPUTED_VALUE"""),"PR Open")</f>
        <v>PR Open</v>
      </c>
      <c r="J480" s="3" t="str">
        <f>IFERROR(__xludf.DUMMYFUNCTION("""COMPUTED_VALUE"""),"121704550 - APPROVED")</f>
        <v>121704550 - APPROVED</v>
      </c>
      <c r="K480" s="3" t="str">
        <f>IFERROR(__xludf.DUMMYFUNCTION("""COMPUTED_VALUE"""),"GL2609434")</f>
        <v>GL2609434</v>
      </c>
    </row>
    <row r="481">
      <c r="A481" s="3" t="str">
        <f>IFERROR(__xludf.DUMMYFUNCTION("""COMPUTED_VALUE"""),"RIABR0152")</f>
        <v>RIABR0152</v>
      </c>
      <c r="B481" s="4">
        <f>IFERROR(__xludf.DUMMYFUNCTION("""COMPUTED_VALUE"""),46078.68898643518)</f>
        <v>46078.68899</v>
      </c>
      <c r="C481" s="4">
        <f>IFERROR(__xludf.DUMMYFUNCTION("""COMPUTED_VALUE"""),46079.62016103009)</f>
        <v>46079.62016</v>
      </c>
      <c r="D481" s="3" t="str">
        <f>IFERROR(__xludf.DUMMYFUNCTION("""COMPUTED_VALUE"""),"All Area")</f>
        <v>All Area</v>
      </c>
      <c r="E481" s="3" t="str">
        <f>IFERROR(__xludf.DUMMYFUNCTION("""COMPUTED_VALUE"""),"-")</f>
        <v>-</v>
      </c>
      <c r="F481" s="3" t="str">
        <f>IFERROR(__xludf.DUMMYFUNCTION("""COMPUTED_VALUE"""),"Pilox")</f>
        <v>Pilox</v>
      </c>
      <c r="G481" s="3">
        <f>IFERROR(__xludf.DUMMYFUNCTION("""COMPUTED_VALUE"""),3.0)</f>
        <v>3</v>
      </c>
      <c r="H481" s="3" t="str">
        <f>IFERROR(__xludf.DUMMYFUNCTION("""COMPUTED_VALUE"""),"Pcs")</f>
        <v>Pcs</v>
      </c>
      <c r="I481" s="3" t="str">
        <f>IFERROR(__xludf.DUMMYFUNCTION("""COMPUTED_VALUE"""),"Deliver")</f>
        <v>Deliver</v>
      </c>
      <c r="J481" s="3" t="str">
        <f>IFERROR(__xludf.DUMMYFUNCTION("""COMPUTED_VALUE"""),"121704452 - APPROVED")</f>
        <v>121704452 - APPROVED</v>
      </c>
      <c r="K481" s="3" t="str">
        <f>IFERROR(__xludf.DUMMYFUNCTION("""COMPUTED_VALUE"""),"GL2608399")</f>
        <v>GL2608399</v>
      </c>
    </row>
    <row r="482">
      <c r="A482" s="3" t="str">
        <f>IFERROR(__xludf.DUMMYFUNCTION("""COMPUTED_VALUE"""),"RIABR0153")</f>
        <v>RIABR0153</v>
      </c>
      <c r="B482" s="4">
        <f>IFERROR(__xludf.DUMMYFUNCTION("""COMPUTED_VALUE"""),46078.689783726855)</f>
        <v>46078.68978</v>
      </c>
      <c r="C482" s="4">
        <f>IFERROR(__xludf.DUMMYFUNCTION("""COMPUTED_VALUE"""),46202.91528903935)</f>
        <v>46202.91529</v>
      </c>
      <c r="D482" s="3" t="str">
        <f>IFERROR(__xludf.DUMMYFUNCTION("""COMPUTED_VALUE"""),"All Area")</f>
        <v>All Area</v>
      </c>
      <c r="E482" s="3" t="str">
        <f>IFERROR(__xludf.DUMMYFUNCTION("""COMPUTED_VALUE"""),"-")</f>
        <v>-</v>
      </c>
      <c r="F482" s="3" t="str">
        <f>IFERROR(__xludf.DUMMYFUNCTION("""COMPUTED_VALUE"""),"Pilox")</f>
        <v>Pilox</v>
      </c>
      <c r="G482" s="3">
        <f>IFERROR(__xludf.DUMMYFUNCTION("""COMPUTED_VALUE"""),10.0)</f>
        <v>10</v>
      </c>
      <c r="H482" s="3" t="str">
        <f>IFERROR(__xludf.DUMMYFUNCTION("""COMPUTED_VALUE"""),"Pcs")</f>
        <v>Pcs</v>
      </c>
      <c r="I482" s="3" t="str">
        <f>IFERROR(__xludf.DUMMYFUNCTION("""COMPUTED_VALUE"""),"Approval Item Code")</f>
        <v>Approval Item Code</v>
      </c>
      <c r="J482" s="3" t="str">
        <f>IFERROR(__xludf.DUMMYFUNCTION("""COMPUTED_VALUE"""),"-")</f>
        <v>-</v>
      </c>
      <c r="K482" s="3" t="str">
        <f>IFERROR(__xludf.DUMMYFUNCTION("""COMPUTED_VALUE"""),"-")</f>
        <v>-</v>
      </c>
    </row>
    <row r="483">
      <c r="A483" s="3" t="str">
        <f>IFERROR(__xludf.DUMMYFUNCTION("""COMPUTED_VALUE"""),"RIABR0154")</f>
        <v>RIABR0154</v>
      </c>
      <c r="B483" s="4">
        <f>IFERROR(__xludf.DUMMYFUNCTION("""COMPUTED_VALUE"""),46078.69071101852)</f>
        <v>46078.69071</v>
      </c>
      <c r="C483" s="4">
        <f>IFERROR(__xludf.DUMMYFUNCTION("""COMPUTED_VALUE"""),46080.63034119213)</f>
        <v>46080.63034</v>
      </c>
      <c r="D483" s="3" t="str">
        <f>IFERROR(__xludf.DUMMYFUNCTION("""COMPUTED_VALUE"""),"All Area")</f>
        <v>All Area</v>
      </c>
      <c r="E483" s="3" t="str">
        <f>IFERROR(__xludf.DUMMYFUNCTION("""COMPUTED_VALUE"""),"-")</f>
        <v>-</v>
      </c>
      <c r="F483" s="3" t="str">
        <f>IFERROR(__xludf.DUMMYFUNCTION("""COMPUTED_VALUE"""),"Pilox")</f>
        <v>Pilox</v>
      </c>
      <c r="G483" s="3">
        <f>IFERROR(__xludf.DUMMYFUNCTION("""COMPUTED_VALUE"""),3.0)</f>
        <v>3</v>
      </c>
      <c r="H483" s="3" t="str">
        <f>IFERROR(__xludf.DUMMYFUNCTION("""COMPUTED_VALUE"""),"Pcs")</f>
        <v>Pcs</v>
      </c>
      <c r="I483" s="3" t="str">
        <f>IFERROR(__xludf.DUMMYFUNCTION("""COMPUTED_VALUE"""),"Approval Item Code")</f>
        <v>Approval Item Code</v>
      </c>
      <c r="J483" s="3" t="str">
        <f>IFERROR(__xludf.DUMMYFUNCTION("""COMPUTED_VALUE"""),"-")</f>
        <v>-</v>
      </c>
      <c r="K483" s="3" t="str">
        <f>IFERROR(__xludf.DUMMYFUNCTION("""COMPUTED_VALUE"""),"-")</f>
        <v>-</v>
      </c>
    </row>
    <row r="484">
      <c r="A484" s="3" t="str">
        <f>IFERROR(__xludf.DUMMYFUNCTION("""COMPUTED_VALUE"""),"AAABR0033")</f>
        <v>AAABR0033</v>
      </c>
      <c r="B484" s="4">
        <f>IFERROR(__xludf.DUMMYFUNCTION("""COMPUTED_VALUE"""),46079.588131770826)</f>
        <v>46079.58813</v>
      </c>
      <c r="C484" s="4">
        <f>IFERROR(__xludf.DUMMYFUNCTION("""COMPUTED_VALUE"""),46080.94835791666)</f>
        <v>46080.94836</v>
      </c>
      <c r="D484" s="3" t="str">
        <f>IFERROR(__xludf.DUMMYFUNCTION("""COMPUTED_VALUE"""),"washing")</f>
        <v>washing</v>
      </c>
      <c r="E484" s="3" t="str">
        <f>IFERROR(__xludf.DUMMYFUNCTION("""COMPUTED_VALUE"""),"EJO/2026/03/29")</f>
        <v>EJO/2026/03/29</v>
      </c>
      <c r="F484" s="3" t="str">
        <f>IFERROR(__xludf.DUMMYFUNCTION("""COMPUTED_VALUE"""),"air cylinder")</f>
        <v>air cylinder</v>
      </c>
      <c r="G484" s="3">
        <f>IFERROR(__xludf.DUMMYFUNCTION("""COMPUTED_VALUE"""),2.0)</f>
        <v>2</v>
      </c>
      <c r="H484" s="3" t="str">
        <f>IFERROR(__xludf.DUMMYFUNCTION("""COMPUTED_VALUE"""),"Pcs")</f>
        <v>Pcs</v>
      </c>
      <c r="I484" s="3" t="str">
        <f>IFERROR(__xludf.DUMMYFUNCTION("""COMPUTED_VALUE"""),"Deliver")</f>
        <v>Deliver</v>
      </c>
      <c r="J484" s="3" t="str">
        <f>IFERROR(__xludf.DUMMYFUNCTION("""COMPUTED_VALUE"""),"121703970 - APPROVED")</f>
        <v>121703970 - APPROVED</v>
      </c>
      <c r="K484" s="3" t="str">
        <f>IFERROR(__xludf.DUMMYFUNCTION("""COMPUTED_VALUE"""),"GL2604306")</f>
        <v>GL2604306</v>
      </c>
    </row>
    <row r="485">
      <c r="A485" s="3" t="str">
        <f>IFERROR(__xludf.DUMMYFUNCTION("""COMPUTED_VALUE"""),"SFHBR0046")</f>
        <v>SFHBR0046</v>
      </c>
      <c r="B485" s="4">
        <f>IFERROR(__xludf.DUMMYFUNCTION("""COMPUTED_VALUE"""),46080.655699016206)</f>
        <v>46080.6557</v>
      </c>
      <c r="C485" s="4">
        <f>IFERROR(__xludf.DUMMYFUNCTION("""COMPUTED_VALUE"""),46084.860135358795)</f>
        <v>46084.86014</v>
      </c>
      <c r="D485" s="3" t="str">
        <f>IFERROR(__xludf.DUMMYFUNCTION("""COMPUTED_VALUE"""),"lantai 1")</f>
        <v>lantai 1</v>
      </c>
      <c r="E485" s="3" t="str">
        <f>IFERROR(__xludf.DUMMYFUNCTION("""COMPUTED_VALUE"""),"-")</f>
        <v>-</v>
      </c>
      <c r="F485" s="3" t="str">
        <f>IFERROR(__xludf.DUMMYFUNCTION("""COMPUTED_VALUE"""),"Cat dulux watershild merlin")</f>
        <v>Cat dulux watershild merlin</v>
      </c>
      <c r="G485" s="3">
        <f>IFERROR(__xludf.DUMMYFUNCTION("""COMPUTED_VALUE"""),1.0)</f>
        <v>1</v>
      </c>
      <c r="H485" s="3" t="str">
        <f>IFERROR(__xludf.DUMMYFUNCTION("""COMPUTED_VALUE"""),"Pel")</f>
        <v>Pel</v>
      </c>
      <c r="I485" s="3" t="str">
        <f>IFERROR(__xludf.DUMMYFUNCTION("""COMPUTED_VALUE"""),"Deliver")</f>
        <v>Deliver</v>
      </c>
      <c r="J485" s="3" t="str">
        <f>IFERROR(__xludf.DUMMYFUNCTION("""COMPUTED_VALUE"""),"121704013 - APPROVED")</f>
        <v>121704013 - APPROVED</v>
      </c>
      <c r="K485" s="3" t="str">
        <f>IFERROR(__xludf.DUMMYFUNCTION("""COMPUTED_VALUE"""),"GL2604011")</f>
        <v>GL2604011</v>
      </c>
    </row>
    <row r="486">
      <c r="A486" s="3" t="str">
        <f>IFERROR(__xludf.DUMMYFUNCTION("""COMPUTED_VALUE"""),"RIABR0155")</f>
        <v>RIABR0155</v>
      </c>
      <c r="B486" s="4">
        <f>IFERROR(__xludf.DUMMYFUNCTION("""COMPUTED_VALUE"""),46081.67226850694)</f>
        <v>46081.67227</v>
      </c>
      <c r="C486" s="4">
        <f>IFERROR(__xludf.DUMMYFUNCTION("""COMPUTED_VALUE"""),46084.863874120376)</f>
        <v>46084.86387</v>
      </c>
      <c r="D486" s="3" t="str">
        <f>IFERROR(__xludf.DUMMYFUNCTION("""COMPUTED_VALUE"""),"Deep Freezer")</f>
        <v>Deep Freezer</v>
      </c>
      <c r="E486" s="3" t="str">
        <f>IFERROR(__xludf.DUMMYFUNCTION("""COMPUTED_VALUE"""),"EJO/2026/02/142")</f>
        <v>EJO/2026/02/142</v>
      </c>
      <c r="F486" s="3" t="str">
        <f>IFERROR(__xludf.DUMMYFUNCTION("""COMPUTED_VALUE"""),"HMI")</f>
        <v>HMI</v>
      </c>
      <c r="G486" s="3">
        <f>IFERROR(__xludf.DUMMYFUNCTION("""COMPUTED_VALUE"""),1.0)</f>
        <v>1</v>
      </c>
      <c r="H486" s="3" t="str">
        <f>IFERROR(__xludf.DUMMYFUNCTION("""COMPUTED_VALUE"""),"Pcs")</f>
        <v>Pcs</v>
      </c>
      <c r="I486" s="3" t="str">
        <f>IFERROR(__xludf.DUMMYFUNCTION("""COMPUTED_VALUE"""),"PR Open")</f>
        <v>PR Open</v>
      </c>
      <c r="J486" s="3" t="str">
        <f>IFERROR(__xludf.DUMMYFUNCTION("""COMPUTED_VALUE"""),"121704430 - APPROVED")</f>
        <v>121704430 - APPROVED</v>
      </c>
      <c r="K486" s="3" t="str">
        <f>IFERROR(__xludf.DUMMYFUNCTION("""COMPUTED_VALUE"""),"-")</f>
        <v>-</v>
      </c>
    </row>
    <row r="487">
      <c r="A487" s="3" t="str">
        <f>IFERROR(__xludf.DUMMYFUNCTION("""COMPUTED_VALUE"""),"ROSBR0083")</f>
        <v>ROSBR0083</v>
      </c>
      <c r="B487" s="4">
        <f>IFERROR(__xludf.DUMMYFUNCTION("""COMPUTED_VALUE"""),46083.64223204861)</f>
        <v>46083.64223</v>
      </c>
      <c r="C487" s="4">
        <f>IFERROR(__xludf.DUMMYFUNCTION("""COMPUTED_VALUE"""),46085.41693627315)</f>
        <v>46085.41694</v>
      </c>
      <c r="D487" s="3" t="str">
        <f>IFERROR(__xludf.DUMMYFUNCTION("""COMPUTED_VALUE"""),"washing ")</f>
        <v>washing </v>
      </c>
      <c r="E487" s="3" t="str">
        <f>IFERROR(__xludf.DUMMYFUNCTION("""COMPUTED_VALUE"""),"-")</f>
        <v>-</v>
      </c>
      <c r="F487" s="3" t="str">
        <f>IFERROR(__xludf.DUMMYFUNCTION("""COMPUTED_VALUE"""),"QS cylinder washing ")</f>
        <v>QS cylinder washing </v>
      </c>
      <c r="G487" s="3">
        <f>IFERROR(__xludf.DUMMYFUNCTION("""COMPUTED_VALUE"""),30.0)</f>
        <v>30</v>
      </c>
      <c r="H487" s="3" t="str">
        <f>IFERROR(__xludf.DUMMYFUNCTION("""COMPUTED_VALUE"""),"pcs")</f>
        <v>pcs</v>
      </c>
      <c r="I487" s="3" t="str">
        <f>IFERROR(__xludf.DUMMYFUNCTION("""COMPUTED_VALUE"""),"Mencari Penawaran")</f>
        <v>Mencari Penawaran</v>
      </c>
      <c r="J487" s="3" t="str">
        <f>IFERROR(__xludf.DUMMYFUNCTION("""COMPUTED_VALUE"""),"-")</f>
        <v>-</v>
      </c>
      <c r="K487" s="3" t="str">
        <f>IFERROR(__xludf.DUMMYFUNCTION("""COMPUTED_VALUE"""),"-")</f>
        <v>-</v>
      </c>
    </row>
    <row r="488">
      <c r="A488" s="3" t="str">
        <f>IFERROR(__xludf.DUMMYFUNCTION("""COMPUTED_VALUE"""),"BDUBR0004")</f>
        <v>BDUBR0004</v>
      </c>
      <c r="B488" s="4">
        <f>IFERROR(__xludf.DUMMYFUNCTION("""COMPUTED_VALUE"""),46083.66518791667)</f>
        <v>46083.66519</v>
      </c>
      <c r="C488" s="4">
        <f>IFERROR(__xludf.DUMMYFUNCTION("""COMPUTED_VALUE"""),46084.55897540509)</f>
        <v>46084.55898</v>
      </c>
      <c r="D488" s="3" t="str">
        <f>IFERROR(__xludf.DUMMYFUNCTION("""COMPUTED_VALUE"""),"Laundry Room")</f>
        <v>Laundry Room</v>
      </c>
      <c r="E488" s="3" t="str">
        <f>IFERROR(__xludf.DUMMYFUNCTION("""COMPUTED_VALUE"""),"EJO/2026/03/14")</f>
        <v>EJO/2026/03/14</v>
      </c>
      <c r="F488" s="3" t="str">
        <f>IFERROR(__xludf.DUMMYFUNCTION("""COMPUTED_VALUE"""),"LAF Curtain")</f>
        <v>LAF Curtain</v>
      </c>
      <c r="G488" s="3">
        <f>IFERROR(__xludf.DUMMYFUNCTION("""COMPUTED_VALUE"""),100.0)</f>
        <v>100</v>
      </c>
      <c r="H488" s="3" t="str">
        <f>IFERROR(__xludf.DUMMYFUNCTION("""COMPUTED_VALUE"""),"Meter")</f>
        <v>Meter</v>
      </c>
      <c r="I488" s="3" t="str">
        <f>IFERROR(__xludf.DUMMYFUNCTION("""COMPUTED_VALUE"""),"Approval Item Code")</f>
        <v>Approval Item Code</v>
      </c>
      <c r="J488" s="3" t="str">
        <f>IFERROR(__xludf.DUMMYFUNCTION("""COMPUTED_VALUE"""),"-")</f>
        <v>-</v>
      </c>
      <c r="K488" s="3" t="str">
        <f>IFERROR(__xludf.DUMMYFUNCTION("""COMPUTED_VALUE"""),"-")</f>
        <v>-</v>
      </c>
    </row>
    <row r="489">
      <c r="A489" s="3" t="str">
        <f>IFERROR(__xludf.DUMMYFUNCTION("""COMPUTED_VALUE"""),"BDUBR0005")</f>
        <v>BDUBR0005</v>
      </c>
      <c r="B489" s="4">
        <f>IFERROR(__xludf.DUMMYFUNCTION("""COMPUTED_VALUE"""),46083.665207164355)</f>
        <v>46083.66521</v>
      </c>
      <c r="C489" s="4">
        <f>IFERROR(__xludf.DUMMYFUNCTION("""COMPUTED_VALUE"""),46084.576172430556)</f>
        <v>46084.57617</v>
      </c>
      <c r="D489" s="3" t="str">
        <f>IFERROR(__xludf.DUMMYFUNCTION("""COMPUTED_VALUE"""),"Laundry Room")</f>
        <v>Laundry Room</v>
      </c>
      <c r="E489" s="3" t="str">
        <f>IFERROR(__xludf.DUMMYFUNCTION("""COMPUTED_VALUE"""),"EJO/2026/03/14")</f>
        <v>EJO/2026/03/14</v>
      </c>
      <c r="F489" s="3" t="str">
        <f>IFERROR(__xludf.DUMMYFUNCTION("""COMPUTED_VALUE"""),"Paku Rivet")</f>
        <v>Paku Rivet</v>
      </c>
      <c r="G489" s="3">
        <f>IFERROR(__xludf.DUMMYFUNCTION("""COMPUTED_VALUE"""),100.0)</f>
        <v>100</v>
      </c>
      <c r="H489" s="3" t="str">
        <f>IFERROR(__xludf.DUMMYFUNCTION("""COMPUTED_VALUE"""),"pcs")</f>
        <v>pcs</v>
      </c>
      <c r="I489" s="3" t="str">
        <f>IFERROR(__xludf.DUMMYFUNCTION("""COMPUTED_VALUE"""),"Proses PR")</f>
        <v>Proses PR</v>
      </c>
      <c r="J489" s="3" t="str">
        <f>IFERROR(__xludf.DUMMYFUNCTION("""COMPUTED_VALUE"""),"-")</f>
        <v>-</v>
      </c>
      <c r="K489" s="3" t="str">
        <f>IFERROR(__xludf.DUMMYFUNCTION("""COMPUTED_VALUE"""),"-")</f>
        <v>-</v>
      </c>
    </row>
    <row r="490">
      <c r="A490" s="3" t="str">
        <f>IFERROR(__xludf.DUMMYFUNCTION("""COMPUTED_VALUE"""),"ROSBR0085")</f>
        <v>ROSBR0085</v>
      </c>
      <c r="B490" s="4">
        <f>IFERROR(__xludf.DUMMYFUNCTION("""COMPUTED_VALUE"""),46084.64543319444)</f>
        <v>46084.64543</v>
      </c>
      <c r="C490" s="4">
        <f>IFERROR(__xludf.DUMMYFUNCTION("""COMPUTED_VALUE"""),46085.41776564815)</f>
        <v>46085.41777</v>
      </c>
      <c r="D490" s="3" t="str">
        <f>IFERROR(__xludf.DUMMYFUNCTION("""COMPUTED_VALUE"""),"Universal ")</f>
        <v>Universal </v>
      </c>
      <c r="E490" s="3" t="str">
        <f>IFERROR(__xludf.DUMMYFUNCTION("""COMPUTED_VALUE"""),"-")</f>
        <v>-</v>
      </c>
      <c r="F490" s="3" t="str">
        <f>IFERROR(__xludf.DUMMYFUNCTION("""COMPUTED_VALUE"""),"Blind ferrule 1""")</f>
        <v>Blind ferrule 1"</v>
      </c>
      <c r="G490" s="3">
        <f>IFERROR(__xludf.DUMMYFUNCTION("""COMPUTED_VALUE"""),10.0)</f>
        <v>10</v>
      </c>
      <c r="H490" s="3" t="str">
        <f>IFERROR(__xludf.DUMMYFUNCTION("""COMPUTED_VALUE"""),"pcs")</f>
        <v>pcs</v>
      </c>
      <c r="I490" s="3" t="str">
        <f>IFERROR(__xludf.DUMMYFUNCTION("""COMPUTED_VALUE"""),"Deliver")</f>
        <v>Deliver</v>
      </c>
      <c r="J490" s="3" t="str">
        <f>IFERROR(__xludf.DUMMYFUNCTION("""COMPUTED_VALUE"""),"121704369 - APPROVED")</f>
        <v>121704369 - APPROVED</v>
      </c>
      <c r="K490" s="3" t="str">
        <f>IFERROR(__xludf.DUMMYFUNCTION("""COMPUTED_VALUE"""),"GL2607378")</f>
        <v>GL2607378</v>
      </c>
    </row>
    <row r="491">
      <c r="A491" s="3" t="str">
        <f>IFERROR(__xludf.DUMMYFUNCTION("""COMPUTED_VALUE"""),"ROSBR0086")</f>
        <v>ROSBR0086</v>
      </c>
      <c r="B491" s="4">
        <f>IFERROR(__xludf.DUMMYFUNCTION("""COMPUTED_VALUE"""),46084.650005856485)</f>
        <v>46084.65001</v>
      </c>
      <c r="C491" s="4">
        <f>IFERROR(__xludf.DUMMYFUNCTION("""COMPUTED_VALUE"""),46085.41793700232)</f>
        <v>46085.41794</v>
      </c>
      <c r="D491" s="3" t="str">
        <f>IFERROR(__xludf.DUMMYFUNCTION("""COMPUTED_VALUE"""),"Universal ")</f>
        <v>Universal </v>
      </c>
      <c r="E491" s="3" t="str">
        <f>IFERROR(__xludf.DUMMYFUNCTION("""COMPUTED_VALUE"""),"-")</f>
        <v>-</v>
      </c>
      <c r="F491" s="3" t="str">
        <f>IFERROR(__xludf.DUMMYFUNCTION("""COMPUTED_VALUE"""),"Blind ferrule 1/2""")</f>
        <v>Blind ferrule 1/2"</v>
      </c>
      <c r="G491" s="3">
        <f>IFERROR(__xludf.DUMMYFUNCTION("""COMPUTED_VALUE"""),10.0)</f>
        <v>10</v>
      </c>
      <c r="H491" s="3" t="str">
        <f>IFERROR(__xludf.DUMMYFUNCTION("""COMPUTED_VALUE"""),"pcs")</f>
        <v>pcs</v>
      </c>
      <c r="I491" s="3" t="str">
        <f>IFERROR(__xludf.DUMMYFUNCTION("""COMPUTED_VALUE"""),"PR Open")</f>
        <v>PR Open</v>
      </c>
      <c r="J491" s="3" t="str">
        <f>IFERROR(__xludf.DUMMYFUNCTION("""COMPUTED_VALUE"""),"121704365 - APPROVED")</f>
        <v>121704365 - APPROVED</v>
      </c>
      <c r="K491" s="3" t="str">
        <f>IFERROR(__xludf.DUMMYFUNCTION("""COMPUTED_VALUE"""),"GL2609002")</f>
        <v>GL2609002</v>
      </c>
    </row>
    <row r="492">
      <c r="A492" s="3" t="str">
        <f>IFERROR(__xludf.DUMMYFUNCTION("""COMPUTED_VALUE"""),"MRNBR0102")</f>
        <v>MRNBR0102</v>
      </c>
      <c r="B492" s="4">
        <f>IFERROR(__xludf.DUMMYFUNCTION("""COMPUTED_VALUE"""),46085.636620520825)</f>
        <v>46085.63662</v>
      </c>
      <c r="C492" s="4">
        <f>IFERROR(__xludf.DUMMYFUNCTION("""COMPUTED_VALUE"""),46090.424240127315)</f>
        <v>46090.42424</v>
      </c>
      <c r="D492" s="3" t="str">
        <f>IFERROR(__xludf.DUMMYFUNCTION("""COMPUTED_VALUE"""),"EF C1-32")</f>
        <v>EF C1-32</v>
      </c>
      <c r="E492" s="3" t="str">
        <f>IFERROR(__xludf.DUMMYFUNCTION("""COMPUTED_VALUE"""),"EJO/2026/03/56")</f>
        <v>EJO/2026/03/56</v>
      </c>
      <c r="F492" s="3" t="str">
        <f>IFERROR(__xludf.DUMMYFUNCTION("""COMPUTED_VALUE"""),"Gasket pintu")</f>
        <v>Gasket pintu</v>
      </c>
      <c r="G492" s="3">
        <f>IFERROR(__xludf.DUMMYFUNCTION("""COMPUTED_VALUE"""),8.0)</f>
        <v>8</v>
      </c>
      <c r="H492" s="3" t="str">
        <f>IFERROR(__xludf.DUMMYFUNCTION("""COMPUTED_VALUE"""),"roll")</f>
        <v>roll</v>
      </c>
      <c r="I492" s="3" t="str">
        <f>IFERROR(__xludf.DUMMYFUNCTION("""COMPUTED_VALUE"""),"Mencari Penawaran")</f>
        <v>Mencari Penawaran</v>
      </c>
      <c r="J492" s="3" t="str">
        <f>IFERROR(__xludf.DUMMYFUNCTION("""COMPUTED_VALUE"""),"-")</f>
        <v>-</v>
      </c>
      <c r="K492" s="3" t="str">
        <f>IFERROR(__xludf.DUMMYFUNCTION("""COMPUTED_VALUE"""),"-")</f>
        <v>-</v>
      </c>
    </row>
    <row r="493">
      <c r="A493" s="3" t="str">
        <f>IFERROR(__xludf.DUMMYFUNCTION("""COMPUTED_VALUE"""),"MRNBR0103")</f>
        <v>MRNBR0103</v>
      </c>
      <c r="B493" s="4">
        <f>IFERROR(__xludf.DUMMYFUNCTION("""COMPUTED_VALUE"""),46086.45758048611)</f>
        <v>46086.45758</v>
      </c>
      <c r="C493" s="4">
        <f>IFERROR(__xludf.DUMMYFUNCTION("""COMPUTED_VALUE"""),46090.424533101854)</f>
        <v>46090.42453</v>
      </c>
      <c r="D493" s="3" t="str">
        <f>IFERROR(__xludf.DUMMYFUNCTION("""COMPUTED_VALUE"""),"EF micro")</f>
        <v>EF micro</v>
      </c>
      <c r="E493" s="3" t="str">
        <f>IFERROR(__xludf.DUMMYFUNCTION("""COMPUTED_VALUE"""),"EJO/2026/03/56")</f>
        <v>EJO/2026/03/56</v>
      </c>
      <c r="F493" s="3" t="str">
        <f>IFERROR(__xludf.DUMMYFUNCTION("""COMPUTED_VALUE"""),"Exhaust fan")</f>
        <v>Exhaust fan</v>
      </c>
      <c r="G493" s="3">
        <f>IFERROR(__xludf.DUMMYFUNCTION("""COMPUTED_VALUE"""),2.0)</f>
        <v>2</v>
      </c>
      <c r="H493" s="3" t="str">
        <f>IFERROR(__xludf.DUMMYFUNCTION("""COMPUTED_VALUE"""),"unit")</f>
        <v>unit</v>
      </c>
      <c r="I493" s="3" t="str">
        <f>IFERROR(__xludf.DUMMYFUNCTION("""COMPUTED_VALUE"""),"Deliver")</f>
        <v>Deliver</v>
      </c>
      <c r="J493" s="3" t="str">
        <f>IFERROR(__xludf.DUMMYFUNCTION("""COMPUTED_VALUE"""),"121704031 - APPROVED")</f>
        <v>121704031 - APPROVED</v>
      </c>
      <c r="K493" s="3" t="str">
        <f>IFERROR(__xludf.DUMMYFUNCTION("""COMPUTED_VALUE"""),"GL2603475")</f>
        <v>GL2603475</v>
      </c>
    </row>
    <row r="494">
      <c r="A494" s="3" t="str">
        <f>IFERROR(__xludf.DUMMYFUNCTION("""COMPUTED_VALUE"""),"ROSBR0087")</f>
        <v>ROSBR0087</v>
      </c>
      <c r="B494" s="4">
        <f>IFERROR(__xludf.DUMMYFUNCTION("""COMPUTED_VALUE"""),46086.471976539346)</f>
        <v>46086.47198</v>
      </c>
      <c r="C494" s="4">
        <f>IFERROR(__xludf.DUMMYFUNCTION("""COMPUTED_VALUE"""),46093.04292825232)</f>
        <v>46093.04293</v>
      </c>
      <c r="D494" s="3" t="str">
        <f>IFERROR(__xludf.DUMMYFUNCTION("""COMPUTED_VALUE"""),"Universal ")</f>
        <v>Universal </v>
      </c>
      <c r="E494" s="3" t="str">
        <f>IFERROR(__xludf.DUMMYFUNCTION("""COMPUTED_VALUE"""),"-")</f>
        <v>-</v>
      </c>
      <c r="F494" s="3" t="str">
        <f>IFERROR(__xludf.DUMMYFUNCTION("""COMPUTED_VALUE"""),"Blind ferrule 3/4""")</f>
        <v>Blind ferrule 3/4"</v>
      </c>
      <c r="G494" s="3">
        <f>IFERROR(__xludf.DUMMYFUNCTION("""COMPUTED_VALUE"""),20.0)</f>
        <v>20</v>
      </c>
      <c r="H494" s="3" t="str">
        <f>IFERROR(__xludf.DUMMYFUNCTION("""COMPUTED_VALUE"""),"pcs")</f>
        <v>pcs</v>
      </c>
      <c r="I494" s="3" t="str">
        <f>IFERROR(__xludf.DUMMYFUNCTION("""COMPUTED_VALUE"""),"Proses PR")</f>
        <v>Proses PR</v>
      </c>
      <c r="J494" s="3" t="str">
        <f>IFERROR(__xludf.DUMMYFUNCTION("""COMPUTED_VALUE"""),"-")</f>
        <v>-</v>
      </c>
      <c r="K494" s="3" t="str">
        <f>IFERROR(__xludf.DUMMYFUNCTION("""COMPUTED_VALUE"""),"-")</f>
        <v>-</v>
      </c>
    </row>
    <row r="495">
      <c r="A495" s="3" t="str">
        <f>IFERROR(__xludf.DUMMYFUNCTION("""COMPUTED_VALUE"""),"ROSBR0088")</f>
        <v>ROSBR0088</v>
      </c>
      <c r="B495" s="4">
        <f>IFERROR(__xludf.DUMMYFUNCTION("""COMPUTED_VALUE"""),46086.47533390047)</f>
        <v>46086.47533</v>
      </c>
      <c r="C495" s="4">
        <f>IFERROR(__xludf.DUMMYFUNCTION("""COMPUTED_VALUE"""),46093.043335601855)</f>
        <v>46093.04334</v>
      </c>
      <c r="D495" s="3" t="str">
        <f>IFERROR(__xludf.DUMMYFUNCTION("""COMPUTED_VALUE"""),"mixing")</f>
        <v>mixing</v>
      </c>
      <c r="E495" s="3" t="str">
        <f>IFERROR(__xludf.DUMMYFUNCTION("""COMPUTED_VALUE"""),"-")</f>
        <v>-</v>
      </c>
      <c r="F495" s="3" t="str">
        <f>IFERROR(__xludf.DUMMYFUNCTION("""COMPUTED_VALUE"""),"Lampu tangki  Mixing ")</f>
        <v>Lampu tangki  Mixing </v>
      </c>
      <c r="G495" s="3">
        <f>IFERROR(__xludf.DUMMYFUNCTION("""COMPUTED_VALUE"""),2.0)</f>
        <v>2</v>
      </c>
      <c r="H495" s="3" t="str">
        <f>IFERROR(__xludf.DUMMYFUNCTION("""COMPUTED_VALUE"""),"unit")</f>
        <v>unit</v>
      </c>
      <c r="I495" s="3" t="str">
        <f>IFERROR(__xludf.DUMMYFUNCTION("""COMPUTED_VALUE"""),"Deliver")</f>
        <v>Deliver</v>
      </c>
      <c r="J495" s="3" t="str">
        <f>IFERROR(__xludf.DUMMYFUNCTION("""COMPUTED_VALUE"""),"121704395 - APPROVED")</f>
        <v>121704395 - APPROVED</v>
      </c>
      <c r="K495" s="3" t="str">
        <f>IFERROR(__xludf.DUMMYFUNCTION("""COMPUTED_VALUE"""),"GL2607376")</f>
        <v>GL2607376</v>
      </c>
    </row>
    <row r="496">
      <c r="A496" s="3" t="str">
        <f>IFERROR(__xludf.DUMMYFUNCTION("""COMPUTED_VALUE"""),"ROSBR0089")</f>
        <v>ROSBR0089</v>
      </c>
      <c r="B496" s="4">
        <f>IFERROR(__xludf.DUMMYFUNCTION("""COMPUTED_VALUE"""),46086.617435381944)</f>
        <v>46086.61744</v>
      </c>
      <c r="C496" s="4">
        <f>IFERROR(__xludf.DUMMYFUNCTION("""COMPUTED_VALUE"""),46093.043765787035)</f>
        <v>46093.04377</v>
      </c>
      <c r="D496" s="3" t="str">
        <f>IFERROR(__xludf.DUMMYFUNCTION("""COMPUTED_VALUE"""),"BSC")</f>
        <v>BSC</v>
      </c>
      <c r="E496" s="3" t="str">
        <f>IFERROR(__xludf.DUMMYFUNCTION("""COMPUTED_VALUE"""),"-")</f>
        <v>-</v>
      </c>
      <c r="F496" s="3" t="str">
        <f>IFERROR(__xludf.DUMMYFUNCTION("""COMPUTED_VALUE"""),"EF BSC 3")</f>
        <v>EF BSC 3</v>
      </c>
      <c r="G496" s="3">
        <f>IFERROR(__xludf.DUMMYFUNCTION("""COMPUTED_VALUE"""),2.0)</f>
        <v>2</v>
      </c>
      <c r="H496" s="3" t="str">
        <f>IFERROR(__xludf.DUMMYFUNCTION("""COMPUTED_VALUE"""),"unit ")</f>
        <v>unit </v>
      </c>
      <c r="I496" s="3" t="str">
        <f>IFERROR(__xludf.DUMMYFUNCTION("""COMPUTED_VALUE"""),"PO Open")</f>
        <v>PO Open</v>
      </c>
      <c r="J496" s="3" t="str">
        <f>IFERROR(__xludf.DUMMYFUNCTION("""COMPUTED_VALUE"""),"121704074 - APPROVED")</f>
        <v>121704074 - APPROVED</v>
      </c>
      <c r="K496" s="3" t="str">
        <f>IFERROR(__xludf.DUMMYFUNCTION("""COMPUTED_VALUE"""),"GL2605043")</f>
        <v>GL2605043</v>
      </c>
    </row>
    <row r="497">
      <c r="A497" s="3" t="str">
        <f>IFERROR(__xludf.DUMMYFUNCTION("""COMPUTED_VALUE"""),"SFHBR0047")</f>
        <v>SFHBR0047</v>
      </c>
      <c r="B497" s="4">
        <f>IFERROR(__xludf.DUMMYFUNCTION("""COMPUTED_VALUE"""),46087.97294246528)</f>
        <v>46087.97294</v>
      </c>
      <c r="C497" s="4">
        <f>IFERROR(__xludf.DUMMYFUNCTION("""COMPUTED_VALUE"""),46090.41727293981)</f>
        <v>46090.41727</v>
      </c>
      <c r="D497" s="3" t="str">
        <f>IFERROR(__xludf.DUMMYFUNCTION("""COMPUTED_VALUE"""),"lantai 2")</f>
        <v>lantai 2</v>
      </c>
      <c r="E497" s="3" t="str">
        <f>IFERROR(__xludf.DUMMYFUNCTION("""COMPUTED_VALUE"""),"-")</f>
        <v>-</v>
      </c>
      <c r="F497" s="3" t="str">
        <f>IFERROR(__xludf.DUMMYFUNCTION("""COMPUTED_VALUE"""),"keramik dinding buat toiltet")</f>
        <v>keramik dinding buat toiltet</v>
      </c>
      <c r="G497" s="3">
        <f>IFERROR(__xludf.DUMMYFUNCTION("""COMPUTED_VALUE"""),4.0)</f>
        <v>4</v>
      </c>
      <c r="H497" s="3" t="str">
        <f>IFERROR(__xludf.DUMMYFUNCTION("""COMPUTED_VALUE"""),"dus")</f>
        <v>dus</v>
      </c>
      <c r="I497" s="3" t="str">
        <f>IFERROR(__xludf.DUMMYFUNCTION("""COMPUTED_VALUE"""),"PR Open")</f>
        <v>PR Open</v>
      </c>
      <c r="J497" s="3" t="str">
        <f>IFERROR(__xludf.DUMMYFUNCTION("""COMPUTED_VALUE"""),"121704550 - APPROVED")</f>
        <v>121704550 - APPROVED</v>
      </c>
      <c r="K497" s="3" t="str">
        <f>IFERROR(__xludf.DUMMYFUNCTION("""COMPUTED_VALUE"""),"GL2609434")</f>
        <v>GL2609434</v>
      </c>
    </row>
    <row r="498">
      <c r="A498" s="3" t="str">
        <f>IFERROR(__xludf.DUMMYFUNCTION("""COMPUTED_VALUE"""),"RIABR0156")</f>
        <v>RIABR0156</v>
      </c>
      <c r="B498" s="4">
        <f>IFERROR(__xludf.DUMMYFUNCTION("""COMPUTED_VALUE"""),46088.302281145836)</f>
        <v>46088.30228</v>
      </c>
      <c r="C498" s="4">
        <f>IFERROR(__xludf.DUMMYFUNCTION("""COMPUTED_VALUE"""),46090.41742607639)</f>
        <v>46090.41743</v>
      </c>
      <c r="D498" s="3" t="str">
        <f>IFERROR(__xludf.DUMMYFUNCTION("""COMPUTED_VALUE"""),"Granulasi")</f>
        <v>Granulasi</v>
      </c>
      <c r="E498" s="3" t="str">
        <f>IFERROR(__xludf.DUMMYFUNCTION("""COMPUTED_VALUE"""),"-")</f>
        <v>-</v>
      </c>
      <c r="F498" s="3" t="str">
        <f>IFERROR(__xludf.DUMMYFUNCTION("""COMPUTED_VALUE"""),"Oli Mesin")</f>
        <v>Oli Mesin</v>
      </c>
      <c r="G498" s="3">
        <f>IFERROR(__xludf.DUMMYFUNCTION("""COMPUTED_VALUE"""),3.0)</f>
        <v>3</v>
      </c>
      <c r="H498" s="3" t="str">
        <f>IFERROR(__xludf.DUMMYFUNCTION("""COMPUTED_VALUE"""),"Ltr")</f>
        <v>Ltr</v>
      </c>
      <c r="I498" s="3" t="str">
        <f>IFERROR(__xludf.DUMMYFUNCTION("""COMPUTED_VALUE"""),"Deliver")</f>
        <v>Deliver</v>
      </c>
      <c r="J498" s="3" t="str">
        <f>IFERROR(__xludf.DUMMYFUNCTION("""COMPUTED_VALUE"""),"121704155 - APPROVED")</f>
        <v>121704155 - APPROVED</v>
      </c>
      <c r="K498" s="3" t="str">
        <f>IFERROR(__xludf.DUMMYFUNCTION("""COMPUTED_VALUE"""),"GL2605327")</f>
        <v>GL2605327</v>
      </c>
    </row>
    <row r="499">
      <c r="A499" s="3" t="str">
        <f>IFERROR(__xludf.DUMMYFUNCTION("""COMPUTED_VALUE"""),"NDSBR0052")</f>
        <v>NDSBR0052</v>
      </c>
      <c r="B499" s="4">
        <f>IFERROR(__xludf.DUMMYFUNCTION("""COMPUTED_VALUE"""),46090.40527920139)</f>
        <v>46090.40528</v>
      </c>
      <c r="C499" s="4">
        <f>IFERROR(__xludf.DUMMYFUNCTION("""COMPUTED_VALUE"""),46093.04980528935)</f>
        <v>46093.04981</v>
      </c>
      <c r="D499" s="3" t="str">
        <f>IFERROR(__xludf.DUMMYFUNCTION("""COMPUTED_VALUE"""),"Tablet Press")</f>
        <v>Tablet Press</v>
      </c>
      <c r="E499" s="3" t="str">
        <f>IFERROR(__xludf.DUMMYFUNCTION("""COMPUTED_VALUE"""),"EJO/2026/03/75")</f>
        <v>EJO/2026/03/75</v>
      </c>
      <c r="F499" s="3" t="str">
        <f>IFERROR(__xludf.DUMMYFUNCTION("""COMPUTED_VALUE"""),"Cover Upper Punch")</f>
        <v>Cover Upper Punch</v>
      </c>
      <c r="G499" s="3">
        <f>IFERROR(__xludf.DUMMYFUNCTION("""COMPUTED_VALUE"""),25.0)</f>
        <v>25</v>
      </c>
      <c r="H499" s="3" t="str">
        <f>IFERROR(__xludf.DUMMYFUNCTION("""COMPUTED_VALUE"""),"pcs")</f>
        <v>pcs</v>
      </c>
      <c r="I499" s="3" t="str">
        <f>IFERROR(__xludf.DUMMYFUNCTION("""COMPUTED_VALUE"""),"PO Open")</f>
        <v>PO Open</v>
      </c>
      <c r="J499" s="3" t="str">
        <f>IFERROR(__xludf.DUMMYFUNCTION("""COMPUTED_VALUE"""),"121704338 - APPROVED")</f>
        <v>121704338 - APPROVED</v>
      </c>
      <c r="K499" s="3" t="str">
        <f>IFERROR(__xludf.DUMMYFUNCTION("""COMPUTED_VALUE"""),"GL2608404")</f>
        <v>GL2608404</v>
      </c>
    </row>
    <row r="500">
      <c r="A500" s="3" t="str">
        <f>IFERROR(__xludf.DUMMYFUNCTION("""COMPUTED_VALUE"""),"ANOBR0052")</f>
        <v>ANOBR0052</v>
      </c>
      <c r="B500" s="4">
        <f>IFERROR(__xludf.DUMMYFUNCTION("""COMPUTED_VALUE"""),46091.617545520836)</f>
        <v>46091.61755</v>
      </c>
      <c r="C500" s="4">
        <f>IFERROR(__xludf.DUMMYFUNCTION("""COMPUTED_VALUE"""),46093.04918052084)</f>
        <v>46093.04918</v>
      </c>
      <c r="D500" s="3" t="str">
        <f>IFERROR(__xludf.DUMMYFUNCTION("""COMPUTED_VALUE"""),"Aerosol generator")</f>
        <v>Aerosol generator</v>
      </c>
      <c r="E500" s="3" t="str">
        <f>IFERROR(__xludf.DUMMYFUNCTION("""COMPUTED_VALUE"""),"EJO/2026/01/137")</f>
        <v>EJO/2026/01/137</v>
      </c>
      <c r="F500" s="3" t="str">
        <f>IFERROR(__xludf.DUMMYFUNCTION("""COMPUTED_VALUE"""),"rivet nut m4")</f>
        <v>rivet nut m4</v>
      </c>
      <c r="G500" s="3">
        <f>IFERROR(__xludf.DUMMYFUNCTION("""COMPUTED_VALUE"""),50.0)</f>
        <v>50</v>
      </c>
      <c r="H500" s="3" t="str">
        <f>IFERROR(__xludf.DUMMYFUNCTION("""COMPUTED_VALUE"""),"pcs")</f>
        <v>pcs</v>
      </c>
      <c r="I500" s="3" t="str">
        <f>IFERROR(__xludf.DUMMYFUNCTION("""COMPUTED_VALUE"""),"Deliver")</f>
        <v>Deliver</v>
      </c>
      <c r="J500" s="3" t="str">
        <f>IFERROR(__xludf.DUMMYFUNCTION("""COMPUTED_VALUE"""),"121704369 - APPROVED")</f>
        <v>121704369 - APPROVED</v>
      </c>
      <c r="K500" s="3" t="str">
        <f>IFERROR(__xludf.DUMMYFUNCTION("""COMPUTED_VALUE"""),"GL2607379")</f>
        <v>GL2607379</v>
      </c>
    </row>
    <row r="501">
      <c r="A501" s="3" t="str">
        <f>IFERROR(__xludf.DUMMYFUNCTION("""COMPUTED_VALUE"""),"ANOBR0053")</f>
        <v>ANOBR0053</v>
      </c>
      <c r="B501" s="4">
        <f>IFERROR(__xludf.DUMMYFUNCTION("""COMPUTED_VALUE"""),46091.63665068287)</f>
        <v>46091.63665</v>
      </c>
      <c r="C501" s="4">
        <f>IFERROR(__xludf.DUMMYFUNCTION("""COMPUTED_VALUE"""),46093.049368368054)</f>
        <v>46093.04937</v>
      </c>
      <c r="D501" s="3" t="str">
        <f>IFERROR(__xludf.DUMMYFUNCTION("""COMPUTED_VALUE"""),"alat las")</f>
        <v>alat las</v>
      </c>
      <c r="E501" s="3" t="str">
        <f>IFERROR(__xludf.DUMMYFUNCTION("""COMPUTED_VALUE"""),"-")</f>
        <v>-</v>
      </c>
      <c r="F501" s="3" t="str">
        <f>IFERROR(__xludf.DUMMYFUNCTION("""COMPUTED_VALUE"""),"kedok las ")</f>
        <v>kedok las </v>
      </c>
      <c r="G501" s="3">
        <f>IFERROR(__xludf.DUMMYFUNCTION("""COMPUTED_VALUE"""),1.0)</f>
        <v>1</v>
      </c>
      <c r="H501" s="3" t="str">
        <f>IFERROR(__xludf.DUMMYFUNCTION("""COMPUTED_VALUE"""),"pcs")</f>
        <v>pcs</v>
      </c>
      <c r="I501" s="3" t="str">
        <f>IFERROR(__xludf.DUMMYFUNCTION("""COMPUTED_VALUE"""),"PR Open")</f>
        <v>PR Open</v>
      </c>
      <c r="J501" s="3" t="str">
        <f>IFERROR(__xludf.DUMMYFUNCTION("""COMPUTED_VALUE"""),"121704552 - APPROVED")</f>
        <v>121704552 - APPROVED</v>
      </c>
      <c r="K501" s="3" t="str">
        <f>IFERROR(__xludf.DUMMYFUNCTION("""COMPUTED_VALUE"""),"GL2609015")</f>
        <v>GL2609015</v>
      </c>
    </row>
    <row r="502">
      <c r="A502" s="3" t="str">
        <f>IFERROR(__xludf.DUMMYFUNCTION("""COMPUTED_VALUE"""),"ANOBR0050")</f>
        <v>ANOBR0050</v>
      </c>
      <c r="B502" s="4">
        <f>IFERROR(__xludf.DUMMYFUNCTION("""COMPUTED_VALUE"""),46091.64007299769)</f>
        <v>46091.64007</v>
      </c>
      <c r="C502" s="4">
        <f>IFERROR(__xludf.DUMMYFUNCTION("""COMPUTED_VALUE"""),46093.04871679398)</f>
        <v>46093.04872</v>
      </c>
      <c r="D502" s="3" t="str">
        <f>IFERROR(__xludf.DUMMYFUNCTION("""COMPUTED_VALUE"""),"Aerosol generator")</f>
        <v>Aerosol generator</v>
      </c>
      <c r="E502" s="3" t="str">
        <f>IFERROR(__xludf.DUMMYFUNCTION("""COMPUTED_VALUE"""),"EJO/2026/01/137")</f>
        <v>EJO/2026/01/137</v>
      </c>
      <c r="F502" s="3" t="str">
        <f>IFERROR(__xludf.DUMMYFUNCTION("""COMPUTED_VALUE"""),"gasket silicon rubber")</f>
        <v>gasket silicon rubber</v>
      </c>
      <c r="G502" s="3">
        <f>IFERROR(__xludf.DUMMYFUNCTION("""COMPUTED_VALUE"""),1.0)</f>
        <v>1</v>
      </c>
      <c r="H502" s="3" t="str">
        <f>IFERROR(__xludf.DUMMYFUNCTION("""COMPUTED_VALUE"""),"roll")</f>
        <v>roll</v>
      </c>
      <c r="I502" s="3" t="str">
        <f>IFERROR(__xludf.DUMMYFUNCTION("""COMPUTED_VALUE"""),"Deliver")</f>
        <v>Deliver</v>
      </c>
      <c r="J502" s="3" t="str">
        <f>IFERROR(__xludf.DUMMYFUNCTION("""COMPUTED_VALUE"""),"121703942 - APPROVED")</f>
        <v>121703942 - APPROVED</v>
      </c>
      <c r="K502" s="3" t="str">
        <f>IFERROR(__xludf.DUMMYFUNCTION("""COMPUTED_VALUE"""),"GL2603465")</f>
        <v>GL2603465</v>
      </c>
    </row>
    <row r="503">
      <c r="A503" s="3" t="str">
        <f>IFERROR(__xludf.DUMMYFUNCTION("""COMPUTED_VALUE"""),"ANOBR0051")</f>
        <v>ANOBR0051</v>
      </c>
      <c r="B503" s="4">
        <f>IFERROR(__xludf.DUMMYFUNCTION("""COMPUTED_VALUE"""),46091.64013233796)</f>
        <v>46091.64013</v>
      </c>
      <c r="C503" s="4">
        <f>IFERROR(__xludf.DUMMYFUNCTION("""COMPUTED_VALUE"""),46093.04898717592)</f>
        <v>46093.04899</v>
      </c>
      <c r="D503" s="3" t="str">
        <f>IFERROR(__xludf.DUMMYFUNCTION("""COMPUTED_VALUE"""),"Aerosol generator")</f>
        <v>Aerosol generator</v>
      </c>
      <c r="E503" s="3" t="str">
        <f>IFERROR(__xludf.DUMMYFUNCTION("""COMPUTED_VALUE"""),"EJO/2026/01/137")</f>
        <v>EJO/2026/01/137</v>
      </c>
      <c r="F503" s="3" t="str">
        <f>IFERROR(__xludf.DUMMYFUNCTION("""COMPUTED_VALUE"""),"gasket silicon rubber")</f>
        <v>gasket silicon rubber</v>
      </c>
      <c r="G503" s="3">
        <f>IFERROR(__xludf.DUMMYFUNCTION("""COMPUTED_VALUE"""),1.0)</f>
        <v>1</v>
      </c>
      <c r="H503" s="3" t="str">
        <f>IFERROR(__xludf.DUMMYFUNCTION("""COMPUTED_VALUE"""),"roll")</f>
        <v>roll</v>
      </c>
      <c r="I503" s="3" t="str">
        <f>IFERROR(__xludf.DUMMYFUNCTION("""COMPUTED_VALUE"""),"Deliver")</f>
        <v>Deliver</v>
      </c>
      <c r="J503" s="3" t="str">
        <f>IFERROR(__xludf.DUMMYFUNCTION("""COMPUTED_VALUE"""),"121704369 - APPROVED")</f>
        <v>121704369 - APPROVED</v>
      </c>
      <c r="K503" s="3" t="str">
        <f>IFERROR(__xludf.DUMMYFUNCTION("""COMPUTED_VALUE"""),"GL2607379")</f>
        <v>GL2607379</v>
      </c>
    </row>
    <row r="504">
      <c r="A504" s="3" t="str">
        <f>IFERROR(__xludf.DUMMYFUNCTION("""COMPUTED_VALUE"""),"ROSBR0090")</f>
        <v>ROSBR0090</v>
      </c>
      <c r="B504" s="4">
        <f>IFERROR(__xludf.DUMMYFUNCTION("""COMPUTED_VALUE"""),46093.64691605324)</f>
        <v>46093.64692</v>
      </c>
      <c r="C504" s="4">
        <f>IFERROR(__xludf.DUMMYFUNCTION("""COMPUTED_VALUE"""),46123.28318854167)</f>
        <v>46123.28319</v>
      </c>
      <c r="D504" s="3" t="str">
        <f>IFERROR(__xludf.DUMMYFUNCTION("""COMPUTED_VALUE"""),"BSC")</f>
        <v>BSC</v>
      </c>
      <c r="E504" s="3" t="str">
        <f>IFERROR(__xludf.DUMMYFUNCTION("""COMPUTED_VALUE"""),"-")</f>
        <v>-</v>
      </c>
      <c r="F504" s="3" t="str">
        <f>IFERROR(__xludf.DUMMYFUNCTION("""COMPUTED_VALUE"""),"Supply motor Blower BSC ")</f>
        <v>Supply motor Blower BSC </v>
      </c>
      <c r="G504" s="3">
        <f>IFERROR(__xludf.DUMMYFUNCTION("""COMPUTED_VALUE"""),1.0)</f>
        <v>1</v>
      </c>
      <c r="H504" s="3" t="str">
        <f>IFERROR(__xludf.DUMMYFUNCTION("""COMPUTED_VALUE"""),"unit ")</f>
        <v>unit </v>
      </c>
      <c r="I504" s="3" t="str">
        <f>IFERROR(__xludf.DUMMYFUNCTION("""COMPUTED_VALUE"""),"PO Open")</f>
        <v>PO Open</v>
      </c>
      <c r="J504" s="3" t="str">
        <f>IFERROR(__xludf.DUMMYFUNCTION("""COMPUTED_VALUE"""),"121704160 - APPROVED")</f>
        <v>121704160 - APPROVED</v>
      </c>
      <c r="K504" s="3" t="str">
        <f>IFERROR(__xludf.DUMMYFUNCTION("""COMPUTED_VALUE"""),"GL2605043")</f>
        <v>GL2605043</v>
      </c>
    </row>
    <row r="505">
      <c r="A505" s="3" t="str">
        <f>IFERROR(__xludf.DUMMYFUNCTION("""COMPUTED_VALUE"""),"KFFBR0009")</f>
        <v>KFFBR0009</v>
      </c>
      <c r="B505" s="4">
        <f>IFERROR(__xludf.DUMMYFUNCTION("""COMPUTED_VALUE"""),46093.65385894676)</f>
        <v>46093.65386</v>
      </c>
      <c r="C505" s="4">
        <f>IFERROR(__xludf.DUMMYFUNCTION("""COMPUTED_VALUE"""),46123.28123481481)</f>
        <v>46123.28123</v>
      </c>
      <c r="D505" s="3" t="str">
        <f>IFERROR(__xludf.DUMMYFUNCTION("""COMPUTED_VALUE"""),"Workshop")</f>
        <v>Workshop</v>
      </c>
      <c r="E505" s="3" t="str">
        <f>IFERROR(__xludf.DUMMYFUNCTION("""COMPUTED_VALUE"""),"EJO/2025/09/131")</f>
        <v>EJO/2025/09/131</v>
      </c>
      <c r="F505" s="3" t="str">
        <f>IFERROR(__xludf.DUMMYFUNCTION("""COMPUTED_VALUE"""),"Tungsten electrode")</f>
        <v>Tungsten electrode</v>
      </c>
      <c r="G505" s="3">
        <f>IFERROR(__xludf.DUMMYFUNCTION("""COMPUTED_VALUE"""),1.0)</f>
        <v>1</v>
      </c>
      <c r="H505" s="3" t="str">
        <f>IFERROR(__xludf.DUMMYFUNCTION("""COMPUTED_VALUE"""),"set")</f>
        <v>set</v>
      </c>
      <c r="I505" s="3" t="str">
        <f>IFERROR(__xludf.DUMMYFUNCTION("""COMPUTED_VALUE"""),"Deliver")</f>
        <v>Deliver</v>
      </c>
      <c r="J505" s="3" t="str">
        <f>IFERROR(__xludf.DUMMYFUNCTION("""COMPUTED_VALUE"""),"121704369 - APPROVED")</f>
        <v>121704369 - APPROVED</v>
      </c>
      <c r="K505" s="3" t="str">
        <f>IFERROR(__xludf.DUMMYFUNCTION("""COMPUTED_VALUE"""),"GL2607379")</f>
        <v>GL2607379</v>
      </c>
    </row>
    <row r="506">
      <c r="A506" s="3" t="str">
        <f>IFERROR(__xludf.DUMMYFUNCTION("""COMPUTED_VALUE"""),"KFFBR0010")</f>
        <v>KFFBR0010</v>
      </c>
      <c r="B506" s="4">
        <f>IFERROR(__xludf.DUMMYFUNCTION("""COMPUTED_VALUE"""),46093.65701800926)</f>
        <v>46093.65702</v>
      </c>
      <c r="C506" s="4">
        <f>IFERROR(__xludf.DUMMYFUNCTION("""COMPUTED_VALUE"""),46123.28157099537)</f>
        <v>46123.28157</v>
      </c>
      <c r="D506" s="3" t="str">
        <f>IFERROR(__xludf.DUMMYFUNCTION("""COMPUTED_VALUE"""),"Workshop")</f>
        <v>Workshop</v>
      </c>
      <c r="E506" s="3" t="str">
        <f>IFERROR(__xludf.DUMMYFUNCTION("""COMPUTED_VALUE"""),"EJO/2025/09/131")</f>
        <v>EJO/2025/09/131</v>
      </c>
      <c r="F506" s="3" t="str">
        <f>IFERROR(__xludf.DUMMYFUNCTION("""COMPUTED_VALUE"""),"consumable welding kit ")</f>
        <v>consumable welding kit </v>
      </c>
      <c r="G506" s="3">
        <f>IFERROR(__xludf.DUMMYFUNCTION("""COMPUTED_VALUE"""),1.0)</f>
        <v>1</v>
      </c>
      <c r="H506" s="3" t="str">
        <f>IFERROR(__xludf.DUMMYFUNCTION("""COMPUTED_VALUE"""),"SET")</f>
        <v>SET</v>
      </c>
      <c r="I506" s="3" t="str">
        <f>IFERROR(__xludf.DUMMYFUNCTION("""COMPUTED_VALUE"""),"Deliver")</f>
        <v>Deliver</v>
      </c>
      <c r="J506" s="3" t="str">
        <f>IFERROR(__xludf.DUMMYFUNCTION("""COMPUTED_VALUE"""),"121704176 - APPROVED")</f>
        <v>121704176 - APPROVED</v>
      </c>
      <c r="K506" s="3" t="str">
        <f>IFERROR(__xludf.DUMMYFUNCTION("""COMPUTED_VALUE"""),"GL2605325")</f>
        <v>GL2605325</v>
      </c>
    </row>
    <row r="507">
      <c r="A507" s="3" t="str">
        <f>IFERROR(__xludf.DUMMYFUNCTION("""COMPUTED_VALUE"""),"SFHBR0048")</f>
        <v>SFHBR0048</v>
      </c>
      <c r="B507" s="4">
        <f>IFERROR(__xludf.DUMMYFUNCTION("""COMPUTED_VALUE"""),46094.916488113435)</f>
        <v>46094.91649</v>
      </c>
      <c r="C507" s="4">
        <f>IFERROR(__xludf.DUMMYFUNCTION("""COMPUTED_VALUE"""),46206.15699193287)</f>
        <v>46206.15699</v>
      </c>
      <c r="D507" s="3" t="str">
        <f>IFERROR(__xludf.DUMMYFUNCTION("""COMPUTED_VALUE"""),"lamtai 2")</f>
        <v>lamtai 2</v>
      </c>
      <c r="E507" s="3" t="str">
        <f>IFERROR(__xludf.DUMMYFUNCTION("""COMPUTED_VALUE"""),"EJO/2026/03/42")</f>
        <v>EJO/2026/03/42</v>
      </c>
      <c r="F507" s="3" t="str">
        <f>IFERROR(__xludf.DUMMYFUNCTION("""COMPUTED_VALUE"""),"RODA CASTER RUBBER HITAM UNTUK TROLY yang ada Rem ny")</f>
        <v>RODA CASTER RUBBER HITAM UNTUK TROLY yang ada Rem ny</v>
      </c>
      <c r="G507" s="3">
        <f>IFERROR(__xludf.DUMMYFUNCTION("""COMPUTED_VALUE"""),2.0)</f>
        <v>2</v>
      </c>
      <c r="H507" s="3" t="str">
        <f>IFERROR(__xludf.DUMMYFUNCTION("""COMPUTED_VALUE"""),"pcs")</f>
        <v>pcs</v>
      </c>
      <c r="I507" s="3" t="str">
        <f>IFERROR(__xludf.DUMMYFUNCTION("""COMPUTED_VALUE"""),"-")</f>
        <v>-</v>
      </c>
      <c r="J507" s="3" t="str">
        <f>IFERROR(__xludf.DUMMYFUNCTION("""COMPUTED_VALUE"""),"-")</f>
        <v>-</v>
      </c>
      <c r="K507" s="3" t="str">
        <f>IFERROR(__xludf.DUMMYFUNCTION("""COMPUTED_VALUE"""),"-")</f>
        <v>-</v>
      </c>
    </row>
    <row r="508">
      <c r="A508" s="3" t="str">
        <f>IFERROR(__xludf.DUMMYFUNCTION("""COMPUTED_VALUE"""),"RIABR0158")</f>
        <v>RIABR0158</v>
      </c>
      <c r="B508" s="4">
        <f>IFERROR(__xludf.DUMMYFUNCTION("""COMPUTED_VALUE"""),46098.82845061343)</f>
        <v>46098.82845</v>
      </c>
      <c r="C508" s="4">
        <f>IFERROR(__xludf.DUMMYFUNCTION("""COMPUTED_VALUE"""),46099.64190097222)</f>
        <v>46099.6419</v>
      </c>
      <c r="D508" s="3" t="str">
        <f>IFERROR(__xludf.DUMMYFUNCTION("""COMPUTED_VALUE"""),"Lift Penumpang")</f>
        <v>Lift Penumpang</v>
      </c>
      <c r="E508" s="3" t="str">
        <f>IFERROR(__xludf.DUMMYFUNCTION("""COMPUTED_VALUE"""),"EJO/2026/01/57")</f>
        <v>EJO/2026/01/57</v>
      </c>
      <c r="F508" s="3" t="str">
        <f>IFERROR(__xludf.DUMMYFUNCTION("""COMPUTED_VALUE"""),"Door Shoe")</f>
        <v>Door Shoe</v>
      </c>
      <c r="G508" s="3">
        <f>IFERROR(__xludf.DUMMYFUNCTION("""COMPUTED_VALUE"""),4.0)</f>
        <v>4</v>
      </c>
      <c r="H508" s="3" t="str">
        <f>IFERROR(__xludf.DUMMYFUNCTION("""COMPUTED_VALUE"""),"Pcs")</f>
        <v>Pcs</v>
      </c>
      <c r="I508" s="3" t="str">
        <f>IFERROR(__xludf.DUMMYFUNCTION("""COMPUTED_VALUE"""),"PR Open")</f>
        <v>PR Open</v>
      </c>
      <c r="J508" s="3" t="str">
        <f>IFERROR(__xludf.DUMMYFUNCTION("""COMPUTED_VALUE"""),"121704366 - CANCELLED")</f>
        <v>121704366 - CANCELLED</v>
      </c>
      <c r="K508" s="3" t="str">
        <f>IFERROR(__xludf.DUMMYFUNCTION("""COMPUTED_VALUE"""),"-")</f>
        <v>-</v>
      </c>
    </row>
    <row r="509">
      <c r="A509" s="3" t="str">
        <f>IFERROR(__xludf.DUMMYFUNCTION("""COMPUTED_VALUE"""),"BDUBR0007")</f>
        <v>BDUBR0007</v>
      </c>
      <c r="B509" s="4">
        <f>IFERROR(__xludf.DUMMYFUNCTION("""COMPUTED_VALUE"""),46108.619852129625)</f>
        <v>46108.61985</v>
      </c>
      <c r="C509" s="4">
        <f>IFERROR(__xludf.DUMMYFUNCTION("""COMPUTED_VALUE"""),46119.26624070603)</f>
        <v>46119.26624</v>
      </c>
      <c r="D509" s="3" t="str">
        <f>IFERROR(__xludf.DUMMYFUNCTION("""COMPUTED_VALUE"""),"MIxing")</f>
        <v>MIxing</v>
      </c>
      <c r="E509" s="3" t="str">
        <f>IFERROR(__xludf.DUMMYFUNCTION("""COMPUTED_VALUE"""),"Stock Habis")</f>
        <v>Stock Habis</v>
      </c>
      <c r="F509" s="3" t="str">
        <f>IFERROR(__xludf.DUMMYFUNCTION("""COMPUTED_VALUE"""),"Power Supply")</f>
        <v>Power Supply</v>
      </c>
      <c r="G509" s="3">
        <f>IFERROR(__xludf.DUMMYFUNCTION("""COMPUTED_VALUE"""),2.0)</f>
        <v>2</v>
      </c>
      <c r="H509" s="3" t="str">
        <f>IFERROR(__xludf.DUMMYFUNCTION("""COMPUTED_VALUE"""),"pcs")</f>
        <v>pcs</v>
      </c>
      <c r="I509" s="3" t="str">
        <f>IFERROR(__xludf.DUMMYFUNCTION("""COMPUTED_VALUE"""),"Deliver")</f>
        <v>Deliver</v>
      </c>
      <c r="J509" s="3" t="str">
        <f>IFERROR(__xludf.DUMMYFUNCTION("""COMPUTED_VALUE"""),"121704104 - APPROVED")</f>
        <v>121704104 - APPROVED</v>
      </c>
      <c r="K509" s="3" t="str">
        <f>IFERROR(__xludf.DUMMYFUNCTION("""COMPUTED_VALUE"""),"GL2604030")</f>
        <v>GL2604030</v>
      </c>
    </row>
    <row r="510">
      <c r="A510" s="3" t="str">
        <f>IFERROR(__xludf.DUMMYFUNCTION("""COMPUTED_VALUE"""),"SFHBR0049")</f>
        <v>SFHBR0049</v>
      </c>
      <c r="B510" s="4">
        <f>IFERROR(__xludf.DUMMYFUNCTION("""COMPUTED_VALUE"""),46108.66456697917)</f>
        <v>46108.66457</v>
      </c>
      <c r="C510" s="4">
        <f>IFERROR(__xludf.DUMMYFUNCTION("""COMPUTED_VALUE"""),46118.61484001157)</f>
        <v>46118.61484</v>
      </c>
      <c r="D510" s="3" t="str">
        <f>IFERROR(__xludf.DUMMYFUNCTION("""COMPUTED_VALUE"""),"lantai 3")</f>
        <v>lantai 3</v>
      </c>
      <c r="E510" s="3" t="str">
        <f>IFERROR(__xludf.DUMMYFUNCTION("""COMPUTED_VALUE"""),"EJO/2026/02/183")</f>
        <v>EJO/2026/02/183</v>
      </c>
      <c r="F510" s="3" t="str">
        <f>IFERROR(__xludf.DUMMYFUNCTION("""COMPUTED_VALUE"""),"Lis Penutup Lubang Bawah Pintu | Door Bottom Seal | Penghalang Debu Angin Serangga | Penutup Celah Anti Kecoa Model Silikon Karet Silikon Kokoh Anti gesek")</f>
        <v>Lis Penutup Lubang Bawah Pintu | Door Bottom Seal | Penghalang Debu Angin Serangga | Penutup Celah Anti Kecoa Model Silikon Karet Silikon Kokoh Anti gesek</v>
      </c>
      <c r="G510" s="3">
        <f>IFERROR(__xludf.DUMMYFUNCTION("""COMPUTED_VALUE"""),3.0)</f>
        <v>3</v>
      </c>
      <c r="H510" s="3" t="str">
        <f>IFERROR(__xludf.DUMMYFUNCTION("""COMPUTED_VALUE"""),"roll")</f>
        <v>roll</v>
      </c>
      <c r="I510" s="3" t="str">
        <f>IFERROR(__xludf.DUMMYFUNCTION("""COMPUTED_VALUE"""),"PR Open")</f>
        <v>PR Open</v>
      </c>
      <c r="J510" s="3" t="str">
        <f>IFERROR(__xludf.DUMMYFUNCTION("""COMPUTED_VALUE"""),"121704550 - APPROVED")</f>
        <v>121704550 - APPROVED</v>
      </c>
      <c r="K510" s="3" t="str">
        <f>IFERROR(__xludf.DUMMYFUNCTION("""COMPUTED_VALUE"""),"GL2609434")</f>
        <v>GL2609434</v>
      </c>
    </row>
    <row r="511">
      <c r="A511" s="3" t="str">
        <f>IFERROR(__xludf.DUMMYFUNCTION("""COMPUTED_VALUE"""),"BDUBR0008")</f>
        <v>BDUBR0008</v>
      </c>
      <c r="B511" s="4">
        <f>IFERROR(__xludf.DUMMYFUNCTION("""COMPUTED_VALUE"""),46111.920992997686)</f>
        <v>46111.92099</v>
      </c>
      <c r="C511" s="4">
        <f>IFERROR(__xludf.DUMMYFUNCTION("""COMPUTED_VALUE"""),46119.28786446759)</f>
        <v>46119.28786</v>
      </c>
      <c r="D511" s="3" t="str">
        <f>IFERROR(__xludf.DUMMYFUNCTION("""COMPUTED_VALUE"""),"FD")</f>
        <v>FD</v>
      </c>
      <c r="E511" s="3" t="str">
        <f>IFERROR(__xludf.DUMMYFUNCTION("""COMPUTED_VALUE"""),"EJO/2025/10/85")</f>
        <v>EJO/2025/10/85</v>
      </c>
      <c r="F511" s="3" t="str">
        <f>IFERROR(__xludf.DUMMYFUNCTION("""COMPUTED_VALUE"""),"Selenoid Valve")</f>
        <v>Selenoid Valve</v>
      </c>
      <c r="G511" s="3">
        <f>IFERROR(__xludf.DUMMYFUNCTION("""COMPUTED_VALUE"""),1.0)</f>
        <v>1</v>
      </c>
      <c r="H511" s="3" t="str">
        <f>IFERROR(__xludf.DUMMYFUNCTION("""COMPUTED_VALUE"""),"pcs")</f>
        <v>pcs</v>
      </c>
      <c r="I511" s="3" t="str">
        <f>IFERROR(__xludf.DUMMYFUNCTION("""COMPUTED_VALUE"""),"PR Open")</f>
        <v>PR Open</v>
      </c>
      <c r="J511" s="3" t="str">
        <f>IFERROR(__xludf.DUMMYFUNCTION("""COMPUTED_VALUE"""),"121704548 - APPROVED")</f>
        <v>121704548 - APPROVED</v>
      </c>
      <c r="K511" s="3" t="str">
        <f>IFERROR(__xludf.DUMMYFUNCTION("""COMPUTED_VALUE"""),"GL2609434")</f>
        <v>GL2609434</v>
      </c>
    </row>
    <row r="512">
      <c r="A512" s="3" t="str">
        <f>IFERROR(__xludf.DUMMYFUNCTION("""COMPUTED_VALUE"""),"ROSBR0091")</f>
        <v>ROSBR0091</v>
      </c>
      <c r="B512" s="4">
        <f>IFERROR(__xludf.DUMMYFUNCTION("""COMPUTED_VALUE"""),46112.15370383102)</f>
        <v>46112.1537</v>
      </c>
      <c r="C512" s="4">
        <f>IFERROR(__xludf.DUMMYFUNCTION("""COMPUTED_VALUE"""),46123.28389076389)</f>
        <v>46123.28389</v>
      </c>
      <c r="D512" s="3" t="str">
        <f>IFERROR(__xludf.DUMMYFUNCTION("""COMPUTED_VALUE"""),"Crabs")</f>
        <v>Crabs</v>
      </c>
      <c r="E512" s="3" t="str">
        <f>IFERROR(__xludf.DUMMYFUNCTION("""COMPUTED_VALUE"""),"EJO/2026/03/88")</f>
        <v>EJO/2026/03/88</v>
      </c>
      <c r="F512" s="3" t="str">
        <f>IFERROR(__xludf.DUMMYFUNCTION("""COMPUTED_VALUE"""),"Mur Hepa Crabs ")</f>
        <v>Mur Hepa Crabs </v>
      </c>
      <c r="G512" s="3">
        <f>IFERROR(__xludf.DUMMYFUNCTION("""COMPUTED_VALUE"""),150.0)</f>
        <v>150</v>
      </c>
      <c r="H512" s="3" t="str">
        <f>IFERROR(__xludf.DUMMYFUNCTION("""COMPUTED_VALUE"""),"pcs ")</f>
        <v>pcs </v>
      </c>
      <c r="I512" s="3" t="str">
        <f>IFERROR(__xludf.DUMMYFUNCTION("""COMPUTED_VALUE"""),"Deliver")</f>
        <v>Deliver</v>
      </c>
      <c r="J512" s="3" t="str">
        <f>IFERROR(__xludf.DUMMYFUNCTION("""COMPUTED_VALUE"""),"121704369 - APPROVED")</f>
        <v>121704369 - APPROVED</v>
      </c>
      <c r="K512" s="3" t="str">
        <f>IFERROR(__xludf.DUMMYFUNCTION("""COMPUTED_VALUE"""),"GL2607378")</f>
        <v>GL2607378</v>
      </c>
    </row>
    <row r="513">
      <c r="A513" s="3" t="str">
        <f>IFERROR(__xludf.DUMMYFUNCTION("""COMPUTED_VALUE"""),"AAABR0034")</f>
        <v>AAABR0034</v>
      </c>
      <c r="B513" s="4">
        <f>IFERROR(__xludf.DUMMYFUNCTION("""COMPUTED_VALUE"""),46113.85694946759)</f>
        <v>46113.85695</v>
      </c>
      <c r="C513" s="4">
        <f>IFERROR(__xludf.DUMMYFUNCTION("""COMPUTED_VALUE"""),46123.270272581016)</f>
        <v>46123.27027</v>
      </c>
      <c r="D513" s="3" t="str">
        <f>IFERROR(__xludf.DUMMYFUNCTION("""COMPUTED_VALUE"""),"Freeze dryer")</f>
        <v>Freeze dryer</v>
      </c>
      <c r="E513" s="3" t="str">
        <f>IFERROR(__xludf.DUMMYFUNCTION("""COMPUTED_VALUE"""),"EJO/2025/07/123")</f>
        <v>EJO/2025/07/123</v>
      </c>
      <c r="F513" s="3" t="str">
        <f>IFERROR(__xludf.DUMMYFUNCTION("""COMPUTED_VALUE"""),"flow switch")</f>
        <v>flow switch</v>
      </c>
      <c r="G513" s="3">
        <f>IFERROR(__xludf.DUMMYFUNCTION("""COMPUTED_VALUE"""),2.0)</f>
        <v>2</v>
      </c>
      <c r="H513" s="3" t="str">
        <f>IFERROR(__xludf.DUMMYFUNCTION("""COMPUTED_VALUE"""),"Pcs")</f>
        <v>Pcs</v>
      </c>
      <c r="I513" s="3" t="str">
        <f>IFERROR(__xludf.DUMMYFUNCTION("""COMPUTED_VALUE"""),"Deliver")</f>
        <v>Deliver</v>
      </c>
      <c r="J513" s="3" t="str">
        <f>IFERROR(__xludf.DUMMYFUNCTION("""COMPUTED_VALUE"""),"121704169 - APPROVED")</f>
        <v>121704169 - APPROVED</v>
      </c>
      <c r="K513" s="3" t="str">
        <f>IFERROR(__xludf.DUMMYFUNCTION("""COMPUTED_VALUE"""),"GL2605328")</f>
        <v>GL2605328</v>
      </c>
    </row>
    <row r="514">
      <c r="A514" s="3" t="str">
        <f>IFERROR(__xludf.DUMMYFUNCTION("""COMPUTED_VALUE"""),"RIABR0159")</f>
        <v>RIABR0159</v>
      </c>
      <c r="B514" s="4">
        <f>IFERROR(__xludf.DUMMYFUNCTION("""COMPUTED_VALUE"""),46114.96688408565)</f>
        <v>46114.96688</v>
      </c>
      <c r="C514" s="4">
        <f>IFERROR(__xludf.DUMMYFUNCTION("""COMPUTED_VALUE"""),46118.61845351852)</f>
        <v>46118.61845</v>
      </c>
      <c r="D514" s="3" t="str">
        <f>IFERROR(__xludf.DUMMYFUNCTION("""COMPUTED_VALUE"""),"WFI SKID")</f>
        <v>WFI SKID</v>
      </c>
      <c r="E514" s="3" t="str">
        <f>IFERROR(__xludf.DUMMYFUNCTION("""COMPUTED_VALUE"""),"EJO/2026/04/016")</f>
        <v>EJO/2026/04/016</v>
      </c>
      <c r="F514" s="3" t="str">
        <f>IFERROR(__xludf.DUMMYFUNCTION("""COMPUTED_VALUE"""),"Jacket Heater")</f>
        <v>Jacket Heater</v>
      </c>
      <c r="G514" s="3">
        <f>IFERROR(__xludf.DUMMYFUNCTION("""COMPUTED_VALUE"""),1.0)</f>
        <v>1</v>
      </c>
      <c r="H514" s="3" t="str">
        <f>IFERROR(__xludf.DUMMYFUNCTION("""COMPUTED_VALUE"""),"Pcs")</f>
        <v>Pcs</v>
      </c>
      <c r="I514" s="3" t="str">
        <f>IFERROR(__xludf.DUMMYFUNCTION("""COMPUTED_VALUE"""),"PO Open")</f>
        <v>PO Open</v>
      </c>
      <c r="J514" s="3" t="str">
        <f>IFERROR(__xludf.DUMMYFUNCTION("""COMPUTED_VALUE"""),"121704460 - APPROVED")</f>
        <v>121704460 - APPROVED</v>
      </c>
      <c r="K514" s="3" t="str">
        <f>IFERROR(__xludf.DUMMYFUNCTION("""COMPUTED_VALUE"""),"GL2608006")</f>
        <v>GL2608006</v>
      </c>
    </row>
    <row r="515">
      <c r="A515" s="3" t="str">
        <f>IFERROR(__xludf.DUMMYFUNCTION("""COMPUTED_VALUE"""),"SFHBR0050")</f>
        <v>SFHBR0050</v>
      </c>
      <c r="B515" s="4">
        <f>IFERROR(__xludf.DUMMYFUNCTION("""COMPUTED_VALUE"""),46126.83815373843)</f>
        <v>46126.83815</v>
      </c>
      <c r="C515" s="4">
        <f>IFERROR(__xludf.DUMMYFUNCTION("""COMPUTED_VALUE"""),46132.73341178241)</f>
        <v>46132.73341</v>
      </c>
      <c r="D515" s="3" t="str">
        <f>IFERROR(__xludf.DUMMYFUNCTION("""COMPUTED_VALUE"""),"lantai 2")</f>
        <v>lantai 2</v>
      </c>
      <c r="E515" s="3" t="str">
        <f>IFERROR(__xludf.DUMMYFUNCTION("""COMPUTED_VALUE"""),"-")</f>
        <v>-</v>
      </c>
      <c r="F515" s="3" t="str">
        <f>IFERROR(__xludf.DUMMYFUNCTION("""COMPUTED_VALUE"""),"MATA BOR NACHI 2M")</f>
        <v>MATA BOR NACHI 2M</v>
      </c>
      <c r="G515" s="3">
        <f>IFERROR(__xludf.DUMMYFUNCTION("""COMPUTED_VALUE"""),2.0)</f>
        <v>2</v>
      </c>
      <c r="H515" s="3" t="str">
        <f>IFERROR(__xludf.DUMMYFUNCTION("""COMPUTED_VALUE"""),"pcs")</f>
        <v>pcs</v>
      </c>
      <c r="I515" s="3" t="str">
        <f>IFERROR(__xludf.DUMMYFUNCTION("""COMPUTED_VALUE"""),"PR Open")</f>
        <v>PR Open</v>
      </c>
      <c r="J515" s="3" t="str">
        <f>IFERROR(__xludf.DUMMYFUNCTION("""COMPUTED_VALUE"""),"121704549 - APPROVED")</f>
        <v>121704549 - APPROVED</v>
      </c>
      <c r="K515" s="3" t="str">
        <f>IFERROR(__xludf.DUMMYFUNCTION("""COMPUTED_VALUE"""),"-")</f>
        <v>-</v>
      </c>
    </row>
    <row r="516">
      <c r="A516" s="3" t="str">
        <f>IFERROR(__xludf.DUMMYFUNCTION("""COMPUTED_VALUE"""),"SFHBR0051")</f>
        <v>SFHBR0051</v>
      </c>
      <c r="B516" s="4">
        <f>IFERROR(__xludf.DUMMYFUNCTION("""COMPUTED_VALUE"""),46126.83976253473)</f>
        <v>46126.83976</v>
      </c>
      <c r="C516" s="4">
        <f>IFERROR(__xludf.DUMMYFUNCTION("""COMPUTED_VALUE"""),46132.733549502314)</f>
        <v>46132.73355</v>
      </c>
      <c r="D516" s="3" t="str">
        <f>IFERROR(__xludf.DUMMYFUNCTION("""COMPUTED_VALUE"""),"lantai 2")</f>
        <v>lantai 2</v>
      </c>
      <c r="E516" s="3" t="str">
        <f>IFERROR(__xludf.DUMMYFUNCTION("""COMPUTED_VALUE"""),"-")</f>
        <v>-</v>
      </c>
      <c r="F516" s="3" t="str">
        <f>IFERROR(__xludf.DUMMYFUNCTION("""COMPUTED_VALUE"""),"MATA BOR NACHI 2.5M")</f>
        <v>MATA BOR NACHI 2.5M</v>
      </c>
      <c r="G516" s="3">
        <f>IFERROR(__xludf.DUMMYFUNCTION("""COMPUTED_VALUE"""),2.0)</f>
        <v>2</v>
      </c>
      <c r="H516" s="3" t="str">
        <f>IFERROR(__xludf.DUMMYFUNCTION("""COMPUTED_VALUE"""),"pcs")</f>
        <v>pcs</v>
      </c>
      <c r="I516" s="3" t="str">
        <f>IFERROR(__xludf.DUMMYFUNCTION("""COMPUTED_VALUE"""),"PR Open")</f>
        <v>PR Open</v>
      </c>
      <c r="J516" s="3" t="str">
        <f>IFERROR(__xludf.DUMMYFUNCTION("""COMPUTED_VALUE"""),"121704549 - APPROVED")</f>
        <v>121704549 - APPROVED</v>
      </c>
      <c r="K516" s="3" t="str">
        <f>IFERROR(__xludf.DUMMYFUNCTION("""COMPUTED_VALUE"""),"-")</f>
        <v>-</v>
      </c>
    </row>
    <row r="517">
      <c r="A517" s="3" t="str">
        <f>IFERROR(__xludf.DUMMYFUNCTION("""COMPUTED_VALUE"""),"SFHBR0052")</f>
        <v>SFHBR0052</v>
      </c>
      <c r="B517" s="4">
        <f>IFERROR(__xludf.DUMMYFUNCTION("""COMPUTED_VALUE"""),46126.84115641203)</f>
        <v>46126.84116</v>
      </c>
      <c r="C517" s="4">
        <f>IFERROR(__xludf.DUMMYFUNCTION("""COMPUTED_VALUE"""),46132.733688518514)</f>
        <v>46132.73369</v>
      </c>
      <c r="D517" s="3" t="str">
        <f>IFERROR(__xludf.DUMMYFUNCTION("""COMPUTED_VALUE"""),"lantai 2")</f>
        <v>lantai 2</v>
      </c>
      <c r="E517" s="3" t="str">
        <f>IFERROR(__xludf.DUMMYFUNCTION("""COMPUTED_VALUE"""),"-")</f>
        <v>-</v>
      </c>
      <c r="F517" s="3" t="str">
        <f>IFERROR(__xludf.DUMMYFUNCTION("""COMPUTED_VALUE"""),"MATA BOR NACHI 3MMATA BOR NACHI 3M")</f>
        <v>MATA BOR NACHI 3MMATA BOR NACHI 3M</v>
      </c>
      <c r="G517" s="3">
        <f>IFERROR(__xludf.DUMMYFUNCTION("""COMPUTED_VALUE"""),2.0)</f>
        <v>2</v>
      </c>
      <c r="H517" s="3" t="str">
        <f>IFERROR(__xludf.DUMMYFUNCTION("""COMPUTED_VALUE"""),"pcs")</f>
        <v>pcs</v>
      </c>
      <c r="I517" s="3" t="str">
        <f>IFERROR(__xludf.DUMMYFUNCTION("""COMPUTED_VALUE"""),"PR Open")</f>
        <v>PR Open</v>
      </c>
      <c r="J517" s="3" t="str">
        <f>IFERROR(__xludf.DUMMYFUNCTION("""COMPUTED_VALUE"""),"121704549 - APPROVED")</f>
        <v>121704549 - APPROVED</v>
      </c>
      <c r="K517" s="3" t="str">
        <f>IFERROR(__xludf.DUMMYFUNCTION("""COMPUTED_VALUE"""),"-")</f>
        <v>-</v>
      </c>
    </row>
    <row r="518">
      <c r="A518" s="3" t="str">
        <f>IFERROR(__xludf.DUMMYFUNCTION("""COMPUTED_VALUE"""),"SFHBR0053")</f>
        <v>SFHBR0053</v>
      </c>
      <c r="B518" s="4">
        <f>IFERROR(__xludf.DUMMYFUNCTION("""COMPUTED_VALUE"""),46126.842008078704)</f>
        <v>46126.84201</v>
      </c>
      <c r="C518" s="4">
        <f>IFERROR(__xludf.DUMMYFUNCTION("""COMPUTED_VALUE"""),46132.73503203704)</f>
        <v>46132.73503</v>
      </c>
      <c r="D518" s="3" t="str">
        <f>IFERROR(__xludf.DUMMYFUNCTION("""COMPUTED_VALUE"""),"lantai 2")</f>
        <v>lantai 2</v>
      </c>
      <c r="E518" s="3" t="str">
        <f>IFERROR(__xludf.DUMMYFUNCTION("""COMPUTED_VALUE"""),"-")</f>
        <v>-</v>
      </c>
      <c r="F518" s="3" t="str">
        <f>IFERROR(__xludf.DUMMYFUNCTION("""COMPUTED_VALUE"""),"MATA BOR NACHI 3.5M")</f>
        <v>MATA BOR NACHI 3.5M</v>
      </c>
      <c r="G518" s="3">
        <f>IFERROR(__xludf.DUMMYFUNCTION("""COMPUTED_VALUE"""),2.0)</f>
        <v>2</v>
      </c>
      <c r="H518" s="3" t="str">
        <f>IFERROR(__xludf.DUMMYFUNCTION("""COMPUTED_VALUE"""),"pcs")</f>
        <v>pcs</v>
      </c>
      <c r="I518" s="3" t="str">
        <f>IFERROR(__xludf.DUMMYFUNCTION("""COMPUTED_VALUE"""),"PR Open")</f>
        <v>PR Open</v>
      </c>
      <c r="J518" s="3" t="str">
        <f>IFERROR(__xludf.DUMMYFUNCTION("""COMPUTED_VALUE"""),"121704549 - APPROVED")</f>
        <v>121704549 - APPROVED</v>
      </c>
      <c r="K518" s="3" t="str">
        <f>IFERROR(__xludf.DUMMYFUNCTION("""COMPUTED_VALUE"""),"-")</f>
        <v>-</v>
      </c>
    </row>
    <row r="519">
      <c r="A519" s="3" t="str">
        <f>IFERROR(__xludf.DUMMYFUNCTION("""COMPUTED_VALUE"""),"SFHBR0054")</f>
        <v>SFHBR0054</v>
      </c>
      <c r="B519" s="4">
        <f>IFERROR(__xludf.DUMMYFUNCTION("""COMPUTED_VALUE"""),46126.84346361111)</f>
        <v>46126.84346</v>
      </c>
      <c r="C519" s="4">
        <f>IFERROR(__xludf.DUMMYFUNCTION("""COMPUTED_VALUE"""),46132.7351778125)</f>
        <v>46132.73518</v>
      </c>
      <c r="D519" s="3" t="str">
        <f>IFERROR(__xludf.DUMMYFUNCTION("""COMPUTED_VALUE"""),"lantai 2")</f>
        <v>lantai 2</v>
      </c>
      <c r="E519" s="3" t="str">
        <f>IFERROR(__xludf.DUMMYFUNCTION("""COMPUTED_VALUE"""),"-")</f>
        <v>-</v>
      </c>
      <c r="F519" s="3" t="str">
        <f>IFERROR(__xludf.DUMMYFUNCTION("""COMPUTED_VALUE"""),"MATA BOR NACHI 4 M")</f>
        <v>MATA BOR NACHI 4 M</v>
      </c>
      <c r="G519" s="3">
        <f>IFERROR(__xludf.DUMMYFUNCTION("""COMPUTED_VALUE"""),2.0)</f>
        <v>2</v>
      </c>
      <c r="H519" s="3" t="str">
        <f>IFERROR(__xludf.DUMMYFUNCTION("""COMPUTED_VALUE"""),"pcs")</f>
        <v>pcs</v>
      </c>
      <c r="I519" s="3" t="str">
        <f>IFERROR(__xludf.DUMMYFUNCTION("""COMPUTED_VALUE"""),"PR Open")</f>
        <v>PR Open</v>
      </c>
      <c r="J519" s="3" t="str">
        <f>IFERROR(__xludf.DUMMYFUNCTION("""COMPUTED_VALUE"""),"121704549 - APPROVED")</f>
        <v>121704549 - APPROVED</v>
      </c>
      <c r="K519" s="3" t="str">
        <f>IFERROR(__xludf.DUMMYFUNCTION("""COMPUTED_VALUE"""),"-")</f>
        <v>-</v>
      </c>
    </row>
    <row r="520">
      <c r="A520" s="3" t="str">
        <f>IFERROR(__xludf.DUMMYFUNCTION("""COMPUTED_VALUE"""),"SFHBR0055")</f>
        <v>SFHBR0055</v>
      </c>
      <c r="B520" s="4">
        <f>IFERROR(__xludf.DUMMYFUNCTION("""COMPUTED_VALUE"""),46126.84493501158)</f>
        <v>46126.84494</v>
      </c>
      <c r="C520" s="4">
        <f>IFERROR(__xludf.DUMMYFUNCTION("""COMPUTED_VALUE"""),46132.73529541667)</f>
        <v>46132.7353</v>
      </c>
      <c r="D520" s="3" t="str">
        <f>IFERROR(__xludf.DUMMYFUNCTION("""COMPUTED_VALUE"""),"lantai 2")</f>
        <v>lantai 2</v>
      </c>
      <c r="E520" s="3" t="str">
        <f>IFERROR(__xludf.DUMMYFUNCTION("""COMPUTED_VALUE"""),"-")</f>
        <v>-</v>
      </c>
      <c r="F520" s="3" t="str">
        <f>IFERROR(__xludf.DUMMYFUNCTION("""COMPUTED_VALUE"""),"MATA BOR NACHI 4.5 M")</f>
        <v>MATA BOR NACHI 4.5 M</v>
      </c>
      <c r="G520" s="3">
        <f>IFERROR(__xludf.DUMMYFUNCTION("""COMPUTED_VALUE"""),2.0)</f>
        <v>2</v>
      </c>
      <c r="H520" s="3" t="str">
        <f>IFERROR(__xludf.DUMMYFUNCTION("""COMPUTED_VALUE"""),"pcs")</f>
        <v>pcs</v>
      </c>
      <c r="I520" s="3" t="str">
        <f>IFERROR(__xludf.DUMMYFUNCTION("""COMPUTED_VALUE"""),"Proses PR")</f>
        <v>Proses PR</v>
      </c>
      <c r="J520" s="3" t="str">
        <f>IFERROR(__xludf.DUMMYFUNCTION("""COMPUTED_VALUE"""),"-")</f>
        <v>-</v>
      </c>
      <c r="K520" s="3" t="str">
        <f>IFERROR(__xludf.DUMMYFUNCTION("""COMPUTED_VALUE"""),"-")</f>
        <v>-</v>
      </c>
    </row>
    <row r="521">
      <c r="A521" s="3" t="str">
        <f>IFERROR(__xludf.DUMMYFUNCTION("""COMPUTED_VALUE"""),"SFHBR0056")</f>
        <v>SFHBR0056</v>
      </c>
      <c r="B521" s="4">
        <f>IFERROR(__xludf.DUMMYFUNCTION("""COMPUTED_VALUE"""),46126.8487374537)</f>
        <v>46126.84874</v>
      </c>
      <c r="C521" s="4">
        <f>IFERROR(__xludf.DUMMYFUNCTION("""COMPUTED_VALUE"""),46132.735425300925)</f>
        <v>46132.73543</v>
      </c>
      <c r="D521" s="3" t="str">
        <f>IFERROR(__xludf.DUMMYFUNCTION("""COMPUTED_VALUE"""),"lantai 2")</f>
        <v>lantai 2</v>
      </c>
      <c r="E521" s="3" t="str">
        <f>IFERROR(__xludf.DUMMYFUNCTION("""COMPUTED_VALUE"""),"-")</f>
        <v>-</v>
      </c>
      <c r="F521" s="3" t="str">
        <f>IFERROR(__xludf.DUMMYFUNCTION("""COMPUTED_VALUE"""),"Kunci sok sock T 13 mm TEKIRO")</f>
        <v>Kunci sok sock T 13 mm TEKIRO</v>
      </c>
      <c r="G521" s="3">
        <f>IFERROR(__xludf.DUMMYFUNCTION("""COMPUTED_VALUE"""),2.0)</f>
        <v>2</v>
      </c>
      <c r="H521" s="3" t="str">
        <f>IFERROR(__xludf.DUMMYFUNCTION("""COMPUTED_VALUE"""),"Pcs")</f>
        <v>Pcs</v>
      </c>
      <c r="I521" s="3" t="str">
        <f>IFERROR(__xludf.DUMMYFUNCTION("""COMPUTED_VALUE"""),"PR Open")</f>
        <v>PR Open</v>
      </c>
      <c r="J521" s="3" t="str">
        <f>IFERROR(__xludf.DUMMYFUNCTION("""COMPUTED_VALUE"""),"121704550 - APPROVED")</f>
        <v>121704550 - APPROVED</v>
      </c>
      <c r="K521" s="3" t="str">
        <f>IFERROR(__xludf.DUMMYFUNCTION("""COMPUTED_VALUE"""),"GL2609434")</f>
        <v>GL2609434</v>
      </c>
    </row>
    <row r="522">
      <c r="A522" s="3" t="str">
        <f>IFERROR(__xludf.DUMMYFUNCTION("""COMPUTED_VALUE"""),"SFHBR0057")</f>
        <v>SFHBR0057</v>
      </c>
      <c r="B522" s="4">
        <f>IFERROR(__xludf.DUMMYFUNCTION("""COMPUTED_VALUE"""),46126.851919375)</f>
        <v>46126.85192</v>
      </c>
      <c r="C522" s="4">
        <f>IFERROR(__xludf.DUMMYFUNCTION("""COMPUTED_VALUE"""),46132.736649942126)</f>
        <v>46132.73665</v>
      </c>
      <c r="D522" s="3" t="str">
        <f>IFERROR(__xludf.DUMMYFUNCTION("""COMPUTED_VALUE"""),"lantai 2")</f>
        <v>lantai 2</v>
      </c>
      <c r="E522" s="3" t="str">
        <f>IFERROR(__xludf.DUMMYFUNCTION("""COMPUTED_VALUE"""),"-")</f>
        <v>-</v>
      </c>
      <c r="F522" s="3" t="str">
        <f>IFERROR(__xludf.DUMMYFUNCTION("""COMPUTED_VALUE"""),"Mata obeng magnet + + PH1 X 65 mm TEKIRO SD-DE 0958")</f>
        <v>Mata obeng magnet + + PH1 X 65 mm TEKIRO SD-DE 0958</v>
      </c>
      <c r="G522" s="3">
        <f>IFERROR(__xludf.DUMMYFUNCTION("""COMPUTED_VALUE"""),1.0)</f>
        <v>1</v>
      </c>
      <c r="H522" s="3" t="str">
        <f>IFERROR(__xludf.DUMMYFUNCTION("""COMPUTED_VALUE"""),"set")</f>
        <v>set</v>
      </c>
      <c r="I522" s="3" t="str">
        <f>IFERROR(__xludf.DUMMYFUNCTION("""COMPUTED_VALUE"""),"Proses PR")</f>
        <v>Proses PR</v>
      </c>
      <c r="J522" s="3" t="str">
        <f>IFERROR(__xludf.DUMMYFUNCTION("""COMPUTED_VALUE"""),"-")</f>
        <v>-</v>
      </c>
      <c r="K522" s="3" t="str">
        <f>IFERROR(__xludf.DUMMYFUNCTION("""COMPUTED_VALUE"""),"-")</f>
        <v>-</v>
      </c>
    </row>
    <row r="523">
      <c r="A523" s="3" t="str">
        <f>IFERROR(__xludf.DUMMYFUNCTION("""COMPUTED_VALUE"""),"NDSBR0056")</f>
        <v>NDSBR0056</v>
      </c>
      <c r="B523" s="4">
        <f>IFERROR(__xludf.DUMMYFUNCTION("""COMPUTED_VALUE"""),46132.92472952546)</f>
        <v>46132.92473</v>
      </c>
      <c r="C523" s="4">
        <f>IFERROR(__xludf.DUMMYFUNCTION("""COMPUTED_VALUE"""),46135.080772395835)</f>
        <v>46135.08077</v>
      </c>
      <c r="D523" s="3" t="str">
        <f>IFERROR(__xludf.DUMMYFUNCTION("""COMPUTED_VALUE"""),"Blister")</f>
        <v>Blister</v>
      </c>
      <c r="E523" s="3" t="str">
        <f>IFERROR(__xludf.DUMMYFUNCTION("""COMPUTED_VALUE"""),"-")</f>
        <v>-</v>
      </c>
      <c r="F523" s="3" t="str">
        <f>IFERROR(__xludf.DUMMYFUNCTION("""COMPUTED_VALUE"""),"Radius gauge")</f>
        <v>Radius gauge</v>
      </c>
      <c r="G523" s="3">
        <f>IFERROR(__xludf.DUMMYFUNCTION("""COMPUTED_VALUE"""),1.0)</f>
        <v>1</v>
      </c>
      <c r="H523" s="3" t="str">
        <f>IFERROR(__xludf.DUMMYFUNCTION("""COMPUTED_VALUE"""),"pcs")</f>
        <v>pcs</v>
      </c>
      <c r="I523" s="3" t="str">
        <f>IFERROR(__xludf.DUMMYFUNCTION("""COMPUTED_VALUE"""),"Approval Item Code")</f>
        <v>Approval Item Code</v>
      </c>
      <c r="J523" s="3" t="str">
        <f>IFERROR(__xludf.DUMMYFUNCTION("""COMPUTED_VALUE"""),"-")</f>
        <v>-</v>
      </c>
      <c r="K523" s="3" t="str">
        <f>IFERROR(__xludf.DUMMYFUNCTION("""COMPUTED_VALUE"""),"-")</f>
        <v>-</v>
      </c>
    </row>
    <row r="524">
      <c r="A524" s="3" t="str">
        <f>IFERROR(__xludf.DUMMYFUNCTION("""COMPUTED_VALUE"""),"ROSBR0093")</f>
        <v>ROSBR0093</v>
      </c>
      <c r="B524" s="4">
        <f>IFERROR(__xludf.DUMMYFUNCTION("""COMPUTED_VALUE"""),46133.18225657407)</f>
        <v>46133.18226</v>
      </c>
      <c r="C524" s="4">
        <f>IFERROR(__xludf.DUMMYFUNCTION("""COMPUTED_VALUE"""),46135.08984373843)</f>
        <v>46135.08984</v>
      </c>
      <c r="D524" s="3" t="str">
        <f>IFERROR(__xludf.DUMMYFUNCTION("""COMPUTED_VALUE"""),"autoclave")</f>
        <v>autoclave</v>
      </c>
      <c r="E524" s="3" t="str">
        <f>IFERROR(__xludf.DUMMYFUNCTION("""COMPUTED_VALUE"""),"-")</f>
        <v>-</v>
      </c>
      <c r="F524" s="3" t="str">
        <f>IFERROR(__xludf.DUMMYFUNCTION("""COMPUTED_VALUE"""),"valve modulating")</f>
        <v>valve modulating</v>
      </c>
      <c r="G524" s="3">
        <f>IFERROR(__xludf.DUMMYFUNCTION("""COMPUTED_VALUE"""),5.0)</f>
        <v>5</v>
      </c>
      <c r="H524" s="3" t="str">
        <f>IFERROR(__xludf.DUMMYFUNCTION("""COMPUTED_VALUE"""),"Pcs")</f>
        <v>Pcs</v>
      </c>
      <c r="I524" s="3" t="str">
        <f>IFERROR(__xludf.DUMMYFUNCTION("""COMPUTED_VALUE"""),"PO Open")</f>
        <v>PO Open</v>
      </c>
      <c r="J524" s="3" t="str">
        <f>IFERROR(__xludf.DUMMYFUNCTION("""COMPUTED_VALUE"""),"121704393 - APPROVED")</f>
        <v>121704393 - APPROVED</v>
      </c>
      <c r="K524" s="3" t="str">
        <f>IFERROR(__xludf.DUMMYFUNCTION("""COMPUTED_VALUE"""),"GL2607373")</f>
        <v>GL2607373</v>
      </c>
    </row>
    <row r="525">
      <c r="A525" s="3" t="str">
        <f>IFERROR(__xludf.DUMMYFUNCTION("""COMPUTED_VALUE"""),"NDSBR0057")</f>
        <v>NDSBR0057</v>
      </c>
      <c r="B525" s="4">
        <f>IFERROR(__xludf.DUMMYFUNCTION("""COMPUTED_VALUE"""),46133.828057175924)</f>
        <v>46133.82806</v>
      </c>
      <c r="C525" s="4">
        <f>IFERROR(__xludf.DUMMYFUNCTION("""COMPUTED_VALUE"""),46135.081882199076)</f>
        <v>46135.08188</v>
      </c>
      <c r="D525" s="3" t="str">
        <f>IFERROR(__xludf.DUMMYFUNCTION("""COMPUTED_VALUE"""),"Isolator Mixing")</f>
        <v>Isolator Mixing</v>
      </c>
      <c r="E525" s="3" t="str">
        <f>IFERROR(__xludf.DUMMYFUNCTION("""COMPUTED_VALUE"""),"-")</f>
        <v>-</v>
      </c>
      <c r="F525" s="3" t="str">
        <f>IFERROR(__xludf.DUMMYFUNCTION("""COMPUTED_VALUE"""),"Penguncu alpaport")</f>
        <v>Penguncu alpaport</v>
      </c>
      <c r="G525" s="3">
        <f>IFERROR(__xludf.DUMMYFUNCTION("""COMPUTED_VALUE"""),2.0)</f>
        <v>2</v>
      </c>
      <c r="H525" s="3" t="str">
        <f>IFERROR(__xludf.DUMMYFUNCTION("""COMPUTED_VALUE"""),"pcs")</f>
        <v>pcs</v>
      </c>
      <c r="I525" s="3" t="str">
        <f>IFERROR(__xludf.DUMMYFUNCTION("""COMPUTED_VALUE"""),"PR Open")</f>
        <v>PR Open</v>
      </c>
      <c r="J525" s="3" t="str">
        <f>IFERROR(__xludf.DUMMYFUNCTION("""COMPUTED_VALUE"""),"121704546 - APPROVED")</f>
        <v>121704546 - APPROVED</v>
      </c>
      <c r="K525" s="3" t="str">
        <f>IFERROR(__xludf.DUMMYFUNCTION("""COMPUTED_VALUE"""),"-")</f>
        <v>-</v>
      </c>
    </row>
    <row r="526">
      <c r="A526" s="3" t="str">
        <f>IFERROR(__xludf.DUMMYFUNCTION("""COMPUTED_VALUE"""),"ANOBR0055")</f>
        <v>ANOBR0055</v>
      </c>
      <c r="B526" s="4">
        <f>IFERROR(__xludf.DUMMYFUNCTION("""COMPUTED_VALUE"""),46133.94747658565)</f>
        <v>46133.94748</v>
      </c>
      <c r="C526" s="4">
        <f>IFERROR(__xludf.DUMMYFUNCTION("""COMPUTED_VALUE"""),46206.91692177083)</f>
        <v>46206.91692</v>
      </c>
      <c r="D526" s="3" t="str">
        <f>IFERROR(__xludf.DUMMYFUNCTION("""COMPUTED_VALUE"""),"workshop")</f>
        <v>workshop</v>
      </c>
      <c r="E526" s="3" t="str">
        <f>IFERROR(__xludf.DUMMYFUNCTION("""COMPUTED_VALUE"""),"-")</f>
        <v>-</v>
      </c>
      <c r="F526" s="3" t="str">
        <f>IFERROR(__xludf.DUMMYFUNCTION("""COMPUTED_VALUE"""),"bor healty BOSCH")</f>
        <v>bor healty BOSCH</v>
      </c>
      <c r="G526" s="3">
        <f>IFERROR(__xludf.DUMMYFUNCTION("""COMPUTED_VALUE"""),1.0)</f>
        <v>1</v>
      </c>
      <c r="H526" s="3" t="str">
        <f>IFERROR(__xludf.DUMMYFUNCTION("""COMPUTED_VALUE"""),"UNIT")</f>
        <v>UNIT</v>
      </c>
      <c r="I526" s="3" t="str">
        <f>IFERROR(__xludf.DUMMYFUNCTION("""COMPUTED_VALUE"""),"-")</f>
        <v>-</v>
      </c>
      <c r="J526" s="3" t="str">
        <f>IFERROR(__xludf.DUMMYFUNCTION("""COMPUTED_VALUE"""),"-")</f>
        <v>-</v>
      </c>
      <c r="K526" s="3" t="str">
        <f>IFERROR(__xludf.DUMMYFUNCTION("""COMPUTED_VALUE"""),"-")</f>
        <v>-</v>
      </c>
    </row>
    <row r="527">
      <c r="A527" s="3" t="str">
        <f>IFERROR(__xludf.DUMMYFUNCTION("""COMPUTED_VALUE"""),"ANOBR0056")</f>
        <v>ANOBR0056</v>
      </c>
      <c r="B527" s="4">
        <f>IFERROR(__xludf.DUMMYFUNCTION("""COMPUTED_VALUE"""),46133.94879188657)</f>
        <v>46133.94879</v>
      </c>
      <c r="C527" s="4">
        <f>IFERROR(__xludf.DUMMYFUNCTION("""COMPUTED_VALUE"""),46206.91730274306)</f>
        <v>46206.9173</v>
      </c>
      <c r="D527" s="3" t="str">
        <f>IFERROR(__xludf.DUMMYFUNCTION("""COMPUTED_VALUE"""),"workshop")</f>
        <v>workshop</v>
      </c>
      <c r="E527" s="3" t="str">
        <f>IFERROR(__xludf.DUMMYFUNCTION("""COMPUTED_VALUE"""),"-")</f>
        <v>-</v>
      </c>
      <c r="F527" s="3" t="str">
        <f>IFERROR(__xludf.DUMMYFUNCTION("""COMPUTED_VALUE"""),"mata bor healty")</f>
        <v>mata bor healty</v>
      </c>
      <c r="G527" s="3">
        <f>IFERROR(__xludf.DUMMYFUNCTION("""COMPUTED_VALUE"""),1.0)</f>
        <v>1</v>
      </c>
      <c r="H527" s="3" t="str">
        <f>IFERROR(__xludf.DUMMYFUNCTION("""COMPUTED_VALUE"""),"SET")</f>
        <v>SET</v>
      </c>
      <c r="I527" s="3" t="str">
        <f>IFERROR(__xludf.DUMMYFUNCTION("""COMPUTED_VALUE"""),"-")</f>
        <v>-</v>
      </c>
      <c r="J527" s="3" t="str">
        <f>IFERROR(__xludf.DUMMYFUNCTION("""COMPUTED_VALUE"""),"-")</f>
        <v>-</v>
      </c>
      <c r="K527" s="3" t="str">
        <f>IFERROR(__xludf.DUMMYFUNCTION("""COMPUTED_VALUE"""),"-")</f>
        <v>-</v>
      </c>
    </row>
    <row r="528">
      <c r="A528" s="3" t="str">
        <f>IFERROR(__xludf.DUMMYFUNCTION("""COMPUTED_VALUE"""),"ANOBR0057")</f>
        <v>ANOBR0057</v>
      </c>
      <c r="B528" s="4">
        <f>IFERROR(__xludf.DUMMYFUNCTION("""COMPUTED_VALUE"""),46133.953969594906)</f>
        <v>46133.95397</v>
      </c>
      <c r="C528" s="4">
        <f>IFERROR(__xludf.DUMMYFUNCTION("""COMPUTED_VALUE"""),46206.91754916667)</f>
        <v>46206.91755</v>
      </c>
      <c r="D528" s="3" t="str">
        <f>IFERROR(__xludf.DUMMYFUNCTION("""COMPUTED_VALUE"""),"workshop")</f>
        <v>workshop</v>
      </c>
      <c r="E528" s="3" t="str">
        <f>IFERROR(__xludf.DUMMYFUNCTION("""COMPUTED_VALUE"""),"-")</f>
        <v>-</v>
      </c>
      <c r="F528" s="3" t="str">
        <f>IFERROR(__xludf.DUMMYFUNCTION("""COMPUTED_VALUE"""),"mata hole saw ")</f>
        <v>mata hole saw </v>
      </c>
      <c r="G528" s="3">
        <f>IFERROR(__xludf.DUMMYFUNCTION("""COMPUTED_VALUE"""),1.0)</f>
        <v>1</v>
      </c>
      <c r="H528" s="3" t="str">
        <f>IFERROR(__xludf.DUMMYFUNCTION("""COMPUTED_VALUE"""),"SET")</f>
        <v>SET</v>
      </c>
      <c r="I528" s="3" t="str">
        <f>IFERROR(__xludf.DUMMYFUNCTION("""COMPUTED_VALUE"""),"-")</f>
        <v>-</v>
      </c>
      <c r="J528" s="3" t="str">
        <f>IFERROR(__xludf.DUMMYFUNCTION("""COMPUTED_VALUE"""),"-")</f>
        <v>-</v>
      </c>
      <c r="K528" s="3" t="str">
        <f>IFERROR(__xludf.DUMMYFUNCTION("""COMPUTED_VALUE"""),"-")</f>
        <v>-</v>
      </c>
    </row>
    <row r="529">
      <c r="A529" s="3" t="str">
        <f>IFERROR(__xludf.DUMMYFUNCTION("""COMPUTED_VALUE"""),"NDSBR0058")</f>
        <v>NDSBR0058</v>
      </c>
      <c r="B529" s="4">
        <f>IFERROR(__xludf.DUMMYFUNCTION("""COMPUTED_VALUE"""),46133.95766962963)</f>
        <v>46133.95767</v>
      </c>
      <c r="C529" s="4">
        <f>IFERROR(__xludf.DUMMYFUNCTION("""COMPUTED_VALUE"""),46135.08239275463)</f>
        <v>46135.08239</v>
      </c>
      <c r="D529" s="3" t="str">
        <f>IFERROR(__xludf.DUMMYFUNCTION("""COMPUTED_VALUE"""),"Washing Lance")</f>
        <v>Washing Lance</v>
      </c>
      <c r="E529" s="3" t="str">
        <f>IFERROR(__xludf.DUMMYFUNCTION("""COMPUTED_VALUE"""),"EJO/2026/04/029")</f>
        <v>EJO/2026/04/029</v>
      </c>
      <c r="F529" s="3" t="str">
        <f>IFERROR(__xludf.DUMMYFUNCTION("""COMPUTED_VALUE"""),"As Washing Lance")</f>
        <v>As Washing Lance</v>
      </c>
      <c r="G529" s="3">
        <f>IFERROR(__xludf.DUMMYFUNCTION("""COMPUTED_VALUE"""),1.0)</f>
        <v>1</v>
      </c>
      <c r="H529" s="3" t="str">
        <f>IFERROR(__xludf.DUMMYFUNCTION("""COMPUTED_VALUE"""),"PCS")</f>
        <v>PCS</v>
      </c>
      <c r="I529" s="3" t="str">
        <f>IFERROR(__xludf.DUMMYFUNCTION("""COMPUTED_VALUE"""),"PO Open")</f>
        <v>PO Open</v>
      </c>
      <c r="J529" s="3" t="str">
        <f>IFERROR(__xludf.DUMMYFUNCTION("""COMPUTED_VALUE"""),"121704211 - APPROVED")</f>
        <v>121704211 - APPROVED</v>
      </c>
      <c r="K529" s="3" t="str">
        <f>IFERROR(__xludf.DUMMYFUNCTION("""COMPUTED_VALUE"""),"GL2605041")</f>
        <v>GL2605041</v>
      </c>
    </row>
    <row r="530">
      <c r="A530" s="3" t="str">
        <f>IFERROR(__xludf.DUMMYFUNCTION("""COMPUTED_VALUE"""),"SFHBR0058")</f>
        <v>SFHBR0058</v>
      </c>
      <c r="B530" s="4">
        <f>IFERROR(__xludf.DUMMYFUNCTION("""COMPUTED_VALUE"""),46134.607008402774)</f>
        <v>46134.60701</v>
      </c>
      <c r="C530" s="4">
        <f>IFERROR(__xludf.DUMMYFUNCTION("""COMPUTED_VALUE"""),46135.60084159722)</f>
        <v>46135.60084</v>
      </c>
      <c r="D530" s="3" t="str">
        <f>IFERROR(__xludf.DUMMYFUNCTION("""COMPUTED_VALUE"""),"lantai 2")</f>
        <v>lantai 2</v>
      </c>
      <c r="E530" s="3" t="str">
        <f>IFERROR(__xludf.DUMMYFUNCTION("""COMPUTED_VALUE"""),"-")</f>
        <v>-</v>
      </c>
      <c r="F530" s="3" t="str">
        <f>IFERROR(__xludf.DUMMYFUNCTION("""COMPUTED_VALUE"""),"Lem Putih Fox Biru Murah")</f>
        <v>Lem Putih Fox Biru Murah</v>
      </c>
      <c r="G530" s="3">
        <f>IFERROR(__xludf.DUMMYFUNCTION("""COMPUTED_VALUE"""),10.0)</f>
        <v>10</v>
      </c>
      <c r="H530" s="3" t="str">
        <f>IFERROR(__xludf.DUMMYFUNCTION("""COMPUTED_VALUE"""),"kg")</f>
        <v>kg</v>
      </c>
      <c r="I530" s="3" t="str">
        <f>IFERROR(__xludf.DUMMYFUNCTION("""COMPUTED_VALUE"""),"Deliver")</f>
        <v>Deliver</v>
      </c>
      <c r="J530" s="3" t="str">
        <f>IFERROR(__xludf.DUMMYFUNCTION("""COMPUTED_VALUE"""),"121704502 - APPROVED")</f>
        <v>121704502 - APPROVED</v>
      </c>
      <c r="K530" s="3" t="str">
        <f>IFERROR(__xludf.DUMMYFUNCTION("""COMPUTED_VALUE"""),"GL2608035")</f>
        <v>GL2608035</v>
      </c>
    </row>
    <row r="531">
      <c r="A531" s="3" t="str">
        <f>IFERROR(__xludf.DUMMYFUNCTION("""COMPUTED_VALUE"""),"RIABR0161")</f>
        <v>RIABR0161</v>
      </c>
      <c r="B531" s="4">
        <f>IFERROR(__xludf.DUMMYFUNCTION("""COMPUTED_VALUE"""),46136.66087574074)</f>
        <v>46136.66088</v>
      </c>
      <c r="C531" s="4">
        <f>IFERROR(__xludf.DUMMYFUNCTION("""COMPUTED_VALUE"""),46146.66698888889)</f>
        <v>46146.66699</v>
      </c>
      <c r="D531" s="3" t="str">
        <f>IFERROR(__xludf.DUMMYFUNCTION("""COMPUTED_VALUE"""),"N2 Generator")</f>
        <v>N2 Generator</v>
      </c>
      <c r="E531" s="3" t="str">
        <f>IFERROR(__xludf.DUMMYFUNCTION("""COMPUTED_VALUE"""),"EJO/2026/02/14")</f>
        <v>EJO/2026/02/14</v>
      </c>
      <c r="F531" s="3" t="str">
        <f>IFERROR(__xludf.DUMMYFUNCTION("""COMPUTED_VALUE"""),"Display Flow Meter")</f>
        <v>Display Flow Meter</v>
      </c>
      <c r="G531" s="3">
        <f>IFERROR(__xludf.DUMMYFUNCTION("""COMPUTED_VALUE"""),1.0)</f>
        <v>1</v>
      </c>
      <c r="H531" s="3" t="str">
        <f>IFERROR(__xludf.DUMMYFUNCTION("""COMPUTED_VALUE"""),"Pcs")</f>
        <v>Pcs</v>
      </c>
      <c r="I531" s="3" t="str">
        <f>IFERROR(__xludf.DUMMYFUNCTION("""COMPUTED_VALUE"""),"Approval Item Code")</f>
        <v>Approval Item Code</v>
      </c>
      <c r="J531" s="3" t="str">
        <f>IFERROR(__xludf.DUMMYFUNCTION("""COMPUTED_VALUE"""),"-")</f>
        <v>-</v>
      </c>
      <c r="K531" s="3" t="str">
        <f>IFERROR(__xludf.DUMMYFUNCTION("""COMPUTED_VALUE"""),"-")</f>
        <v>-</v>
      </c>
    </row>
    <row r="532">
      <c r="A532" s="3" t="str">
        <f>IFERROR(__xludf.DUMMYFUNCTION("""COMPUTED_VALUE"""),"RIABR0162")</f>
        <v>RIABR0162</v>
      </c>
      <c r="B532" s="4">
        <f>IFERROR(__xludf.DUMMYFUNCTION("""COMPUTED_VALUE"""),46136.66168539351)</f>
        <v>46136.66169</v>
      </c>
      <c r="C532" s="4">
        <f>IFERROR(__xludf.DUMMYFUNCTION("""COMPUTED_VALUE"""),46146.66718857639)</f>
        <v>46146.66719</v>
      </c>
      <c r="D532" s="3" t="str">
        <f>IFERROR(__xludf.DUMMYFUNCTION("""COMPUTED_VALUE"""),"N2 Generator")</f>
        <v>N2 Generator</v>
      </c>
      <c r="E532" s="3" t="str">
        <f>IFERROR(__xludf.DUMMYFUNCTION("""COMPUTED_VALUE"""),"EJO/2026/02/14")</f>
        <v>EJO/2026/02/14</v>
      </c>
      <c r="F532" s="3" t="str">
        <f>IFERROR(__xludf.DUMMYFUNCTION("""COMPUTED_VALUE"""),"Sensor Dew Poin")</f>
        <v>Sensor Dew Poin</v>
      </c>
      <c r="G532" s="3">
        <f>IFERROR(__xludf.DUMMYFUNCTION("""COMPUTED_VALUE"""),1.0)</f>
        <v>1</v>
      </c>
      <c r="H532" s="3" t="str">
        <f>IFERROR(__xludf.DUMMYFUNCTION("""COMPUTED_VALUE"""),"Pcs")</f>
        <v>Pcs</v>
      </c>
      <c r="I532" s="3" t="str">
        <f>IFERROR(__xludf.DUMMYFUNCTION("""COMPUTED_VALUE"""),"Approval Item Code")</f>
        <v>Approval Item Code</v>
      </c>
      <c r="J532" s="3" t="str">
        <f>IFERROR(__xludf.DUMMYFUNCTION("""COMPUTED_VALUE"""),"-")</f>
        <v>-</v>
      </c>
      <c r="K532" s="3" t="str">
        <f>IFERROR(__xludf.DUMMYFUNCTION("""COMPUTED_VALUE"""),"-")</f>
        <v>-</v>
      </c>
    </row>
    <row r="533">
      <c r="A533" s="3" t="str">
        <f>IFERROR(__xludf.DUMMYFUNCTION("""COMPUTED_VALUE"""),"RIABR0163")</f>
        <v>RIABR0163</v>
      </c>
      <c r="B533" s="4">
        <f>IFERROR(__xludf.DUMMYFUNCTION("""COMPUTED_VALUE"""),46136.6622946412)</f>
        <v>46136.66229</v>
      </c>
      <c r="C533" s="4">
        <f>IFERROR(__xludf.DUMMYFUNCTION("""COMPUTED_VALUE"""),46146.66731351852)</f>
        <v>46146.66731</v>
      </c>
      <c r="D533" s="3" t="str">
        <f>IFERROR(__xludf.DUMMYFUNCTION("""COMPUTED_VALUE"""),"N2 Generator")</f>
        <v>N2 Generator</v>
      </c>
      <c r="E533" s="3" t="str">
        <f>IFERROR(__xludf.DUMMYFUNCTION("""COMPUTED_VALUE"""),"EJO/2026/02/14")</f>
        <v>EJO/2026/02/14</v>
      </c>
      <c r="F533" s="3" t="str">
        <f>IFERROR(__xludf.DUMMYFUNCTION("""COMPUTED_VALUE"""),"Sensor Flow Meter")</f>
        <v>Sensor Flow Meter</v>
      </c>
      <c r="G533" s="3">
        <f>IFERROR(__xludf.DUMMYFUNCTION("""COMPUTED_VALUE"""),1.0)</f>
        <v>1</v>
      </c>
      <c r="H533" s="3" t="str">
        <f>IFERROR(__xludf.DUMMYFUNCTION("""COMPUTED_VALUE"""),"Pcs")</f>
        <v>Pcs</v>
      </c>
      <c r="I533" s="3" t="str">
        <f>IFERROR(__xludf.DUMMYFUNCTION("""COMPUTED_VALUE"""),"Approval Item Code")</f>
        <v>Approval Item Code</v>
      </c>
      <c r="J533" s="3" t="str">
        <f>IFERROR(__xludf.DUMMYFUNCTION("""COMPUTED_VALUE"""),"-")</f>
        <v>-</v>
      </c>
      <c r="K533" s="3" t="str">
        <f>IFERROR(__xludf.DUMMYFUNCTION("""COMPUTED_VALUE"""),"-")</f>
        <v>-</v>
      </c>
    </row>
    <row r="534">
      <c r="A534" s="3" t="str">
        <f>IFERROR(__xludf.DUMMYFUNCTION("""COMPUTED_VALUE"""),"SFHBR0036")</f>
        <v>SFHBR0036</v>
      </c>
      <c r="B534" s="4">
        <f>IFERROR(__xludf.DUMMYFUNCTION("""COMPUTED_VALUE"""),46141.56928729166)</f>
        <v>46141.56929</v>
      </c>
      <c r="C534" s="4">
        <f>IFERROR(__xludf.DUMMYFUNCTION("""COMPUTED_VALUE"""),45944.984285659724)</f>
        <v>45944.98429</v>
      </c>
      <c r="D534" s="3" t="str">
        <f>IFERROR(__xludf.DUMMYFUNCTION("""COMPUTED_VALUE"""),"Lantai 3")</f>
        <v>Lantai 3</v>
      </c>
      <c r="E534" s="3" t="str">
        <f>IFERROR(__xludf.DUMMYFUNCTION("""COMPUTED_VALUE"""),"EJO/2025/138")</f>
        <v>EJO/2025/138</v>
      </c>
      <c r="F534" s="3" t="str">
        <f>IFERROR(__xludf.DUMMYFUNCTION("""COMPUTED_VALUE"""),"Kunci Tusuk Kunci Laci Kunci Tekan Push Lock HUBEN HL 105")</f>
        <v>Kunci Tusuk Kunci Laci Kunci Tekan Push Lock HUBEN HL 105</v>
      </c>
      <c r="G534" s="3">
        <f>IFERROR(__xludf.DUMMYFUNCTION("""COMPUTED_VALUE"""),5.0)</f>
        <v>5</v>
      </c>
      <c r="H534" s="3" t="str">
        <f>IFERROR(__xludf.DUMMYFUNCTION("""COMPUTED_VALUE"""),"pcs")</f>
        <v>pcs</v>
      </c>
      <c r="I534" s="3" t="str">
        <f>IFERROR(__xludf.DUMMYFUNCTION("""COMPUTED_VALUE"""),"Deliver")</f>
        <v>Deliver</v>
      </c>
      <c r="J534" s="3" t="str">
        <f>IFERROR(__xludf.DUMMYFUNCTION("""COMPUTED_VALUE"""),"121703829 - APPROVED")</f>
        <v>121703829 - APPROVED</v>
      </c>
      <c r="K534" s="3" t="str">
        <f>IFERROR(__xludf.DUMMYFUNCTION("""COMPUTED_VALUE"""),"GL2603431")</f>
        <v>GL2603431</v>
      </c>
    </row>
    <row r="535">
      <c r="A535" s="3" t="str">
        <f>IFERROR(__xludf.DUMMYFUNCTION("""COMPUTED_VALUE"""),"RIABR0166")</f>
        <v>RIABR0166</v>
      </c>
      <c r="B535" s="4">
        <f>IFERROR(__xludf.DUMMYFUNCTION("""COMPUTED_VALUE"""),46142.63764476852)</f>
        <v>46142.63764</v>
      </c>
      <c r="C535" s="4">
        <f>IFERROR(__xludf.DUMMYFUNCTION("""COMPUTED_VALUE"""),46146.66774188657)</f>
        <v>46146.66774</v>
      </c>
      <c r="D535" s="3" t="str">
        <f>IFERROR(__xludf.DUMMYFUNCTION("""COMPUTED_VALUE"""),"PWG")</f>
        <v>PWG</v>
      </c>
      <c r="E535" s="3" t="str">
        <f>IFERROR(__xludf.DUMMYFUNCTION("""COMPUTED_VALUE"""),"-")</f>
        <v>-</v>
      </c>
      <c r="F535" s="3" t="str">
        <f>IFERROR(__xludf.DUMMYFUNCTION("""COMPUTED_VALUE"""),"Solenoid Valve")</f>
        <v>Solenoid Valve</v>
      </c>
      <c r="G535" s="3">
        <f>IFERROR(__xludf.DUMMYFUNCTION("""COMPUTED_VALUE"""),5.0)</f>
        <v>5</v>
      </c>
      <c r="H535" s="3" t="str">
        <f>IFERROR(__xludf.DUMMYFUNCTION("""COMPUTED_VALUE"""),"Pcs")</f>
        <v>Pcs</v>
      </c>
      <c r="I535" s="3" t="str">
        <f>IFERROR(__xludf.DUMMYFUNCTION("""COMPUTED_VALUE"""),"Proses PR")</f>
        <v>Proses PR</v>
      </c>
      <c r="J535" s="3" t="str">
        <f>IFERROR(__xludf.DUMMYFUNCTION("""COMPUTED_VALUE"""),"-")</f>
        <v>-</v>
      </c>
      <c r="K535" s="3" t="str">
        <f>IFERROR(__xludf.DUMMYFUNCTION("""COMPUTED_VALUE"""),"-")</f>
        <v>-</v>
      </c>
    </row>
    <row r="536">
      <c r="A536" s="3" t="str">
        <f>IFERROR(__xludf.DUMMYFUNCTION("""COMPUTED_VALUE"""),"BDUBR0009")</f>
        <v>BDUBR0009</v>
      </c>
      <c r="B536" s="4">
        <f>IFERROR(__xludf.DUMMYFUNCTION("""COMPUTED_VALUE"""),46147.90925295139)</f>
        <v>46147.90925</v>
      </c>
      <c r="C536" s="4">
        <f>IFERROR(__xludf.DUMMYFUNCTION("""COMPUTED_VALUE"""),46153.713102245376)</f>
        <v>46153.7131</v>
      </c>
      <c r="D536" s="3" t="str">
        <f>IFERROR(__xludf.DUMMYFUNCTION("""COMPUTED_VALUE"""),"PC FTIR")</f>
        <v>PC FTIR</v>
      </c>
      <c r="E536" s="3" t="str">
        <f>IFERROR(__xludf.DUMMYFUNCTION("""COMPUTED_VALUE"""),"-")</f>
        <v>-</v>
      </c>
      <c r="F536" s="3" t="str">
        <f>IFERROR(__xludf.DUMMYFUNCTION("""COMPUTED_VALUE"""),"Harddisk Internal")</f>
        <v>Harddisk Internal</v>
      </c>
      <c r="G536" s="3">
        <f>IFERROR(__xludf.DUMMYFUNCTION("""COMPUTED_VALUE"""),3.0)</f>
        <v>3</v>
      </c>
      <c r="H536" s="3" t="str">
        <f>IFERROR(__xludf.DUMMYFUNCTION("""COMPUTED_VALUE"""),"Pcs")</f>
        <v>Pcs</v>
      </c>
      <c r="I536" s="3" t="str">
        <f>IFERROR(__xludf.DUMMYFUNCTION("""COMPUTED_VALUE"""),"Approval Item Code")</f>
        <v>Approval Item Code</v>
      </c>
      <c r="J536" s="3" t="str">
        <f>IFERROR(__xludf.DUMMYFUNCTION("""COMPUTED_VALUE"""),"-")</f>
        <v>-</v>
      </c>
      <c r="K536" s="3" t="str">
        <f>IFERROR(__xludf.DUMMYFUNCTION("""COMPUTED_VALUE"""),"-")</f>
        <v>-</v>
      </c>
    </row>
    <row r="537">
      <c r="A537" s="3" t="str">
        <f>IFERROR(__xludf.DUMMYFUNCTION("""COMPUTED_VALUE"""),"BDUBR0010")</f>
        <v>BDUBR0010</v>
      </c>
      <c r="B537" s="4">
        <f>IFERROR(__xludf.DUMMYFUNCTION("""COMPUTED_VALUE"""),46147.90927142361)</f>
        <v>46147.90927</v>
      </c>
      <c r="C537" s="4">
        <f>IFERROR(__xludf.DUMMYFUNCTION("""COMPUTED_VALUE"""),46153.712589097224)</f>
        <v>46153.71259</v>
      </c>
      <c r="D537" s="3" t="str">
        <f>IFERROR(__xludf.DUMMYFUNCTION("""COMPUTED_VALUE"""),"RAM PC FTIR")</f>
        <v>RAM PC FTIR</v>
      </c>
      <c r="E537" s="3" t="str">
        <f>IFERROR(__xludf.DUMMYFUNCTION("""COMPUTED_VALUE"""),"-")</f>
        <v>-</v>
      </c>
      <c r="F537" s="3" t="str">
        <f>IFERROR(__xludf.DUMMYFUNCTION("""COMPUTED_VALUE"""),"RAM DDR3")</f>
        <v>RAM DDR3</v>
      </c>
      <c r="G537" s="3">
        <f>IFERROR(__xludf.DUMMYFUNCTION("""COMPUTED_VALUE"""),1.0)</f>
        <v>1</v>
      </c>
      <c r="H537" s="3" t="str">
        <f>IFERROR(__xludf.DUMMYFUNCTION("""COMPUTED_VALUE"""),"pcs")</f>
        <v>pcs</v>
      </c>
      <c r="I537" s="3" t="str">
        <f>IFERROR(__xludf.DUMMYFUNCTION("""COMPUTED_VALUE"""),"Approval Item Code")</f>
        <v>Approval Item Code</v>
      </c>
      <c r="J537" s="3" t="str">
        <f>IFERROR(__xludf.DUMMYFUNCTION("""COMPUTED_VALUE"""),"-")</f>
        <v>-</v>
      </c>
      <c r="K537" s="3" t="str">
        <f>IFERROR(__xludf.DUMMYFUNCTION("""COMPUTED_VALUE"""),"-")</f>
        <v>-</v>
      </c>
    </row>
    <row r="538">
      <c r="A538" s="3" t="str">
        <f>IFERROR(__xludf.DUMMYFUNCTION("""COMPUTED_VALUE"""),"BDUBR0011")</f>
        <v>BDUBR0011</v>
      </c>
      <c r="B538" s="4">
        <f>IFERROR(__xludf.DUMMYFUNCTION("""COMPUTED_VALUE"""),46147.90958394676)</f>
        <v>46147.90958</v>
      </c>
      <c r="C538" s="4">
        <f>IFERROR(__xludf.DUMMYFUNCTION("""COMPUTED_VALUE"""),46153.71242498842)</f>
        <v>46153.71242</v>
      </c>
      <c r="D538" s="3" t="str">
        <f>IFERROR(__xludf.DUMMYFUNCTION("""COMPUTED_VALUE"""),"General")</f>
        <v>General</v>
      </c>
      <c r="E538" s="3" t="str">
        <f>IFERROR(__xludf.DUMMYFUNCTION("""COMPUTED_VALUE"""),"-")</f>
        <v>-</v>
      </c>
      <c r="F538" s="3" t="str">
        <f>IFERROR(__xludf.DUMMYFUNCTION("""COMPUTED_VALUE"""),"Mata bor d2,5")</f>
        <v>Mata bor d2,5</v>
      </c>
      <c r="G538" s="3">
        <f>IFERROR(__xludf.DUMMYFUNCTION("""COMPUTED_VALUE"""),10.0)</f>
        <v>10</v>
      </c>
      <c r="H538" s="3" t="str">
        <f>IFERROR(__xludf.DUMMYFUNCTION("""COMPUTED_VALUE"""),"pcs")</f>
        <v>pcs</v>
      </c>
      <c r="I538" s="3" t="str">
        <f>IFERROR(__xludf.DUMMYFUNCTION("""COMPUTED_VALUE"""),"Approval Item Code")</f>
        <v>Approval Item Code</v>
      </c>
      <c r="J538" s="3" t="str">
        <f>IFERROR(__xludf.DUMMYFUNCTION("""COMPUTED_VALUE"""),"-")</f>
        <v>-</v>
      </c>
      <c r="K538" s="3" t="str">
        <f>IFERROR(__xludf.DUMMYFUNCTION("""COMPUTED_VALUE"""),"-")</f>
        <v>-</v>
      </c>
    </row>
    <row r="539">
      <c r="A539" s="3" t="str">
        <f>IFERROR(__xludf.DUMMYFUNCTION("""COMPUTED_VALUE"""),"BDUBR0012")</f>
        <v>BDUBR0012</v>
      </c>
      <c r="B539" s="4">
        <f>IFERROR(__xludf.DUMMYFUNCTION("""COMPUTED_VALUE"""),46147.911208935184)</f>
        <v>46147.91121</v>
      </c>
      <c r="C539" s="4">
        <f>IFERROR(__xludf.DUMMYFUNCTION("""COMPUTED_VALUE"""),46153.69671701389)</f>
        <v>46153.69672</v>
      </c>
      <c r="D539" s="3" t="str">
        <f>IFERROR(__xludf.DUMMYFUNCTION("""COMPUTED_VALUE"""),"General")</f>
        <v>General</v>
      </c>
      <c r="E539" s="3" t="str">
        <f>IFERROR(__xludf.DUMMYFUNCTION("""COMPUTED_VALUE"""),"-")</f>
        <v>-</v>
      </c>
      <c r="F539" s="3" t="str">
        <f>IFERROR(__xludf.DUMMYFUNCTION("""COMPUTED_VALUE"""),"Mata bor d3")</f>
        <v>Mata bor d3</v>
      </c>
      <c r="G539" s="3">
        <f>IFERROR(__xludf.DUMMYFUNCTION("""COMPUTED_VALUE"""),10.0)</f>
        <v>10</v>
      </c>
      <c r="H539" s="3" t="str">
        <f>IFERROR(__xludf.DUMMYFUNCTION("""COMPUTED_VALUE"""),"pcs")</f>
        <v>pcs</v>
      </c>
      <c r="I539" s="3" t="str">
        <f>IFERROR(__xludf.DUMMYFUNCTION("""COMPUTED_VALUE"""),"Approval Item Code")</f>
        <v>Approval Item Code</v>
      </c>
      <c r="J539" s="3" t="str">
        <f>IFERROR(__xludf.DUMMYFUNCTION("""COMPUTED_VALUE"""),"-")</f>
        <v>-</v>
      </c>
      <c r="K539" s="3" t="str">
        <f>IFERROR(__xludf.DUMMYFUNCTION("""COMPUTED_VALUE"""),"-")</f>
        <v>-</v>
      </c>
    </row>
    <row r="540">
      <c r="A540" s="3" t="str">
        <f>IFERROR(__xludf.DUMMYFUNCTION("""COMPUTED_VALUE"""),"BDUBR0013")</f>
        <v>BDUBR0013</v>
      </c>
      <c r="B540" s="4">
        <f>IFERROR(__xludf.DUMMYFUNCTION("""COMPUTED_VALUE"""),46147.9124525463)</f>
        <v>46147.91245</v>
      </c>
      <c r="C540" s="4">
        <f>IFERROR(__xludf.DUMMYFUNCTION("""COMPUTED_VALUE"""),46153.6965899537)</f>
        <v>46153.69659</v>
      </c>
      <c r="D540" s="3" t="str">
        <f>IFERROR(__xludf.DUMMYFUNCTION("""COMPUTED_VALUE"""),"General")</f>
        <v>General</v>
      </c>
      <c r="E540" s="3" t="str">
        <f>IFERROR(__xludf.DUMMYFUNCTION("""COMPUTED_VALUE"""),"-")</f>
        <v>-</v>
      </c>
      <c r="F540" s="3" t="str">
        <f>IFERROR(__xludf.DUMMYFUNCTION("""COMPUTED_VALUE"""),"Mata bor d3,5")</f>
        <v>Mata bor d3,5</v>
      </c>
      <c r="G540" s="3">
        <f>IFERROR(__xludf.DUMMYFUNCTION("""COMPUTED_VALUE"""),10.0)</f>
        <v>10</v>
      </c>
      <c r="H540" s="3" t="str">
        <f>IFERROR(__xludf.DUMMYFUNCTION("""COMPUTED_VALUE"""),"pcs")</f>
        <v>pcs</v>
      </c>
      <c r="I540" s="3" t="str">
        <f>IFERROR(__xludf.DUMMYFUNCTION("""COMPUTED_VALUE"""),"Proses PR")</f>
        <v>Proses PR</v>
      </c>
      <c r="J540" s="3" t="str">
        <f>IFERROR(__xludf.DUMMYFUNCTION("""COMPUTED_VALUE"""),"-")</f>
        <v>-</v>
      </c>
      <c r="K540" s="3" t="str">
        <f>IFERROR(__xludf.DUMMYFUNCTION("""COMPUTED_VALUE"""),"-")</f>
        <v>-</v>
      </c>
    </row>
    <row r="541">
      <c r="A541" s="3" t="str">
        <f>IFERROR(__xludf.DUMMYFUNCTION("""COMPUTED_VALUE"""),"BDUBR0014")</f>
        <v>BDUBR0014</v>
      </c>
      <c r="B541" s="4">
        <f>IFERROR(__xludf.DUMMYFUNCTION("""COMPUTED_VALUE"""),46147.91601097223)</f>
        <v>46147.91601</v>
      </c>
      <c r="C541" s="4">
        <f>IFERROR(__xludf.DUMMYFUNCTION("""COMPUTED_VALUE"""),46153.69642881944)</f>
        <v>46153.69643</v>
      </c>
      <c r="D541" s="3" t="str">
        <f>IFERROR(__xludf.DUMMYFUNCTION("""COMPUTED_VALUE"""),"General")</f>
        <v>General</v>
      </c>
      <c r="E541" s="3" t="str">
        <f>IFERROR(__xludf.DUMMYFUNCTION("""COMPUTED_VALUE"""),"-")</f>
        <v>-</v>
      </c>
      <c r="F541" s="3" t="str">
        <f>IFERROR(__xludf.DUMMYFUNCTION("""COMPUTED_VALUE"""),"Mata bor d4")</f>
        <v>Mata bor d4</v>
      </c>
      <c r="G541" s="3">
        <f>IFERROR(__xludf.DUMMYFUNCTION("""COMPUTED_VALUE"""),10.0)</f>
        <v>10</v>
      </c>
      <c r="H541" s="3" t="str">
        <f>IFERROR(__xludf.DUMMYFUNCTION("""COMPUTED_VALUE"""),"pcs")</f>
        <v>pcs</v>
      </c>
      <c r="I541" s="3" t="str">
        <f>IFERROR(__xludf.DUMMYFUNCTION("""COMPUTED_VALUE"""),"Proses PR")</f>
        <v>Proses PR</v>
      </c>
      <c r="J541" s="3" t="str">
        <f>IFERROR(__xludf.DUMMYFUNCTION("""COMPUTED_VALUE"""),"-")</f>
        <v>-</v>
      </c>
      <c r="K541" s="3" t="str">
        <f>IFERROR(__xludf.DUMMYFUNCTION("""COMPUTED_VALUE"""),"-")</f>
        <v>-</v>
      </c>
    </row>
    <row r="542">
      <c r="A542" s="3" t="str">
        <f>IFERROR(__xludf.DUMMYFUNCTION("""COMPUTED_VALUE"""),"BDUBR0015")</f>
        <v>BDUBR0015</v>
      </c>
      <c r="B542" s="4">
        <f>IFERROR(__xludf.DUMMYFUNCTION("""COMPUTED_VALUE"""),46147.916031562505)</f>
        <v>46147.91603</v>
      </c>
      <c r="C542" s="4">
        <f>IFERROR(__xludf.DUMMYFUNCTION("""COMPUTED_VALUE"""),46153.69618439815)</f>
        <v>46153.69618</v>
      </c>
      <c r="D542" s="3" t="str">
        <f>IFERROR(__xludf.DUMMYFUNCTION("""COMPUTED_VALUE"""),"General")</f>
        <v>General</v>
      </c>
      <c r="E542" s="3" t="str">
        <f>IFERROR(__xludf.DUMMYFUNCTION("""COMPUTED_VALUE"""),"-")</f>
        <v>-</v>
      </c>
      <c r="F542" s="3" t="str">
        <f>IFERROR(__xludf.DUMMYFUNCTION("""COMPUTED_VALUE"""),"Mata bor d4,5")</f>
        <v>Mata bor d4,5</v>
      </c>
      <c r="G542" s="3">
        <f>IFERROR(__xludf.DUMMYFUNCTION("""COMPUTED_VALUE"""),10.0)</f>
        <v>10</v>
      </c>
      <c r="H542" s="3" t="str">
        <f>IFERROR(__xludf.DUMMYFUNCTION("""COMPUTED_VALUE"""),"pcs")</f>
        <v>pcs</v>
      </c>
      <c r="I542" s="3" t="str">
        <f>IFERROR(__xludf.DUMMYFUNCTION("""COMPUTED_VALUE"""),"Proses PR")</f>
        <v>Proses PR</v>
      </c>
      <c r="J542" s="3" t="str">
        <f>IFERROR(__xludf.DUMMYFUNCTION("""COMPUTED_VALUE"""),"-")</f>
        <v>-</v>
      </c>
      <c r="K542" s="3" t="str">
        <f>IFERROR(__xludf.DUMMYFUNCTION("""COMPUTED_VALUE"""),"-")</f>
        <v>-</v>
      </c>
    </row>
    <row r="543">
      <c r="A543" s="3" t="str">
        <f>IFERROR(__xludf.DUMMYFUNCTION("""COMPUTED_VALUE"""),"BDUBR0016")</f>
        <v>BDUBR0016</v>
      </c>
      <c r="B543" s="4">
        <f>IFERROR(__xludf.DUMMYFUNCTION("""COMPUTED_VALUE"""),46147.9160383912)</f>
        <v>46147.91604</v>
      </c>
      <c r="C543" s="4">
        <f>IFERROR(__xludf.DUMMYFUNCTION("""COMPUTED_VALUE"""),46153.696018437506)</f>
        <v>46153.69602</v>
      </c>
      <c r="D543" s="3" t="str">
        <f>IFERROR(__xludf.DUMMYFUNCTION("""COMPUTED_VALUE"""),"General")</f>
        <v>General</v>
      </c>
      <c r="E543" s="3" t="str">
        <f>IFERROR(__xludf.DUMMYFUNCTION("""COMPUTED_VALUE"""),"-")</f>
        <v>-</v>
      </c>
      <c r="F543" s="3" t="str">
        <f>IFERROR(__xludf.DUMMYFUNCTION("""COMPUTED_VALUE"""),"Mata bor d5")</f>
        <v>Mata bor d5</v>
      </c>
      <c r="G543" s="3">
        <f>IFERROR(__xludf.DUMMYFUNCTION("""COMPUTED_VALUE"""),10.0)</f>
        <v>10</v>
      </c>
      <c r="H543" s="3" t="str">
        <f>IFERROR(__xludf.DUMMYFUNCTION("""COMPUTED_VALUE"""),"pcs")</f>
        <v>pcs</v>
      </c>
      <c r="I543" s="3" t="str">
        <f>IFERROR(__xludf.DUMMYFUNCTION("""COMPUTED_VALUE"""),"Proses PR")</f>
        <v>Proses PR</v>
      </c>
      <c r="J543" s="3" t="str">
        <f>IFERROR(__xludf.DUMMYFUNCTION("""COMPUTED_VALUE"""),"-")</f>
        <v>-</v>
      </c>
      <c r="K543" s="3" t="str">
        <f>IFERROR(__xludf.DUMMYFUNCTION("""COMPUTED_VALUE"""),"-")</f>
        <v>-</v>
      </c>
    </row>
    <row r="544">
      <c r="A544" s="3" t="str">
        <f>IFERROR(__xludf.DUMMYFUNCTION("""COMPUTED_VALUE"""),"BDUBR0017")</f>
        <v>BDUBR0017</v>
      </c>
      <c r="B544" s="4">
        <f>IFERROR(__xludf.DUMMYFUNCTION("""COMPUTED_VALUE"""),46147.91604778935)</f>
        <v>46147.91605</v>
      </c>
      <c r="C544" s="4">
        <f>IFERROR(__xludf.DUMMYFUNCTION("""COMPUTED_VALUE"""),46153.69584818287)</f>
        <v>46153.69585</v>
      </c>
      <c r="D544" s="3" t="str">
        <f>IFERROR(__xludf.DUMMYFUNCTION("""COMPUTED_VALUE"""),"General")</f>
        <v>General</v>
      </c>
      <c r="E544" s="3" t="str">
        <f>IFERROR(__xludf.DUMMYFUNCTION("""COMPUTED_VALUE"""),"-")</f>
        <v>-</v>
      </c>
      <c r="F544" s="3" t="str">
        <f>IFERROR(__xludf.DUMMYFUNCTION("""COMPUTED_VALUE"""),"Mata bor d5,5")</f>
        <v>Mata bor d5,5</v>
      </c>
      <c r="G544" s="3">
        <f>IFERROR(__xludf.DUMMYFUNCTION("""COMPUTED_VALUE"""),10.0)</f>
        <v>10</v>
      </c>
      <c r="H544" s="3" t="str">
        <f>IFERROR(__xludf.DUMMYFUNCTION("""COMPUTED_VALUE"""),"pcs")</f>
        <v>pcs</v>
      </c>
      <c r="I544" s="3" t="str">
        <f>IFERROR(__xludf.DUMMYFUNCTION("""COMPUTED_VALUE"""),"Proses PR")</f>
        <v>Proses PR</v>
      </c>
      <c r="J544" s="3" t="str">
        <f>IFERROR(__xludf.DUMMYFUNCTION("""COMPUTED_VALUE"""),"-")</f>
        <v>-</v>
      </c>
      <c r="K544" s="3" t="str">
        <f>IFERROR(__xludf.DUMMYFUNCTION("""COMPUTED_VALUE"""),"-")</f>
        <v>-</v>
      </c>
    </row>
    <row r="545">
      <c r="A545" s="3" t="str">
        <f>IFERROR(__xludf.DUMMYFUNCTION("""COMPUTED_VALUE"""),"BDUBR0018")</f>
        <v>BDUBR0018</v>
      </c>
      <c r="B545" s="4">
        <f>IFERROR(__xludf.DUMMYFUNCTION("""COMPUTED_VALUE"""),46149.550700590284)</f>
        <v>46149.5507</v>
      </c>
      <c r="C545" s="4">
        <f>IFERROR(__xludf.DUMMYFUNCTION("""COMPUTED_VALUE"""),46153.69569466435)</f>
        <v>46153.69569</v>
      </c>
      <c r="D545" s="3" t="str">
        <f>IFERROR(__xludf.DUMMYFUNCTION("""COMPUTED_VALUE"""),"General ")</f>
        <v>General </v>
      </c>
      <c r="E545" s="3" t="str">
        <f>IFERROR(__xludf.DUMMYFUNCTION("""COMPUTED_VALUE"""),"-")</f>
        <v>-</v>
      </c>
      <c r="F545" s="3" t="str">
        <f>IFERROR(__xludf.DUMMYFUNCTION("""COMPUTED_VALUE"""),"botol spray alcohol ")</f>
        <v>botol spray alcohol </v>
      </c>
      <c r="G545" s="3">
        <f>IFERROR(__xludf.DUMMYFUNCTION("""COMPUTED_VALUE"""),5.0)</f>
        <v>5</v>
      </c>
      <c r="H545" s="3" t="str">
        <f>IFERROR(__xludf.DUMMYFUNCTION("""COMPUTED_VALUE"""),"pcs")</f>
        <v>pcs</v>
      </c>
      <c r="I545" s="3" t="str">
        <f>IFERROR(__xludf.DUMMYFUNCTION("""COMPUTED_VALUE"""),"Approval PR")</f>
        <v>Approval PR</v>
      </c>
      <c r="J545" s="3" t="str">
        <f>IFERROR(__xludf.DUMMYFUNCTION("""COMPUTED_VALUE"""),"-")</f>
        <v>-</v>
      </c>
      <c r="K545" s="3" t="str">
        <f>IFERROR(__xludf.DUMMYFUNCTION("""COMPUTED_VALUE"""),"-")</f>
        <v>-</v>
      </c>
    </row>
    <row r="546">
      <c r="A546" s="3" t="str">
        <f>IFERROR(__xludf.DUMMYFUNCTION("""COMPUTED_VALUE"""),"ROSBR0094")</f>
        <v>ROSBR0094</v>
      </c>
      <c r="B546" s="4">
        <f>IFERROR(__xludf.DUMMYFUNCTION("""COMPUTED_VALUE"""),46150.00773329861)</f>
        <v>46150.00773</v>
      </c>
      <c r="C546" s="4">
        <f>IFERROR(__xludf.DUMMYFUNCTION("""COMPUTED_VALUE"""),46204.66658590278)</f>
        <v>46204.66659</v>
      </c>
      <c r="D546" s="3" t="str">
        <f>IFERROR(__xludf.DUMMYFUNCTION("""COMPUTED_VALUE"""),"Autoclave Lab Micro")</f>
        <v>Autoclave Lab Micro</v>
      </c>
      <c r="E546" s="3" t="str">
        <f>IFERROR(__xludf.DUMMYFUNCTION("""COMPUTED_VALUE"""),"-")</f>
        <v>-</v>
      </c>
      <c r="F546" s="3" t="str">
        <f>IFERROR(__xludf.DUMMYFUNCTION("""COMPUTED_VALUE"""),"Level Probe Assembly for Generator")</f>
        <v>Level Probe Assembly for Generator</v>
      </c>
      <c r="G546" s="3">
        <f>IFERROR(__xludf.DUMMYFUNCTION("""COMPUTED_VALUE"""),5.0)</f>
        <v>5</v>
      </c>
      <c r="H546" s="3" t="str">
        <f>IFERROR(__xludf.DUMMYFUNCTION("""COMPUTED_VALUE"""),"pcs")</f>
        <v>pcs</v>
      </c>
      <c r="I546" s="3" t="str">
        <f>IFERROR(__xludf.DUMMYFUNCTION("""COMPUTED_VALUE"""),"Proses PR")</f>
        <v>Proses PR</v>
      </c>
      <c r="J546" s="3" t="str">
        <f>IFERROR(__xludf.DUMMYFUNCTION("""COMPUTED_VALUE"""),"-")</f>
        <v>-</v>
      </c>
      <c r="K546" s="3" t="str">
        <f>IFERROR(__xludf.DUMMYFUNCTION("""COMPUTED_VALUE"""),"-")</f>
        <v>-</v>
      </c>
    </row>
    <row r="547">
      <c r="A547" s="3" t="str">
        <f>IFERROR(__xludf.DUMMYFUNCTION("""COMPUTED_VALUE"""),"SFHBR0059")</f>
        <v>SFHBR0059</v>
      </c>
      <c r="B547" s="4">
        <f>IFERROR(__xludf.DUMMYFUNCTION("""COMPUTED_VALUE"""),46150.923330335645)</f>
        <v>46150.92333</v>
      </c>
      <c r="C547" s="4">
        <f>IFERROR(__xludf.DUMMYFUNCTION("""COMPUTED_VALUE"""),46153.64111160879)</f>
        <v>46153.64111</v>
      </c>
      <c r="D547" s="3" t="str">
        <f>IFERROR(__xludf.DUMMYFUNCTION("""COMPUTED_VALUE"""),"lantai 1")</f>
        <v>lantai 1</v>
      </c>
      <c r="E547" s="3" t="str">
        <f>IFERROR(__xludf.DUMMYFUNCTION("""COMPUTED_VALUE"""),"-")</f>
        <v>-</v>
      </c>
      <c r="F547" s="3" t="str">
        <f>IFERROR(__xludf.DUMMYFUNCTION("""COMPUTED_VALUE"""),"BOSCH GSH14 C Mesin Bobok Beton Jack Hammer Demolition Hammer 28 Joule GSH 14 C")</f>
        <v>BOSCH GSH14 C Mesin Bobok Beton Jack Hammer Demolition Hammer 28 Joule GSH 14 C</v>
      </c>
      <c r="G547" s="3">
        <f>IFERROR(__xludf.DUMMYFUNCTION("""COMPUTED_VALUE"""),1.0)</f>
        <v>1</v>
      </c>
      <c r="H547" s="3" t="str">
        <f>IFERROR(__xludf.DUMMYFUNCTION("""COMPUTED_VALUE"""),"buah")</f>
        <v>buah</v>
      </c>
      <c r="I547" s="3" t="str">
        <f>IFERROR(__xludf.DUMMYFUNCTION("""COMPUTED_VALUE"""),"Mencari Penawaran")</f>
        <v>Mencari Penawaran</v>
      </c>
      <c r="J547" s="3" t="str">
        <f>IFERROR(__xludf.DUMMYFUNCTION("""COMPUTED_VALUE"""),"-")</f>
        <v>-</v>
      </c>
      <c r="K547" s="3" t="str">
        <f>IFERROR(__xludf.DUMMYFUNCTION("""COMPUTED_VALUE"""),"-")</f>
        <v>-</v>
      </c>
    </row>
    <row r="548">
      <c r="A548" s="3" t="str">
        <f>IFERROR(__xludf.DUMMYFUNCTION("""COMPUTED_VALUE"""),"SFHBR0060")</f>
        <v>SFHBR0060</v>
      </c>
      <c r="B548" s="4">
        <f>IFERROR(__xludf.DUMMYFUNCTION("""COMPUTED_VALUE"""),46150.930133229165)</f>
        <v>46150.93013</v>
      </c>
      <c r="C548" s="4">
        <f>IFERROR(__xludf.DUMMYFUNCTION("""COMPUTED_VALUE"""),46153.6413746412)</f>
        <v>46153.64137</v>
      </c>
      <c r="D548" s="3" t="str">
        <f>IFERROR(__xludf.DUMMYFUNCTION("""COMPUTED_VALUE"""),"lantai 2")</f>
        <v>lantai 2</v>
      </c>
      <c r="E548" s="3" t="str">
        <f>IFERROR(__xludf.DUMMYFUNCTION("""COMPUTED_VALUE"""),"-")</f>
        <v>-</v>
      </c>
      <c r="F548" s="3" t="str">
        <f>IFERROR(__xludf.DUMMYFUNCTION("""COMPUTED_VALUE"""),"ALTAIR 4XR MSA, Gas Detector,Portable Multigas,Gas Meter, Pertamina,Pertambangan batu bara,Industri")</f>
        <v>ALTAIR 4XR MSA, Gas Detector,Portable Multigas,Gas Meter, Pertamina,Pertambangan batu bara,Industri</v>
      </c>
      <c r="G548" s="3">
        <f>IFERROR(__xludf.DUMMYFUNCTION("""COMPUTED_VALUE"""),1.0)</f>
        <v>1</v>
      </c>
      <c r="H548" s="3" t="str">
        <f>IFERROR(__xludf.DUMMYFUNCTION("""COMPUTED_VALUE"""),"buah")</f>
        <v>buah</v>
      </c>
      <c r="I548" s="3" t="str">
        <f>IFERROR(__xludf.DUMMYFUNCTION("""COMPUTED_VALUE"""),"Approval Item Code")</f>
        <v>Approval Item Code</v>
      </c>
      <c r="J548" s="3" t="str">
        <f>IFERROR(__xludf.DUMMYFUNCTION("""COMPUTED_VALUE"""),"-")</f>
        <v>-</v>
      </c>
      <c r="K548" s="3" t="str">
        <f>IFERROR(__xludf.DUMMYFUNCTION("""COMPUTED_VALUE"""),"-")</f>
        <v>-</v>
      </c>
    </row>
    <row r="549">
      <c r="A549" s="3" t="str">
        <f>IFERROR(__xludf.DUMMYFUNCTION("""COMPUTED_VALUE"""),"SFHBR0061")</f>
        <v>SFHBR0061</v>
      </c>
      <c r="B549" s="4">
        <f>IFERROR(__xludf.DUMMYFUNCTION("""COMPUTED_VALUE"""),46150.94247815972)</f>
        <v>46150.94248</v>
      </c>
      <c r="C549" s="4">
        <f>IFERROR(__xludf.DUMMYFUNCTION("""COMPUTED_VALUE"""),46153.641661458336)</f>
        <v>46153.64166</v>
      </c>
      <c r="D549" s="3" t="str">
        <f>IFERROR(__xludf.DUMMYFUNCTION("""COMPUTED_VALUE"""),"lantai 2")</f>
        <v>lantai 2</v>
      </c>
      <c r="E549" s="3" t="str">
        <f>IFERROR(__xludf.DUMMYFUNCTION("""COMPUTED_VALUE"""),"-")</f>
        <v>-</v>
      </c>
      <c r="F549" s="3" t="str">
        <f>IFERROR(__xludf.DUMMYFUNCTION("""COMPUTED_VALUE"""),"SEMEN 3 RODA 50 KG / SEMEN 3 RODA 1 DO (160 SAK)")</f>
        <v>SEMEN 3 RODA 50 KG / SEMEN 3 RODA 1 DO (160 SAK)</v>
      </c>
      <c r="G549" s="3">
        <f>IFERROR(__xludf.DUMMYFUNCTION("""COMPUTED_VALUE"""),200.0)</f>
        <v>200</v>
      </c>
      <c r="H549" s="3" t="str">
        <f>IFERROR(__xludf.DUMMYFUNCTION("""COMPUTED_VALUE"""),"kg")</f>
        <v>kg</v>
      </c>
      <c r="I549" s="3" t="str">
        <f>IFERROR(__xludf.DUMMYFUNCTION("""COMPUTED_VALUE"""),"Approval Item Code")</f>
        <v>Approval Item Code</v>
      </c>
      <c r="J549" s="3" t="str">
        <f>IFERROR(__xludf.DUMMYFUNCTION("""COMPUTED_VALUE"""),"-")</f>
        <v>-</v>
      </c>
      <c r="K549" s="3" t="str">
        <f>IFERROR(__xludf.DUMMYFUNCTION("""COMPUTED_VALUE"""),"-")</f>
        <v>-</v>
      </c>
    </row>
    <row r="550">
      <c r="A550" s="3" t="str">
        <f>IFERROR(__xludf.DUMMYFUNCTION("""COMPUTED_VALUE"""),"ROSBR0095")</f>
        <v>ROSBR0095</v>
      </c>
      <c r="B550" s="4">
        <f>IFERROR(__xludf.DUMMYFUNCTION("""COMPUTED_VALUE"""),46150.966112222224)</f>
        <v>46150.96611</v>
      </c>
      <c r="C550" s="4">
        <f>IFERROR(__xludf.DUMMYFUNCTION("""COMPUTED_VALUE"""),46204.677282731485)</f>
        <v>46204.67728</v>
      </c>
      <c r="D550" s="3" t="str">
        <f>IFERROR(__xludf.DUMMYFUNCTION("""COMPUTED_VALUE"""),"Lab Washer Miele")</f>
        <v>Lab Washer Miele</v>
      </c>
      <c r="E550" s="3" t="str">
        <f>IFERROR(__xludf.DUMMYFUNCTION("""COMPUTED_VALUE"""),"EJO/2026/05/046")</f>
        <v>EJO/2026/05/046</v>
      </c>
      <c r="F550" s="3" t="str">
        <f>IFERROR(__xludf.DUMMYFUNCTION("""COMPUTED_VALUE"""),"Filter Drain ")</f>
        <v>Filter Drain </v>
      </c>
      <c r="G550" s="3">
        <f>IFERROR(__xludf.DUMMYFUNCTION("""COMPUTED_VALUE"""),1.0)</f>
        <v>1</v>
      </c>
      <c r="H550" s="3" t="str">
        <f>IFERROR(__xludf.DUMMYFUNCTION("""COMPUTED_VALUE"""),"pcs")</f>
        <v>pcs</v>
      </c>
      <c r="I550" s="3" t="str">
        <f>IFERROR(__xludf.DUMMYFUNCTION("""COMPUTED_VALUE"""),"Pembuatan Item Code")</f>
        <v>Pembuatan Item Code</v>
      </c>
      <c r="J550" s="3" t="str">
        <f>IFERROR(__xludf.DUMMYFUNCTION("""COMPUTED_VALUE"""),"-")</f>
        <v>-</v>
      </c>
      <c r="K550" s="3" t="str">
        <f>IFERROR(__xludf.DUMMYFUNCTION("""COMPUTED_VALUE"""),"-")</f>
        <v>-</v>
      </c>
    </row>
    <row r="551">
      <c r="A551" s="3" t="str">
        <f>IFERROR(__xludf.DUMMYFUNCTION("""COMPUTED_VALUE"""),"ERABR0001")</f>
        <v>ERABR0001</v>
      </c>
      <c r="B551" s="4">
        <f>IFERROR(__xludf.DUMMYFUNCTION("""COMPUTED_VALUE"""),46163.38684436342)</f>
        <v>46163.38684</v>
      </c>
      <c r="C551" s="4">
        <f>IFERROR(__xludf.DUMMYFUNCTION("""COMPUTED_VALUE"""),46191.66696125)</f>
        <v>46191.66696</v>
      </c>
      <c r="D551" s="3" t="str">
        <f>IFERROR(__xludf.DUMMYFUNCTION("""COMPUTED_VALUE"""),"Particle Size Distribution/Dry Lab")</f>
        <v>Particle Size Distribution/Dry Lab</v>
      </c>
      <c r="E551" s="3" t="str">
        <f>IFERROR(__xludf.DUMMYFUNCTION("""COMPUTED_VALUE"""),"EJO/2026/05/007")</f>
        <v>EJO/2026/05/007</v>
      </c>
      <c r="F551" s="3" t="str">
        <f>IFERROR(__xludf.DUMMYFUNCTION("""COMPUTED_VALUE"""),"Pneumatic push in fitting lurus Brand FESTO")</f>
        <v>Pneumatic push in fitting lurus Brand FESTO</v>
      </c>
      <c r="G551" s="3">
        <f>IFERROR(__xludf.DUMMYFUNCTION("""COMPUTED_VALUE"""),3.0)</f>
        <v>3</v>
      </c>
      <c r="H551" s="3" t="str">
        <f>IFERROR(__xludf.DUMMYFUNCTION("""COMPUTED_VALUE"""),"PCS")</f>
        <v>PCS</v>
      </c>
      <c r="I551" s="3" t="str">
        <f>IFERROR(__xludf.DUMMYFUNCTION("""COMPUTED_VALUE"""),"PR Open")</f>
        <v>PR Open</v>
      </c>
      <c r="J551" s="3" t="str">
        <f>IFERROR(__xludf.DUMMYFUNCTION("""COMPUTED_VALUE"""),"121704547 - APPROVED")</f>
        <v>121704547 - APPROVED</v>
      </c>
      <c r="K551" s="3" t="str">
        <f>IFERROR(__xludf.DUMMYFUNCTION("""COMPUTED_VALUE"""),"GL2609426")</f>
        <v>GL2609426</v>
      </c>
    </row>
    <row r="552">
      <c r="A552" s="3" t="str">
        <f>IFERROR(__xludf.DUMMYFUNCTION("""COMPUTED_VALUE"""),"ROSBR0096")</f>
        <v>ROSBR0096</v>
      </c>
      <c r="B552" s="4">
        <f>IFERROR(__xludf.DUMMYFUNCTION("""COMPUTED_VALUE"""),46168.00272101852)</f>
        <v>46168.00272</v>
      </c>
      <c r="C552" s="4">
        <f>IFERROR(__xludf.DUMMYFUNCTION("""COMPUTED_VALUE"""),46254.84140527777)</f>
        <v>46254.84141</v>
      </c>
      <c r="D552" s="3" t="str">
        <f>IFERROR(__xludf.DUMMYFUNCTION("""COMPUTED_VALUE"""),"Isolator Skan ")</f>
        <v>Isolator Skan </v>
      </c>
      <c r="E552" s="3" t="str">
        <f>IFERROR(__xludf.DUMMYFUNCTION("""COMPUTED_VALUE"""),"EJO/2026/05/047")</f>
        <v>EJO/2026/05/047</v>
      </c>
      <c r="F552" s="3" t="str">
        <f>IFERROR(__xludf.DUMMYFUNCTION("""COMPUTED_VALUE"""),"Gas Spring Bansbach")</f>
        <v>Gas Spring Bansbach</v>
      </c>
      <c r="G552" s="3">
        <f>IFERROR(__xludf.DUMMYFUNCTION("""COMPUTED_VALUE"""),2.0)</f>
        <v>2</v>
      </c>
      <c r="H552" s="3" t="str">
        <f>IFERROR(__xludf.DUMMYFUNCTION("""COMPUTED_VALUE"""),"Pcs")</f>
        <v>Pcs</v>
      </c>
      <c r="I552" s="3" t="str">
        <f>IFERROR(__xludf.DUMMYFUNCTION("""COMPUTED_VALUE"""),"-")</f>
        <v>-</v>
      </c>
      <c r="J552" s="3" t="str">
        <f>IFERROR(__xludf.DUMMYFUNCTION("""COMPUTED_VALUE"""),"-")</f>
        <v>-</v>
      </c>
      <c r="K552" s="3" t="str">
        <f>IFERROR(__xludf.DUMMYFUNCTION("""COMPUTED_VALUE"""),"-")</f>
        <v>-</v>
      </c>
    </row>
    <row r="553">
      <c r="A553" s="3" t="str">
        <f>IFERROR(__xludf.DUMMYFUNCTION("""COMPUTED_VALUE"""),"ERABR0002")</f>
        <v>ERABR0002</v>
      </c>
      <c r="B553" s="4">
        <f>IFERROR(__xludf.DUMMYFUNCTION("""COMPUTED_VALUE"""),46168.44706547454)</f>
        <v>46168.44707</v>
      </c>
      <c r="C553" s="4">
        <f>IFERROR(__xludf.DUMMYFUNCTION("""COMPUTED_VALUE"""),46191.669276400455)</f>
        <v>46191.66928</v>
      </c>
      <c r="D553" s="3" t="str">
        <f>IFERROR(__xludf.DUMMYFUNCTION("""COMPUTED_VALUE"""),"Isolator SKAN/Lab Micro")</f>
        <v>Isolator SKAN/Lab Micro</v>
      </c>
      <c r="E553" s="3" t="str">
        <f>IFERROR(__xludf.DUMMYFUNCTION("""COMPUTED_VALUE"""),"-")</f>
        <v>-</v>
      </c>
      <c r="F553" s="3" t="str">
        <f>IFERROR(__xludf.DUMMYFUNCTION("""COMPUTED_VALUE"""),"Oring G 300")</f>
        <v>Oring G 300</v>
      </c>
      <c r="G553" s="3">
        <f>IFERROR(__xludf.DUMMYFUNCTION("""COMPUTED_VALUE"""),4.0)</f>
        <v>4</v>
      </c>
      <c r="H553" s="3" t="str">
        <f>IFERROR(__xludf.DUMMYFUNCTION("""COMPUTED_VALUE"""),"PCS")</f>
        <v>PCS</v>
      </c>
      <c r="I553" s="3" t="str">
        <f>IFERROR(__xludf.DUMMYFUNCTION("""COMPUTED_VALUE"""),"Approval Item Code")</f>
        <v>Approval Item Code</v>
      </c>
      <c r="J553" s="3" t="str">
        <f>IFERROR(__xludf.DUMMYFUNCTION("""COMPUTED_VALUE"""),"-")</f>
        <v>-</v>
      </c>
      <c r="K553" s="3" t="str">
        <f>IFERROR(__xludf.DUMMYFUNCTION("""COMPUTED_VALUE"""),"-")</f>
        <v>-</v>
      </c>
    </row>
    <row r="554">
      <c r="A554" s="3" t="str">
        <f>IFERROR(__xludf.DUMMYFUNCTION("""COMPUTED_VALUE"""),"MRNBR0107")</f>
        <v>MRNBR0107</v>
      </c>
      <c r="B554" s="4">
        <f>IFERROR(__xludf.DUMMYFUNCTION("""COMPUTED_VALUE"""),46170.640493252315)</f>
        <v>46170.64049</v>
      </c>
      <c r="C554" s="4">
        <f>IFERROR(__xludf.DUMMYFUNCTION("""COMPUTED_VALUE"""),46198.7286030787)</f>
        <v>46198.7286</v>
      </c>
      <c r="D554" s="3" t="str">
        <f>IFERROR(__xludf.DUMMYFUNCTION("""COMPUTED_VALUE"""),"WIP 25")</f>
        <v>WIP 25</v>
      </c>
      <c r="E554" s="3" t="str">
        <f>IFERROR(__xludf.DUMMYFUNCTION("""COMPUTED_VALUE"""),"EJO/2026/04/125")</f>
        <v>EJO/2026/04/125</v>
      </c>
      <c r="F554" s="3" t="str">
        <f>IFERROR(__xludf.DUMMYFUNCTION("""COMPUTED_VALUE"""),"slot pintu")</f>
        <v>slot pintu</v>
      </c>
      <c r="G554" s="3">
        <f>IFERROR(__xludf.DUMMYFUNCTION("""COMPUTED_VALUE"""),10.0)</f>
        <v>10</v>
      </c>
      <c r="H554" s="3" t="str">
        <f>IFERROR(__xludf.DUMMYFUNCTION("""COMPUTED_VALUE"""),"unit")</f>
        <v>unit</v>
      </c>
      <c r="I554" s="3" t="str">
        <f>IFERROR(__xludf.DUMMYFUNCTION("""COMPUTED_VALUE"""),"PO Open")</f>
        <v>PO Open</v>
      </c>
      <c r="J554" s="3" t="str">
        <f>IFERROR(__xludf.DUMMYFUNCTION("""COMPUTED_VALUE"""),"121704562 - APPROVED")</f>
        <v>121704562 - APPROVED</v>
      </c>
      <c r="K554" s="3" t="str">
        <f>IFERROR(__xludf.DUMMYFUNCTION("""COMPUTED_VALUE"""),"GL2608044")</f>
        <v>GL2608044</v>
      </c>
    </row>
    <row r="555">
      <c r="A555" s="3" t="str">
        <f>IFERROR(__xludf.DUMMYFUNCTION("""COMPUTED_VALUE"""),"WAPBR0003")</f>
        <v>WAPBR0003</v>
      </c>
      <c r="B555" s="4">
        <f>IFERROR(__xludf.DUMMYFUNCTION("""COMPUTED_VALUE"""),46177.54958222222)</f>
        <v>46177.54958</v>
      </c>
      <c r="C555" s="4">
        <f>IFERROR(__xludf.DUMMYFUNCTION("""COMPUTED_VALUE"""),46251.58642785879)</f>
        <v>46251.58643</v>
      </c>
      <c r="D555" s="3" t="str">
        <f>IFERROR(__xludf.DUMMYFUNCTION("""COMPUTED_VALUE"""),"Workshop")</f>
        <v>Workshop</v>
      </c>
      <c r="E555" s="3" t="str">
        <f>IFERROR(__xludf.DUMMYFUNCTION("""COMPUTED_VALUE"""),"-")</f>
        <v>-</v>
      </c>
      <c r="F555" s="3" t="str">
        <f>IFERROR(__xludf.DUMMYFUNCTION("""COMPUTED_VALUE"""),"mata gergaji besi")</f>
        <v>mata gergaji besi</v>
      </c>
      <c r="G555" s="3">
        <f>IFERROR(__xludf.DUMMYFUNCTION("""COMPUTED_VALUE"""),5.0)</f>
        <v>5</v>
      </c>
      <c r="H555" s="3" t="str">
        <f>IFERROR(__xludf.DUMMYFUNCTION("""COMPUTED_VALUE"""),"Pcs")</f>
        <v>Pcs</v>
      </c>
      <c r="I555" s="3" t="str">
        <f>IFERROR(__xludf.DUMMYFUNCTION("""COMPUTED_VALUE"""),"-")</f>
        <v>-</v>
      </c>
      <c r="J555" s="3" t="str">
        <f>IFERROR(__xludf.DUMMYFUNCTION("""COMPUTED_VALUE"""),"-")</f>
        <v>-</v>
      </c>
      <c r="K555" s="3" t="str">
        <f>IFERROR(__xludf.DUMMYFUNCTION("""COMPUTED_VALUE"""),"-")</f>
        <v>-</v>
      </c>
    </row>
    <row r="556">
      <c r="A556" s="3" t="str">
        <f>IFERROR(__xludf.DUMMYFUNCTION("""COMPUTED_VALUE"""),"RIABR0167")</f>
        <v>RIABR0167</v>
      </c>
      <c r="B556" s="4">
        <f>IFERROR(__xludf.DUMMYFUNCTION("""COMPUTED_VALUE"""),46181.14899461805)</f>
        <v>46181.14899</v>
      </c>
      <c r="C556" s="4">
        <f>IFERROR(__xludf.DUMMYFUNCTION("""COMPUTED_VALUE"""),46202.897905185186)</f>
        <v>46202.89791</v>
      </c>
      <c r="D556" s="3" t="str">
        <f>IFERROR(__xludf.DUMMYFUNCTION("""COMPUTED_VALUE"""),"All Area")</f>
        <v>All Area</v>
      </c>
      <c r="E556" s="3" t="str">
        <f>IFERROR(__xludf.DUMMYFUNCTION("""COMPUTED_VALUE"""),"-")</f>
        <v>-</v>
      </c>
      <c r="F556" s="3" t="str">
        <f>IFERROR(__xludf.DUMMYFUNCTION("""COMPUTED_VALUE"""),"Tongkat")</f>
        <v>Tongkat</v>
      </c>
      <c r="G556" s="3">
        <f>IFERROR(__xludf.DUMMYFUNCTION("""COMPUTED_VALUE"""),1.0)</f>
        <v>1</v>
      </c>
      <c r="H556" s="3" t="str">
        <f>IFERROR(__xludf.DUMMYFUNCTION("""COMPUTED_VALUE"""),"Pcs")</f>
        <v>Pcs</v>
      </c>
      <c r="I556" s="3" t="str">
        <f>IFERROR(__xludf.DUMMYFUNCTION("""COMPUTED_VALUE"""),"Approval Item Code")</f>
        <v>Approval Item Code</v>
      </c>
      <c r="J556" s="3" t="str">
        <f>IFERROR(__xludf.DUMMYFUNCTION("""COMPUTED_VALUE"""),"-")</f>
        <v>-</v>
      </c>
      <c r="K556" s="3" t="str">
        <f>IFERROR(__xludf.DUMMYFUNCTION("""COMPUTED_VALUE"""),"-")</f>
        <v>-</v>
      </c>
    </row>
    <row r="557">
      <c r="A557" s="3" t="str">
        <f>IFERROR(__xludf.DUMMYFUNCTION("""COMPUTED_VALUE"""),"SFHBR0062")</f>
        <v>SFHBR0062</v>
      </c>
      <c r="B557" s="4">
        <f>IFERROR(__xludf.DUMMYFUNCTION("""COMPUTED_VALUE"""),46182.42816619213)</f>
        <v>46182.42817</v>
      </c>
      <c r="C557" s="4">
        <f>IFERROR(__xludf.DUMMYFUNCTION("""COMPUTED_VALUE"""),46198.718567118056)</f>
        <v>46198.71857</v>
      </c>
      <c r="D557" s="3" t="str">
        <f>IFERROR(__xludf.DUMMYFUNCTION("""COMPUTED_VALUE"""),"lantai 1")</f>
        <v>lantai 1</v>
      </c>
      <c r="E557" s="3" t="str">
        <f>IFERROR(__xludf.DUMMYFUNCTION("""COMPUTED_VALUE"""),"-")</f>
        <v>-</v>
      </c>
      <c r="F557" s="3" t="str">
        <f>IFERROR(__xludf.DUMMYFUNCTION("""COMPUTED_VALUE"""),"DOP PIPA TUTUP DALAM - 1inc1/4"" INCHI TUTUP PIPA ORNAMEN STAINLESS STAINLESS 201")</f>
        <v>DOP PIPA TUTUP DALAM - 1inc1/4" INCHI TUTUP PIPA ORNAMEN STAINLESS STAINLESS 201</v>
      </c>
      <c r="G557" s="3">
        <f>IFERROR(__xludf.DUMMYFUNCTION("""COMPUTED_VALUE"""),30.0)</f>
        <v>30</v>
      </c>
      <c r="H557" s="3" t="str">
        <f>IFERROR(__xludf.DUMMYFUNCTION("""COMPUTED_VALUE"""),"pcs")</f>
        <v>pcs</v>
      </c>
      <c r="I557" s="3" t="str">
        <f>IFERROR(__xludf.DUMMYFUNCTION("""COMPUTED_VALUE"""),"Proses PR")</f>
        <v>Proses PR</v>
      </c>
      <c r="J557" s="3" t="str">
        <f>IFERROR(__xludf.DUMMYFUNCTION("""COMPUTED_VALUE"""),"-")</f>
        <v>-</v>
      </c>
      <c r="K557" s="3" t="str">
        <f>IFERROR(__xludf.DUMMYFUNCTION("""COMPUTED_VALUE"""),"-")</f>
        <v>-</v>
      </c>
    </row>
    <row r="558">
      <c r="A558" s="3" t="str">
        <f>IFERROR(__xludf.DUMMYFUNCTION("""COMPUTED_VALUE"""),"ERABR0003")</f>
        <v>ERABR0003</v>
      </c>
      <c r="B558" s="4">
        <f>IFERROR(__xludf.DUMMYFUNCTION("""COMPUTED_VALUE"""),46182.49350109954)</f>
        <v>46182.4935</v>
      </c>
      <c r="C558" s="4">
        <f>IFERROR(__xludf.DUMMYFUNCTION("""COMPUTED_VALUE"""),46193.3654116551)</f>
        <v>46193.36541</v>
      </c>
      <c r="D558" s="3" t="str">
        <f>IFERROR(__xludf.DUMMYFUNCTION("""COMPUTED_VALUE"""),"Leaflet machine / Cartoning")</f>
        <v>Leaflet machine / Cartoning</v>
      </c>
      <c r="E558" s="3" t="str">
        <f>IFERROR(__xludf.DUMMYFUNCTION("""COMPUTED_VALUE"""),"EJO/2026/05/0065")</f>
        <v>EJO/2026/05/0065</v>
      </c>
      <c r="F558" s="3" t="str">
        <f>IFERROR(__xludf.DUMMYFUNCTION("""COMPUTED_VALUE"""),"Snapring  E4")</f>
        <v>Snapring  E4</v>
      </c>
      <c r="G558" s="3">
        <f>IFERROR(__xludf.DUMMYFUNCTION("""COMPUTED_VALUE"""),100.0)</f>
        <v>100</v>
      </c>
      <c r="H558" s="3" t="str">
        <f>IFERROR(__xludf.DUMMYFUNCTION("""COMPUTED_VALUE"""),"PCS")</f>
        <v>PCS</v>
      </c>
      <c r="I558" s="3" t="str">
        <f>IFERROR(__xludf.DUMMYFUNCTION("""COMPUTED_VALUE"""),"Approval Item Code")</f>
        <v>Approval Item Code</v>
      </c>
      <c r="J558" s="3" t="str">
        <f>IFERROR(__xludf.DUMMYFUNCTION("""COMPUTED_VALUE"""),"-")</f>
        <v>-</v>
      </c>
      <c r="K558" s="3" t="str">
        <f>IFERROR(__xludf.DUMMYFUNCTION("""COMPUTED_VALUE"""),"-")</f>
        <v>-</v>
      </c>
    </row>
    <row r="559">
      <c r="A559" s="3" t="str">
        <f>IFERROR(__xludf.DUMMYFUNCTION("""COMPUTED_VALUE"""),"MOBBR0056")</f>
        <v>MOBBR0056</v>
      </c>
      <c r="B559" s="4">
        <f>IFERROR(__xludf.DUMMYFUNCTION("""COMPUTED_VALUE"""),46182.69083681713)</f>
        <v>46182.69084</v>
      </c>
      <c r="C559" s="4">
        <f>IFERROR(__xludf.DUMMYFUNCTION("""COMPUTED_VALUE"""),46198.733501863426)</f>
        <v>46198.7335</v>
      </c>
      <c r="D559" s="3" t="str">
        <f>IFERROR(__xludf.DUMMYFUNCTION("""COMPUTED_VALUE"""),"FMS C1-1")</f>
        <v>FMS C1-1</v>
      </c>
      <c r="E559" s="3" t="str">
        <f>IFERROR(__xludf.DUMMYFUNCTION("""COMPUTED_VALUE"""),"EJO/2026/06/046")</f>
        <v>EJO/2026/06/046</v>
      </c>
      <c r="F559" s="3" t="str">
        <f>IFERROR(__xludf.DUMMYFUNCTION("""COMPUTED_VALUE"""),"Fuse Holder")</f>
        <v>Fuse Holder</v>
      </c>
      <c r="G559" s="3">
        <f>IFERROR(__xludf.DUMMYFUNCTION("""COMPUTED_VALUE"""),20.0)</f>
        <v>20</v>
      </c>
      <c r="H559" s="3" t="str">
        <f>IFERROR(__xludf.DUMMYFUNCTION("""COMPUTED_VALUE"""),"Pcs")</f>
        <v>Pcs</v>
      </c>
      <c r="I559" s="3" t="str">
        <f>IFERROR(__xludf.DUMMYFUNCTION("""COMPUTED_VALUE"""),"Proses PR")</f>
        <v>Proses PR</v>
      </c>
      <c r="J559" s="3" t="str">
        <f>IFERROR(__xludf.DUMMYFUNCTION("""COMPUTED_VALUE"""),"-")</f>
        <v>-</v>
      </c>
      <c r="K559" s="3" t="str">
        <f>IFERROR(__xludf.DUMMYFUNCTION("""COMPUTED_VALUE"""),"-")</f>
        <v>-</v>
      </c>
    </row>
    <row r="560">
      <c r="A560" s="3" t="str">
        <f>IFERROR(__xludf.DUMMYFUNCTION("""COMPUTED_VALUE"""),"ROSBR0097")</f>
        <v>ROSBR0097</v>
      </c>
      <c r="B560" s="4">
        <f>IFERROR(__xludf.DUMMYFUNCTION("""COMPUTED_VALUE"""),46182.69355427083)</f>
        <v>46182.69355</v>
      </c>
      <c r="C560" s="4">
        <f>IFERROR(__xludf.DUMMYFUNCTION("""COMPUTED_VALUE"""),46191.751493171294)</f>
        <v>46191.75149</v>
      </c>
      <c r="D560" s="3" t="str">
        <f>IFERROR(__xludf.DUMMYFUNCTION("""COMPUTED_VALUE"""),"Recorder Tunnel")</f>
        <v>Recorder Tunnel</v>
      </c>
      <c r="E560" s="3" t="str">
        <f>IFERROR(__xludf.DUMMYFUNCTION("""COMPUTED_VALUE"""),"-")</f>
        <v>-</v>
      </c>
      <c r="F560" s="3" t="str">
        <f>IFERROR(__xludf.DUMMYFUNCTION("""COMPUTED_VALUE"""),"Baterai Lithium ")</f>
        <v>Baterai Lithium </v>
      </c>
      <c r="G560" s="3">
        <f>IFERROR(__xludf.DUMMYFUNCTION("""COMPUTED_VALUE"""),5.0)</f>
        <v>5</v>
      </c>
      <c r="H560" s="3" t="str">
        <f>IFERROR(__xludf.DUMMYFUNCTION("""COMPUTED_VALUE"""),"Pcs")</f>
        <v>Pcs</v>
      </c>
      <c r="I560" s="3" t="str">
        <f>IFERROR(__xludf.DUMMYFUNCTION("""COMPUTED_VALUE"""),"Proses PR")</f>
        <v>Proses PR</v>
      </c>
      <c r="J560" s="3" t="str">
        <f>IFERROR(__xludf.DUMMYFUNCTION("""COMPUTED_VALUE"""),"-")</f>
        <v>-</v>
      </c>
      <c r="K560" s="3" t="str">
        <f>IFERROR(__xludf.DUMMYFUNCTION("""COMPUTED_VALUE"""),"-")</f>
        <v>-</v>
      </c>
    </row>
    <row r="561">
      <c r="A561" s="3" t="str">
        <f>IFERROR(__xludf.DUMMYFUNCTION("""COMPUTED_VALUE"""),"ROSBR0098")</f>
        <v>ROSBR0098</v>
      </c>
      <c r="B561" s="4">
        <f>IFERROR(__xludf.DUMMYFUNCTION("""COMPUTED_VALUE"""),46191.50323777778)</f>
        <v>46191.50324</v>
      </c>
      <c r="C561" s="4">
        <f>IFERROR(__xludf.DUMMYFUNCTION("""COMPUTED_VALUE"""),46191.75090141204)</f>
        <v>46191.7509</v>
      </c>
      <c r="D561" s="3" t="str">
        <f>IFERROR(__xludf.DUMMYFUNCTION("""COMPUTED_VALUE"""),"Washing Tinnel")</f>
        <v>Washing Tinnel</v>
      </c>
      <c r="E561" s="3" t="str">
        <f>IFERROR(__xludf.DUMMYFUNCTION("""COMPUTED_VALUE"""),"EJO/2026/06/142")</f>
        <v>EJO/2026/06/142</v>
      </c>
      <c r="F561" s="3" t="str">
        <f>IFERROR(__xludf.DUMMYFUNCTION("""COMPUTED_VALUE"""),"MICO electronic circuit protection, 2 CHANNELS")</f>
        <v>MICO electronic circuit protection, 2 CHANNELS</v>
      </c>
      <c r="G561" s="3">
        <f>IFERROR(__xludf.DUMMYFUNCTION("""COMPUTED_VALUE"""),2.0)</f>
        <v>2</v>
      </c>
      <c r="H561" s="3" t="str">
        <f>IFERROR(__xludf.DUMMYFUNCTION("""COMPUTED_VALUE"""),"Pcs")</f>
        <v>Pcs</v>
      </c>
      <c r="I561" s="3" t="str">
        <f>IFERROR(__xludf.DUMMYFUNCTION("""COMPUTED_VALUE"""),"Approval Item Code")</f>
        <v>Approval Item Code</v>
      </c>
      <c r="J561" s="3" t="str">
        <f>IFERROR(__xludf.DUMMYFUNCTION("""COMPUTED_VALUE"""),"-")</f>
        <v>-</v>
      </c>
      <c r="K561" s="3" t="str">
        <f>IFERROR(__xludf.DUMMYFUNCTION("""COMPUTED_VALUE"""),"-")</f>
        <v>-</v>
      </c>
    </row>
    <row r="562">
      <c r="A562" s="3" t="str">
        <f>IFERROR(__xludf.DUMMYFUNCTION("""COMPUTED_VALUE"""),"WAPBR0004")</f>
        <v>WAPBR0004</v>
      </c>
      <c r="B562" s="4">
        <f>IFERROR(__xludf.DUMMYFUNCTION("""COMPUTED_VALUE"""),46191.61530452547)</f>
        <v>46191.6153</v>
      </c>
      <c r="C562" s="4">
        <f>IFERROR(__xludf.DUMMYFUNCTION("""COMPUTED_VALUE"""),46251.588203402775)</f>
        <v>46251.5882</v>
      </c>
      <c r="D562" s="3" t="str">
        <f>IFERROR(__xludf.DUMMYFUNCTION("""COMPUTED_VALUE"""),"Utilty dan MTC")</f>
        <v>Utilty dan MTC</v>
      </c>
      <c r="E562" s="3" t="str">
        <f>IFERROR(__xludf.DUMMYFUNCTION("""COMPUTED_VALUE"""),"-")</f>
        <v>-</v>
      </c>
      <c r="F562" s="3" t="str">
        <f>IFERROR(__xludf.DUMMYFUNCTION("""COMPUTED_VALUE"""),"magnet siku (weld)")</f>
        <v>magnet siku (weld)</v>
      </c>
      <c r="G562" s="3">
        <f>IFERROR(__xludf.DUMMYFUNCTION("""COMPUTED_VALUE"""),3.0)</f>
        <v>3</v>
      </c>
      <c r="H562" s="3" t="str">
        <f>IFERROR(__xludf.DUMMYFUNCTION("""COMPUTED_VALUE"""),"pcs")</f>
        <v>pcs</v>
      </c>
      <c r="I562" s="3" t="str">
        <f>IFERROR(__xludf.DUMMYFUNCTION("""COMPUTED_VALUE"""),"-")</f>
        <v>-</v>
      </c>
      <c r="J562" s="3" t="str">
        <f>IFERROR(__xludf.DUMMYFUNCTION("""COMPUTED_VALUE"""),"-")</f>
        <v>-</v>
      </c>
      <c r="K562" s="3" t="str">
        <f>IFERROR(__xludf.DUMMYFUNCTION("""COMPUTED_VALUE"""),"-")</f>
        <v>-</v>
      </c>
    </row>
    <row r="563">
      <c r="A563" s="3" t="str">
        <f>IFERROR(__xludf.DUMMYFUNCTION("""COMPUTED_VALUE"""),"RIABR0168")</f>
        <v>RIABR0168</v>
      </c>
      <c r="B563" s="4">
        <f>IFERROR(__xludf.DUMMYFUNCTION("""COMPUTED_VALUE"""),46192.46033797454)</f>
        <v>46192.46034</v>
      </c>
      <c r="C563" s="4">
        <f>IFERROR(__xludf.DUMMYFUNCTION("""COMPUTED_VALUE"""),46202.89834148148)</f>
        <v>46202.89834</v>
      </c>
      <c r="D563" s="3" t="str">
        <f>IFERROR(__xludf.DUMMYFUNCTION("""COMPUTED_VALUE"""),"DP Tenaga 3 N")</f>
        <v>DP Tenaga 3 N</v>
      </c>
      <c r="E563" s="3" t="str">
        <f>IFERROR(__xludf.DUMMYFUNCTION("""COMPUTED_VALUE"""),"EJO/2026/06/098")</f>
        <v>EJO/2026/06/098</v>
      </c>
      <c r="F563" s="3" t="str">
        <f>IFERROR(__xludf.DUMMYFUNCTION("""COMPUTED_VALUE"""),"Power Meter")</f>
        <v>Power Meter</v>
      </c>
      <c r="G563" s="3">
        <f>IFERROR(__xludf.DUMMYFUNCTION("""COMPUTED_VALUE"""),1.0)</f>
        <v>1</v>
      </c>
      <c r="H563" s="3" t="str">
        <f>IFERROR(__xludf.DUMMYFUNCTION("""COMPUTED_VALUE"""),"pcs")</f>
        <v>pcs</v>
      </c>
      <c r="I563" s="3" t="str">
        <f>IFERROR(__xludf.DUMMYFUNCTION("""COMPUTED_VALUE"""),"Mencari Penawaran")</f>
        <v>Mencari Penawaran</v>
      </c>
      <c r="J563" s="3" t="str">
        <f>IFERROR(__xludf.DUMMYFUNCTION("""COMPUTED_VALUE"""),"-")</f>
        <v>-</v>
      </c>
      <c r="K563" s="3" t="str">
        <f>IFERROR(__xludf.DUMMYFUNCTION("""COMPUTED_VALUE"""),"-")</f>
        <v>-</v>
      </c>
    </row>
    <row r="564">
      <c r="A564" s="3" t="str">
        <f>IFERROR(__xludf.DUMMYFUNCTION("""COMPUTED_VALUE"""),"RIABR0169")</f>
        <v>RIABR0169</v>
      </c>
      <c r="B564" s="4">
        <f>IFERROR(__xludf.DUMMYFUNCTION("""COMPUTED_VALUE"""),46192.461777557866)</f>
        <v>46192.46178</v>
      </c>
      <c r="C564" s="4">
        <f>IFERROR(__xludf.DUMMYFUNCTION("""COMPUTED_VALUE"""),46202.89877939814)</f>
        <v>46202.89878</v>
      </c>
      <c r="D564" s="3" t="str">
        <f>IFERROR(__xludf.DUMMYFUNCTION("""COMPUTED_VALUE"""),"P - GC")</f>
        <v>P - GC</v>
      </c>
      <c r="E564" s="3" t="str">
        <f>IFERROR(__xludf.DUMMYFUNCTION("""COMPUTED_VALUE"""),"EJO/2026/06/099")</f>
        <v>EJO/2026/06/099</v>
      </c>
      <c r="F564" s="3" t="str">
        <f>IFERROR(__xludf.DUMMYFUNCTION("""COMPUTED_VALUE"""),"Power Meter")</f>
        <v>Power Meter</v>
      </c>
      <c r="G564" s="3">
        <f>IFERROR(__xludf.DUMMYFUNCTION("""COMPUTED_VALUE"""),2.0)</f>
        <v>2</v>
      </c>
      <c r="H564" s="3" t="str">
        <f>IFERROR(__xludf.DUMMYFUNCTION("""COMPUTED_VALUE"""),"pcs")</f>
        <v>pcs</v>
      </c>
      <c r="I564" s="3" t="str">
        <f>IFERROR(__xludf.DUMMYFUNCTION("""COMPUTED_VALUE"""),"Mencari Penawaran")</f>
        <v>Mencari Penawaran</v>
      </c>
      <c r="J564" s="3" t="str">
        <f>IFERROR(__xludf.DUMMYFUNCTION("""COMPUTED_VALUE"""),"-")</f>
        <v>-</v>
      </c>
      <c r="K564" s="3" t="str">
        <f>IFERROR(__xludf.DUMMYFUNCTION("""COMPUTED_VALUE"""),"-")</f>
        <v>-</v>
      </c>
    </row>
    <row r="565">
      <c r="A565" s="3" t="str">
        <f>IFERROR(__xludf.DUMMYFUNCTION("""COMPUTED_VALUE"""),"MRNBR0109")</f>
        <v>MRNBR0109</v>
      </c>
      <c r="B565" s="4">
        <f>IFERROR(__xludf.DUMMYFUNCTION("""COMPUTED_VALUE"""),46193.41210287037)</f>
        <v>46193.4121</v>
      </c>
      <c r="C565" s="4">
        <f>IFERROR(__xludf.DUMMYFUNCTION("""COMPUTED_VALUE"""),46198.72994440973)</f>
        <v>46198.72994</v>
      </c>
      <c r="D565" s="3" t="str">
        <f>IFERROR(__xludf.DUMMYFUNCTION("""COMPUTED_VALUE"""),"Workshop")</f>
        <v>Workshop</v>
      </c>
      <c r="E565" s="3" t="str">
        <f>IFERROR(__xludf.DUMMYFUNCTION("""COMPUTED_VALUE"""),"EJO/2026/02/41")</f>
        <v>EJO/2026/02/41</v>
      </c>
      <c r="F565" s="3" t="str">
        <f>IFERROR(__xludf.DUMMYFUNCTION("""COMPUTED_VALUE"""),"flexible duct alumunium")</f>
        <v>flexible duct alumunium</v>
      </c>
      <c r="G565" s="3">
        <f>IFERROR(__xludf.DUMMYFUNCTION("""COMPUTED_VALUE"""),2.0)</f>
        <v>2</v>
      </c>
      <c r="H565" s="3" t="str">
        <f>IFERROR(__xludf.DUMMYFUNCTION("""COMPUTED_VALUE"""),"unit")</f>
        <v>unit</v>
      </c>
      <c r="I565" s="3" t="str">
        <f>IFERROR(__xludf.DUMMYFUNCTION("""COMPUTED_VALUE"""),"Proses PR")</f>
        <v>Proses PR</v>
      </c>
      <c r="J565" s="3" t="str">
        <f>IFERROR(__xludf.DUMMYFUNCTION("""COMPUTED_VALUE"""),"-")</f>
        <v>-</v>
      </c>
      <c r="K565" s="3" t="str">
        <f>IFERROR(__xludf.DUMMYFUNCTION("""COMPUTED_VALUE"""),"-")</f>
        <v>-</v>
      </c>
    </row>
    <row r="566">
      <c r="A566" s="3" t="str">
        <f>IFERROR(__xludf.DUMMYFUNCTION("""COMPUTED_VALUE"""),"MRNBR0110")</f>
        <v>MRNBR0110</v>
      </c>
      <c r="B566" s="4">
        <f>IFERROR(__xludf.DUMMYFUNCTION("""COMPUTED_VALUE"""),46193.41818853009)</f>
        <v>46193.41819</v>
      </c>
      <c r="C566" s="4">
        <f>IFERROR(__xludf.DUMMYFUNCTION("""COMPUTED_VALUE"""),46198.73025804398)</f>
        <v>46198.73026</v>
      </c>
      <c r="D566" s="3" t="str">
        <f>IFERROR(__xludf.DUMMYFUNCTION("""COMPUTED_VALUE"""),"Workshop")</f>
        <v>Workshop</v>
      </c>
      <c r="E566" s="3" t="str">
        <f>IFERROR(__xludf.DUMMYFUNCTION("""COMPUTED_VALUE"""),"EJO/2026/02/41")</f>
        <v>EJO/2026/02/41</v>
      </c>
      <c r="F566" s="3" t="str">
        <f>IFERROR(__xludf.DUMMYFUNCTION("""COMPUTED_VALUE"""),"grill exhaust plafon")</f>
        <v>grill exhaust plafon</v>
      </c>
      <c r="G566" s="3">
        <f>IFERROR(__xludf.DUMMYFUNCTION("""COMPUTED_VALUE"""),1.0)</f>
        <v>1</v>
      </c>
      <c r="H566" s="3" t="str">
        <f>IFERROR(__xludf.DUMMYFUNCTION("""COMPUTED_VALUE"""),"unit")</f>
        <v>unit</v>
      </c>
      <c r="I566" s="3" t="str">
        <f>IFERROR(__xludf.DUMMYFUNCTION("""COMPUTED_VALUE"""),"Proses PR")</f>
        <v>Proses PR</v>
      </c>
      <c r="J566" s="3" t="str">
        <f>IFERROR(__xludf.DUMMYFUNCTION("""COMPUTED_VALUE"""),"-")</f>
        <v>-</v>
      </c>
      <c r="K566" s="3" t="str">
        <f>IFERROR(__xludf.DUMMYFUNCTION("""COMPUTED_VALUE"""),"-")</f>
        <v>-</v>
      </c>
    </row>
    <row r="567">
      <c r="A567" s="3" t="str">
        <f>IFERROR(__xludf.DUMMYFUNCTION("""COMPUTED_VALUE"""),"ANOBR0058")</f>
        <v>ANOBR0058</v>
      </c>
      <c r="B567" s="4">
        <f>IFERROR(__xludf.DUMMYFUNCTION("""COMPUTED_VALUE"""),46195.66214417824)</f>
        <v>46195.66214</v>
      </c>
      <c r="C567" s="4">
        <f>IFERROR(__xludf.DUMMYFUNCTION("""COMPUTED_VALUE"""),46206.917823807875)</f>
        <v>46206.91782</v>
      </c>
      <c r="D567" s="3" t="str">
        <f>IFERROR(__xludf.DUMMYFUNCTION("""COMPUTED_VALUE"""),"workshop")</f>
        <v>workshop</v>
      </c>
      <c r="E567" s="3" t="str">
        <f>IFERROR(__xludf.DUMMYFUNCTION("""COMPUTED_VALUE"""),"-")</f>
        <v>-</v>
      </c>
      <c r="F567" s="3" t="str">
        <f>IFERROR(__xludf.DUMMYFUNCTION("""COMPUTED_VALUE"""),"mata gerinda 4 inch")</f>
        <v>mata gerinda 4 inch</v>
      </c>
      <c r="G567" s="3">
        <f>IFERROR(__xludf.DUMMYFUNCTION("""COMPUTED_VALUE"""),5.0)</f>
        <v>5</v>
      </c>
      <c r="H567" s="3" t="str">
        <f>IFERROR(__xludf.DUMMYFUNCTION("""COMPUTED_VALUE"""),"box")</f>
        <v>box</v>
      </c>
      <c r="I567" s="3" t="str">
        <f>IFERROR(__xludf.DUMMYFUNCTION("""COMPUTED_VALUE"""),"-")</f>
        <v>-</v>
      </c>
      <c r="J567" s="3" t="str">
        <f>IFERROR(__xludf.DUMMYFUNCTION("""COMPUTED_VALUE"""),"-")</f>
        <v>-</v>
      </c>
      <c r="K567" s="3" t="str">
        <f>IFERROR(__xludf.DUMMYFUNCTION("""COMPUTED_VALUE"""),"-")</f>
        <v>-</v>
      </c>
    </row>
    <row r="568">
      <c r="A568" s="3" t="str">
        <f>IFERROR(__xludf.DUMMYFUNCTION("""COMPUTED_VALUE"""),"ANOBR0059")</f>
        <v>ANOBR0059</v>
      </c>
      <c r="B568" s="4">
        <f>IFERROR(__xludf.DUMMYFUNCTION("""COMPUTED_VALUE"""),46195.66214417824)</f>
        <v>46195.66214</v>
      </c>
      <c r="C568" s="4">
        <f>IFERROR(__xludf.DUMMYFUNCTION("""COMPUTED_VALUE"""),46206.91827321759)</f>
        <v>46206.91827</v>
      </c>
      <c r="D568" s="3" t="str">
        <f>IFERROR(__xludf.DUMMYFUNCTION("""COMPUTED_VALUE"""),"workshop")</f>
        <v>workshop</v>
      </c>
      <c r="E568" s="3" t="str">
        <f>IFERROR(__xludf.DUMMYFUNCTION("""COMPUTED_VALUE"""),"-")</f>
        <v>-</v>
      </c>
      <c r="F568" s="3" t="str">
        <f>IFERROR(__xludf.DUMMYFUNCTION("""COMPUTED_VALUE"""),"mata gerinda polesh 4 inch")</f>
        <v>mata gerinda polesh 4 inch</v>
      </c>
      <c r="G568" s="3">
        <f>IFERROR(__xludf.DUMMYFUNCTION("""COMPUTED_VALUE"""),5.0)</f>
        <v>5</v>
      </c>
      <c r="H568" s="3" t="str">
        <f>IFERROR(__xludf.DUMMYFUNCTION("""COMPUTED_VALUE"""),"box")</f>
        <v>box</v>
      </c>
      <c r="I568" s="3" t="str">
        <f>IFERROR(__xludf.DUMMYFUNCTION("""COMPUTED_VALUE"""),"-")</f>
        <v>-</v>
      </c>
      <c r="J568" s="3" t="str">
        <f>IFERROR(__xludf.DUMMYFUNCTION("""COMPUTED_VALUE"""),"-")</f>
        <v>-</v>
      </c>
      <c r="K568" s="3" t="str">
        <f>IFERROR(__xludf.DUMMYFUNCTION("""COMPUTED_VALUE"""),"-")</f>
        <v>-</v>
      </c>
    </row>
    <row r="569">
      <c r="A569" s="3" t="str">
        <f>IFERROR(__xludf.DUMMYFUNCTION("""COMPUTED_VALUE"""),"ANOBR0060")</f>
        <v>ANOBR0060</v>
      </c>
      <c r="B569" s="4">
        <f>IFERROR(__xludf.DUMMYFUNCTION("""COMPUTED_VALUE"""),46195.66214417824)</f>
        <v>46195.66214</v>
      </c>
      <c r="C569" s="4">
        <f>IFERROR(__xludf.DUMMYFUNCTION("""COMPUTED_VALUE"""),46206.91855103009)</f>
        <v>46206.91855</v>
      </c>
      <c r="D569" s="3" t="str">
        <f>IFERROR(__xludf.DUMMYFUNCTION("""COMPUTED_VALUE"""),"workshop")</f>
        <v>workshop</v>
      </c>
      <c r="E569" s="3" t="str">
        <f>IFERROR(__xludf.DUMMYFUNCTION("""COMPUTED_VALUE"""),"-")</f>
        <v>-</v>
      </c>
      <c r="F569" s="3" t="str">
        <f>IFERROR(__xludf.DUMMYFUNCTION("""COMPUTED_VALUE"""),"mata gerinda amplas 4""")</f>
        <v>mata gerinda amplas 4"</v>
      </c>
      <c r="G569" s="3">
        <f>IFERROR(__xludf.DUMMYFUNCTION("""COMPUTED_VALUE"""),5.0)</f>
        <v>5</v>
      </c>
      <c r="H569" s="3" t="str">
        <f>IFERROR(__xludf.DUMMYFUNCTION("""COMPUTED_VALUE"""),"box")</f>
        <v>box</v>
      </c>
      <c r="I569" s="3" t="str">
        <f>IFERROR(__xludf.DUMMYFUNCTION("""COMPUTED_VALUE"""),"-")</f>
        <v>-</v>
      </c>
      <c r="J569" s="3" t="str">
        <f>IFERROR(__xludf.DUMMYFUNCTION("""COMPUTED_VALUE"""),"-")</f>
        <v>-</v>
      </c>
      <c r="K569" s="3" t="str">
        <f>IFERROR(__xludf.DUMMYFUNCTION("""COMPUTED_VALUE"""),"-")</f>
        <v>-</v>
      </c>
    </row>
    <row r="570">
      <c r="A570" s="3" t="str">
        <f>IFERROR(__xludf.DUMMYFUNCTION("""COMPUTED_VALUE"""),"ANOBR0061")</f>
        <v>ANOBR0061</v>
      </c>
      <c r="B570" s="4">
        <f>IFERROR(__xludf.DUMMYFUNCTION("""COMPUTED_VALUE"""),46195.66214417824)</f>
        <v>46195.66214</v>
      </c>
      <c r="C570" s="4">
        <f>IFERROR(__xludf.DUMMYFUNCTION("""COMPUTED_VALUE"""),46206.91873672454)</f>
        <v>46206.91874</v>
      </c>
      <c r="D570" s="3" t="str">
        <f>IFERROR(__xludf.DUMMYFUNCTION("""COMPUTED_VALUE"""),"workshop")</f>
        <v>workshop</v>
      </c>
      <c r="E570" s="3" t="str">
        <f>IFERROR(__xludf.DUMMYFUNCTION("""COMPUTED_VALUE"""),"-")</f>
        <v>-</v>
      </c>
      <c r="F570" s="3" t="str">
        <f>IFERROR(__xludf.DUMMYFUNCTION("""COMPUTED_VALUE"""),"mata gerinda amplas 4""")</f>
        <v>mata gerinda amplas 4"</v>
      </c>
      <c r="G570" s="3">
        <f>IFERROR(__xludf.DUMMYFUNCTION("""COMPUTED_VALUE"""),5.0)</f>
        <v>5</v>
      </c>
      <c r="H570" s="3" t="str">
        <f>IFERROR(__xludf.DUMMYFUNCTION("""COMPUTED_VALUE"""),"box")</f>
        <v>box</v>
      </c>
      <c r="I570" s="3" t="str">
        <f>IFERROR(__xludf.DUMMYFUNCTION("""COMPUTED_VALUE"""),"-")</f>
        <v>-</v>
      </c>
      <c r="J570" s="3" t="str">
        <f>IFERROR(__xludf.DUMMYFUNCTION("""COMPUTED_VALUE"""),"-")</f>
        <v>-</v>
      </c>
      <c r="K570" s="3" t="str">
        <f>IFERROR(__xludf.DUMMYFUNCTION("""COMPUTED_VALUE"""),"-")</f>
        <v>-</v>
      </c>
    </row>
    <row r="571">
      <c r="A571" s="3" t="str">
        <f>IFERROR(__xludf.DUMMYFUNCTION("""COMPUTED_VALUE"""),"ANOBR0062")</f>
        <v>ANOBR0062</v>
      </c>
      <c r="B571" s="4">
        <f>IFERROR(__xludf.DUMMYFUNCTION("""COMPUTED_VALUE"""),46195.66214417824)</f>
        <v>46195.66214</v>
      </c>
      <c r="C571" s="4">
        <f>IFERROR(__xludf.DUMMYFUNCTION("""COMPUTED_VALUE"""),46206.91887979167)</f>
        <v>46206.91888</v>
      </c>
      <c r="D571" s="3" t="str">
        <f>IFERROR(__xludf.DUMMYFUNCTION("""COMPUTED_VALUE"""),"workshop")</f>
        <v>workshop</v>
      </c>
      <c r="E571" s="3" t="str">
        <f>IFERROR(__xludf.DUMMYFUNCTION("""COMPUTED_VALUE"""),"-")</f>
        <v>-</v>
      </c>
      <c r="F571" s="3" t="str">
        <f>IFERROR(__xludf.DUMMYFUNCTION("""COMPUTED_VALUE"""),"mata gerinda amplas 4""")</f>
        <v>mata gerinda amplas 4"</v>
      </c>
      <c r="G571" s="3">
        <f>IFERROR(__xludf.DUMMYFUNCTION("""COMPUTED_VALUE"""),3.0)</f>
        <v>3</v>
      </c>
      <c r="H571" s="3" t="str">
        <f>IFERROR(__xludf.DUMMYFUNCTION("""COMPUTED_VALUE"""),"pcs")</f>
        <v>pcs</v>
      </c>
      <c r="I571" s="3" t="str">
        <f>IFERROR(__xludf.DUMMYFUNCTION("""COMPUTED_VALUE"""),"-")</f>
        <v>-</v>
      </c>
      <c r="J571" s="3" t="str">
        <f>IFERROR(__xludf.DUMMYFUNCTION("""COMPUTED_VALUE"""),"-")</f>
        <v>-</v>
      </c>
      <c r="K571" s="3" t="str">
        <f>IFERROR(__xludf.DUMMYFUNCTION("""COMPUTED_VALUE"""),"-")</f>
        <v>-</v>
      </c>
    </row>
    <row r="572">
      <c r="A572" s="3" t="str">
        <f>IFERROR(__xludf.DUMMYFUNCTION("""COMPUTED_VALUE"""),"ANOBR0063")</f>
        <v>ANOBR0063</v>
      </c>
      <c r="B572" s="4">
        <f>IFERROR(__xludf.DUMMYFUNCTION("""COMPUTED_VALUE"""),46195.66214417824)</f>
        <v>46195.66214</v>
      </c>
      <c r="C572" s="4">
        <f>IFERROR(__xludf.DUMMYFUNCTION("""COMPUTED_VALUE"""),46206.91952826388)</f>
        <v>46206.91953</v>
      </c>
      <c r="D572" s="3" t="str">
        <f>IFERROR(__xludf.DUMMYFUNCTION("""COMPUTED_VALUE"""),"pipa FW LT 2")</f>
        <v>pipa FW LT 2</v>
      </c>
      <c r="E572" s="3" t="str">
        <f>IFERROR(__xludf.DUMMYFUNCTION("""COMPUTED_VALUE"""),"-")</f>
        <v>-</v>
      </c>
      <c r="F572" s="3" t="str">
        <f>IFERROR(__xludf.DUMMYFUNCTION("""COMPUTED_VALUE"""),"pipa ss 304 2 1/2"" ")</f>
        <v>pipa ss 304 2 1/2" </v>
      </c>
      <c r="G572" s="3">
        <f>IFERROR(__xludf.DUMMYFUNCTION("""COMPUTED_VALUE"""),4.0)</f>
        <v>4</v>
      </c>
      <c r="H572" s="3" t="str">
        <f>IFERROR(__xludf.DUMMYFUNCTION("""COMPUTED_VALUE"""),"batang")</f>
        <v>batang</v>
      </c>
      <c r="I572" s="3" t="str">
        <f>IFERROR(__xludf.DUMMYFUNCTION("""COMPUTED_VALUE"""),"-")</f>
        <v>-</v>
      </c>
      <c r="J572" s="3" t="str">
        <f>IFERROR(__xludf.DUMMYFUNCTION("""COMPUTED_VALUE"""),"-")</f>
        <v>-</v>
      </c>
      <c r="K572" s="3" t="str">
        <f>IFERROR(__xludf.DUMMYFUNCTION("""COMPUTED_VALUE"""),"-")</f>
        <v>-</v>
      </c>
    </row>
    <row r="573">
      <c r="A573" s="3" t="str">
        <f>IFERROR(__xludf.DUMMYFUNCTION("""COMPUTED_VALUE"""),"ANOBR0064")</f>
        <v>ANOBR0064</v>
      </c>
      <c r="B573" s="4">
        <f>IFERROR(__xludf.DUMMYFUNCTION("""COMPUTED_VALUE"""),46195.66214417824)</f>
        <v>46195.66214</v>
      </c>
      <c r="C573" s="4">
        <f>IFERROR(__xludf.DUMMYFUNCTION("""COMPUTED_VALUE"""),46206.919693946766)</f>
        <v>46206.91969</v>
      </c>
      <c r="D573" s="3" t="str">
        <f>IFERROR(__xludf.DUMMYFUNCTION("""COMPUTED_VALUE"""),"pipa FW LT 2")</f>
        <v>pipa FW LT 2</v>
      </c>
      <c r="E573" s="3" t="str">
        <f>IFERROR(__xludf.DUMMYFUNCTION("""COMPUTED_VALUE"""),"-")</f>
        <v>-</v>
      </c>
      <c r="F573" s="3" t="str">
        <f>IFERROR(__xludf.DUMMYFUNCTION("""COMPUTED_VALUE"""),"flange ss 304 2 1/2 DN 75")</f>
        <v>flange ss 304 2 1/2 DN 75</v>
      </c>
      <c r="G573" s="3">
        <f>IFERROR(__xludf.DUMMYFUNCTION("""COMPUTED_VALUE"""),8.0)</f>
        <v>8</v>
      </c>
      <c r="H573" s="3" t="str">
        <f>IFERROR(__xludf.DUMMYFUNCTION("""COMPUTED_VALUE"""),"PCS")</f>
        <v>PCS</v>
      </c>
      <c r="I573" s="3" t="str">
        <f>IFERROR(__xludf.DUMMYFUNCTION("""COMPUTED_VALUE"""),"-")</f>
        <v>-</v>
      </c>
      <c r="J573" s="3" t="str">
        <f>IFERROR(__xludf.DUMMYFUNCTION("""COMPUTED_VALUE"""),"-")</f>
        <v>-</v>
      </c>
      <c r="K573" s="3" t="str">
        <f>IFERROR(__xludf.DUMMYFUNCTION("""COMPUTED_VALUE"""),"-")</f>
        <v>-</v>
      </c>
    </row>
    <row r="574">
      <c r="A574" s="3" t="str">
        <f>IFERROR(__xludf.DUMMYFUNCTION("""COMPUTED_VALUE"""),"ANOBR0065")</f>
        <v>ANOBR0065</v>
      </c>
      <c r="B574" s="4">
        <f>IFERROR(__xludf.DUMMYFUNCTION("""COMPUTED_VALUE"""),46195.66214417824)</f>
        <v>46195.66214</v>
      </c>
      <c r="C574" s="4">
        <f>IFERROR(__xludf.DUMMYFUNCTION("""COMPUTED_VALUE"""),46206.91984581019)</f>
        <v>46206.91985</v>
      </c>
      <c r="D574" s="3" t="str">
        <f>IFERROR(__xludf.DUMMYFUNCTION("""COMPUTED_VALUE"""),"pipa FW LT 2")</f>
        <v>pipa FW LT 2</v>
      </c>
      <c r="E574" s="3" t="str">
        <f>IFERROR(__xludf.DUMMYFUNCTION("""COMPUTED_VALUE"""),"-")</f>
        <v>-</v>
      </c>
      <c r="F574" s="3" t="str">
        <f>IFERROR(__xludf.DUMMYFUNCTION("""COMPUTED_VALUE"""),"Elbow SS 304 2 1/2"" ")</f>
        <v>Elbow SS 304 2 1/2" </v>
      </c>
      <c r="G574" s="3">
        <f>IFERROR(__xludf.DUMMYFUNCTION("""COMPUTED_VALUE"""),8.0)</f>
        <v>8</v>
      </c>
      <c r="H574" s="3" t="str">
        <f>IFERROR(__xludf.DUMMYFUNCTION("""COMPUTED_VALUE"""),"pcs")</f>
        <v>pcs</v>
      </c>
      <c r="I574" s="3" t="str">
        <f>IFERROR(__xludf.DUMMYFUNCTION("""COMPUTED_VALUE"""),"-")</f>
        <v>-</v>
      </c>
      <c r="J574" s="3" t="str">
        <f>IFERROR(__xludf.DUMMYFUNCTION("""COMPUTED_VALUE"""),"-")</f>
        <v>-</v>
      </c>
      <c r="K574" s="3" t="str">
        <f>IFERROR(__xludf.DUMMYFUNCTION("""COMPUTED_VALUE"""),"-")</f>
        <v>-</v>
      </c>
    </row>
    <row r="575">
      <c r="A575" s="3" t="str">
        <f>IFERROR(__xludf.DUMMYFUNCTION("""COMPUTED_VALUE"""),"ANOBR0066")</f>
        <v>ANOBR0066</v>
      </c>
      <c r="B575" s="4">
        <f>IFERROR(__xludf.DUMMYFUNCTION("""COMPUTED_VALUE"""),46195.66214417824)</f>
        <v>46195.66214</v>
      </c>
      <c r="C575" s="4">
        <f>IFERROR(__xludf.DUMMYFUNCTION("""COMPUTED_VALUE"""),46206.920113402775)</f>
        <v>46206.92011</v>
      </c>
      <c r="D575" s="3" t="str">
        <f>IFERROR(__xludf.DUMMYFUNCTION("""COMPUTED_VALUE"""),"pipa FW LT 2")</f>
        <v>pipa FW LT 2</v>
      </c>
      <c r="E575" s="3" t="str">
        <f>IFERROR(__xludf.DUMMYFUNCTION("""COMPUTED_VALUE"""),"-")</f>
        <v>-</v>
      </c>
      <c r="F575" s="3" t="str">
        <f>IFERROR(__xludf.DUMMYFUNCTION("""COMPUTED_VALUE"""),"pipa 1 inch ")</f>
        <v>pipa 1 inch </v>
      </c>
      <c r="G575" s="3">
        <f>IFERROR(__xludf.DUMMYFUNCTION("""COMPUTED_VALUE"""),3.0)</f>
        <v>3</v>
      </c>
      <c r="H575" s="3" t="str">
        <f>IFERROR(__xludf.DUMMYFUNCTION("""COMPUTED_VALUE"""),"batang")</f>
        <v>batang</v>
      </c>
      <c r="I575" s="3" t="str">
        <f>IFERROR(__xludf.DUMMYFUNCTION("""COMPUTED_VALUE"""),"-")</f>
        <v>-</v>
      </c>
      <c r="J575" s="3" t="str">
        <f>IFERROR(__xludf.DUMMYFUNCTION("""COMPUTED_VALUE"""),"-")</f>
        <v>-</v>
      </c>
      <c r="K575" s="3" t="str">
        <f>IFERROR(__xludf.DUMMYFUNCTION("""COMPUTED_VALUE"""),"-")</f>
        <v>-</v>
      </c>
    </row>
    <row r="576">
      <c r="A576" s="3" t="str">
        <f>IFERROR(__xludf.DUMMYFUNCTION("""COMPUTED_VALUE"""),"ANOBR0067")</f>
        <v>ANOBR0067</v>
      </c>
      <c r="B576" s="4">
        <f>IFERROR(__xludf.DUMMYFUNCTION("""COMPUTED_VALUE"""),46195.66214417824)</f>
        <v>46195.66214</v>
      </c>
      <c r="C576" s="4">
        <f>IFERROR(__xludf.DUMMYFUNCTION("""COMPUTED_VALUE"""),46206.92038196759)</f>
        <v>46206.92038</v>
      </c>
      <c r="D576" s="3" t="str">
        <f>IFERROR(__xludf.DUMMYFUNCTION("""COMPUTED_VALUE"""),"pipa FW LT 2")</f>
        <v>pipa FW LT 2</v>
      </c>
      <c r="E576" s="3" t="str">
        <f>IFERROR(__xludf.DUMMYFUNCTION("""COMPUTED_VALUE"""),"-")</f>
        <v>-</v>
      </c>
      <c r="F576" s="3" t="str">
        <f>IFERROR(__xludf.DUMMYFUNCTION("""COMPUTED_VALUE"""),"elbow 1 inch ")</f>
        <v>elbow 1 inch </v>
      </c>
      <c r="G576" s="3">
        <f>IFERROR(__xludf.DUMMYFUNCTION("""COMPUTED_VALUE"""),2.0)</f>
        <v>2</v>
      </c>
      <c r="H576" s="3" t="str">
        <f>IFERROR(__xludf.DUMMYFUNCTION("""COMPUTED_VALUE"""),"pcs")</f>
        <v>pcs</v>
      </c>
      <c r="I576" s="3" t="str">
        <f>IFERROR(__xludf.DUMMYFUNCTION("""COMPUTED_VALUE"""),"-")</f>
        <v>-</v>
      </c>
      <c r="J576" s="3" t="str">
        <f>IFERROR(__xludf.DUMMYFUNCTION("""COMPUTED_VALUE"""),"-")</f>
        <v>-</v>
      </c>
      <c r="K576" s="3" t="str">
        <f>IFERROR(__xludf.DUMMYFUNCTION("""COMPUTED_VALUE"""),"-")</f>
        <v>-</v>
      </c>
    </row>
    <row r="577">
      <c r="A577" s="3" t="str">
        <f>IFERROR(__xludf.DUMMYFUNCTION("""COMPUTED_VALUE"""),"ANOBR0068")</f>
        <v>ANOBR0068</v>
      </c>
      <c r="B577" s="4">
        <f>IFERROR(__xludf.DUMMYFUNCTION("""COMPUTED_VALUE"""),46195.66214417824)</f>
        <v>46195.66214</v>
      </c>
      <c r="C577" s="4">
        <f>IFERROR(__xludf.DUMMYFUNCTION("""COMPUTED_VALUE"""),46206.92054267361)</f>
        <v>46206.92054</v>
      </c>
      <c r="D577" s="3" t="str">
        <f>IFERROR(__xludf.DUMMYFUNCTION("""COMPUTED_VALUE"""),"pipa FW LT 2")</f>
        <v>pipa FW LT 2</v>
      </c>
      <c r="E577" s="3" t="str">
        <f>IFERROR(__xludf.DUMMYFUNCTION("""COMPUTED_VALUE"""),"-")</f>
        <v>-</v>
      </c>
      <c r="F577" s="3" t="str">
        <f>IFERROR(__xludf.DUMMYFUNCTION("""COMPUTED_VALUE"""),"manual valve 1 inch ")</f>
        <v>manual valve 1 inch </v>
      </c>
      <c r="G577" s="3">
        <f>IFERROR(__xludf.DUMMYFUNCTION("""COMPUTED_VALUE"""),2.0)</f>
        <v>2</v>
      </c>
      <c r="H577" s="3" t="str">
        <f>IFERROR(__xludf.DUMMYFUNCTION("""COMPUTED_VALUE"""),"pcs")</f>
        <v>pcs</v>
      </c>
      <c r="I577" s="3" t="str">
        <f>IFERROR(__xludf.DUMMYFUNCTION("""COMPUTED_VALUE"""),"-")</f>
        <v>-</v>
      </c>
      <c r="J577" s="3" t="str">
        <f>IFERROR(__xludf.DUMMYFUNCTION("""COMPUTED_VALUE"""),"-")</f>
        <v>-</v>
      </c>
      <c r="K577" s="3" t="str">
        <f>IFERROR(__xludf.DUMMYFUNCTION("""COMPUTED_VALUE"""),"-")</f>
        <v>-</v>
      </c>
    </row>
    <row r="578">
      <c r="A578" s="3" t="str">
        <f>IFERROR(__xludf.DUMMYFUNCTION("""COMPUTED_VALUE"""),"ANOBR0069")</f>
        <v>ANOBR0069</v>
      </c>
      <c r="B578" s="4">
        <f>IFERROR(__xludf.DUMMYFUNCTION("""COMPUTED_VALUE"""),46195.66214417824)</f>
        <v>46195.66214</v>
      </c>
      <c r="C578" s="4">
        <f>IFERROR(__xludf.DUMMYFUNCTION("""COMPUTED_VALUE"""),46206.920700752315)</f>
        <v>46206.9207</v>
      </c>
      <c r="D578" s="3" t="str">
        <f>IFERROR(__xludf.DUMMYFUNCTION("""COMPUTED_VALUE"""),"pipa FW LT 2")</f>
        <v>pipa FW LT 2</v>
      </c>
      <c r="E578" s="3" t="str">
        <f>IFERROR(__xludf.DUMMYFUNCTION("""COMPUTED_VALUE"""),"-")</f>
        <v>-</v>
      </c>
      <c r="F578" s="3" t="str">
        <f>IFERROR(__xludf.DUMMYFUNCTION("""COMPUTED_VALUE"""),"kawat las argon 2 mm")</f>
        <v>kawat las argon 2 mm</v>
      </c>
      <c r="G578" s="3">
        <f>IFERROR(__xludf.DUMMYFUNCTION("""COMPUTED_VALUE"""),2.0)</f>
        <v>2</v>
      </c>
      <c r="H578" s="3" t="str">
        <f>IFERROR(__xludf.DUMMYFUNCTION("""COMPUTED_VALUE"""),"box")</f>
        <v>box</v>
      </c>
      <c r="I578" s="3" t="str">
        <f>IFERROR(__xludf.DUMMYFUNCTION("""COMPUTED_VALUE"""),"-")</f>
        <v>-</v>
      </c>
      <c r="J578" s="3" t="str">
        <f>IFERROR(__xludf.DUMMYFUNCTION("""COMPUTED_VALUE"""),"-")</f>
        <v>-</v>
      </c>
      <c r="K578" s="3" t="str">
        <f>IFERROR(__xludf.DUMMYFUNCTION("""COMPUTED_VALUE"""),"-")</f>
        <v>-</v>
      </c>
    </row>
    <row r="579">
      <c r="A579" s="3" t="str">
        <f>IFERROR(__xludf.DUMMYFUNCTION("""COMPUTED_VALUE"""),"ANOBR0070")</f>
        <v>ANOBR0070</v>
      </c>
      <c r="B579" s="4">
        <f>IFERROR(__xludf.DUMMYFUNCTION("""COMPUTED_VALUE"""),46195.66214417824)</f>
        <v>46195.66214</v>
      </c>
      <c r="C579" s="4">
        <f>IFERROR(__xludf.DUMMYFUNCTION("""COMPUTED_VALUE"""),46206.9208744213)</f>
        <v>46206.92087</v>
      </c>
      <c r="D579" s="3" t="str">
        <f>IFERROR(__xludf.DUMMYFUNCTION("""COMPUTED_VALUE"""),"pipa FW LT 2")</f>
        <v>pipa FW LT 2</v>
      </c>
      <c r="E579" s="3" t="str">
        <f>IFERROR(__xludf.DUMMYFUNCTION("""COMPUTED_VALUE"""),"-")</f>
        <v>-</v>
      </c>
      <c r="F579" s="3" t="str">
        <f>IFERROR(__xludf.DUMMYFUNCTION("""COMPUTED_VALUE"""),"kawat las argon 1.8 mm")</f>
        <v>kawat las argon 1.8 mm</v>
      </c>
      <c r="G579" s="3">
        <f>IFERROR(__xludf.DUMMYFUNCTION("""COMPUTED_VALUE"""),2.0)</f>
        <v>2</v>
      </c>
      <c r="H579" s="3" t="str">
        <f>IFERROR(__xludf.DUMMYFUNCTION("""COMPUTED_VALUE"""),"box")</f>
        <v>box</v>
      </c>
      <c r="I579" s="3" t="str">
        <f>IFERROR(__xludf.DUMMYFUNCTION("""COMPUTED_VALUE"""),"-")</f>
        <v>-</v>
      </c>
      <c r="J579" s="3" t="str">
        <f>IFERROR(__xludf.DUMMYFUNCTION("""COMPUTED_VALUE"""),"-")</f>
        <v>-</v>
      </c>
      <c r="K579" s="3" t="str">
        <f>IFERROR(__xludf.DUMMYFUNCTION("""COMPUTED_VALUE"""),"-")</f>
        <v>-</v>
      </c>
    </row>
    <row r="580">
      <c r="A580" s="3" t="str">
        <f>IFERROR(__xludf.DUMMYFUNCTION("""COMPUTED_VALUE"""),"ANOBR0071")</f>
        <v>ANOBR0071</v>
      </c>
      <c r="B580" s="4">
        <f>IFERROR(__xludf.DUMMYFUNCTION("""COMPUTED_VALUE"""),46195.66828746528)</f>
        <v>46195.66829</v>
      </c>
      <c r="C580" s="4">
        <f>IFERROR(__xludf.DUMMYFUNCTION("""COMPUTED_VALUE"""),46206.92114663194)</f>
        <v>46206.92115</v>
      </c>
      <c r="D580" s="3" t="str">
        <f>IFERROR(__xludf.DUMMYFUNCTION("""COMPUTED_VALUE"""),"pipa FW LT 2")</f>
        <v>pipa FW LT 2</v>
      </c>
      <c r="E580" s="3" t="str">
        <f>IFERROR(__xludf.DUMMYFUNCTION("""COMPUTED_VALUE"""),"-")</f>
        <v>-</v>
      </c>
      <c r="F580" s="3" t="str">
        <f>IFERROR(__xludf.DUMMYFUNCTION("""COMPUTED_VALUE"""),"Tee 2 1/2"" To 1 inch")</f>
        <v>Tee 2 1/2" To 1 inch</v>
      </c>
      <c r="G580" s="3">
        <f>IFERROR(__xludf.DUMMYFUNCTION("""COMPUTED_VALUE"""),2.0)</f>
        <v>2</v>
      </c>
      <c r="H580" s="3" t="str">
        <f>IFERROR(__xludf.DUMMYFUNCTION("""COMPUTED_VALUE"""),"pcs")</f>
        <v>pcs</v>
      </c>
      <c r="I580" s="3" t="str">
        <f>IFERROR(__xludf.DUMMYFUNCTION("""COMPUTED_VALUE"""),"-")</f>
        <v>-</v>
      </c>
      <c r="J580" s="3" t="str">
        <f>IFERROR(__xludf.DUMMYFUNCTION("""COMPUTED_VALUE"""),"-")</f>
        <v>-</v>
      </c>
      <c r="K580" s="3" t="str">
        <f>IFERROR(__xludf.DUMMYFUNCTION("""COMPUTED_VALUE"""),"-")</f>
        <v>-</v>
      </c>
    </row>
    <row r="581">
      <c r="A581" s="3" t="str">
        <f>IFERROR(__xludf.DUMMYFUNCTION("""COMPUTED_VALUE"""),"ANOBR0072")</f>
        <v>ANOBR0072</v>
      </c>
      <c r="B581" s="4">
        <f>IFERROR(__xludf.DUMMYFUNCTION("""COMPUTED_VALUE"""),46195.668796481485)</f>
        <v>46195.6688</v>
      </c>
      <c r="C581" s="4">
        <f>IFERROR(__xludf.DUMMYFUNCTION("""COMPUTED_VALUE"""),46206.92126381944)</f>
        <v>46206.92126</v>
      </c>
      <c r="D581" s="3" t="str">
        <f>IFERROR(__xludf.DUMMYFUNCTION("""COMPUTED_VALUE"""),"pipa FW LT 2")</f>
        <v>pipa FW LT 2</v>
      </c>
      <c r="E581" s="3" t="str">
        <f>IFERROR(__xludf.DUMMYFUNCTION("""COMPUTED_VALUE"""),"-")</f>
        <v>-</v>
      </c>
      <c r="F581" s="3" t="str">
        <f>IFERROR(__xludf.DUMMYFUNCTION("""COMPUTED_VALUE"""),"gasket rubber tebal 3 mm ")</f>
        <v>gasket rubber tebal 3 mm </v>
      </c>
      <c r="G581" s="3">
        <f>IFERROR(__xludf.DUMMYFUNCTION("""COMPUTED_VALUE"""),1.0)</f>
        <v>1</v>
      </c>
      <c r="H581" s="3" t="str">
        <f>IFERROR(__xludf.DUMMYFUNCTION("""COMPUTED_VALUE"""),"lembar")</f>
        <v>lembar</v>
      </c>
      <c r="I581" s="3" t="str">
        <f>IFERROR(__xludf.DUMMYFUNCTION("""COMPUTED_VALUE"""),"-")</f>
        <v>-</v>
      </c>
      <c r="J581" s="3" t="str">
        <f>IFERROR(__xludf.DUMMYFUNCTION("""COMPUTED_VALUE"""),"-")</f>
        <v>-</v>
      </c>
      <c r="K581" s="3" t="str">
        <f>IFERROR(__xludf.DUMMYFUNCTION("""COMPUTED_VALUE"""),"-")</f>
        <v>-</v>
      </c>
    </row>
    <row r="582">
      <c r="A582" s="3" t="str">
        <f>IFERROR(__xludf.DUMMYFUNCTION("""COMPUTED_VALUE"""),"ANOBR0073")</f>
        <v>ANOBR0073</v>
      </c>
      <c r="B582" s="4">
        <f>IFERROR(__xludf.DUMMYFUNCTION("""COMPUTED_VALUE"""),46195.69084635417)</f>
        <v>46195.69085</v>
      </c>
      <c r="C582" s="4">
        <f>IFERROR(__xludf.DUMMYFUNCTION("""COMPUTED_VALUE"""),46206.921395972226)</f>
        <v>46206.9214</v>
      </c>
      <c r="D582" s="3" t="str">
        <f>IFERROR(__xludf.DUMMYFUNCTION("""COMPUTED_VALUE"""),"pipa FW LT 2")</f>
        <v>pipa FW LT 2</v>
      </c>
      <c r="E582" s="3" t="str">
        <f>IFERROR(__xludf.DUMMYFUNCTION("""COMPUTED_VALUE"""),"-")</f>
        <v>-</v>
      </c>
      <c r="F582" s="3" t="str">
        <f>IFERROR(__xludf.DUMMYFUNCTION("""COMPUTED_VALUE"""),"watermur ss 304 1 inch ")</f>
        <v>watermur ss 304 1 inch </v>
      </c>
      <c r="G582" s="3">
        <f>IFERROR(__xludf.DUMMYFUNCTION("""COMPUTED_VALUE"""),4.0)</f>
        <v>4</v>
      </c>
      <c r="H582" s="3" t="str">
        <f>IFERROR(__xludf.DUMMYFUNCTION("""COMPUTED_VALUE"""),"pcs")</f>
        <v>pcs</v>
      </c>
      <c r="I582" s="3" t="str">
        <f>IFERROR(__xludf.DUMMYFUNCTION("""COMPUTED_VALUE"""),"-")</f>
        <v>-</v>
      </c>
      <c r="J582" s="3" t="str">
        <f>IFERROR(__xludf.DUMMYFUNCTION("""COMPUTED_VALUE"""),"-")</f>
        <v>-</v>
      </c>
      <c r="K582" s="3" t="str">
        <f>IFERROR(__xludf.DUMMYFUNCTION("""COMPUTED_VALUE"""),"-")</f>
        <v>-</v>
      </c>
    </row>
    <row r="583">
      <c r="A583" s="3" t="str">
        <f>IFERROR(__xludf.DUMMYFUNCTION("""COMPUTED_VALUE"""),"ANOBR0074")</f>
        <v>ANOBR0074</v>
      </c>
      <c r="B583" s="4">
        <f>IFERROR(__xludf.DUMMYFUNCTION("""COMPUTED_VALUE"""),46195.69084635417)</f>
        <v>46195.69085</v>
      </c>
      <c r="C583" s="4">
        <f>IFERROR(__xludf.DUMMYFUNCTION("""COMPUTED_VALUE"""),46206.92170481481)</f>
        <v>46206.9217</v>
      </c>
      <c r="D583" s="3" t="str">
        <f>IFERROR(__xludf.DUMMYFUNCTION("""COMPUTED_VALUE"""),"pipa FW LT 2")</f>
        <v>pipa FW LT 2</v>
      </c>
      <c r="E583" s="3" t="str">
        <f>IFERROR(__xludf.DUMMYFUNCTION("""COMPUTED_VALUE"""),"-")</f>
        <v>-</v>
      </c>
      <c r="F583" s="3" t="str">
        <f>IFERROR(__xludf.DUMMYFUNCTION("""COMPUTED_VALUE"""),"shock drat luar 1 inch ")</f>
        <v>shock drat luar 1 inch </v>
      </c>
      <c r="G583" s="3">
        <f>IFERROR(__xludf.DUMMYFUNCTION("""COMPUTED_VALUE"""),4.0)</f>
        <v>4</v>
      </c>
      <c r="H583" s="3" t="str">
        <f>IFERROR(__xludf.DUMMYFUNCTION("""COMPUTED_VALUE"""),"pcs")</f>
        <v>pcs</v>
      </c>
      <c r="I583" s="3" t="str">
        <f>IFERROR(__xludf.DUMMYFUNCTION("""COMPUTED_VALUE"""),"-")</f>
        <v>-</v>
      </c>
      <c r="J583" s="3" t="str">
        <f>IFERROR(__xludf.DUMMYFUNCTION("""COMPUTED_VALUE"""),"-")</f>
        <v>-</v>
      </c>
      <c r="K583" s="3" t="str">
        <f>IFERROR(__xludf.DUMMYFUNCTION("""COMPUTED_VALUE"""),"-")</f>
        <v>-</v>
      </c>
    </row>
    <row r="584">
      <c r="A584" s="3" t="str">
        <f>IFERROR(__xludf.DUMMYFUNCTION("""COMPUTED_VALUE"""),"ANOBR0075")</f>
        <v>ANOBR0075</v>
      </c>
      <c r="B584" s="4">
        <f>IFERROR(__xludf.DUMMYFUNCTION("""COMPUTED_VALUE"""),46195.69084635417)</f>
        <v>46195.69085</v>
      </c>
      <c r="C584" s="4">
        <f>IFERROR(__xludf.DUMMYFUNCTION("""COMPUTED_VALUE"""),46206.92185234953)</f>
        <v>46206.92185</v>
      </c>
      <c r="D584" s="3" t="str">
        <f>IFERROR(__xludf.DUMMYFUNCTION("""COMPUTED_VALUE"""),"pipa FW LT 2")</f>
        <v>pipa FW LT 2</v>
      </c>
      <c r="E584" s="3" t="str">
        <f>IFERROR(__xludf.DUMMYFUNCTION("""COMPUTED_VALUE"""),"-")</f>
        <v>-</v>
      </c>
      <c r="F584" s="3" t="str">
        <f>IFERROR(__xludf.DUMMYFUNCTION("""COMPUTED_VALUE"""),"shock drat luar ss 304 1 inch ")</f>
        <v>shock drat luar ss 304 1 inch </v>
      </c>
      <c r="G584" s="3">
        <f>IFERROR(__xludf.DUMMYFUNCTION("""COMPUTED_VALUE"""),4.0)</f>
        <v>4</v>
      </c>
      <c r="H584" s="3" t="str">
        <f>IFERROR(__xludf.DUMMYFUNCTION("""COMPUTED_VALUE"""),"pcs")</f>
        <v>pcs</v>
      </c>
      <c r="I584" s="3" t="str">
        <f>IFERROR(__xludf.DUMMYFUNCTION("""COMPUTED_VALUE"""),"-")</f>
        <v>-</v>
      </c>
      <c r="J584" s="3" t="str">
        <f>IFERROR(__xludf.DUMMYFUNCTION("""COMPUTED_VALUE"""),"-")</f>
        <v>-</v>
      </c>
      <c r="K584" s="3" t="str">
        <f>IFERROR(__xludf.DUMMYFUNCTION("""COMPUTED_VALUE"""),"-")</f>
        <v>-</v>
      </c>
    </row>
    <row r="585">
      <c r="A585" s="3" t="str">
        <f>IFERROR(__xludf.DUMMYFUNCTION("""COMPUTED_VALUE"""),"ANOBR0076")</f>
        <v>ANOBR0076</v>
      </c>
      <c r="B585" s="4">
        <f>IFERROR(__xludf.DUMMYFUNCTION("""COMPUTED_VALUE"""),46195.69084635417)</f>
        <v>46195.69085</v>
      </c>
      <c r="C585" s="4">
        <f>IFERROR(__xludf.DUMMYFUNCTION("""COMPUTED_VALUE"""),46206.9222050926)</f>
        <v>46206.92221</v>
      </c>
      <c r="D585" s="3" t="str">
        <f>IFERROR(__xludf.DUMMYFUNCTION("""COMPUTED_VALUE"""),"pipa FW LT 2")</f>
        <v>pipa FW LT 2</v>
      </c>
      <c r="E585" s="3" t="str">
        <f>IFERROR(__xludf.DUMMYFUNCTION("""COMPUTED_VALUE"""),"-")</f>
        <v>-</v>
      </c>
      <c r="F585" s="3" t="str">
        <f>IFERROR(__xludf.DUMMYFUNCTION("""COMPUTED_VALUE"""),"double nepple ss 304 1 inch ")</f>
        <v>double nepple ss 304 1 inch </v>
      </c>
      <c r="G585" s="3">
        <f>IFERROR(__xludf.DUMMYFUNCTION("""COMPUTED_VALUE"""),4.0)</f>
        <v>4</v>
      </c>
      <c r="H585" s="3" t="str">
        <f>IFERROR(__xludf.DUMMYFUNCTION("""COMPUTED_VALUE"""),"pcs")</f>
        <v>pcs</v>
      </c>
      <c r="I585" s="3" t="str">
        <f>IFERROR(__xludf.DUMMYFUNCTION("""COMPUTED_VALUE"""),"-")</f>
        <v>-</v>
      </c>
      <c r="J585" s="3" t="str">
        <f>IFERROR(__xludf.DUMMYFUNCTION("""COMPUTED_VALUE"""),"-")</f>
        <v>-</v>
      </c>
      <c r="K585" s="3" t="str">
        <f>IFERROR(__xludf.DUMMYFUNCTION("""COMPUTED_VALUE"""),"-")</f>
        <v>-</v>
      </c>
    </row>
    <row r="586">
      <c r="A586" s="3" t="str">
        <f>IFERROR(__xludf.DUMMYFUNCTION("""COMPUTED_VALUE"""),"ANOBR0077")</f>
        <v>ANOBR0077</v>
      </c>
      <c r="B586" s="4">
        <f>IFERROR(__xludf.DUMMYFUNCTION("""COMPUTED_VALUE"""),46195.69084635417)</f>
        <v>46195.69085</v>
      </c>
      <c r="C586" s="4">
        <f>IFERROR(__xludf.DUMMYFUNCTION("""COMPUTED_VALUE"""),46206.92200625)</f>
        <v>46206.92201</v>
      </c>
      <c r="D586" s="3" t="str">
        <f>IFERROR(__xludf.DUMMYFUNCTION("""COMPUTED_VALUE"""),"pipa FW LT 2")</f>
        <v>pipa FW LT 2</v>
      </c>
      <c r="E586" s="3" t="str">
        <f>IFERROR(__xludf.DUMMYFUNCTION("""COMPUTED_VALUE"""),"-")</f>
        <v>-</v>
      </c>
      <c r="F586" s="3" t="str">
        <f>IFERROR(__xludf.DUMMYFUNCTION("""COMPUTED_VALUE"""),"shock drat dalem ss 304 1 inch ")</f>
        <v>shock drat dalem ss 304 1 inch </v>
      </c>
      <c r="G586" s="3">
        <f>IFERROR(__xludf.DUMMYFUNCTION("""COMPUTED_VALUE"""),4.0)</f>
        <v>4</v>
      </c>
      <c r="H586" s="3" t="str">
        <f>IFERROR(__xludf.DUMMYFUNCTION("""COMPUTED_VALUE"""),"pcs")</f>
        <v>pcs</v>
      </c>
      <c r="I586" s="3" t="str">
        <f>IFERROR(__xludf.DUMMYFUNCTION("""COMPUTED_VALUE"""),"-")</f>
        <v>-</v>
      </c>
      <c r="J586" s="3" t="str">
        <f>IFERROR(__xludf.DUMMYFUNCTION("""COMPUTED_VALUE"""),"-")</f>
        <v>-</v>
      </c>
      <c r="K586" s="3" t="str">
        <f>IFERROR(__xludf.DUMMYFUNCTION("""COMPUTED_VALUE"""),"-")</f>
        <v>-</v>
      </c>
    </row>
    <row r="587">
      <c r="A587" s="3" t="str">
        <f>IFERROR(__xludf.DUMMYFUNCTION("""COMPUTED_VALUE"""),"ANOBR0082")</f>
        <v>ANOBR0082</v>
      </c>
      <c r="B587" s="4">
        <f>IFERROR(__xludf.DUMMYFUNCTION("""COMPUTED_VALUE"""),46195.70859394676)</f>
        <v>46195.70859</v>
      </c>
      <c r="C587" s="4">
        <f>IFERROR(__xludf.DUMMYFUNCTION("""COMPUTED_VALUE"""),46206.92355180555)</f>
        <v>46206.92355</v>
      </c>
      <c r="D587" s="3" t="str">
        <f>IFERROR(__xludf.DUMMYFUNCTION("""COMPUTED_VALUE"""),"tabung N2 area luar")</f>
        <v>tabung N2 area luar</v>
      </c>
      <c r="E587" s="3" t="str">
        <f>IFERROR(__xludf.DUMMYFUNCTION("""COMPUTED_VALUE"""),"EJO/2026/06/045")</f>
        <v>EJO/2026/06/045</v>
      </c>
      <c r="F587" s="3" t="str">
        <f>IFERROR(__xludf.DUMMYFUNCTION("""COMPUTED_VALUE"""),"cat besi warna broken white")</f>
        <v>cat besi warna broken white</v>
      </c>
      <c r="G587" s="3">
        <f>IFERROR(__xludf.DUMMYFUNCTION("""COMPUTED_VALUE"""),4.0)</f>
        <v>4</v>
      </c>
      <c r="H587" s="3" t="str">
        <f>IFERROR(__xludf.DUMMYFUNCTION("""COMPUTED_VALUE"""),"kaleng")</f>
        <v>kaleng</v>
      </c>
      <c r="I587" s="3" t="str">
        <f>IFERROR(__xludf.DUMMYFUNCTION("""COMPUTED_VALUE"""),"-")</f>
        <v>-</v>
      </c>
      <c r="J587" s="3" t="str">
        <f>IFERROR(__xludf.DUMMYFUNCTION("""COMPUTED_VALUE"""),"-")</f>
        <v>-</v>
      </c>
      <c r="K587" s="3" t="str">
        <f>IFERROR(__xludf.DUMMYFUNCTION("""COMPUTED_VALUE"""),"-")</f>
        <v>-</v>
      </c>
    </row>
    <row r="588">
      <c r="A588" s="3" t="str">
        <f>IFERROR(__xludf.DUMMYFUNCTION("""COMPUTED_VALUE"""),"ANOBR0083")</f>
        <v>ANOBR0083</v>
      </c>
      <c r="B588" s="4">
        <f>IFERROR(__xludf.DUMMYFUNCTION("""COMPUTED_VALUE"""),46195.70929417824)</f>
        <v>46195.70929</v>
      </c>
      <c r="C588" s="4">
        <f>IFERROR(__xludf.DUMMYFUNCTION("""COMPUTED_VALUE"""),46206.92372028935)</f>
        <v>46206.92372</v>
      </c>
      <c r="D588" s="3" t="str">
        <f>IFERROR(__xludf.DUMMYFUNCTION("""COMPUTED_VALUE"""),"tabung N2 area luar")</f>
        <v>tabung N2 area luar</v>
      </c>
      <c r="E588" s="3" t="str">
        <f>IFERROR(__xludf.DUMMYFUNCTION("""COMPUTED_VALUE"""),"EJO/2026/06/045")</f>
        <v>EJO/2026/06/045</v>
      </c>
      <c r="F588" s="3" t="str">
        <f>IFERROR(__xludf.DUMMYFUNCTION("""COMPUTED_VALUE"""),"tinner PU nippon")</f>
        <v>tinner PU nippon</v>
      </c>
      <c r="G588" s="3">
        <f>IFERROR(__xludf.DUMMYFUNCTION("""COMPUTED_VALUE"""),4.0)</f>
        <v>4</v>
      </c>
      <c r="H588" s="3" t="str">
        <f>IFERROR(__xludf.DUMMYFUNCTION("""COMPUTED_VALUE"""),"kaleng")</f>
        <v>kaleng</v>
      </c>
      <c r="I588" s="3" t="str">
        <f>IFERROR(__xludf.DUMMYFUNCTION("""COMPUTED_VALUE"""),"-")</f>
        <v>-</v>
      </c>
      <c r="J588" s="3" t="str">
        <f>IFERROR(__xludf.DUMMYFUNCTION("""COMPUTED_VALUE"""),"-")</f>
        <v>-</v>
      </c>
      <c r="K588" s="3" t="str">
        <f>IFERROR(__xludf.DUMMYFUNCTION("""COMPUTED_VALUE"""),"-")</f>
        <v>-</v>
      </c>
    </row>
    <row r="589">
      <c r="A589" s="3" t="str">
        <f>IFERROR(__xludf.DUMMYFUNCTION("""COMPUTED_VALUE"""),"ANOBR0078")</f>
        <v>ANOBR0078</v>
      </c>
      <c r="B589" s="4">
        <f>IFERROR(__xludf.DUMMYFUNCTION("""COMPUTED_VALUE"""),46195.71158704861)</f>
        <v>46195.71159</v>
      </c>
      <c r="C589" s="4">
        <f>IFERROR(__xludf.DUMMYFUNCTION("""COMPUTED_VALUE"""),46206.922550069445)</f>
        <v>46206.92255</v>
      </c>
      <c r="D589" s="3" t="str">
        <f>IFERROR(__xludf.DUMMYFUNCTION("""COMPUTED_VALUE"""),"mesin las")</f>
        <v>mesin las</v>
      </c>
      <c r="E589" s="3" t="str">
        <f>IFERROR(__xludf.DUMMYFUNCTION("""COMPUTED_VALUE"""),"-")</f>
        <v>-</v>
      </c>
      <c r="F589" s="3" t="str">
        <f>IFERROR(__xludf.DUMMYFUNCTION("""COMPUTED_VALUE"""),"tungsten 2 mm")</f>
        <v>tungsten 2 mm</v>
      </c>
      <c r="G589" s="3">
        <f>IFERROR(__xludf.DUMMYFUNCTION("""COMPUTED_VALUE"""),5.0)</f>
        <v>5</v>
      </c>
      <c r="H589" s="3" t="str">
        <f>IFERROR(__xludf.DUMMYFUNCTION("""COMPUTED_VALUE"""),"pcs")</f>
        <v>pcs</v>
      </c>
      <c r="I589" s="3" t="str">
        <f>IFERROR(__xludf.DUMMYFUNCTION("""COMPUTED_VALUE"""),"-")</f>
        <v>-</v>
      </c>
      <c r="J589" s="3" t="str">
        <f>IFERROR(__xludf.DUMMYFUNCTION("""COMPUTED_VALUE"""),"-")</f>
        <v>-</v>
      </c>
      <c r="K589" s="3" t="str">
        <f>IFERROR(__xludf.DUMMYFUNCTION("""COMPUTED_VALUE"""),"-")</f>
        <v>-</v>
      </c>
    </row>
    <row r="590">
      <c r="A590" s="3" t="str">
        <f>IFERROR(__xludf.DUMMYFUNCTION("""COMPUTED_VALUE"""),"ANOBR0079")</f>
        <v>ANOBR0079</v>
      </c>
      <c r="B590" s="4">
        <f>IFERROR(__xludf.DUMMYFUNCTION("""COMPUTED_VALUE"""),46195.71158704861)</f>
        <v>46195.71159</v>
      </c>
      <c r="C590" s="4">
        <f>IFERROR(__xludf.DUMMYFUNCTION("""COMPUTED_VALUE"""),46206.9227017824)</f>
        <v>46206.9227</v>
      </c>
      <c r="D590" s="3" t="str">
        <f>IFERROR(__xludf.DUMMYFUNCTION("""COMPUTED_VALUE"""),"mesin las")</f>
        <v>mesin las</v>
      </c>
      <c r="E590" s="3" t="str">
        <f>IFERROR(__xludf.DUMMYFUNCTION("""COMPUTED_VALUE"""),"-")</f>
        <v>-</v>
      </c>
      <c r="F590" s="3" t="str">
        <f>IFERROR(__xludf.DUMMYFUNCTION("""COMPUTED_VALUE"""),"body collet 2 mm")</f>
        <v>body collet 2 mm</v>
      </c>
      <c r="G590" s="3">
        <f>IFERROR(__xludf.DUMMYFUNCTION("""COMPUTED_VALUE"""),4.0)</f>
        <v>4</v>
      </c>
      <c r="H590" s="3" t="str">
        <f>IFERROR(__xludf.DUMMYFUNCTION("""COMPUTED_VALUE"""),"pcs")</f>
        <v>pcs</v>
      </c>
      <c r="I590" s="3" t="str">
        <f>IFERROR(__xludf.DUMMYFUNCTION("""COMPUTED_VALUE"""),"-")</f>
        <v>-</v>
      </c>
      <c r="J590" s="3" t="str">
        <f>IFERROR(__xludf.DUMMYFUNCTION("""COMPUTED_VALUE"""),"-")</f>
        <v>-</v>
      </c>
      <c r="K590" s="3" t="str">
        <f>IFERROR(__xludf.DUMMYFUNCTION("""COMPUTED_VALUE"""),"-")</f>
        <v>-</v>
      </c>
    </row>
    <row r="591">
      <c r="A591" s="3" t="str">
        <f>IFERROR(__xludf.DUMMYFUNCTION("""COMPUTED_VALUE"""),"ANOBR0080")</f>
        <v>ANOBR0080</v>
      </c>
      <c r="B591" s="4">
        <f>IFERROR(__xludf.DUMMYFUNCTION("""COMPUTED_VALUE"""),46195.71158704861)</f>
        <v>46195.71159</v>
      </c>
      <c r="C591" s="4">
        <f>IFERROR(__xludf.DUMMYFUNCTION("""COMPUTED_VALUE"""),46206.92304616899)</f>
        <v>46206.92305</v>
      </c>
      <c r="D591" s="3" t="str">
        <f>IFERROR(__xludf.DUMMYFUNCTION("""COMPUTED_VALUE"""),"mesin las")</f>
        <v>mesin las</v>
      </c>
      <c r="E591" s="3" t="str">
        <f>IFERROR(__xludf.DUMMYFUNCTION("""COMPUTED_VALUE"""),"-")</f>
        <v>-</v>
      </c>
      <c r="F591" s="3" t="str">
        <f>IFERROR(__xludf.DUMMYFUNCTION("""COMPUTED_VALUE"""),"keramik las argon no 6,7,8,9")</f>
        <v>keramik las argon no 6,7,8,9</v>
      </c>
      <c r="G591" s="3">
        <f>IFERROR(__xludf.DUMMYFUNCTION("""COMPUTED_VALUE"""),1.0)</f>
        <v>1</v>
      </c>
      <c r="H591" s="3" t="str">
        <f>IFERROR(__xludf.DUMMYFUNCTION("""COMPUTED_VALUE"""),"set")</f>
        <v>set</v>
      </c>
      <c r="I591" s="3" t="str">
        <f>IFERROR(__xludf.DUMMYFUNCTION("""COMPUTED_VALUE"""),"-")</f>
        <v>-</v>
      </c>
      <c r="J591" s="3" t="str">
        <f>IFERROR(__xludf.DUMMYFUNCTION("""COMPUTED_VALUE"""),"-")</f>
        <v>-</v>
      </c>
      <c r="K591" s="3" t="str">
        <f>IFERROR(__xludf.DUMMYFUNCTION("""COMPUTED_VALUE"""),"-")</f>
        <v>-</v>
      </c>
    </row>
    <row r="592">
      <c r="A592" s="3" t="str">
        <f>IFERROR(__xludf.DUMMYFUNCTION("""COMPUTED_VALUE"""),"ANOBR0081")</f>
        <v>ANOBR0081</v>
      </c>
      <c r="B592" s="4">
        <f>IFERROR(__xludf.DUMMYFUNCTION("""COMPUTED_VALUE"""),46195.71158704861)</f>
        <v>46195.71159</v>
      </c>
      <c r="C592" s="4">
        <f>IFERROR(__xludf.DUMMYFUNCTION("""COMPUTED_VALUE"""),46206.923198842596)</f>
        <v>46206.9232</v>
      </c>
      <c r="D592" s="3" t="str">
        <f>IFERROR(__xludf.DUMMYFUNCTION("""COMPUTED_VALUE"""),"mesin las")</f>
        <v>mesin las</v>
      </c>
      <c r="E592" s="3" t="str">
        <f>IFERROR(__xludf.DUMMYFUNCTION("""COMPUTED_VALUE"""),"-")</f>
        <v>-</v>
      </c>
      <c r="F592" s="3" t="str">
        <f>IFERROR(__xludf.DUMMYFUNCTION("""COMPUTED_VALUE"""),"collet 2 mm")</f>
        <v>collet 2 mm</v>
      </c>
      <c r="G592" s="3">
        <f>IFERROR(__xludf.DUMMYFUNCTION("""COMPUTED_VALUE"""),5.0)</f>
        <v>5</v>
      </c>
      <c r="H592" s="3" t="str">
        <f>IFERROR(__xludf.DUMMYFUNCTION("""COMPUTED_VALUE"""),"pcs")</f>
        <v>pcs</v>
      </c>
      <c r="I592" s="3" t="str">
        <f>IFERROR(__xludf.DUMMYFUNCTION("""COMPUTED_VALUE"""),"-")</f>
        <v>-</v>
      </c>
      <c r="J592" s="3" t="str">
        <f>IFERROR(__xludf.DUMMYFUNCTION("""COMPUTED_VALUE"""),"-")</f>
        <v>-</v>
      </c>
      <c r="K592" s="3" t="str">
        <f>IFERROR(__xludf.DUMMYFUNCTION("""COMPUTED_VALUE"""),"-")</f>
        <v>-</v>
      </c>
    </row>
    <row r="593">
      <c r="A593" s="3" t="str">
        <f>IFERROR(__xludf.DUMMYFUNCTION("""COMPUTED_VALUE"""),"RIABR0170")</f>
        <v>RIABR0170</v>
      </c>
      <c r="B593" s="4">
        <f>IFERROR(__xludf.DUMMYFUNCTION("""COMPUTED_VALUE"""),46195.73185994213)</f>
        <v>46195.73186</v>
      </c>
      <c r="C593" s="4">
        <f>IFERROR(__xludf.DUMMYFUNCTION("""COMPUTED_VALUE"""),46202.89927841435)</f>
        <v>46202.89928</v>
      </c>
      <c r="D593" s="3" t="str">
        <f>IFERROR(__xludf.DUMMYFUNCTION("""COMPUTED_VALUE"""),"R Filling")</f>
        <v>R Filling</v>
      </c>
      <c r="E593" s="3" t="str">
        <f>IFERROR(__xludf.DUMMYFUNCTION("""COMPUTED_VALUE"""),"-")</f>
        <v>-</v>
      </c>
      <c r="F593" s="3" t="str">
        <f>IFERROR(__xludf.DUMMYFUNCTION("""COMPUTED_VALUE"""),"Lampu LED")</f>
        <v>Lampu LED</v>
      </c>
      <c r="G593" s="3">
        <f>IFERROR(__xludf.DUMMYFUNCTION("""COMPUTED_VALUE"""),3.0)</f>
        <v>3</v>
      </c>
      <c r="H593" s="3" t="str">
        <f>IFERROR(__xludf.DUMMYFUNCTION("""COMPUTED_VALUE"""),"Pcs")</f>
        <v>Pcs</v>
      </c>
      <c r="I593" s="3" t="str">
        <f>IFERROR(__xludf.DUMMYFUNCTION("""COMPUTED_VALUE"""),"Deliver")</f>
        <v>Deliver</v>
      </c>
      <c r="J593" s="3" t="str">
        <f>IFERROR(__xludf.DUMMYFUNCTION("""COMPUTED_VALUE"""),"121704501 - APPROVED")</f>
        <v>121704501 - APPROVED</v>
      </c>
      <c r="K593" s="3" t="str">
        <f>IFERROR(__xludf.DUMMYFUNCTION("""COMPUTED_VALUE"""),"GL2608398")</f>
        <v>GL2608398</v>
      </c>
    </row>
    <row r="594">
      <c r="A594" s="3" t="str">
        <f>IFERROR(__xludf.DUMMYFUNCTION("""COMPUTED_VALUE"""),"RIABR0171")</f>
        <v>RIABR0171</v>
      </c>
      <c r="B594" s="4">
        <f>IFERROR(__xludf.DUMMYFUNCTION("""COMPUTED_VALUE"""),46195.73303443287)</f>
        <v>46195.73303</v>
      </c>
      <c r="C594" s="4">
        <f>IFERROR(__xludf.DUMMYFUNCTION("""COMPUTED_VALUE"""),46202.89973020834)</f>
        <v>46202.89973</v>
      </c>
      <c r="D594" s="3" t="str">
        <f>IFERROR(__xludf.DUMMYFUNCTION("""COMPUTED_VALUE"""),"R Filling")</f>
        <v>R Filling</v>
      </c>
      <c r="E594" s="3" t="str">
        <f>IFERROR(__xludf.DUMMYFUNCTION("""COMPUTED_VALUE"""),"-")</f>
        <v>-</v>
      </c>
      <c r="F594" s="3" t="str">
        <f>IFERROR(__xludf.DUMMYFUNCTION("""COMPUTED_VALUE"""),"Kabel")</f>
        <v>Kabel</v>
      </c>
      <c r="G594" s="3">
        <f>IFERROR(__xludf.DUMMYFUNCTION("""COMPUTED_VALUE"""),50.0)</f>
        <v>50</v>
      </c>
      <c r="H594" s="3" t="str">
        <f>IFERROR(__xludf.DUMMYFUNCTION("""COMPUTED_VALUE"""),"Mtr")</f>
        <v>Mtr</v>
      </c>
      <c r="I594" s="3" t="str">
        <f>IFERROR(__xludf.DUMMYFUNCTION("""COMPUTED_VALUE"""),"PO Open")</f>
        <v>PO Open</v>
      </c>
      <c r="J594" s="3" t="str">
        <f>IFERROR(__xludf.DUMMYFUNCTION("""COMPUTED_VALUE"""),"121704512 - APPROVED")</f>
        <v>121704512 - APPROVED</v>
      </c>
      <c r="K594" s="3" t="str">
        <f>IFERROR(__xludf.DUMMYFUNCTION("""COMPUTED_VALUE"""),"GL2608037")</f>
        <v>GL2608037</v>
      </c>
    </row>
    <row r="595">
      <c r="A595" s="3" t="str">
        <f>IFERROR(__xludf.DUMMYFUNCTION("""COMPUTED_VALUE"""),"RIABR0172")</f>
        <v>RIABR0172</v>
      </c>
      <c r="B595" s="4">
        <f>IFERROR(__xludf.DUMMYFUNCTION("""COMPUTED_VALUE"""),46195.73358723379)</f>
        <v>46195.73359</v>
      </c>
      <c r="C595" s="4">
        <f>IFERROR(__xludf.DUMMYFUNCTION("""COMPUTED_VALUE"""),46202.900010046294)</f>
        <v>46202.90001</v>
      </c>
      <c r="D595" s="3" t="str">
        <f>IFERROR(__xludf.DUMMYFUNCTION("""COMPUTED_VALUE"""),"R Filling")</f>
        <v>R Filling</v>
      </c>
      <c r="E595" s="3" t="str">
        <f>IFERROR(__xludf.DUMMYFUNCTION("""COMPUTED_VALUE"""),"-")</f>
        <v>-</v>
      </c>
      <c r="F595" s="3" t="str">
        <f>IFERROR(__xludf.DUMMYFUNCTION("""COMPUTED_VALUE"""),"Conduit")</f>
        <v>Conduit</v>
      </c>
      <c r="G595" s="3">
        <f>IFERROR(__xludf.DUMMYFUNCTION("""COMPUTED_VALUE"""),15.0)</f>
        <v>15</v>
      </c>
      <c r="H595" s="3" t="str">
        <f>IFERROR(__xludf.DUMMYFUNCTION("""COMPUTED_VALUE"""),"Btg")</f>
        <v>Btg</v>
      </c>
      <c r="I595" s="3" t="str">
        <f>IFERROR(__xludf.DUMMYFUNCTION("""COMPUTED_VALUE"""),"PO Open")</f>
        <v>PO Open</v>
      </c>
      <c r="J595" s="3" t="str">
        <f>IFERROR(__xludf.DUMMYFUNCTION("""COMPUTED_VALUE"""),"121704512 - APPROVED")</f>
        <v>121704512 - APPROVED</v>
      </c>
      <c r="K595" s="3" t="str">
        <f>IFERROR(__xludf.DUMMYFUNCTION("""COMPUTED_VALUE"""),"GL2608037")</f>
        <v>GL2608037</v>
      </c>
    </row>
    <row r="596">
      <c r="A596" s="3" t="str">
        <f>IFERROR(__xludf.DUMMYFUNCTION("""COMPUTED_VALUE"""),"RIABR0173")</f>
        <v>RIABR0173</v>
      </c>
      <c r="B596" s="4">
        <f>IFERROR(__xludf.DUMMYFUNCTION("""COMPUTED_VALUE"""),46195.73444259259)</f>
        <v>46195.73444</v>
      </c>
      <c r="C596" s="4">
        <f>IFERROR(__xludf.DUMMYFUNCTION("""COMPUTED_VALUE"""),46202.90017826389)</f>
        <v>46202.90018</v>
      </c>
      <c r="D596" s="3" t="str">
        <f>IFERROR(__xludf.DUMMYFUNCTION("""COMPUTED_VALUE"""),"R Filling")</f>
        <v>R Filling</v>
      </c>
      <c r="E596" s="3" t="str">
        <f>IFERROR(__xludf.DUMMYFUNCTION("""COMPUTED_VALUE"""),"-")</f>
        <v>-</v>
      </c>
      <c r="F596" s="3" t="str">
        <f>IFERROR(__xludf.DUMMYFUNCTION("""COMPUTED_VALUE"""),"T Dus")</f>
        <v>T Dus</v>
      </c>
      <c r="G596" s="3">
        <f>IFERROR(__xludf.DUMMYFUNCTION("""COMPUTED_VALUE"""),10.0)</f>
        <v>10</v>
      </c>
      <c r="H596" s="3" t="str">
        <f>IFERROR(__xludf.DUMMYFUNCTION("""COMPUTED_VALUE"""),"Pcs")</f>
        <v>Pcs</v>
      </c>
      <c r="I596" s="3" t="str">
        <f>IFERROR(__xludf.DUMMYFUNCTION("""COMPUTED_VALUE"""),"PO Open")</f>
        <v>PO Open</v>
      </c>
      <c r="J596" s="3" t="str">
        <f>IFERROR(__xludf.DUMMYFUNCTION("""COMPUTED_VALUE"""),"121704512 - APPROVED")</f>
        <v>121704512 - APPROVED</v>
      </c>
      <c r="K596" s="3" t="str">
        <f>IFERROR(__xludf.DUMMYFUNCTION("""COMPUTED_VALUE"""),"GL2608037")</f>
        <v>GL2608037</v>
      </c>
    </row>
    <row r="597">
      <c r="A597" s="3" t="str">
        <f>IFERROR(__xludf.DUMMYFUNCTION("""COMPUTED_VALUE"""),"RIABR0174")</f>
        <v>RIABR0174</v>
      </c>
      <c r="B597" s="4">
        <f>IFERROR(__xludf.DUMMYFUNCTION("""COMPUTED_VALUE"""),46195.734954363434)</f>
        <v>46195.73495</v>
      </c>
      <c r="C597" s="4">
        <f>IFERROR(__xludf.DUMMYFUNCTION("""COMPUTED_VALUE"""),46202.90059153935)</f>
        <v>46202.90059</v>
      </c>
      <c r="D597" s="3" t="str">
        <f>IFERROR(__xludf.DUMMYFUNCTION("""COMPUTED_VALUE"""),"R Filling")</f>
        <v>R Filling</v>
      </c>
      <c r="E597" s="3" t="str">
        <f>IFERROR(__xludf.DUMMYFUNCTION("""COMPUTED_VALUE"""),"-")</f>
        <v>-</v>
      </c>
      <c r="F597" s="3" t="str">
        <f>IFERROR(__xludf.DUMMYFUNCTION("""COMPUTED_VALUE"""),"Flexible Hose")</f>
        <v>Flexible Hose</v>
      </c>
      <c r="G597" s="3">
        <f>IFERROR(__xludf.DUMMYFUNCTION("""COMPUTED_VALUE"""),1.0)</f>
        <v>1</v>
      </c>
      <c r="H597" s="3" t="str">
        <f>IFERROR(__xludf.DUMMYFUNCTION("""COMPUTED_VALUE"""),"Roll")</f>
        <v>Roll</v>
      </c>
      <c r="I597" s="3" t="str">
        <f>IFERROR(__xludf.DUMMYFUNCTION("""COMPUTED_VALUE"""),"PO Open")</f>
        <v>PO Open</v>
      </c>
      <c r="J597" s="3" t="str">
        <f>IFERROR(__xludf.DUMMYFUNCTION("""COMPUTED_VALUE"""),"121704512 - APPROVED")</f>
        <v>121704512 - APPROVED</v>
      </c>
      <c r="K597" s="3" t="str">
        <f>IFERROR(__xludf.DUMMYFUNCTION("""COMPUTED_VALUE"""),"GL2608037")</f>
        <v>GL2608037</v>
      </c>
    </row>
    <row r="598">
      <c r="A598" s="3" t="str">
        <f>IFERROR(__xludf.DUMMYFUNCTION("""COMPUTED_VALUE"""),"RIABR0175")</f>
        <v>RIABR0175</v>
      </c>
      <c r="B598" s="4">
        <f>IFERROR(__xludf.DUMMYFUNCTION("""COMPUTED_VALUE"""),46195.73548400463)</f>
        <v>46195.73548</v>
      </c>
      <c r="C598" s="4">
        <f>IFERROR(__xludf.DUMMYFUNCTION("""COMPUTED_VALUE"""),46202.90093332176)</f>
        <v>46202.90093</v>
      </c>
      <c r="D598" s="3" t="str">
        <f>IFERROR(__xludf.DUMMYFUNCTION("""COMPUTED_VALUE"""),"R Filling")</f>
        <v>R Filling</v>
      </c>
      <c r="E598" s="3" t="str">
        <f>IFERROR(__xludf.DUMMYFUNCTION("""COMPUTED_VALUE"""),"-")</f>
        <v>-</v>
      </c>
      <c r="F598" s="3" t="str">
        <f>IFERROR(__xludf.DUMMYFUNCTION("""COMPUTED_VALUE"""),"Stop Kontak Dinding")</f>
        <v>Stop Kontak Dinding</v>
      </c>
      <c r="G598" s="3">
        <f>IFERROR(__xludf.DUMMYFUNCTION("""COMPUTED_VALUE"""),2.0)</f>
        <v>2</v>
      </c>
      <c r="H598" s="3" t="str">
        <f>IFERROR(__xludf.DUMMYFUNCTION("""COMPUTED_VALUE"""),"Pcs")</f>
        <v>Pcs</v>
      </c>
      <c r="I598" s="3" t="str">
        <f>IFERROR(__xludf.DUMMYFUNCTION("""COMPUTED_VALUE"""),"PO Open")</f>
        <v>PO Open</v>
      </c>
      <c r="J598" s="3" t="str">
        <f>IFERROR(__xludf.DUMMYFUNCTION("""COMPUTED_VALUE"""),"121704512 - APPROVED")</f>
        <v>121704512 - APPROVED</v>
      </c>
      <c r="K598" s="3" t="str">
        <f>IFERROR(__xludf.DUMMYFUNCTION("""COMPUTED_VALUE"""),"GL2608037")</f>
        <v>GL2608037</v>
      </c>
    </row>
    <row r="599">
      <c r="A599" s="3" t="str">
        <f>IFERROR(__xludf.DUMMYFUNCTION("""COMPUTED_VALUE"""),"RIABR0176")</f>
        <v>RIABR0176</v>
      </c>
      <c r="B599" s="4">
        <f>IFERROR(__xludf.DUMMYFUNCTION("""COMPUTED_VALUE"""),46195.73599431713)</f>
        <v>46195.73599</v>
      </c>
      <c r="C599" s="4">
        <f>IFERROR(__xludf.DUMMYFUNCTION("""COMPUTED_VALUE"""),46202.901082777775)</f>
        <v>46202.90108</v>
      </c>
      <c r="D599" s="3" t="str">
        <f>IFERROR(__xludf.DUMMYFUNCTION("""COMPUTED_VALUE"""),"R Filling")</f>
        <v>R Filling</v>
      </c>
      <c r="E599" s="3" t="str">
        <f>IFERROR(__xludf.DUMMYFUNCTION("""COMPUTED_VALUE"""),"-")</f>
        <v>-</v>
      </c>
      <c r="F599" s="3" t="str">
        <f>IFERROR(__xludf.DUMMYFUNCTION("""COMPUTED_VALUE"""),"Saklar")</f>
        <v>Saklar</v>
      </c>
      <c r="G599" s="3">
        <f>IFERROR(__xludf.DUMMYFUNCTION("""COMPUTED_VALUE"""),2.0)</f>
        <v>2</v>
      </c>
      <c r="H599" s="3" t="str">
        <f>IFERROR(__xludf.DUMMYFUNCTION("""COMPUTED_VALUE"""),"Pcs")</f>
        <v>Pcs</v>
      </c>
      <c r="I599" s="3" t="str">
        <f>IFERROR(__xludf.DUMMYFUNCTION("""COMPUTED_VALUE"""),"PO Open")</f>
        <v>PO Open</v>
      </c>
      <c r="J599" s="3" t="str">
        <f>IFERROR(__xludf.DUMMYFUNCTION("""COMPUTED_VALUE"""),"121704512 - APPROVED")</f>
        <v>121704512 - APPROVED</v>
      </c>
      <c r="K599" s="3" t="str">
        <f>IFERROR(__xludf.DUMMYFUNCTION("""COMPUTED_VALUE"""),"GL2608037")</f>
        <v>GL2608037</v>
      </c>
    </row>
    <row r="600">
      <c r="A600" s="3" t="str">
        <f>IFERROR(__xludf.DUMMYFUNCTION("""COMPUTED_VALUE"""),"RIABR0177")</f>
        <v>RIABR0177</v>
      </c>
      <c r="B600" s="4">
        <f>IFERROR(__xludf.DUMMYFUNCTION("""COMPUTED_VALUE"""),46195.73674716435)</f>
        <v>46195.73675</v>
      </c>
      <c r="C600" s="4">
        <f>IFERROR(__xludf.DUMMYFUNCTION("""COMPUTED_VALUE"""),46202.901307314816)</f>
        <v>46202.90131</v>
      </c>
      <c r="D600" s="3" t="str">
        <f>IFERROR(__xludf.DUMMYFUNCTION("""COMPUTED_VALUE"""),"R Filling")</f>
        <v>R Filling</v>
      </c>
      <c r="E600" s="3" t="str">
        <f>IFERROR(__xludf.DUMMYFUNCTION("""COMPUTED_VALUE"""),"-")</f>
        <v>-</v>
      </c>
      <c r="F600" s="3" t="str">
        <f>IFERROR(__xludf.DUMMYFUNCTION("""COMPUTED_VALUE"""),"Elbow")</f>
        <v>Elbow</v>
      </c>
      <c r="G600" s="3">
        <f>IFERROR(__xludf.DUMMYFUNCTION("""COMPUTED_VALUE"""),20.0)</f>
        <v>20</v>
      </c>
      <c r="H600" s="3" t="str">
        <f>IFERROR(__xludf.DUMMYFUNCTION("""COMPUTED_VALUE"""),"Pcs")</f>
        <v>Pcs</v>
      </c>
      <c r="I600" s="3" t="str">
        <f>IFERROR(__xludf.DUMMYFUNCTION("""COMPUTED_VALUE"""),"PO Open")</f>
        <v>PO Open</v>
      </c>
      <c r="J600" s="3" t="str">
        <f>IFERROR(__xludf.DUMMYFUNCTION("""COMPUTED_VALUE"""),"121704512 - APPROVED")</f>
        <v>121704512 - APPROVED</v>
      </c>
      <c r="K600" s="3" t="str">
        <f>IFERROR(__xludf.DUMMYFUNCTION("""COMPUTED_VALUE"""),"GL2608037")</f>
        <v>GL2608037</v>
      </c>
    </row>
    <row r="601">
      <c r="A601" s="3" t="str">
        <f>IFERROR(__xludf.DUMMYFUNCTION("""COMPUTED_VALUE"""),"RIABR0178")</f>
        <v>RIABR0178</v>
      </c>
      <c r="B601" s="4">
        <f>IFERROR(__xludf.DUMMYFUNCTION("""COMPUTED_VALUE"""),46195.74012084491)</f>
        <v>46195.74012</v>
      </c>
      <c r="C601" s="4">
        <f>IFERROR(__xludf.DUMMYFUNCTION("""COMPUTED_VALUE"""),46202.90184425926)</f>
        <v>46202.90184</v>
      </c>
      <c r="D601" s="3" t="str">
        <f>IFERROR(__xludf.DUMMYFUNCTION("""COMPUTED_VALUE"""),"P ASRS")</f>
        <v>P ASRS</v>
      </c>
      <c r="E601" s="3" t="str">
        <f>IFERROR(__xludf.DUMMYFUNCTION("""COMPUTED_VALUE"""),"EJO/2026/06/102")</f>
        <v>EJO/2026/06/102</v>
      </c>
      <c r="F601" s="3" t="str">
        <f>IFERROR(__xludf.DUMMYFUNCTION("""COMPUTED_VALUE"""),"Kunci Panel")</f>
        <v>Kunci Panel</v>
      </c>
      <c r="G601" s="3">
        <f>IFERROR(__xludf.DUMMYFUNCTION("""COMPUTED_VALUE"""),5.0)</f>
        <v>5</v>
      </c>
      <c r="H601" s="3" t="str">
        <f>IFERROR(__xludf.DUMMYFUNCTION("""COMPUTED_VALUE"""),"Pcs")</f>
        <v>Pcs</v>
      </c>
      <c r="I601" s="3" t="str">
        <f>IFERROR(__xludf.DUMMYFUNCTION("""COMPUTED_VALUE"""),"Proses PR")</f>
        <v>Proses PR</v>
      </c>
      <c r="J601" s="3" t="str">
        <f>IFERROR(__xludf.DUMMYFUNCTION("""COMPUTED_VALUE"""),"-")</f>
        <v>-</v>
      </c>
      <c r="K601" s="3" t="str">
        <f>IFERROR(__xludf.DUMMYFUNCTION("""COMPUTED_VALUE"""),"-")</f>
        <v>-</v>
      </c>
    </row>
    <row r="602">
      <c r="A602" s="3" t="str">
        <f>IFERROR(__xludf.DUMMYFUNCTION("""COMPUTED_VALUE"""),"RIABR0179")</f>
        <v>RIABR0179</v>
      </c>
      <c r="B602" s="4">
        <f>IFERROR(__xludf.DUMMYFUNCTION("""COMPUTED_VALUE"""),46195.88062890047)</f>
        <v>46195.88063</v>
      </c>
      <c r="C602" s="4">
        <f>IFERROR(__xludf.DUMMYFUNCTION("""COMPUTED_VALUE"""),46202.902007083336)</f>
        <v>46202.90201</v>
      </c>
      <c r="D602" s="3" t="str">
        <f>IFERROR(__xludf.DUMMYFUNCTION("""COMPUTED_VALUE"""),"R Filling")</f>
        <v>R Filling</v>
      </c>
      <c r="E602" s="3" t="str">
        <f>IFERROR(__xludf.DUMMYFUNCTION("""COMPUTED_VALUE"""),"-")</f>
        <v>-</v>
      </c>
      <c r="F602" s="3" t="str">
        <f>IFERROR(__xludf.DUMMYFUNCTION("""COMPUTED_VALUE"""),"Saklar")</f>
        <v>Saklar</v>
      </c>
      <c r="G602" s="3">
        <f>IFERROR(__xludf.DUMMYFUNCTION("""COMPUTED_VALUE"""),1.0)</f>
        <v>1</v>
      </c>
      <c r="H602" s="3" t="str">
        <f>IFERROR(__xludf.DUMMYFUNCTION("""COMPUTED_VALUE"""),"Pcs")</f>
        <v>Pcs</v>
      </c>
      <c r="I602" s="3" t="str">
        <f>IFERROR(__xludf.DUMMYFUNCTION("""COMPUTED_VALUE"""),"PO Open")</f>
        <v>PO Open</v>
      </c>
      <c r="J602" s="3" t="str">
        <f>IFERROR(__xludf.DUMMYFUNCTION("""COMPUTED_VALUE"""),"121704512 - APPROVED")</f>
        <v>121704512 - APPROVED</v>
      </c>
      <c r="K602" s="3" t="str">
        <f>IFERROR(__xludf.DUMMYFUNCTION("""COMPUTED_VALUE"""),"GL2608037")</f>
        <v>GL2608037</v>
      </c>
    </row>
    <row r="603">
      <c r="A603" s="3" t="str">
        <f>IFERROR(__xludf.DUMMYFUNCTION("""COMPUTED_VALUE"""),"ROSBR0100")</f>
        <v>ROSBR0100</v>
      </c>
      <c r="B603" s="4">
        <f>IFERROR(__xludf.DUMMYFUNCTION("""COMPUTED_VALUE"""),46196.27835744213)</f>
        <v>46196.27836</v>
      </c>
      <c r="C603" s="4">
        <f>IFERROR(__xludf.DUMMYFUNCTION("""COMPUTED_VALUE"""),46202.60017204861)</f>
        <v>46202.60017</v>
      </c>
      <c r="D603" s="3" t="str">
        <f>IFERROR(__xludf.DUMMYFUNCTION("""COMPUTED_VALUE"""),"CLU")</f>
        <v>CLU</v>
      </c>
      <c r="E603" s="3" t="str">
        <f>IFERROR(__xludf.DUMMYFUNCTION("""COMPUTED_VALUE"""),"EJO/2026/06/085")</f>
        <v>EJO/2026/06/085</v>
      </c>
      <c r="F603" s="3" t="str">
        <f>IFERROR(__xludf.DUMMYFUNCTION("""COMPUTED_VALUE"""),"Body Switch")</f>
        <v>Body Switch</v>
      </c>
      <c r="G603" s="3">
        <f>IFERROR(__xludf.DUMMYFUNCTION("""COMPUTED_VALUE"""),1.0)</f>
        <v>1</v>
      </c>
      <c r="H603" s="3" t="str">
        <f>IFERROR(__xludf.DUMMYFUNCTION("""COMPUTED_VALUE"""),"pcs")</f>
        <v>pcs</v>
      </c>
      <c r="I603" s="3" t="str">
        <f>IFERROR(__xludf.DUMMYFUNCTION("""COMPUTED_VALUE"""),"Mencari Penawaran")</f>
        <v>Mencari Penawaran</v>
      </c>
      <c r="J603" s="3" t="str">
        <f>IFERROR(__xludf.DUMMYFUNCTION("""COMPUTED_VALUE"""),"-")</f>
        <v>-</v>
      </c>
      <c r="K603" s="3" t="str">
        <f>IFERROR(__xludf.DUMMYFUNCTION("""COMPUTED_VALUE"""),"-")</f>
        <v>-</v>
      </c>
    </row>
    <row r="604">
      <c r="A604" s="3" t="str">
        <f>IFERROR(__xludf.DUMMYFUNCTION("""COMPUTED_VALUE"""),"ANOBR0084")</f>
        <v>ANOBR0084</v>
      </c>
      <c r="B604" s="4">
        <f>IFERROR(__xludf.DUMMYFUNCTION("""COMPUTED_VALUE"""),46196.40780642361)</f>
        <v>46196.40781</v>
      </c>
      <c r="C604" s="4">
        <f>IFERROR(__xludf.DUMMYFUNCTION("""COMPUTED_VALUE"""),46206.92428400463)</f>
        <v>46206.92428</v>
      </c>
      <c r="D604" s="3" t="str">
        <f>IFERROR(__xludf.DUMMYFUNCTION("""COMPUTED_VALUE"""),"workshop")</f>
        <v>workshop</v>
      </c>
      <c r="E604" s="3" t="str">
        <f>IFERROR(__xludf.DUMMYFUNCTION("""COMPUTED_VALUE"""),"-")</f>
        <v>-</v>
      </c>
      <c r="F604" s="3" t="str">
        <f>IFERROR(__xludf.DUMMYFUNCTION("""COMPUTED_VALUE"""),"tabung gas argon")</f>
        <v>tabung gas argon</v>
      </c>
      <c r="G604" s="3">
        <f>IFERROR(__xludf.DUMMYFUNCTION("""COMPUTED_VALUE"""),1.0)</f>
        <v>1</v>
      </c>
      <c r="H604" s="3" t="str">
        <f>IFERROR(__xludf.DUMMYFUNCTION("""COMPUTED_VALUE"""),"tabung")</f>
        <v>tabung</v>
      </c>
      <c r="I604" s="3" t="str">
        <f>IFERROR(__xludf.DUMMYFUNCTION("""COMPUTED_VALUE"""),"-")</f>
        <v>-</v>
      </c>
      <c r="J604" s="3" t="str">
        <f>IFERROR(__xludf.DUMMYFUNCTION("""COMPUTED_VALUE"""),"-")</f>
        <v>-</v>
      </c>
      <c r="K604" s="3" t="str">
        <f>IFERROR(__xludf.DUMMYFUNCTION("""COMPUTED_VALUE"""),"-")</f>
        <v>-</v>
      </c>
    </row>
    <row r="605">
      <c r="A605" s="3" t="str">
        <f>IFERROR(__xludf.DUMMYFUNCTION("""COMPUTED_VALUE"""),"RIABR0180")</f>
        <v>RIABR0180</v>
      </c>
      <c r="B605" s="4">
        <f>IFERROR(__xludf.DUMMYFUNCTION("""COMPUTED_VALUE"""),46196.7418049537)</f>
        <v>46196.7418</v>
      </c>
      <c r="C605" s="4">
        <f>IFERROR(__xludf.DUMMYFUNCTION("""COMPUTED_VALUE"""),46198.7117799537)</f>
        <v>46198.71178</v>
      </c>
      <c r="D605" s="3" t="str">
        <f>IFERROR(__xludf.DUMMYFUNCTION("""COMPUTED_VALUE"""),"PC BMS")</f>
        <v>PC BMS</v>
      </c>
      <c r="E605" s="3" t="str">
        <f>IFERROR(__xludf.DUMMYFUNCTION("""COMPUTED_VALUE"""),"EJO/2026/06/155")</f>
        <v>EJO/2026/06/155</v>
      </c>
      <c r="F605" s="3" t="str">
        <f>IFERROR(__xludf.DUMMYFUNCTION("""COMPUTED_VALUE"""),"RAM")</f>
        <v>RAM</v>
      </c>
      <c r="G605" s="3">
        <f>IFERROR(__xludf.DUMMYFUNCTION("""COMPUTED_VALUE"""),2.0)</f>
        <v>2</v>
      </c>
      <c r="H605" s="3" t="str">
        <f>IFERROR(__xludf.DUMMYFUNCTION("""COMPUTED_VALUE"""),"Pcs")</f>
        <v>Pcs</v>
      </c>
      <c r="I605" s="3" t="str">
        <f>IFERROR(__xludf.DUMMYFUNCTION("""COMPUTED_VALUE"""),"Approval Item Code")</f>
        <v>Approval Item Code</v>
      </c>
      <c r="J605" s="3" t="str">
        <f>IFERROR(__xludf.DUMMYFUNCTION("""COMPUTED_VALUE"""),"-")</f>
        <v>-</v>
      </c>
      <c r="K605" s="3" t="str">
        <f>IFERROR(__xludf.DUMMYFUNCTION("""COMPUTED_VALUE"""),"-")</f>
        <v>-</v>
      </c>
    </row>
    <row r="606">
      <c r="A606" s="3" t="str">
        <f>IFERROR(__xludf.DUMMYFUNCTION("""COMPUTED_VALUE"""),"RIABR0181")</f>
        <v>RIABR0181</v>
      </c>
      <c r="B606" s="4">
        <f>IFERROR(__xludf.DUMMYFUNCTION("""COMPUTED_VALUE"""),46196.74315239583)</f>
        <v>46196.74315</v>
      </c>
      <c r="C606" s="4">
        <f>IFERROR(__xludf.DUMMYFUNCTION("""COMPUTED_VALUE"""),46198.712201874994)</f>
        <v>46198.7122</v>
      </c>
      <c r="D606" s="3" t="str">
        <f>IFERROR(__xludf.DUMMYFUNCTION("""COMPUTED_VALUE"""),"PC EMS")</f>
        <v>PC EMS</v>
      </c>
      <c r="E606" s="3" t="str">
        <f>IFERROR(__xludf.DUMMYFUNCTION("""COMPUTED_VALUE"""),"EJO/2026/06/156")</f>
        <v>EJO/2026/06/156</v>
      </c>
      <c r="F606" s="3" t="str">
        <f>IFERROR(__xludf.DUMMYFUNCTION("""COMPUTED_VALUE"""),"RAM")</f>
        <v>RAM</v>
      </c>
      <c r="G606" s="3">
        <f>IFERROR(__xludf.DUMMYFUNCTION("""COMPUTED_VALUE"""),2.0)</f>
        <v>2</v>
      </c>
      <c r="H606" s="3" t="str">
        <f>IFERROR(__xludf.DUMMYFUNCTION("""COMPUTED_VALUE"""),"Pcs")</f>
        <v>Pcs</v>
      </c>
      <c r="I606" s="3" t="str">
        <f>IFERROR(__xludf.DUMMYFUNCTION("""COMPUTED_VALUE"""),"Approval Item Code")</f>
        <v>Approval Item Code</v>
      </c>
      <c r="J606" s="3" t="str">
        <f>IFERROR(__xludf.DUMMYFUNCTION("""COMPUTED_VALUE"""),"-")</f>
        <v>-</v>
      </c>
      <c r="K606" s="3" t="str">
        <f>IFERROR(__xludf.DUMMYFUNCTION("""COMPUTED_VALUE"""),"-")</f>
        <v>-</v>
      </c>
    </row>
    <row r="607">
      <c r="A607" s="3" t="str">
        <f>IFERROR(__xludf.DUMMYFUNCTION("""COMPUTED_VALUE"""),"ROSBR0101")</f>
        <v>ROSBR0101</v>
      </c>
      <c r="B607" s="4">
        <f>IFERROR(__xludf.DUMMYFUNCTION("""COMPUTED_VALUE"""),46197.16986032407)</f>
        <v>46197.16986</v>
      </c>
      <c r="C607" s="4">
        <f>IFERROR(__xludf.DUMMYFUNCTION("""COMPUTED_VALUE"""),46202.600714398155)</f>
        <v>46202.60071</v>
      </c>
      <c r="D607" s="3" t="str">
        <f>IFERROR(__xludf.DUMMYFUNCTION("""COMPUTED_VALUE"""),"FD")</f>
        <v>FD</v>
      </c>
      <c r="E607" s="3" t="str">
        <f>IFERROR(__xludf.DUMMYFUNCTION("""COMPUTED_VALUE"""),"-")</f>
        <v>-</v>
      </c>
      <c r="F607" s="3" t="str">
        <f>IFERROR(__xludf.DUMMYFUNCTION("""COMPUTED_VALUE"""),"Intermediate Plate ")</f>
        <v>Intermediate Plate </v>
      </c>
      <c r="G607" s="3">
        <f>IFERROR(__xludf.DUMMYFUNCTION("""COMPUTED_VALUE"""),1.0)</f>
        <v>1</v>
      </c>
      <c r="H607" s="3" t="str">
        <f>IFERROR(__xludf.DUMMYFUNCTION("""COMPUTED_VALUE"""),"set")</f>
        <v>set</v>
      </c>
      <c r="I607" s="3" t="str">
        <f>IFERROR(__xludf.DUMMYFUNCTION("""COMPUTED_VALUE"""),"Proses PR")</f>
        <v>Proses PR</v>
      </c>
      <c r="J607" s="3" t="str">
        <f>IFERROR(__xludf.DUMMYFUNCTION("""COMPUTED_VALUE"""),"-")</f>
        <v>-</v>
      </c>
      <c r="K607" s="3" t="str">
        <f>IFERROR(__xludf.DUMMYFUNCTION("""COMPUTED_VALUE"""),"-")</f>
        <v>-</v>
      </c>
    </row>
    <row r="608">
      <c r="A608" s="3" t="str">
        <f>IFERROR(__xludf.DUMMYFUNCTION("""COMPUTED_VALUE"""),"ROSBR0102")</f>
        <v>ROSBR0102</v>
      </c>
      <c r="B608" s="4">
        <f>IFERROR(__xludf.DUMMYFUNCTION("""COMPUTED_VALUE"""),46197.1709202662)</f>
        <v>46197.17092</v>
      </c>
      <c r="C608" s="4">
        <f>IFERROR(__xludf.DUMMYFUNCTION("""COMPUTED_VALUE"""),46202.6013596412)</f>
        <v>46202.60136</v>
      </c>
      <c r="D608" s="3" t="str">
        <f>IFERROR(__xludf.DUMMYFUNCTION("""COMPUTED_VALUE"""),"FD")</f>
        <v>FD</v>
      </c>
      <c r="E608" s="3" t="str">
        <f>IFERROR(__xludf.DUMMYFUNCTION("""COMPUTED_VALUE"""),"-")</f>
        <v>-</v>
      </c>
      <c r="F608" s="3" t="str">
        <f>IFERROR(__xludf.DUMMYFUNCTION("""COMPUTED_VALUE"""),"Guide Shelf")</f>
        <v>Guide Shelf</v>
      </c>
      <c r="G608" s="3">
        <f>IFERROR(__xludf.DUMMYFUNCTION("""COMPUTED_VALUE"""),1.0)</f>
        <v>1</v>
      </c>
      <c r="H608" s="3" t="str">
        <f>IFERROR(__xludf.DUMMYFUNCTION("""COMPUTED_VALUE"""),"set")</f>
        <v>set</v>
      </c>
      <c r="I608" s="3" t="str">
        <f>IFERROR(__xludf.DUMMYFUNCTION("""COMPUTED_VALUE"""),"Proses PR")</f>
        <v>Proses PR</v>
      </c>
      <c r="J608" s="3" t="str">
        <f>IFERROR(__xludf.DUMMYFUNCTION("""COMPUTED_VALUE"""),"-")</f>
        <v>-</v>
      </c>
      <c r="K608" s="3" t="str">
        <f>IFERROR(__xludf.DUMMYFUNCTION("""COMPUTED_VALUE"""),"-")</f>
        <v>-</v>
      </c>
    </row>
    <row r="609">
      <c r="A609" s="3" t="str">
        <f>IFERROR(__xludf.DUMMYFUNCTION("""COMPUTED_VALUE"""),"ROSBR0103")</f>
        <v>ROSBR0103</v>
      </c>
      <c r="B609" s="4">
        <f>IFERROR(__xludf.DUMMYFUNCTION("""COMPUTED_VALUE"""),46197.17181105324)</f>
        <v>46197.17181</v>
      </c>
      <c r="C609" s="4">
        <f>IFERROR(__xludf.DUMMYFUNCTION("""COMPUTED_VALUE"""),46202.60186513889)</f>
        <v>46202.60187</v>
      </c>
      <c r="D609" s="3" t="str">
        <f>IFERROR(__xludf.DUMMYFUNCTION("""COMPUTED_VALUE"""),"Capping")</f>
        <v>Capping</v>
      </c>
      <c r="E609" s="3" t="str">
        <f>IFERROR(__xludf.DUMMYFUNCTION("""COMPUTED_VALUE"""),"-")</f>
        <v>-</v>
      </c>
      <c r="F609" s="3" t="str">
        <f>IFERROR(__xludf.DUMMYFUNCTION("""COMPUTED_VALUE"""),"Force Gauge")</f>
        <v>Force Gauge</v>
      </c>
      <c r="G609" s="3">
        <f>IFERROR(__xludf.DUMMYFUNCTION("""COMPUTED_VALUE"""),1.0)</f>
        <v>1</v>
      </c>
      <c r="H609" s="3" t="str">
        <f>IFERROR(__xludf.DUMMYFUNCTION("""COMPUTED_VALUE"""),"set")</f>
        <v>set</v>
      </c>
      <c r="I609" s="3" t="str">
        <f>IFERROR(__xludf.DUMMYFUNCTION("""COMPUTED_VALUE"""),"Proses PR")</f>
        <v>Proses PR</v>
      </c>
      <c r="J609" s="3" t="str">
        <f>IFERROR(__xludf.DUMMYFUNCTION("""COMPUTED_VALUE"""),"-")</f>
        <v>-</v>
      </c>
      <c r="K609" s="3" t="str">
        <f>IFERROR(__xludf.DUMMYFUNCTION("""COMPUTED_VALUE"""),"-")</f>
        <v>-</v>
      </c>
    </row>
    <row r="610">
      <c r="A610" s="3" t="str">
        <f>IFERROR(__xludf.DUMMYFUNCTION("""COMPUTED_VALUE"""),"RIABR0183")</f>
        <v>RIABR0183</v>
      </c>
      <c r="B610" s="4">
        <f>IFERROR(__xludf.DUMMYFUNCTION("""COMPUTED_VALUE"""),46197.840346562494)</f>
        <v>46197.84035</v>
      </c>
      <c r="C610" s="4">
        <f>IFERROR(__xludf.DUMMYFUNCTION("""COMPUTED_VALUE"""),46198.7355043287)</f>
        <v>46198.7355</v>
      </c>
      <c r="D610" s="3" t="str">
        <f>IFERROR(__xludf.DUMMYFUNCTION("""COMPUTED_VALUE"""),"Instalasi Grounding dan Penangkal Petir")</f>
        <v>Instalasi Grounding dan Penangkal Petir</v>
      </c>
      <c r="E610" s="3" t="str">
        <f>IFERROR(__xludf.DUMMYFUNCTION("""COMPUTED_VALUE"""),"-")</f>
        <v>-</v>
      </c>
      <c r="F610" s="3" t="str">
        <f>IFERROR(__xludf.DUMMYFUNCTION("""COMPUTED_VALUE"""),"Bak Kontrol Grounding")</f>
        <v>Bak Kontrol Grounding</v>
      </c>
      <c r="G610" s="3">
        <f>IFERROR(__xludf.DUMMYFUNCTION("""COMPUTED_VALUE"""),2.0)</f>
        <v>2</v>
      </c>
      <c r="H610" s="3" t="str">
        <f>IFERROR(__xludf.DUMMYFUNCTION("""COMPUTED_VALUE"""),"Pcs")</f>
        <v>Pcs</v>
      </c>
      <c r="I610" s="3" t="str">
        <f>IFERROR(__xludf.DUMMYFUNCTION("""COMPUTED_VALUE"""),"Proses PR")</f>
        <v>Proses PR</v>
      </c>
      <c r="J610" s="3" t="str">
        <f>IFERROR(__xludf.DUMMYFUNCTION("""COMPUTED_VALUE"""),"-")</f>
        <v>-</v>
      </c>
      <c r="K610" s="3" t="str">
        <f>IFERROR(__xludf.DUMMYFUNCTION("""COMPUTED_VALUE"""),"-")</f>
        <v>-</v>
      </c>
    </row>
    <row r="611">
      <c r="A611" s="3" t="str">
        <f>IFERROR(__xludf.DUMMYFUNCTION("""COMPUTED_VALUE"""),"WAPBR0005")</f>
        <v>WAPBR0005</v>
      </c>
      <c r="B611" s="4">
        <f>IFERROR(__xludf.DUMMYFUNCTION("""COMPUTED_VALUE"""),46199.583685439815)</f>
        <v>46199.58369</v>
      </c>
      <c r="C611" s="4">
        <f>IFERROR(__xludf.DUMMYFUNCTION("""COMPUTED_VALUE"""),46202.6042544213)</f>
        <v>46202.60425</v>
      </c>
      <c r="D611" s="3" t="str">
        <f>IFERROR(__xludf.DUMMYFUNCTION("""COMPUTED_VALUE"""),"WASHING")</f>
        <v>WASHING</v>
      </c>
      <c r="E611" s="3" t="str">
        <f>IFERROR(__xludf.DUMMYFUNCTION("""COMPUTED_VALUE"""),"EJO/2026/06/141")</f>
        <v>EJO/2026/06/141</v>
      </c>
      <c r="F611" s="3" t="str">
        <f>IFERROR(__xludf.DUMMYFUNCTION("""COMPUTED_VALUE"""),"semprotan angin")</f>
        <v>semprotan angin</v>
      </c>
      <c r="G611" s="3">
        <f>IFERROR(__xludf.DUMMYFUNCTION("""COMPUTED_VALUE"""),2.0)</f>
        <v>2</v>
      </c>
      <c r="H611" s="3" t="str">
        <f>IFERROR(__xludf.DUMMYFUNCTION("""COMPUTED_VALUE"""),"pcs")</f>
        <v>pcs</v>
      </c>
      <c r="I611" s="3" t="str">
        <f>IFERROR(__xludf.DUMMYFUNCTION("""COMPUTED_VALUE"""),"Approval Item Code")</f>
        <v>Approval Item Code</v>
      </c>
      <c r="J611" s="3" t="str">
        <f>IFERROR(__xludf.DUMMYFUNCTION("""COMPUTED_VALUE"""),"-")</f>
        <v>-</v>
      </c>
      <c r="K611" s="3" t="str">
        <f>IFERROR(__xludf.DUMMYFUNCTION("""COMPUTED_VALUE"""),"-")</f>
        <v>-</v>
      </c>
    </row>
    <row r="612">
      <c r="A612" s="3" t="str">
        <f>IFERROR(__xludf.DUMMYFUNCTION("""COMPUTED_VALUE"""),"WAPBR0006")</f>
        <v>WAPBR0006</v>
      </c>
      <c r="B612" s="4">
        <f>IFERROR(__xludf.DUMMYFUNCTION("""COMPUTED_VALUE"""),46202.559652731485)</f>
        <v>46202.55965</v>
      </c>
      <c r="C612" s="4">
        <f>IFERROR(__xludf.DUMMYFUNCTION("""COMPUTED_VALUE"""),46255.68975149305)</f>
        <v>46255.68975</v>
      </c>
      <c r="D612" s="3" t="str">
        <f>IFERROR(__xludf.DUMMYFUNCTION("""COMPUTED_VALUE"""),"Tableting")</f>
        <v>Tableting</v>
      </c>
      <c r="E612" s="3" t="str">
        <f>IFERROR(__xludf.DUMMYFUNCTION("""COMPUTED_VALUE"""),"lampu indikator merah pada mesin tablet")</f>
        <v>lampu indikator merah pada mesin tablet</v>
      </c>
      <c r="F612" s="3" t="str">
        <f>IFERROR(__xludf.DUMMYFUNCTION("""COMPUTED_VALUE"""),"lampu ")</f>
        <v>lampu </v>
      </c>
      <c r="G612" s="3">
        <f>IFERROR(__xludf.DUMMYFUNCTION("""COMPUTED_VALUE"""),4.0)</f>
        <v>4</v>
      </c>
      <c r="H612" s="3" t="str">
        <f>IFERROR(__xludf.DUMMYFUNCTION("""COMPUTED_VALUE"""),"pcs")</f>
        <v>pcs</v>
      </c>
      <c r="I612" s="3" t="str">
        <f>IFERROR(__xludf.DUMMYFUNCTION("""COMPUTED_VALUE"""),"-")</f>
        <v>-</v>
      </c>
      <c r="J612" s="3" t="str">
        <f>IFERROR(__xludf.DUMMYFUNCTION("""COMPUTED_VALUE"""),"-")</f>
        <v>-</v>
      </c>
      <c r="K612" s="3" t="str">
        <f>IFERROR(__xludf.DUMMYFUNCTION("""COMPUTED_VALUE"""),"-")</f>
        <v>-</v>
      </c>
    </row>
    <row r="613">
      <c r="A613" s="3" t="str">
        <f>IFERROR(__xludf.DUMMYFUNCTION("""COMPUTED_VALUE"""),"SFHBR0063")</f>
        <v>SFHBR0063</v>
      </c>
      <c r="B613" s="4">
        <f>IFERROR(__xludf.DUMMYFUNCTION("""COMPUTED_VALUE"""),46202.65666340278)</f>
        <v>46202.65666</v>
      </c>
      <c r="C613" s="4">
        <f>IFERROR(__xludf.DUMMYFUNCTION("""COMPUTED_VALUE"""),46204.9447355324)</f>
        <v>46204.94474</v>
      </c>
      <c r="D613" s="3" t="str">
        <f>IFERROR(__xludf.DUMMYFUNCTION("""COMPUTED_VALUE"""),"lantai 2")</f>
        <v>lantai 2</v>
      </c>
      <c r="E613" s="3" t="str">
        <f>IFERROR(__xludf.DUMMYFUNCTION("""COMPUTED_VALUE"""),"EJO/2026/06/113")</f>
        <v>EJO/2026/06/113</v>
      </c>
      <c r="F613" s="3" t="str">
        <f>IFERROR(__xludf.DUMMYFUNCTION("""COMPUTED_VALUE"""),"SANDBLAST / GLASS FILM / STICKER KACA ES / CUTTING STICKER POLOS 215 Merk RUISITU. TInggi sandblast 122 cm Harga tertera adalah untuk ukuran 122cm x 50meter/ 1ROLL")</f>
        <v>SANDBLAST / GLASS FILM / STICKER KACA ES / CUTTING STICKER POLOS 215 Merk RUISITU. TInggi sandblast 122 cm Harga tertera adalah untuk ukuran 122cm x 50meter/ 1ROLL</v>
      </c>
      <c r="G613" s="3">
        <f>IFERROR(__xludf.DUMMYFUNCTION("""COMPUTED_VALUE"""),6.0)</f>
        <v>6</v>
      </c>
      <c r="H613" s="3" t="str">
        <f>IFERROR(__xludf.DUMMYFUNCTION("""COMPUTED_VALUE"""),"Roll")</f>
        <v>Roll</v>
      </c>
      <c r="I613" s="3" t="str">
        <f>IFERROR(__xludf.DUMMYFUNCTION("""COMPUTED_VALUE"""),"PO Open")</f>
        <v>PO Open</v>
      </c>
      <c r="J613" s="3" t="str">
        <f>IFERROR(__xludf.DUMMYFUNCTION("""COMPUTED_VALUE"""),"121704488 - APPROVED")</f>
        <v>121704488 - APPROVED</v>
      </c>
      <c r="K613" s="3" t="str">
        <f>IFERROR(__xludf.DUMMYFUNCTION("""COMPUTED_VALUE"""),"GL2608399")</f>
        <v>GL2608399</v>
      </c>
    </row>
    <row r="614">
      <c r="A614" s="3" t="str">
        <f>IFERROR(__xludf.DUMMYFUNCTION("""COMPUTED_VALUE"""),"SFHBR0064")</f>
        <v>SFHBR0064</v>
      </c>
      <c r="B614" s="4">
        <f>IFERROR(__xludf.DUMMYFUNCTION("""COMPUTED_VALUE"""),46202.664054583336)</f>
        <v>46202.66405</v>
      </c>
      <c r="C614" s="4">
        <f>IFERROR(__xludf.DUMMYFUNCTION("""COMPUTED_VALUE"""),46204.94524072917)</f>
        <v>46204.94524</v>
      </c>
      <c r="D614" s="3" t="str">
        <f>IFERROR(__xludf.DUMMYFUNCTION("""COMPUTED_VALUE"""),"lantai 2")</f>
        <v>lantai 2</v>
      </c>
      <c r="E614" s="3" t="str">
        <f>IFERROR(__xludf.DUMMYFUNCTION("""COMPUTED_VALUE"""),"EJO/2026/06/113")</f>
        <v>EJO/2026/06/113</v>
      </c>
      <c r="F614" s="3" t="str">
        <f>IFERROR(__xludf.DUMMYFUNCTION("""COMPUTED_VALUE"""),"Rakel Kape Sticker Hijau  SDK 01 Alat Bantu Pasang Sticker Super D Gagang Panjang - SDK 0")</f>
        <v>Rakel Kape Sticker Hijau  SDK 01 Alat Bantu Pasang Sticker Super D Gagang Panjang - SDK 0</v>
      </c>
      <c r="G614" s="3">
        <f>IFERROR(__xludf.DUMMYFUNCTION("""COMPUTED_VALUE"""),5.0)</f>
        <v>5</v>
      </c>
      <c r="H614" s="3" t="str">
        <f>IFERROR(__xludf.DUMMYFUNCTION("""COMPUTED_VALUE"""),"pcs")</f>
        <v>pcs</v>
      </c>
      <c r="I614" s="3" t="str">
        <f>IFERROR(__xludf.DUMMYFUNCTION("""COMPUTED_VALUE"""),"Approval Item Code")</f>
        <v>Approval Item Code</v>
      </c>
      <c r="J614" s="3" t="str">
        <f>IFERROR(__xludf.DUMMYFUNCTION("""COMPUTED_VALUE"""),"-")</f>
        <v>-</v>
      </c>
      <c r="K614" s="3" t="str">
        <f>IFERROR(__xludf.DUMMYFUNCTION("""COMPUTED_VALUE"""),"-")</f>
        <v>-</v>
      </c>
    </row>
    <row r="615">
      <c r="A615" s="3" t="str">
        <f>IFERROR(__xludf.DUMMYFUNCTION("""COMPUTED_VALUE"""),"SFHBR0065")</f>
        <v>SFHBR0065</v>
      </c>
      <c r="B615" s="4">
        <f>IFERROR(__xludf.DUMMYFUNCTION("""COMPUTED_VALUE"""),46202.87510517361)</f>
        <v>46202.87511</v>
      </c>
      <c r="C615" s="4">
        <f>IFERROR(__xludf.DUMMYFUNCTION("""COMPUTED_VALUE"""),46204.94563766204)</f>
        <v>46204.94564</v>
      </c>
      <c r="D615" s="3" t="str">
        <f>IFERROR(__xludf.DUMMYFUNCTION("""COMPUTED_VALUE"""),"lanati 1")</f>
        <v>lanati 1</v>
      </c>
      <c r="E615" s="3" t="str">
        <f>IFERROR(__xludf.DUMMYFUNCTION("""COMPUTED_VALUE"""),"EJO/2026/06/039")</f>
        <v>EJO/2026/06/039</v>
      </c>
      <c r="F615" s="3" t="str">
        <f>IFERROR(__xludf.DUMMYFUNCTION("""COMPUTED_VALUE"""),"LAMPU RC081V PHILIPS LED38S 30W SMARTBRIGHT SLIM PANEL WARNA PUTIH 6500k")</f>
        <v>LAMPU RC081V PHILIPS LED38S 30W SMARTBRIGHT SLIM PANEL WARNA PUTIH 6500k</v>
      </c>
      <c r="G615" s="3">
        <f>IFERROR(__xludf.DUMMYFUNCTION("""COMPUTED_VALUE"""),30.0)</f>
        <v>30</v>
      </c>
      <c r="H615" s="3" t="str">
        <f>IFERROR(__xludf.DUMMYFUNCTION("""COMPUTED_VALUE"""),"pcs")</f>
        <v>pcs</v>
      </c>
      <c r="I615" s="3" t="str">
        <f>IFERROR(__xludf.DUMMYFUNCTION("""COMPUTED_VALUE"""),"PO Open")</f>
        <v>PO Open</v>
      </c>
      <c r="J615" s="3" t="str">
        <f>IFERROR(__xludf.DUMMYFUNCTION("""COMPUTED_VALUE"""),"121704501 - APPROVED")</f>
        <v>121704501 - APPROVED</v>
      </c>
      <c r="K615" s="3" t="str">
        <f>IFERROR(__xludf.DUMMYFUNCTION("""COMPUTED_VALUE"""),"GL2608398")</f>
        <v>GL2608398</v>
      </c>
    </row>
    <row r="616">
      <c r="A616" s="3" t="str">
        <f>IFERROR(__xludf.DUMMYFUNCTION("""COMPUTED_VALUE"""),"MRNBR0111")</f>
        <v>MRNBR0111</v>
      </c>
      <c r="B616" s="4">
        <f>IFERROR(__xludf.DUMMYFUNCTION("""COMPUTED_VALUE"""),46202.96402361111)</f>
        <v>46202.96402</v>
      </c>
      <c r="C616" s="4">
        <f>IFERROR(__xludf.DUMMYFUNCTION("""COMPUTED_VALUE"""),46235.445903541666)</f>
        <v>46235.4459</v>
      </c>
      <c r="D616" s="3" t="str">
        <f>IFERROR(__xludf.DUMMYFUNCTION("""COMPUTED_VALUE"""),"Lampu di IPC")</f>
        <v>Lampu di IPC</v>
      </c>
      <c r="E616" s="3" t="str">
        <f>IFERROR(__xludf.DUMMYFUNCTION("""COMPUTED_VALUE"""),"EJO/2025/08/205")</f>
        <v>EJO/2025/08/205</v>
      </c>
      <c r="F616" s="3" t="str">
        <f>IFERROR(__xludf.DUMMYFUNCTION("""COMPUTED_VALUE"""),"Kap Lampu CPOB")</f>
        <v>Kap Lampu CPOB</v>
      </c>
      <c r="G616" s="3">
        <f>IFERROR(__xludf.DUMMYFUNCTION("""COMPUTED_VALUE"""),5.0)</f>
        <v>5</v>
      </c>
      <c r="H616" s="3" t="str">
        <f>IFERROR(__xludf.DUMMYFUNCTION("""COMPUTED_VALUE"""),"unit")</f>
        <v>unit</v>
      </c>
      <c r="I616" s="3" t="str">
        <f>IFERROR(__xludf.DUMMYFUNCTION("""COMPUTED_VALUE"""),"-")</f>
        <v>-</v>
      </c>
      <c r="J616" s="3" t="str">
        <f>IFERROR(__xludf.DUMMYFUNCTION("""COMPUTED_VALUE"""),"-")</f>
        <v>-</v>
      </c>
      <c r="K616" s="3" t="str">
        <f>IFERROR(__xludf.DUMMYFUNCTION("""COMPUTED_VALUE"""),"-")</f>
        <v>-</v>
      </c>
    </row>
    <row r="617">
      <c r="A617" s="3" t="str">
        <f>IFERROR(__xludf.DUMMYFUNCTION("""COMPUTED_VALUE"""),"MRNBR0112")</f>
        <v>MRNBR0112</v>
      </c>
      <c r="B617" s="4">
        <f>IFERROR(__xludf.DUMMYFUNCTION("""COMPUTED_VALUE"""),46202.9660377662)</f>
        <v>46202.96604</v>
      </c>
      <c r="C617" s="4">
        <f>IFERROR(__xludf.DUMMYFUNCTION("""COMPUTED_VALUE"""),46235.4463004514)</f>
        <v>46235.4463</v>
      </c>
      <c r="D617" s="3" t="str">
        <f>IFERROR(__xludf.DUMMYFUNCTION("""COMPUTED_VALUE"""),"Lampu di IPC")</f>
        <v>Lampu di IPC</v>
      </c>
      <c r="E617" s="3" t="str">
        <f>IFERROR(__xludf.DUMMYFUNCTION("""COMPUTED_VALUE"""),"EJO/2025/08/205")</f>
        <v>EJO/2025/08/205</v>
      </c>
      <c r="F617" s="3" t="str">
        <f>IFERROR(__xludf.DUMMYFUNCTION("""COMPUTED_VALUE"""),"Kap Lampu CPOB")</f>
        <v>Kap Lampu CPOB</v>
      </c>
      <c r="G617" s="3">
        <f>IFERROR(__xludf.DUMMYFUNCTION("""COMPUTED_VALUE"""),5.0)</f>
        <v>5</v>
      </c>
      <c r="H617" s="3" t="str">
        <f>IFERROR(__xludf.DUMMYFUNCTION("""COMPUTED_VALUE"""),"unit")</f>
        <v>unit</v>
      </c>
      <c r="I617" s="3" t="str">
        <f>IFERROR(__xludf.DUMMYFUNCTION("""COMPUTED_VALUE"""),"-")</f>
        <v>-</v>
      </c>
      <c r="J617" s="3" t="str">
        <f>IFERROR(__xludf.DUMMYFUNCTION("""COMPUTED_VALUE"""),"-")</f>
        <v>-</v>
      </c>
      <c r="K617" s="3" t="str">
        <f>IFERROR(__xludf.DUMMYFUNCTION("""COMPUTED_VALUE"""),"-")</f>
        <v>-</v>
      </c>
    </row>
    <row r="618">
      <c r="A618" s="3" t="str">
        <f>IFERROR(__xludf.DUMMYFUNCTION("""COMPUTED_VALUE"""),"RIABR0184")</f>
        <v>RIABR0184</v>
      </c>
      <c r="B618" s="4">
        <f>IFERROR(__xludf.DUMMYFUNCTION("""COMPUTED_VALUE"""),46205.618953564815)</f>
        <v>46205.61895</v>
      </c>
      <c r="C618" s="4">
        <f>IFERROR(__xludf.DUMMYFUNCTION("""COMPUTED_VALUE"""),46206.16608530093)</f>
        <v>46206.16609</v>
      </c>
      <c r="D618" s="3" t="str">
        <f>IFERROR(__xludf.DUMMYFUNCTION("""COMPUTED_VALUE"""),"Alarm System Pintu Emergency")</f>
        <v>Alarm System Pintu Emergency</v>
      </c>
      <c r="E618" s="3" t="str">
        <f>IFERROR(__xludf.DUMMYFUNCTION("""COMPUTED_VALUE"""),"EJO/2026/05/026")</f>
        <v>EJO/2026/05/026</v>
      </c>
      <c r="F618" s="3" t="str">
        <f>IFERROR(__xludf.DUMMYFUNCTION("""COMPUTED_VALUE"""),"Box Panel")</f>
        <v>Box Panel</v>
      </c>
      <c r="G618" s="3">
        <f>IFERROR(__xludf.DUMMYFUNCTION("""COMPUTED_VALUE"""),3.0)</f>
        <v>3</v>
      </c>
      <c r="H618" s="3" t="str">
        <f>IFERROR(__xludf.DUMMYFUNCTION("""COMPUTED_VALUE"""),"Pcs")</f>
        <v>Pcs</v>
      </c>
      <c r="I618" s="3" t="str">
        <f>IFERROR(__xludf.DUMMYFUNCTION("""COMPUTED_VALUE"""),"Approval Item Code")</f>
        <v>Approval Item Code</v>
      </c>
      <c r="J618" s="3" t="str">
        <f>IFERROR(__xludf.DUMMYFUNCTION("""COMPUTED_VALUE"""),"-")</f>
        <v>-</v>
      </c>
      <c r="K618" s="3" t="str">
        <f>IFERROR(__xludf.DUMMYFUNCTION("""COMPUTED_VALUE"""),"-")</f>
        <v>-</v>
      </c>
    </row>
    <row r="619">
      <c r="A619" s="3" t="str">
        <f>IFERROR(__xludf.DUMMYFUNCTION("""COMPUTED_VALUE"""),"RIABR0185")</f>
        <v>RIABR0185</v>
      </c>
      <c r="B619" s="4">
        <f>IFERROR(__xludf.DUMMYFUNCTION("""COMPUTED_VALUE"""),46208.66826355324)</f>
        <v>46208.66826</v>
      </c>
      <c r="C619" s="4">
        <f>IFERROR(__xludf.DUMMYFUNCTION("""COMPUTED_VALUE"""),46254.79782702547)</f>
        <v>46254.79783</v>
      </c>
      <c r="D619" s="3" t="str">
        <f>IFERROR(__xludf.DUMMYFUNCTION("""COMPUTED_VALUE"""),"WICC")</f>
        <v>WICC</v>
      </c>
      <c r="E619" s="3" t="str">
        <f>IFERROR(__xludf.DUMMYFUNCTION("""COMPUTED_VALUE"""),"EJO/2026/06/084")</f>
        <v>EJO/2026/06/084</v>
      </c>
      <c r="F619" s="3" t="str">
        <f>IFERROR(__xludf.DUMMYFUNCTION("""COMPUTED_VALUE"""),"Update Software")</f>
        <v>Update Software</v>
      </c>
      <c r="G619" s="3">
        <f>IFERROR(__xludf.DUMMYFUNCTION("""COMPUTED_VALUE"""),1.0)</f>
        <v>1</v>
      </c>
      <c r="H619" s="3" t="str">
        <f>IFERROR(__xludf.DUMMYFUNCTION("""COMPUTED_VALUE"""),"NOS")</f>
        <v>NOS</v>
      </c>
      <c r="I619" s="3" t="str">
        <f>IFERROR(__xludf.DUMMYFUNCTION("""COMPUTED_VALUE"""),"-")</f>
        <v>-</v>
      </c>
      <c r="J619" s="3" t="str">
        <f>IFERROR(__xludf.DUMMYFUNCTION("""COMPUTED_VALUE"""),"-")</f>
        <v>-</v>
      </c>
      <c r="K619" s="3" t="str">
        <f>IFERROR(__xludf.DUMMYFUNCTION("""COMPUTED_VALUE"""),"-")</f>
        <v>-</v>
      </c>
    </row>
    <row r="620">
      <c r="A620" s="3" t="str">
        <f>IFERROR(__xludf.DUMMYFUNCTION("""COMPUTED_VALUE"""),"ANOBR0085")</f>
        <v>ANOBR0085</v>
      </c>
      <c r="B620" s="4">
        <f>IFERROR(__xludf.DUMMYFUNCTION("""COMPUTED_VALUE"""),46211.62897138889)</f>
        <v>46211.62897</v>
      </c>
      <c r="C620" s="4">
        <f>IFERROR(__xludf.DUMMYFUNCTION("""COMPUTED_VALUE"""),46251.59360675926)</f>
        <v>46251.59361</v>
      </c>
      <c r="D620" s="3" t="str">
        <f>IFERROR(__xludf.DUMMYFUNCTION("""COMPUTED_VALUE"""),"Forklift")</f>
        <v>Forklift</v>
      </c>
      <c r="E620" s="3" t="str">
        <f>IFERROR(__xludf.DUMMYFUNCTION("""COMPUTED_VALUE"""),"-")</f>
        <v>-</v>
      </c>
      <c r="F620" s="3" t="str">
        <f>IFERROR(__xludf.DUMMYFUNCTION("""COMPUTED_VALUE"""),"lithium grease ")</f>
        <v>lithium grease </v>
      </c>
      <c r="G620" s="3">
        <f>IFERROR(__xludf.DUMMYFUNCTION("""COMPUTED_VALUE"""),3.0)</f>
        <v>3</v>
      </c>
      <c r="H620" s="3" t="str">
        <f>IFERROR(__xludf.DUMMYFUNCTION("""COMPUTED_VALUE"""),"botol")</f>
        <v>botol</v>
      </c>
      <c r="I620" s="3" t="str">
        <f>IFERROR(__xludf.DUMMYFUNCTION("""COMPUTED_VALUE"""),"-")</f>
        <v>-</v>
      </c>
      <c r="J620" s="3" t="str">
        <f>IFERROR(__xludf.DUMMYFUNCTION("""COMPUTED_VALUE"""),"-")</f>
        <v>-</v>
      </c>
      <c r="K620" s="3" t="str">
        <f>IFERROR(__xludf.DUMMYFUNCTION("""COMPUTED_VALUE"""),"-")</f>
        <v>-</v>
      </c>
    </row>
    <row r="621">
      <c r="A621" s="3" t="str">
        <f>IFERROR(__xludf.DUMMYFUNCTION("""COMPUTED_VALUE"""),"BDUBR0021")</f>
        <v>BDUBR0021</v>
      </c>
      <c r="B621" s="4">
        <f>IFERROR(__xludf.DUMMYFUNCTION("""COMPUTED_VALUE"""),46213.63460129629)</f>
        <v>46213.6346</v>
      </c>
      <c r="C621" s="4">
        <f>IFERROR(__xludf.DUMMYFUNCTION("""COMPUTED_VALUE"""),46223.47924576389)</f>
        <v>46223.47925</v>
      </c>
      <c r="D621" s="3" t="str">
        <f>IFERROR(__xludf.DUMMYFUNCTION("""COMPUTED_VALUE"""),"General")</f>
        <v>General</v>
      </c>
      <c r="E621" s="3" t="str">
        <f>IFERROR(__xludf.DUMMYFUNCTION("""COMPUTED_VALUE"""),"-")</f>
        <v>-</v>
      </c>
      <c r="F621" s="3" t="str">
        <f>IFERROR(__xludf.DUMMYFUNCTION("""COMPUTED_VALUE"""),"Flexible Conduit")</f>
        <v>Flexible Conduit</v>
      </c>
      <c r="G621" s="3">
        <f>IFERROR(__xludf.DUMMYFUNCTION("""COMPUTED_VALUE"""),25.0)</f>
        <v>25</v>
      </c>
      <c r="H621" s="3" t="str">
        <f>IFERROR(__xludf.DUMMYFUNCTION("""COMPUTED_VALUE"""),"Meter")</f>
        <v>Meter</v>
      </c>
      <c r="I621" s="3" t="str">
        <f>IFERROR(__xludf.DUMMYFUNCTION("""COMPUTED_VALUE"""),"-")</f>
        <v>-</v>
      </c>
      <c r="J621" s="3" t="str">
        <f>IFERROR(__xludf.DUMMYFUNCTION("""COMPUTED_VALUE"""),"-")</f>
        <v>-</v>
      </c>
      <c r="K621" s="3" t="str">
        <f>IFERROR(__xludf.DUMMYFUNCTION("""COMPUTED_VALUE"""),"-")</f>
        <v>-</v>
      </c>
    </row>
    <row r="622">
      <c r="A622" s="3" t="str">
        <f>IFERROR(__xludf.DUMMYFUNCTION("""COMPUTED_VALUE"""),"BDUBR0022")</f>
        <v>BDUBR0022</v>
      </c>
      <c r="B622" s="4">
        <f>IFERROR(__xludf.DUMMYFUNCTION("""COMPUTED_VALUE"""),46213.637206817126)</f>
        <v>46213.63721</v>
      </c>
      <c r="C622" s="4">
        <f>IFERROR(__xludf.DUMMYFUNCTION("""COMPUTED_VALUE"""),46223.47887835649)</f>
        <v>46223.47888</v>
      </c>
      <c r="D622" s="3" t="str">
        <f>IFERROR(__xludf.DUMMYFUNCTION("""COMPUTED_VALUE"""),"General")</f>
        <v>General</v>
      </c>
      <c r="E622" s="3" t="str">
        <f>IFERROR(__xludf.DUMMYFUNCTION("""COMPUTED_VALUE"""),"-")</f>
        <v>-</v>
      </c>
      <c r="F622" s="3" t="str">
        <f>IFERROR(__xludf.DUMMYFUNCTION("""COMPUTED_VALUE"""),"Skun Ferules")</f>
        <v>Skun Ferules</v>
      </c>
      <c r="G622" s="3">
        <f>IFERROR(__xludf.DUMMYFUNCTION("""COMPUTED_VALUE"""),1.0)</f>
        <v>1</v>
      </c>
      <c r="H622" s="3" t="str">
        <f>IFERROR(__xludf.DUMMYFUNCTION("""COMPUTED_VALUE"""),"Pack")</f>
        <v>Pack</v>
      </c>
      <c r="I622" s="3" t="str">
        <f>IFERROR(__xludf.DUMMYFUNCTION("""COMPUTED_VALUE"""),"-")</f>
        <v>-</v>
      </c>
      <c r="J622" s="3" t="str">
        <f>IFERROR(__xludf.DUMMYFUNCTION("""COMPUTED_VALUE"""),"-")</f>
        <v>-</v>
      </c>
      <c r="K622" s="3" t="str">
        <f>IFERROR(__xludf.DUMMYFUNCTION("""COMPUTED_VALUE"""),"-")</f>
        <v>-</v>
      </c>
    </row>
    <row r="623">
      <c r="A623" s="3" t="str">
        <f>IFERROR(__xludf.DUMMYFUNCTION("""COMPUTED_VALUE"""),"BDUBR0023")</f>
        <v>BDUBR0023</v>
      </c>
      <c r="B623" s="4">
        <f>IFERROR(__xludf.DUMMYFUNCTION("""COMPUTED_VALUE"""),46213.639044537034)</f>
        <v>46213.63904</v>
      </c>
      <c r="C623" s="4">
        <f>IFERROR(__xludf.DUMMYFUNCTION("""COMPUTED_VALUE"""),46223.47837805556)</f>
        <v>46223.47838</v>
      </c>
      <c r="D623" s="3" t="str">
        <f>IFERROR(__xludf.DUMMYFUNCTION("""COMPUTED_VALUE"""),"General")</f>
        <v>General</v>
      </c>
      <c r="E623" s="3" t="str">
        <f>IFERROR(__xludf.DUMMYFUNCTION("""COMPUTED_VALUE"""),"-")</f>
        <v>-</v>
      </c>
      <c r="F623" s="3" t="str">
        <f>IFERROR(__xludf.DUMMYFUNCTION("""COMPUTED_VALUE"""),"Skun Ferules")</f>
        <v>Skun Ferules</v>
      </c>
      <c r="G623" s="3">
        <f>IFERROR(__xludf.DUMMYFUNCTION("""COMPUTED_VALUE"""),1.0)</f>
        <v>1</v>
      </c>
      <c r="H623" s="3" t="str">
        <f>IFERROR(__xludf.DUMMYFUNCTION("""COMPUTED_VALUE"""),"Pack")</f>
        <v>Pack</v>
      </c>
      <c r="I623" s="3" t="str">
        <f>IFERROR(__xludf.DUMMYFUNCTION("""COMPUTED_VALUE"""),"-")</f>
        <v>-</v>
      </c>
      <c r="J623" s="3" t="str">
        <f>IFERROR(__xludf.DUMMYFUNCTION("""COMPUTED_VALUE"""),"-")</f>
        <v>-</v>
      </c>
      <c r="K623" s="3" t="str">
        <f>IFERROR(__xludf.DUMMYFUNCTION("""COMPUTED_VALUE"""),"-")</f>
        <v>-</v>
      </c>
    </row>
    <row r="624">
      <c r="A624" s="3" t="str">
        <f>IFERROR(__xludf.DUMMYFUNCTION("""COMPUTED_VALUE"""),"BDUBR0025")</f>
        <v>BDUBR0025</v>
      </c>
      <c r="B624" s="4">
        <f>IFERROR(__xludf.DUMMYFUNCTION("""COMPUTED_VALUE"""),46213.639357106484)</f>
        <v>46213.63936</v>
      </c>
      <c r="C624" s="4">
        <f>IFERROR(__xludf.DUMMYFUNCTION("""COMPUTED_VALUE"""),46223.47425737268)</f>
        <v>46223.47426</v>
      </c>
      <c r="D624" s="3" t="str">
        <f>IFERROR(__xludf.DUMMYFUNCTION("""COMPUTED_VALUE"""),"General")</f>
        <v>General</v>
      </c>
      <c r="E624" s="3" t="str">
        <f>IFERROR(__xludf.DUMMYFUNCTION("""COMPUTED_VALUE"""),"-")</f>
        <v>-</v>
      </c>
      <c r="F624" s="3" t="str">
        <f>IFERROR(__xludf.DUMMYFUNCTION("""COMPUTED_VALUE"""),"Skun kabel O")</f>
        <v>Skun kabel O</v>
      </c>
      <c r="G624" s="3">
        <f>IFERROR(__xludf.DUMMYFUNCTION("""COMPUTED_VALUE"""),1.0)</f>
        <v>1</v>
      </c>
      <c r="H624" s="3" t="str">
        <f>IFERROR(__xludf.DUMMYFUNCTION("""COMPUTED_VALUE"""),"Pack")</f>
        <v>Pack</v>
      </c>
      <c r="I624" s="3" t="str">
        <f>IFERROR(__xludf.DUMMYFUNCTION("""COMPUTED_VALUE"""),"-")</f>
        <v>-</v>
      </c>
      <c r="J624" s="3" t="str">
        <f>IFERROR(__xludf.DUMMYFUNCTION("""COMPUTED_VALUE"""),"-")</f>
        <v>-</v>
      </c>
      <c r="K624" s="3" t="str">
        <f>IFERROR(__xludf.DUMMYFUNCTION("""COMPUTED_VALUE"""),"-")</f>
        <v>-</v>
      </c>
    </row>
    <row r="625">
      <c r="A625" s="3" t="str">
        <f>IFERROR(__xludf.DUMMYFUNCTION("""COMPUTED_VALUE"""),"BDUBR0026")</f>
        <v>BDUBR0026</v>
      </c>
      <c r="B625" s="4">
        <f>IFERROR(__xludf.DUMMYFUNCTION("""COMPUTED_VALUE"""),46213.640617835656)</f>
        <v>46213.64062</v>
      </c>
      <c r="C625" s="4">
        <f>IFERROR(__xludf.DUMMYFUNCTION("""COMPUTED_VALUE"""),46223.47343291667)</f>
        <v>46223.47343</v>
      </c>
      <c r="D625" s="3" t="str">
        <f>IFERROR(__xludf.DUMMYFUNCTION("""COMPUTED_VALUE"""),"General")</f>
        <v>General</v>
      </c>
      <c r="E625" s="3" t="str">
        <f>IFERROR(__xludf.DUMMYFUNCTION("""COMPUTED_VALUE"""),"-")</f>
        <v>-</v>
      </c>
      <c r="F625" s="3" t="str">
        <f>IFERROR(__xludf.DUMMYFUNCTION("""COMPUTED_VALUE"""),"Solasi Listrik")</f>
        <v>Solasi Listrik</v>
      </c>
      <c r="G625" s="3">
        <f>IFERROR(__xludf.DUMMYFUNCTION("""COMPUTED_VALUE"""),1.0)</f>
        <v>1</v>
      </c>
      <c r="H625" s="3" t="str">
        <f>IFERROR(__xludf.DUMMYFUNCTION("""COMPUTED_VALUE"""),"pcs")</f>
        <v>pcs</v>
      </c>
      <c r="I625" s="3" t="str">
        <f>IFERROR(__xludf.DUMMYFUNCTION("""COMPUTED_VALUE"""),"-")</f>
        <v>-</v>
      </c>
      <c r="J625" s="3" t="str">
        <f>IFERROR(__xludf.DUMMYFUNCTION("""COMPUTED_VALUE"""),"-")</f>
        <v>-</v>
      </c>
      <c r="K625" s="3" t="str">
        <f>IFERROR(__xludf.DUMMYFUNCTION("""COMPUTED_VALUE"""),"-")</f>
        <v>-</v>
      </c>
    </row>
    <row r="626">
      <c r="A626" s="3" t="str">
        <f>IFERROR(__xludf.DUMMYFUNCTION("""COMPUTED_VALUE"""),"BDUBR0028")</f>
        <v>BDUBR0028</v>
      </c>
      <c r="B626" s="4">
        <f>IFERROR(__xludf.DUMMYFUNCTION("""COMPUTED_VALUE"""),46213.643535497686)</f>
        <v>46213.64354</v>
      </c>
      <c r="C626" s="4">
        <f>IFERROR(__xludf.DUMMYFUNCTION("""COMPUTED_VALUE"""),46223.47155996528)</f>
        <v>46223.47156</v>
      </c>
      <c r="D626" s="3" t="str">
        <f>IFERROR(__xludf.DUMMYFUNCTION("""COMPUTED_VALUE"""),"General")</f>
        <v>General</v>
      </c>
      <c r="E626" s="3" t="str">
        <f>IFERROR(__xludf.DUMMYFUNCTION("""COMPUTED_VALUE"""),"-")</f>
        <v>-</v>
      </c>
      <c r="F626" s="3" t="str">
        <f>IFERROR(__xludf.DUMMYFUNCTION("""COMPUTED_VALUE"""),"Kabel Ties Stainless Steel 4,6 x 400")</f>
        <v>Kabel Ties Stainless Steel 4,6 x 400</v>
      </c>
      <c r="G626" s="3">
        <f>IFERROR(__xludf.DUMMYFUNCTION("""COMPUTED_VALUE"""),1.0)</f>
        <v>1</v>
      </c>
      <c r="H626" s="3" t="str">
        <f>IFERROR(__xludf.DUMMYFUNCTION("""COMPUTED_VALUE"""),"Pack")</f>
        <v>Pack</v>
      </c>
      <c r="I626" s="3" t="str">
        <f>IFERROR(__xludf.DUMMYFUNCTION("""COMPUTED_VALUE"""),"-")</f>
        <v>-</v>
      </c>
      <c r="J626" s="3" t="str">
        <f>IFERROR(__xludf.DUMMYFUNCTION("""COMPUTED_VALUE"""),"-")</f>
        <v>-</v>
      </c>
      <c r="K626" s="3" t="str">
        <f>IFERROR(__xludf.DUMMYFUNCTION("""COMPUTED_VALUE"""),"-")</f>
        <v>-</v>
      </c>
    </row>
    <row r="627">
      <c r="A627" s="3" t="str">
        <f>IFERROR(__xludf.DUMMYFUNCTION("""COMPUTED_VALUE"""),"BDUBR0029")</f>
        <v>BDUBR0029</v>
      </c>
      <c r="B627" s="4">
        <f>IFERROR(__xludf.DUMMYFUNCTION("""COMPUTED_VALUE"""),46213.64776771991)</f>
        <v>46213.64777</v>
      </c>
      <c r="C627" s="4">
        <f>IFERROR(__xludf.DUMMYFUNCTION("""COMPUTED_VALUE"""),46223.4705571875)</f>
        <v>46223.47056</v>
      </c>
      <c r="D627" s="3" t="str">
        <f>IFERROR(__xludf.DUMMYFUNCTION("""COMPUTED_VALUE"""),"General")</f>
        <v>General</v>
      </c>
      <c r="E627" s="3" t="str">
        <f>IFERROR(__xludf.DUMMYFUNCTION("""COMPUTED_VALUE"""),"-")</f>
        <v>-</v>
      </c>
      <c r="F627" s="3" t="str">
        <f>IFERROR(__xludf.DUMMYFUNCTION("""COMPUTED_VALUE"""),"Tang Skun Ferrules")</f>
        <v>Tang Skun Ferrules</v>
      </c>
      <c r="G627" s="3">
        <f>IFERROR(__xludf.DUMMYFUNCTION("""COMPUTED_VALUE"""),1.0)</f>
        <v>1</v>
      </c>
      <c r="H627" s="3" t="str">
        <f>IFERROR(__xludf.DUMMYFUNCTION("""COMPUTED_VALUE"""),"pcs")</f>
        <v>pcs</v>
      </c>
      <c r="I627" s="3" t="str">
        <f>IFERROR(__xludf.DUMMYFUNCTION("""COMPUTED_VALUE"""),"-")</f>
        <v>-</v>
      </c>
      <c r="J627" s="3" t="str">
        <f>IFERROR(__xludf.DUMMYFUNCTION("""COMPUTED_VALUE"""),"-")</f>
        <v>-</v>
      </c>
      <c r="K627" s="3" t="str">
        <f>IFERROR(__xludf.DUMMYFUNCTION("""COMPUTED_VALUE"""),"-")</f>
        <v>-</v>
      </c>
    </row>
    <row r="628">
      <c r="A628" s="3" t="str">
        <f>IFERROR(__xludf.DUMMYFUNCTION("""COMPUTED_VALUE"""),"ANOBR0086")</f>
        <v>ANOBR0086</v>
      </c>
      <c r="B628" s="4">
        <f>IFERROR(__xludf.DUMMYFUNCTION("""COMPUTED_VALUE"""),46216.69089414352)</f>
        <v>46216.69089</v>
      </c>
      <c r="C628" s="4">
        <f>IFERROR(__xludf.DUMMYFUNCTION("""COMPUTED_VALUE"""),46251.59402894676)</f>
        <v>46251.59403</v>
      </c>
      <c r="D628" s="3" t="str">
        <f>IFERROR(__xludf.DUMMYFUNCTION("""COMPUTED_VALUE"""),"Flange jalur steam")</f>
        <v>Flange jalur steam</v>
      </c>
      <c r="E628" s="3" t="str">
        <f>IFERROR(__xludf.DUMMYFUNCTION("""COMPUTED_VALUE"""),"-")</f>
        <v>-</v>
      </c>
      <c r="F628" s="3" t="str">
        <f>IFERROR(__xludf.DUMMYFUNCTION("""COMPUTED_VALUE"""),"gasket klingerseal tebal 3 mm")</f>
        <v>gasket klingerseal tebal 3 mm</v>
      </c>
      <c r="G628" s="3">
        <f>IFERROR(__xludf.DUMMYFUNCTION("""COMPUTED_VALUE"""),1.0)</f>
        <v>1</v>
      </c>
      <c r="H628" s="3" t="str">
        <f>IFERROR(__xludf.DUMMYFUNCTION("""COMPUTED_VALUE"""),"lembar")</f>
        <v>lembar</v>
      </c>
      <c r="I628" s="3" t="str">
        <f>IFERROR(__xludf.DUMMYFUNCTION("""COMPUTED_VALUE"""),"-")</f>
        <v>-</v>
      </c>
      <c r="J628" s="3" t="str">
        <f>IFERROR(__xludf.DUMMYFUNCTION("""COMPUTED_VALUE"""),"-")</f>
        <v>-</v>
      </c>
      <c r="K628" s="3" t="str">
        <f>IFERROR(__xludf.DUMMYFUNCTION("""COMPUTED_VALUE"""),"-")</f>
        <v>-</v>
      </c>
    </row>
    <row r="629">
      <c r="A629" s="3" t="str">
        <f>IFERROR(__xludf.DUMMYFUNCTION("""COMPUTED_VALUE"""),"ANOBR0087")</f>
        <v>ANOBR0087</v>
      </c>
      <c r="B629" s="4">
        <f>IFERROR(__xludf.DUMMYFUNCTION("""COMPUTED_VALUE"""),46216.69106164352)</f>
        <v>46216.69106</v>
      </c>
      <c r="C629" s="4">
        <f>IFERROR(__xludf.DUMMYFUNCTION("""COMPUTED_VALUE"""),46251.59451685186)</f>
        <v>46251.59452</v>
      </c>
      <c r="D629" s="3" t="str">
        <f>IFERROR(__xludf.DUMMYFUNCTION("""COMPUTED_VALUE"""),"Utility OSD lt2")</f>
        <v>Utility OSD lt2</v>
      </c>
      <c r="E629" s="3" t="str">
        <f>IFERROR(__xludf.DUMMYFUNCTION("""COMPUTED_VALUE"""),"EJO/2026/07/021")</f>
        <v>EJO/2026/07/021</v>
      </c>
      <c r="F629" s="3" t="str">
        <f>IFERROR(__xludf.DUMMYFUNCTION("""COMPUTED_VALUE"""),"siku L 4X4 CM stenliss")</f>
        <v>siku L 4X4 CM stenliss</v>
      </c>
      <c r="G629" s="3">
        <f>IFERROR(__xludf.DUMMYFUNCTION("""COMPUTED_VALUE"""),4.0)</f>
        <v>4</v>
      </c>
      <c r="H629" s="3" t="str">
        <f>IFERROR(__xludf.DUMMYFUNCTION("""COMPUTED_VALUE"""),"batang")</f>
        <v>batang</v>
      </c>
      <c r="I629" s="3" t="str">
        <f>IFERROR(__xludf.DUMMYFUNCTION("""COMPUTED_VALUE"""),"-")</f>
        <v>-</v>
      </c>
      <c r="J629" s="3" t="str">
        <f>IFERROR(__xludf.DUMMYFUNCTION("""COMPUTED_VALUE"""),"-")</f>
        <v>-</v>
      </c>
      <c r="K629" s="3" t="str">
        <f>IFERROR(__xludf.DUMMYFUNCTION("""COMPUTED_VALUE"""),"-")</f>
        <v>-</v>
      </c>
    </row>
    <row r="630">
      <c r="A630" s="3" t="str">
        <f>IFERROR(__xludf.DUMMYFUNCTION("""COMPUTED_VALUE"""),"NDSBR0061")</f>
        <v>NDSBR0061</v>
      </c>
      <c r="B630" s="4">
        <f>IFERROR(__xludf.DUMMYFUNCTION("""COMPUTED_VALUE"""),46219.856405844905)</f>
        <v>46219.85641</v>
      </c>
      <c r="C630" s="4">
        <f>IFERROR(__xludf.DUMMYFUNCTION("""COMPUTED_VALUE"""),46223.46895109953)</f>
        <v>46223.46895</v>
      </c>
      <c r="D630" s="3" t="str">
        <f>IFERROR(__xludf.DUMMYFUNCTION("""COMPUTED_VALUE"""),"Autoclave Preparation Lab")</f>
        <v>Autoclave Preparation Lab</v>
      </c>
      <c r="E630" s="3" t="str">
        <f>IFERROR(__xludf.DUMMYFUNCTION("""COMPUTED_VALUE"""),"-")</f>
        <v>-</v>
      </c>
      <c r="F630" s="3" t="str">
        <f>IFERROR(__xludf.DUMMYFUNCTION("""COMPUTED_VALUE"""),"Body Valve + Coil")</f>
        <v>Body Valve + Coil</v>
      </c>
      <c r="G630" s="3">
        <f>IFERROR(__xludf.DUMMYFUNCTION("""COMPUTED_VALUE"""),2.0)</f>
        <v>2</v>
      </c>
      <c r="H630" s="3" t="str">
        <f>IFERROR(__xludf.DUMMYFUNCTION("""COMPUTED_VALUE"""),"PCS")</f>
        <v>PCS</v>
      </c>
      <c r="I630" s="3" t="str">
        <f>IFERROR(__xludf.DUMMYFUNCTION("""COMPUTED_VALUE"""),"-")</f>
        <v>-</v>
      </c>
      <c r="J630" s="3" t="str">
        <f>IFERROR(__xludf.DUMMYFUNCTION("""COMPUTED_VALUE"""),"-")</f>
        <v>-</v>
      </c>
      <c r="K630" s="3" t="str">
        <f>IFERROR(__xludf.DUMMYFUNCTION("""COMPUTED_VALUE"""),"-")</f>
        <v>-</v>
      </c>
    </row>
    <row r="631">
      <c r="A631" s="3" t="str">
        <f>IFERROR(__xludf.DUMMYFUNCTION("""COMPUTED_VALUE"""),"MRNBR0115")</f>
        <v>MRNBR0115</v>
      </c>
      <c r="B631" s="4">
        <f>IFERROR(__xludf.DUMMYFUNCTION("""COMPUTED_VALUE"""),46219.97362769675)</f>
        <v>46219.97363</v>
      </c>
      <c r="C631" s="4">
        <f>IFERROR(__xludf.DUMMYFUNCTION("""COMPUTED_VALUE"""),46251.58210814815)</f>
        <v>46251.58211</v>
      </c>
      <c r="D631" s="3" t="str">
        <f>IFERROR(__xludf.DUMMYFUNCTION("""COMPUTED_VALUE"""),"AHU")</f>
        <v>AHU</v>
      </c>
      <c r="E631" s="3" t="str">
        <f>IFERROR(__xludf.DUMMYFUNCTION("""COMPUTED_VALUE"""),"EJO/2025/10/160")</f>
        <v>EJO/2025/10/160</v>
      </c>
      <c r="F631" s="3" t="str">
        <f>IFERROR(__xludf.DUMMYFUNCTION("""COMPUTED_VALUE"""),"Jet cleaner")</f>
        <v>Jet cleaner</v>
      </c>
      <c r="G631" s="3">
        <f>IFERROR(__xludf.DUMMYFUNCTION("""COMPUTED_VALUE"""),1.0)</f>
        <v>1</v>
      </c>
      <c r="H631" s="3" t="str">
        <f>IFERROR(__xludf.DUMMYFUNCTION("""COMPUTED_VALUE"""),"unit")</f>
        <v>unit</v>
      </c>
      <c r="I631" s="3" t="str">
        <f>IFERROR(__xludf.DUMMYFUNCTION("""COMPUTED_VALUE"""),"-")</f>
        <v>-</v>
      </c>
      <c r="J631" s="3" t="str">
        <f>IFERROR(__xludf.DUMMYFUNCTION("""COMPUTED_VALUE"""),"-")</f>
        <v>-</v>
      </c>
      <c r="K631" s="3" t="str">
        <f>IFERROR(__xludf.DUMMYFUNCTION("""COMPUTED_VALUE"""),"-")</f>
        <v>-</v>
      </c>
    </row>
    <row r="632">
      <c r="A632" s="3" t="str">
        <f>IFERROR(__xludf.DUMMYFUNCTION("""COMPUTED_VALUE"""),"MRNBR0116")</f>
        <v>MRNBR0116</v>
      </c>
      <c r="B632" s="4">
        <f>IFERROR(__xludf.DUMMYFUNCTION("""COMPUTED_VALUE"""),46219.99041074075)</f>
        <v>46219.99041</v>
      </c>
      <c r="C632" s="4">
        <f>IFERROR(__xludf.DUMMYFUNCTION("""COMPUTED_VALUE"""),46235.44527846065)</f>
        <v>46235.44528</v>
      </c>
      <c r="D632" s="3" t="str">
        <f>IFERROR(__xludf.DUMMYFUNCTION("""COMPUTED_VALUE"""),"OSD")</f>
        <v>OSD</v>
      </c>
      <c r="E632" s="3" t="str">
        <f>IFERROR(__xludf.DUMMYFUNCTION("""COMPUTED_VALUE"""),"EJO/2025/04/105")</f>
        <v>EJO/2025/04/105</v>
      </c>
      <c r="F632" s="3" t="str">
        <f>IFERROR(__xludf.DUMMYFUNCTION("""COMPUTED_VALUE"""),"Epoxy lantai")</f>
        <v>Epoxy lantai</v>
      </c>
      <c r="G632" s="3">
        <f>IFERROR(__xludf.DUMMYFUNCTION("""COMPUTED_VALUE"""),1.0)</f>
        <v>1</v>
      </c>
      <c r="H632" s="3" t="str">
        <f>IFERROR(__xludf.DUMMYFUNCTION("""COMPUTED_VALUE"""),"paket")</f>
        <v>paket</v>
      </c>
      <c r="I632" s="3" t="str">
        <f>IFERROR(__xludf.DUMMYFUNCTION("""COMPUTED_VALUE"""),"-")</f>
        <v>-</v>
      </c>
      <c r="J632" s="3" t="str">
        <f>IFERROR(__xludf.DUMMYFUNCTION("""COMPUTED_VALUE"""),"-")</f>
        <v>-</v>
      </c>
      <c r="K632" s="3" t="str">
        <f>IFERROR(__xludf.DUMMYFUNCTION("""COMPUTED_VALUE"""),"-")</f>
        <v>-</v>
      </c>
    </row>
    <row r="633">
      <c r="A633" s="3" t="str">
        <f>IFERROR(__xludf.DUMMYFUNCTION("""COMPUTED_VALUE"""),"ANOBR0088")</f>
        <v>ANOBR0088</v>
      </c>
      <c r="B633" s="4">
        <f>IFERROR(__xludf.DUMMYFUNCTION("""COMPUTED_VALUE"""),46225.512710532406)</f>
        <v>46225.51271</v>
      </c>
      <c r="C633" s="4">
        <f>IFERROR(__xludf.DUMMYFUNCTION("""COMPUTED_VALUE"""),46251.59489706018)</f>
        <v>46251.5949</v>
      </c>
      <c r="D633" s="3" t="str">
        <f>IFERROR(__xludf.DUMMYFUNCTION("""COMPUTED_VALUE"""),"pipa supply FW Utility OSD lt2")</f>
        <v>pipa supply FW Utility OSD lt2</v>
      </c>
      <c r="E633" s="3" t="str">
        <f>IFERROR(__xludf.DUMMYFUNCTION("""COMPUTED_VALUE"""),"-")</f>
        <v>-</v>
      </c>
      <c r="F633" s="3" t="str">
        <f>IFERROR(__xludf.DUMMYFUNCTION("""COMPUTED_VALUE"""),"pressure gauge")</f>
        <v>pressure gauge</v>
      </c>
      <c r="G633" s="3">
        <f>IFERROR(__xludf.DUMMYFUNCTION("""COMPUTED_VALUE"""),3.0)</f>
        <v>3</v>
      </c>
      <c r="H633" s="3" t="str">
        <f>IFERROR(__xludf.DUMMYFUNCTION("""COMPUTED_VALUE"""),"pcs")</f>
        <v>pcs</v>
      </c>
      <c r="I633" s="3" t="str">
        <f>IFERROR(__xludf.DUMMYFUNCTION("""COMPUTED_VALUE"""),"-")</f>
        <v>-</v>
      </c>
      <c r="J633" s="3" t="str">
        <f>IFERROR(__xludf.DUMMYFUNCTION("""COMPUTED_VALUE"""),"-")</f>
        <v>-</v>
      </c>
      <c r="K633" s="3" t="str">
        <f>IFERROR(__xludf.DUMMYFUNCTION("""COMPUTED_VALUE"""),"-")</f>
        <v>-</v>
      </c>
    </row>
    <row r="634">
      <c r="A634" s="3" t="str">
        <f>IFERROR(__xludf.DUMMYFUNCTION("""COMPUTED_VALUE"""),"MRNBR0117")</f>
        <v>MRNBR0117</v>
      </c>
      <c r="B634" s="4">
        <f>IFERROR(__xludf.DUMMYFUNCTION("""COMPUTED_VALUE"""),46225.69845759259)</f>
        <v>46225.69846</v>
      </c>
      <c r="C634" s="4">
        <f>IFERROR(__xludf.DUMMYFUNCTION("""COMPUTED_VALUE"""),46251.58409645834)</f>
        <v>46251.5841</v>
      </c>
      <c r="D634" s="3" t="str">
        <f>IFERROR(__xludf.DUMMYFUNCTION("""COMPUTED_VALUE"""),"Pipe rack")</f>
        <v>Pipe rack</v>
      </c>
      <c r="E634" s="3" t="str">
        <f>IFERROR(__xludf.DUMMYFUNCTION("""COMPUTED_VALUE"""),"EJO/2026/05/120")</f>
        <v>EJO/2026/05/120</v>
      </c>
      <c r="F634" s="3" t="str">
        <f>IFERROR(__xludf.DUMMYFUNCTION("""COMPUTED_VALUE"""),"Shock drat luar pvc")</f>
        <v>Shock drat luar pvc</v>
      </c>
      <c r="G634" s="3">
        <f>IFERROR(__xludf.DUMMYFUNCTION("""COMPUTED_VALUE"""),4.0)</f>
        <v>4</v>
      </c>
      <c r="H634" s="3" t="str">
        <f>IFERROR(__xludf.DUMMYFUNCTION("""COMPUTED_VALUE"""),"pcs")</f>
        <v>pcs</v>
      </c>
      <c r="I634" s="3" t="str">
        <f>IFERROR(__xludf.DUMMYFUNCTION("""COMPUTED_VALUE"""),"-")</f>
        <v>-</v>
      </c>
      <c r="J634" s="3" t="str">
        <f>IFERROR(__xludf.DUMMYFUNCTION("""COMPUTED_VALUE"""),"-")</f>
        <v>-</v>
      </c>
      <c r="K634" s="3" t="str">
        <f>IFERROR(__xludf.DUMMYFUNCTION("""COMPUTED_VALUE"""),"-")</f>
        <v>-</v>
      </c>
    </row>
    <row r="635">
      <c r="A635" s="3" t="str">
        <f>IFERROR(__xludf.DUMMYFUNCTION("""COMPUTED_VALUE"""),"WAPBR0008")</f>
        <v>WAPBR0008</v>
      </c>
      <c r="B635" s="4">
        <f>IFERROR(__xludf.DUMMYFUNCTION("""COMPUTED_VALUE"""),46230.4345216088)</f>
        <v>46230.43452</v>
      </c>
      <c r="C635" s="4">
        <f>IFERROR(__xludf.DUMMYFUNCTION("""COMPUTED_VALUE"""),46251.589864421294)</f>
        <v>46251.58986</v>
      </c>
      <c r="D635" s="3" t="str">
        <f>IFERROR(__xludf.DUMMYFUNCTION("""COMPUTED_VALUE"""),"Tools workshop")</f>
        <v>Tools workshop</v>
      </c>
      <c r="E635" s="3" t="str">
        <f>IFERROR(__xludf.DUMMYFUNCTION("""COMPUTED_VALUE"""),"-")</f>
        <v>-</v>
      </c>
      <c r="F635" s="3" t="str">
        <f>IFERROR(__xludf.DUMMYFUNCTION("""COMPUTED_VALUE"""),"penggaris siku")</f>
        <v>penggaris siku</v>
      </c>
      <c r="G635" s="3">
        <f>IFERROR(__xludf.DUMMYFUNCTION("""COMPUTED_VALUE"""),1.0)</f>
        <v>1</v>
      </c>
      <c r="H635" s="3" t="str">
        <f>IFERROR(__xludf.DUMMYFUNCTION("""COMPUTED_VALUE"""),"pcs")</f>
        <v>pcs</v>
      </c>
      <c r="I635" s="3" t="str">
        <f>IFERROR(__xludf.DUMMYFUNCTION("""COMPUTED_VALUE"""),"-")</f>
        <v>-</v>
      </c>
      <c r="J635" s="3" t="str">
        <f>IFERROR(__xludf.DUMMYFUNCTION("""COMPUTED_VALUE"""),"-")</f>
        <v>-</v>
      </c>
      <c r="K635" s="3" t="str">
        <f>IFERROR(__xludf.DUMMYFUNCTION("""COMPUTED_VALUE"""),"-")</f>
        <v>-</v>
      </c>
    </row>
    <row r="636">
      <c r="A636" s="3" t="str">
        <f>IFERROR(__xludf.DUMMYFUNCTION("""COMPUTED_VALUE"""),"WAPBR0009")</f>
        <v>WAPBR0009</v>
      </c>
      <c r="B636" s="4">
        <f>IFERROR(__xludf.DUMMYFUNCTION("""COMPUTED_VALUE"""),46230.44091995371)</f>
        <v>46230.44092</v>
      </c>
      <c r="C636" s="4">
        <f>IFERROR(__xludf.DUMMYFUNCTION("""COMPUTED_VALUE"""),46251.590362407405)</f>
        <v>46251.59036</v>
      </c>
      <c r="D636" s="3" t="str">
        <f>IFERROR(__xludf.DUMMYFUNCTION("""COMPUTED_VALUE"""),"Tools workshop")</f>
        <v>Tools workshop</v>
      </c>
      <c r="E636" s="3" t="str">
        <f>IFERROR(__xludf.DUMMYFUNCTION("""COMPUTED_VALUE"""),"-")</f>
        <v>-</v>
      </c>
      <c r="F636" s="3" t="str">
        <f>IFERROR(__xludf.DUMMYFUNCTION("""COMPUTED_VALUE"""),"C clamp")</f>
        <v>C clamp</v>
      </c>
      <c r="G636" s="3">
        <f>IFERROR(__xludf.DUMMYFUNCTION("""COMPUTED_VALUE"""),3.0)</f>
        <v>3</v>
      </c>
      <c r="H636" s="3" t="str">
        <f>IFERROR(__xludf.DUMMYFUNCTION("""COMPUTED_VALUE"""),"pcs")</f>
        <v>pcs</v>
      </c>
      <c r="I636" s="3" t="str">
        <f>IFERROR(__xludf.DUMMYFUNCTION("""COMPUTED_VALUE"""),"-")</f>
        <v>-</v>
      </c>
      <c r="J636" s="3" t="str">
        <f>IFERROR(__xludf.DUMMYFUNCTION("""COMPUTED_VALUE"""),"-")</f>
        <v>-</v>
      </c>
      <c r="K636" s="3" t="str">
        <f>IFERROR(__xludf.DUMMYFUNCTION("""COMPUTED_VALUE"""),"-")</f>
        <v>-</v>
      </c>
    </row>
    <row r="637">
      <c r="A637" s="3" t="str">
        <f>IFERROR(__xludf.DUMMYFUNCTION("""COMPUTED_VALUE"""),"MRNBR0119")</f>
        <v>MRNBR0119</v>
      </c>
      <c r="B637" s="4">
        <f>IFERROR(__xludf.DUMMYFUNCTION("""COMPUTED_VALUE"""),46238.179122442125)</f>
        <v>46238.17912</v>
      </c>
      <c r="C637" s="4">
        <f>IFERROR(__xludf.DUMMYFUNCTION("""COMPUTED_VALUE"""),46251.58315886574)</f>
        <v>46251.58316</v>
      </c>
      <c r="D637" s="3" t="str">
        <f>IFERROR(__xludf.DUMMYFUNCTION("""COMPUTED_VALUE"""),"Toilet eng")</f>
        <v>Toilet eng</v>
      </c>
      <c r="E637" s="3" t="str">
        <f>IFERROR(__xludf.DUMMYFUNCTION("""COMPUTED_VALUE"""),"EJO/2026/07/021")</f>
        <v>EJO/2026/07/021</v>
      </c>
      <c r="F637" s="3" t="str">
        <f>IFERROR(__xludf.DUMMYFUNCTION("""COMPUTED_VALUE"""),"reducer pvc")</f>
        <v>reducer pvc</v>
      </c>
      <c r="G637" s="3">
        <f>IFERROR(__xludf.DUMMYFUNCTION("""COMPUTED_VALUE"""),5.0)</f>
        <v>5</v>
      </c>
      <c r="H637" s="3" t="str">
        <f>IFERROR(__xludf.DUMMYFUNCTION("""COMPUTED_VALUE"""),"pcs")</f>
        <v>pcs</v>
      </c>
      <c r="I637" s="3" t="str">
        <f>IFERROR(__xludf.DUMMYFUNCTION("""COMPUTED_VALUE"""),"-")</f>
        <v>-</v>
      </c>
      <c r="J637" s="3" t="str">
        <f>IFERROR(__xludf.DUMMYFUNCTION("""COMPUTED_VALUE"""),"-")</f>
        <v>-</v>
      </c>
      <c r="K637" s="3" t="str">
        <f>IFERROR(__xludf.DUMMYFUNCTION("""COMPUTED_VALUE"""),"-")</f>
        <v>-</v>
      </c>
    </row>
    <row r="638">
      <c r="A638" s="3" t="str">
        <f>IFERROR(__xludf.DUMMYFUNCTION("""COMPUTED_VALUE"""),"SFHBR0066")</f>
        <v>SFHBR0066</v>
      </c>
      <c r="B638" s="4">
        <f>IFERROR(__xludf.DUMMYFUNCTION("""COMPUTED_VALUE"""),46245.70786825231)</f>
        <v>46245.70787</v>
      </c>
      <c r="C638" s="4">
        <f>IFERROR(__xludf.DUMMYFUNCTION("""COMPUTED_VALUE"""),46251.5798352662)</f>
        <v>46251.57984</v>
      </c>
      <c r="D638" s="3" t="str">
        <f>IFERROR(__xludf.DUMMYFUNCTION("""COMPUTED_VALUE"""),"lantai 2")</f>
        <v>lantai 2</v>
      </c>
      <c r="E638" s="3" t="str">
        <f>IFERROR(__xludf.DUMMYFUNCTION("""COMPUTED_VALUE"""),"-")</f>
        <v>-</v>
      </c>
      <c r="F638" s="3" t="str">
        <f>IFERROR(__xludf.DUMMYFUNCTION("""COMPUTED_VALUE"""),"sakelar  3 titik clipsal e33/1/2AR c-classic")</f>
        <v>sakelar  3 titik clipsal e33/1/2AR c-classic</v>
      </c>
      <c r="G638" s="3">
        <f>IFERROR(__xludf.DUMMYFUNCTION("""COMPUTED_VALUE"""),100.0)</f>
        <v>100</v>
      </c>
      <c r="H638" s="3" t="str">
        <f>IFERROR(__xludf.DUMMYFUNCTION("""COMPUTED_VALUE"""),"pcs")</f>
        <v>pcs</v>
      </c>
      <c r="I638" s="3" t="str">
        <f>IFERROR(__xludf.DUMMYFUNCTION("""COMPUTED_VALUE"""),"-")</f>
        <v>-</v>
      </c>
      <c r="J638" s="3" t="str">
        <f>IFERROR(__xludf.DUMMYFUNCTION("""COMPUTED_VALUE"""),"-")</f>
        <v>-</v>
      </c>
      <c r="K638" s="3" t="str">
        <f>IFERROR(__xludf.DUMMYFUNCTION("""COMPUTED_VALUE"""),"-")</f>
        <v>-</v>
      </c>
    </row>
    <row r="639">
      <c r="A639" s="3" t="str">
        <f>IFERROR(__xludf.DUMMYFUNCTION("""COMPUTED_VALUE"""),"BDUBR0030")</f>
        <v>BDUBR0030</v>
      </c>
      <c r="B639" s="4">
        <f>IFERROR(__xludf.DUMMYFUNCTION("""COMPUTED_VALUE"""),46246.36689553241)</f>
        <v>46246.3669</v>
      </c>
      <c r="C639" s="4">
        <f>IFERROR(__xludf.DUMMYFUNCTION("""COMPUTED_VALUE"""),46258.71802130787)</f>
        <v>46258.71802</v>
      </c>
      <c r="D639" s="3" t="str">
        <f>IFERROR(__xludf.DUMMYFUNCTION("""COMPUTED_VALUE"""),"CLU")</f>
        <v>CLU</v>
      </c>
      <c r="E639" s="3" t="str">
        <f>IFERROR(__xludf.DUMMYFUNCTION("""COMPUTED_VALUE"""),"-")</f>
        <v>-</v>
      </c>
      <c r="F639" s="3" t="str">
        <f>IFERROR(__xludf.DUMMYFUNCTION("""COMPUTED_VALUE"""),"Kabel Grounding 1x4 mm")</f>
        <v>Kabel Grounding 1x4 mm</v>
      </c>
      <c r="G639" s="3">
        <f>IFERROR(__xludf.DUMMYFUNCTION("""COMPUTED_VALUE"""),2.0)</f>
        <v>2</v>
      </c>
      <c r="H639" s="3" t="str">
        <f>IFERROR(__xludf.DUMMYFUNCTION("""COMPUTED_VALUE"""),"meter")</f>
        <v>meter</v>
      </c>
      <c r="I639" s="3" t="str">
        <f>IFERROR(__xludf.DUMMYFUNCTION("""COMPUTED_VALUE"""),"-")</f>
        <v>-</v>
      </c>
      <c r="J639" s="3" t="str">
        <f>IFERROR(__xludf.DUMMYFUNCTION("""COMPUTED_VALUE"""),"-")</f>
        <v>-</v>
      </c>
      <c r="K639" s="3" t="str">
        <f>IFERROR(__xludf.DUMMYFUNCTION("""COMPUTED_VALUE"""),"-")</f>
        <v>-</v>
      </c>
    </row>
    <row r="640">
      <c r="A640" s="3" t="str">
        <f>IFERROR(__xludf.DUMMYFUNCTION("""COMPUTED_VALUE"""),"SFHBR0067")</f>
        <v>SFHBR0067</v>
      </c>
      <c r="B640" s="4">
        <f>IFERROR(__xludf.DUMMYFUNCTION("""COMPUTED_VALUE"""),46255.87117518519)</f>
        <v>46255.87118</v>
      </c>
      <c r="C640" s="4">
        <f>IFERROR(__xludf.DUMMYFUNCTION("""COMPUTED_VALUE"""),46272.815515)</f>
        <v>46272.81552</v>
      </c>
      <c r="D640" s="3" t="str">
        <f>IFERROR(__xludf.DUMMYFUNCTION("""COMPUTED_VALUE"""),"lantai 2")</f>
        <v>lantai 2</v>
      </c>
      <c r="E640" s="3" t="str">
        <f>IFERROR(__xludf.DUMMYFUNCTION("""COMPUTED_VALUE"""),"-")</f>
        <v>-</v>
      </c>
      <c r="F640" s="3" t="str">
        <f>IFERROR(__xludf.DUMMYFUNCTION("""COMPUTED_VALUE"""),"Bracket Roda Caster Troli Troly Heavy Duty 5 Inch Rem+Putar Bracket")</f>
        <v>Bracket Roda Caster Troli Troly Heavy Duty 5 Inch Rem+Putar Bracket</v>
      </c>
      <c r="G640" s="3">
        <f>IFERROR(__xludf.DUMMYFUNCTION("""COMPUTED_VALUE"""),1.0)</f>
        <v>1</v>
      </c>
      <c r="H640" s="3" t="str">
        <f>IFERROR(__xludf.DUMMYFUNCTION("""COMPUTED_VALUE"""),"pcs")</f>
        <v>pcs</v>
      </c>
      <c r="I640" s="3" t="str">
        <f>IFERROR(__xludf.DUMMYFUNCTION("""COMPUTED_VALUE"""),"-")</f>
        <v>-</v>
      </c>
      <c r="J640" s="3" t="str">
        <f>IFERROR(__xludf.DUMMYFUNCTION("""COMPUTED_VALUE"""),"-")</f>
        <v>-</v>
      </c>
      <c r="K640" s="3" t="str">
        <f>IFERROR(__xludf.DUMMYFUNCTION("""COMPUTED_VALUE"""),"-")</f>
        <v>-</v>
      </c>
    </row>
    <row r="641">
      <c r="A641" s="3" t="str">
        <f>IFERROR(__xludf.DUMMYFUNCTION("""COMPUTED_VALUE"""),"MRNBR0120")</f>
        <v>MRNBR0120</v>
      </c>
      <c r="B641" s="4">
        <f>IFERROR(__xludf.DUMMYFUNCTION("""COMPUTED_VALUE"""),46266.94058243056)</f>
        <v>46266.94058</v>
      </c>
      <c r="C641" s="4">
        <f>IFERROR(__xludf.DUMMYFUNCTION("""COMPUTED_VALUE"""),46272.80476399306)</f>
        <v>46272.80476</v>
      </c>
      <c r="D641" s="3" t="str">
        <f>IFERROR(__xludf.DUMMYFUNCTION("""COMPUTED_VALUE"""),"AC warehouse")</f>
        <v>AC warehouse</v>
      </c>
      <c r="E641" s="3" t="str">
        <f>IFERROR(__xludf.DUMMYFUNCTION("""COMPUTED_VALUE"""),"EJO/2026/07/081")</f>
        <v>EJO/2026/07/081</v>
      </c>
      <c r="F641" s="3" t="str">
        <f>IFERROR(__xludf.DUMMYFUNCTION("""COMPUTED_VALUE"""),"Compressor AC split")</f>
        <v>Compressor AC split</v>
      </c>
      <c r="G641" s="3">
        <f>IFERROR(__xludf.DUMMYFUNCTION("""COMPUTED_VALUE"""),10.0)</f>
        <v>10</v>
      </c>
      <c r="H641" s="3" t="str">
        <f>IFERROR(__xludf.DUMMYFUNCTION("""COMPUTED_VALUE"""),"pcs")</f>
        <v>pcs</v>
      </c>
      <c r="I641" s="3" t="str">
        <f>IFERROR(__xludf.DUMMYFUNCTION("""COMPUTED_VALUE"""),"-")</f>
        <v>-</v>
      </c>
      <c r="J641" s="3" t="str">
        <f>IFERROR(__xludf.DUMMYFUNCTION("""COMPUTED_VALUE"""),"-")</f>
        <v>-</v>
      </c>
      <c r="K641" s="3" t="str">
        <f>IFERROR(__xludf.DUMMYFUNCTION("""COMPUTED_VALUE"""),"-")</f>
        <v>-</v>
      </c>
    </row>
    <row r="642">
      <c r="A642" s="3" t="str">
        <f>IFERROR(__xludf.DUMMYFUNCTION("""COMPUTED_VALUE"""),"NDSBR0063")</f>
        <v>NDSBR0063</v>
      </c>
      <c r="B642" s="4">
        <f>IFERROR(__xludf.DUMMYFUNCTION("""COMPUTED_VALUE"""),46268.66749460648)</f>
        <v>46268.66749</v>
      </c>
      <c r="C642" s="4">
        <f>IFERROR(__xludf.DUMMYFUNCTION("""COMPUTED_VALUE"""),46272.23265042824)</f>
        <v>46272.23265</v>
      </c>
      <c r="D642" s="3" t="str">
        <f>IFERROR(__xludf.DUMMYFUNCTION("""COMPUTED_VALUE"""),"All mesin")</f>
        <v>All mesin</v>
      </c>
      <c r="E642" s="3" t="str">
        <f>IFERROR(__xludf.DUMMYFUNCTION("""COMPUTED_VALUE"""),"-")</f>
        <v>-</v>
      </c>
      <c r="F642" s="3" t="str">
        <f>IFERROR(__xludf.DUMMYFUNCTION("""COMPUTED_VALUE"""),"Cover Tombol Emergency ")</f>
        <v>Cover Tombol Emergency </v>
      </c>
      <c r="G642" s="3">
        <f>IFERROR(__xludf.DUMMYFUNCTION("""COMPUTED_VALUE"""),20.0)</f>
        <v>20</v>
      </c>
      <c r="H642" s="3" t="str">
        <f>IFERROR(__xludf.DUMMYFUNCTION("""COMPUTED_VALUE"""),"Pcs")</f>
        <v>Pcs</v>
      </c>
      <c r="I642" s="3" t="str">
        <f>IFERROR(__xludf.DUMMYFUNCTION("""COMPUTED_VALUE"""),"-")</f>
        <v>-</v>
      </c>
      <c r="J642" s="3" t="str">
        <f>IFERROR(__xludf.DUMMYFUNCTION("""COMPUTED_VALUE"""),"-")</f>
        <v>-</v>
      </c>
      <c r="K642" s="3" t="str">
        <f>IFERROR(__xludf.DUMMYFUNCTION("""COMPUTED_VALUE"""),"-")</f>
        <v>-</v>
      </c>
    </row>
    <row r="643">
      <c r="A643" s="3" t="str">
        <f>IFERROR(__xludf.DUMMYFUNCTION("""COMPUTED_VALUE"""),"SFHBR0010")</f>
        <v>SFHBR0010</v>
      </c>
      <c r="B643" s="4">
        <f>IFERROR(__xludf.DUMMYFUNCTION("""COMPUTED_VALUE"""),45713.999412627316)</f>
        <v>45713.99941</v>
      </c>
      <c r="C643" s="4">
        <f>IFERROR(__xludf.DUMMYFUNCTION("""COMPUTED_VALUE"""),45742.564148935184)</f>
        <v>45742.56415</v>
      </c>
      <c r="D643" s="3" t="str">
        <f>IFERROR(__xludf.DUMMYFUNCTION("""COMPUTED_VALUE"""),"lantai 2")</f>
        <v>lantai 2</v>
      </c>
      <c r="E643" s="3" t="str">
        <f>IFERROR(__xludf.DUMMYFUNCTION("""COMPUTED_VALUE"""),"-")</f>
        <v>-</v>
      </c>
      <c r="F643" s="3" t="str">
        <f>IFERROR(__xludf.DUMMYFUNCTION("""COMPUTED_VALUE"""),"karet ban")</f>
        <v>karet ban</v>
      </c>
      <c r="G643" s="3">
        <f>IFERROR(__xludf.DUMMYFUNCTION("""COMPUTED_VALUE"""),10.0)</f>
        <v>10</v>
      </c>
      <c r="H643" s="3" t="str">
        <f>IFERROR(__xludf.DUMMYFUNCTION("""COMPUTED_VALUE"""),"mtr")</f>
        <v>mtr</v>
      </c>
      <c r="I643" s="3" t="str">
        <f>IFERROR(__xludf.DUMMYFUNCTION("""COMPUTED_VALUE"""),"Deliver")</f>
        <v>Deliver</v>
      </c>
      <c r="J643" s="3" t="str">
        <f>IFERROR(__xludf.DUMMYFUNCTION("""COMPUTED_VALUE"""),"121704042 - APPROVED")</f>
        <v>121704042 - APPROVED</v>
      </c>
      <c r="K643" s="3" t="str">
        <f>IFERROR(__xludf.DUMMYFUNCTION("""COMPUTED_VALUE"""),"GL2604038")</f>
        <v>GL2604038</v>
      </c>
    </row>
    <row r="644">
      <c r="A644" s="3" t="str">
        <f>IFERROR(__xludf.DUMMYFUNCTION("""COMPUTED_VALUE"""),"INNBR0032")</f>
        <v>INNBR0032</v>
      </c>
      <c r="B644" s="4">
        <f>IFERROR(__xludf.DUMMYFUNCTION("""COMPUTED_VALUE"""),45834.99030369213)</f>
        <v>45834.9903</v>
      </c>
      <c r="C644" s="4">
        <f>IFERROR(__xludf.DUMMYFUNCTION("""COMPUTED_VALUE"""),45842.245252546294)</f>
        <v>45842.24525</v>
      </c>
      <c r="D644" s="3" t="str">
        <f>IFERROR(__xludf.DUMMYFUNCTION("""COMPUTED_VALUE"""),"Capping")</f>
        <v>Capping</v>
      </c>
      <c r="E644" s="3" t="str">
        <f>IFERROR(__xludf.DUMMYFUNCTION("""COMPUTED_VALUE"""),"-")</f>
        <v>-</v>
      </c>
      <c r="F644" s="3" t="str">
        <f>IFERROR(__xludf.DUMMYFUNCTION("""COMPUTED_VALUE"""),"Oring silicone : 35.5 x 30.5 x 2.5 mm")</f>
        <v>Oring silicone : 35.5 x 30.5 x 2.5 mm</v>
      </c>
      <c r="G644" s="3">
        <f>IFERROR(__xludf.DUMMYFUNCTION("""COMPUTED_VALUE"""),1.0)</f>
        <v>1</v>
      </c>
      <c r="H644" s="3" t="str">
        <f>IFERROR(__xludf.DUMMYFUNCTION("""COMPUTED_VALUE"""),"pcs")</f>
        <v>pcs</v>
      </c>
      <c r="I644" s="3" t="str">
        <f>IFERROR(__xludf.DUMMYFUNCTION("""COMPUTED_VALUE"""),"Deliver")</f>
        <v>Deliver</v>
      </c>
      <c r="J644" s="3" t="str">
        <f>IFERROR(__xludf.DUMMYFUNCTION("""COMPUTED_VALUE"""),"-")</f>
        <v>-</v>
      </c>
      <c r="K644" s="3" t="str">
        <f>IFERROR(__xludf.DUMMYFUNCTION("""COMPUTED_VALUE"""),"-")</f>
        <v>-</v>
      </c>
    </row>
    <row r="645">
      <c r="A645" s="3" t="str">
        <f>IFERROR(__xludf.DUMMYFUNCTION("""COMPUTED_VALUE"""),"ROSBR0032")</f>
        <v>ROSBR0032</v>
      </c>
      <c r="B645" s="4">
        <f>IFERROR(__xludf.DUMMYFUNCTION("""COMPUTED_VALUE"""),45883.18858967593)</f>
        <v>45883.18859</v>
      </c>
      <c r="C645" s="4">
        <f>IFERROR(__xludf.DUMMYFUNCTION("""COMPUTED_VALUE"""),45925.67062898148)</f>
        <v>45925.67063</v>
      </c>
      <c r="D645" s="3" t="str">
        <f>IFERROR(__xludf.DUMMYFUNCTION("""COMPUTED_VALUE"""),"Capping")</f>
        <v>Capping</v>
      </c>
      <c r="E645" s="3" t="str">
        <f>IFERROR(__xludf.DUMMYFUNCTION("""COMPUTED_VALUE"""),"EJO/2025/08/152")</f>
        <v>EJO/2025/08/152</v>
      </c>
      <c r="F645" s="3" t="str">
        <f>IFERROR(__xludf.DUMMYFUNCTION("""COMPUTED_VALUE"""),"Poisition indikator ")</f>
        <v>Poisition indikator </v>
      </c>
      <c r="G645" s="3">
        <f>IFERROR(__xludf.DUMMYFUNCTION("""COMPUTED_VALUE"""),2.0)</f>
        <v>2</v>
      </c>
      <c r="H645" s="3" t="str">
        <f>IFERROR(__xludf.DUMMYFUNCTION("""COMPUTED_VALUE"""),"set")</f>
        <v>set</v>
      </c>
      <c r="I645" s="3" t="str">
        <f>IFERROR(__xludf.DUMMYFUNCTION("""COMPUTED_VALUE"""),"Deliver")</f>
        <v>Deliver</v>
      </c>
      <c r="J645" s="3" t="str">
        <f>IFERROR(__xludf.DUMMYFUNCTION("""COMPUTED_VALUE"""),"-")</f>
        <v>-</v>
      </c>
      <c r="K645" s="3" t="str">
        <f>IFERROR(__xludf.DUMMYFUNCTION("""COMPUTED_VALUE"""),"-")</f>
        <v>-</v>
      </c>
    </row>
    <row r="646">
      <c r="A646" s="3" t="str">
        <f>IFERROR(__xludf.DUMMYFUNCTION("""COMPUTED_VALUE"""),"AAABR0030")</f>
        <v>AAABR0030</v>
      </c>
      <c r="B646" s="4">
        <f>IFERROR(__xludf.DUMMYFUNCTION("""COMPUTED_VALUE"""),46045.74914045139)</f>
        <v>46045.74914</v>
      </c>
      <c r="C646" s="4">
        <f>IFERROR(__xludf.DUMMYFUNCTION("""COMPUTED_VALUE"""),46060.91357710648)</f>
        <v>46060.91358</v>
      </c>
      <c r="D646" s="3" t="str">
        <f>IFERROR(__xludf.DUMMYFUNCTION("""COMPUTED_VALUE"""),"Huber")</f>
        <v>Huber</v>
      </c>
      <c r="E646" s="3" t="str">
        <f>IFERROR(__xludf.DUMMYFUNCTION("""COMPUTED_VALUE"""),"Menyusul")</f>
        <v>Menyusul</v>
      </c>
      <c r="F646" s="3" t="str">
        <f>IFERROR(__xludf.DUMMYFUNCTION("""COMPUTED_VALUE"""),"Skun ferrules")</f>
        <v>Skun ferrules</v>
      </c>
      <c r="G646" s="3">
        <f>IFERROR(__xludf.DUMMYFUNCTION("""COMPUTED_VALUE"""),2.0)</f>
        <v>2</v>
      </c>
      <c r="H646" s="3" t="str">
        <f>IFERROR(__xludf.DUMMYFUNCTION("""COMPUTED_VALUE"""),"pack")</f>
        <v>pack</v>
      </c>
      <c r="I646" s="3" t="str">
        <f>IFERROR(__xludf.DUMMYFUNCTION("""COMPUTED_VALUE"""),"Deliver")</f>
        <v>Deliver</v>
      </c>
      <c r="J646" s="3" t="str">
        <f>IFERROR(__xludf.DUMMYFUNCTION("""COMPUTED_VALUE"""),"-")</f>
        <v>-</v>
      </c>
      <c r="K646" s="3" t="str">
        <f>IFERROR(__xludf.DUMMYFUNCTION("""COMPUTED_VALUE"""),"-")</f>
        <v>-</v>
      </c>
    </row>
    <row r="647">
      <c r="A647" s="3" t="str">
        <f>IFERROR(__xludf.DUMMYFUNCTION("""COMPUTED_VALUE"""),"AAABR0031")</f>
        <v>AAABR0031</v>
      </c>
      <c r="B647" s="4">
        <f>IFERROR(__xludf.DUMMYFUNCTION("""COMPUTED_VALUE"""),46045.74992844908)</f>
        <v>46045.74993</v>
      </c>
      <c r="C647" s="4">
        <f>IFERROR(__xludf.DUMMYFUNCTION("""COMPUTED_VALUE"""),46060.9137146412)</f>
        <v>46060.91371</v>
      </c>
      <c r="D647" s="3" t="str">
        <f>IFERROR(__xludf.DUMMYFUNCTION("""COMPUTED_VALUE"""),"Huber")</f>
        <v>Huber</v>
      </c>
      <c r="E647" s="3" t="str">
        <f>IFERROR(__xludf.DUMMYFUNCTION("""COMPUTED_VALUE"""),"Menyusul")</f>
        <v>Menyusul</v>
      </c>
      <c r="F647" s="3" t="str">
        <f>IFERROR(__xludf.DUMMYFUNCTION("""COMPUTED_VALUE"""),"skun Y")</f>
        <v>skun Y</v>
      </c>
      <c r="H647" s="3" t="str">
        <f>IFERROR(__xludf.DUMMYFUNCTION("""COMPUTED_VALUE"""),"Pack")</f>
        <v>Pack</v>
      </c>
      <c r="I647" s="3" t="str">
        <f>IFERROR(__xludf.DUMMYFUNCTION("""COMPUTED_VALUE"""),"Deliver")</f>
        <v>Deliver</v>
      </c>
      <c r="J647" s="3" t="str">
        <f>IFERROR(__xludf.DUMMYFUNCTION("""COMPUTED_VALUE"""),"-")</f>
        <v>-</v>
      </c>
      <c r="K647" s="3" t="str">
        <f>IFERROR(__xludf.DUMMYFUNCTION("""COMPUTED_VALUE"""),"-")</f>
        <v>-</v>
      </c>
    </row>
    <row r="648">
      <c r="I648" s="3"/>
      <c r="J648" s="3"/>
      <c r="K648" s="3"/>
    </row>
    <row r="649">
      <c r="I649" s="3"/>
      <c r="J649" s="3"/>
      <c r="K649" s="3"/>
    </row>
    <row r="650">
      <c r="I650" s="3"/>
      <c r="J650" s="3"/>
      <c r="K650" s="3"/>
    </row>
    <row r="651">
      <c r="I651" s="3"/>
      <c r="J651" s="3"/>
      <c r="K651" s="3"/>
    </row>
    <row r="652">
      <c r="I652" s="3"/>
      <c r="J652" s="3"/>
      <c r="K652" s="3"/>
    </row>
    <row r="653">
      <c r="I653" s="3"/>
      <c r="J653" s="3"/>
      <c r="K653" s="3"/>
    </row>
    <row r="654">
      <c r="I654" s="3"/>
      <c r="J654" s="3"/>
      <c r="K654" s="3"/>
    </row>
    <row r="655">
      <c r="I655" s="3"/>
      <c r="J655" s="3"/>
      <c r="K655" s="3"/>
    </row>
    <row r="656">
      <c r="I656" s="3"/>
      <c r="J656" s="3"/>
      <c r="K656" s="3"/>
    </row>
    <row r="657">
      <c r="I657" s="3"/>
      <c r="J657" s="3"/>
      <c r="K657" s="3"/>
    </row>
    <row r="658">
      <c r="I658" s="3"/>
      <c r="J658" s="3"/>
      <c r="K658" s="3"/>
    </row>
    <row r="659">
      <c r="I659" s="3"/>
      <c r="J659" s="3"/>
      <c r="K659" s="3"/>
    </row>
    <row r="660">
      <c r="I660" s="3"/>
      <c r="J660" s="3"/>
      <c r="K660" s="3"/>
    </row>
    <row r="661">
      <c r="I661" s="3"/>
      <c r="J661" s="3"/>
      <c r="K661" s="3"/>
    </row>
    <row r="662">
      <c r="I662" s="3"/>
      <c r="J662" s="3"/>
      <c r="K662" s="3"/>
    </row>
    <row r="663">
      <c r="I663" s="3"/>
      <c r="J663" s="3"/>
      <c r="K663" s="3"/>
    </row>
    <row r="664">
      <c r="I664" s="3"/>
      <c r="J664" s="3"/>
      <c r="K664" s="3"/>
    </row>
    <row r="665">
      <c r="I665" s="3"/>
      <c r="J665" s="3"/>
      <c r="K665" s="3"/>
    </row>
    <row r="666">
      <c r="I666" s="3"/>
      <c r="J666" s="3"/>
      <c r="K666" s="3"/>
    </row>
    <row r="667">
      <c r="I667" s="3"/>
      <c r="J667" s="3"/>
      <c r="K667" s="3"/>
    </row>
    <row r="668">
      <c r="I668" s="3"/>
      <c r="J668" s="3"/>
      <c r="K668" s="3"/>
    </row>
    <row r="669">
      <c r="I669" s="3"/>
      <c r="J669" s="3"/>
      <c r="K669" s="3"/>
    </row>
    <row r="670">
      <c r="I670" s="3"/>
      <c r="J670" s="3"/>
      <c r="K670" s="3"/>
    </row>
    <row r="671">
      <c r="I671" s="3"/>
      <c r="J671" s="3"/>
      <c r="K671" s="3"/>
    </row>
    <row r="672">
      <c r="I672" s="3"/>
      <c r="J672" s="3"/>
      <c r="K672" s="3"/>
    </row>
    <row r="673">
      <c r="I673" s="3"/>
      <c r="J673" s="3"/>
      <c r="K673" s="3"/>
    </row>
    <row r="674">
      <c r="I674" s="3"/>
      <c r="J674" s="3"/>
      <c r="K674" s="3"/>
    </row>
    <row r="675">
      <c r="I675" s="3"/>
      <c r="J675" s="3"/>
      <c r="K675" s="3"/>
    </row>
    <row r="676">
      <c r="I676" s="3"/>
      <c r="J676" s="3"/>
      <c r="K676" s="3"/>
    </row>
    <row r="677">
      <c r="I677" s="3"/>
      <c r="J677" s="3"/>
      <c r="K677" s="3"/>
    </row>
    <row r="678">
      <c r="I678" s="3"/>
      <c r="J678" s="3"/>
      <c r="K678" s="3"/>
    </row>
    <row r="679">
      <c r="I679" s="3"/>
      <c r="J679" s="3"/>
      <c r="K679" s="3"/>
    </row>
    <row r="680">
      <c r="I680" s="3"/>
      <c r="J680" s="3"/>
      <c r="K680" s="3"/>
    </row>
    <row r="681">
      <c r="I681" s="3"/>
      <c r="J681" s="3"/>
      <c r="K681" s="3"/>
    </row>
    <row r="682">
      <c r="I682" s="3"/>
      <c r="J682" s="3"/>
      <c r="K682" s="3"/>
    </row>
    <row r="683">
      <c r="I683" s="3"/>
      <c r="J683" s="3"/>
      <c r="K683" s="3"/>
    </row>
    <row r="684">
      <c r="I684" s="3"/>
      <c r="J684" s="3"/>
      <c r="K684" s="3"/>
    </row>
    <row r="685">
      <c r="I685" s="3"/>
      <c r="J685" s="3"/>
      <c r="K685" s="3"/>
    </row>
    <row r="686">
      <c r="I686" s="3"/>
      <c r="J686" s="3"/>
      <c r="K686" s="3"/>
    </row>
    <row r="687">
      <c r="I687" s="3"/>
      <c r="J687" s="3"/>
      <c r="K687" s="3"/>
    </row>
    <row r="688">
      <c r="I688" s="3"/>
      <c r="J688" s="3"/>
      <c r="K688" s="3"/>
    </row>
    <row r="689">
      <c r="I689" s="3"/>
      <c r="J689" s="3"/>
      <c r="K689" s="3"/>
    </row>
    <row r="690">
      <c r="I690" s="3"/>
      <c r="J690" s="3"/>
      <c r="K690" s="3"/>
    </row>
    <row r="691">
      <c r="I691" s="3"/>
      <c r="J691" s="3"/>
      <c r="K691" s="3"/>
    </row>
    <row r="692">
      <c r="I692" s="3"/>
      <c r="J692" s="3"/>
      <c r="K692" s="3"/>
    </row>
    <row r="693">
      <c r="I693" s="3"/>
      <c r="J693" s="3"/>
      <c r="K693" s="3"/>
    </row>
    <row r="694">
      <c r="I694" s="3"/>
      <c r="J694" s="3"/>
      <c r="K694" s="3"/>
    </row>
    <row r="695">
      <c r="I695" s="3"/>
      <c r="J695" s="3"/>
      <c r="K695" s="3"/>
    </row>
    <row r="696">
      <c r="I696" s="3"/>
      <c r="J696" s="3"/>
      <c r="K696" s="3"/>
    </row>
    <row r="697">
      <c r="I697" s="3"/>
      <c r="J697" s="3"/>
      <c r="K697" s="3"/>
    </row>
    <row r="698">
      <c r="I698" s="3"/>
      <c r="J698" s="3"/>
      <c r="K698" s="3"/>
    </row>
    <row r="699">
      <c r="I699" s="3"/>
      <c r="J699" s="3"/>
      <c r="K699" s="3"/>
    </row>
    <row r="700">
      <c r="I700" s="3"/>
      <c r="J700" s="3"/>
      <c r="K700" s="3"/>
    </row>
    <row r="701">
      <c r="I701" s="3"/>
      <c r="J701" s="3"/>
      <c r="K701" s="3"/>
    </row>
    <row r="702">
      <c r="I702" s="3"/>
      <c r="J702" s="3"/>
      <c r="K702" s="3"/>
    </row>
    <row r="703">
      <c r="I703" s="3"/>
      <c r="J703" s="3"/>
      <c r="K703" s="3"/>
    </row>
    <row r="704">
      <c r="I704" s="3"/>
      <c r="J704" s="3"/>
      <c r="K704" s="3"/>
    </row>
    <row r="705">
      <c r="I705" s="3"/>
      <c r="J705" s="3"/>
      <c r="K705" s="3"/>
    </row>
    <row r="706">
      <c r="I706" s="3"/>
      <c r="J706" s="3"/>
      <c r="K706" s="3"/>
    </row>
    <row r="707">
      <c r="I707" s="3"/>
      <c r="J707" s="3"/>
      <c r="K707" s="3"/>
    </row>
    <row r="708">
      <c r="I708" s="3"/>
      <c r="J708" s="3"/>
      <c r="K708" s="3"/>
    </row>
    <row r="709">
      <c r="I709" s="3"/>
      <c r="J709" s="3"/>
      <c r="K709" s="3"/>
    </row>
    <row r="710">
      <c r="I710" s="3"/>
      <c r="J710" s="3"/>
      <c r="K710" s="3"/>
    </row>
    <row r="711">
      <c r="I711" s="3"/>
      <c r="J711" s="3"/>
      <c r="K711" s="3"/>
    </row>
    <row r="712">
      <c r="I712" s="3"/>
      <c r="J712" s="3"/>
      <c r="K712" s="3"/>
    </row>
    <row r="713">
      <c r="I713" s="3"/>
      <c r="J713" s="3"/>
      <c r="K713" s="3"/>
    </row>
    <row r="714">
      <c r="I714" s="3"/>
      <c r="J714" s="3"/>
      <c r="K714" s="3"/>
    </row>
    <row r="715">
      <c r="I715" s="3"/>
      <c r="J715" s="3"/>
      <c r="K715" s="3"/>
    </row>
    <row r="716">
      <c r="I716" s="3"/>
      <c r="J716" s="3"/>
      <c r="K716" s="3"/>
    </row>
    <row r="717">
      <c r="I717" s="3"/>
      <c r="J717" s="3"/>
      <c r="K717" s="3"/>
    </row>
    <row r="718">
      <c r="I718" s="3"/>
      <c r="J718" s="3"/>
      <c r="K718" s="3"/>
    </row>
    <row r="719">
      <c r="I719" s="3"/>
      <c r="J719" s="3"/>
      <c r="K719" s="3"/>
    </row>
    <row r="720">
      <c r="I720" s="3"/>
      <c r="J720" s="3"/>
      <c r="K720" s="3"/>
    </row>
    <row r="721">
      <c r="I721" s="3"/>
      <c r="J721" s="3"/>
      <c r="K721" s="3"/>
    </row>
    <row r="722">
      <c r="I722" s="3"/>
      <c r="J722" s="3"/>
      <c r="K722" s="3"/>
    </row>
    <row r="723">
      <c r="I723" s="3"/>
      <c r="J723" s="3"/>
      <c r="K723" s="3"/>
    </row>
    <row r="724">
      <c r="I724" s="3"/>
      <c r="J724" s="3"/>
      <c r="K724" s="3"/>
    </row>
    <row r="725">
      <c r="I725" s="3"/>
      <c r="J725" s="3"/>
      <c r="K725" s="3"/>
    </row>
    <row r="726">
      <c r="I726" s="3"/>
      <c r="J726" s="3"/>
      <c r="K726" s="3"/>
    </row>
    <row r="727">
      <c r="I727" s="3"/>
      <c r="J727" s="3"/>
      <c r="K727" s="3"/>
    </row>
    <row r="728">
      <c r="I728" s="3"/>
      <c r="J728" s="3"/>
      <c r="K728" s="3"/>
    </row>
    <row r="729">
      <c r="I729" s="3"/>
      <c r="J729" s="3"/>
      <c r="K729" s="3"/>
    </row>
    <row r="730">
      <c r="I730" s="3"/>
      <c r="J730" s="3"/>
      <c r="K730" s="3"/>
    </row>
    <row r="731">
      <c r="I731" s="3"/>
      <c r="J731" s="3"/>
      <c r="K731" s="3"/>
    </row>
    <row r="732">
      <c r="I732" s="3"/>
      <c r="J732" s="3"/>
      <c r="K732" s="3"/>
    </row>
    <row r="733">
      <c r="I733" s="3"/>
      <c r="J733" s="3"/>
      <c r="K733" s="3"/>
    </row>
    <row r="734">
      <c r="I734" s="3"/>
      <c r="J734" s="3"/>
      <c r="K734" s="3"/>
    </row>
    <row r="735">
      <c r="I735" s="3"/>
      <c r="J735" s="3"/>
      <c r="K735" s="3"/>
    </row>
    <row r="736">
      <c r="I736" s="3"/>
      <c r="J736" s="3"/>
      <c r="K736" s="3"/>
    </row>
    <row r="737">
      <c r="I737" s="3"/>
      <c r="J737" s="3"/>
      <c r="K737" s="3"/>
    </row>
    <row r="738">
      <c r="I738" s="3"/>
      <c r="J738" s="3"/>
      <c r="K738" s="3"/>
    </row>
    <row r="739">
      <c r="I739" s="3"/>
      <c r="J739" s="3"/>
      <c r="K739" s="3"/>
    </row>
    <row r="740">
      <c r="I740" s="3"/>
      <c r="J740" s="3"/>
      <c r="K740" s="3"/>
    </row>
    <row r="741">
      <c r="I741" s="3"/>
      <c r="J741" s="3"/>
      <c r="K741" s="3"/>
    </row>
    <row r="742">
      <c r="I742" s="3"/>
      <c r="J742" s="3"/>
      <c r="K742" s="3"/>
    </row>
    <row r="743">
      <c r="I743" s="3"/>
      <c r="J743" s="3"/>
      <c r="K743" s="3"/>
    </row>
    <row r="744">
      <c r="I744" s="3"/>
      <c r="J744" s="3"/>
      <c r="K744" s="3"/>
    </row>
    <row r="745">
      <c r="I745" s="3"/>
      <c r="J745" s="3"/>
      <c r="K745" s="3"/>
    </row>
    <row r="746">
      <c r="I746" s="3"/>
      <c r="J746" s="3"/>
      <c r="K746" s="3"/>
    </row>
    <row r="747">
      <c r="I747" s="3"/>
      <c r="J747" s="3"/>
      <c r="K747" s="3"/>
    </row>
    <row r="748">
      <c r="I748" s="3"/>
      <c r="J748" s="3"/>
      <c r="K748" s="3"/>
    </row>
    <row r="749">
      <c r="I749" s="3"/>
      <c r="J749" s="3"/>
      <c r="K749" s="3"/>
    </row>
    <row r="750">
      <c r="I750" s="3"/>
      <c r="J750" s="3"/>
      <c r="K750" s="3"/>
    </row>
    <row r="751">
      <c r="I751" s="3"/>
      <c r="J751" s="3"/>
      <c r="K751" s="3"/>
    </row>
    <row r="752">
      <c r="I752" s="3"/>
      <c r="J752" s="3"/>
      <c r="K752" s="3"/>
    </row>
    <row r="753">
      <c r="I753" s="3"/>
      <c r="J753" s="3"/>
      <c r="K753" s="3"/>
    </row>
    <row r="754">
      <c r="I754" s="3"/>
      <c r="J754" s="3"/>
      <c r="K754" s="3"/>
    </row>
    <row r="755">
      <c r="I755" s="3"/>
      <c r="J755" s="3"/>
      <c r="K755" s="3"/>
    </row>
    <row r="756">
      <c r="I756" s="3"/>
      <c r="J756" s="3"/>
      <c r="K756" s="3"/>
    </row>
    <row r="757">
      <c r="I757" s="3"/>
      <c r="J757" s="3"/>
      <c r="K757" s="3"/>
    </row>
    <row r="758">
      <c r="I758" s="3"/>
      <c r="J758" s="3"/>
      <c r="K758" s="3"/>
    </row>
    <row r="759">
      <c r="I759" s="3"/>
      <c r="J759" s="3"/>
      <c r="K759" s="3"/>
    </row>
    <row r="760">
      <c r="I760" s="3"/>
      <c r="J760" s="3"/>
      <c r="K760" s="3"/>
    </row>
    <row r="761">
      <c r="I761" s="3"/>
      <c r="J761" s="3"/>
      <c r="K761" s="3"/>
    </row>
    <row r="762">
      <c r="I762" s="3"/>
      <c r="J762" s="3"/>
      <c r="K762" s="3"/>
    </row>
    <row r="763">
      <c r="I763" s="3"/>
      <c r="J763" s="3"/>
      <c r="K763" s="3"/>
    </row>
    <row r="764">
      <c r="I764" s="3"/>
      <c r="J764" s="3"/>
      <c r="K764" s="3"/>
    </row>
    <row r="765">
      <c r="I765" s="3"/>
      <c r="J765" s="3"/>
      <c r="K765" s="3"/>
    </row>
    <row r="766">
      <c r="I766" s="3"/>
      <c r="J766" s="3"/>
      <c r="K766" s="3"/>
    </row>
    <row r="767">
      <c r="I767" s="3"/>
      <c r="J767" s="3"/>
      <c r="K767" s="3"/>
    </row>
    <row r="768">
      <c r="I768" s="3"/>
      <c r="J768" s="3"/>
      <c r="K768" s="3"/>
    </row>
    <row r="769">
      <c r="I769" s="3"/>
      <c r="J769" s="3"/>
      <c r="K769" s="3"/>
    </row>
    <row r="770">
      <c r="I770" s="3"/>
      <c r="J770" s="3"/>
      <c r="K770" s="3"/>
    </row>
    <row r="771">
      <c r="I771" s="3"/>
      <c r="J771" s="3"/>
      <c r="K771" s="3"/>
    </row>
    <row r="772">
      <c r="I772" s="3"/>
      <c r="J772" s="3"/>
      <c r="K772" s="3"/>
    </row>
    <row r="773">
      <c r="I773" s="3"/>
      <c r="J773" s="3"/>
      <c r="K773" s="3"/>
    </row>
    <row r="774">
      <c r="I774" s="3"/>
      <c r="J774" s="3"/>
      <c r="K774" s="3"/>
    </row>
    <row r="775">
      <c r="I775" s="3"/>
      <c r="J775" s="3"/>
      <c r="K775" s="3"/>
    </row>
    <row r="776">
      <c r="I776" s="3"/>
      <c r="J776" s="3"/>
      <c r="K776" s="3"/>
    </row>
    <row r="777">
      <c r="I777" s="3"/>
      <c r="J777" s="3"/>
      <c r="K777" s="3"/>
    </row>
    <row r="778">
      <c r="I778" s="3"/>
      <c r="J778" s="3"/>
      <c r="K778" s="3"/>
    </row>
    <row r="779">
      <c r="I779" s="3"/>
      <c r="J779" s="3"/>
      <c r="K779" s="3"/>
    </row>
    <row r="780">
      <c r="I780" s="3"/>
      <c r="J780" s="3"/>
      <c r="K780" s="3"/>
    </row>
    <row r="781">
      <c r="I781" s="3"/>
      <c r="J781" s="3"/>
      <c r="K781" s="3"/>
    </row>
    <row r="782">
      <c r="I782" s="3"/>
      <c r="J782" s="3"/>
      <c r="K782" s="3"/>
    </row>
    <row r="783">
      <c r="I783" s="3"/>
      <c r="J783" s="3"/>
      <c r="K783" s="3"/>
    </row>
    <row r="784">
      <c r="I784" s="3"/>
      <c r="J784" s="3"/>
      <c r="K784" s="3"/>
    </row>
    <row r="785">
      <c r="I785" s="3"/>
      <c r="J785" s="3"/>
      <c r="K785" s="3"/>
    </row>
    <row r="786">
      <c r="I786" s="3"/>
      <c r="J786" s="3"/>
      <c r="K786" s="3"/>
    </row>
    <row r="787">
      <c r="I787" s="3"/>
      <c r="J787" s="3"/>
      <c r="K787" s="3"/>
    </row>
    <row r="788">
      <c r="I788" s="3"/>
      <c r="J788" s="3"/>
      <c r="K788" s="3"/>
    </row>
    <row r="789">
      <c r="I789" s="3"/>
      <c r="J789" s="3"/>
      <c r="K789" s="3"/>
    </row>
    <row r="790">
      <c r="I790" s="3"/>
      <c r="J790" s="3"/>
      <c r="K790" s="3"/>
    </row>
    <row r="791">
      <c r="I791" s="3"/>
      <c r="J791" s="3"/>
      <c r="K791" s="3"/>
    </row>
    <row r="792">
      <c r="I792" s="3"/>
      <c r="J792" s="3"/>
      <c r="K792" s="3"/>
    </row>
    <row r="793">
      <c r="I793" s="3"/>
      <c r="J793" s="3"/>
      <c r="K793" s="3"/>
    </row>
    <row r="794">
      <c r="I794" s="3"/>
      <c r="J794" s="3"/>
      <c r="K794" s="3"/>
    </row>
    <row r="795">
      <c r="I795" s="3"/>
      <c r="J795" s="3"/>
      <c r="K795" s="3"/>
    </row>
    <row r="796">
      <c r="I796" s="3"/>
      <c r="J796" s="3"/>
      <c r="K796" s="3"/>
    </row>
    <row r="797">
      <c r="I797" s="3"/>
      <c r="J797" s="3"/>
      <c r="K797" s="3"/>
    </row>
    <row r="798">
      <c r="I798" s="3"/>
      <c r="J798" s="3"/>
      <c r="K798" s="3"/>
    </row>
    <row r="799">
      <c r="I799" s="3"/>
      <c r="J799" s="3"/>
      <c r="K799" s="3"/>
    </row>
    <row r="800">
      <c r="I800" s="3"/>
      <c r="J800" s="3"/>
      <c r="K800" s="3"/>
    </row>
    <row r="801">
      <c r="I801" s="3"/>
      <c r="J801" s="3"/>
      <c r="K801" s="3"/>
    </row>
    <row r="802">
      <c r="I802" s="3"/>
      <c r="J802" s="3"/>
      <c r="K802" s="3"/>
    </row>
    <row r="803">
      <c r="I803" s="3"/>
      <c r="J803" s="3"/>
      <c r="K803" s="3"/>
    </row>
    <row r="804">
      <c r="I804" s="3"/>
      <c r="J804" s="3"/>
      <c r="K804" s="3"/>
    </row>
    <row r="805">
      <c r="I805" s="3"/>
      <c r="J805" s="3"/>
      <c r="K805" s="3"/>
    </row>
    <row r="806">
      <c r="I806" s="3"/>
      <c r="J806" s="3"/>
      <c r="K806" s="3"/>
    </row>
    <row r="807">
      <c r="I807" s="3"/>
      <c r="J807" s="3"/>
      <c r="K807" s="3"/>
    </row>
    <row r="808">
      <c r="I808" s="3"/>
      <c r="J808" s="3"/>
      <c r="K808" s="3"/>
    </row>
    <row r="809">
      <c r="I809" s="3"/>
      <c r="J809" s="3"/>
      <c r="K809" s="3"/>
    </row>
    <row r="810">
      <c r="I810" s="3"/>
      <c r="J810" s="3"/>
      <c r="K810" s="3"/>
    </row>
    <row r="811">
      <c r="I811" s="3"/>
      <c r="J811" s="3"/>
      <c r="K811" s="3"/>
    </row>
    <row r="812">
      <c r="I812" s="3"/>
      <c r="J812" s="3"/>
      <c r="K812" s="3"/>
    </row>
    <row r="813">
      <c r="I813" s="3"/>
      <c r="J813" s="3"/>
      <c r="K813" s="3"/>
    </row>
    <row r="814">
      <c r="I814" s="3"/>
      <c r="J814" s="3"/>
      <c r="K814" s="3"/>
    </row>
    <row r="815">
      <c r="I815" s="3"/>
      <c r="J815" s="3"/>
      <c r="K815" s="3"/>
    </row>
    <row r="816">
      <c r="I816" s="3"/>
      <c r="J816" s="3"/>
      <c r="K816" s="3"/>
    </row>
    <row r="817">
      <c r="I817" s="3"/>
      <c r="J817" s="3"/>
      <c r="K817" s="3"/>
    </row>
    <row r="818">
      <c r="I818" s="3"/>
      <c r="J818" s="3"/>
      <c r="K818" s="3"/>
    </row>
    <row r="819">
      <c r="I819" s="3"/>
      <c r="J819" s="3"/>
      <c r="K819" s="3"/>
    </row>
    <row r="820">
      <c r="I820" s="3"/>
      <c r="J820" s="3"/>
      <c r="K820" s="3"/>
    </row>
    <row r="821">
      <c r="I821" s="3"/>
      <c r="J821" s="3"/>
      <c r="K821" s="3"/>
    </row>
    <row r="822">
      <c r="I822" s="3"/>
      <c r="J822" s="3"/>
      <c r="K822" s="3"/>
    </row>
    <row r="823">
      <c r="I823" s="3"/>
      <c r="J823" s="3"/>
      <c r="K823" s="3"/>
    </row>
    <row r="824">
      <c r="I824" s="3"/>
      <c r="J824" s="3"/>
      <c r="K824" s="3"/>
    </row>
    <row r="825">
      <c r="I825" s="3"/>
      <c r="J825" s="3"/>
      <c r="K825" s="3"/>
    </row>
    <row r="826">
      <c r="I826" s="3"/>
      <c r="J826" s="3"/>
      <c r="K826" s="3"/>
    </row>
    <row r="827">
      <c r="I827" s="3"/>
      <c r="J827" s="3"/>
      <c r="K827" s="3"/>
    </row>
    <row r="828">
      <c r="I828" s="3"/>
      <c r="J828" s="3"/>
      <c r="K828" s="3"/>
    </row>
    <row r="829">
      <c r="I829" s="3"/>
      <c r="J829" s="3"/>
      <c r="K829" s="3"/>
    </row>
    <row r="830">
      <c r="I830" s="3"/>
      <c r="J830" s="3"/>
      <c r="K830" s="3"/>
    </row>
    <row r="831">
      <c r="I831" s="3"/>
      <c r="J831" s="3"/>
      <c r="K831" s="3"/>
    </row>
    <row r="832">
      <c r="I832" s="3"/>
      <c r="J832" s="3"/>
      <c r="K832" s="3"/>
    </row>
    <row r="833">
      <c r="I833" s="3"/>
      <c r="J833" s="3"/>
      <c r="K833" s="3"/>
    </row>
    <row r="834">
      <c r="I834" s="3"/>
      <c r="J834" s="3"/>
      <c r="K834" s="3"/>
    </row>
    <row r="835">
      <c r="I835" s="3"/>
      <c r="J835" s="3"/>
      <c r="K835" s="3"/>
    </row>
    <row r="836">
      <c r="I836" s="3"/>
      <c r="J836" s="3"/>
      <c r="K836" s="3"/>
    </row>
    <row r="837">
      <c r="I837" s="3"/>
      <c r="J837" s="3"/>
      <c r="K837" s="3"/>
    </row>
    <row r="838">
      <c r="I838" s="3"/>
      <c r="J838" s="3"/>
      <c r="K838" s="3"/>
    </row>
    <row r="839">
      <c r="I839" s="3"/>
      <c r="J839" s="3"/>
      <c r="K839" s="3"/>
    </row>
    <row r="840">
      <c r="I840" s="3"/>
      <c r="J840" s="3"/>
      <c r="K840" s="3"/>
    </row>
    <row r="841">
      <c r="I841" s="3"/>
      <c r="J841" s="3"/>
      <c r="K841" s="3"/>
    </row>
    <row r="842">
      <c r="I842" s="3"/>
      <c r="J842" s="3"/>
      <c r="K842" s="3"/>
    </row>
    <row r="843">
      <c r="I843" s="3"/>
      <c r="J843" s="3"/>
      <c r="K843" s="3"/>
    </row>
    <row r="844">
      <c r="I844" s="3"/>
      <c r="J844" s="3"/>
      <c r="K844" s="3"/>
    </row>
    <row r="845">
      <c r="I845" s="3"/>
      <c r="J845" s="3"/>
      <c r="K845" s="3"/>
    </row>
    <row r="846">
      <c r="I846" s="3"/>
      <c r="J846" s="3"/>
      <c r="K846" s="3"/>
    </row>
    <row r="847">
      <c r="I847" s="3"/>
      <c r="J847" s="3"/>
      <c r="K847" s="3"/>
    </row>
    <row r="848">
      <c r="I848" s="3"/>
      <c r="J848" s="3"/>
      <c r="K848" s="3"/>
    </row>
    <row r="849">
      <c r="I849" s="3"/>
      <c r="J849" s="3"/>
      <c r="K849" s="3"/>
    </row>
    <row r="850">
      <c r="I850" s="3"/>
      <c r="J850" s="3"/>
      <c r="K850" s="3"/>
    </row>
    <row r="851">
      <c r="I851" s="3"/>
      <c r="J851" s="3"/>
      <c r="K851" s="3"/>
    </row>
    <row r="852">
      <c r="I852" s="3"/>
      <c r="J852" s="3"/>
      <c r="K852" s="3"/>
    </row>
    <row r="853">
      <c r="I853" s="3"/>
      <c r="J853" s="3"/>
      <c r="K853" s="3"/>
    </row>
    <row r="854">
      <c r="I854" s="3"/>
      <c r="J854" s="3"/>
      <c r="K854" s="3"/>
    </row>
    <row r="855">
      <c r="I855" s="3"/>
      <c r="J855" s="3"/>
      <c r="K855" s="3"/>
    </row>
    <row r="856">
      <c r="I856" s="3"/>
      <c r="J856" s="3"/>
      <c r="K856" s="3"/>
    </row>
    <row r="857">
      <c r="I857" s="3"/>
      <c r="J857" s="3"/>
      <c r="K857" s="3"/>
    </row>
    <row r="858">
      <c r="I858" s="3"/>
      <c r="J858" s="3"/>
      <c r="K858" s="3"/>
    </row>
    <row r="859">
      <c r="I859" s="3"/>
      <c r="J859" s="3"/>
      <c r="K859" s="3"/>
    </row>
    <row r="860">
      <c r="I860" s="3"/>
      <c r="J860" s="3"/>
      <c r="K860" s="3"/>
    </row>
    <row r="861">
      <c r="I861" s="3"/>
      <c r="J861" s="3"/>
      <c r="K861" s="3"/>
    </row>
    <row r="862">
      <c r="I862" s="3"/>
      <c r="J862" s="3"/>
      <c r="K862" s="3"/>
    </row>
    <row r="863">
      <c r="I863" s="3"/>
      <c r="J863" s="3"/>
      <c r="K863" s="3"/>
    </row>
    <row r="864">
      <c r="I864" s="3"/>
      <c r="J864" s="3"/>
      <c r="K864" s="3"/>
    </row>
    <row r="865">
      <c r="I865" s="3"/>
      <c r="J865" s="3"/>
      <c r="K865" s="3"/>
    </row>
    <row r="866">
      <c r="I866" s="3"/>
      <c r="J866" s="3"/>
      <c r="K866" s="3"/>
    </row>
    <row r="867">
      <c r="I867" s="3"/>
      <c r="J867" s="3"/>
      <c r="K867" s="3"/>
    </row>
    <row r="868">
      <c r="I868" s="3"/>
      <c r="J868" s="3"/>
      <c r="K868" s="3"/>
    </row>
    <row r="869">
      <c r="I869" s="3"/>
      <c r="J869" s="3"/>
      <c r="K869" s="3"/>
    </row>
    <row r="870">
      <c r="I870" s="3"/>
      <c r="J870" s="3"/>
      <c r="K870" s="3"/>
    </row>
    <row r="871">
      <c r="I871" s="3"/>
      <c r="J871" s="3"/>
      <c r="K871" s="3"/>
    </row>
    <row r="872">
      <c r="I872" s="3"/>
      <c r="J872" s="3"/>
      <c r="K872" s="3"/>
    </row>
    <row r="873">
      <c r="I873" s="3"/>
      <c r="J873" s="3"/>
      <c r="K873" s="3"/>
    </row>
    <row r="874">
      <c r="I874" s="3"/>
      <c r="J874" s="3"/>
      <c r="K874" s="3"/>
    </row>
    <row r="875">
      <c r="I875" s="3"/>
      <c r="J875" s="3"/>
      <c r="K875" s="3"/>
    </row>
    <row r="876">
      <c r="I876" s="3"/>
      <c r="J876" s="3"/>
      <c r="K876" s="3"/>
    </row>
    <row r="877">
      <c r="I877" s="3"/>
      <c r="J877" s="3"/>
      <c r="K877" s="3"/>
    </row>
    <row r="878">
      <c r="I878" s="3"/>
      <c r="J878" s="3"/>
      <c r="K878" s="3"/>
    </row>
    <row r="879">
      <c r="I879" s="3"/>
      <c r="J879" s="3"/>
      <c r="K879" s="3"/>
    </row>
    <row r="880">
      <c r="I880" s="3"/>
      <c r="J880" s="3"/>
      <c r="K880" s="3"/>
    </row>
    <row r="881">
      <c r="I881" s="3"/>
      <c r="J881" s="3"/>
      <c r="K881" s="3"/>
    </row>
    <row r="882">
      <c r="I882" s="3"/>
      <c r="J882" s="3"/>
      <c r="K882" s="3"/>
    </row>
    <row r="883">
      <c r="I883" s="3"/>
      <c r="J883" s="3"/>
      <c r="K883" s="3"/>
    </row>
    <row r="884">
      <c r="I884" s="3"/>
      <c r="J884" s="3"/>
      <c r="K884" s="3"/>
    </row>
    <row r="885">
      <c r="I885" s="3"/>
      <c r="J885" s="3"/>
      <c r="K885" s="3"/>
    </row>
    <row r="886">
      <c r="I886" s="3"/>
      <c r="J886" s="3"/>
      <c r="K886" s="3"/>
    </row>
    <row r="887">
      <c r="I887" s="3"/>
      <c r="J887" s="3"/>
      <c r="K887" s="3"/>
    </row>
    <row r="888">
      <c r="I888" s="3"/>
      <c r="J888" s="3"/>
      <c r="K888" s="3"/>
    </row>
    <row r="889">
      <c r="I889" s="3"/>
      <c r="J889" s="3"/>
      <c r="K889" s="3"/>
    </row>
    <row r="890">
      <c r="I890" s="3"/>
      <c r="J890" s="3"/>
      <c r="K890" s="3"/>
    </row>
    <row r="891">
      <c r="I891" s="3"/>
      <c r="J891" s="3"/>
      <c r="K891" s="3"/>
    </row>
    <row r="892">
      <c r="I892" s="3"/>
      <c r="J892" s="3"/>
      <c r="K892" s="3"/>
    </row>
    <row r="893">
      <c r="I893" s="3"/>
      <c r="J893" s="3"/>
      <c r="K893" s="3"/>
    </row>
    <row r="894">
      <c r="I894" s="3"/>
      <c r="J894" s="3"/>
      <c r="K894" s="3"/>
    </row>
    <row r="895">
      <c r="I895" s="3"/>
      <c r="J895" s="3"/>
      <c r="K895" s="3"/>
    </row>
    <row r="896">
      <c r="I896" s="3"/>
      <c r="J896" s="3"/>
      <c r="K896" s="3"/>
    </row>
    <row r="897">
      <c r="I897" s="3"/>
      <c r="J897" s="3"/>
      <c r="K897" s="3"/>
    </row>
    <row r="898">
      <c r="I898" s="3"/>
      <c r="J898" s="3"/>
      <c r="K898" s="3"/>
    </row>
    <row r="899">
      <c r="I899" s="3"/>
      <c r="J899" s="3"/>
      <c r="K899" s="3"/>
    </row>
    <row r="900">
      <c r="I900" s="3"/>
      <c r="J900" s="3"/>
      <c r="K900" s="3"/>
    </row>
    <row r="901">
      <c r="I901" s="3"/>
      <c r="J901" s="3"/>
      <c r="K901" s="3"/>
    </row>
    <row r="902">
      <c r="I902" s="3"/>
      <c r="J902" s="3"/>
      <c r="K902" s="3"/>
    </row>
    <row r="903">
      <c r="I903" s="3"/>
      <c r="J903" s="3"/>
      <c r="K903" s="3"/>
    </row>
    <row r="904">
      <c r="I904" s="3"/>
      <c r="J904" s="3"/>
      <c r="K904" s="3"/>
    </row>
    <row r="905">
      <c r="I905" s="3"/>
      <c r="J905" s="3"/>
      <c r="K905" s="3"/>
    </row>
    <row r="906">
      <c r="I906" s="3"/>
      <c r="J906" s="3"/>
      <c r="K906" s="3"/>
    </row>
    <row r="907">
      <c r="I907" s="3"/>
      <c r="J907" s="3"/>
      <c r="K907" s="3"/>
    </row>
    <row r="908">
      <c r="I908" s="3"/>
      <c r="J908" s="3"/>
      <c r="K908" s="3"/>
    </row>
    <row r="909">
      <c r="I909" s="3"/>
      <c r="J909" s="3"/>
      <c r="K909" s="3"/>
    </row>
    <row r="910">
      <c r="I910" s="3"/>
      <c r="J910" s="3"/>
      <c r="K910" s="3"/>
    </row>
    <row r="911">
      <c r="I911" s="3"/>
      <c r="J911" s="3"/>
      <c r="K911" s="3"/>
    </row>
    <row r="912">
      <c r="I912" s="3"/>
      <c r="J912" s="3"/>
      <c r="K912" s="3"/>
    </row>
    <row r="913">
      <c r="I913" s="3"/>
      <c r="J913" s="3"/>
      <c r="K913" s="3"/>
    </row>
    <row r="914">
      <c r="I914" s="3"/>
      <c r="J914" s="3"/>
      <c r="K914" s="3"/>
    </row>
    <row r="915">
      <c r="I915" s="3"/>
      <c r="J915" s="3"/>
      <c r="K915" s="3"/>
    </row>
    <row r="916">
      <c r="I916" s="3"/>
      <c r="J916" s="3"/>
      <c r="K916" s="3"/>
    </row>
    <row r="917">
      <c r="I917" s="3"/>
      <c r="J917" s="3"/>
      <c r="K917" s="3"/>
    </row>
    <row r="918">
      <c r="I918" s="3"/>
      <c r="J918" s="3"/>
      <c r="K918" s="3"/>
    </row>
    <row r="919">
      <c r="I919" s="3"/>
      <c r="J919" s="3"/>
      <c r="K919" s="3"/>
    </row>
    <row r="920">
      <c r="I920" s="3"/>
      <c r="J920" s="3"/>
      <c r="K920" s="3"/>
    </row>
    <row r="921">
      <c r="I921" s="3"/>
      <c r="J921" s="3"/>
      <c r="K921" s="3"/>
    </row>
    <row r="922">
      <c r="I922" s="3"/>
      <c r="J922" s="3"/>
      <c r="K922" s="3"/>
    </row>
    <row r="923">
      <c r="I923" s="3"/>
      <c r="J923" s="3"/>
      <c r="K923" s="3"/>
    </row>
    <row r="924">
      <c r="I924" s="3"/>
      <c r="J924" s="3"/>
      <c r="K924" s="3"/>
    </row>
    <row r="925">
      <c r="I925" s="3"/>
      <c r="J925" s="3"/>
      <c r="K925" s="3"/>
    </row>
    <row r="926">
      <c r="I926" s="3"/>
      <c r="J926" s="3"/>
      <c r="K926" s="3"/>
    </row>
    <row r="927">
      <c r="I927" s="3"/>
      <c r="J927" s="3"/>
      <c r="K927" s="3"/>
    </row>
    <row r="928">
      <c r="I928" s="3"/>
      <c r="J928" s="3"/>
      <c r="K928" s="3"/>
    </row>
    <row r="929">
      <c r="I929" s="3"/>
      <c r="J929" s="3"/>
      <c r="K929" s="3"/>
    </row>
    <row r="930">
      <c r="I930" s="3"/>
      <c r="J930" s="3"/>
      <c r="K930" s="3"/>
    </row>
    <row r="931">
      <c r="I931" s="3"/>
      <c r="J931" s="3"/>
      <c r="K931" s="3"/>
    </row>
    <row r="932">
      <c r="I932" s="3"/>
      <c r="J932" s="3"/>
      <c r="K932" s="3"/>
    </row>
    <row r="933">
      <c r="I933" s="3"/>
      <c r="J933" s="3"/>
      <c r="K933" s="3"/>
    </row>
    <row r="934">
      <c r="I934" s="3"/>
      <c r="J934" s="3"/>
      <c r="K934" s="3"/>
    </row>
    <row r="935">
      <c r="I935" s="3"/>
      <c r="J935" s="3"/>
      <c r="K935" s="3"/>
    </row>
    <row r="936">
      <c r="I936" s="3"/>
      <c r="J936" s="3"/>
      <c r="K936" s="3"/>
    </row>
    <row r="937">
      <c r="I937" s="3"/>
      <c r="J937" s="3"/>
      <c r="K937" s="3"/>
    </row>
    <row r="938">
      <c r="I938" s="3"/>
      <c r="J938" s="3"/>
      <c r="K938" s="3"/>
    </row>
    <row r="939">
      <c r="I939" s="3"/>
      <c r="J939" s="3"/>
      <c r="K939" s="3"/>
    </row>
    <row r="940">
      <c r="I940" s="3"/>
      <c r="J940" s="3"/>
      <c r="K940" s="3"/>
    </row>
    <row r="941">
      <c r="I941" s="3"/>
      <c r="J941" s="3"/>
      <c r="K941" s="3"/>
    </row>
    <row r="942">
      <c r="I942" s="3"/>
      <c r="J942" s="3"/>
      <c r="K942" s="3"/>
    </row>
    <row r="943">
      <c r="I943" s="3"/>
      <c r="J943" s="3"/>
      <c r="K943" s="3"/>
    </row>
    <row r="944">
      <c r="I944" s="3"/>
      <c r="J944" s="3"/>
      <c r="K944" s="3"/>
    </row>
    <row r="945">
      <c r="I945" s="3"/>
      <c r="J945" s="3"/>
      <c r="K945" s="3"/>
    </row>
    <row r="946">
      <c r="I946" s="3"/>
      <c r="J946" s="3"/>
      <c r="K946" s="3"/>
    </row>
    <row r="947">
      <c r="I947" s="3"/>
      <c r="J947" s="3"/>
      <c r="K947" s="3"/>
    </row>
    <row r="948">
      <c r="I948" s="3"/>
      <c r="J948" s="3"/>
      <c r="K948" s="3"/>
    </row>
    <row r="949">
      <c r="I949" s="3"/>
      <c r="J949" s="3"/>
      <c r="K949" s="3"/>
    </row>
    <row r="950">
      <c r="I950" s="3"/>
      <c r="J950" s="3"/>
      <c r="K950" s="3"/>
    </row>
    <row r="951">
      <c r="I951" s="3"/>
      <c r="J951" s="3"/>
      <c r="K951" s="3"/>
    </row>
    <row r="952">
      <c r="I952" s="3"/>
      <c r="J952" s="3"/>
      <c r="K952" s="3"/>
    </row>
    <row r="953">
      <c r="I953" s="3"/>
      <c r="J953" s="3"/>
      <c r="K953" s="3"/>
    </row>
    <row r="954">
      <c r="I954" s="3"/>
      <c r="J954" s="3"/>
      <c r="K954" s="3"/>
    </row>
    <row r="955">
      <c r="I955" s="3"/>
      <c r="J955" s="3"/>
      <c r="K955" s="3"/>
    </row>
    <row r="956">
      <c r="I956" s="3"/>
      <c r="J956" s="3"/>
      <c r="K956" s="3"/>
    </row>
    <row r="957">
      <c r="I957" s="3"/>
      <c r="J957" s="3"/>
      <c r="K957" s="3"/>
    </row>
    <row r="958">
      <c r="I958" s="3"/>
      <c r="J958" s="3"/>
      <c r="K958" s="3"/>
    </row>
    <row r="959">
      <c r="I959" s="3"/>
      <c r="J959" s="3"/>
      <c r="K959" s="3"/>
    </row>
    <row r="960">
      <c r="I960" s="3"/>
      <c r="J960" s="3"/>
      <c r="K960" s="3"/>
    </row>
    <row r="961">
      <c r="I961" s="3"/>
      <c r="J961" s="3"/>
      <c r="K961" s="3"/>
    </row>
    <row r="962">
      <c r="I962" s="3"/>
      <c r="J962" s="3"/>
      <c r="K962" s="3"/>
    </row>
    <row r="963">
      <c r="I963" s="3"/>
      <c r="J963" s="3"/>
      <c r="K963" s="3"/>
    </row>
    <row r="964">
      <c r="I964" s="3"/>
      <c r="J964" s="3"/>
      <c r="K964" s="3"/>
    </row>
    <row r="965">
      <c r="I965" s="3"/>
      <c r="J965" s="3"/>
      <c r="K965" s="3"/>
    </row>
    <row r="966">
      <c r="I966" s="3"/>
      <c r="J966" s="3"/>
      <c r="K966" s="3"/>
    </row>
    <row r="967">
      <c r="I967" s="3"/>
      <c r="J967" s="3"/>
      <c r="K967" s="3"/>
    </row>
    <row r="968">
      <c r="I968" s="3"/>
      <c r="J968" s="3"/>
      <c r="K968" s="3"/>
    </row>
    <row r="969">
      <c r="I969" s="3"/>
      <c r="J969" s="3"/>
      <c r="K969" s="3"/>
    </row>
    <row r="970">
      <c r="I970" s="3"/>
      <c r="J970" s="3"/>
      <c r="K970" s="3"/>
    </row>
    <row r="971">
      <c r="I971" s="3"/>
      <c r="J971" s="3"/>
      <c r="K971" s="3"/>
    </row>
    <row r="972">
      <c r="I972" s="3"/>
      <c r="J972" s="3"/>
      <c r="K972" s="3"/>
    </row>
    <row r="973">
      <c r="I973" s="3"/>
      <c r="J973" s="3"/>
      <c r="K973" s="3"/>
    </row>
    <row r="974">
      <c r="I974" s="3"/>
      <c r="J974" s="3"/>
      <c r="K974" s="3"/>
    </row>
    <row r="975">
      <c r="I975" s="3"/>
      <c r="J975" s="3"/>
      <c r="K975" s="3"/>
    </row>
    <row r="976">
      <c r="I976" s="3"/>
      <c r="J976" s="3"/>
      <c r="K976" s="3"/>
    </row>
    <row r="977">
      <c r="I977" s="3"/>
      <c r="J977" s="3"/>
      <c r="K977" s="3"/>
    </row>
    <row r="978">
      <c r="I978" s="3"/>
      <c r="J978" s="3"/>
      <c r="K978" s="3"/>
    </row>
    <row r="979">
      <c r="I979" s="3"/>
      <c r="J979" s="3"/>
      <c r="K979" s="3"/>
    </row>
    <row r="980">
      <c r="I980" s="3"/>
      <c r="J980" s="3"/>
      <c r="K980" s="3"/>
    </row>
    <row r="981">
      <c r="I981" s="3"/>
      <c r="J981" s="3"/>
      <c r="K981" s="3"/>
    </row>
    <row r="982">
      <c r="I982" s="3"/>
      <c r="J982" s="3"/>
      <c r="K982" s="3"/>
    </row>
    <row r="983">
      <c r="I983" s="3"/>
      <c r="J983" s="3"/>
      <c r="K983" s="3"/>
    </row>
    <row r="984">
      <c r="I984" s="3"/>
      <c r="J984" s="3"/>
      <c r="K984" s="3"/>
    </row>
    <row r="985">
      <c r="I985" s="3"/>
      <c r="J985" s="3"/>
      <c r="K985" s="3"/>
    </row>
    <row r="986">
      <c r="I986" s="3"/>
      <c r="J986" s="3"/>
      <c r="K986" s="3"/>
    </row>
    <row r="987">
      <c r="I987" s="3"/>
      <c r="J987" s="3"/>
      <c r="K987" s="3"/>
    </row>
    <row r="988">
      <c r="I988" s="3"/>
      <c r="J988" s="3"/>
      <c r="K988" s="3"/>
    </row>
    <row r="989">
      <c r="I989" s="3"/>
      <c r="J989" s="3"/>
      <c r="K989" s="3"/>
    </row>
    <row r="990">
      <c r="I990" s="3"/>
      <c r="J990" s="3"/>
      <c r="K990" s="3"/>
    </row>
    <row r="991">
      <c r="I991" s="3"/>
      <c r="J991" s="3"/>
      <c r="K991" s="3"/>
    </row>
    <row r="992">
      <c r="I992" s="3"/>
      <c r="J992" s="3"/>
      <c r="K992" s="3"/>
    </row>
    <row r="993">
      <c r="I993" s="3"/>
      <c r="J993" s="3"/>
      <c r="K993" s="3"/>
    </row>
    <row r="994">
      <c r="I994" s="3"/>
      <c r="J994" s="3"/>
      <c r="K994" s="3"/>
    </row>
    <row r="995">
      <c r="I995" s="3"/>
      <c r="J995" s="3"/>
      <c r="K995" s="3"/>
    </row>
    <row r="996">
      <c r="I996" s="3"/>
      <c r="J996" s="3"/>
      <c r="K996" s="3"/>
    </row>
    <row r="997">
      <c r="I997" s="3"/>
      <c r="J997" s="3"/>
      <c r="K997" s="3"/>
    </row>
    <row r="998">
      <c r="I998" s="3"/>
      <c r="J998" s="3"/>
      <c r="K998" s="3"/>
    </row>
    <row r="999">
      <c r="I999" s="3"/>
      <c r="J999" s="3"/>
      <c r="K999" s="3"/>
    </row>
    <row r="1000">
      <c r="I1000" s="3"/>
      <c r="J1000" s="3"/>
      <c r="K1000" s="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3.88"/>
    <col customWidth="1" min="3" max="3" width="9.63"/>
    <col customWidth="1" min="4" max="4" width="6.0"/>
    <col customWidth="1" min="5" max="5" width="9.38"/>
    <col customWidth="1" min="6" max="6" width="13.38"/>
    <col customWidth="1" min="7" max="7" width="20.88"/>
    <col customWidth="1" min="8" max="8" width="4.75"/>
    <col customWidth="1" min="9" max="9" width="3.63"/>
    <col customWidth="1" min="10" max="10" width="4.5"/>
    <col customWidth="1" min="11" max="11" width="17.0"/>
    <col customWidth="1" min="12" max="12" width="4.5"/>
    <col customWidth="1" min="13" max="13" width="16.5"/>
    <col customWidth="1" min="14" max="14" width="7.25"/>
    <col customWidth="1" min="15" max="15" width="11.25"/>
  </cols>
  <sheetData>
    <row r="1">
      <c r="A1" s="9" t="s">
        <v>0</v>
      </c>
      <c r="B1" s="6" t="s">
        <v>1</v>
      </c>
      <c r="C1" s="6" t="s">
        <v>2</v>
      </c>
      <c r="D1" s="6" t="s">
        <v>3</v>
      </c>
      <c r="E1" s="6" t="s">
        <v>4</v>
      </c>
      <c r="F1" s="6" t="s">
        <v>5</v>
      </c>
      <c r="G1" s="6" t="s">
        <v>13</v>
      </c>
      <c r="H1" s="6" t="s">
        <v>15</v>
      </c>
      <c r="I1" s="6" t="s">
        <v>6</v>
      </c>
      <c r="J1" s="6" t="s">
        <v>7</v>
      </c>
      <c r="K1" s="6" t="s">
        <v>16</v>
      </c>
      <c r="L1" s="6" t="s">
        <v>8</v>
      </c>
      <c r="M1" s="6" t="s">
        <v>10</v>
      </c>
      <c r="N1" s="6" t="s">
        <v>11</v>
      </c>
      <c r="O1" s="6" t="s">
        <v>12</v>
      </c>
      <c r="P1" s="7" t="str">
        <f>IFERROR(__xludf.DUMMYFUNCTION("ArrayFormula(IF(LEN(O:O),if(ROW(O:O)=1,""Tanggal Approved"",vlookup(B:B,importrange(""1BTErKYh1WX2wnFOTdYQu-l6Dd40D7PAZBDI78WZqujQ"",""Salinan Gform!B:E""),4,0)),))"),"Tanggal Approved")</f>
        <v>Tanggal Approved</v>
      </c>
    </row>
    <row r="2">
      <c r="A2" s="7">
        <f>IFERROR(__xludf.DUMMYFUNCTION("if(isna(filter('All BR BQ'!A:O,'All BR BQ'!M:M=""Approve"",'All BR BQ'!N:N=""Urgent"",'All BR BQ'!O:O=""Approve"")),"""",filter('All BR BQ'!A:O,'All BR BQ'!M:M=""Approve"",'All BR BQ'!N:N=""Urgent"",'All BR BQ'!O:O=""Approve""))"),45713.999412627316)</f>
        <v>45713.99941</v>
      </c>
      <c r="B2" s="3" t="str">
        <f>IFERROR(__xludf.DUMMYFUNCTION("""COMPUTED_VALUE"""),"SFHBR0010")</f>
        <v>SFHBR0010</v>
      </c>
      <c r="C2" s="3" t="str">
        <f>IFERROR(__xludf.DUMMYFUNCTION("""COMPUTED_VALUE"""),"Consumable")</f>
        <v>Consumable</v>
      </c>
      <c r="D2" s="3" t="str">
        <f>IFERROR(__xludf.DUMMYFUNCTION("""COMPUTED_VALUE"""),"-")</f>
        <v>-</v>
      </c>
      <c r="E2" s="3" t="str">
        <f>IFERROR(__xludf.DUMMYFUNCTION("""COMPUTED_VALUE"""),"lantai 2")</f>
        <v>lantai 2</v>
      </c>
      <c r="F2" s="3" t="str">
        <f>IFERROR(__xludf.DUMMYFUNCTION("""COMPUTED_VALUE"""),"karet ban")</f>
        <v>karet ban</v>
      </c>
      <c r="G2" s="3" t="str">
        <f>IFERROR(__xludf.DUMMYFUNCTION("""COMPUTED_VALUE"""),"tali karet ban")</f>
        <v>tali karet ban</v>
      </c>
      <c r="H2" s="3"/>
      <c r="I2" s="3">
        <f>IFERROR(__xludf.DUMMYFUNCTION("""COMPUTED_VALUE"""),20.0)</f>
        <v>20</v>
      </c>
      <c r="J2" s="3" t="str">
        <f>IFERROR(__xludf.DUMMYFUNCTION("""COMPUTED_VALUE"""),"mtr")</f>
        <v>mtr</v>
      </c>
      <c r="K2" s="5" t="str">
        <f>IFERROR(__xludf.DUMMYFUNCTION("""COMPUTED_VALUE"""),"https://tokopedia.link/Wu42ntfqhRb")</f>
        <v>https://tokopedia.link/Wu42ntfqhRb</v>
      </c>
      <c r="L2" s="3" t="str">
        <f>IFERROR(__xludf.DUMMYFUNCTION("""COMPUTED_VALUE"""),"-")</f>
        <v>-</v>
      </c>
      <c r="M2" s="3" t="str">
        <f>IFERROR(__xludf.DUMMYFUNCTION("""COMPUTED_VALUE"""),"Approve")</f>
        <v>Approve</v>
      </c>
      <c r="N2" s="3" t="str">
        <f>IFERROR(__xludf.DUMMYFUNCTION("""COMPUTED_VALUE"""),"Urgent")</f>
        <v>Urgent</v>
      </c>
      <c r="O2" s="3" t="str">
        <f>IFERROR(__xludf.DUMMYFUNCTION("""COMPUTED_VALUE"""),"Approve")</f>
        <v>Approve</v>
      </c>
      <c r="P2" s="7">
        <f>IFERROR(__xludf.DUMMYFUNCTION("""COMPUTED_VALUE"""),45742.564148935184)</f>
        <v>45742.56415</v>
      </c>
    </row>
    <row r="3">
      <c r="A3" s="7">
        <f>IFERROR(__xludf.DUMMYFUNCTION("""COMPUTED_VALUE"""),45834.99030369213)</f>
        <v>45834.9903</v>
      </c>
      <c r="B3" s="3" t="str">
        <f>IFERROR(__xludf.DUMMYFUNCTION("""COMPUTED_VALUE"""),"INNBR0032")</f>
        <v>INNBR0032</v>
      </c>
      <c r="C3" s="3" t="str">
        <f>IFERROR(__xludf.DUMMYFUNCTION("""COMPUTED_VALUE"""),"Consumable")</f>
        <v>Consumable</v>
      </c>
      <c r="D3" s="3" t="str">
        <f>IFERROR(__xludf.DUMMYFUNCTION("""COMPUTED_VALUE"""),"-")</f>
        <v>-</v>
      </c>
      <c r="E3" s="3" t="str">
        <f>IFERROR(__xludf.DUMMYFUNCTION("""COMPUTED_VALUE"""),"Capping")</f>
        <v>Capping</v>
      </c>
      <c r="F3" s="3" t="str">
        <f>IFERROR(__xludf.DUMMYFUNCTION("""COMPUTED_VALUE"""),"Oring silicone : 35.5 x 30.5 x 2.5 mm")</f>
        <v>Oring silicone : 35.5 x 30.5 x 2.5 mm</v>
      </c>
      <c r="G3" s="3" t="str">
        <f>IFERROR(__xludf.DUMMYFUNCTION("""COMPUTED_VALUE"""),"-")</f>
        <v>-</v>
      </c>
      <c r="H3" s="3" t="str">
        <f>IFERROR(__xludf.DUMMYFUNCTION("""COMPUTED_VALUE"""),"Custom")</f>
        <v>Custom</v>
      </c>
      <c r="I3" s="3">
        <f>IFERROR(__xludf.DUMMYFUNCTION("""COMPUTED_VALUE"""),10.0)</f>
        <v>10</v>
      </c>
      <c r="J3" s="3" t="str">
        <f>IFERROR(__xludf.DUMMYFUNCTION("""COMPUTED_VALUE"""),"pcs")</f>
        <v>pcs</v>
      </c>
      <c r="K3" s="3" t="str">
        <f>IFERROR(__xludf.DUMMYFUNCTION("""COMPUTED_VALUE"""),"-")</f>
        <v>-</v>
      </c>
      <c r="L3" s="3" t="str">
        <f>IFERROR(__xludf.DUMMYFUNCTION("""COMPUTED_VALUE"""),"Oring headcaps Zometa")</f>
        <v>Oring headcaps Zometa</v>
      </c>
      <c r="M3" s="3" t="str">
        <f>IFERROR(__xludf.DUMMYFUNCTION("""COMPUTED_VALUE"""),"Approve")</f>
        <v>Approve</v>
      </c>
      <c r="N3" s="3" t="str">
        <f>IFERROR(__xludf.DUMMYFUNCTION("""COMPUTED_VALUE"""),"Urgent")</f>
        <v>Urgent</v>
      </c>
      <c r="O3" s="3" t="str">
        <f>IFERROR(__xludf.DUMMYFUNCTION("""COMPUTED_VALUE"""),"Approve")</f>
        <v>Approve</v>
      </c>
      <c r="P3" s="7">
        <f>IFERROR(__xludf.DUMMYFUNCTION("""COMPUTED_VALUE"""),45842.2452525463)</f>
        <v>45842.24525</v>
      </c>
    </row>
    <row r="4">
      <c r="A4" s="7">
        <f>IFERROR(__xludf.DUMMYFUNCTION("""COMPUTED_VALUE"""),45883.18858967593)</f>
        <v>45883.18859</v>
      </c>
      <c r="B4" s="3" t="str">
        <f>IFERROR(__xludf.DUMMYFUNCTION("""COMPUTED_VALUE"""),"ROSBR0032")</f>
        <v>ROSBR0032</v>
      </c>
      <c r="C4" s="3" t="str">
        <f>IFERROR(__xludf.DUMMYFUNCTION("""COMPUTED_VALUE"""),"EJO")</f>
        <v>EJO</v>
      </c>
      <c r="D4" s="3" t="str">
        <f>IFERROR(__xludf.DUMMYFUNCTION("""COMPUTED_VALUE"""),"EJO/2025/08/152")</f>
        <v>EJO/2025/08/152</v>
      </c>
      <c r="E4" s="3" t="str">
        <f>IFERROR(__xludf.DUMMYFUNCTION("""COMPUTED_VALUE"""),"Capping")</f>
        <v>Capping</v>
      </c>
      <c r="F4" s="3" t="str">
        <f>IFERROR(__xludf.DUMMYFUNCTION("""COMPUTED_VALUE"""),"Poisition indikator ")</f>
        <v>Poisition indikator </v>
      </c>
      <c r="G4" s="3" t="str">
        <f>IFERROR(__xludf.DUMMYFUNCTION("""COMPUTED_VALUE"""),"name ; Position Indikator
type DSNR
material shaft : stainless steel 
Diameter shaft : 14F7
material backboard : Nylon
Housing material ; ABS Yellow
Sleeve Material: SUS304")</f>
        <v>name ; Position Indikator
type DSNR
material shaft : stainless steel 
Diameter shaft : 14F7
material backboard : Nylon
Housing material ; ABS Yellow
Sleeve Material: SUS304</v>
      </c>
      <c r="H4" s="3" t="str">
        <f>IFERROR(__xludf.DUMMYFUNCTION("""COMPUTED_VALUE"""),"Misumi")</f>
        <v>Misumi</v>
      </c>
      <c r="I4" s="3">
        <f>IFERROR(__xludf.DUMMYFUNCTION("""COMPUTED_VALUE"""),1.0)</f>
        <v>1</v>
      </c>
      <c r="J4" s="3" t="str">
        <f>IFERROR(__xludf.DUMMYFUNCTION("""COMPUTED_VALUE"""),"set")</f>
        <v>set</v>
      </c>
      <c r="K4" s="5" t="str">
        <f>IFERROR(__xludf.DUMMYFUNCTION("""COMPUTED_VALUE"""),"https://drive.google.com/drive/folders/1AM6C0hzUr-5v39s7s6tXSZAMPk5WCFlV?usp=drive_link")</f>
        <v>https://drive.google.com/drive/folders/1AM6C0hzUr-5v39s7s6tXSZAMPk5WCFlV?usp=drive_link</v>
      </c>
      <c r="L4" s="3" t="str">
        <f>IFERROR(__xludf.DUMMYFUNCTION("""COMPUTED_VALUE"""),"Minta tolong beliin Position indikator sesuai dari merk misumi")</f>
        <v>Minta tolong beliin Position indikator sesuai dari merk misumi</v>
      </c>
      <c r="M4" s="3" t="str">
        <f>IFERROR(__xludf.DUMMYFUNCTION("""COMPUTED_VALUE"""),"Approve")</f>
        <v>Approve</v>
      </c>
      <c r="N4" s="3" t="str">
        <f>IFERROR(__xludf.DUMMYFUNCTION("""COMPUTED_VALUE"""),"Urgent")</f>
        <v>Urgent</v>
      </c>
      <c r="O4" s="3" t="str">
        <f>IFERROR(__xludf.DUMMYFUNCTION("""COMPUTED_VALUE"""),"Approve")</f>
        <v>Approve</v>
      </c>
      <c r="P4" s="7">
        <f>IFERROR(__xludf.DUMMYFUNCTION("""COMPUTED_VALUE"""),45925.67062898148)</f>
        <v>45925.67063</v>
      </c>
    </row>
    <row r="5">
      <c r="A5" s="7">
        <f>IFERROR(__xludf.DUMMYFUNCTION("""COMPUTED_VALUE"""),46045.74914045139)</f>
        <v>46045.74914</v>
      </c>
      <c r="B5" s="3" t="str">
        <f>IFERROR(__xludf.DUMMYFUNCTION("""COMPUTED_VALUE"""),"AAABR0030")</f>
        <v>AAABR0030</v>
      </c>
      <c r="C5" s="3" t="str">
        <f>IFERROR(__xludf.DUMMYFUNCTION("""COMPUTED_VALUE"""),"EJO")</f>
        <v>EJO</v>
      </c>
      <c r="D5" s="3" t="str">
        <f>IFERROR(__xludf.DUMMYFUNCTION("""COMPUTED_VALUE"""),"Menyusul")</f>
        <v>Menyusul</v>
      </c>
      <c r="E5" s="3" t="str">
        <f>IFERROR(__xludf.DUMMYFUNCTION("""COMPUTED_VALUE"""),"Huber")</f>
        <v>Huber</v>
      </c>
      <c r="F5" s="3" t="str">
        <f>IFERROR(__xludf.DUMMYFUNCTION("""COMPUTED_VALUE"""),"Skun ferrules")</f>
        <v>Skun ferrules</v>
      </c>
      <c r="G5" s="3" t="str">
        <f>IFERROR(__xludf.DUMMYFUNCTION("""COMPUTED_VALUE"""),"size 0.75 mm")</f>
        <v>size 0.75 mm</v>
      </c>
      <c r="H5" s="3" t="str">
        <f>IFERROR(__xludf.DUMMYFUNCTION("""COMPUTED_VALUE"""),"FORT")</f>
        <v>FORT</v>
      </c>
      <c r="I5" s="3">
        <f>IFERROR(__xludf.DUMMYFUNCTION("""COMPUTED_VALUE"""),2.0)</f>
        <v>2</v>
      </c>
      <c r="J5" s="3" t="str">
        <f>IFERROR(__xludf.DUMMYFUNCTION("""COMPUTED_VALUE"""),"pack")</f>
        <v>pack</v>
      </c>
      <c r="K5" s="3" t="str">
        <f>IFERROR(__xludf.DUMMYFUNCTION("""COMPUTED_VALUE"""),"NA")</f>
        <v>NA</v>
      </c>
      <c r="L5" s="3" t="str">
        <f>IFERROR(__xludf.DUMMYFUNCTION("""COMPUTED_VALUE"""),"Needed date 01 feb 26")</f>
        <v>Needed date 01 feb 26</v>
      </c>
      <c r="M5" s="3" t="str">
        <f>IFERROR(__xludf.DUMMYFUNCTION("""COMPUTED_VALUE"""),"Approve")</f>
        <v>Approve</v>
      </c>
      <c r="N5" s="3" t="str">
        <f>IFERROR(__xludf.DUMMYFUNCTION("""COMPUTED_VALUE"""),"Urgent")</f>
        <v>Urgent</v>
      </c>
      <c r="O5" s="3" t="str">
        <f>IFERROR(__xludf.DUMMYFUNCTION("""COMPUTED_VALUE"""),"Approve")</f>
        <v>Approve</v>
      </c>
      <c r="P5" s="7">
        <f>IFERROR(__xludf.DUMMYFUNCTION("""COMPUTED_VALUE"""),46060.91357710648)</f>
        <v>46060.91358</v>
      </c>
    </row>
    <row r="6">
      <c r="A6" s="7">
        <f>IFERROR(__xludf.DUMMYFUNCTION("""COMPUTED_VALUE"""),46045.74992844908)</f>
        <v>46045.74993</v>
      </c>
      <c r="B6" s="3" t="str">
        <f>IFERROR(__xludf.DUMMYFUNCTION("""COMPUTED_VALUE"""),"AAABR0031")</f>
        <v>AAABR0031</v>
      </c>
      <c r="C6" s="3" t="str">
        <f>IFERROR(__xludf.DUMMYFUNCTION("""COMPUTED_VALUE"""),"EJO")</f>
        <v>EJO</v>
      </c>
      <c r="D6" s="3" t="str">
        <f>IFERROR(__xludf.DUMMYFUNCTION("""COMPUTED_VALUE"""),"Menyusul")</f>
        <v>Menyusul</v>
      </c>
      <c r="E6" s="3" t="str">
        <f>IFERROR(__xludf.DUMMYFUNCTION("""COMPUTED_VALUE"""),"Huber")</f>
        <v>Huber</v>
      </c>
      <c r="F6" s="3" t="str">
        <f>IFERROR(__xludf.DUMMYFUNCTION("""COMPUTED_VALUE"""),"skun Y")</f>
        <v>skun Y</v>
      </c>
      <c r="G6" s="3" t="str">
        <f>IFERROR(__xludf.DUMMYFUNCTION("""COMPUTED_VALUE"""),"size 0.75 mm")</f>
        <v>size 0.75 mm</v>
      </c>
      <c r="H6" s="3" t="str">
        <f>IFERROR(__xludf.DUMMYFUNCTION("""COMPUTED_VALUE"""),"FORT")</f>
        <v>FORT</v>
      </c>
      <c r="I6" s="3">
        <f>IFERROR(__xludf.DUMMYFUNCTION("""COMPUTED_VALUE"""),2.0)</f>
        <v>2</v>
      </c>
      <c r="J6" s="3" t="str">
        <f>IFERROR(__xludf.DUMMYFUNCTION("""COMPUTED_VALUE"""),"Pack")</f>
        <v>Pack</v>
      </c>
      <c r="K6" s="3" t="str">
        <f>IFERROR(__xludf.DUMMYFUNCTION("""COMPUTED_VALUE"""),"NA")</f>
        <v>NA</v>
      </c>
      <c r="L6" s="3" t="str">
        <f>IFERROR(__xludf.DUMMYFUNCTION("""COMPUTED_VALUE"""),"Needed date 01 feb 26")</f>
        <v>Needed date 01 feb 26</v>
      </c>
      <c r="M6" s="3" t="str">
        <f>IFERROR(__xludf.DUMMYFUNCTION("""COMPUTED_VALUE"""),"Approve")</f>
        <v>Approve</v>
      </c>
      <c r="N6" s="3" t="str">
        <f>IFERROR(__xludf.DUMMYFUNCTION("""COMPUTED_VALUE"""),"Urgent")</f>
        <v>Urgent</v>
      </c>
      <c r="O6" s="3" t="str">
        <f>IFERROR(__xludf.DUMMYFUNCTION("""COMPUTED_VALUE"""),"Approve")</f>
        <v>Approve</v>
      </c>
      <c r="P6" s="7">
        <f>IFERROR(__xludf.DUMMYFUNCTION("""COMPUTED_VALUE"""),46060.9137146412)</f>
        <v>46060.91371</v>
      </c>
    </row>
    <row r="7">
      <c r="A7" s="7"/>
      <c r="P7" s="7"/>
    </row>
    <row r="8">
      <c r="A8" s="7"/>
      <c r="P8" s="7"/>
    </row>
    <row r="9">
      <c r="A9" s="7"/>
      <c r="P9" s="7"/>
    </row>
    <row r="10">
      <c r="A10" s="7"/>
      <c r="P10" s="7"/>
    </row>
    <row r="11">
      <c r="A11" s="7"/>
      <c r="P11" s="7"/>
    </row>
    <row r="12">
      <c r="A12" s="7"/>
      <c r="P12" s="7"/>
    </row>
    <row r="13">
      <c r="A13" s="7"/>
      <c r="P13" s="7"/>
    </row>
    <row r="14">
      <c r="A14" s="7"/>
      <c r="P14" s="7"/>
    </row>
    <row r="15">
      <c r="A15" s="7"/>
      <c r="P15" s="7"/>
    </row>
    <row r="16">
      <c r="A16" s="7"/>
      <c r="P16" s="7"/>
    </row>
    <row r="17">
      <c r="A17" s="7"/>
      <c r="P17" s="7"/>
    </row>
    <row r="18">
      <c r="A18" s="7"/>
      <c r="P18" s="7"/>
    </row>
    <row r="19">
      <c r="A19" s="7"/>
      <c r="P19" s="7"/>
    </row>
    <row r="20">
      <c r="A20" s="7"/>
      <c r="P20" s="7"/>
    </row>
    <row r="21">
      <c r="A21" s="7"/>
      <c r="P21" s="7"/>
    </row>
    <row r="22">
      <c r="A22" s="7"/>
      <c r="P22" s="7"/>
    </row>
    <row r="23">
      <c r="A23" s="7"/>
      <c r="P23" s="7"/>
    </row>
    <row r="24">
      <c r="A24" s="7"/>
      <c r="P24" s="7"/>
    </row>
    <row r="25">
      <c r="A25" s="7"/>
      <c r="P25" s="7"/>
    </row>
    <row r="26">
      <c r="A26" s="7"/>
      <c r="P26" s="7"/>
    </row>
    <row r="27">
      <c r="A27" s="7"/>
      <c r="P27" s="7"/>
    </row>
    <row r="28">
      <c r="A28" s="7"/>
      <c r="P28" s="7"/>
    </row>
    <row r="29">
      <c r="A29" s="7"/>
      <c r="P29" s="7"/>
    </row>
    <row r="30">
      <c r="A30" s="7"/>
      <c r="P30" s="7"/>
    </row>
    <row r="31">
      <c r="A31" s="7"/>
      <c r="P31" s="7"/>
    </row>
    <row r="32">
      <c r="A32" s="7"/>
      <c r="P32" s="7"/>
    </row>
    <row r="33">
      <c r="A33" s="7"/>
      <c r="P33" s="7"/>
    </row>
    <row r="34">
      <c r="A34" s="7"/>
      <c r="P34" s="7"/>
    </row>
    <row r="35">
      <c r="A35" s="7"/>
      <c r="P35" s="7"/>
    </row>
    <row r="36">
      <c r="A36" s="7"/>
      <c r="P36" s="7"/>
    </row>
    <row r="37">
      <c r="A37" s="7"/>
      <c r="P37" s="7"/>
    </row>
    <row r="38">
      <c r="A38" s="7"/>
      <c r="P38" s="7"/>
    </row>
    <row r="39">
      <c r="A39" s="7"/>
      <c r="P39" s="7"/>
    </row>
    <row r="40">
      <c r="A40" s="7"/>
      <c r="P40" s="7"/>
    </row>
    <row r="41">
      <c r="A41" s="7"/>
      <c r="P41" s="7"/>
    </row>
    <row r="42">
      <c r="A42" s="7"/>
      <c r="P42" s="7"/>
    </row>
    <row r="43">
      <c r="A43" s="7"/>
      <c r="P43" s="7"/>
    </row>
    <row r="44">
      <c r="A44" s="7"/>
      <c r="P44" s="7"/>
    </row>
    <row r="45">
      <c r="A45" s="7"/>
      <c r="P45" s="7"/>
    </row>
    <row r="46">
      <c r="A46" s="7"/>
      <c r="P46" s="7"/>
    </row>
    <row r="47">
      <c r="A47" s="7"/>
      <c r="P47" s="7"/>
    </row>
    <row r="48">
      <c r="A48" s="7"/>
      <c r="P48" s="7"/>
    </row>
    <row r="49">
      <c r="A49" s="7"/>
      <c r="P49" s="7"/>
    </row>
    <row r="50">
      <c r="A50" s="7"/>
      <c r="P50" s="7"/>
    </row>
    <row r="51">
      <c r="A51" s="7"/>
      <c r="P51" s="7"/>
    </row>
    <row r="52">
      <c r="A52" s="7"/>
      <c r="P52" s="7"/>
    </row>
    <row r="53">
      <c r="A53" s="7"/>
      <c r="P53" s="7"/>
    </row>
    <row r="54">
      <c r="A54" s="7"/>
      <c r="P54" s="7"/>
    </row>
    <row r="55">
      <c r="A55" s="7"/>
      <c r="P55" s="7"/>
    </row>
    <row r="56">
      <c r="A56" s="7"/>
      <c r="P56" s="7"/>
    </row>
    <row r="57">
      <c r="A57" s="7"/>
      <c r="P57" s="7"/>
    </row>
    <row r="58">
      <c r="A58" s="7"/>
      <c r="P58" s="7"/>
    </row>
    <row r="59">
      <c r="A59" s="7"/>
      <c r="P59" s="7"/>
    </row>
    <row r="60">
      <c r="A60" s="7"/>
      <c r="P60" s="7"/>
    </row>
    <row r="61">
      <c r="A61" s="7"/>
      <c r="P61" s="7"/>
    </row>
    <row r="62">
      <c r="A62" s="7"/>
      <c r="P62" s="7"/>
    </row>
    <row r="63">
      <c r="A63" s="7"/>
      <c r="P63" s="7"/>
    </row>
    <row r="64">
      <c r="A64" s="7"/>
      <c r="P64" s="7"/>
    </row>
    <row r="65">
      <c r="A65" s="7"/>
      <c r="P65" s="7"/>
    </row>
    <row r="66">
      <c r="A66" s="7"/>
      <c r="P66" s="7"/>
    </row>
    <row r="67">
      <c r="A67" s="7"/>
      <c r="P67" s="7"/>
    </row>
    <row r="68">
      <c r="A68" s="7"/>
      <c r="P68" s="7"/>
    </row>
    <row r="69">
      <c r="A69" s="7"/>
      <c r="P69" s="7"/>
    </row>
    <row r="70">
      <c r="A70" s="7"/>
      <c r="P70" s="7"/>
    </row>
    <row r="71">
      <c r="A71" s="7"/>
      <c r="P71" s="7"/>
    </row>
    <row r="72">
      <c r="A72" s="7"/>
      <c r="P72" s="7"/>
    </row>
    <row r="73">
      <c r="A73" s="7"/>
      <c r="P73" s="7"/>
    </row>
    <row r="74">
      <c r="A74" s="7"/>
      <c r="P74" s="7"/>
    </row>
    <row r="75">
      <c r="A75" s="7"/>
      <c r="P75" s="7"/>
    </row>
    <row r="76">
      <c r="A76" s="7"/>
      <c r="P76" s="7"/>
    </row>
    <row r="77">
      <c r="A77" s="7"/>
      <c r="P77" s="7"/>
    </row>
    <row r="78">
      <c r="A78" s="7"/>
      <c r="P78" s="7"/>
    </row>
    <row r="79">
      <c r="A79" s="7"/>
      <c r="P79" s="7"/>
    </row>
    <row r="80">
      <c r="A80" s="7"/>
      <c r="P80" s="7"/>
    </row>
    <row r="81">
      <c r="A81" s="7"/>
      <c r="P81" s="7"/>
    </row>
    <row r="82">
      <c r="A82" s="7"/>
      <c r="P82" s="7"/>
    </row>
    <row r="83">
      <c r="A83" s="7"/>
      <c r="P83" s="7"/>
    </row>
    <row r="84">
      <c r="A84" s="7"/>
      <c r="P84" s="7"/>
    </row>
    <row r="85">
      <c r="A85" s="7"/>
      <c r="P85" s="7"/>
    </row>
    <row r="86">
      <c r="A86" s="7"/>
      <c r="P86" s="7"/>
    </row>
    <row r="87">
      <c r="A87" s="7"/>
      <c r="P87" s="7"/>
    </row>
    <row r="88">
      <c r="A88" s="7"/>
      <c r="P88" s="7"/>
    </row>
    <row r="89">
      <c r="A89" s="7"/>
      <c r="P89" s="7"/>
    </row>
    <row r="90">
      <c r="A90" s="7"/>
      <c r="P90" s="7"/>
    </row>
    <row r="91">
      <c r="A91" s="7"/>
      <c r="P91" s="7"/>
    </row>
    <row r="92">
      <c r="A92" s="7"/>
      <c r="P92" s="7"/>
    </row>
    <row r="93">
      <c r="A93" s="7"/>
      <c r="P93" s="7"/>
    </row>
    <row r="94">
      <c r="A94" s="7"/>
      <c r="P94" s="7"/>
    </row>
    <row r="95">
      <c r="A95" s="7"/>
      <c r="P95" s="7"/>
    </row>
    <row r="96">
      <c r="A96" s="7"/>
      <c r="P96" s="7"/>
    </row>
    <row r="97">
      <c r="A97" s="7"/>
      <c r="P97" s="7"/>
    </row>
    <row r="98">
      <c r="A98" s="7"/>
      <c r="P98" s="7"/>
    </row>
    <row r="99">
      <c r="A99" s="7"/>
      <c r="P99" s="7"/>
    </row>
    <row r="100">
      <c r="A100" s="7"/>
      <c r="P100" s="7"/>
    </row>
    <row r="101">
      <c r="A101" s="7"/>
      <c r="P101" s="7"/>
    </row>
    <row r="102">
      <c r="A102" s="7"/>
      <c r="P102" s="7"/>
    </row>
    <row r="103">
      <c r="A103" s="7"/>
      <c r="P103" s="7"/>
    </row>
    <row r="104">
      <c r="A104" s="7"/>
      <c r="P104" s="7"/>
    </row>
    <row r="105">
      <c r="A105" s="7"/>
      <c r="P105" s="7"/>
    </row>
    <row r="106">
      <c r="A106" s="7"/>
      <c r="P106" s="7"/>
    </row>
    <row r="107">
      <c r="A107" s="7"/>
      <c r="P107" s="7"/>
    </row>
    <row r="108">
      <c r="A108" s="7"/>
      <c r="P108" s="7"/>
    </row>
    <row r="109">
      <c r="A109" s="7"/>
      <c r="P109" s="7"/>
    </row>
    <row r="110">
      <c r="A110" s="7"/>
      <c r="P110" s="7"/>
    </row>
    <row r="111">
      <c r="A111" s="7"/>
      <c r="P111" s="7"/>
    </row>
    <row r="112">
      <c r="A112" s="7"/>
      <c r="P112" s="7"/>
    </row>
    <row r="113">
      <c r="A113" s="7"/>
      <c r="P113" s="7"/>
    </row>
    <row r="114">
      <c r="A114" s="7"/>
      <c r="P114" s="7"/>
    </row>
    <row r="115">
      <c r="A115" s="7"/>
      <c r="P115" s="7"/>
    </row>
    <row r="116">
      <c r="A116" s="7"/>
      <c r="P116" s="7"/>
    </row>
    <row r="117">
      <c r="A117" s="7"/>
      <c r="P117" s="7"/>
    </row>
    <row r="118">
      <c r="A118" s="7"/>
      <c r="P118" s="7"/>
    </row>
    <row r="119">
      <c r="A119" s="7"/>
      <c r="P119" s="7"/>
    </row>
    <row r="120">
      <c r="A120" s="7"/>
      <c r="P120" s="7"/>
    </row>
    <row r="121">
      <c r="A121" s="7"/>
      <c r="P121" s="7"/>
    </row>
    <row r="122">
      <c r="A122" s="7"/>
      <c r="P122" s="7"/>
    </row>
    <row r="123">
      <c r="A123" s="7"/>
      <c r="P123" s="7"/>
    </row>
    <row r="124">
      <c r="A124" s="7"/>
      <c r="P124" s="7"/>
    </row>
    <row r="125">
      <c r="A125" s="7"/>
      <c r="P125" s="7"/>
    </row>
    <row r="126">
      <c r="A126" s="7"/>
      <c r="P126" s="7"/>
    </row>
    <row r="127">
      <c r="A127" s="7"/>
      <c r="P127" s="7"/>
    </row>
    <row r="128">
      <c r="A128" s="7"/>
      <c r="P128" s="7"/>
    </row>
    <row r="129">
      <c r="A129" s="7"/>
      <c r="P129" s="7"/>
    </row>
    <row r="130">
      <c r="A130" s="7"/>
      <c r="P130" s="7"/>
    </row>
    <row r="131">
      <c r="A131" s="7"/>
      <c r="P131" s="7"/>
    </row>
    <row r="132">
      <c r="A132" s="7"/>
      <c r="P132" s="7"/>
    </row>
    <row r="133">
      <c r="A133" s="7"/>
      <c r="P133" s="7"/>
    </row>
    <row r="134">
      <c r="A134" s="7"/>
      <c r="P134" s="7"/>
    </row>
    <row r="135">
      <c r="A135" s="7"/>
      <c r="P135" s="7"/>
    </row>
    <row r="136">
      <c r="A136" s="7"/>
      <c r="P136" s="7"/>
    </row>
    <row r="137">
      <c r="A137" s="7"/>
      <c r="P137" s="7"/>
    </row>
    <row r="138">
      <c r="A138" s="7"/>
      <c r="P138" s="7"/>
    </row>
    <row r="139">
      <c r="A139" s="7"/>
      <c r="P139" s="7"/>
    </row>
    <row r="140">
      <c r="A140" s="7"/>
      <c r="P140" s="7"/>
    </row>
    <row r="141">
      <c r="A141" s="7"/>
      <c r="P141" s="7"/>
    </row>
    <row r="142">
      <c r="A142" s="7"/>
      <c r="P142" s="7"/>
    </row>
    <row r="143">
      <c r="A143" s="7"/>
      <c r="P143" s="7"/>
    </row>
    <row r="144">
      <c r="A144" s="7"/>
      <c r="P144" s="7"/>
    </row>
    <row r="145">
      <c r="A145" s="7"/>
      <c r="P145" s="7"/>
    </row>
    <row r="146">
      <c r="A146" s="7"/>
      <c r="P146" s="7"/>
    </row>
    <row r="147">
      <c r="A147" s="7"/>
      <c r="P147" s="7"/>
    </row>
    <row r="148">
      <c r="A148" s="7"/>
      <c r="P148" s="7"/>
    </row>
    <row r="149">
      <c r="A149" s="7"/>
      <c r="P149" s="7"/>
    </row>
    <row r="150">
      <c r="A150" s="7"/>
      <c r="P150" s="7"/>
    </row>
    <row r="151">
      <c r="A151" s="7"/>
      <c r="P151" s="7"/>
    </row>
    <row r="152">
      <c r="A152" s="7"/>
      <c r="P152" s="7"/>
    </row>
    <row r="153">
      <c r="A153" s="7"/>
      <c r="P153" s="7"/>
    </row>
    <row r="154">
      <c r="A154" s="7"/>
      <c r="P154" s="7"/>
    </row>
    <row r="155">
      <c r="A155" s="7"/>
      <c r="P155" s="7"/>
    </row>
    <row r="156">
      <c r="A156" s="7"/>
      <c r="P156" s="7"/>
    </row>
    <row r="157">
      <c r="A157" s="7"/>
      <c r="P157" s="7"/>
    </row>
    <row r="158">
      <c r="A158" s="7"/>
      <c r="P158" s="7"/>
    </row>
    <row r="159">
      <c r="A159" s="7"/>
      <c r="P159" s="7"/>
    </row>
    <row r="160">
      <c r="A160" s="7"/>
      <c r="P160" s="7"/>
    </row>
    <row r="161">
      <c r="A161" s="7"/>
      <c r="P161" s="7"/>
    </row>
    <row r="162">
      <c r="A162" s="7"/>
      <c r="P162" s="7"/>
    </row>
    <row r="163">
      <c r="A163" s="7"/>
      <c r="P163" s="7"/>
    </row>
    <row r="164">
      <c r="A164" s="7"/>
      <c r="P164" s="7"/>
    </row>
    <row r="165">
      <c r="A165" s="7"/>
      <c r="P165" s="7"/>
    </row>
    <row r="166">
      <c r="A166" s="7"/>
      <c r="P166" s="7"/>
    </row>
    <row r="167">
      <c r="A167" s="7"/>
      <c r="P167" s="7"/>
    </row>
    <row r="168">
      <c r="A168" s="7"/>
      <c r="P168" s="7"/>
    </row>
    <row r="169">
      <c r="A169" s="7"/>
      <c r="P169" s="7"/>
    </row>
    <row r="170">
      <c r="A170" s="7"/>
      <c r="P170" s="7"/>
    </row>
    <row r="171">
      <c r="A171" s="7"/>
      <c r="P171" s="7"/>
    </row>
    <row r="172">
      <c r="A172" s="7"/>
      <c r="P172" s="7"/>
    </row>
    <row r="173">
      <c r="A173" s="7"/>
      <c r="P173" s="7"/>
    </row>
    <row r="174">
      <c r="A174" s="7"/>
      <c r="P174" s="7"/>
    </row>
    <row r="175">
      <c r="A175" s="7"/>
      <c r="P175" s="7"/>
    </row>
    <row r="176">
      <c r="A176" s="7"/>
      <c r="P176" s="7"/>
    </row>
    <row r="177">
      <c r="A177" s="7"/>
      <c r="P177" s="7"/>
    </row>
    <row r="178">
      <c r="A178" s="7"/>
      <c r="P178" s="7"/>
    </row>
    <row r="179">
      <c r="A179" s="7"/>
      <c r="P179" s="7"/>
    </row>
    <row r="180">
      <c r="A180" s="7"/>
      <c r="P180" s="7"/>
    </row>
    <row r="181">
      <c r="A181" s="7"/>
      <c r="P181" s="7"/>
    </row>
    <row r="182">
      <c r="A182" s="7"/>
      <c r="P182" s="7"/>
    </row>
    <row r="183">
      <c r="A183" s="7"/>
      <c r="P183" s="7"/>
    </row>
    <row r="184">
      <c r="A184" s="7"/>
      <c r="P184" s="7"/>
    </row>
    <row r="185">
      <c r="A185" s="7"/>
      <c r="P185" s="7"/>
    </row>
    <row r="186">
      <c r="A186" s="7"/>
      <c r="P186" s="7"/>
    </row>
    <row r="187">
      <c r="A187" s="7"/>
      <c r="P187" s="7"/>
    </row>
    <row r="188">
      <c r="A188" s="7"/>
      <c r="P188" s="7"/>
    </row>
    <row r="189">
      <c r="A189" s="7"/>
      <c r="P189" s="7"/>
    </row>
    <row r="190">
      <c r="A190" s="7"/>
      <c r="P190" s="7"/>
    </row>
    <row r="191">
      <c r="A191" s="7"/>
      <c r="P191" s="7"/>
    </row>
    <row r="192">
      <c r="A192" s="7"/>
      <c r="P192" s="7"/>
    </row>
    <row r="193">
      <c r="A193" s="7"/>
      <c r="P193" s="7"/>
    </row>
    <row r="194">
      <c r="A194" s="7"/>
      <c r="P194" s="7"/>
    </row>
    <row r="195">
      <c r="A195" s="7"/>
      <c r="P195" s="7"/>
    </row>
    <row r="196">
      <c r="A196" s="7"/>
      <c r="P196" s="7"/>
    </row>
    <row r="197">
      <c r="A197" s="7"/>
      <c r="P197" s="7"/>
    </row>
    <row r="198">
      <c r="A198" s="7"/>
      <c r="P198" s="7"/>
    </row>
    <row r="199">
      <c r="A199" s="7"/>
      <c r="P199" s="7"/>
    </row>
    <row r="200">
      <c r="A200" s="7"/>
      <c r="P200" s="7"/>
    </row>
    <row r="201">
      <c r="A201" s="7"/>
      <c r="P201" s="7"/>
    </row>
    <row r="202">
      <c r="A202" s="7"/>
      <c r="P202" s="7"/>
    </row>
    <row r="203">
      <c r="A203" s="7"/>
      <c r="P203" s="7"/>
    </row>
    <row r="204">
      <c r="A204" s="7"/>
      <c r="P204" s="7"/>
    </row>
    <row r="205">
      <c r="A205" s="7"/>
      <c r="P205" s="7"/>
    </row>
    <row r="206">
      <c r="A206" s="7"/>
      <c r="P206" s="7"/>
    </row>
    <row r="207">
      <c r="A207" s="7"/>
      <c r="P207" s="7"/>
    </row>
    <row r="208">
      <c r="A208" s="7"/>
      <c r="P208" s="7"/>
    </row>
    <row r="209">
      <c r="A209" s="7"/>
      <c r="P209" s="7"/>
    </row>
    <row r="210">
      <c r="A210" s="7"/>
      <c r="P210" s="7"/>
    </row>
    <row r="211">
      <c r="A211" s="7"/>
      <c r="P211" s="7"/>
    </row>
    <row r="212">
      <c r="A212" s="7"/>
      <c r="P212" s="7"/>
    </row>
    <row r="213">
      <c r="A213" s="7"/>
      <c r="P213" s="7"/>
    </row>
    <row r="214">
      <c r="A214" s="7"/>
      <c r="P214" s="7"/>
    </row>
    <row r="215">
      <c r="A215" s="7"/>
      <c r="P215" s="7"/>
    </row>
    <row r="216">
      <c r="A216" s="7"/>
      <c r="P216" s="7"/>
    </row>
    <row r="217">
      <c r="A217" s="7"/>
      <c r="P217" s="7"/>
    </row>
    <row r="218">
      <c r="A218" s="7"/>
      <c r="P218" s="7"/>
    </row>
    <row r="219">
      <c r="A219" s="7"/>
      <c r="P219" s="7"/>
    </row>
    <row r="220">
      <c r="A220" s="7"/>
      <c r="P220" s="7"/>
    </row>
    <row r="221">
      <c r="A221" s="7"/>
      <c r="P221" s="7"/>
    </row>
    <row r="222">
      <c r="A222" s="7"/>
      <c r="P222" s="7"/>
    </row>
    <row r="223">
      <c r="A223" s="7"/>
      <c r="P223" s="7"/>
    </row>
    <row r="224">
      <c r="A224" s="7"/>
      <c r="P224" s="7"/>
    </row>
    <row r="225">
      <c r="A225" s="7"/>
      <c r="P225" s="7"/>
    </row>
    <row r="226">
      <c r="A226" s="7"/>
      <c r="P226" s="7"/>
    </row>
    <row r="227">
      <c r="A227" s="7"/>
      <c r="P227" s="7"/>
    </row>
    <row r="228">
      <c r="A228" s="7"/>
      <c r="P228" s="7"/>
    </row>
    <row r="229">
      <c r="A229" s="7"/>
      <c r="P229" s="7"/>
    </row>
    <row r="230">
      <c r="A230" s="7"/>
      <c r="P230" s="7"/>
    </row>
    <row r="231">
      <c r="A231" s="7"/>
      <c r="P231" s="7"/>
    </row>
    <row r="232">
      <c r="A232" s="7"/>
      <c r="P232" s="7"/>
    </row>
    <row r="233">
      <c r="A233" s="7"/>
      <c r="P233" s="7"/>
    </row>
    <row r="234">
      <c r="A234" s="7"/>
      <c r="P234" s="7"/>
    </row>
    <row r="235">
      <c r="A235" s="7"/>
      <c r="P235" s="7"/>
    </row>
    <row r="236">
      <c r="A236" s="7"/>
      <c r="P236" s="7"/>
    </row>
    <row r="237">
      <c r="A237" s="7"/>
      <c r="P237" s="7"/>
    </row>
    <row r="238">
      <c r="A238" s="7"/>
      <c r="P238" s="7"/>
    </row>
    <row r="239">
      <c r="A239" s="7"/>
      <c r="P239" s="7"/>
    </row>
    <row r="240">
      <c r="A240" s="7"/>
      <c r="P240" s="7"/>
    </row>
    <row r="241">
      <c r="A241" s="7"/>
      <c r="P241" s="7"/>
    </row>
    <row r="242">
      <c r="A242" s="7"/>
      <c r="P242" s="7"/>
    </row>
    <row r="243">
      <c r="A243" s="7"/>
      <c r="P243" s="7"/>
    </row>
    <row r="244">
      <c r="A244" s="7"/>
      <c r="P244" s="7"/>
    </row>
    <row r="245">
      <c r="A245" s="7"/>
      <c r="P245" s="7"/>
    </row>
    <row r="246">
      <c r="A246" s="7"/>
      <c r="P246" s="7"/>
    </row>
    <row r="247">
      <c r="A247" s="7"/>
      <c r="P247" s="7"/>
    </row>
    <row r="248">
      <c r="A248" s="7"/>
      <c r="P248" s="7"/>
    </row>
    <row r="249">
      <c r="A249" s="7"/>
      <c r="P249" s="7"/>
    </row>
    <row r="250">
      <c r="A250" s="7"/>
      <c r="P250" s="7"/>
    </row>
    <row r="251">
      <c r="A251" s="7"/>
      <c r="P251" s="7"/>
    </row>
    <row r="252">
      <c r="A252" s="7"/>
      <c r="P252" s="7"/>
    </row>
    <row r="253">
      <c r="A253" s="7"/>
      <c r="P253" s="7"/>
    </row>
    <row r="254">
      <c r="A254" s="7"/>
      <c r="P254" s="7"/>
    </row>
    <row r="255">
      <c r="A255" s="7"/>
      <c r="P255" s="7"/>
    </row>
    <row r="256">
      <c r="A256" s="7"/>
      <c r="P256" s="7"/>
    </row>
    <row r="257">
      <c r="A257" s="7"/>
      <c r="P257" s="7"/>
    </row>
    <row r="258">
      <c r="A258" s="7"/>
      <c r="P258" s="7"/>
    </row>
    <row r="259">
      <c r="A259" s="7"/>
      <c r="P259" s="7"/>
    </row>
    <row r="260">
      <c r="A260" s="7"/>
      <c r="P260" s="7"/>
    </row>
    <row r="261">
      <c r="A261" s="7"/>
      <c r="P261" s="7"/>
    </row>
    <row r="262">
      <c r="A262" s="7"/>
      <c r="P262" s="7"/>
    </row>
    <row r="263">
      <c r="A263" s="7"/>
      <c r="P263" s="7"/>
    </row>
    <row r="264">
      <c r="A264" s="7"/>
      <c r="P264" s="7"/>
    </row>
    <row r="265">
      <c r="A265" s="7"/>
      <c r="P265" s="7"/>
    </row>
    <row r="266">
      <c r="A266" s="7"/>
      <c r="P266" s="7"/>
    </row>
    <row r="267">
      <c r="A267" s="7"/>
      <c r="P267" s="7"/>
    </row>
    <row r="268">
      <c r="A268" s="7"/>
      <c r="P268" s="7"/>
    </row>
    <row r="269">
      <c r="A269" s="7"/>
      <c r="P269" s="7"/>
    </row>
    <row r="270">
      <c r="A270" s="7"/>
      <c r="P270" s="7"/>
    </row>
    <row r="271">
      <c r="A271" s="7"/>
      <c r="P271" s="7"/>
    </row>
    <row r="272">
      <c r="A272" s="7"/>
      <c r="P272" s="7"/>
    </row>
    <row r="273">
      <c r="A273" s="7"/>
      <c r="P273" s="7"/>
    </row>
    <row r="274">
      <c r="A274" s="7"/>
      <c r="P274" s="7"/>
    </row>
    <row r="275">
      <c r="A275" s="7"/>
      <c r="P275" s="7"/>
    </row>
    <row r="276">
      <c r="A276" s="7"/>
      <c r="P276" s="7"/>
    </row>
    <row r="277">
      <c r="A277" s="7"/>
      <c r="P277" s="7"/>
    </row>
    <row r="278">
      <c r="A278" s="7"/>
      <c r="P278" s="7"/>
    </row>
    <row r="279">
      <c r="A279" s="7"/>
      <c r="P279" s="7"/>
    </row>
    <row r="280">
      <c r="A280" s="7"/>
      <c r="P280" s="7"/>
    </row>
    <row r="281">
      <c r="A281" s="7"/>
      <c r="P281" s="7"/>
    </row>
    <row r="282">
      <c r="A282" s="7"/>
      <c r="P282" s="7"/>
    </row>
    <row r="283">
      <c r="A283" s="7"/>
      <c r="P283" s="7"/>
    </row>
    <row r="284">
      <c r="A284" s="7"/>
      <c r="P284" s="7"/>
    </row>
    <row r="285">
      <c r="A285" s="7"/>
      <c r="P285" s="7"/>
    </row>
    <row r="286">
      <c r="A286" s="7"/>
      <c r="P286" s="7"/>
    </row>
    <row r="287">
      <c r="A287" s="7"/>
      <c r="P287" s="7"/>
    </row>
    <row r="288">
      <c r="A288" s="7"/>
      <c r="P288" s="7"/>
    </row>
    <row r="289">
      <c r="A289" s="7"/>
      <c r="P289" s="7"/>
    </row>
    <row r="290">
      <c r="A290" s="7"/>
      <c r="P290" s="7"/>
    </row>
    <row r="291">
      <c r="A291" s="7"/>
      <c r="P291" s="7"/>
    </row>
    <row r="292">
      <c r="A292" s="7"/>
      <c r="P292" s="7"/>
    </row>
    <row r="293">
      <c r="A293" s="7"/>
      <c r="P293" s="7"/>
    </row>
    <row r="294">
      <c r="A294" s="7"/>
      <c r="P294" s="7"/>
    </row>
    <row r="295">
      <c r="A295" s="7"/>
      <c r="P295" s="7"/>
    </row>
    <row r="296">
      <c r="A296" s="7"/>
      <c r="P296" s="7"/>
    </row>
    <row r="297">
      <c r="A297" s="7"/>
      <c r="P297" s="7"/>
    </row>
    <row r="298">
      <c r="A298" s="7"/>
      <c r="P298" s="7"/>
    </row>
    <row r="299">
      <c r="A299" s="7"/>
      <c r="P299" s="7"/>
    </row>
    <row r="300">
      <c r="A300" s="7"/>
      <c r="P300" s="7"/>
    </row>
    <row r="301">
      <c r="A301" s="7"/>
      <c r="P301" s="7"/>
    </row>
    <row r="302">
      <c r="A302" s="7"/>
      <c r="P302" s="7"/>
    </row>
    <row r="303">
      <c r="A303" s="7"/>
      <c r="P303" s="7"/>
    </row>
    <row r="304">
      <c r="A304" s="7"/>
      <c r="P304" s="7"/>
    </row>
    <row r="305">
      <c r="A305" s="7"/>
      <c r="P305" s="7"/>
    </row>
    <row r="306">
      <c r="A306" s="7"/>
      <c r="P306" s="7"/>
    </row>
    <row r="307">
      <c r="A307" s="7"/>
      <c r="P307" s="7"/>
    </row>
    <row r="308">
      <c r="A308" s="7"/>
      <c r="P308" s="7"/>
    </row>
    <row r="309">
      <c r="A309" s="7"/>
      <c r="P309" s="7"/>
    </row>
    <row r="310">
      <c r="A310" s="7"/>
      <c r="P310" s="7"/>
    </row>
    <row r="311">
      <c r="A311" s="7"/>
      <c r="P311" s="7"/>
    </row>
    <row r="312">
      <c r="A312" s="7"/>
      <c r="P312" s="7"/>
    </row>
    <row r="313">
      <c r="A313" s="7"/>
      <c r="P313" s="7"/>
    </row>
    <row r="314">
      <c r="A314" s="7"/>
      <c r="P314" s="7"/>
    </row>
    <row r="315">
      <c r="A315" s="7"/>
      <c r="P315" s="7"/>
    </row>
    <row r="316">
      <c r="A316" s="7"/>
      <c r="P316" s="7"/>
    </row>
    <row r="317">
      <c r="A317" s="7"/>
      <c r="P317" s="7"/>
    </row>
    <row r="318">
      <c r="A318" s="7"/>
      <c r="P318" s="7"/>
    </row>
    <row r="319">
      <c r="A319" s="7"/>
      <c r="P319" s="7"/>
    </row>
    <row r="320">
      <c r="A320" s="7"/>
      <c r="P320" s="7"/>
    </row>
    <row r="321">
      <c r="A321" s="7"/>
      <c r="P321" s="7"/>
    </row>
    <row r="322">
      <c r="A322" s="7"/>
      <c r="P322" s="7"/>
    </row>
    <row r="323">
      <c r="A323" s="7"/>
      <c r="P323" s="7"/>
    </row>
    <row r="324">
      <c r="A324" s="7"/>
      <c r="P324" s="7"/>
    </row>
    <row r="325">
      <c r="A325" s="7"/>
      <c r="P325" s="7"/>
    </row>
    <row r="326">
      <c r="A326" s="7"/>
      <c r="P326" s="7"/>
    </row>
    <row r="327">
      <c r="A327" s="7"/>
      <c r="P327" s="7"/>
    </row>
    <row r="328">
      <c r="A328" s="7"/>
      <c r="P328" s="7"/>
    </row>
    <row r="329">
      <c r="A329" s="7"/>
      <c r="P329" s="7"/>
    </row>
    <row r="330">
      <c r="A330" s="7"/>
      <c r="P330" s="7"/>
    </row>
    <row r="331">
      <c r="A331" s="7"/>
      <c r="P331" s="7"/>
    </row>
    <row r="332">
      <c r="A332" s="7"/>
      <c r="P332" s="7"/>
    </row>
    <row r="333">
      <c r="A333" s="7"/>
      <c r="P333" s="7"/>
    </row>
    <row r="334">
      <c r="A334" s="7"/>
      <c r="P334" s="7"/>
    </row>
    <row r="335">
      <c r="A335" s="7"/>
      <c r="P335" s="7"/>
    </row>
    <row r="336">
      <c r="A336" s="7"/>
      <c r="P336" s="7"/>
    </row>
    <row r="337">
      <c r="A337" s="7"/>
      <c r="P337" s="7"/>
    </row>
    <row r="338">
      <c r="A338" s="7"/>
      <c r="P338" s="7"/>
    </row>
    <row r="339">
      <c r="A339" s="7"/>
      <c r="P339" s="7"/>
    </row>
    <row r="340">
      <c r="A340" s="7"/>
      <c r="P340" s="7"/>
    </row>
    <row r="341">
      <c r="A341" s="7"/>
      <c r="P341" s="7"/>
    </row>
    <row r="342">
      <c r="A342" s="7"/>
      <c r="P342" s="7"/>
    </row>
    <row r="343">
      <c r="A343" s="7"/>
      <c r="P343" s="7"/>
    </row>
    <row r="344">
      <c r="A344" s="7"/>
      <c r="P344" s="7"/>
    </row>
    <row r="345">
      <c r="A345" s="7"/>
      <c r="P345" s="7"/>
    </row>
    <row r="346">
      <c r="A346" s="7"/>
      <c r="P346" s="7"/>
    </row>
    <row r="347">
      <c r="A347" s="7"/>
      <c r="P347" s="7"/>
    </row>
    <row r="348">
      <c r="A348" s="7"/>
      <c r="P348" s="7"/>
    </row>
    <row r="349">
      <c r="A349" s="7"/>
      <c r="P349" s="7"/>
    </row>
    <row r="350">
      <c r="A350" s="7"/>
      <c r="P350" s="7"/>
    </row>
    <row r="351">
      <c r="A351" s="7"/>
      <c r="P351" s="7"/>
    </row>
    <row r="352">
      <c r="A352" s="7"/>
      <c r="P352" s="7"/>
    </row>
    <row r="353">
      <c r="A353" s="7"/>
      <c r="P353" s="7"/>
    </row>
    <row r="354">
      <c r="A354" s="7"/>
      <c r="P354" s="7"/>
    </row>
    <row r="355">
      <c r="A355" s="7"/>
      <c r="P355" s="7"/>
    </row>
    <row r="356">
      <c r="A356" s="7"/>
      <c r="P356" s="7"/>
    </row>
    <row r="357">
      <c r="A357" s="7"/>
      <c r="P357" s="7"/>
    </row>
    <row r="358">
      <c r="A358" s="7"/>
      <c r="P358" s="7"/>
    </row>
    <row r="359">
      <c r="A359" s="7"/>
      <c r="P359" s="7"/>
    </row>
    <row r="360">
      <c r="A360" s="7"/>
      <c r="P360" s="7"/>
    </row>
    <row r="361">
      <c r="A361" s="7"/>
      <c r="P361" s="7"/>
    </row>
    <row r="362">
      <c r="A362" s="7"/>
      <c r="P362" s="7"/>
    </row>
    <row r="363">
      <c r="A363" s="7"/>
      <c r="P363" s="7"/>
    </row>
    <row r="364">
      <c r="A364" s="7"/>
      <c r="P364" s="7"/>
    </row>
    <row r="365">
      <c r="A365" s="7"/>
      <c r="P365" s="7"/>
    </row>
    <row r="366">
      <c r="A366" s="7"/>
      <c r="P366" s="7"/>
    </row>
    <row r="367">
      <c r="A367" s="7"/>
      <c r="P367" s="7"/>
    </row>
    <row r="368">
      <c r="A368" s="7"/>
      <c r="P368" s="7"/>
    </row>
    <row r="369">
      <c r="A369" s="7"/>
      <c r="P369" s="7"/>
    </row>
    <row r="370">
      <c r="A370" s="7"/>
      <c r="P370" s="7"/>
    </row>
    <row r="371">
      <c r="A371" s="7"/>
      <c r="P371" s="7"/>
    </row>
    <row r="372">
      <c r="A372" s="7"/>
      <c r="P372" s="7"/>
    </row>
    <row r="373">
      <c r="A373" s="7"/>
      <c r="P373" s="7"/>
    </row>
    <row r="374">
      <c r="A374" s="7"/>
      <c r="P374" s="7"/>
    </row>
    <row r="375">
      <c r="A375" s="7"/>
      <c r="P375" s="7"/>
    </row>
    <row r="376">
      <c r="A376" s="7"/>
      <c r="P376" s="7"/>
    </row>
    <row r="377">
      <c r="A377" s="7"/>
      <c r="P377" s="7"/>
    </row>
    <row r="378">
      <c r="A378" s="7"/>
      <c r="P378" s="7"/>
    </row>
    <row r="379">
      <c r="A379" s="7"/>
      <c r="P379" s="7"/>
    </row>
    <row r="380">
      <c r="A380" s="7"/>
      <c r="P380" s="7"/>
    </row>
    <row r="381">
      <c r="A381" s="7"/>
      <c r="P381" s="7"/>
    </row>
    <row r="382">
      <c r="A382" s="7"/>
      <c r="P382" s="7"/>
    </row>
    <row r="383">
      <c r="A383" s="7"/>
      <c r="P383" s="7"/>
    </row>
    <row r="384">
      <c r="A384" s="7"/>
      <c r="P384" s="7"/>
    </row>
    <row r="385">
      <c r="A385" s="7"/>
      <c r="P385" s="7"/>
    </row>
    <row r="386">
      <c r="A386" s="7"/>
      <c r="P386" s="7"/>
    </row>
    <row r="387">
      <c r="A387" s="7"/>
      <c r="P387" s="7"/>
    </row>
    <row r="388">
      <c r="A388" s="7"/>
      <c r="P388" s="7"/>
    </row>
    <row r="389">
      <c r="A389" s="7"/>
      <c r="P389" s="7"/>
    </row>
    <row r="390">
      <c r="A390" s="7"/>
      <c r="P390" s="7"/>
    </row>
    <row r="391">
      <c r="A391" s="7"/>
      <c r="P391" s="7"/>
    </row>
    <row r="392">
      <c r="A392" s="7"/>
      <c r="P392" s="7"/>
    </row>
    <row r="393">
      <c r="A393" s="7"/>
      <c r="P393" s="7"/>
    </row>
    <row r="394">
      <c r="A394" s="7"/>
      <c r="P394" s="7"/>
    </row>
    <row r="395">
      <c r="A395" s="7"/>
      <c r="P395" s="7"/>
    </row>
    <row r="396">
      <c r="A396" s="7"/>
      <c r="P396" s="7"/>
    </row>
    <row r="397">
      <c r="A397" s="7"/>
      <c r="P397" s="7"/>
    </row>
    <row r="398">
      <c r="A398" s="7"/>
      <c r="P398" s="7"/>
    </row>
    <row r="399">
      <c r="A399" s="7"/>
      <c r="P399" s="7"/>
    </row>
    <row r="400">
      <c r="A400" s="7"/>
      <c r="P400" s="7"/>
    </row>
    <row r="401">
      <c r="A401" s="7"/>
      <c r="P401" s="7"/>
    </row>
    <row r="402">
      <c r="A402" s="7"/>
      <c r="P402" s="7"/>
    </row>
    <row r="403">
      <c r="A403" s="7"/>
      <c r="P403" s="7"/>
    </row>
    <row r="404">
      <c r="A404" s="7"/>
      <c r="P404" s="7"/>
    </row>
    <row r="405">
      <c r="A405" s="7"/>
      <c r="P405" s="7"/>
    </row>
    <row r="406">
      <c r="A406" s="7"/>
      <c r="P406" s="7"/>
    </row>
    <row r="407">
      <c r="A407" s="7"/>
      <c r="P407" s="7"/>
    </row>
    <row r="408">
      <c r="A408" s="7"/>
      <c r="P408" s="7"/>
    </row>
    <row r="409">
      <c r="A409" s="7"/>
      <c r="P409" s="7"/>
    </row>
    <row r="410">
      <c r="A410" s="7"/>
      <c r="P410" s="7"/>
    </row>
    <row r="411">
      <c r="A411" s="7"/>
      <c r="P411" s="7"/>
    </row>
    <row r="412">
      <c r="A412" s="7"/>
      <c r="P412" s="7"/>
    </row>
    <row r="413">
      <c r="A413" s="7"/>
      <c r="P413" s="7"/>
    </row>
    <row r="414">
      <c r="A414" s="7"/>
      <c r="P414" s="7"/>
    </row>
    <row r="415">
      <c r="A415" s="7"/>
      <c r="P415" s="7"/>
    </row>
    <row r="416">
      <c r="A416" s="7"/>
      <c r="P416" s="7"/>
    </row>
    <row r="417">
      <c r="A417" s="7"/>
      <c r="P417" s="7"/>
    </row>
    <row r="418">
      <c r="A418" s="7"/>
      <c r="P418" s="7"/>
    </row>
    <row r="419">
      <c r="A419" s="7"/>
      <c r="P419" s="7"/>
    </row>
    <row r="420">
      <c r="A420" s="7"/>
      <c r="P420" s="7"/>
    </row>
    <row r="421">
      <c r="A421" s="7"/>
      <c r="P421" s="7"/>
    </row>
    <row r="422">
      <c r="A422" s="7"/>
      <c r="P422" s="7"/>
    </row>
    <row r="423">
      <c r="A423" s="7"/>
      <c r="P423" s="7"/>
    </row>
    <row r="424">
      <c r="A424" s="7"/>
      <c r="P424" s="7"/>
    </row>
    <row r="425">
      <c r="A425" s="7"/>
      <c r="P425" s="7"/>
    </row>
    <row r="426">
      <c r="A426" s="7"/>
      <c r="P426" s="7"/>
    </row>
    <row r="427">
      <c r="A427" s="7"/>
      <c r="P427" s="7"/>
    </row>
    <row r="428">
      <c r="A428" s="7"/>
      <c r="P428" s="7"/>
    </row>
    <row r="429">
      <c r="A429" s="7"/>
      <c r="P429" s="7"/>
    </row>
    <row r="430">
      <c r="A430" s="7"/>
      <c r="P430" s="7"/>
    </row>
    <row r="431">
      <c r="A431" s="7"/>
      <c r="P431" s="7"/>
    </row>
    <row r="432">
      <c r="A432" s="7"/>
      <c r="P432" s="7"/>
    </row>
    <row r="433">
      <c r="A433" s="7"/>
      <c r="P433" s="7"/>
    </row>
    <row r="434">
      <c r="A434" s="7"/>
      <c r="P434" s="7"/>
    </row>
    <row r="435">
      <c r="A435" s="7"/>
      <c r="P435" s="7"/>
    </row>
    <row r="436">
      <c r="A436" s="7"/>
      <c r="P436" s="7"/>
    </row>
    <row r="437">
      <c r="A437" s="7"/>
      <c r="P437" s="7"/>
    </row>
    <row r="438">
      <c r="A438" s="7"/>
      <c r="P438" s="7"/>
    </row>
    <row r="439">
      <c r="A439" s="7"/>
      <c r="P439" s="7"/>
    </row>
    <row r="440">
      <c r="A440" s="7"/>
      <c r="P440" s="7"/>
    </row>
    <row r="441">
      <c r="A441" s="7"/>
      <c r="P441" s="7"/>
    </row>
    <row r="442">
      <c r="A442" s="7"/>
      <c r="P442" s="7"/>
    </row>
    <row r="443">
      <c r="A443" s="7"/>
      <c r="P443" s="7"/>
    </row>
    <row r="444">
      <c r="A444" s="7"/>
      <c r="P444" s="7"/>
    </row>
    <row r="445">
      <c r="A445" s="7"/>
      <c r="P445" s="7"/>
    </row>
    <row r="446">
      <c r="A446" s="7"/>
      <c r="P446" s="7"/>
    </row>
    <row r="447">
      <c r="A447" s="7"/>
      <c r="P447" s="7"/>
    </row>
    <row r="448">
      <c r="A448" s="7"/>
      <c r="P448" s="7"/>
    </row>
    <row r="449">
      <c r="A449" s="7"/>
      <c r="P449" s="7"/>
    </row>
    <row r="450">
      <c r="A450" s="7"/>
      <c r="P450" s="7"/>
    </row>
    <row r="451">
      <c r="A451" s="7"/>
      <c r="P451" s="7"/>
    </row>
    <row r="452">
      <c r="A452" s="7"/>
      <c r="P452" s="7"/>
    </row>
    <row r="453">
      <c r="A453" s="7"/>
      <c r="P453" s="7"/>
    </row>
    <row r="454">
      <c r="A454" s="7"/>
      <c r="P454" s="7"/>
    </row>
    <row r="455">
      <c r="A455" s="7"/>
      <c r="P455" s="7"/>
    </row>
    <row r="456">
      <c r="A456" s="7"/>
      <c r="P456" s="7"/>
    </row>
    <row r="457">
      <c r="A457" s="7"/>
      <c r="P457" s="7"/>
    </row>
    <row r="458">
      <c r="A458" s="7"/>
      <c r="P458" s="7"/>
    </row>
    <row r="459">
      <c r="A459" s="7"/>
      <c r="P459" s="7"/>
    </row>
    <row r="460">
      <c r="A460" s="7"/>
      <c r="P460" s="7"/>
    </row>
    <row r="461">
      <c r="A461" s="7"/>
      <c r="P461" s="7"/>
    </row>
    <row r="462">
      <c r="A462" s="7"/>
      <c r="P462" s="7"/>
    </row>
    <row r="463">
      <c r="A463" s="7"/>
      <c r="P463" s="7"/>
    </row>
    <row r="464">
      <c r="A464" s="7"/>
      <c r="P464" s="7"/>
    </row>
    <row r="465">
      <c r="A465" s="7"/>
      <c r="P465" s="7"/>
    </row>
    <row r="466">
      <c r="A466" s="7"/>
      <c r="P466" s="7"/>
    </row>
    <row r="467">
      <c r="A467" s="7"/>
      <c r="P467" s="7"/>
    </row>
    <row r="468">
      <c r="A468" s="7"/>
      <c r="P468" s="7"/>
    </row>
    <row r="469">
      <c r="A469" s="7"/>
      <c r="P469" s="7"/>
    </row>
    <row r="470">
      <c r="A470" s="7"/>
      <c r="P470" s="7"/>
    </row>
    <row r="471">
      <c r="A471" s="7"/>
      <c r="P471" s="7"/>
    </row>
    <row r="472">
      <c r="A472" s="7"/>
      <c r="P472" s="7"/>
    </row>
    <row r="473">
      <c r="A473" s="7"/>
      <c r="P473" s="7"/>
    </row>
    <row r="474">
      <c r="A474" s="7"/>
      <c r="P474" s="7"/>
    </row>
    <row r="475">
      <c r="A475" s="7"/>
      <c r="P475" s="7"/>
    </row>
    <row r="476">
      <c r="A476" s="7"/>
      <c r="P476" s="7"/>
    </row>
    <row r="477">
      <c r="A477" s="7"/>
      <c r="P477" s="7"/>
    </row>
    <row r="478">
      <c r="A478" s="7"/>
      <c r="P478" s="7"/>
    </row>
    <row r="479">
      <c r="A479" s="7"/>
      <c r="P479" s="7"/>
    </row>
    <row r="480">
      <c r="A480" s="7"/>
      <c r="P480" s="7"/>
    </row>
    <row r="481">
      <c r="A481" s="7"/>
      <c r="P481" s="7"/>
    </row>
    <row r="482">
      <c r="A482" s="7"/>
      <c r="P482" s="7"/>
    </row>
    <row r="483">
      <c r="A483" s="7"/>
      <c r="P483" s="7"/>
    </row>
    <row r="484">
      <c r="A484" s="7"/>
      <c r="P484" s="7"/>
    </row>
    <row r="485">
      <c r="A485" s="7"/>
      <c r="P485" s="7"/>
    </row>
    <row r="486">
      <c r="A486" s="7"/>
      <c r="P486" s="7"/>
    </row>
    <row r="487">
      <c r="A487" s="7"/>
      <c r="P487" s="7"/>
    </row>
    <row r="488">
      <c r="A488" s="7"/>
      <c r="P488" s="7"/>
    </row>
    <row r="489">
      <c r="A489" s="7"/>
      <c r="P489" s="7"/>
    </row>
    <row r="490">
      <c r="A490" s="7"/>
      <c r="P490" s="7"/>
    </row>
    <row r="491">
      <c r="A491" s="7"/>
      <c r="P491" s="7"/>
    </row>
    <row r="492">
      <c r="A492" s="7"/>
      <c r="P492" s="7"/>
    </row>
    <row r="493">
      <c r="A493" s="7"/>
      <c r="P493" s="7"/>
    </row>
    <row r="494">
      <c r="A494" s="7"/>
      <c r="P494" s="7"/>
    </row>
    <row r="495">
      <c r="A495" s="7"/>
      <c r="P495" s="7"/>
    </row>
    <row r="496">
      <c r="A496" s="7"/>
      <c r="P496" s="7"/>
    </row>
    <row r="497">
      <c r="A497" s="7"/>
      <c r="P497" s="7"/>
    </row>
    <row r="498">
      <c r="A498" s="7"/>
      <c r="P498" s="7"/>
    </row>
    <row r="499">
      <c r="A499" s="7"/>
      <c r="P499" s="7"/>
    </row>
    <row r="500">
      <c r="A500" s="7"/>
      <c r="P500" s="7"/>
    </row>
    <row r="501">
      <c r="A501" s="7"/>
      <c r="P501" s="7"/>
    </row>
    <row r="502">
      <c r="A502" s="7"/>
      <c r="P502" s="7"/>
    </row>
    <row r="503">
      <c r="A503" s="7"/>
      <c r="P503" s="7"/>
    </row>
    <row r="504">
      <c r="A504" s="7"/>
      <c r="P504" s="7"/>
    </row>
    <row r="505">
      <c r="A505" s="7"/>
      <c r="P505" s="7"/>
    </row>
    <row r="506">
      <c r="A506" s="7"/>
      <c r="P506" s="7"/>
    </row>
    <row r="507">
      <c r="A507" s="7"/>
      <c r="P507" s="7"/>
    </row>
    <row r="508">
      <c r="A508" s="7"/>
      <c r="P508" s="7"/>
    </row>
    <row r="509">
      <c r="A509" s="7"/>
      <c r="P509" s="7"/>
    </row>
    <row r="510">
      <c r="A510" s="7"/>
      <c r="P510" s="7"/>
    </row>
    <row r="511">
      <c r="A511" s="7"/>
      <c r="P511" s="7"/>
    </row>
    <row r="512">
      <c r="A512" s="7"/>
      <c r="P512" s="7"/>
    </row>
    <row r="513">
      <c r="A513" s="7"/>
      <c r="P513" s="7"/>
    </row>
    <row r="514">
      <c r="A514" s="7"/>
      <c r="P514" s="7"/>
    </row>
    <row r="515">
      <c r="A515" s="7"/>
      <c r="P515" s="7"/>
    </row>
    <row r="516">
      <c r="A516" s="7"/>
      <c r="P516" s="7"/>
    </row>
    <row r="517">
      <c r="A517" s="7"/>
      <c r="P517" s="7"/>
    </row>
    <row r="518">
      <c r="A518" s="7"/>
      <c r="P518" s="7"/>
    </row>
    <row r="519">
      <c r="A519" s="7"/>
      <c r="P519" s="7"/>
    </row>
    <row r="520">
      <c r="A520" s="7"/>
      <c r="P520" s="7"/>
    </row>
    <row r="521">
      <c r="A521" s="7"/>
      <c r="P521" s="7"/>
    </row>
    <row r="522">
      <c r="A522" s="7"/>
      <c r="P522" s="7"/>
    </row>
    <row r="523">
      <c r="A523" s="7"/>
      <c r="P523" s="7"/>
    </row>
    <row r="524">
      <c r="A524" s="7"/>
      <c r="P524" s="7"/>
    </row>
    <row r="525">
      <c r="A525" s="7"/>
      <c r="P525" s="7"/>
    </row>
    <row r="526">
      <c r="A526" s="7"/>
      <c r="P526" s="7"/>
    </row>
    <row r="527">
      <c r="A527" s="7"/>
      <c r="P527" s="7"/>
    </row>
    <row r="528">
      <c r="A528" s="7"/>
      <c r="P528" s="7"/>
    </row>
    <row r="529">
      <c r="A529" s="7"/>
      <c r="P529" s="7"/>
    </row>
    <row r="530">
      <c r="A530" s="7"/>
      <c r="P530" s="7"/>
    </row>
    <row r="531">
      <c r="A531" s="7"/>
      <c r="P531" s="7"/>
    </row>
    <row r="532">
      <c r="A532" s="7"/>
      <c r="P532" s="7"/>
    </row>
    <row r="533">
      <c r="A533" s="7"/>
      <c r="P533" s="7"/>
    </row>
    <row r="534">
      <c r="A534" s="7"/>
      <c r="P534" s="7"/>
    </row>
    <row r="535">
      <c r="A535" s="7"/>
      <c r="P535" s="7"/>
    </row>
    <row r="536">
      <c r="A536" s="7"/>
      <c r="P536" s="7"/>
    </row>
    <row r="537">
      <c r="A537" s="7"/>
      <c r="P537" s="7"/>
    </row>
    <row r="538">
      <c r="A538" s="7"/>
      <c r="P538" s="7"/>
    </row>
    <row r="539">
      <c r="A539" s="7"/>
      <c r="P539" s="7"/>
    </row>
    <row r="540">
      <c r="A540" s="7"/>
      <c r="P540" s="7"/>
    </row>
    <row r="541">
      <c r="A541" s="7"/>
      <c r="P541" s="7"/>
    </row>
    <row r="542">
      <c r="A542" s="7"/>
      <c r="P542" s="7"/>
    </row>
    <row r="543">
      <c r="A543" s="7"/>
      <c r="P543" s="7"/>
    </row>
    <row r="544">
      <c r="A544" s="7"/>
      <c r="P544" s="7"/>
    </row>
    <row r="545">
      <c r="A545" s="7"/>
      <c r="P545" s="7"/>
    </row>
    <row r="546">
      <c r="A546" s="7"/>
      <c r="P546" s="7"/>
    </row>
    <row r="547">
      <c r="A547" s="7"/>
      <c r="P547" s="7"/>
    </row>
    <row r="548">
      <c r="A548" s="7"/>
      <c r="P548" s="7"/>
    </row>
    <row r="549">
      <c r="A549" s="7"/>
      <c r="P549" s="7"/>
    </row>
    <row r="550">
      <c r="A550" s="7"/>
      <c r="P550" s="7"/>
    </row>
    <row r="551">
      <c r="A551" s="7"/>
      <c r="P551" s="7"/>
    </row>
    <row r="552">
      <c r="A552" s="7"/>
      <c r="P552" s="7"/>
    </row>
    <row r="553">
      <c r="A553" s="7"/>
      <c r="P553" s="7"/>
    </row>
    <row r="554">
      <c r="A554" s="7"/>
      <c r="P554" s="7"/>
    </row>
    <row r="555">
      <c r="A555" s="7"/>
      <c r="P555" s="7"/>
    </row>
    <row r="556">
      <c r="A556" s="7"/>
      <c r="P556" s="7"/>
    </row>
    <row r="557">
      <c r="A557" s="7"/>
      <c r="P557" s="7"/>
    </row>
    <row r="558">
      <c r="A558" s="7"/>
      <c r="P558" s="7"/>
    </row>
    <row r="559">
      <c r="A559" s="7"/>
      <c r="P559" s="7"/>
    </row>
    <row r="560">
      <c r="A560" s="7"/>
      <c r="P560" s="7"/>
    </row>
    <row r="561">
      <c r="A561" s="7"/>
      <c r="P561" s="7"/>
    </row>
    <row r="562">
      <c r="A562" s="7"/>
      <c r="P562" s="7"/>
    </row>
    <row r="563">
      <c r="A563" s="7"/>
      <c r="P563" s="7"/>
    </row>
    <row r="564">
      <c r="A564" s="7"/>
      <c r="P564" s="7"/>
    </row>
    <row r="565">
      <c r="A565" s="7"/>
      <c r="P565" s="7"/>
    </row>
    <row r="566">
      <c r="A566" s="7"/>
      <c r="P566" s="7"/>
    </row>
    <row r="567">
      <c r="A567" s="7"/>
      <c r="P567" s="7"/>
    </row>
    <row r="568">
      <c r="A568" s="7"/>
      <c r="P568" s="7"/>
    </row>
    <row r="569">
      <c r="A569" s="7"/>
      <c r="P569" s="7"/>
    </row>
    <row r="570">
      <c r="A570" s="7"/>
      <c r="P570" s="7"/>
    </row>
    <row r="571">
      <c r="A571" s="7"/>
      <c r="P571" s="7"/>
    </row>
    <row r="572">
      <c r="A572" s="7"/>
      <c r="P572" s="7"/>
    </row>
    <row r="573">
      <c r="A573" s="7"/>
      <c r="P573" s="7"/>
    </row>
    <row r="574">
      <c r="A574" s="7"/>
      <c r="P574" s="7"/>
    </row>
    <row r="575">
      <c r="A575" s="7"/>
      <c r="P575" s="7"/>
    </row>
    <row r="576">
      <c r="A576" s="7"/>
      <c r="P576" s="7"/>
    </row>
    <row r="577">
      <c r="A577" s="7"/>
      <c r="P577" s="7"/>
    </row>
    <row r="578">
      <c r="A578" s="7"/>
      <c r="P578" s="7"/>
    </row>
    <row r="579">
      <c r="A579" s="7"/>
      <c r="P579" s="7"/>
    </row>
    <row r="580">
      <c r="A580" s="7"/>
      <c r="P580" s="7"/>
    </row>
    <row r="581">
      <c r="A581" s="7"/>
      <c r="P581" s="7"/>
    </row>
    <row r="582">
      <c r="A582" s="7"/>
      <c r="P582" s="7"/>
    </row>
    <row r="583">
      <c r="A583" s="7"/>
      <c r="P583" s="7"/>
    </row>
    <row r="584">
      <c r="A584" s="7"/>
      <c r="P584" s="7"/>
    </row>
    <row r="585">
      <c r="A585" s="7"/>
      <c r="P585" s="7"/>
    </row>
    <row r="586">
      <c r="A586" s="7"/>
      <c r="P586" s="7"/>
    </row>
    <row r="587">
      <c r="A587" s="7"/>
      <c r="P587" s="7"/>
    </row>
    <row r="588">
      <c r="A588" s="7"/>
      <c r="P588" s="7"/>
    </row>
    <row r="589">
      <c r="A589" s="7"/>
      <c r="P589" s="7"/>
    </row>
    <row r="590">
      <c r="A590" s="7"/>
      <c r="P590" s="7"/>
    </row>
    <row r="591">
      <c r="A591" s="7"/>
      <c r="P591" s="7"/>
    </row>
    <row r="592">
      <c r="A592" s="7"/>
      <c r="P592" s="7"/>
    </row>
    <row r="593">
      <c r="A593" s="7"/>
      <c r="P593" s="7"/>
    </row>
    <row r="594">
      <c r="A594" s="7"/>
      <c r="P594" s="7"/>
    </row>
    <row r="595">
      <c r="A595" s="7"/>
      <c r="P595" s="7"/>
    </row>
    <row r="596">
      <c r="A596" s="7"/>
      <c r="P596" s="7"/>
    </row>
    <row r="597">
      <c r="A597" s="7"/>
      <c r="P597" s="7"/>
    </row>
    <row r="598">
      <c r="A598" s="7"/>
      <c r="P598" s="7"/>
    </row>
    <row r="599">
      <c r="A599" s="7"/>
      <c r="P599" s="7"/>
    </row>
    <row r="600">
      <c r="A600" s="7"/>
      <c r="P600" s="7"/>
    </row>
    <row r="601">
      <c r="A601" s="7"/>
      <c r="P601" s="7"/>
    </row>
    <row r="602">
      <c r="A602" s="7"/>
      <c r="P602" s="7"/>
    </row>
    <row r="603">
      <c r="A603" s="7"/>
      <c r="P603" s="7"/>
    </row>
    <row r="604">
      <c r="A604" s="7"/>
      <c r="P604" s="7"/>
    </row>
    <row r="605">
      <c r="A605" s="7"/>
      <c r="P605" s="7"/>
    </row>
    <row r="606">
      <c r="A606" s="7"/>
      <c r="P606" s="7"/>
    </row>
    <row r="607">
      <c r="A607" s="7"/>
      <c r="P607" s="7"/>
    </row>
    <row r="608">
      <c r="A608" s="7"/>
      <c r="P608" s="7"/>
    </row>
    <row r="609">
      <c r="A609" s="7"/>
      <c r="P609" s="7"/>
    </row>
    <row r="610">
      <c r="A610" s="7"/>
      <c r="P610" s="7"/>
    </row>
    <row r="611">
      <c r="A611" s="7"/>
      <c r="P611" s="7"/>
    </row>
    <row r="612">
      <c r="A612" s="7"/>
      <c r="P612" s="7"/>
    </row>
    <row r="613">
      <c r="A613" s="7"/>
      <c r="P613" s="7"/>
    </row>
    <row r="614">
      <c r="A614" s="7"/>
      <c r="P614" s="7"/>
    </row>
    <row r="615">
      <c r="A615" s="7"/>
      <c r="P615" s="7"/>
    </row>
    <row r="616">
      <c r="A616" s="7"/>
      <c r="P616" s="7"/>
    </row>
    <row r="617">
      <c r="A617" s="7"/>
      <c r="P617" s="7"/>
    </row>
    <row r="618">
      <c r="A618" s="7"/>
      <c r="P618" s="7"/>
    </row>
    <row r="619">
      <c r="A619" s="7"/>
      <c r="P619" s="7"/>
    </row>
    <row r="620">
      <c r="A620" s="7"/>
      <c r="P620" s="7"/>
    </row>
    <row r="621">
      <c r="A621" s="7"/>
      <c r="P621" s="7"/>
    </row>
    <row r="622">
      <c r="A622" s="7"/>
      <c r="P622" s="7"/>
    </row>
    <row r="623">
      <c r="A623" s="7"/>
      <c r="P623" s="7"/>
    </row>
    <row r="624">
      <c r="A624" s="7"/>
      <c r="P624" s="7"/>
    </row>
    <row r="625">
      <c r="A625" s="7"/>
      <c r="P625" s="7"/>
    </row>
    <row r="626">
      <c r="A626" s="7"/>
      <c r="P626" s="7"/>
    </row>
    <row r="627">
      <c r="A627" s="7"/>
      <c r="P627" s="7"/>
    </row>
    <row r="628">
      <c r="A628" s="7"/>
      <c r="P628" s="7"/>
    </row>
    <row r="629">
      <c r="A629" s="7"/>
      <c r="P629" s="7"/>
    </row>
    <row r="630">
      <c r="A630" s="7"/>
      <c r="P630" s="7"/>
    </row>
    <row r="631">
      <c r="A631" s="7"/>
      <c r="P631" s="7"/>
    </row>
    <row r="632">
      <c r="A632" s="7"/>
      <c r="P632" s="7"/>
    </row>
    <row r="633">
      <c r="A633" s="7"/>
      <c r="P633" s="7"/>
    </row>
    <row r="634">
      <c r="A634" s="7"/>
      <c r="P634" s="7"/>
    </row>
    <row r="635">
      <c r="A635" s="7"/>
      <c r="P635" s="7"/>
    </row>
    <row r="636">
      <c r="A636" s="7"/>
      <c r="P636" s="7"/>
    </row>
    <row r="637">
      <c r="A637" s="7"/>
      <c r="P637" s="7"/>
    </row>
    <row r="638">
      <c r="A638" s="7"/>
      <c r="P638" s="7"/>
    </row>
    <row r="639">
      <c r="A639" s="7"/>
      <c r="P639" s="7"/>
    </row>
    <row r="640">
      <c r="A640" s="7"/>
      <c r="P640" s="7"/>
    </row>
    <row r="641">
      <c r="A641" s="7"/>
      <c r="P641" s="7"/>
    </row>
    <row r="642">
      <c r="A642" s="7"/>
      <c r="P642" s="7"/>
    </row>
    <row r="643">
      <c r="A643" s="7"/>
      <c r="P643" s="7"/>
    </row>
    <row r="644">
      <c r="A644" s="7"/>
      <c r="P644" s="7"/>
    </row>
    <row r="645">
      <c r="A645" s="7"/>
      <c r="P645" s="7"/>
    </row>
    <row r="646">
      <c r="A646" s="7"/>
      <c r="P646" s="7"/>
    </row>
    <row r="647">
      <c r="A647" s="7"/>
      <c r="P647" s="7"/>
    </row>
    <row r="648">
      <c r="A648" s="7"/>
      <c r="P648" s="7"/>
    </row>
    <row r="649">
      <c r="A649" s="7"/>
      <c r="P649" s="7"/>
    </row>
    <row r="650">
      <c r="A650" s="7"/>
      <c r="P650" s="7"/>
    </row>
    <row r="651">
      <c r="A651" s="7"/>
      <c r="P651" s="7"/>
    </row>
    <row r="652">
      <c r="A652" s="7"/>
      <c r="P652" s="7"/>
    </row>
    <row r="653">
      <c r="A653" s="7"/>
      <c r="P653" s="7"/>
    </row>
    <row r="654">
      <c r="A654" s="7"/>
      <c r="P654" s="7"/>
    </row>
    <row r="655">
      <c r="A655" s="7"/>
      <c r="P655" s="7"/>
    </row>
    <row r="656">
      <c r="A656" s="7"/>
      <c r="P656" s="7"/>
    </row>
    <row r="657">
      <c r="A657" s="7"/>
      <c r="P657" s="7"/>
    </row>
    <row r="658">
      <c r="A658" s="7"/>
      <c r="P658" s="7"/>
    </row>
    <row r="659">
      <c r="A659" s="7"/>
      <c r="P659" s="7"/>
    </row>
    <row r="660">
      <c r="A660" s="7"/>
      <c r="P660" s="7"/>
    </row>
    <row r="661">
      <c r="A661" s="7"/>
      <c r="P661" s="7"/>
    </row>
    <row r="662">
      <c r="A662" s="7"/>
      <c r="P662" s="7"/>
    </row>
    <row r="663">
      <c r="A663" s="7"/>
      <c r="P663" s="7"/>
    </row>
    <row r="664">
      <c r="A664" s="7"/>
      <c r="P664" s="7"/>
    </row>
    <row r="665">
      <c r="A665" s="7"/>
      <c r="P665" s="7"/>
    </row>
    <row r="666">
      <c r="A666" s="7"/>
      <c r="P666" s="7"/>
    </row>
    <row r="667">
      <c r="A667" s="7"/>
      <c r="P667" s="7"/>
    </row>
    <row r="668">
      <c r="A668" s="7"/>
      <c r="P668" s="7"/>
    </row>
    <row r="669">
      <c r="A669" s="7"/>
      <c r="P669" s="7"/>
    </row>
    <row r="670">
      <c r="A670" s="7"/>
      <c r="P670" s="7"/>
    </row>
    <row r="671">
      <c r="A671" s="7"/>
      <c r="P671" s="7"/>
    </row>
    <row r="672">
      <c r="A672" s="7"/>
      <c r="P672" s="7"/>
    </row>
    <row r="673">
      <c r="A673" s="7"/>
      <c r="P673" s="7"/>
    </row>
    <row r="674">
      <c r="A674" s="7"/>
      <c r="P674" s="7"/>
    </row>
    <row r="675">
      <c r="A675" s="7"/>
      <c r="P675" s="7"/>
    </row>
    <row r="676">
      <c r="A676" s="7"/>
      <c r="P676" s="7"/>
    </row>
    <row r="677">
      <c r="A677" s="7"/>
      <c r="P677" s="7"/>
    </row>
    <row r="678">
      <c r="A678" s="7"/>
      <c r="P678" s="7"/>
    </row>
    <row r="679">
      <c r="A679" s="7"/>
      <c r="P679" s="7"/>
    </row>
    <row r="680">
      <c r="A680" s="7"/>
      <c r="P680" s="7"/>
    </row>
    <row r="681">
      <c r="A681" s="7"/>
      <c r="P681" s="7"/>
    </row>
    <row r="682">
      <c r="A682" s="7"/>
      <c r="P682" s="7"/>
    </row>
    <row r="683">
      <c r="A683" s="7"/>
      <c r="P683" s="7"/>
    </row>
    <row r="684">
      <c r="A684" s="7"/>
      <c r="P684" s="7"/>
    </row>
    <row r="685">
      <c r="A685" s="7"/>
      <c r="P685" s="7"/>
    </row>
    <row r="686">
      <c r="A686" s="7"/>
      <c r="P686" s="7"/>
    </row>
    <row r="687">
      <c r="A687" s="7"/>
      <c r="P687" s="7"/>
    </row>
    <row r="688">
      <c r="A688" s="7"/>
      <c r="P688" s="7"/>
    </row>
    <row r="689">
      <c r="A689" s="7"/>
      <c r="P689" s="7"/>
    </row>
    <row r="690">
      <c r="A690" s="7"/>
      <c r="P690" s="7"/>
    </row>
    <row r="691">
      <c r="A691" s="7"/>
      <c r="P691" s="7"/>
    </row>
    <row r="692">
      <c r="A692" s="7"/>
      <c r="P692" s="7"/>
    </row>
    <row r="693">
      <c r="A693" s="7"/>
      <c r="P693" s="7"/>
    </row>
    <row r="694">
      <c r="A694" s="7"/>
      <c r="P694" s="7"/>
    </row>
    <row r="695">
      <c r="A695" s="7"/>
      <c r="P695" s="7"/>
    </row>
    <row r="696">
      <c r="A696" s="7"/>
      <c r="P696" s="7"/>
    </row>
    <row r="697">
      <c r="A697" s="7"/>
      <c r="P697" s="7"/>
    </row>
    <row r="698">
      <c r="A698" s="7"/>
      <c r="P698" s="7"/>
    </row>
    <row r="699">
      <c r="A699" s="7"/>
      <c r="P699" s="7"/>
    </row>
    <row r="700">
      <c r="A700" s="7"/>
      <c r="P700" s="7"/>
    </row>
    <row r="701">
      <c r="A701" s="7"/>
      <c r="P701" s="7"/>
    </row>
    <row r="702">
      <c r="A702" s="7"/>
      <c r="P702" s="7"/>
    </row>
    <row r="703">
      <c r="A703" s="7"/>
      <c r="P703" s="7"/>
    </row>
    <row r="704">
      <c r="A704" s="7"/>
      <c r="P704" s="7"/>
    </row>
    <row r="705">
      <c r="A705" s="7"/>
      <c r="P705" s="7"/>
    </row>
    <row r="706">
      <c r="A706" s="7"/>
      <c r="P706" s="7"/>
    </row>
    <row r="707">
      <c r="A707" s="7"/>
      <c r="P707" s="7"/>
    </row>
    <row r="708">
      <c r="A708" s="7"/>
      <c r="P708" s="7"/>
    </row>
    <row r="709">
      <c r="A709" s="7"/>
      <c r="P709" s="7"/>
    </row>
    <row r="710">
      <c r="A710" s="7"/>
      <c r="P710" s="7"/>
    </row>
    <row r="711">
      <c r="A711" s="7"/>
      <c r="P711" s="7"/>
    </row>
    <row r="712">
      <c r="A712" s="7"/>
      <c r="P712" s="7"/>
    </row>
    <row r="713">
      <c r="A713" s="7"/>
      <c r="P713" s="7"/>
    </row>
    <row r="714">
      <c r="A714" s="7"/>
      <c r="P714" s="7"/>
    </row>
    <row r="715">
      <c r="A715" s="7"/>
      <c r="P715" s="7"/>
    </row>
    <row r="716">
      <c r="A716" s="7"/>
      <c r="P716" s="7"/>
    </row>
    <row r="717">
      <c r="A717" s="7"/>
      <c r="P717" s="7"/>
    </row>
    <row r="718">
      <c r="A718" s="7"/>
      <c r="P718" s="7"/>
    </row>
    <row r="719">
      <c r="A719" s="7"/>
      <c r="P719" s="7"/>
    </row>
    <row r="720">
      <c r="A720" s="7"/>
      <c r="P720" s="7"/>
    </row>
    <row r="721">
      <c r="A721" s="7"/>
      <c r="P721" s="7"/>
    </row>
    <row r="722">
      <c r="A722" s="7"/>
      <c r="P722" s="7"/>
    </row>
    <row r="723">
      <c r="A723" s="7"/>
      <c r="P723" s="7"/>
    </row>
    <row r="724">
      <c r="A724" s="7"/>
      <c r="P724" s="7"/>
    </row>
    <row r="725">
      <c r="A725" s="7"/>
      <c r="P725" s="7"/>
    </row>
    <row r="726">
      <c r="A726" s="7"/>
      <c r="P726" s="7"/>
    </row>
    <row r="727">
      <c r="A727" s="7"/>
      <c r="P727" s="7"/>
    </row>
    <row r="728">
      <c r="A728" s="7"/>
      <c r="P728" s="7"/>
    </row>
    <row r="729">
      <c r="A729" s="7"/>
      <c r="P729" s="7"/>
    </row>
    <row r="730">
      <c r="A730" s="7"/>
      <c r="P730" s="7"/>
    </row>
    <row r="731">
      <c r="A731" s="7"/>
      <c r="P731" s="7"/>
    </row>
    <row r="732">
      <c r="A732" s="7"/>
      <c r="P732" s="7"/>
    </row>
    <row r="733">
      <c r="A733" s="7"/>
      <c r="P733" s="7"/>
    </row>
    <row r="734">
      <c r="A734" s="7"/>
      <c r="P734" s="7"/>
    </row>
    <row r="735">
      <c r="A735" s="7"/>
      <c r="P735" s="7"/>
    </row>
    <row r="736">
      <c r="A736" s="7"/>
      <c r="P736" s="7"/>
    </row>
    <row r="737">
      <c r="A737" s="7"/>
      <c r="P737" s="7"/>
    </row>
    <row r="738">
      <c r="A738" s="7"/>
      <c r="P738" s="7"/>
    </row>
    <row r="739">
      <c r="A739" s="7"/>
      <c r="P739" s="7"/>
    </row>
    <row r="740">
      <c r="A740" s="7"/>
      <c r="P740" s="7"/>
    </row>
    <row r="741">
      <c r="A741" s="7"/>
      <c r="P741" s="7"/>
    </row>
    <row r="742">
      <c r="A742" s="7"/>
      <c r="P742" s="7"/>
    </row>
    <row r="743">
      <c r="A743" s="7"/>
      <c r="P743" s="7"/>
    </row>
    <row r="744">
      <c r="A744" s="7"/>
      <c r="P744" s="7"/>
    </row>
    <row r="745">
      <c r="A745" s="7"/>
      <c r="P745" s="7"/>
    </row>
    <row r="746">
      <c r="A746" s="7"/>
      <c r="P746" s="7"/>
    </row>
    <row r="747">
      <c r="A747" s="7"/>
      <c r="P747" s="7"/>
    </row>
    <row r="748">
      <c r="A748" s="7"/>
      <c r="P748" s="7"/>
    </row>
    <row r="749">
      <c r="A749" s="7"/>
      <c r="P749" s="7"/>
    </row>
    <row r="750">
      <c r="A750" s="7"/>
      <c r="P750" s="7"/>
    </row>
    <row r="751">
      <c r="A751" s="7"/>
      <c r="P751" s="7"/>
    </row>
    <row r="752">
      <c r="A752" s="7"/>
      <c r="P752" s="7"/>
    </row>
    <row r="753">
      <c r="A753" s="7"/>
      <c r="P753" s="7"/>
    </row>
    <row r="754">
      <c r="A754" s="7"/>
      <c r="P754" s="7"/>
    </row>
    <row r="755">
      <c r="A755" s="7"/>
      <c r="P755" s="7"/>
    </row>
    <row r="756">
      <c r="A756" s="7"/>
      <c r="P756" s="7"/>
    </row>
    <row r="757">
      <c r="A757" s="7"/>
      <c r="P757" s="7"/>
    </row>
    <row r="758">
      <c r="A758" s="7"/>
      <c r="P758" s="7"/>
    </row>
    <row r="759">
      <c r="A759" s="7"/>
      <c r="P759" s="7"/>
    </row>
    <row r="760">
      <c r="A760" s="7"/>
      <c r="P760" s="7"/>
    </row>
    <row r="761">
      <c r="A761" s="7"/>
      <c r="P761" s="7"/>
    </row>
    <row r="762">
      <c r="A762" s="7"/>
      <c r="P762" s="7"/>
    </row>
    <row r="763">
      <c r="A763" s="7"/>
      <c r="P763" s="7"/>
    </row>
    <row r="764">
      <c r="A764" s="7"/>
      <c r="P764" s="7"/>
    </row>
    <row r="765">
      <c r="A765" s="7"/>
      <c r="P765" s="7"/>
    </row>
    <row r="766">
      <c r="A766" s="7"/>
      <c r="P766" s="7"/>
    </row>
    <row r="767">
      <c r="A767" s="7"/>
      <c r="P767" s="7"/>
    </row>
    <row r="768">
      <c r="A768" s="7"/>
      <c r="P768" s="7"/>
    </row>
    <row r="769">
      <c r="A769" s="7"/>
      <c r="P769" s="7"/>
    </row>
    <row r="770">
      <c r="A770" s="7"/>
      <c r="P770" s="7"/>
    </row>
    <row r="771">
      <c r="A771" s="7"/>
      <c r="P771" s="7"/>
    </row>
    <row r="772">
      <c r="A772" s="7"/>
      <c r="P772" s="7"/>
    </row>
    <row r="773">
      <c r="A773" s="7"/>
      <c r="P773" s="7"/>
    </row>
    <row r="774">
      <c r="A774" s="7"/>
      <c r="P774" s="7"/>
    </row>
    <row r="775">
      <c r="A775" s="7"/>
      <c r="P775" s="7"/>
    </row>
    <row r="776">
      <c r="A776" s="7"/>
      <c r="P776" s="7"/>
    </row>
    <row r="777">
      <c r="A777" s="7"/>
      <c r="P777" s="7"/>
    </row>
    <row r="778">
      <c r="A778" s="7"/>
      <c r="P778" s="7"/>
    </row>
    <row r="779">
      <c r="A779" s="7"/>
      <c r="P779" s="7"/>
    </row>
    <row r="780">
      <c r="A780" s="7"/>
      <c r="P780" s="7"/>
    </row>
    <row r="781">
      <c r="A781" s="7"/>
      <c r="P781" s="7"/>
    </row>
    <row r="782">
      <c r="A782" s="7"/>
      <c r="P782" s="7"/>
    </row>
    <row r="783">
      <c r="A783" s="7"/>
      <c r="P783" s="7"/>
    </row>
    <row r="784">
      <c r="A784" s="7"/>
      <c r="P784" s="7"/>
    </row>
    <row r="785">
      <c r="A785" s="7"/>
      <c r="P785" s="7"/>
    </row>
    <row r="786">
      <c r="A786" s="7"/>
      <c r="P786" s="7"/>
    </row>
    <row r="787">
      <c r="A787" s="7"/>
      <c r="P787" s="7"/>
    </row>
    <row r="788">
      <c r="A788" s="7"/>
      <c r="P788" s="7"/>
    </row>
    <row r="789">
      <c r="A789" s="7"/>
      <c r="P789" s="7"/>
    </row>
    <row r="790">
      <c r="A790" s="7"/>
      <c r="P790" s="7"/>
    </row>
    <row r="791">
      <c r="A791" s="7"/>
      <c r="P791" s="7"/>
    </row>
    <row r="792">
      <c r="A792" s="7"/>
      <c r="P792" s="7"/>
    </row>
    <row r="793">
      <c r="A793" s="7"/>
      <c r="P793" s="7"/>
    </row>
    <row r="794">
      <c r="A794" s="7"/>
      <c r="P794" s="7"/>
    </row>
    <row r="795">
      <c r="A795" s="7"/>
      <c r="P795" s="7"/>
    </row>
    <row r="796">
      <c r="A796" s="7"/>
      <c r="P796" s="7"/>
    </row>
    <row r="797">
      <c r="A797" s="7"/>
      <c r="P797" s="7"/>
    </row>
    <row r="798">
      <c r="A798" s="7"/>
      <c r="P798" s="7"/>
    </row>
    <row r="799">
      <c r="A799" s="7"/>
      <c r="P799" s="7"/>
    </row>
    <row r="800">
      <c r="A800" s="7"/>
      <c r="P800" s="7"/>
    </row>
    <row r="801">
      <c r="A801" s="7"/>
      <c r="P801" s="7"/>
    </row>
    <row r="802">
      <c r="A802" s="7"/>
      <c r="P802" s="7"/>
    </row>
    <row r="803">
      <c r="A803" s="7"/>
      <c r="P803" s="7"/>
    </row>
    <row r="804">
      <c r="A804" s="7"/>
      <c r="P804" s="7"/>
    </row>
    <row r="805">
      <c r="A805" s="7"/>
      <c r="P805" s="7"/>
    </row>
    <row r="806">
      <c r="A806" s="7"/>
      <c r="P806" s="7"/>
    </row>
    <row r="807">
      <c r="A807" s="7"/>
      <c r="P807" s="7"/>
    </row>
    <row r="808">
      <c r="A808" s="7"/>
      <c r="P808" s="7"/>
    </row>
    <row r="809">
      <c r="A809" s="7"/>
      <c r="P809" s="7"/>
    </row>
    <row r="810">
      <c r="A810" s="7"/>
      <c r="P810" s="7"/>
    </row>
    <row r="811">
      <c r="A811" s="7"/>
      <c r="P811" s="7"/>
    </row>
    <row r="812">
      <c r="A812" s="7"/>
      <c r="P812" s="7"/>
    </row>
    <row r="813">
      <c r="A813" s="7"/>
      <c r="P813" s="7"/>
    </row>
    <row r="814">
      <c r="A814" s="7"/>
      <c r="P814" s="7"/>
    </row>
    <row r="815">
      <c r="A815" s="7"/>
      <c r="P815" s="7"/>
    </row>
    <row r="816">
      <c r="A816" s="7"/>
      <c r="P816" s="7"/>
    </row>
    <row r="817">
      <c r="A817" s="7"/>
      <c r="P817" s="7"/>
    </row>
    <row r="818">
      <c r="A818" s="7"/>
      <c r="P818" s="7"/>
    </row>
    <row r="819">
      <c r="A819" s="7"/>
      <c r="P819" s="7"/>
    </row>
    <row r="820">
      <c r="A820" s="7"/>
      <c r="P820" s="7"/>
    </row>
    <row r="821">
      <c r="A821" s="7"/>
      <c r="P821" s="7"/>
    </row>
    <row r="822">
      <c r="A822" s="7"/>
      <c r="P822" s="7"/>
    </row>
    <row r="823">
      <c r="A823" s="7"/>
      <c r="P823" s="7"/>
    </row>
    <row r="824">
      <c r="A824" s="7"/>
      <c r="P824" s="7"/>
    </row>
    <row r="825">
      <c r="A825" s="7"/>
      <c r="P825" s="7"/>
    </row>
    <row r="826">
      <c r="A826" s="7"/>
      <c r="P826" s="7"/>
    </row>
    <row r="827">
      <c r="A827" s="7"/>
      <c r="P827" s="7"/>
    </row>
    <row r="828">
      <c r="A828" s="7"/>
      <c r="P828" s="7"/>
    </row>
    <row r="829">
      <c r="A829" s="7"/>
      <c r="P829" s="7"/>
    </row>
    <row r="830">
      <c r="A830" s="7"/>
      <c r="P830" s="7"/>
    </row>
    <row r="831">
      <c r="A831" s="7"/>
      <c r="P831" s="7"/>
    </row>
    <row r="832">
      <c r="A832" s="7"/>
      <c r="P832" s="7"/>
    </row>
    <row r="833">
      <c r="A833" s="7"/>
      <c r="P833" s="7"/>
    </row>
    <row r="834">
      <c r="A834" s="7"/>
      <c r="P834" s="7"/>
    </row>
    <row r="835">
      <c r="A835" s="7"/>
      <c r="P835" s="7"/>
    </row>
    <row r="836">
      <c r="A836" s="7"/>
      <c r="P836" s="7"/>
    </row>
    <row r="837">
      <c r="A837" s="7"/>
      <c r="P837" s="7"/>
    </row>
    <row r="838">
      <c r="A838" s="7"/>
      <c r="P838" s="7"/>
    </row>
    <row r="839">
      <c r="A839" s="7"/>
      <c r="P839" s="7"/>
    </row>
    <row r="840">
      <c r="A840" s="7"/>
      <c r="P840" s="7"/>
    </row>
    <row r="841">
      <c r="A841" s="7"/>
      <c r="P841" s="7"/>
    </row>
    <row r="842">
      <c r="A842" s="7"/>
      <c r="P842" s="7"/>
    </row>
    <row r="843">
      <c r="A843" s="7"/>
      <c r="P843" s="7"/>
    </row>
    <row r="844">
      <c r="A844" s="7"/>
      <c r="P844" s="7"/>
    </row>
    <row r="845">
      <c r="A845" s="7"/>
      <c r="P845" s="7"/>
    </row>
    <row r="846">
      <c r="A846" s="7"/>
      <c r="P846" s="7"/>
    </row>
    <row r="847">
      <c r="A847" s="7"/>
      <c r="P847" s="7"/>
    </row>
    <row r="848">
      <c r="A848" s="7"/>
      <c r="P848" s="7"/>
    </row>
    <row r="849">
      <c r="A849" s="7"/>
      <c r="P849" s="7"/>
    </row>
    <row r="850">
      <c r="A850" s="7"/>
      <c r="P850" s="7"/>
    </row>
    <row r="851">
      <c r="A851" s="7"/>
      <c r="P851" s="7"/>
    </row>
    <row r="852">
      <c r="A852" s="7"/>
      <c r="P852" s="7"/>
    </row>
    <row r="853">
      <c r="A853" s="7"/>
      <c r="P853" s="7"/>
    </row>
    <row r="854">
      <c r="A854" s="7"/>
      <c r="P854" s="7"/>
    </row>
    <row r="855">
      <c r="A855" s="7"/>
      <c r="P855" s="7"/>
    </row>
    <row r="856">
      <c r="A856" s="7"/>
      <c r="P856" s="7"/>
    </row>
    <row r="857">
      <c r="A857" s="7"/>
      <c r="P857" s="7"/>
    </row>
    <row r="858">
      <c r="A858" s="7"/>
      <c r="P858" s="7"/>
    </row>
    <row r="859">
      <c r="A859" s="7"/>
      <c r="P859" s="7"/>
    </row>
    <row r="860">
      <c r="A860" s="7"/>
      <c r="P860" s="7"/>
    </row>
    <row r="861">
      <c r="A861" s="7"/>
      <c r="P861" s="7"/>
    </row>
    <row r="862">
      <c r="A862" s="7"/>
      <c r="P862" s="7"/>
    </row>
    <row r="863">
      <c r="A863" s="7"/>
      <c r="P863" s="7"/>
    </row>
    <row r="864">
      <c r="A864" s="7"/>
      <c r="P864" s="7"/>
    </row>
    <row r="865">
      <c r="A865" s="7"/>
      <c r="P865" s="7"/>
    </row>
    <row r="866">
      <c r="A866" s="7"/>
      <c r="P866" s="7"/>
    </row>
    <row r="867">
      <c r="A867" s="7"/>
      <c r="P867" s="7"/>
    </row>
    <row r="868">
      <c r="A868" s="7"/>
      <c r="P868" s="7"/>
    </row>
    <row r="869">
      <c r="A869" s="7"/>
      <c r="P869" s="7"/>
    </row>
    <row r="870">
      <c r="A870" s="7"/>
      <c r="P870" s="7"/>
    </row>
    <row r="871">
      <c r="A871" s="7"/>
      <c r="P871" s="7"/>
    </row>
    <row r="872">
      <c r="A872" s="7"/>
      <c r="P872" s="7"/>
    </row>
    <row r="873">
      <c r="A873" s="7"/>
      <c r="P873" s="7"/>
    </row>
    <row r="874">
      <c r="A874" s="7"/>
      <c r="P874" s="7"/>
    </row>
    <row r="875">
      <c r="A875" s="7"/>
      <c r="P875" s="7"/>
    </row>
    <row r="876">
      <c r="A876" s="7"/>
      <c r="P876" s="7"/>
    </row>
    <row r="877">
      <c r="A877" s="7"/>
      <c r="P877" s="7"/>
    </row>
    <row r="878">
      <c r="A878" s="7"/>
      <c r="P878" s="7"/>
    </row>
    <row r="879">
      <c r="A879" s="7"/>
      <c r="P879" s="7"/>
    </row>
    <row r="880">
      <c r="A880" s="7"/>
      <c r="P880" s="7"/>
    </row>
    <row r="881">
      <c r="A881" s="7"/>
      <c r="P881" s="7"/>
    </row>
    <row r="882">
      <c r="A882" s="7"/>
      <c r="P882" s="7"/>
    </row>
    <row r="883">
      <c r="A883" s="7"/>
      <c r="P883" s="7"/>
    </row>
    <row r="884">
      <c r="A884" s="7"/>
      <c r="P884" s="7"/>
    </row>
    <row r="885">
      <c r="A885" s="7"/>
      <c r="P885" s="7"/>
    </row>
    <row r="886">
      <c r="A886" s="7"/>
      <c r="P886" s="7"/>
    </row>
    <row r="887">
      <c r="A887" s="7"/>
      <c r="P887" s="7"/>
    </row>
    <row r="888">
      <c r="A888" s="7"/>
      <c r="P888" s="7"/>
    </row>
    <row r="889">
      <c r="A889" s="7"/>
      <c r="P889" s="7"/>
    </row>
    <row r="890">
      <c r="A890" s="7"/>
      <c r="P890" s="7"/>
    </row>
    <row r="891">
      <c r="A891" s="7"/>
      <c r="P891" s="7"/>
    </row>
    <row r="892">
      <c r="A892" s="7"/>
      <c r="P892" s="7"/>
    </row>
    <row r="893">
      <c r="A893" s="7"/>
      <c r="P893" s="7"/>
    </row>
    <row r="894">
      <c r="A894" s="7"/>
      <c r="P894" s="7"/>
    </row>
    <row r="895">
      <c r="A895" s="7"/>
      <c r="P895" s="7"/>
    </row>
    <row r="896">
      <c r="A896" s="7"/>
      <c r="P896" s="7"/>
    </row>
    <row r="897">
      <c r="A897" s="7"/>
      <c r="P897" s="7"/>
    </row>
    <row r="898">
      <c r="A898" s="7"/>
      <c r="P898" s="7"/>
    </row>
    <row r="899">
      <c r="A899" s="7"/>
      <c r="P899" s="7"/>
    </row>
    <row r="900">
      <c r="A900" s="7"/>
      <c r="P900" s="7"/>
    </row>
    <row r="901">
      <c r="A901" s="7"/>
      <c r="P901" s="7"/>
    </row>
    <row r="902">
      <c r="A902" s="7"/>
      <c r="P902" s="7"/>
    </row>
    <row r="903">
      <c r="A903" s="7"/>
      <c r="P903" s="7"/>
    </row>
    <row r="904">
      <c r="A904" s="7"/>
      <c r="P904" s="7"/>
    </row>
    <row r="905">
      <c r="A905" s="7"/>
      <c r="P905" s="7"/>
    </row>
    <row r="906">
      <c r="A906" s="7"/>
      <c r="P906" s="7"/>
    </row>
    <row r="907">
      <c r="A907" s="7"/>
      <c r="P907" s="7"/>
    </row>
    <row r="908">
      <c r="A908" s="7"/>
      <c r="P908" s="7"/>
    </row>
    <row r="909">
      <c r="A909" s="7"/>
      <c r="P909" s="7"/>
    </row>
    <row r="910">
      <c r="A910" s="7"/>
      <c r="P910" s="7"/>
    </row>
    <row r="911">
      <c r="A911" s="7"/>
      <c r="P911" s="7"/>
    </row>
    <row r="912">
      <c r="A912" s="7"/>
      <c r="P912" s="7"/>
    </row>
    <row r="913">
      <c r="A913" s="7"/>
      <c r="P913" s="7"/>
    </row>
    <row r="914">
      <c r="A914" s="7"/>
      <c r="P914" s="7"/>
    </row>
    <row r="915">
      <c r="A915" s="7"/>
      <c r="P915" s="7"/>
    </row>
    <row r="916">
      <c r="A916" s="7"/>
      <c r="P916" s="7"/>
    </row>
    <row r="917">
      <c r="A917" s="7"/>
      <c r="P917" s="7"/>
    </row>
    <row r="918">
      <c r="A918" s="7"/>
      <c r="P918" s="7"/>
    </row>
    <row r="919">
      <c r="A919" s="7"/>
      <c r="P919" s="7"/>
    </row>
    <row r="920">
      <c r="A920" s="7"/>
      <c r="P920" s="7"/>
    </row>
    <row r="921">
      <c r="A921" s="7"/>
      <c r="P921" s="7"/>
    </row>
    <row r="922">
      <c r="A922" s="7"/>
      <c r="P922" s="7"/>
    </row>
    <row r="923">
      <c r="A923" s="7"/>
      <c r="P923" s="7"/>
    </row>
    <row r="924">
      <c r="A924" s="7"/>
      <c r="P924" s="7"/>
    </row>
    <row r="925">
      <c r="A925" s="7"/>
      <c r="P925" s="7"/>
    </row>
    <row r="926">
      <c r="A926" s="7"/>
      <c r="P926" s="7"/>
    </row>
    <row r="927">
      <c r="A927" s="7"/>
      <c r="P927" s="7"/>
    </row>
    <row r="928">
      <c r="A928" s="7"/>
      <c r="P928" s="7"/>
    </row>
    <row r="929">
      <c r="A929" s="7"/>
      <c r="P929" s="7"/>
    </row>
    <row r="930">
      <c r="A930" s="7"/>
      <c r="P930" s="7"/>
    </row>
    <row r="931">
      <c r="A931" s="7"/>
      <c r="P931" s="7"/>
    </row>
    <row r="932">
      <c r="A932" s="7"/>
      <c r="P932" s="7"/>
    </row>
    <row r="933">
      <c r="A933" s="7"/>
      <c r="P933" s="7"/>
    </row>
    <row r="934">
      <c r="A934" s="7"/>
      <c r="P934" s="7"/>
    </row>
    <row r="935">
      <c r="A935" s="7"/>
      <c r="P935" s="7"/>
    </row>
    <row r="936">
      <c r="A936" s="7"/>
      <c r="P936" s="7"/>
    </row>
    <row r="937">
      <c r="A937" s="7"/>
      <c r="P937" s="7"/>
    </row>
    <row r="938">
      <c r="A938" s="7"/>
      <c r="P938" s="7"/>
    </row>
    <row r="939">
      <c r="A939" s="7"/>
      <c r="P939" s="7"/>
    </row>
    <row r="940">
      <c r="A940" s="7"/>
      <c r="P940" s="7"/>
    </row>
    <row r="941">
      <c r="A941" s="7"/>
      <c r="P941" s="7"/>
    </row>
    <row r="942">
      <c r="A942" s="7"/>
      <c r="P942" s="7"/>
    </row>
    <row r="943">
      <c r="A943" s="7"/>
      <c r="P943" s="7"/>
    </row>
    <row r="944">
      <c r="A944" s="7"/>
      <c r="P944" s="7"/>
    </row>
    <row r="945">
      <c r="A945" s="7"/>
      <c r="P945" s="7"/>
    </row>
    <row r="946">
      <c r="A946" s="7"/>
      <c r="P946" s="7"/>
    </row>
    <row r="947">
      <c r="A947" s="7"/>
      <c r="P947" s="7"/>
    </row>
    <row r="948">
      <c r="A948" s="7"/>
      <c r="P948" s="7"/>
    </row>
    <row r="949">
      <c r="A949" s="7"/>
      <c r="P949" s="7"/>
    </row>
    <row r="950">
      <c r="A950" s="7"/>
      <c r="P950" s="7"/>
    </row>
    <row r="951">
      <c r="A951" s="7"/>
      <c r="P951" s="7"/>
    </row>
    <row r="952">
      <c r="A952" s="7"/>
      <c r="P952" s="7"/>
    </row>
    <row r="953">
      <c r="A953" s="7"/>
      <c r="P953" s="7"/>
    </row>
    <row r="954">
      <c r="A954" s="7"/>
      <c r="P954" s="7"/>
    </row>
    <row r="955">
      <c r="A955" s="7"/>
      <c r="P955" s="7"/>
    </row>
    <row r="956">
      <c r="A956" s="7"/>
      <c r="P956" s="7"/>
    </row>
    <row r="957">
      <c r="A957" s="7"/>
      <c r="P957" s="7"/>
    </row>
    <row r="958">
      <c r="A958" s="7"/>
      <c r="P958" s="7"/>
    </row>
    <row r="959">
      <c r="A959" s="7"/>
      <c r="P959" s="7"/>
    </row>
    <row r="960">
      <c r="A960" s="7"/>
      <c r="P960" s="7"/>
    </row>
    <row r="961">
      <c r="A961" s="7"/>
      <c r="P961" s="7"/>
    </row>
    <row r="962">
      <c r="A962" s="7"/>
      <c r="P962" s="7"/>
    </row>
    <row r="963">
      <c r="A963" s="7"/>
      <c r="P963" s="7"/>
    </row>
    <row r="964">
      <c r="A964" s="7"/>
      <c r="P964" s="7"/>
    </row>
    <row r="965">
      <c r="A965" s="7"/>
      <c r="P965" s="7"/>
    </row>
    <row r="966">
      <c r="A966" s="7"/>
      <c r="P966" s="7"/>
    </row>
    <row r="967">
      <c r="A967" s="7"/>
      <c r="P967" s="7"/>
    </row>
    <row r="968">
      <c r="A968" s="7"/>
      <c r="P968" s="7"/>
    </row>
    <row r="969">
      <c r="A969" s="7"/>
      <c r="P969" s="7"/>
    </row>
    <row r="970">
      <c r="A970" s="7"/>
      <c r="P970" s="7"/>
    </row>
    <row r="971">
      <c r="A971" s="7"/>
      <c r="P971" s="7"/>
    </row>
    <row r="972">
      <c r="A972" s="7"/>
      <c r="P972" s="7"/>
    </row>
    <row r="973">
      <c r="A973" s="7"/>
      <c r="P973" s="7"/>
    </row>
    <row r="974">
      <c r="A974" s="7"/>
      <c r="P974" s="7"/>
    </row>
    <row r="975">
      <c r="A975" s="7"/>
      <c r="P975" s="7"/>
    </row>
    <row r="976">
      <c r="A976" s="7"/>
      <c r="P976" s="7"/>
    </row>
    <row r="977">
      <c r="A977" s="7"/>
      <c r="P977" s="7"/>
    </row>
    <row r="978">
      <c r="A978" s="7"/>
      <c r="P978" s="7"/>
    </row>
    <row r="979">
      <c r="A979" s="7"/>
      <c r="P979" s="7"/>
    </row>
    <row r="980">
      <c r="A980" s="7"/>
      <c r="P980" s="7"/>
    </row>
    <row r="981">
      <c r="A981" s="7"/>
      <c r="P981" s="7"/>
    </row>
    <row r="982">
      <c r="A982" s="7"/>
      <c r="P982" s="7"/>
    </row>
    <row r="983">
      <c r="A983" s="7"/>
      <c r="P983" s="7"/>
    </row>
    <row r="984">
      <c r="A984" s="7"/>
      <c r="P984" s="7"/>
    </row>
    <row r="985">
      <c r="A985" s="7"/>
      <c r="P985" s="7"/>
    </row>
    <row r="986">
      <c r="A986" s="7"/>
      <c r="P986" s="7"/>
    </row>
    <row r="987">
      <c r="A987" s="7"/>
      <c r="P987" s="7"/>
    </row>
    <row r="988">
      <c r="A988" s="7"/>
      <c r="P988" s="7"/>
    </row>
    <row r="989">
      <c r="A989" s="7"/>
      <c r="P989" s="7"/>
    </row>
    <row r="990">
      <c r="A990" s="7"/>
      <c r="P990" s="7"/>
    </row>
    <row r="991">
      <c r="A991" s="7"/>
      <c r="P991" s="7"/>
    </row>
    <row r="992">
      <c r="A992" s="7"/>
      <c r="P992" s="7"/>
    </row>
    <row r="993">
      <c r="A993" s="7"/>
      <c r="P993" s="7"/>
    </row>
    <row r="994">
      <c r="A994" s="7"/>
      <c r="P994" s="7"/>
    </row>
    <row r="995">
      <c r="A995" s="7"/>
      <c r="P995" s="7"/>
    </row>
    <row r="996">
      <c r="A996" s="7"/>
      <c r="P996" s="7"/>
    </row>
    <row r="997">
      <c r="A997" s="7"/>
      <c r="P997" s="7"/>
    </row>
    <row r="998">
      <c r="A998" s="7"/>
      <c r="P998" s="7"/>
    </row>
    <row r="999">
      <c r="A999" s="7"/>
      <c r="P999" s="7"/>
    </row>
    <row r="1000">
      <c r="A1000" s="7"/>
      <c r="P1000" s="7"/>
    </row>
  </sheetData>
  <hyperlinks>
    <hyperlink r:id="rId1" ref="K2"/>
    <hyperlink r:id="rId2" ref="K4"/>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6.75"/>
    <col customWidth="1" min="3" max="3" width="14.0"/>
    <col customWidth="1" min="4" max="4" width="9.38"/>
    <col customWidth="1" min="5" max="5" width="19.0"/>
    <col customWidth="1" min="6" max="6" width="3.63"/>
    <col customWidth="1" min="7" max="7" width="4.5"/>
    <col customWidth="1" min="8" max="8" width="17.0"/>
    <col customWidth="1" min="9" max="9" width="4.5"/>
    <col customWidth="1" min="10" max="10" width="16.5"/>
    <col customWidth="1" min="11" max="11" width="7.25"/>
    <col customWidth="1" min="12" max="12" width="11.25"/>
    <col customWidth="1" min="13" max="13" width="25.5"/>
  </cols>
  <sheetData>
    <row r="1">
      <c r="A1" s="6" t="s">
        <v>0</v>
      </c>
      <c r="B1" s="6" t="s">
        <v>22</v>
      </c>
      <c r="C1" s="6" t="s">
        <v>3</v>
      </c>
      <c r="D1" s="6" t="s">
        <v>4</v>
      </c>
      <c r="E1" s="6" t="s">
        <v>14</v>
      </c>
      <c r="F1" s="6" t="s">
        <v>6</v>
      </c>
      <c r="G1" s="6" t="s">
        <v>7</v>
      </c>
      <c r="H1" s="6" t="s">
        <v>16</v>
      </c>
      <c r="I1" s="6" t="s">
        <v>8</v>
      </c>
      <c r="J1" s="6" t="s">
        <v>10</v>
      </c>
      <c r="K1" s="6" t="s">
        <v>11</v>
      </c>
      <c r="L1" s="6" t="s">
        <v>12</v>
      </c>
      <c r="M1" s="7" t="str">
        <f>IFERROR(__xludf.DUMMYFUNCTION("ArrayFormula(IF(LEN(L:L),if(ROW(L:L)=1,""Tanggal Approved"",vlookup(B:B,importrange(""1pu4PTNY0DwxqnxT6B1IOshB45EM_Ul3WONUVl73rw4Y"",""Salinan Gform!B:F""),5,0)),))"),"Tanggal Approved")</f>
        <v>Tanggal Approved</v>
      </c>
    </row>
    <row r="2">
      <c r="A2" s="4">
        <f>IFERROR(__xludf.DUMMYFUNCTION("if(isna(filter('All JA BQ'!A:L,'All JA BQ'!J:J=""Approve"",'All JA BQ'!K:K=""Normal"")),"""",filter('All JA BQ'!A:L,'All JA BQ'!J:J=""Approve"",'All JA BQ'!K:K=""Normal""))"),45698.64258170139)</f>
        <v>45698.64258</v>
      </c>
      <c r="B2" s="3" t="str">
        <f>IFERROR(__xludf.DUMMYFUNCTION("""COMPUTED_VALUE"""),"SFHJA0001")</f>
        <v>SFHJA0001</v>
      </c>
      <c r="C2" s="3" t="str">
        <f>IFERROR(__xludf.DUMMYFUNCTION("""COMPUTED_VALUE"""),"EJO/2025/01/13")</f>
        <v>EJO/2025/01/13</v>
      </c>
      <c r="D2" s="3" t="str">
        <f>IFERROR(__xludf.DUMMYFUNCTION("""COMPUTED_VALUE"""),"AHU ruang fresh air")</f>
        <v>AHU ruang fresh air</v>
      </c>
      <c r="E2" s="3" t="str">
        <f>IFERROR(__xludf.DUMMYFUNCTION("""COMPUTED_VALUE"""),"pemasangan mesh protector")</f>
        <v>pemasangan mesh protector</v>
      </c>
      <c r="F2" s="3">
        <f>IFERROR(__xludf.DUMMYFUNCTION("""COMPUTED_VALUE"""),1.0)</f>
        <v>1</v>
      </c>
      <c r="G2" s="3" t="str">
        <f>IFERROR(__xludf.DUMMYFUNCTION("""COMPUTED_VALUE"""),"Lot")</f>
        <v>Lot</v>
      </c>
      <c r="H2" s="3" t="str">
        <f>IFERROR(__xludf.DUMMYFUNCTION("""COMPUTED_VALUE"""),"135. Ganti Mesh Protector Ruang Fresh Air.pdf")</f>
        <v>135. Ganti Mesh Protector Ruang Fresh Air.pdf</v>
      </c>
      <c r="I2" s="3" t="str">
        <f>IFERROR(__xludf.DUMMYFUNCTION("""COMPUTED_VALUE"""),"-")</f>
        <v>-</v>
      </c>
      <c r="J2" s="3" t="str">
        <f>IFERROR(__xludf.DUMMYFUNCTION("""COMPUTED_VALUE"""),"Approve")</f>
        <v>Approve</v>
      </c>
      <c r="K2" s="3" t="str">
        <f>IFERROR(__xludf.DUMMYFUNCTION("""COMPUTED_VALUE"""),"Normal")</f>
        <v>Normal</v>
      </c>
      <c r="L2" s="3" t="str">
        <f>IFERROR(__xludf.DUMMYFUNCTION("""COMPUTED_VALUE"""),"Non Urgent")</f>
        <v>Non Urgent</v>
      </c>
      <c r="M2" s="7">
        <f>IFERROR(__xludf.DUMMYFUNCTION("""COMPUTED_VALUE"""),45707.52329038194)</f>
        <v>45707.52329</v>
      </c>
    </row>
    <row r="3">
      <c r="A3" s="4">
        <f>IFERROR(__xludf.DUMMYFUNCTION("""COMPUTED_VALUE"""),45723.69347403935)</f>
        <v>45723.69347</v>
      </c>
      <c r="B3" s="3" t="str">
        <f>IFERROR(__xludf.DUMMYFUNCTION("""COMPUTED_VALUE"""),"RIAJA0001")</f>
        <v>RIAJA0001</v>
      </c>
      <c r="C3" s="3" t="str">
        <f>IFERROR(__xludf.DUMMYFUNCTION("""COMPUTED_VALUE"""),"EJO/2025/03/86")</f>
        <v>EJO/2025/03/86</v>
      </c>
      <c r="D3" s="3" t="str">
        <f>IFERROR(__xludf.DUMMYFUNCTION("""COMPUTED_VALUE"""),"PSG")</f>
        <v>PSG</v>
      </c>
      <c r="E3" s="3" t="str">
        <f>IFERROR(__xludf.DUMMYFUNCTION("""COMPUTED_VALUE"""),"Scalling kolom PSG")</f>
        <v>Scalling kolom PSG</v>
      </c>
      <c r="F3" s="3">
        <f>IFERROR(__xludf.DUMMYFUNCTION("""COMPUTED_VALUE"""),1.0)</f>
        <v>1</v>
      </c>
      <c r="G3" s="3" t="str">
        <f>IFERROR(__xludf.DUMMYFUNCTION("""COMPUTED_VALUE"""),"Set")</f>
        <v>Set</v>
      </c>
      <c r="H3" s="5" t="str">
        <f>IFERROR(__xludf.DUMMYFUNCTION("""COMPUTED_VALUE"""),"https://drive.google.com/drive/folders/1PmXhE0uaWBmdrU38AYtA6RWQzZeilTrR?usp=sharing")</f>
        <v>https://drive.google.com/drive/folders/1PmXhE0uaWBmdrU38AYtA6RWQzZeilTrR?usp=sharing</v>
      </c>
      <c r="I3" s="3" t="str">
        <f>IFERROR(__xludf.DUMMYFUNCTION("""COMPUTED_VALUE"""),"Terdapat 2 penawaran sebagai pembanding ")</f>
        <v>Terdapat 2 penawaran sebagai pembanding </v>
      </c>
      <c r="J3" s="3" t="str">
        <f>IFERROR(__xludf.DUMMYFUNCTION("""COMPUTED_VALUE"""),"Approve")</f>
        <v>Approve</v>
      </c>
      <c r="K3" s="3" t="str">
        <f>IFERROR(__xludf.DUMMYFUNCTION("""COMPUTED_VALUE"""),"Normal")</f>
        <v>Normal</v>
      </c>
      <c r="L3" s="3" t="str">
        <f>IFERROR(__xludf.DUMMYFUNCTION("""COMPUTED_VALUE"""),"Non Urgent")</f>
        <v>Non Urgent</v>
      </c>
      <c r="M3" s="7">
        <f>IFERROR(__xludf.DUMMYFUNCTION("""COMPUTED_VALUE"""),45762.50549293982)</f>
        <v>45762.50549</v>
      </c>
    </row>
    <row r="4">
      <c r="A4" s="4">
        <f>IFERROR(__xludf.DUMMYFUNCTION("""COMPUTED_VALUE"""),45755.25540655093)</f>
        <v>45755.25541</v>
      </c>
      <c r="B4" s="3" t="str">
        <f>IFERROR(__xludf.DUMMYFUNCTION("""COMPUTED_VALUE"""),"MFHJA0001")</f>
        <v>MFHJA0001</v>
      </c>
      <c r="C4" s="3" t="str">
        <f>IFERROR(__xludf.DUMMYFUNCTION("""COMPUTED_VALUE"""),"-")</f>
        <v>-</v>
      </c>
      <c r="D4" s="3" t="str">
        <f>IFERROR(__xludf.DUMMYFUNCTION("""COMPUTED_VALUE"""),"Tunnel")</f>
        <v>Tunnel</v>
      </c>
      <c r="E4" s="3" t="str">
        <f>IFERROR(__xludf.DUMMYFUNCTION("""COMPUTED_VALUE"""),"Rewinding Motor dan Fan")</f>
        <v>Rewinding Motor dan Fan</v>
      </c>
      <c r="F4" s="3">
        <f>IFERROR(__xludf.DUMMYFUNCTION("""COMPUTED_VALUE"""),1.0)</f>
        <v>1</v>
      </c>
      <c r="G4" s="3" t="str">
        <f>IFERROR(__xludf.DUMMYFUNCTION("""COMPUTED_VALUE"""),"Lot")</f>
        <v>Lot</v>
      </c>
      <c r="H4" s="3" t="str">
        <f>IFERROR(__xludf.DUMMYFUNCTION("""COMPUTED_VALUE"""),"PR 121702323")</f>
        <v>PR 121702323</v>
      </c>
      <c r="I4" s="3" t="str">
        <f>IFERROR(__xludf.DUMMYFUNCTION("""COMPUTED_VALUE"""),"-")</f>
        <v>-</v>
      </c>
      <c r="J4" s="3" t="str">
        <f>IFERROR(__xludf.DUMMYFUNCTION("""COMPUTED_VALUE"""),"Approve")</f>
        <v>Approve</v>
      </c>
      <c r="K4" s="3" t="str">
        <f>IFERROR(__xludf.DUMMYFUNCTION("""COMPUTED_VALUE"""),"Normal")</f>
        <v>Normal</v>
      </c>
      <c r="L4" s="3" t="str">
        <f>IFERROR(__xludf.DUMMYFUNCTION("""COMPUTED_VALUE"""),"Non Urgent")</f>
        <v>Non Urgent</v>
      </c>
      <c r="M4" s="7">
        <f>IFERROR(__xludf.DUMMYFUNCTION("""COMPUTED_VALUE"""),45756.245849768515)</f>
        <v>45756.24585</v>
      </c>
    </row>
    <row r="5">
      <c r="A5" s="4">
        <f>IFERROR(__xludf.DUMMYFUNCTION("""COMPUTED_VALUE"""),45755.32267778935)</f>
        <v>45755.32268</v>
      </c>
      <c r="B5" s="3" t="str">
        <f>IFERROR(__xludf.DUMMYFUNCTION("""COMPUTED_VALUE"""),"MFHJA0002")</f>
        <v>MFHJA0002</v>
      </c>
      <c r="C5" s="3" t="str">
        <f>IFERROR(__xludf.DUMMYFUNCTION("""COMPUTED_VALUE"""),"-")</f>
        <v>-</v>
      </c>
      <c r="D5" s="3" t="str">
        <f>IFERROR(__xludf.DUMMYFUNCTION("""COMPUTED_VALUE"""),"Chamber")</f>
        <v>Chamber</v>
      </c>
      <c r="E5" s="3" t="str">
        <f>IFERROR(__xludf.DUMMYFUNCTION("""COMPUTED_VALUE"""),"Bobok dinding akses chamber masuk")</f>
        <v>Bobok dinding akses chamber masuk</v>
      </c>
      <c r="F5" s="3">
        <f>IFERROR(__xludf.DUMMYFUNCTION("""COMPUTED_VALUE"""),1.0)</f>
        <v>1</v>
      </c>
      <c r="G5" s="3" t="str">
        <f>IFERROR(__xludf.DUMMYFUNCTION("""COMPUTED_VALUE"""),"Lot")</f>
        <v>Lot</v>
      </c>
      <c r="H5" s="3" t="str">
        <f>IFERROR(__xludf.DUMMYFUNCTION("""COMPUTED_VALUE"""),"PR 121702382")</f>
        <v>PR 121702382</v>
      </c>
      <c r="I5" s="3" t="str">
        <f>IFERROR(__xludf.DUMMYFUNCTION("""COMPUTED_VALUE"""),"-")</f>
        <v>-</v>
      </c>
      <c r="J5" s="3" t="str">
        <f>IFERROR(__xludf.DUMMYFUNCTION("""COMPUTED_VALUE"""),"Approve")</f>
        <v>Approve</v>
      </c>
      <c r="K5" s="3" t="str">
        <f>IFERROR(__xludf.DUMMYFUNCTION("""COMPUTED_VALUE"""),"Normal")</f>
        <v>Normal</v>
      </c>
      <c r="L5" s="3" t="str">
        <f>IFERROR(__xludf.DUMMYFUNCTION("""COMPUTED_VALUE"""),"Non Urgent")</f>
        <v>Non Urgent</v>
      </c>
      <c r="M5" s="7">
        <f>IFERROR(__xludf.DUMMYFUNCTION("""COMPUTED_VALUE"""),45756.24596726852)</f>
        <v>45756.24597</v>
      </c>
    </row>
    <row r="6">
      <c r="A6" s="4">
        <f>IFERROR(__xludf.DUMMYFUNCTION("""COMPUTED_VALUE"""),45755.329314421295)</f>
        <v>45755.32931</v>
      </c>
      <c r="B6" s="3" t="str">
        <f>IFERROR(__xludf.DUMMYFUNCTION("""COMPUTED_VALUE"""),"MFHJA0003")</f>
        <v>MFHJA0003</v>
      </c>
      <c r="C6" s="3" t="str">
        <f>IFERROR(__xludf.DUMMYFUNCTION("""COMPUTED_VALUE"""),"-")</f>
        <v>-</v>
      </c>
      <c r="D6" s="3" t="str">
        <f>IFERROR(__xludf.DUMMYFUNCTION("""COMPUTED_VALUE"""),"Kulkas GEA")</f>
        <v>Kulkas GEA</v>
      </c>
      <c r="E6" s="3" t="str">
        <f>IFERROR(__xludf.DUMMYFUNCTION("""COMPUTED_VALUE"""),"Repair Kulkas GEA")</f>
        <v>Repair Kulkas GEA</v>
      </c>
      <c r="F6" s="3">
        <f>IFERROR(__xludf.DUMMYFUNCTION("""COMPUTED_VALUE"""),1.0)</f>
        <v>1</v>
      </c>
      <c r="G6" s="3" t="str">
        <f>IFERROR(__xludf.DUMMYFUNCTION("""COMPUTED_VALUE"""),"Lot")</f>
        <v>Lot</v>
      </c>
      <c r="H6" s="3" t="str">
        <f>IFERROR(__xludf.DUMMYFUNCTION("""COMPUTED_VALUE"""),"PR 121702439")</f>
        <v>PR 121702439</v>
      </c>
      <c r="I6" s="3" t="str">
        <f>IFERROR(__xludf.DUMMYFUNCTION("""COMPUTED_VALUE"""),"-")</f>
        <v>-</v>
      </c>
      <c r="J6" s="3" t="str">
        <f>IFERROR(__xludf.DUMMYFUNCTION("""COMPUTED_VALUE"""),"Approve")</f>
        <v>Approve</v>
      </c>
      <c r="K6" s="3" t="str">
        <f>IFERROR(__xludf.DUMMYFUNCTION("""COMPUTED_VALUE"""),"Normal")</f>
        <v>Normal</v>
      </c>
      <c r="L6" s="3" t="str">
        <f>IFERROR(__xludf.DUMMYFUNCTION("""COMPUTED_VALUE"""),"Non Urgent")</f>
        <v>Non Urgent</v>
      </c>
      <c r="M6" s="7">
        <f>IFERROR(__xludf.DUMMYFUNCTION("""COMPUTED_VALUE"""),45756.246135416666)</f>
        <v>45756.24614</v>
      </c>
    </row>
    <row r="7">
      <c r="A7" s="4">
        <f>IFERROR(__xludf.DUMMYFUNCTION("""COMPUTED_VALUE"""),45755.39125409722)</f>
        <v>45755.39125</v>
      </c>
      <c r="B7" s="3" t="str">
        <f>IFERROR(__xludf.DUMMYFUNCTION("""COMPUTED_VALUE"""),"MFHJA0004")</f>
        <v>MFHJA0004</v>
      </c>
      <c r="C7" s="3" t="str">
        <f>IFERROR(__xludf.DUMMYFUNCTION("""COMPUTED_VALUE"""),"-")</f>
        <v>-</v>
      </c>
      <c r="D7" s="3" t="str">
        <f>IFERROR(__xludf.DUMMYFUNCTION("""COMPUTED_VALUE"""),"Velo")</f>
        <v>Velo</v>
      </c>
      <c r="E7" s="3" t="str">
        <f>IFERROR(__xludf.DUMMYFUNCTION("""COMPUTED_VALUE"""),"Perbaikan dan repair Velo")</f>
        <v>Perbaikan dan repair Velo</v>
      </c>
      <c r="F7" s="3">
        <f>IFERROR(__xludf.DUMMYFUNCTION("""COMPUTED_VALUE"""),1.0)</f>
        <v>1</v>
      </c>
      <c r="G7" s="3" t="str">
        <f>IFERROR(__xludf.DUMMYFUNCTION("""COMPUTED_VALUE"""),"Lot")</f>
        <v>Lot</v>
      </c>
      <c r="H7" s="3" t="str">
        <f>IFERROR(__xludf.DUMMYFUNCTION("""COMPUTED_VALUE"""),"PR 121702444")</f>
        <v>PR 121702444</v>
      </c>
      <c r="I7" s="3" t="str">
        <f>IFERROR(__xludf.DUMMYFUNCTION("""COMPUTED_VALUE"""),"-")</f>
        <v>-</v>
      </c>
      <c r="J7" s="3" t="str">
        <f>IFERROR(__xludf.DUMMYFUNCTION("""COMPUTED_VALUE"""),"Approve")</f>
        <v>Approve</v>
      </c>
      <c r="K7" s="3" t="str">
        <f>IFERROR(__xludf.DUMMYFUNCTION("""COMPUTED_VALUE"""),"Normal")</f>
        <v>Normal</v>
      </c>
      <c r="L7" s="3" t="str">
        <f>IFERROR(__xludf.DUMMYFUNCTION("""COMPUTED_VALUE"""),"Non Urgent")</f>
        <v>Non Urgent</v>
      </c>
      <c r="M7" s="7">
        <f>IFERROR(__xludf.DUMMYFUNCTION("""COMPUTED_VALUE"""),45756.24622922453)</f>
        <v>45756.24623</v>
      </c>
    </row>
    <row r="8">
      <c r="A8" s="4">
        <f>IFERROR(__xludf.DUMMYFUNCTION("""COMPUTED_VALUE"""),45755.40082490741)</f>
        <v>45755.40082</v>
      </c>
      <c r="B8" s="3" t="str">
        <f>IFERROR(__xludf.DUMMYFUNCTION("""COMPUTED_VALUE"""),"MFHJA0005")</f>
        <v>MFHJA0005</v>
      </c>
      <c r="C8" s="3" t="str">
        <f>IFERROR(__xludf.DUMMYFUNCTION("""COMPUTED_VALUE"""),"-")</f>
        <v>-</v>
      </c>
      <c r="D8" s="3" t="str">
        <f>IFERROR(__xludf.DUMMYFUNCTION("""COMPUTED_VALUE"""),"FD")</f>
        <v>FD</v>
      </c>
      <c r="E8" s="3" t="str">
        <f>IFERROR(__xludf.DUMMYFUNCTION("""COMPUTED_VALUE"""),"Pembuatan Tee Reducer untuk Sampling")</f>
        <v>Pembuatan Tee Reducer untuk Sampling</v>
      </c>
      <c r="F8" s="3">
        <f>IFERROR(__xludf.DUMMYFUNCTION("""COMPUTED_VALUE"""),1.0)</f>
        <v>1</v>
      </c>
      <c r="G8" s="3" t="str">
        <f>IFERROR(__xludf.DUMMYFUNCTION("""COMPUTED_VALUE"""),"Lot")</f>
        <v>Lot</v>
      </c>
      <c r="H8" s="3" t="str">
        <f>IFERROR(__xludf.DUMMYFUNCTION("""COMPUTED_VALUE"""),"PR 121702474")</f>
        <v>PR 121702474</v>
      </c>
      <c r="I8" s="3" t="str">
        <f>IFERROR(__xludf.DUMMYFUNCTION("""COMPUTED_VALUE"""),"-")</f>
        <v>-</v>
      </c>
      <c r="J8" s="3" t="str">
        <f>IFERROR(__xludf.DUMMYFUNCTION("""COMPUTED_VALUE"""),"Approve")</f>
        <v>Approve</v>
      </c>
      <c r="K8" s="3" t="str">
        <f>IFERROR(__xludf.DUMMYFUNCTION("""COMPUTED_VALUE"""),"Normal")</f>
        <v>Normal</v>
      </c>
      <c r="L8" s="3" t="str">
        <f>IFERROR(__xludf.DUMMYFUNCTION("""COMPUTED_VALUE"""),"Non Urgent")</f>
        <v>Non Urgent</v>
      </c>
      <c r="M8" s="7">
        <f>IFERROR(__xludf.DUMMYFUNCTION("""COMPUTED_VALUE"""),45756.24633184027)</f>
        <v>45756.24633</v>
      </c>
    </row>
    <row r="9">
      <c r="A9" s="4">
        <f>IFERROR(__xludf.DUMMYFUNCTION("""COMPUTED_VALUE"""),45755.44509273148)</f>
        <v>45755.44509</v>
      </c>
      <c r="B9" s="3" t="str">
        <f>IFERROR(__xludf.DUMMYFUNCTION("""COMPUTED_VALUE"""),"MFHJA0006")</f>
        <v>MFHJA0006</v>
      </c>
      <c r="C9" s="3" t="str">
        <f>IFERROR(__xludf.DUMMYFUNCTION("""COMPUTED_VALUE"""),"-")</f>
        <v>-</v>
      </c>
      <c r="D9" s="3" t="str">
        <f>IFERROR(__xludf.DUMMYFUNCTION("""COMPUTED_VALUE"""),"BoD")</f>
        <v>BoD</v>
      </c>
      <c r="E9" s="3" t="str">
        <f>IFERROR(__xludf.DUMMYFUNCTION("""COMPUTED_VALUE"""),"Perbaikan Kompresor BoD")</f>
        <v>Perbaikan Kompresor BoD</v>
      </c>
      <c r="F9" s="3">
        <f>IFERROR(__xludf.DUMMYFUNCTION("""COMPUTED_VALUE"""),1.0)</f>
        <v>1</v>
      </c>
      <c r="G9" s="3" t="str">
        <f>IFERROR(__xludf.DUMMYFUNCTION("""COMPUTED_VALUE"""),"Lot")</f>
        <v>Lot</v>
      </c>
      <c r="H9" s="3" t="str">
        <f>IFERROR(__xludf.DUMMYFUNCTION("""COMPUTED_VALUE"""),"PR 121702501")</f>
        <v>PR 121702501</v>
      </c>
      <c r="I9" s="3" t="str">
        <f>IFERROR(__xludf.DUMMYFUNCTION("""COMPUTED_VALUE"""),"-")</f>
        <v>-</v>
      </c>
      <c r="J9" s="3" t="str">
        <f>IFERROR(__xludf.DUMMYFUNCTION("""COMPUTED_VALUE"""),"Approve")</f>
        <v>Approve</v>
      </c>
      <c r="K9" s="3" t="str">
        <f>IFERROR(__xludf.DUMMYFUNCTION("""COMPUTED_VALUE"""),"Normal")</f>
        <v>Normal</v>
      </c>
      <c r="L9" s="3" t="str">
        <f>IFERROR(__xludf.DUMMYFUNCTION("""COMPUTED_VALUE"""),"Non Urgent")</f>
        <v>Non Urgent</v>
      </c>
      <c r="M9" s="7">
        <f>IFERROR(__xludf.DUMMYFUNCTION("""COMPUTED_VALUE"""),45756.24642502315)</f>
        <v>45756.24643</v>
      </c>
    </row>
    <row r="10">
      <c r="A10" s="4">
        <f>IFERROR(__xludf.DUMMYFUNCTION("""COMPUTED_VALUE"""),45755.44680806713)</f>
        <v>45755.44681</v>
      </c>
      <c r="B10" s="3" t="str">
        <f>IFERROR(__xludf.DUMMYFUNCTION("""COMPUTED_VALUE"""),"MFHJA0007")</f>
        <v>MFHJA0007</v>
      </c>
      <c r="C10" s="3" t="str">
        <f>IFERROR(__xludf.DUMMYFUNCTION("""COMPUTED_VALUE"""),"-")</f>
        <v>-</v>
      </c>
      <c r="D10" s="3" t="str">
        <f>IFERROR(__xludf.DUMMYFUNCTION("""COMPUTED_VALUE"""),"Capping")</f>
        <v>Capping</v>
      </c>
      <c r="E10" s="3" t="str">
        <f>IFERROR(__xludf.DUMMYFUNCTION("""COMPUTED_VALUE"""),"Modiufikasi Caps Chute")</f>
        <v>Modiufikasi Caps Chute</v>
      </c>
      <c r="F10" s="3">
        <f>IFERROR(__xludf.DUMMYFUNCTION("""COMPUTED_VALUE"""),1.0)</f>
        <v>1</v>
      </c>
      <c r="G10" s="3" t="str">
        <f>IFERROR(__xludf.DUMMYFUNCTION("""COMPUTED_VALUE"""),"Lot")</f>
        <v>Lot</v>
      </c>
      <c r="H10" s="3" t="str">
        <f>IFERROR(__xludf.DUMMYFUNCTION("""COMPUTED_VALUE"""),"PR 121702552")</f>
        <v>PR 121702552</v>
      </c>
      <c r="I10" s="3" t="str">
        <f>IFERROR(__xludf.DUMMYFUNCTION("""COMPUTED_VALUE"""),"-")</f>
        <v>-</v>
      </c>
      <c r="J10" s="3" t="str">
        <f>IFERROR(__xludf.DUMMYFUNCTION("""COMPUTED_VALUE"""),"Approve")</f>
        <v>Approve</v>
      </c>
      <c r="K10" s="3" t="str">
        <f>IFERROR(__xludf.DUMMYFUNCTION("""COMPUTED_VALUE"""),"Normal")</f>
        <v>Normal</v>
      </c>
      <c r="L10" s="3" t="str">
        <f>IFERROR(__xludf.DUMMYFUNCTION("""COMPUTED_VALUE"""),"Non Urgent")</f>
        <v>Non Urgent</v>
      </c>
      <c r="M10" s="7">
        <f>IFERROR(__xludf.DUMMYFUNCTION("""COMPUTED_VALUE"""),45756.24654129629)</f>
        <v>45756.24654</v>
      </c>
    </row>
    <row r="11">
      <c r="A11" s="4">
        <f>IFERROR(__xludf.DUMMYFUNCTION("""COMPUTED_VALUE"""),45756.230366331016)</f>
        <v>45756.23037</v>
      </c>
      <c r="B11" s="3" t="str">
        <f>IFERROR(__xludf.DUMMYFUNCTION("""COMPUTED_VALUE"""),"MFHJA0008")</f>
        <v>MFHJA0008</v>
      </c>
      <c r="C11" s="3" t="str">
        <f>IFERROR(__xludf.DUMMYFUNCTION("""COMPUTED_VALUE"""),"-")</f>
        <v>-</v>
      </c>
      <c r="D11" s="3" t="str">
        <f>IFERROR(__xludf.DUMMYFUNCTION("""COMPUTED_VALUE"""),"FD")</f>
        <v>FD</v>
      </c>
      <c r="E11" s="3" t="str">
        <f>IFERROR(__xludf.DUMMYFUNCTION("""COMPUTED_VALUE"""),"Remote Vacuum FD")</f>
        <v>Remote Vacuum FD</v>
      </c>
      <c r="F11" s="3">
        <f>IFERROR(__xludf.DUMMYFUNCTION("""COMPUTED_VALUE"""),1.0)</f>
        <v>1</v>
      </c>
      <c r="G11" s="3" t="str">
        <f>IFERROR(__xludf.DUMMYFUNCTION("""COMPUTED_VALUE"""),"Lot")</f>
        <v>Lot</v>
      </c>
      <c r="H11" s="3" t="str">
        <f>IFERROR(__xludf.DUMMYFUNCTION("""COMPUTED_VALUE"""),"Email Pak Kris")</f>
        <v>Email Pak Kris</v>
      </c>
      <c r="I11" s="3" t="str">
        <f>IFERROR(__xludf.DUMMYFUNCTION("""COMPUTED_VALUE"""),"-")</f>
        <v>-</v>
      </c>
      <c r="J11" s="3" t="str">
        <f>IFERROR(__xludf.DUMMYFUNCTION("""COMPUTED_VALUE"""),"Approve")</f>
        <v>Approve</v>
      </c>
      <c r="K11" s="3" t="str">
        <f>IFERROR(__xludf.DUMMYFUNCTION("""COMPUTED_VALUE"""),"Normal")</f>
        <v>Normal</v>
      </c>
      <c r="L11" s="3" t="str">
        <f>IFERROR(__xludf.DUMMYFUNCTION("""COMPUTED_VALUE"""),"Non Urgent")</f>
        <v>Non Urgent</v>
      </c>
      <c r="M11" s="7">
        <f>IFERROR(__xludf.DUMMYFUNCTION("""COMPUTED_VALUE"""),45756.246648541666)</f>
        <v>45756.24665</v>
      </c>
    </row>
    <row r="12">
      <c r="A12" s="4">
        <f>IFERROR(__xludf.DUMMYFUNCTION("""COMPUTED_VALUE"""),45756.23275263889)</f>
        <v>45756.23275</v>
      </c>
      <c r="B12" s="3" t="str">
        <f>IFERROR(__xludf.DUMMYFUNCTION("""COMPUTED_VALUE"""),"MFHJA0009")</f>
        <v>MFHJA0009</v>
      </c>
      <c r="C12" s="3" t="str">
        <f>IFERROR(__xludf.DUMMYFUNCTION("""COMPUTED_VALUE"""),"EJO/2025/04/133")</f>
        <v>EJO/2025/04/133</v>
      </c>
      <c r="D12" s="3" t="str">
        <f>IFERROR(__xludf.DUMMYFUNCTION("""COMPUTED_VALUE"""),"Building")</f>
        <v>Building</v>
      </c>
      <c r="E12" s="3" t="str">
        <f>IFERROR(__xludf.DUMMYFUNCTION("""COMPUTED_VALUE"""),"Pengecekan Panel BAS")</f>
        <v>Pengecekan Panel BAS</v>
      </c>
      <c r="F12" s="3">
        <f>IFERROR(__xludf.DUMMYFUNCTION("""COMPUTED_VALUE"""),1.0)</f>
        <v>1</v>
      </c>
      <c r="G12" s="3" t="str">
        <f>IFERROR(__xludf.DUMMYFUNCTION("""COMPUTED_VALUE"""),"Lot")</f>
        <v>Lot</v>
      </c>
      <c r="H12" s="3" t="str">
        <f>IFERROR(__xludf.DUMMYFUNCTION("""COMPUTED_VALUE"""),"WA Reza")</f>
        <v>WA Reza</v>
      </c>
      <c r="I12" s="3" t="str">
        <f>IFERROR(__xludf.DUMMYFUNCTION("""COMPUTED_VALUE"""),"-")</f>
        <v>-</v>
      </c>
      <c r="J12" s="3" t="str">
        <f>IFERROR(__xludf.DUMMYFUNCTION("""COMPUTED_VALUE"""),"Approve")</f>
        <v>Approve</v>
      </c>
      <c r="K12" s="3" t="str">
        <f>IFERROR(__xludf.DUMMYFUNCTION("""COMPUTED_VALUE"""),"Normal")</f>
        <v>Normal</v>
      </c>
      <c r="L12" s="3" t="str">
        <f>IFERROR(__xludf.DUMMYFUNCTION("""COMPUTED_VALUE"""),"Non Urgent")</f>
        <v>Non Urgent</v>
      </c>
      <c r="M12" s="7">
        <f>IFERROR(__xludf.DUMMYFUNCTION("""COMPUTED_VALUE"""),45756.246745763885)</f>
        <v>45756.24675</v>
      </c>
    </row>
    <row r="13">
      <c r="A13" s="4">
        <f>IFERROR(__xludf.DUMMYFUNCTION("""COMPUTED_VALUE"""),45763.68544725695)</f>
        <v>45763.68545</v>
      </c>
      <c r="B13" s="3" t="str">
        <f>IFERROR(__xludf.DUMMYFUNCTION("""COMPUTED_VALUE"""),"RIAJA0002")</f>
        <v>RIAJA0002</v>
      </c>
      <c r="C13" s="3" t="str">
        <f>IFERROR(__xludf.DUMMYFUNCTION("""COMPUTED_VALUE"""),"EJO/2025/03/45")</f>
        <v>EJO/2025/03/45</v>
      </c>
      <c r="D13" s="3" t="str">
        <f>IFERROR(__xludf.DUMMYFUNCTION("""COMPUTED_VALUE"""),"TOC PW SKID")</f>
        <v>TOC PW SKID</v>
      </c>
      <c r="E13" s="3" t="str">
        <f>IFERROR(__xludf.DUMMYFUNCTION("""COMPUTED_VALUE"""),"Repair Pompa TOC PW SKID")</f>
        <v>Repair Pompa TOC PW SKID</v>
      </c>
      <c r="F13" s="3">
        <f>IFERROR(__xludf.DUMMYFUNCTION("""COMPUTED_VALUE"""),1.0)</f>
        <v>1</v>
      </c>
      <c r="G13" s="3" t="str">
        <f>IFERROR(__xludf.DUMMYFUNCTION("""COMPUTED_VALUE"""),"Set")</f>
        <v>Set</v>
      </c>
      <c r="H13" s="3" t="str">
        <f>IFERROR(__xludf.DUMMYFUNCTION("""COMPUTED_VALUE"""),"Sale Quotation - PT. FONKO INTERNATIONAL PHARMACEUTICALS - SQ_2025_03_00748.pdf")</f>
        <v>Sale Quotation - PT. FONKO INTERNATIONAL PHARMACEUTICALS - SQ_2025_03_00748.pdf</v>
      </c>
      <c r="I13" s="3" t="str">
        <f>IFERROR(__xludf.DUMMYFUNCTION("""COMPUTED_VALUE"""),"Jasa perbaikan pompa TOC PW SKID")</f>
        <v>Jasa perbaikan pompa TOC PW SKID</v>
      </c>
      <c r="J13" s="3" t="str">
        <f>IFERROR(__xludf.DUMMYFUNCTION("""COMPUTED_VALUE"""),"Approve")</f>
        <v>Approve</v>
      </c>
      <c r="K13" s="3" t="str">
        <f>IFERROR(__xludf.DUMMYFUNCTION("""COMPUTED_VALUE"""),"Normal")</f>
        <v>Normal</v>
      </c>
      <c r="L13" s="3" t="str">
        <f>IFERROR(__xludf.DUMMYFUNCTION("""COMPUTED_VALUE"""),"Non Urgent")</f>
        <v>Non Urgent</v>
      </c>
      <c r="M13" s="7">
        <f>IFERROR(__xludf.DUMMYFUNCTION("""COMPUTED_VALUE"""),45768.64324135416)</f>
        <v>45768.64324</v>
      </c>
    </row>
    <row r="14">
      <c r="A14" s="4">
        <f>IFERROR(__xludf.DUMMYFUNCTION("""COMPUTED_VALUE"""),45764.683287789354)</f>
        <v>45764.68329</v>
      </c>
      <c r="B14" s="3" t="str">
        <f>IFERROR(__xludf.DUMMYFUNCTION("""COMPUTED_VALUE"""),"INNJA0001")</f>
        <v>INNJA0001</v>
      </c>
      <c r="C14" s="3" t="str">
        <f>IFERROR(__xludf.DUMMYFUNCTION("""COMPUTED_VALUE"""),"EJO/2025/04/65")</f>
        <v>EJO/2025/04/65</v>
      </c>
      <c r="D14" s="3" t="str">
        <f>IFERROR(__xludf.DUMMYFUNCTION("""COMPUTED_VALUE"""),"Capping")</f>
        <v>Capping</v>
      </c>
      <c r="E14" s="3" t="str">
        <f>IFERROR(__xludf.DUMMYFUNCTION("""COMPUTED_VALUE"""),"Service motor conveyor infeed capping ")</f>
        <v>Service motor conveyor infeed capping </v>
      </c>
      <c r="F14" s="3">
        <f>IFERROR(__xludf.DUMMYFUNCTION("""COMPUTED_VALUE"""),1.0)</f>
        <v>1</v>
      </c>
      <c r="G14" s="3" t="str">
        <f>IFERROR(__xludf.DUMMYFUNCTION("""COMPUTED_VALUE"""),"unit")</f>
        <v>unit</v>
      </c>
      <c r="H14" s="5" t="str">
        <f>IFERROR(__xludf.DUMMYFUNCTION("""COMPUTED_VALUE"""),"https://drive.google.com/file/d/1eB1GBhClpSB3KQLD6ILfdPLUY2GlFT6I/view?usp=drive_link")</f>
        <v>https://drive.google.com/file/d/1eB1GBhClpSB3KQLD6ILfdPLUY2GlFT6I/view?usp=drive_link</v>
      </c>
      <c r="I14" s="3" t="str">
        <f>IFERROR(__xludf.DUMMYFUNCTION("""COMPUTED_VALUE"""),"Sesuai penawaran")</f>
        <v>Sesuai penawaran</v>
      </c>
      <c r="J14" s="3" t="str">
        <f>IFERROR(__xludf.DUMMYFUNCTION("""COMPUTED_VALUE"""),"Approve")</f>
        <v>Approve</v>
      </c>
      <c r="K14" s="3" t="str">
        <f>IFERROR(__xludf.DUMMYFUNCTION("""COMPUTED_VALUE"""),"Normal")</f>
        <v>Normal</v>
      </c>
      <c r="L14" s="3" t="str">
        <f>IFERROR(__xludf.DUMMYFUNCTION("""COMPUTED_VALUE"""),"Non Urgent")</f>
        <v>Non Urgent</v>
      </c>
      <c r="M14" s="7">
        <f>IFERROR(__xludf.DUMMYFUNCTION("""COMPUTED_VALUE"""),45767.81723872686)</f>
        <v>45767.81724</v>
      </c>
    </row>
    <row r="15">
      <c r="A15" s="4">
        <f>IFERROR(__xludf.DUMMYFUNCTION("""COMPUTED_VALUE"""),45771.367909305554)</f>
        <v>45771.36791</v>
      </c>
      <c r="B15" s="3" t="str">
        <f>IFERROR(__xludf.DUMMYFUNCTION("""COMPUTED_VALUE"""),"INNJA0002")</f>
        <v>INNJA0002</v>
      </c>
      <c r="C15" s="3" t="str">
        <f>IFERROR(__xludf.DUMMYFUNCTION("""COMPUTED_VALUE"""),"EJO/2025/03/151")</f>
        <v>EJO/2025/03/151</v>
      </c>
      <c r="D15" s="3" t="str">
        <f>IFERROR(__xludf.DUMMYFUNCTION("""COMPUTED_VALUE"""),"Sartocheck")</f>
        <v>Sartocheck</v>
      </c>
      <c r="E15" s="3" t="str">
        <f>IFERROR(__xludf.DUMMYFUNCTION("""COMPUTED_VALUE"""),"Service power Supply")</f>
        <v>Service power Supply</v>
      </c>
      <c r="F15" s="3">
        <f>IFERROR(__xludf.DUMMYFUNCTION("""COMPUTED_VALUE"""),1.0)</f>
        <v>1</v>
      </c>
      <c r="G15" s="3" t="str">
        <f>IFERROR(__xludf.DUMMYFUNCTION("""COMPUTED_VALUE"""),"unit")</f>
        <v>unit</v>
      </c>
      <c r="H15" s="5" t="str">
        <f>IFERROR(__xludf.DUMMYFUNCTION("""COMPUTED_VALUE"""),"https://drive.google.com/file/d/1-h2TDtuzkLxo8sO3ozwve8eKzVgbFJdE/view?usp=drive_link")</f>
        <v>https://drive.google.com/file/d/1-h2TDtuzkLxo8sO3ozwve8eKzVgbFJdE/view?usp=drive_link</v>
      </c>
      <c r="I15" s="3" t="str">
        <f>IFERROR(__xludf.DUMMYFUNCTION("""COMPUTED_VALUE"""),"Sesuai penawaran")</f>
        <v>Sesuai penawaran</v>
      </c>
      <c r="J15" s="3" t="str">
        <f>IFERROR(__xludf.DUMMYFUNCTION("""COMPUTED_VALUE"""),"Approve")</f>
        <v>Approve</v>
      </c>
      <c r="K15" s="3" t="str">
        <f>IFERROR(__xludf.DUMMYFUNCTION("""COMPUTED_VALUE"""),"Normal")</f>
        <v>Normal</v>
      </c>
      <c r="L15" s="3" t="str">
        <f>IFERROR(__xludf.DUMMYFUNCTION("""COMPUTED_VALUE"""),"Non Urgent")</f>
        <v>Non Urgent</v>
      </c>
      <c r="M15" s="7">
        <f>IFERROR(__xludf.DUMMYFUNCTION("""COMPUTED_VALUE"""),45772.64836769676)</f>
        <v>45772.64837</v>
      </c>
    </row>
    <row r="16">
      <c r="A16" s="4">
        <f>IFERROR(__xludf.DUMMYFUNCTION("""COMPUTED_VALUE"""),45775.56210447917)</f>
        <v>45775.5621</v>
      </c>
      <c r="B16" s="3" t="str">
        <f>IFERROR(__xludf.DUMMYFUNCTION("""COMPUTED_VALUE"""),"MOBJA0001")</f>
        <v>MOBJA0001</v>
      </c>
      <c r="C16" s="3" t="str">
        <f>IFERROR(__xludf.DUMMYFUNCTION("""COMPUTED_VALUE"""),"EJO/2025/03/134")</f>
        <v>EJO/2025/03/134</v>
      </c>
      <c r="D16" s="3" t="str">
        <f>IFERROR(__xludf.DUMMYFUNCTION("""COMPUTED_VALUE"""),"AHU D1-1, EF D1-4/5, AHU F3-4")</f>
        <v>AHU D1-1, EF D1-4/5, AHU F3-4</v>
      </c>
      <c r="E16" s="3" t="str">
        <f>IFERROR(__xludf.DUMMYFUNCTION("""COMPUTED_VALUE"""),"Ganti BIBO")</f>
        <v>Ganti BIBO</v>
      </c>
      <c r="F16" s="3">
        <f>IFERROR(__xludf.DUMMYFUNCTION("""COMPUTED_VALUE"""),3.0)</f>
        <v>3</v>
      </c>
      <c r="G16" s="3" t="str">
        <f>IFERROR(__xludf.DUMMYFUNCTION("""COMPUTED_VALUE"""),"Lot")</f>
        <v>Lot</v>
      </c>
      <c r="H16" s="5" t="str">
        <f>IFERROR(__xludf.DUMMYFUNCTION("""COMPUTED_VALUE"""),"https://drive.google.com/file/d/1lD1mSPrETOmvLPnS_AL655OtiMI78mW8/view?usp=sharing")</f>
        <v>https://drive.google.com/file/d/1lD1mSPrETOmvLPnS_AL655OtiMI78mW8/view?usp=sharing</v>
      </c>
      <c r="I16" s="3" t="str">
        <f>IFERROR(__xludf.DUMMYFUNCTION("""COMPUTED_VALUE"""),"Penawaran untuk ganti BIBO")</f>
        <v>Penawaran untuk ganti BIBO</v>
      </c>
      <c r="J16" s="3" t="str">
        <f>IFERROR(__xludf.DUMMYFUNCTION("""COMPUTED_VALUE"""),"Approve")</f>
        <v>Approve</v>
      </c>
      <c r="K16" s="3" t="str">
        <f>IFERROR(__xludf.DUMMYFUNCTION("""COMPUTED_VALUE"""),"Normal")</f>
        <v>Normal</v>
      </c>
      <c r="L16" s="3" t="str">
        <f>IFERROR(__xludf.DUMMYFUNCTION("""COMPUTED_VALUE"""),"Non Urgent")</f>
        <v>Non Urgent</v>
      </c>
      <c r="M16" s="7">
        <f>IFERROR(__xludf.DUMMYFUNCTION("""COMPUTED_VALUE"""),45727.72684229167)</f>
        <v>45727.72684</v>
      </c>
    </row>
    <row r="17">
      <c r="A17" s="4">
        <f>IFERROR(__xludf.DUMMYFUNCTION("""COMPUTED_VALUE"""),45789.866367291674)</f>
        <v>45789.86637</v>
      </c>
      <c r="B17" s="3" t="str">
        <f>IFERROR(__xludf.DUMMYFUNCTION("""COMPUTED_VALUE"""),"MFHJA0010")</f>
        <v>MFHJA0010</v>
      </c>
      <c r="C17" s="3" t="str">
        <f>IFERROR(__xludf.DUMMYFUNCTION("""COMPUTED_VALUE"""),"-")</f>
        <v>-</v>
      </c>
      <c r="D17" s="3" t="str">
        <f>IFERROR(__xludf.DUMMYFUNCTION("""COMPUTED_VALUE"""),"Building")</f>
        <v>Building</v>
      </c>
      <c r="E17" s="3" t="str">
        <f>IFERROR(__xludf.DUMMYFUNCTION("""COMPUTED_VALUE"""),"Perapihan kabel di ruangh server")</f>
        <v>Perapihan kabel di ruangh server</v>
      </c>
      <c r="F17" s="3">
        <f>IFERROR(__xludf.DUMMYFUNCTION("""COMPUTED_VALUE"""),1.0)</f>
        <v>1</v>
      </c>
      <c r="G17" s="3" t="str">
        <f>IFERROR(__xludf.DUMMYFUNCTION("""COMPUTED_VALUE"""),"Lot")</f>
        <v>Lot</v>
      </c>
      <c r="H17" s="3" t="str">
        <f>IFERROR(__xludf.DUMMYFUNCTION("""COMPUTED_VALUE"""),"Email Pak Kris")</f>
        <v>Email Pak Kris</v>
      </c>
      <c r="I17" s="3" t="str">
        <f>IFERROR(__xludf.DUMMYFUNCTION("""COMPUTED_VALUE"""),"2210 S-60002-0 121702647 - APPROVED")</f>
        <v>2210 S-60002-0 121702647 - APPROVED</v>
      </c>
      <c r="J17" s="3" t="str">
        <f>IFERROR(__xludf.DUMMYFUNCTION("""COMPUTED_VALUE"""),"Approve")</f>
        <v>Approve</v>
      </c>
      <c r="K17" s="3" t="str">
        <f>IFERROR(__xludf.DUMMYFUNCTION("""COMPUTED_VALUE"""),"Normal")</f>
        <v>Normal</v>
      </c>
      <c r="L17" s="3" t="str">
        <f>IFERROR(__xludf.DUMMYFUNCTION("""COMPUTED_VALUE"""),"Non Urgent")</f>
        <v>Non Urgent</v>
      </c>
      <c r="M17" s="7">
        <f>IFERROR(__xludf.DUMMYFUNCTION("""COMPUTED_VALUE"""),45789.87983797454)</f>
        <v>45789.87984</v>
      </c>
    </row>
    <row r="18">
      <c r="A18" s="4">
        <f>IFERROR(__xludf.DUMMYFUNCTION("""COMPUTED_VALUE"""),45790.868463391205)</f>
        <v>45790.86846</v>
      </c>
      <c r="B18" s="3" t="str">
        <f>IFERROR(__xludf.DUMMYFUNCTION("""COMPUTED_VALUE"""),"MFHJA0011")</f>
        <v>MFHJA0011</v>
      </c>
      <c r="C18" s="3" t="str">
        <f>IFERROR(__xludf.DUMMYFUNCTION("""COMPUTED_VALUE"""),"-")</f>
        <v>-</v>
      </c>
      <c r="D18" s="3" t="str">
        <f>IFERROR(__xludf.DUMMYFUNCTION("""COMPUTED_VALUE"""),"Building")</f>
        <v>Building</v>
      </c>
      <c r="E18" s="3" t="str">
        <f>IFERROR(__xludf.DUMMYFUNCTION("""COMPUTED_VALUE"""),"Perbaikan Board Control Dump Waiter")</f>
        <v>Perbaikan Board Control Dump Waiter</v>
      </c>
      <c r="F18" s="3">
        <f>IFERROR(__xludf.DUMMYFUNCTION("""COMPUTED_VALUE"""),1.0)</f>
        <v>1</v>
      </c>
      <c r="G18" s="3" t="str">
        <f>IFERROR(__xludf.DUMMYFUNCTION("""COMPUTED_VALUE"""),"Lot")</f>
        <v>Lot</v>
      </c>
      <c r="H18" s="3" t="str">
        <f>IFERROR(__xludf.DUMMYFUNCTION("""COMPUTED_VALUE"""),"Supplier")</f>
        <v>Supplier</v>
      </c>
      <c r="I18" s="3" t="str">
        <f>IFERROR(__xludf.DUMMYFUNCTION("""COMPUTED_VALUE"""),"2278 S-60002-00 121702731 - APPROVED")</f>
        <v>2278 S-60002-00 121702731 - APPROVED</v>
      </c>
      <c r="J18" s="3" t="str">
        <f>IFERROR(__xludf.DUMMYFUNCTION("""COMPUTED_VALUE"""),"Approve")</f>
        <v>Approve</v>
      </c>
      <c r="K18" s="3" t="str">
        <f>IFERROR(__xludf.DUMMYFUNCTION("""COMPUTED_VALUE"""),"Normal")</f>
        <v>Normal</v>
      </c>
      <c r="L18" s="3" t="str">
        <f>IFERROR(__xludf.DUMMYFUNCTION("""COMPUTED_VALUE"""),"Non Urgent")</f>
        <v>Non Urgent</v>
      </c>
      <c r="M18" s="7">
        <f>IFERROR(__xludf.DUMMYFUNCTION("""COMPUTED_VALUE"""),45790.87501270833)</f>
        <v>45790.87501</v>
      </c>
    </row>
    <row r="19">
      <c r="A19" s="4">
        <f>IFERROR(__xludf.DUMMYFUNCTION("""COMPUTED_VALUE"""),45790.87151596064)</f>
        <v>45790.87152</v>
      </c>
      <c r="B19" s="3" t="str">
        <f>IFERROR(__xludf.DUMMYFUNCTION("""COMPUTED_VALUE"""),"MFHJA0012")</f>
        <v>MFHJA0012</v>
      </c>
      <c r="C19" s="3" t="str">
        <f>IFERROR(__xludf.DUMMYFUNCTION("""COMPUTED_VALUE"""),"-")</f>
        <v>-</v>
      </c>
      <c r="D19" s="3" t="str">
        <f>IFERROR(__xludf.DUMMYFUNCTION("""COMPUTED_VALUE"""),"Building")</f>
        <v>Building</v>
      </c>
      <c r="E19" s="3" t="str">
        <f>IFERROR(__xludf.DUMMYFUNCTION("""COMPUTED_VALUE"""),"Perkuatan Pondasi N2")</f>
        <v>Perkuatan Pondasi N2</v>
      </c>
      <c r="F19" s="3">
        <f>IFERROR(__xludf.DUMMYFUNCTION("""COMPUTED_VALUE"""),1.0)</f>
        <v>1</v>
      </c>
      <c r="G19" s="3" t="str">
        <f>IFERROR(__xludf.DUMMYFUNCTION("""COMPUTED_VALUE"""),"Lot")</f>
        <v>Lot</v>
      </c>
      <c r="H19" s="3" t="str">
        <f>IFERROR(__xludf.DUMMYFUNCTION("""COMPUTED_VALUE"""),"Email Pak Kris")</f>
        <v>Email Pak Kris</v>
      </c>
      <c r="I19" s="3" t="str">
        <f>IFERROR(__xludf.DUMMYFUNCTION("""COMPUTED_VALUE"""),"2279 Q-90000-00 121702732 - APPROVED")</f>
        <v>2279 Q-90000-00 121702732 - APPROVED</v>
      </c>
      <c r="J19" s="3" t="str">
        <f>IFERROR(__xludf.DUMMYFUNCTION("""COMPUTED_VALUE"""),"Approve")</f>
        <v>Approve</v>
      </c>
      <c r="K19" s="3" t="str">
        <f>IFERROR(__xludf.DUMMYFUNCTION("""COMPUTED_VALUE"""),"Normal")</f>
        <v>Normal</v>
      </c>
      <c r="L19" s="3" t="str">
        <f>IFERROR(__xludf.DUMMYFUNCTION("""COMPUTED_VALUE"""),"Non Urgent")</f>
        <v>Non Urgent</v>
      </c>
      <c r="M19" s="7">
        <f>IFERROR(__xludf.DUMMYFUNCTION("""COMPUTED_VALUE"""),45790.8751490625)</f>
        <v>45790.87515</v>
      </c>
    </row>
    <row r="20">
      <c r="A20" s="4">
        <f>IFERROR(__xludf.DUMMYFUNCTION("""COMPUTED_VALUE"""),45797.51181383101)</f>
        <v>45797.51181</v>
      </c>
      <c r="B20" s="3" t="str">
        <f>IFERROR(__xludf.DUMMYFUNCTION("""COMPUTED_VALUE"""),"INNJA0003")</f>
        <v>INNJA0003</v>
      </c>
      <c r="C20" s="3" t="str">
        <f>IFERROR(__xludf.DUMMYFUNCTION("""COMPUTED_VALUE"""),"EJO/2025/04/137")</f>
        <v>EJO/2025/04/137</v>
      </c>
      <c r="D20" s="3" t="str">
        <f>IFERROR(__xludf.DUMMYFUNCTION("""COMPUTED_VALUE"""),"Newtronic")</f>
        <v>Newtronic</v>
      </c>
      <c r="E20" s="3" t="str">
        <f>IFERROR(__xludf.DUMMYFUNCTION("""COMPUTED_VALUE"""),"Perbaikan data base newtronic ( report tidak bisa di ambil dan comunication fail)")</f>
        <v>Perbaikan data base newtronic ( report tidak bisa di ambil dan comunication fail)</v>
      </c>
      <c r="F20" s="3">
        <f>IFERROR(__xludf.DUMMYFUNCTION("""COMPUTED_VALUE"""),1.0)</f>
        <v>1</v>
      </c>
      <c r="G20" s="3" t="str">
        <f>IFERROR(__xludf.DUMMYFUNCTION("""COMPUTED_VALUE"""),"Lot")</f>
        <v>Lot</v>
      </c>
      <c r="H20" s="5" t="str">
        <f>IFERROR(__xludf.DUMMYFUNCTION("""COMPUTED_VALUE"""),"https://drive.google.com/file/d/1C9xRrPXc3CBDEByqX4kB4uzRq--AoThb/view?usp=drive_link")</f>
        <v>https://drive.google.com/file/d/1C9xRrPXc3CBDEByqX4kB4uzRq--AoThb/view?usp=drive_link</v>
      </c>
      <c r="I20" s="3" t="str">
        <f>IFERROR(__xludf.DUMMYFUNCTION("""COMPUTED_VALUE"""),"Sesuai penawaran")</f>
        <v>Sesuai penawaran</v>
      </c>
      <c r="J20" s="3" t="str">
        <f>IFERROR(__xludf.DUMMYFUNCTION("""COMPUTED_VALUE"""),"Approve")</f>
        <v>Approve</v>
      </c>
      <c r="K20" s="3" t="str">
        <f>IFERROR(__xludf.DUMMYFUNCTION("""COMPUTED_VALUE"""),"Normal")</f>
        <v>Normal</v>
      </c>
      <c r="L20" s="3" t="str">
        <f>IFERROR(__xludf.DUMMYFUNCTION("""COMPUTED_VALUE"""),"Non Urgent")</f>
        <v>Non Urgent</v>
      </c>
      <c r="M20" s="7">
        <f>IFERROR(__xludf.DUMMYFUNCTION("""COMPUTED_VALUE"""),45812.56311368056)</f>
        <v>45812.56311</v>
      </c>
    </row>
    <row r="21">
      <c r="A21" s="4">
        <f>IFERROR(__xludf.DUMMYFUNCTION("""COMPUTED_VALUE"""),45802.56572881944)</f>
        <v>45802.56573</v>
      </c>
      <c r="B21" s="3" t="str">
        <f>IFERROR(__xludf.DUMMYFUNCTION("""COMPUTED_VALUE"""),"MFHJA0014")</f>
        <v>MFHJA0014</v>
      </c>
      <c r="C21" s="3" t="str">
        <f>IFERROR(__xludf.DUMMYFUNCTION("""COMPUTED_VALUE"""),"-")</f>
        <v>-</v>
      </c>
      <c r="D21" s="3" t="str">
        <f>IFERROR(__xludf.DUMMYFUNCTION("""COMPUTED_VALUE"""),"Lab")</f>
        <v>Lab</v>
      </c>
      <c r="E21" s="3" t="str">
        <f>IFERROR(__xludf.DUMMYFUNCTION("""COMPUTED_VALUE"""),"Rewinding Exhaust")</f>
        <v>Rewinding Exhaust</v>
      </c>
      <c r="F21" s="3">
        <f>IFERROR(__xludf.DUMMYFUNCTION("""COMPUTED_VALUE"""),1.0)</f>
        <v>1</v>
      </c>
      <c r="G21" s="3" t="str">
        <f>IFERROR(__xludf.DUMMYFUNCTION("""COMPUTED_VALUE"""),"Lot")</f>
        <v>Lot</v>
      </c>
      <c r="H21" s="3" t="str">
        <f>IFERROR(__xludf.DUMMYFUNCTION("""COMPUTED_VALUE"""),"-")</f>
        <v>-</v>
      </c>
      <c r="I21" s="3" t="str">
        <f>IFERROR(__xludf.DUMMYFUNCTION("""COMPUTED_VALUE"""),"2137 121702565 - APPROVED")</f>
        <v>2137 121702565 - APPROVED</v>
      </c>
      <c r="J21" s="3" t="str">
        <f>IFERROR(__xludf.DUMMYFUNCTION("""COMPUTED_VALUE"""),"Approve")</f>
        <v>Approve</v>
      </c>
      <c r="K21" s="3" t="str">
        <f>IFERROR(__xludf.DUMMYFUNCTION("""COMPUTED_VALUE"""),"Normal")</f>
        <v>Normal</v>
      </c>
      <c r="L21" s="3" t="str">
        <f>IFERROR(__xludf.DUMMYFUNCTION("""COMPUTED_VALUE"""),"Non Urgent")</f>
        <v>Non Urgent</v>
      </c>
      <c r="M21" s="7">
        <f>IFERROR(__xludf.DUMMYFUNCTION("""COMPUTED_VALUE"""),45802.67255756944)</f>
        <v>45802.67256</v>
      </c>
    </row>
    <row r="22">
      <c r="A22" s="4">
        <f>IFERROR(__xludf.DUMMYFUNCTION("""COMPUTED_VALUE"""),45802.59963862268)</f>
        <v>45802.59964</v>
      </c>
      <c r="B22" s="3" t="str">
        <f>IFERROR(__xludf.DUMMYFUNCTION("""COMPUTED_VALUE"""),"MFHJA0015")</f>
        <v>MFHJA0015</v>
      </c>
      <c r="C22" s="3" t="str">
        <f>IFERROR(__xludf.DUMMYFUNCTION("""COMPUTED_VALUE"""),"-")</f>
        <v>-</v>
      </c>
      <c r="D22" s="3" t="str">
        <f>IFERROR(__xludf.DUMMYFUNCTION("""COMPUTED_VALUE"""),"Building")</f>
        <v>Building</v>
      </c>
      <c r="E22" s="3" t="str">
        <f>IFERROR(__xludf.DUMMYFUNCTION("""COMPUTED_VALUE"""),"Jendela Anti Embun")</f>
        <v>Jendela Anti Embun</v>
      </c>
      <c r="F22" s="3">
        <f>IFERROR(__xludf.DUMMYFUNCTION("""COMPUTED_VALUE"""),1.0)</f>
        <v>1</v>
      </c>
      <c r="G22" s="3" t="str">
        <f>IFERROR(__xludf.DUMMYFUNCTION("""COMPUTED_VALUE"""),"Lot")</f>
        <v>Lot</v>
      </c>
      <c r="H22" s="3" t="str">
        <f>IFERROR(__xludf.DUMMYFUNCTION("""COMPUTED_VALUE"""),"WA Mas Reza")</f>
        <v>WA Mas Reza</v>
      </c>
      <c r="I22" s="3" t="str">
        <f>IFERROR(__xludf.DUMMYFUNCTION("""COMPUTED_VALUE"""),"2266 Q-90000-00 121702706 - APPROVED")</f>
        <v>2266 Q-90000-00 121702706 - APPROVED</v>
      </c>
      <c r="J22" s="3" t="str">
        <f>IFERROR(__xludf.DUMMYFUNCTION("""COMPUTED_VALUE"""),"Approve")</f>
        <v>Approve</v>
      </c>
      <c r="K22" s="3" t="str">
        <f>IFERROR(__xludf.DUMMYFUNCTION("""COMPUTED_VALUE"""),"Normal")</f>
        <v>Normal</v>
      </c>
      <c r="L22" s="3" t="str">
        <f>IFERROR(__xludf.DUMMYFUNCTION("""COMPUTED_VALUE"""),"Non Urgent")</f>
        <v>Non Urgent</v>
      </c>
      <c r="M22" s="7">
        <f>IFERROR(__xludf.DUMMYFUNCTION("""COMPUTED_VALUE"""),45802.672681006945)</f>
        <v>45802.67268</v>
      </c>
    </row>
    <row r="23">
      <c r="A23" s="4">
        <f>IFERROR(__xludf.DUMMYFUNCTION("""COMPUTED_VALUE"""),45802.603660671295)</f>
        <v>45802.60366</v>
      </c>
      <c r="B23" s="3" t="str">
        <f>IFERROR(__xludf.DUMMYFUNCTION("""COMPUTED_VALUE"""),"MFHJA0016")</f>
        <v>MFHJA0016</v>
      </c>
      <c r="C23" s="3" t="str">
        <f>IFERROR(__xludf.DUMMYFUNCTION("""COMPUTED_VALUE"""),"-")</f>
        <v>-</v>
      </c>
      <c r="D23" s="3" t="str">
        <f>IFERROR(__xludf.DUMMYFUNCTION("""COMPUTED_VALUE"""),"BAS")</f>
        <v>BAS</v>
      </c>
      <c r="E23" s="3" t="str">
        <f>IFERROR(__xludf.DUMMYFUNCTION("""COMPUTED_VALUE"""),"Re Termination dan Re Program BAS")</f>
        <v>Re Termination dan Re Program BAS</v>
      </c>
      <c r="F23" s="3">
        <f>IFERROR(__xludf.DUMMYFUNCTION("""COMPUTED_VALUE"""),1.0)</f>
        <v>1</v>
      </c>
      <c r="G23" s="3" t="str">
        <f>IFERROR(__xludf.DUMMYFUNCTION("""COMPUTED_VALUE"""),"Lot")</f>
        <v>Lot</v>
      </c>
      <c r="H23" s="3" t="str">
        <f>IFERROR(__xludf.DUMMYFUNCTION("""COMPUTED_VALUE"""),"WA Mas Reza")</f>
        <v>WA Mas Reza</v>
      </c>
      <c r="I23" s="3" t="str">
        <f>IFERROR(__xludf.DUMMYFUNCTION("""COMPUTED_VALUE"""),"2280 S-60002-00 121702736 - APPROVED")</f>
        <v>2280 S-60002-00 121702736 - APPROVED</v>
      </c>
      <c r="J23" s="3" t="str">
        <f>IFERROR(__xludf.DUMMYFUNCTION("""COMPUTED_VALUE"""),"Approve")</f>
        <v>Approve</v>
      </c>
      <c r="K23" s="3" t="str">
        <f>IFERROR(__xludf.DUMMYFUNCTION("""COMPUTED_VALUE"""),"Normal")</f>
        <v>Normal</v>
      </c>
      <c r="L23" s="3" t="str">
        <f>IFERROR(__xludf.DUMMYFUNCTION("""COMPUTED_VALUE"""),"Non Urgent")</f>
        <v>Non Urgent</v>
      </c>
      <c r="M23" s="7">
        <f>IFERROR(__xludf.DUMMYFUNCTION("""COMPUTED_VALUE"""),45802.67281120371)</f>
        <v>45802.67281</v>
      </c>
    </row>
    <row r="24">
      <c r="A24" s="4">
        <f>IFERROR(__xludf.DUMMYFUNCTION("""COMPUTED_VALUE"""),45834.879656550926)</f>
        <v>45834.87966</v>
      </c>
      <c r="B24" s="3" t="str">
        <f>IFERROR(__xludf.DUMMYFUNCTION("""COMPUTED_VALUE"""),"MFHJA0017")</f>
        <v>MFHJA0017</v>
      </c>
      <c r="C24" s="3" t="str">
        <f>IFERROR(__xludf.DUMMYFUNCTION("""COMPUTED_VALUE"""),"-")</f>
        <v>-</v>
      </c>
      <c r="D24" s="3" t="str">
        <f>IFERROR(__xludf.DUMMYFUNCTION("""COMPUTED_VALUE"""),"Washbay")</f>
        <v>Washbay</v>
      </c>
      <c r="E24" s="3" t="str">
        <f>IFERROR(__xludf.DUMMYFUNCTION("""COMPUTED_VALUE"""),"Additional Project to TATA")</f>
        <v>Additional Project to TATA</v>
      </c>
      <c r="F24" s="3">
        <f>IFERROR(__xludf.DUMMYFUNCTION("""COMPUTED_VALUE"""),1.0)</f>
        <v>1</v>
      </c>
      <c r="G24" s="3" t="str">
        <f>IFERROR(__xludf.DUMMYFUNCTION("""COMPUTED_VALUE"""),"Lot")</f>
        <v>Lot</v>
      </c>
      <c r="H24" s="3" t="str">
        <f>IFERROR(__xludf.DUMMYFUNCTION("""COMPUTED_VALUE"""),"Email mas Umar")</f>
        <v>Email mas Umar</v>
      </c>
      <c r="I24" s="3" t="str">
        <f>IFERROR(__xludf.DUMMYFUNCTION("""COMPUTED_VALUE"""),"2340 121702796")</f>
        <v>2340 121702796</v>
      </c>
      <c r="J24" s="3" t="str">
        <f>IFERROR(__xludf.DUMMYFUNCTION("""COMPUTED_VALUE"""),"Approve")</f>
        <v>Approve</v>
      </c>
      <c r="K24" s="3" t="str">
        <f>IFERROR(__xludf.DUMMYFUNCTION("""COMPUTED_VALUE"""),"Normal")</f>
        <v>Normal</v>
      </c>
      <c r="L24" s="3" t="str">
        <f>IFERROR(__xludf.DUMMYFUNCTION("""COMPUTED_VALUE"""),"Non Urgent")</f>
        <v>Non Urgent</v>
      </c>
      <c r="M24" s="7">
        <f>IFERROR(__xludf.DUMMYFUNCTION("""COMPUTED_VALUE"""),45838.64562696759)</f>
        <v>45838.64563</v>
      </c>
    </row>
    <row r="25">
      <c r="A25" s="4">
        <f>IFERROR(__xludf.DUMMYFUNCTION("""COMPUTED_VALUE"""),45834.8840340625)</f>
        <v>45834.88403</v>
      </c>
      <c r="B25" s="3" t="str">
        <f>IFERROR(__xludf.DUMMYFUNCTION("""COMPUTED_VALUE"""),"MFHJA0018")</f>
        <v>MFHJA0018</v>
      </c>
      <c r="C25" s="3" t="str">
        <f>IFERROR(__xludf.DUMMYFUNCTION("""COMPUTED_VALUE"""),"-")</f>
        <v>-</v>
      </c>
      <c r="D25" s="3" t="str">
        <f>IFERROR(__xludf.DUMMYFUNCTION("""COMPUTED_VALUE"""),"Beamex")</f>
        <v>Beamex</v>
      </c>
      <c r="E25" s="3" t="str">
        <f>IFERROR(__xludf.DUMMYFUNCTION("""COMPUTED_VALUE"""),"Perbaikan Beamex")</f>
        <v>Perbaikan Beamex</v>
      </c>
      <c r="F25" s="3">
        <f>IFERROR(__xludf.DUMMYFUNCTION("""COMPUTED_VALUE"""),1.0)</f>
        <v>1</v>
      </c>
      <c r="G25" s="3" t="str">
        <f>IFERROR(__xludf.DUMMYFUNCTION("""COMPUTED_VALUE"""),"Lot")</f>
        <v>Lot</v>
      </c>
      <c r="H25" s="3" t="str">
        <f>IFERROR(__xludf.DUMMYFUNCTION("""COMPUTED_VALUE"""),"Email mas Umar")</f>
        <v>Email mas Umar</v>
      </c>
      <c r="I25" s="3" t="str">
        <f>IFERROR(__xludf.DUMMYFUNCTION("""COMPUTED_VALUE"""),"2303 121702765")</f>
        <v>2303 121702765</v>
      </c>
      <c r="J25" s="3" t="str">
        <f>IFERROR(__xludf.DUMMYFUNCTION("""COMPUTED_VALUE"""),"Approve")</f>
        <v>Approve</v>
      </c>
      <c r="K25" s="3" t="str">
        <f>IFERROR(__xludf.DUMMYFUNCTION("""COMPUTED_VALUE"""),"Normal")</f>
        <v>Normal</v>
      </c>
      <c r="L25" s="3" t="str">
        <f>IFERROR(__xludf.DUMMYFUNCTION("""COMPUTED_VALUE"""),"Non Urgent")</f>
        <v>Non Urgent</v>
      </c>
      <c r="M25" s="7">
        <f>IFERROR(__xludf.DUMMYFUNCTION("""COMPUTED_VALUE"""),45838.64677173611)</f>
        <v>45838.64677</v>
      </c>
    </row>
    <row r="26">
      <c r="A26" s="4">
        <f>IFERROR(__xludf.DUMMYFUNCTION("""COMPUTED_VALUE"""),45834.88849694444)</f>
        <v>45834.8885</v>
      </c>
      <c r="B26" s="3" t="str">
        <f>IFERROR(__xludf.DUMMYFUNCTION("""COMPUTED_VALUE"""),"MFHJA0020")</f>
        <v>MFHJA0020</v>
      </c>
      <c r="C26" s="3" t="str">
        <f>IFERROR(__xludf.DUMMYFUNCTION("""COMPUTED_VALUE"""),"-")</f>
        <v>-</v>
      </c>
      <c r="D26" s="3" t="str">
        <f>IFERROR(__xludf.DUMMYFUNCTION("""COMPUTED_VALUE"""),"Forklift")</f>
        <v>Forklift</v>
      </c>
      <c r="E26" s="3" t="str">
        <f>IFERROR(__xludf.DUMMYFUNCTION("""COMPUTED_VALUE"""),"Pengecekan Tombol Emergency")</f>
        <v>Pengecekan Tombol Emergency</v>
      </c>
      <c r="F26" s="3">
        <f>IFERROR(__xludf.DUMMYFUNCTION("""COMPUTED_VALUE"""),1.0)</f>
        <v>1</v>
      </c>
      <c r="G26" s="3" t="str">
        <f>IFERROR(__xludf.DUMMYFUNCTION("""COMPUTED_VALUE"""),"Lot")</f>
        <v>Lot</v>
      </c>
      <c r="H26" s="3" t="str">
        <f>IFERROR(__xludf.DUMMYFUNCTION("""COMPUTED_VALUE"""),"Email Mas Ken")</f>
        <v>Email Mas Ken</v>
      </c>
      <c r="I26" s="3" t="str">
        <f>IFERROR(__xludf.DUMMYFUNCTION("""COMPUTED_VALUE"""),"2358 121702824")</f>
        <v>2358 121702824</v>
      </c>
      <c r="J26" s="3" t="str">
        <f>IFERROR(__xludf.DUMMYFUNCTION("""COMPUTED_VALUE"""),"Approve")</f>
        <v>Approve</v>
      </c>
      <c r="K26" s="3" t="str">
        <f>IFERROR(__xludf.DUMMYFUNCTION("""COMPUTED_VALUE"""),"Normal")</f>
        <v>Normal</v>
      </c>
      <c r="L26" s="3" t="str">
        <f>IFERROR(__xludf.DUMMYFUNCTION("""COMPUTED_VALUE"""),"Non Urgent")</f>
        <v>Non Urgent</v>
      </c>
      <c r="M26" s="7">
        <f>IFERROR(__xludf.DUMMYFUNCTION("""COMPUTED_VALUE"""),45838.64729966436)</f>
        <v>45838.6473</v>
      </c>
    </row>
    <row r="27">
      <c r="A27" s="4">
        <f>IFERROR(__xludf.DUMMYFUNCTION("""COMPUTED_VALUE"""),45834.88907025463)</f>
        <v>45834.88907</v>
      </c>
      <c r="B27" s="3" t="str">
        <f>IFERROR(__xludf.DUMMYFUNCTION("""COMPUTED_VALUE"""),"MFHJA0021")</f>
        <v>MFHJA0021</v>
      </c>
      <c r="C27" s="3" t="str">
        <f>IFERROR(__xludf.DUMMYFUNCTION("""COMPUTED_VALUE"""),"-")</f>
        <v>-</v>
      </c>
      <c r="D27" s="3" t="str">
        <f>IFERROR(__xludf.DUMMYFUNCTION("""COMPUTED_VALUE"""),"WWTP")</f>
        <v>WWTP</v>
      </c>
      <c r="E27" s="3" t="str">
        <f>IFERROR(__xludf.DUMMYFUNCTION("""COMPUTED_VALUE"""),"Perbaikan Pompa Air Hujan")</f>
        <v>Perbaikan Pompa Air Hujan</v>
      </c>
      <c r="F27" s="3">
        <f>IFERROR(__xludf.DUMMYFUNCTION("""COMPUTED_VALUE"""),1.0)</f>
        <v>1</v>
      </c>
      <c r="G27" s="3" t="str">
        <f>IFERROR(__xludf.DUMMYFUNCTION("""COMPUTED_VALUE"""),"Lot")</f>
        <v>Lot</v>
      </c>
      <c r="H27" s="3" t="str">
        <f>IFERROR(__xludf.DUMMYFUNCTION("""COMPUTED_VALUE"""),"-")</f>
        <v>-</v>
      </c>
      <c r="I27" s="3" t="str">
        <f>IFERROR(__xludf.DUMMYFUNCTION("""COMPUTED_VALUE"""),"2359 121702825")</f>
        <v>2359 121702825</v>
      </c>
      <c r="J27" s="3" t="str">
        <f>IFERROR(__xludf.DUMMYFUNCTION("""COMPUTED_VALUE"""),"Approve")</f>
        <v>Approve</v>
      </c>
      <c r="K27" s="3" t="str">
        <f>IFERROR(__xludf.DUMMYFUNCTION("""COMPUTED_VALUE"""),"Normal")</f>
        <v>Normal</v>
      </c>
      <c r="L27" s="3" t="str">
        <f>IFERROR(__xludf.DUMMYFUNCTION("""COMPUTED_VALUE"""),"Non Urgent")</f>
        <v>Non Urgent</v>
      </c>
      <c r="M27" s="7">
        <f>IFERROR(__xludf.DUMMYFUNCTION("""COMPUTED_VALUE"""),45838.64747111111)</f>
        <v>45838.64747</v>
      </c>
    </row>
    <row r="28">
      <c r="A28" s="4">
        <f>IFERROR(__xludf.DUMMYFUNCTION("""COMPUTED_VALUE"""),45834.8906853125)</f>
        <v>45834.89069</v>
      </c>
      <c r="B28" s="3" t="str">
        <f>IFERROR(__xludf.DUMMYFUNCTION("""COMPUTED_VALUE"""),"MFHJA0022")</f>
        <v>MFHJA0022</v>
      </c>
      <c r="C28" s="3" t="str">
        <f>IFERROR(__xludf.DUMMYFUNCTION("""COMPUTED_VALUE"""),"-")</f>
        <v>-</v>
      </c>
      <c r="D28" s="3" t="str">
        <f>IFERROR(__xludf.DUMMYFUNCTION("""COMPUTED_VALUE"""),"Lift")</f>
        <v>Lift</v>
      </c>
      <c r="E28" s="3" t="str">
        <f>IFERROR(__xludf.DUMMYFUNCTION("""COMPUTED_VALUE"""),"Perbaikan Lift")</f>
        <v>Perbaikan Lift</v>
      </c>
      <c r="F28" s="3">
        <f>IFERROR(__xludf.DUMMYFUNCTION("""COMPUTED_VALUE"""),1.0)</f>
        <v>1</v>
      </c>
      <c r="G28" s="3" t="str">
        <f>IFERROR(__xludf.DUMMYFUNCTION("""COMPUTED_VALUE"""),"Lot")</f>
        <v>Lot</v>
      </c>
      <c r="H28" s="3" t="str">
        <f>IFERROR(__xludf.DUMMYFUNCTION("""COMPUTED_VALUE"""),"Email Mas Ken")</f>
        <v>Email Mas Ken</v>
      </c>
      <c r="I28" s="3" t="str">
        <f>IFERROR(__xludf.DUMMYFUNCTION("""COMPUTED_VALUE"""),"2365 121702833")</f>
        <v>2365 121702833</v>
      </c>
      <c r="J28" s="3" t="str">
        <f>IFERROR(__xludf.DUMMYFUNCTION("""COMPUTED_VALUE"""),"Approve")</f>
        <v>Approve</v>
      </c>
      <c r="K28" s="3" t="str">
        <f>IFERROR(__xludf.DUMMYFUNCTION("""COMPUTED_VALUE"""),"Normal")</f>
        <v>Normal</v>
      </c>
      <c r="L28" s="3" t="str">
        <f>IFERROR(__xludf.DUMMYFUNCTION("""COMPUTED_VALUE"""),"Non Urgent")</f>
        <v>Non Urgent</v>
      </c>
      <c r="M28" s="7">
        <f>IFERROR(__xludf.DUMMYFUNCTION("""COMPUTED_VALUE"""),45838.64761366898)</f>
        <v>45838.64761</v>
      </c>
    </row>
    <row r="29">
      <c r="A29" s="4">
        <f>IFERROR(__xludf.DUMMYFUNCTION("""COMPUTED_VALUE"""),45834.89232247685)</f>
        <v>45834.89232</v>
      </c>
      <c r="B29" s="3" t="str">
        <f>IFERROR(__xludf.DUMMYFUNCTION("""COMPUTED_VALUE"""),"MFHJA0023")</f>
        <v>MFHJA0023</v>
      </c>
      <c r="C29" s="3" t="str">
        <f>IFERROR(__xludf.DUMMYFUNCTION("""COMPUTED_VALUE"""),"-")</f>
        <v>-</v>
      </c>
      <c r="D29" s="3" t="str">
        <f>IFERROR(__xludf.DUMMYFUNCTION("""COMPUTED_VALUE"""),"Meja Inspeksi")</f>
        <v>Meja Inspeksi</v>
      </c>
      <c r="E29" s="3" t="str">
        <f>IFERROR(__xludf.DUMMYFUNCTION("""COMPUTED_VALUE"""),"Modifikasi 1 Meja Inspeksi")</f>
        <v>Modifikasi 1 Meja Inspeksi</v>
      </c>
      <c r="F29" s="3">
        <f>IFERROR(__xludf.DUMMYFUNCTION("""COMPUTED_VALUE"""),1.0)</f>
        <v>1</v>
      </c>
      <c r="G29" s="3" t="str">
        <f>IFERROR(__xludf.DUMMYFUNCTION("""COMPUTED_VALUE"""),"Lot")</f>
        <v>Lot</v>
      </c>
      <c r="H29" s="3" t="str">
        <f>IFERROR(__xludf.DUMMYFUNCTION("""COMPUTED_VALUE"""),"Email Mas Umar")</f>
        <v>Email Mas Umar</v>
      </c>
      <c r="I29" s="3" t="str">
        <f>IFERROR(__xludf.DUMMYFUNCTION("""COMPUTED_VALUE"""),"2376 121702835")</f>
        <v>2376 121702835</v>
      </c>
      <c r="J29" s="3" t="str">
        <f>IFERROR(__xludf.DUMMYFUNCTION("""COMPUTED_VALUE"""),"Approve")</f>
        <v>Approve</v>
      </c>
      <c r="K29" s="3" t="str">
        <f>IFERROR(__xludf.DUMMYFUNCTION("""COMPUTED_VALUE"""),"Normal")</f>
        <v>Normal</v>
      </c>
      <c r="L29" s="3" t="str">
        <f>IFERROR(__xludf.DUMMYFUNCTION("""COMPUTED_VALUE"""),"Non Urgent")</f>
        <v>Non Urgent</v>
      </c>
      <c r="M29" s="7">
        <f>IFERROR(__xludf.DUMMYFUNCTION("""COMPUTED_VALUE"""),45838.647775844904)</f>
        <v>45838.64778</v>
      </c>
    </row>
    <row r="30">
      <c r="A30" s="4">
        <f>IFERROR(__xludf.DUMMYFUNCTION("""COMPUTED_VALUE"""),45860.863942337965)</f>
        <v>45860.86394</v>
      </c>
      <c r="B30" s="3" t="str">
        <f>IFERROR(__xludf.DUMMYFUNCTION("""COMPUTED_VALUE"""),"MRNJA0008")</f>
        <v>MRNJA0008</v>
      </c>
      <c r="C30" s="3" t="str">
        <f>IFERROR(__xludf.DUMMYFUNCTION("""COMPUTED_VALUE"""),"EJO/2025/02/02")</f>
        <v>EJO/2025/02/02</v>
      </c>
      <c r="D30" s="3" t="str">
        <f>IFERROR(__xludf.DUMMYFUNCTION("""COMPUTED_VALUE"""),"Toilet lantai 2")</f>
        <v>Toilet lantai 2</v>
      </c>
      <c r="E30" s="3" t="str">
        <f>IFERROR(__xludf.DUMMYFUNCTION("""COMPUTED_VALUE"""),"Ada rembesan di mezzanine dibawah toilet jongkok eng")</f>
        <v>Ada rembesan di mezzanine dibawah toilet jongkok eng</v>
      </c>
      <c r="F30" s="3">
        <f>IFERROR(__xludf.DUMMYFUNCTION("""COMPUTED_VALUE"""),1.0)</f>
        <v>1</v>
      </c>
      <c r="G30" s="3" t="str">
        <f>IFERROR(__xludf.DUMMYFUNCTION("""COMPUTED_VALUE"""),"lot")</f>
        <v>lot</v>
      </c>
      <c r="H30" s="5" t="str">
        <f>IFERROR(__xludf.DUMMYFUNCTION("""COMPUTED_VALUE"""),"https://drive.google.com/drive/folders/17mXglJ9K1YwOmSbaJqgh19jaVjU8Mwj1?usp=drive_link")</f>
        <v>https://drive.google.com/drive/folders/17mXglJ9K1YwOmSbaJqgh19jaVjU8Mwj1?usp=drive_link</v>
      </c>
      <c r="I30" s="3" t="str">
        <f>IFERROR(__xludf.DUMMYFUNCTION("""COMPUTED_VALUE"""),"penawaran wira karya (APPROVED BY MFH, KARENA SUDAH DI BUAT PR TERLEBIH DAHULU)")</f>
        <v>penawaran wira karya (APPROVED BY MFH, KARENA SUDAH DI BUAT PR TERLEBIH DAHULU)</v>
      </c>
      <c r="J30" s="3" t="str">
        <f>IFERROR(__xludf.DUMMYFUNCTION("""COMPUTED_VALUE"""),"Approve")</f>
        <v>Approve</v>
      </c>
      <c r="K30" s="3" t="str">
        <f>IFERROR(__xludf.DUMMYFUNCTION("""COMPUTED_VALUE"""),"Normal")</f>
        <v>Normal</v>
      </c>
      <c r="L30" s="3" t="str">
        <f>IFERROR(__xludf.DUMMYFUNCTION("""COMPUTED_VALUE"""),"Non Urgent")</f>
        <v>Non Urgent</v>
      </c>
      <c r="M30" s="7">
        <f>IFERROR(__xludf.DUMMYFUNCTION("""COMPUTED_VALUE"""),45864.921054363425)</f>
        <v>45864.92105</v>
      </c>
    </row>
    <row r="31">
      <c r="A31" s="4">
        <f>IFERROR(__xludf.DUMMYFUNCTION("""COMPUTED_VALUE"""),45865.629318935185)</f>
        <v>45865.62932</v>
      </c>
      <c r="B31" s="3" t="str">
        <f>IFERROR(__xludf.DUMMYFUNCTION("""COMPUTED_VALUE"""),"MFHJA0024")</f>
        <v>MFHJA0024</v>
      </c>
      <c r="C31" s="3" t="str">
        <f>IFERROR(__xludf.DUMMYFUNCTION("""COMPUTED_VALUE"""),"-")</f>
        <v>-</v>
      </c>
      <c r="D31" s="3" t="str">
        <f>IFERROR(__xludf.DUMMYFUNCTION("""COMPUTED_VALUE"""),"FD")</f>
        <v>FD</v>
      </c>
      <c r="E31" s="3" t="str">
        <f>IFERROR(__xludf.DUMMYFUNCTION("""COMPUTED_VALUE"""),"Remote FD 1 Jun")</f>
        <v>Remote FD 1 Jun</v>
      </c>
      <c r="F31" s="3">
        <f>IFERROR(__xludf.DUMMYFUNCTION("""COMPUTED_VALUE"""),1.0)</f>
        <v>1</v>
      </c>
      <c r="G31" s="3" t="str">
        <f>IFERROR(__xludf.DUMMYFUNCTION("""COMPUTED_VALUE"""),"Lot")</f>
        <v>Lot</v>
      </c>
      <c r="H31" s="3" t="str">
        <f>IFERROR(__xludf.DUMMYFUNCTION("""COMPUTED_VALUE"""),"Email Mas Umar")</f>
        <v>Email Mas Umar</v>
      </c>
      <c r="I31" s="3" t="str">
        <f>IFERROR(__xludf.DUMMYFUNCTION("""COMPUTED_VALUE"""),"2452 121702900 S-60050-00")</f>
        <v>2452 121702900 S-60050-00</v>
      </c>
      <c r="J31" s="3" t="str">
        <f>IFERROR(__xludf.DUMMYFUNCTION("""COMPUTED_VALUE"""),"Approve")</f>
        <v>Approve</v>
      </c>
      <c r="K31" s="3" t="str">
        <f>IFERROR(__xludf.DUMMYFUNCTION("""COMPUTED_VALUE"""),"Normal")</f>
        <v>Normal</v>
      </c>
      <c r="L31" s="3" t="str">
        <f>IFERROR(__xludf.DUMMYFUNCTION("""COMPUTED_VALUE"""),"Non Urgent")</f>
        <v>Non Urgent</v>
      </c>
      <c r="M31" s="7">
        <f>IFERROR(__xludf.DUMMYFUNCTION("""COMPUTED_VALUE"""),45865.935982662035)</f>
        <v>45865.93598</v>
      </c>
    </row>
    <row r="32">
      <c r="A32" s="4">
        <f>IFERROR(__xludf.DUMMYFUNCTION("""COMPUTED_VALUE"""),45865.630015891205)</f>
        <v>45865.63002</v>
      </c>
      <c r="B32" s="3" t="str">
        <f>IFERROR(__xludf.DUMMYFUNCTION("""COMPUTED_VALUE"""),"MFHJA0025")</f>
        <v>MFHJA0025</v>
      </c>
      <c r="C32" s="3" t="str">
        <f>IFERROR(__xludf.DUMMYFUNCTION("""COMPUTED_VALUE"""),"-")</f>
        <v>-</v>
      </c>
      <c r="D32" s="3" t="str">
        <f>IFERROR(__xludf.DUMMYFUNCTION("""COMPUTED_VALUE"""),"Washing")</f>
        <v>Washing</v>
      </c>
      <c r="E32" s="3" t="str">
        <f>IFERROR(__xludf.DUMMYFUNCTION("""COMPUTED_VALUE"""),"Perbaikan Needle")</f>
        <v>Perbaikan Needle</v>
      </c>
      <c r="F32" s="3">
        <f>IFERROR(__xludf.DUMMYFUNCTION("""COMPUTED_VALUE"""),1.0)</f>
        <v>1</v>
      </c>
      <c r="G32" s="3" t="str">
        <f>IFERROR(__xludf.DUMMYFUNCTION("""COMPUTED_VALUE"""),"Lot")</f>
        <v>Lot</v>
      </c>
      <c r="H32" s="3" t="str">
        <f>IFERROR(__xludf.DUMMYFUNCTION("""COMPUTED_VALUE"""),"WA Mas Umar")</f>
        <v>WA Mas Umar</v>
      </c>
      <c r="I32" s="3" t="str">
        <f>IFERROR(__xludf.DUMMYFUNCTION("""COMPUTED_VALUE"""),"2507 121702941 S-60050-00")</f>
        <v>2507 121702941 S-60050-00</v>
      </c>
      <c r="J32" s="3" t="str">
        <f>IFERROR(__xludf.DUMMYFUNCTION("""COMPUTED_VALUE"""),"Approve")</f>
        <v>Approve</v>
      </c>
      <c r="K32" s="3" t="str">
        <f>IFERROR(__xludf.DUMMYFUNCTION("""COMPUTED_VALUE"""),"Normal")</f>
        <v>Normal</v>
      </c>
      <c r="L32" s="3" t="str">
        <f>IFERROR(__xludf.DUMMYFUNCTION("""COMPUTED_VALUE"""),"Non Urgent")</f>
        <v>Non Urgent</v>
      </c>
      <c r="M32" s="7">
        <f>IFERROR(__xludf.DUMMYFUNCTION("""COMPUTED_VALUE"""),45865.93611415509)</f>
        <v>45865.93611</v>
      </c>
    </row>
    <row r="33">
      <c r="A33" s="4">
        <f>IFERROR(__xludf.DUMMYFUNCTION("""COMPUTED_VALUE"""),45865.63041311343)</f>
        <v>45865.63041</v>
      </c>
      <c r="B33" s="3" t="str">
        <f>IFERROR(__xludf.DUMMYFUNCTION("""COMPUTED_VALUE"""),"MFHJA0026")</f>
        <v>MFHJA0026</v>
      </c>
      <c r="C33" s="3" t="str">
        <f>IFERROR(__xludf.DUMMYFUNCTION("""COMPUTED_VALUE"""),"-")</f>
        <v>-</v>
      </c>
      <c r="D33" s="3" t="str">
        <f>IFERROR(__xludf.DUMMYFUNCTION("""COMPUTED_VALUE"""),"EDM")</f>
        <v>EDM</v>
      </c>
      <c r="E33" s="3" t="str">
        <f>IFERROR(__xludf.DUMMYFUNCTION("""COMPUTED_VALUE"""),"Perbaikan Needle")</f>
        <v>Perbaikan Needle</v>
      </c>
      <c r="F33" s="3">
        <f>IFERROR(__xludf.DUMMYFUNCTION("""COMPUTED_VALUE"""),1.0)</f>
        <v>1</v>
      </c>
      <c r="G33" s="3" t="str">
        <f>IFERROR(__xludf.DUMMYFUNCTION("""COMPUTED_VALUE"""),"Lot")</f>
        <v>Lot</v>
      </c>
      <c r="H33" s="3" t="str">
        <f>IFERROR(__xludf.DUMMYFUNCTION("""COMPUTED_VALUE"""),"WA Mas Umar")</f>
        <v>WA Mas Umar</v>
      </c>
      <c r="I33" s="3" t="str">
        <f>IFERROR(__xludf.DUMMYFUNCTION("""COMPUTED_VALUE"""),"2507 121702941 S-60050-00")</f>
        <v>2507 121702941 S-60050-00</v>
      </c>
      <c r="J33" s="3" t="str">
        <f>IFERROR(__xludf.DUMMYFUNCTION("""COMPUTED_VALUE"""),"Approve")</f>
        <v>Approve</v>
      </c>
      <c r="K33" s="3" t="str">
        <f>IFERROR(__xludf.DUMMYFUNCTION("""COMPUTED_VALUE"""),"Normal")</f>
        <v>Normal</v>
      </c>
      <c r="L33" s="3" t="str">
        <f>IFERROR(__xludf.DUMMYFUNCTION("""COMPUTED_VALUE"""),"Non Urgent")</f>
        <v>Non Urgent</v>
      </c>
      <c r="M33" s="7">
        <f>IFERROR(__xludf.DUMMYFUNCTION("""COMPUTED_VALUE"""),45865.936495138885)</f>
        <v>45865.9365</v>
      </c>
    </row>
    <row r="34">
      <c r="A34" s="4">
        <f>IFERROR(__xludf.DUMMYFUNCTION("""COMPUTED_VALUE"""),45865.63127168982)</f>
        <v>45865.63127</v>
      </c>
      <c r="B34" s="3" t="str">
        <f>IFERROR(__xludf.DUMMYFUNCTION("""COMPUTED_VALUE"""),"MFHJA0027")</f>
        <v>MFHJA0027</v>
      </c>
      <c r="C34" s="3" t="str">
        <f>IFERROR(__xludf.DUMMYFUNCTION("""COMPUTED_VALUE"""),"-")</f>
        <v>-</v>
      </c>
      <c r="D34" s="3" t="str">
        <f>IFERROR(__xludf.DUMMYFUNCTION("""COMPUTED_VALUE"""),"AHU")</f>
        <v>AHU</v>
      </c>
      <c r="E34" s="3" t="str">
        <f>IFERROR(__xludf.DUMMYFUNCTION("""COMPUTED_VALUE"""),"Perbaikan Display Regin")</f>
        <v>Perbaikan Display Regin</v>
      </c>
      <c r="F34" s="3">
        <f>IFERROR(__xludf.DUMMYFUNCTION("""COMPUTED_VALUE"""),1.0)</f>
        <v>1</v>
      </c>
      <c r="G34" s="3" t="str">
        <f>IFERROR(__xludf.DUMMYFUNCTION("""COMPUTED_VALUE"""),"Lot")</f>
        <v>Lot</v>
      </c>
      <c r="H34" s="3" t="str">
        <f>IFERROR(__xludf.DUMMYFUNCTION("""COMPUTED_VALUE"""),"WA Supplier")</f>
        <v>WA Supplier</v>
      </c>
      <c r="I34" s="3" t="str">
        <f>IFERROR(__xludf.DUMMYFUNCTION("""COMPUTED_VALUE"""),"2552 121702977 S-60002-00")</f>
        <v>2552 121702977 S-60002-00</v>
      </c>
      <c r="J34" s="3" t="str">
        <f>IFERROR(__xludf.DUMMYFUNCTION("""COMPUTED_VALUE"""),"Approve")</f>
        <v>Approve</v>
      </c>
      <c r="K34" s="3" t="str">
        <f>IFERROR(__xludf.DUMMYFUNCTION("""COMPUTED_VALUE"""),"Normal")</f>
        <v>Normal</v>
      </c>
      <c r="L34" s="3" t="str">
        <f>IFERROR(__xludf.DUMMYFUNCTION("""COMPUTED_VALUE"""),"Non Urgent")</f>
        <v>Non Urgent</v>
      </c>
      <c r="M34" s="7">
        <f>IFERROR(__xludf.DUMMYFUNCTION("""COMPUTED_VALUE"""),45865.936693125)</f>
        <v>45865.93669</v>
      </c>
    </row>
    <row r="35">
      <c r="A35" s="4">
        <f>IFERROR(__xludf.DUMMYFUNCTION("""COMPUTED_VALUE"""),45865.631567777775)</f>
        <v>45865.63157</v>
      </c>
      <c r="B35" s="3" t="str">
        <f>IFERROR(__xludf.DUMMYFUNCTION("""COMPUTED_VALUE"""),"MFHJA0028")</f>
        <v>MFHJA0028</v>
      </c>
      <c r="C35" s="3" t="str">
        <f>IFERROR(__xludf.DUMMYFUNCTION("""COMPUTED_VALUE"""),"-")</f>
        <v>-</v>
      </c>
      <c r="D35" s="3" t="str">
        <f>IFERROR(__xludf.DUMMYFUNCTION("""COMPUTED_VALUE"""),"Instrumen")</f>
        <v>Instrumen</v>
      </c>
      <c r="E35" s="3" t="str">
        <f>IFERROR(__xludf.DUMMYFUNCTION("""COMPUTED_VALUE"""),"Perbaikan Mainboard Photometer")</f>
        <v>Perbaikan Mainboard Photometer</v>
      </c>
      <c r="F35" s="3">
        <f>IFERROR(__xludf.DUMMYFUNCTION("""COMPUTED_VALUE"""),1.0)</f>
        <v>1</v>
      </c>
      <c r="G35" s="3" t="str">
        <f>IFERROR(__xludf.DUMMYFUNCTION("""COMPUTED_VALUE"""),"Lot")</f>
        <v>Lot</v>
      </c>
      <c r="H35" s="3" t="str">
        <f>IFERROR(__xludf.DUMMYFUNCTION("""COMPUTED_VALUE"""),"WA Supplier")</f>
        <v>WA Supplier</v>
      </c>
      <c r="I35" s="3" t="str">
        <f>IFERROR(__xludf.DUMMYFUNCTION("""COMPUTED_VALUE"""),"2553 121702977 S-60002-00")</f>
        <v>2553 121702977 S-60002-00</v>
      </c>
      <c r="J35" s="3" t="str">
        <f>IFERROR(__xludf.DUMMYFUNCTION("""COMPUTED_VALUE"""),"Approve")</f>
        <v>Approve</v>
      </c>
      <c r="K35" s="3" t="str">
        <f>IFERROR(__xludf.DUMMYFUNCTION("""COMPUTED_VALUE"""),"Normal")</f>
        <v>Normal</v>
      </c>
      <c r="L35" s="3" t="str">
        <f>IFERROR(__xludf.DUMMYFUNCTION("""COMPUTED_VALUE"""),"Non Urgent")</f>
        <v>Non Urgent</v>
      </c>
      <c r="M35" s="7">
        <f>IFERROR(__xludf.DUMMYFUNCTION("""COMPUTED_VALUE"""),45865.936805324076)</f>
        <v>45865.93681</v>
      </c>
    </row>
    <row r="36">
      <c r="A36" s="4">
        <f>IFERROR(__xludf.DUMMYFUNCTION("""COMPUTED_VALUE"""),45865.63220241898)</f>
        <v>45865.6322</v>
      </c>
      <c r="B36" s="3" t="str">
        <f>IFERROR(__xludf.DUMMYFUNCTION("""COMPUTED_VALUE"""),"MFHJA0029")</f>
        <v>MFHJA0029</v>
      </c>
      <c r="C36" s="3" t="str">
        <f>IFERROR(__xludf.DUMMYFUNCTION("""COMPUTED_VALUE"""),"-")</f>
        <v>-</v>
      </c>
      <c r="D36" s="3" t="str">
        <f>IFERROR(__xludf.DUMMYFUNCTION("""COMPUTED_VALUE"""),"UPS")</f>
        <v>UPS</v>
      </c>
      <c r="E36" s="3" t="str">
        <f>IFERROR(__xludf.DUMMYFUNCTION("""COMPUTED_VALUE"""),"Perbaikan Main Board UPS")</f>
        <v>Perbaikan Main Board UPS</v>
      </c>
      <c r="F36" s="3">
        <f>IFERROR(__xludf.DUMMYFUNCTION("""COMPUTED_VALUE"""),1.0)</f>
        <v>1</v>
      </c>
      <c r="G36" s="3" t="str">
        <f>IFERROR(__xludf.DUMMYFUNCTION("""COMPUTED_VALUE"""),"Lot")</f>
        <v>Lot</v>
      </c>
      <c r="H36" s="3" t="str">
        <f>IFERROR(__xludf.DUMMYFUNCTION("""COMPUTED_VALUE"""),"WA Supplier")</f>
        <v>WA Supplier</v>
      </c>
      <c r="I36" s="3" t="str">
        <f>IFERROR(__xludf.DUMMYFUNCTION("""COMPUTED_VALUE"""),"2554 121702977 S-60002-00")</f>
        <v>2554 121702977 S-60002-00</v>
      </c>
      <c r="J36" s="3" t="str">
        <f>IFERROR(__xludf.DUMMYFUNCTION("""COMPUTED_VALUE"""),"Approve")</f>
        <v>Approve</v>
      </c>
      <c r="K36" s="3" t="str">
        <f>IFERROR(__xludf.DUMMYFUNCTION("""COMPUTED_VALUE"""),"Normal")</f>
        <v>Normal</v>
      </c>
      <c r="L36" s="3" t="str">
        <f>IFERROR(__xludf.DUMMYFUNCTION("""COMPUTED_VALUE"""),"Non Urgent")</f>
        <v>Non Urgent</v>
      </c>
      <c r="M36" s="7">
        <f>IFERROR(__xludf.DUMMYFUNCTION("""COMPUTED_VALUE"""),45865.936910902776)</f>
        <v>45865.93691</v>
      </c>
    </row>
    <row r="37">
      <c r="A37" s="4">
        <f>IFERROR(__xludf.DUMMYFUNCTION("""COMPUTED_VALUE"""),45865.63757422454)</f>
        <v>45865.63757</v>
      </c>
      <c r="B37" s="3" t="str">
        <f>IFERROR(__xludf.DUMMYFUNCTION("""COMPUTED_VALUE"""),"MFHJA0030")</f>
        <v>MFHJA0030</v>
      </c>
      <c r="C37" s="3" t="str">
        <f>IFERROR(__xludf.DUMMYFUNCTION("""COMPUTED_VALUE"""),"-")</f>
        <v>-</v>
      </c>
      <c r="D37" s="3" t="str">
        <f>IFERROR(__xludf.DUMMYFUNCTION("""COMPUTED_VALUE"""),"Lab")</f>
        <v>Lab</v>
      </c>
      <c r="E37" s="3" t="str">
        <f>IFERROR(__xludf.DUMMYFUNCTION("""COMPUTED_VALUE"""),"Perbaikan Motor Fumehood")</f>
        <v>Perbaikan Motor Fumehood</v>
      </c>
      <c r="F37" s="3">
        <f>IFERROR(__xludf.DUMMYFUNCTION("""COMPUTED_VALUE"""),1.0)</f>
        <v>1</v>
      </c>
      <c r="G37" s="3" t="str">
        <f>IFERROR(__xludf.DUMMYFUNCTION("""COMPUTED_VALUE"""),"Lot")</f>
        <v>Lot</v>
      </c>
      <c r="H37" s="3" t="str">
        <f>IFERROR(__xludf.DUMMYFUNCTION("""COMPUTED_VALUE"""),"WA Supplier")</f>
        <v>WA Supplier</v>
      </c>
      <c r="I37" s="3" t="str">
        <f>IFERROR(__xludf.DUMMYFUNCTION("""COMPUTED_VALUE"""),"2519 121702947 T-20002-00")</f>
        <v>2519 121702947 T-20002-00</v>
      </c>
      <c r="J37" s="3" t="str">
        <f>IFERROR(__xludf.DUMMYFUNCTION("""COMPUTED_VALUE"""),"Approve")</f>
        <v>Approve</v>
      </c>
      <c r="K37" s="3" t="str">
        <f>IFERROR(__xludf.DUMMYFUNCTION("""COMPUTED_VALUE"""),"Normal")</f>
        <v>Normal</v>
      </c>
      <c r="L37" s="3" t="str">
        <f>IFERROR(__xludf.DUMMYFUNCTION("""COMPUTED_VALUE"""),"Non Urgent")</f>
        <v>Non Urgent</v>
      </c>
      <c r="M37" s="7">
        <f>IFERROR(__xludf.DUMMYFUNCTION("""COMPUTED_VALUE"""),45865.937023935185)</f>
        <v>45865.93702</v>
      </c>
    </row>
    <row r="38">
      <c r="A38" s="4">
        <f>IFERROR(__xludf.DUMMYFUNCTION("""COMPUTED_VALUE"""),45865.64315780093)</f>
        <v>45865.64316</v>
      </c>
      <c r="B38" s="3" t="str">
        <f>IFERROR(__xludf.DUMMYFUNCTION("""COMPUTED_VALUE"""),"MFHJA0031")</f>
        <v>MFHJA0031</v>
      </c>
      <c r="C38" s="3" t="str">
        <f>IFERROR(__xludf.DUMMYFUNCTION("""COMPUTED_VALUE"""),"-")</f>
        <v>-</v>
      </c>
      <c r="D38" s="3" t="str">
        <f>IFERROR(__xludf.DUMMYFUNCTION("""COMPUTED_VALUE"""),"Lab")</f>
        <v>Lab</v>
      </c>
      <c r="E38" s="3" t="str">
        <f>IFERROR(__xludf.DUMMYFUNCTION("""COMPUTED_VALUE"""),"Pembuatan Desolution Tester")</f>
        <v>Pembuatan Desolution Tester</v>
      </c>
      <c r="F38" s="3">
        <f>IFERROR(__xludf.DUMMYFUNCTION("""COMPUTED_VALUE"""),1.0)</f>
        <v>1</v>
      </c>
      <c r="G38" s="3" t="str">
        <f>IFERROR(__xludf.DUMMYFUNCTION("""COMPUTED_VALUE"""),"Lot")</f>
        <v>Lot</v>
      </c>
      <c r="H38" s="3" t="str">
        <f>IFERROR(__xludf.DUMMYFUNCTION("""COMPUTED_VALUE"""),"WA Mas Umar")</f>
        <v>WA Mas Umar</v>
      </c>
      <c r="I38" s="3" t="str">
        <f>IFERROR(__xludf.DUMMYFUNCTION("""COMPUTED_VALUE"""),"2580 121703019 T-20002-00")</f>
        <v>2580 121703019 T-20002-00</v>
      </c>
      <c r="J38" s="3" t="str">
        <f>IFERROR(__xludf.DUMMYFUNCTION("""COMPUTED_VALUE"""),"Approve")</f>
        <v>Approve</v>
      </c>
      <c r="K38" s="3" t="str">
        <f>IFERROR(__xludf.DUMMYFUNCTION("""COMPUTED_VALUE"""),"Normal")</f>
        <v>Normal</v>
      </c>
      <c r="L38" s="3" t="str">
        <f>IFERROR(__xludf.DUMMYFUNCTION("""COMPUTED_VALUE"""),"Non Urgent")</f>
        <v>Non Urgent</v>
      </c>
      <c r="M38" s="7">
        <f>IFERROR(__xludf.DUMMYFUNCTION("""COMPUTED_VALUE"""),45865.93722758102)</f>
        <v>45865.93723</v>
      </c>
    </row>
    <row r="39">
      <c r="A39" s="4">
        <f>IFERROR(__xludf.DUMMYFUNCTION("""COMPUTED_VALUE"""),45868.37231552083)</f>
        <v>45868.37232</v>
      </c>
      <c r="B39" s="3" t="str">
        <f>IFERROR(__xludf.DUMMYFUNCTION("""COMPUTED_VALUE"""),"MRNJA0009")</f>
        <v>MRNJA0009</v>
      </c>
      <c r="C39" s="3" t="str">
        <f>IFERROR(__xludf.DUMMYFUNCTION("""COMPUTED_VALUE"""),"EJO/2025/01/119")</f>
        <v>EJO/2025/01/119</v>
      </c>
      <c r="D39" s="3" t="str">
        <f>IFERROR(__xludf.DUMMYFUNCTION("""COMPUTED_VALUE"""),"Warehouse")</f>
        <v>Warehouse</v>
      </c>
      <c r="E39" s="3" t="str">
        <f>IFERROR(__xludf.DUMMYFUNCTION("""COMPUTED_VALUE"""),"Sutter door rusak")</f>
        <v>Sutter door rusak</v>
      </c>
      <c r="F39" s="3">
        <f>IFERROR(__xludf.DUMMYFUNCTION("""COMPUTED_VALUE"""),1.0)</f>
        <v>1</v>
      </c>
      <c r="G39" s="3" t="str">
        <f>IFERROR(__xludf.DUMMYFUNCTION("""COMPUTED_VALUE"""),"lot")</f>
        <v>lot</v>
      </c>
      <c r="H39" s="5" t="str">
        <f>IFERROR(__xludf.DUMMYFUNCTION("""COMPUTED_VALUE"""),"https://drive.google.com/file/d/1LoODjj6kphgkZ98SaZaUvvgZWiw-_AFu/view?usp=drive_link")</f>
        <v>https://drive.google.com/file/d/1LoODjj6kphgkZ98SaZaUvvgZWiw-_AFu/view?usp=drive_link</v>
      </c>
      <c r="I39" s="3" t="str">
        <f>IFERROR(__xludf.DUMMYFUNCTION("""COMPUTED_VALUE"""),"Penawaran suter door")</f>
        <v>Penawaran suter door</v>
      </c>
      <c r="J39" s="3" t="str">
        <f>IFERROR(__xludf.DUMMYFUNCTION("""COMPUTED_VALUE"""),"Approve")</f>
        <v>Approve</v>
      </c>
      <c r="K39" s="3" t="str">
        <f>IFERROR(__xludf.DUMMYFUNCTION("""COMPUTED_VALUE"""),"Normal")</f>
        <v>Normal</v>
      </c>
      <c r="L39" s="3" t="str">
        <f>IFERROR(__xludf.DUMMYFUNCTION("""COMPUTED_VALUE"""),"Non Urgent")</f>
        <v>Non Urgent</v>
      </c>
      <c r="M39" s="7">
        <f>IFERROR(__xludf.DUMMYFUNCTION("""COMPUTED_VALUE"""),45880.361062662036)</f>
        <v>45880.36106</v>
      </c>
    </row>
    <row r="40">
      <c r="A40" s="4">
        <f>IFERROR(__xludf.DUMMYFUNCTION("""COMPUTED_VALUE"""),45884.57668288195)</f>
        <v>45884.57668</v>
      </c>
      <c r="B40" s="3" t="str">
        <f>IFERROR(__xludf.DUMMYFUNCTION("""COMPUTED_VALUE"""),"INNJA0004")</f>
        <v>INNJA0004</v>
      </c>
      <c r="C40" s="3" t="str">
        <f>IFERROR(__xludf.DUMMYFUNCTION("""COMPUTED_VALUE"""),"EJO/2025/08/190")</f>
        <v>EJO/2025/08/190</v>
      </c>
      <c r="D40" s="3" t="str">
        <f>IFERROR(__xludf.DUMMYFUNCTION("""COMPUTED_VALUE"""),"Dry Lab")</f>
        <v>Dry Lab</v>
      </c>
      <c r="E40" s="3" t="str">
        <f>IFERROR(__xludf.DUMMYFUNCTION("""COMPUTED_VALUE"""),"Perbaikan Weterbath")</f>
        <v>Perbaikan Weterbath</v>
      </c>
      <c r="F40" s="3">
        <f>IFERROR(__xludf.DUMMYFUNCTION("""COMPUTED_VALUE"""),1.0)</f>
        <v>1</v>
      </c>
      <c r="G40" s="3" t="str">
        <f>IFERROR(__xludf.DUMMYFUNCTION("""COMPUTED_VALUE"""),"Lot")</f>
        <v>Lot</v>
      </c>
      <c r="H40" s="5" t="str">
        <f>IFERROR(__xludf.DUMMYFUNCTION("""COMPUTED_VALUE"""),"https://drive.google.com/file/d/1F2uqlJFYcJigpqNY7BEjQLnMRBY9xb6E/view?usp=drive_link")</f>
        <v>https://drive.google.com/file/d/1F2uqlJFYcJigpqNY7BEjQLnMRBY9xb6E/view?usp=drive_link</v>
      </c>
      <c r="I40" s="3" t="str">
        <f>IFERROR(__xludf.DUMMYFUNCTION("""COMPUTED_VALUE"""),"Sesuai penwaran")</f>
        <v>Sesuai penwaran</v>
      </c>
      <c r="J40" s="3" t="str">
        <f>IFERROR(__xludf.DUMMYFUNCTION("""COMPUTED_VALUE"""),"Approve")</f>
        <v>Approve</v>
      </c>
      <c r="K40" s="3" t="str">
        <f>IFERROR(__xludf.DUMMYFUNCTION("""COMPUTED_VALUE"""),"Normal")</f>
        <v>Normal</v>
      </c>
      <c r="L40" s="3" t="str">
        <f>IFERROR(__xludf.DUMMYFUNCTION("""COMPUTED_VALUE"""),"Non Urgent")</f>
        <v>Non Urgent</v>
      </c>
      <c r="M40" s="7">
        <f>IFERROR(__xludf.DUMMYFUNCTION("""COMPUTED_VALUE"""),45895.11829986111)</f>
        <v>45895.1183</v>
      </c>
    </row>
    <row r="41">
      <c r="A41" s="4">
        <f>IFERROR(__xludf.DUMMYFUNCTION("""COMPUTED_VALUE"""),45910.93376961805)</f>
        <v>45910.93377</v>
      </c>
      <c r="B41" s="3" t="str">
        <f>IFERROR(__xludf.DUMMYFUNCTION("""COMPUTED_VALUE"""),"MFHJA0032")</f>
        <v>MFHJA0032</v>
      </c>
      <c r="C41" s="3" t="str">
        <f>IFERROR(__xludf.DUMMYFUNCTION("""COMPUTED_VALUE"""),"-")</f>
        <v>-</v>
      </c>
      <c r="D41" s="3" t="str">
        <f>IFERROR(__xludf.DUMMYFUNCTION("""COMPUTED_VALUE"""),"Lab")</f>
        <v>Lab</v>
      </c>
      <c r="E41" s="3" t="str">
        <f>IFERROR(__xludf.DUMMYFUNCTION("""COMPUTED_VALUE"""),"Perbaikan Kompresor CC Retain Sample")</f>
        <v>Perbaikan Kompresor CC Retain Sample</v>
      </c>
      <c r="F41" s="3">
        <f>IFERROR(__xludf.DUMMYFUNCTION("""COMPUTED_VALUE"""),1.0)</f>
        <v>1</v>
      </c>
      <c r="G41" s="3" t="str">
        <f>IFERROR(__xludf.DUMMYFUNCTION("""COMPUTED_VALUE"""),"Lot")</f>
        <v>Lot</v>
      </c>
      <c r="H41" s="3" t="str">
        <f>IFERROR(__xludf.DUMMYFUNCTION("""COMPUTED_VALUE"""),"Email Mas Umar")</f>
        <v>Email Mas Umar</v>
      </c>
      <c r="I41" s="3" t="str">
        <f>IFERROR(__xludf.DUMMYFUNCTION("""COMPUTED_VALUE"""),"2586 121703029 S-6050-00")</f>
        <v>2586 121703029 S-6050-00</v>
      </c>
      <c r="J41" s="3" t="str">
        <f>IFERROR(__xludf.DUMMYFUNCTION("""COMPUTED_VALUE"""),"Approve")</f>
        <v>Approve</v>
      </c>
      <c r="K41" s="3" t="str">
        <f>IFERROR(__xludf.DUMMYFUNCTION("""COMPUTED_VALUE"""),"Normal")</f>
        <v>Normal</v>
      </c>
      <c r="L41" s="3" t="str">
        <f>IFERROR(__xludf.DUMMYFUNCTION("""COMPUTED_VALUE"""),"Non Urgent")</f>
        <v>Non Urgent</v>
      </c>
      <c r="M41" s="7">
        <f>IFERROR(__xludf.DUMMYFUNCTION("""COMPUTED_VALUE"""),45911.89172216435)</f>
        <v>45911.89172</v>
      </c>
    </row>
    <row r="42">
      <c r="A42" s="4">
        <f>IFERROR(__xludf.DUMMYFUNCTION("""COMPUTED_VALUE"""),45910.93439554398)</f>
        <v>45910.9344</v>
      </c>
      <c r="B42" s="3" t="str">
        <f>IFERROR(__xludf.DUMMYFUNCTION("""COMPUTED_VALUE"""),"MFHJA0033")</f>
        <v>MFHJA0033</v>
      </c>
      <c r="C42" s="3" t="str">
        <f>IFERROR(__xludf.DUMMYFUNCTION("""COMPUTED_VALUE"""),"-")</f>
        <v>-</v>
      </c>
      <c r="D42" s="3" t="str">
        <f>IFERROR(__xludf.DUMMYFUNCTION("""COMPUTED_VALUE"""),"Washing")</f>
        <v>Washing</v>
      </c>
      <c r="E42" s="3" t="str">
        <f>IFERROR(__xludf.DUMMYFUNCTION("""COMPUTED_VALUE"""),"Perbaikan Needle Washing")</f>
        <v>Perbaikan Needle Washing</v>
      </c>
      <c r="F42" s="3">
        <f>IFERROR(__xludf.DUMMYFUNCTION("""COMPUTED_VALUE"""),1.0)</f>
        <v>1</v>
      </c>
      <c r="G42" s="3" t="str">
        <f>IFERROR(__xludf.DUMMYFUNCTION("""COMPUTED_VALUE"""),"Lot")</f>
        <v>Lot</v>
      </c>
      <c r="H42" s="3" t="str">
        <f>IFERROR(__xludf.DUMMYFUNCTION("""COMPUTED_VALUE"""),"Email Mas Irwan")</f>
        <v>Email Mas Irwan</v>
      </c>
      <c r="I42" s="3" t="str">
        <f>IFERROR(__xludf.DUMMYFUNCTION("""COMPUTED_VALUE"""),"2593 121703036 S-60050-00")</f>
        <v>2593 121703036 S-60050-00</v>
      </c>
      <c r="J42" s="3" t="str">
        <f>IFERROR(__xludf.DUMMYFUNCTION("""COMPUTED_VALUE"""),"Approve")</f>
        <v>Approve</v>
      </c>
      <c r="K42" s="3" t="str">
        <f>IFERROR(__xludf.DUMMYFUNCTION("""COMPUTED_VALUE"""),"Normal")</f>
        <v>Normal</v>
      </c>
      <c r="L42" s="3" t="str">
        <f>IFERROR(__xludf.DUMMYFUNCTION("""COMPUTED_VALUE"""),"Non Urgent")</f>
        <v>Non Urgent</v>
      </c>
      <c r="M42" s="7">
        <f>IFERROR(__xludf.DUMMYFUNCTION("""COMPUTED_VALUE"""),45911.89181857639)</f>
        <v>45911.89182</v>
      </c>
    </row>
    <row r="43">
      <c r="A43" s="4">
        <f>IFERROR(__xludf.DUMMYFUNCTION("""COMPUTED_VALUE"""),45921.4442130324)</f>
        <v>45921.44421</v>
      </c>
      <c r="B43" s="3" t="str">
        <f>IFERROR(__xludf.DUMMYFUNCTION("""COMPUTED_VALUE"""),"MFHJA0034")</f>
        <v>MFHJA0034</v>
      </c>
      <c r="C43" s="3" t="str">
        <f>IFERROR(__xludf.DUMMYFUNCTION("""COMPUTED_VALUE"""),"-")</f>
        <v>-</v>
      </c>
      <c r="D43" s="3" t="str">
        <f>IFERROR(__xludf.DUMMYFUNCTION("""COMPUTED_VALUE"""),"Mixing")</f>
        <v>Mixing</v>
      </c>
      <c r="E43" s="3" t="str">
        <f>IFERROR(__xludf.DUMMYFUNCTION("""COMPUTED_VALUE"""),"Perbaikan PC Mixing")</f>
        <v>Perbaikan PC Mixing</v>
      </c>
      <c r="F43" s="3">
        <f>IFERROR(__xludf.DUMMYFUNCTION("""COMPUTED_VALUE"""),1.0)</f>
        <v>1</v>
      </c>
      <c r="G43" s="3" t="str">
        <f>IFERROR(__xludf.DUMMYFUNCTION("""COMPUTED_VALUE"""),"Lot")</f>
        <v>Lot</v>
      </c>
      <c r="H43" s="3" t="str">
        <f>IFERROR(__xludf.DUMMYFUNCTION("""COMPUTED_VALUE"""),"Email Mas Umar")</f>
        <v>Email Mas Umar</v>
      </c>
      <c r="I43" s="3" t="str">
        <f>IFERROR(__xludf.DUMMYFUNCTION("""COMPUTED_VALUE"""),"2672 121703099 S-60002-00")</f>
        <v>2672 121703099 S-60002-00</v>
      </c>
      <c r="J43" s="3" t="str">
        <f>IFERROR(__xludf.DUMMYFUNCTION("""COMPUTED_VALUE"""),"Approve")</f>
        <v>Approve</v>
      </c>
      <c r="K43" s="3" t="str">
        <f>IFERROR(__xludf.DUMMYFUNCTION("""COMPUTED_VALUE"""),"Normal")</f>
        <v>Normal</v>
      </c>
      <c r="L43" s="3" t="str">
        <f>IFERROR(__xludf.DUMMYFUNCTION("""COMPUTED_VALUE"""),"Non Urgent")</f>
        <v>Non Urgent</v>
      </c>
      <c r="M43" s="7">
        <f>IFERROR(__xludf.DUMMYFUNCTION("""COMPUTED_VALUE"""),45921.876703449074)</f>
        <v>45921.8767</v>
      </c>
    </row>
    <row r="44">
      <c r="A44" s="4">
        <f>IFERROR(__xludf.DUMMYFUNCTION("""COMPUTED_VALUE"""),45921.445608078706)</f>
        <v>45921.44561</v>
      </c>
      <c r="B44" s="3" t="str">
        <f>IFERROR(__xludf.DUMMYFUNCTION("""COMPUTED_VALUE"""),"MFHJA0035")</f>
        <v>MFHJA0035</v>
      </c>
      <c r="C44" s="3" t="str">
        <f>IFERROR(__xludf.DUMMYFUNCTION("""COMPUTED_VALUE"""),"-")</f>
        <v>-</v>
      </c>
      <c r="D44" s="3" t="str">
        <f>IFERROR(__xludf.DUMMYFUNCTION("""COMPUTED_VALUE"""),"FD")</f>
        <v>FD</v>
      </c>
      <c r="E44" s="3" t="str">
        <f>IFERROR(__xludf.DUMMYFUNCTION("""COMPUTED_VALUE"""),"Tabungan Remote FD")</f>
        <v>Tabungan Remote FD</v>
      </c>
      <c r="F44" s="3">
        <f>IFERROR(__xludf.DUMMYFUNCTION("""COMPUTED_VALUE"""),1.0)</f>
        <v>1</v>
      </c>
      <c r="G44" s="3" t="str">
        <f>IFERROR(__xludf.DUMMYFUNCTION("""COMPUTED_VALUE"""),"Lot")</f>
        <v>Lot</v>
      </c>
      <c r="H44" s="3" t="str">
        <f>IFERROR(__xludf.DUMMYFUNCTION("""COMPUTED_VALUE"""),"Email Mas Umar")</f>
        <v>Email Mas Umar</v>
      </c>
      <c r="I44" s="3" t="str">
        <f>IFERROR(__xludf.DUMMYFUNCTION("""COMPUTED_VALUE"""),"2675 121703104 S-60050-00")</f>
        <v>2675 121703104 S-60050-00</v>
      </c>
      <c r="J44" s="3" t="str">
        <f>IFERROR(__xludf.DUMMYFUNCTION("""COMPUTED_VALUE"""),"Approve")</f>
        <v>Approve</v>
      </c>
      <c r="K44" s="3" t="str">
        <f>IFERROR(__xludf.DUMMYFUNCTION("""COMPUTED_VALUE"""),"Normal")</f>
        <v>Normal</v>
      </c>
      <c r="L44" s="3" t="str">
        <f>IFERROR(__xludf.DUMMYFUNCTION("""COMPUTED_VALUE"""),"Non Urgent")</f>
        <v>Non Urgent</v>
      </c>
      <c r="M44" s="7">
        <f>IFERROR(__xludf.DUMMYFUNCTION("""COMPUTED_VALUE"""),45921.876795833334)</f>
        <v>45921.8768</v>
      </c>
    </row>
    <row r="45">
      <c r="A45" s="4">
        <f>IFERROR(__xludf.DUMMYFUNCTION("""COMPUTED_VALUE"""),45921.45370528936)</f>
        <v>45921.45371</v>
      </c>
      <c r="B45" s="3" t="str">
        <f>IFERROR(__xludf.DUMMYFUNCTION("""COMPUTED_VALUE"""),"MFHJA0037")</f>
        <v>MFHJA0037</v>
      </c>
      <c r="C45" s="3" t="str">
        <f>IFERROR(__xludf.DUMMYFUNCTION("""COMPUTED_VALUE"""),"-")</f>
        <v>-</v>
      </c>
      <c r="D45" s="3" t="str">
        <f>IFERROR(__xludf.DUMMYFUNCTION("""COMPUTED_VALUE"""),"AHU")</f>
        <v>AHU</v>
      </c>
      <c r="E45" s="3" t="str">
        <f>IFERROR(__xludf.DUMMYFUNCTION("""COMPUTED_VALUE"""),"Penggantian Bibo")</f>
        <v>Penggantian Bibo</v>
      </c>
      <c r="F45" s="3">
        <f>IFERROR(__xludf.DUMMYFUNCTION("""COMPUTED_VALUE"""),1.0)</f>
        <v>1</v>
      </c>
      <c r="G45" s="3" t="str">
        <f>IFERROR(__xludf.DUMMYFUNCTION("""COMPUTED_VALUE"""),"Lot")</f>
        <v>Lot</v>
      </c>
      <c r="H45" s="3" t="str">
        <f>IFERROR(__xludf.DUMMYFUNCTION("""COMPUTED_VALUE"""),"WA Mas Ken")</f>
        <v>WA Mas Ken</v>
      </c>
      <c r="I45" s="3" t="str">
        <f>IFERROR(__xludf.DUMMYFUNCTION("""COMPUTED_VALUE"""),"2696 121703131 S-60002-00")</f>
        <v>2696 121703131 S-60002-00</v>
      </c>
      <c r="J45" s="3" t="str">
        <f>IFERROR(__xludf.DUMMYFUNCTION("""COMPUTED_VALUE"""),"Approve")</f>
        <v>Approve</v>
      </c>
      <c r="K45" s="3" t="str">
        <f>IFERROR(__xludf.DUMMYFUNCTION("""COMPUTED_VALUE"""),"Normal")</f>
        <v>Normal</v>
      </c>
      <c r="L45" s="3" t="str">
        <f>IFERROR(__xludf.DUMMYFUNCTION("""COMPUTED_VALUE"""),"Non Urgent")</f>
        <v>Non Urgent</v>
      </c>
      <c r="M45" s="7">
        <f>IFERROR(__xludf.DUMMYFUNCTION("""COMPUTED_VALUE"""),45921.87698400463)</f>
        <v>45921.87698</v>
      </c>
    </row>
    <row r="46">
      <c r="A46" s="4">
        <f>IFERROR(__xludf.DUMMYFUNCTION("""COMPUTED_VALUE"""),45921.45562086806)</f>
        <v>45921.45562</v>
      </c>
      <c r="B46" s="3" t="str">
        <f>IFERROR(__xludf.DUMMYFUNCTION("""COMPUTED_VALUE"""),"MFHJA0038")</f>
        <v>MFHJA0038</v>
      </c>
      <c r="C46" s="3" t="str">
        <f>IFERROR(__xludf.DUMMYFUNCTION("""COMPUTED_VALUE"""),"-")</f>
        <v>-</v>
      </c>
      <c r="D46" s="3" t="str">
        <f>IFERROR(__xludf.DUMMYFUNCTION("""COMPUTED_VALUE"""),"Forklift")</f>
        <v>Forklift</v>
      </c>
      <c r="E46" s="3" t="str">
        <f>IFERROR(__xludf.DUMMYFUNCTION("""COMPUTED_VALUE"""),"Pergantian Forklift")</f>
        <v>Pergantian Forklift</v>
      </c>
      <c r="F46" s="3">
        <f>IFERROR(__xludf.DUMMYFUNCTION("""COMPUTED_VALUE"""),1.0)</f>
        <v>1</v>
      </c>
      <c r="G46" s="3" t="str">
        <f>IFERROR(__xludf.DUMMYFUNCTION("""COMPUTED_VALUE"""),"Lot")</f>
        <v>Lot</v>
      </c>
      <c r="H46" s="3" t="str">
        <f>IFERROR(__xludf.DUMMYFUNCTION("""COMPUTED_VALUE"""),"WA Mas Ken")</f>
        <v>WA Mas Ken</v>
      </c>
      <c r="I46" s="3" t="str">
        <f>IFERROR(__xludf.DUMMYFUNCTION("""COMPUTED_VALUE"""),"2705 121703139 S-60002-00")</f>
        <v>2705 121703139 S-60002-00</v>
      </c>
      <c r="J46" s="3" t="str">
        <f>IFERROR(__xludf.DUMMYFUNCTION("""COMPUTED_VALUE"""),"Approve")</f>
        <v>Approve</v>
      </c>
      <c r="K46" s="3" t="str">
        <f>IFERROR(__xludf.DUMMYFUNCTION("""COMPUTED_VALUE"""),"Normal")</f>
        <v>Normal</v>
      </c>
      <c r="L46" s="3" t="str">
        <f>IFERROR(__xludf.DUMMYFUNCTION("""COMPUTED_VALUE"""),"Non Urgent")</f>
        <v>Non Urgent</v>
      </c>
      <c r="M46" s="7">
        <f>IFERROR(__xludf.DUMMYFUNCTION("""COMPUTED_VALUE"""),45921.87708505787)</f>
        <v>45921.87709</v>
      </c>
    </row>
    <row r="47">
      <c r="A47" s="4">
        <f>IFERROR(__xludf.DUMMYFUNCTION("""COMPUTED_VALUE"""),45921.45977744213)</f>
        <v>45921.45978</v>
      </c>
      <c r="B47" s="3" t="str">
        <f>IFERROR(__xludf.DUMMYFUNCTION("""COMPUTED_VALUE"""),"MFHJA0039")</f>
        <v>MFHJA0039</v>
      </c>
      <c r="C47" s="3" t="str">
        <f>IFERROR(__xludf.DUMMYFUNCTION("""COMPUTED_VALUE"""),"-")</f>
        <v>-</v>
      </c>
      <c r="D47" s="3" t="str">
        <f>IFERROR(__xludf.DUMMYFUNCTION("""COMPUTED_VALUE"""),"HPLC")</f>
        <v>HPLC</v>
      </c>
      <c r="E47" s="3" t="str">
        <f>IFERROR(__xludf.DUMMYFUNCTION("""COMPUTED_VALUE"""),"TAP 4 Unit")</f>
        <v>TAP 4 Unit</v>
      </c>
      <c r="F47" s="3">
        <f>IFERROR(__xludf.DUMMYFUNCTION("""COMPUTED_VALUE"""),1.0)</f>
        <v>1</v>
      </c>
      <c r="G47" s="3" t="str">
        <f>IFERROR(__xludf.DUMMYFUNCTION("""COMPUTED_VALUE"""),"Lot")</f>
        <v>Lot</v>
      </c>
      <c r="H47" s="3" t="str">
        <f>IFERROR(__xludf.DUMMYFUNCTION("""COMPUTED_VALUE"""),"WA Pak Kris")</f>
        <v>WA Pak Kris</v>
      </c>
      <c r="I47" s="3" t="str">
        <f>IFERROR(__xludf.DUMMYFUNCTION("""COMPUTED_VALUE"""),"2735 121703161 T-20002-00")</f>
        <v>2735 121703161 T-20002-00</v>
      </c>
      <c r="J47" s="3" t="str">
        <f>IFERROR(__xludf.DUMMYFUNCTION("""COMPUTED_VALUE"""),"Approve")</f>
        <v>Approve</v>
      </c>
      <c r="K47" s="3" t="str">
        <f>IFERROR(__xludf.DUMMYFUNCTION("""COMPUTED_VALUE"""),"Normal")</f>
        <v>Normal</v>
      </c>
      <c r="L47" s="3" t="str">
        <f>IFERROR(__xludf.DUMMYFUNCTION("""COMPUTED_VALUE"""),"Non Urgent")</f>
        <v>Non Urgent</v>
      </c>
      <c r="M47" s="7">
        <f>IFERROR(__xludf.DUMMYFUNCTION("""COMPUTED_VALUE"""),45921.87718800926)</f>
        <v>45921.87719</v>
      </c>
    </row>
    <row r="48">
      <c r="A48" s="4">
        <f>IFERROR(__xludf.DUMMYFUNCTION("""COMPUTED_VALUE"""),45921.46395667824)</f>
        <v>45921.46396</v>
      </c>
      <c r="B48" s="3" t="str">
        <f>IFERROR(__xludf.DUMMYFUNCTION("""COMPUTED_VALUE"""),"MFHJA0040")</f>
        <v>MFHJA0040</v>
      </c>
      <c r="C48" s="3" t="str">
        <f>IFERROR(__xludf.DUMMYFUNCTION("""COMPUTED_VALUE"""),"-")</f>
        <v>-</v>
      </c>
      <c r="D48" s="3" t="str">
        <f>IFERROR(__xludf.DUMMYFUNCTION("""COMPUTED_VALUE"""),"Tunnel")</f>
        <v>Tunnel</v>
      </c>
      <c r="E48" s="3" t="str">
        <f>IFERROR(__xludf.DUMMYFUNCTION("""COMPUTED_VALUE"""),"training Recorder Tunnel")</f>
        <v>training Recorder Tunnel</v>
      </c>
      <c r="F48" s="3">
        <f>IFERROR(__xludf.DUMMYFUNCTION("""COMPUTED_VALUE"""),1.0)</f>
        <v>1</v>
      </c>
      <c r="G48" s="3" t="str">
        <f>IFERROR(__xludf.DUMMYFUNCTION("""COMPUTED_VALUE"""),"Lot")</f>
        <v>Lot</v>
      </c>
      <c r="H48" s="3" t="str">
        <f>IFERROR(__xludf.DUMMYFUNCTION("""COMPUTED_VALUE"""),"WA Mas Umar")</f>
        <v>WA Mas Umar</v>
      </c>
      <c r="I48" s="3" t="str">
        <f>IFERROR(__xludf.DUMMYFUNCTION("""COMPUTED_VALUE"""),"2772 121703213 S-60050-00")</f>
        <v>2772 121703213 S-60050-00</v>
      </c>
      <c r="J48" s="3" t="str">
        <f>IFERROR(__xludf.DUMMYFUNCTION("""COMPUTED_VALUE"""),"Approve")</f>
        <v>Approve</v>
      </c>
      <c r="K48" s="3" t="str">
        <f>IFERROR(__xludf.DUMMYFUNCTION("""COMPUTED_VALUE"""),"Normal")</f>
        <v>Normal</v>
      </c>
      <c r="L48" s="3" t="str">
        <f>IFERROR(__xludf.DUMMYFUNCTION("""COMPUTED_VALUE"""),"Non Urgent")</f>
        <v>Non Urgent</v>
      </c>
      <c r="M48" s="7">
        <f>IFERROR(__xludf.DUMMYFUNCTION("""COMPUTED_VALUE"""),45921.87731011574)</f>
        <v>45921.87731</v>
      </c>
    </row>
    <row r="49">
      <c r="A49" s="4">
        <f>IFERROR(__xludf.DUMMYFUNCTION("""COMPUTED_VALUE"""),45951.90277759259)</f>
        <v>45951.90278</v>
      </c>
      <c r="B49" s="3" t="str">
        <f>IFERROR(__xludf.DUMMYFUNCTION("""COMPUTED_VALUE"""),"SFHJA0003")</f>
        <v>SFHJA0003</v>
      </c>
      <c r="C49" s="3" t="str">
        <f>IFERROR(__xludf.DUMMYFUNCTION("""COMPUTED_VALUE"""),"EJO/2025/07/152")</f>
        <v>EJO/2025/07/152</v>
      </c>
      <c r="D49" s="3" t="str">
        <f>IFERROR(__xludf.DUMMYFUNCTION("""COMPUTED_VALUE"""),"Tangga produksi")</f>
        <v>Tangga produksi</v>
      </c>
      <c r="E49" s="3" t="str">
        <f>IFERROR(__xludf.DUMMYFUNCTION("""COMPUTED_VALUE"""),"pergantian glasbox yang pecah dan perbaikan nat yang retak retak")</f>
        <v>pergantian glasbox yang pecah dan perbaikan nat yang retak retak</v>
      </c>
      <c r="F49" s="3">
        <f>IFERROR(__xludf.DUMMYFUNCTION("""COMPUTED_VALUE"""),1.0)</f>
        <v>1</v>
      </c>
      <c r="G49" s="3" t="str">
        <f>IFERROR(__xludf.DUMMYFUNCTION("""COMPUTED_VALUE"""),"lot")</f>
        <v>lot</v>
      </c>
      <c r="H49" s="5" t="str">
        <f>IFERROR(__xludf.DUMMYFUNCTION("""COMPUTED_VALUE"""),"https://drive.google.com/file/d/1l2c2oU_b7292Cr-xT5s7bgAGFfToWAfO/view?usp=drive_link")</f>
        <v>https://drive.google.com/file/d/1l2c2oU_b7292Cr-xT5s7bgAGFfToWAfO/view?usp=drive_link</v>
      </c>
      <c r="I49" s="3" t="str">
        <f>IFERROR(__xludf.DUMMYFUNCTION("""COMPUTED_VALUE"""),"-")</f>
        <v>-</v>
      </c>
      <c r="J49" s="3" t="str">
        <f>IFERROR(__xludf.DUMMYFUNCTION("""COMPUTED_VALUE"""),"Approve")</f>
        <v>Approve</v>
      </c>
      <c r="K49" s="3" t="str">
        <f>IFERROR(__xludf.DUMMYFUNCTION("""COMPUTED_VALUE"""),"Normal")</f>
        <v>Normal</v>
      </c>
      <c r="L49" s="3" t="str">
        <f>IFERROR(__xludf.DUMMYFUNCTION("""COMPUTED_VALUE"""),"Non Urgent")</f>
        <v>Non Urgent</v>
      </c>
      <c r="M49" s="7">
        <f>IFERROR(__xludf.DUMMYFUNCTION("""COMPUTED_VALUE"""),45953.73769930555)</f>
        <v>45953.7377</v>
      </c>
    </row>
    <row r="50">
      <c r="A50" s="4">
        <f>IFERROR(__xludf.DUMMYFUNCTION("""COMPUTED_VALUE"""),45958.82183883102)</f>
        <v>45958.82184</v>
      </c>
      <c r="B50" s="3" t="str">
        <f>IFERROR(__xludf.DUMMYFUNCTION("""COMPUTED_VALUE"""),"INNJA0005")</f>
        <v>INNJA0005</v>
      </c>
      <c r="C50" s="3" t="str">
        <f>IFERROR(__xludf.DUMMYFUNCTION("""COMPUTED_VALUE"""),"NA")</f>
        <v>NA</v>
      </c>
      <c r="D50" s="3" t="str">
        <f>IFERROR(__xludf.DUMMYFUNCTION("""COMPUTED_VALUE"""),"Crabs")</f>
        <v>Crabs</v>
      </c>
      <c r="E50" s="3" t="str">
        <f>IFERROR(__xludf.DUMMYFUNCTION("""COMPUTED_VALUE"""),"Rescreening Membrane 60 micron CR2")</f>
        <v>Rescreening Membrane 60 micron CR2</v>
      </c>
      <c r="F50" s="3">
        <f>IFERROR(__xludf.DUMMYFUNCTION("""COMPUTED_VALUE"""),1.0)</f>
        <v>1</v>
      </c>
      <c r="G50" s="3" t="str">
        <f>IFERROR(__xludf.DUMMYFUNCTION("""COMPUTED_VALUE"""),"Unit")</f>
        <v>Unit</v>
      </c>
      <c r="H50" s="5" t="str">
        <f>IFERROR(__xludf.DUMMYFUNCTION("""COMPUTED_VALUE"""),"https://drive.google.com/file/d/1oX43wMBjJNBYOeMUKOS6Yy3FR5Z_zgfj/view?usp=drive_link")</f>
        <v>https://drive.google.com/file/d/1oX43wMBjJNBYOeMUKOS6Yy3FR5Z_zgfj/view?usp=drive_link</v>
      </c>
      <c r="I50" s="3" t="str">
        <f>IFERROR(__xludf.DUMMYFUNCTION("""COMPUTED_VALUE"""),"Sesuai penwaran")</f>
        <v>Sesuai penwaran</v>
      </c>
      <c r="J50" s="3" t="str">
        <f>IFERROR(__xludf.DUMMYFUNCTION("""COMPUTED_VALUE"""),"Approve")</f>
        <v>Approve</v>
      </c>
      <c r="K50" s="3" t="str">
        <f>IFERROR(__xludf.DUMMYFUNCTION("""COMPUTED_VALUE"""),"Normal")</f>
        <v>Normal</v>
      </c>
      <c r="L50" s="3" t="str">
        <f>IFERROR(__xludf.DUMMYFUNCTION("""COMPUTED_VALUE"""),"Non Urgent")</f>
        <v>Non Urgent</v>
      </c>
      <c r="M50" s="7">
        <f>IFERROR(__xludf.DUMMYFUNCTION("""COMPUTED_VALUE"""),45976.2178025)</f>
        <v>45976.2178</v>
      </c>
    </row>
    <row r="51">
      <c r="A51" s="4">
        <f>IFERROR(__xludf.DUMMYFUNCTION("""COMPUTED_VALUE"""),46034.81376619213)</f>
        <v>46034.81377</v>
      </c>
      <c r="B51" s="3" t="str">
        <f>IFERROR(__xludf.DUMMYFUNCTION("""COMPUTED_VALUE"""),"RIAJA0004")</f>
        <v>RIAJA0004</v>
      </c>
      <c r="C51" s="3" t="str">
        <f>IFERROR(__xludf.DUMMYFUNCTION("""COMPUTED_VALUE"""),"EJO/2026/01/03")</f>
        <v>EJO/2026/01/03</v>
      </c>
      <c r="D51" s="3" t="str">
        <f>IFERROR(__xludf.DUMMYFUNCTION("""COMPUTED_VALUE"""),"Panel Distribusi")</f>
        <v>Panel Distribusi</v>
      </c>
      <c r="E51" s="3" t="str">
        <f>IFERROR(__xludf.DUMMYFUNCTION("""COMPUTED_VALUE"""),"Jasa Power Meter")</f>
        <v>Jasa Power Meter</v>
      </c>
      <c r="F51" s="3">
        <f>IFERROR(__xludf.DUMMYFUNCTION("""COMPUTED_VALUE"""),1.0)</f>
        <v>1</v>
      </c>
      <c r="G51" s="3" t="str">
        <f>IFERROR(__xludf.DUMMYFUNCTION("""COMPUTED_VALUE"""),"Set")</f>
        <v>Set</v>
      </c>
      <c r="H51" s="3" t="str">
        <f>IFERROR(__xludf.DUMMYFUNCTION("""COMPUTED_VALUE"""),"POWER METER DATA POOLING VIA RS485.pdf")</f>
        <v>POWER METER DATA POOLING VIA RS485.pdf</v>
      </c>
      <c r="I51" s="3" t="str">
        <f>IFERROR(__xludf.DUMMYFUNCTION("""COMPUTED_VALUE"""),"Upgrade Power Meter")</f>
        <v>Upgrade Power Meter</v>
      </c>
      <c r="J51" s="3" t="str">
        <f>IFERROR(__xludf.DUMMYFUNCTION("""COMPUTED_VALUE"""),"Approve")</f>
        <v>Approve</v>
      </c>
      <c r="K51" s="3" t="str">
        <f>IFERROR(__xludf.DUMMYFUNCTION("""COMPUTED_VALUE"""),"Normal")</f>
        <v>Normal</v>
      </c>
      <c r="L51" s="3" t="str">
        <f>IFERROR(__xludf.DUMMYFUNCTION("""COMPUTED_VALUE"""),"Non Urgent")</f>
        <v>Non Urgent</v>
      </c>
      <c r="M51" s="7">
        <f>IFERROR(__xludf.DUMMYFUNCTION("""COMPUTED_VALUE"""),46037.4172609838)</f>
        <v>46037.41726</v>
      </c>
    </row>
    <row r="52">
      <c r="A52" s="4">
        <f>IFERROR(__xludf.DUMMYFUNCTION("""COMPUTED_VALUE"""),46047.86533876158)</f>
        <v>46047.86534</v>
      </c>
      <c r="B52" s="3" t="str">
        <f>IFERROR(__xludf.DUMMYFUNCTION("""COMPUTED_VALUE"""),"MFHJA0041")</f>
        <v>MFHJA0041</v>
      </c>
      <c r="C52" s="3" t="str">
        <f>IFERROR(__xludf.DUMMYFUNCTION("""COMPUTED_VALUE"""),"-")</f>
        <v>-</v>
      </c>
      <c r="D52" s="3" t="str">
        <f>IFERROR(__xludf.DUMMYFUNCTION("""COMPUTED_VALUE"""),"Tools")</f>
        <v>Tools</v>
      </c>
      <c r="E52" s="3" t="str">
        <f>IFERROR(__xludf.DUMMYFUNCTION("""COMPUTED_VALUE"""),"Perbaikan Minicapt")</f>
        <v>Perbaikan Minicapt</v>
      </c>
      <c r="F52" s="3">
        <f>IFERROR(__xludf.DUMMYFUNCTION("""COMPUTED_VALUE"""),1.0)</f>
        <v>1</v>
      </c>
      <c r="G52" s="3" t="str">
        <f>IFERROR(__xludf.DUMMYFUNCTION("""COMPUTED_VALUE"""),"Lot")</f>
        <v>Lot</v>
      </c>
      <c r="H52" s="3" t="str">
        <f>IFERROR(__xludf.DUMMYFUNCTION("""COMPUTED_VALUE"""),"WA Mas Umar")</f>
        <v>WA Mas Umar</v>
      </c>
      <c r="I52" s="3" t="str">
        <f>IFERROR(__xludf.DUMMYFUNCTION("""COMPUTED_VALUE"""),"2958 121703339 - APPROVED S-60050-00")</f>
        <v>2958 121703339 - APPROVED S-60050-00</v>
      </c>
      <c r="J52" s="3" t="str">
        <f>IFERROR(__xludf.DUMMYFUNCTION("""COMPUTED_VALUE"""),"Approve")</f>
        <v>Approve</v>
      </c>
      <c r="K52" s="3" t="str">
        <f>IFERROR(__xludf.DUMMYFUNCTION("""COMPUTED_VALUE"""),"Normal")</f>
        <v>Normal</v>
      </c>
      <c r="L52" s="3" t="str">
        <f>IFERROR(__xludf.DUMMYFUNCTION("""COMPUTED_VALUE"""),"Non Urgent")</f>
        <v>Non Urgent</v>
      </c>
      <c r="M52" s="7">
        <f>IFERROR(__xludf.DUMMYFUNCTION("""COMPUTED_VALUE"""),46047.89723372685)</f>
        <v>46047.89723</v>
      </c>
    </row>
    <row r="53">
      <c r="A53" s="4">
        <f>IFERROR(__xludf.DUMMYFUNCTION("""COMPUTED_VALUE"""),46047.866203715275)</f>
        <v>46047.8662</v>
      </c>
      <c r="B53" s="3" t="str">
        <f>IFERROR(__xludf.DUMMYFUNCTION("""COMPUTED_VALUE"""),"MFHJA0042")</f>
        <v>MFHJA0042</v>
      </c>
      <c r="C53" s="3" t="str">
        <f>IFERROR(__xludf.DUMMYFUNCTION("""COMPUTED_VALUE"""),"-")</f>
        <v>-</v>
      </c>
      <c r="D53" s="3" t="str">
        <f>IFERROR(__xludf.DUMMYFUNCTION("""COMPUTED_VALUE"""),"Tools")</f>
        <v>Tools</v>
      </c>
      <c r="E53" s="3" t="str">
        <f>IFERROR(__xludf.DUMMYFUNCTION("""COMPUTED_VALUE"""),"Perbaikan Heating Plate")</f>
        <v>Perbaikan Heating Plate</v>
      </c>
      <c r="F53" s="3">
        <f>IFERROR(__xludf.DUMMYFUNCTION("""COMPUTED_VALUE"""),1.0)</f>
        <v>1</v>
      </c>
      <c r="G53" s="3" t="str">
        <f>IFERROR(__xludf.DUMMYFUNCTION("""COMPUTED_VALUE"""),"Lot")</f>
        <v>Lot</v>
      </c>
      <c r="H53" s="3" t="str">
        <f>IFERROR(__xludf.DUMMYFUNCTION("""COMPUTED_VALUE"""),"WA Mas Irwan")</f>
        <v>WA Mas Irwan</v>
      </c>
      <c r="I53" s="3" t="str">
        <f>IFERROR(__xludf.DUMMYFUNCTION("""COMPUTED_VALUE"""),"3277 121703696 - APPROVED S-60050-00")</f>
        <v>3277 121703696 - APPROVED S-60050-00</v>
      </c>
      <c r="J53" s="3" t="str">
        <f>IFERROR(__xludf.DUMMYFUNCTION("""COMPUTED_VALUE"""),"Approve")</f>
        <v>Approve</v>
      </c>
      <c r="K53" s="3" t="str">
        <f>IFERROR(__xludf.DUMMYFUNCTION("""COMPUTED_VALUE"""),"Normal")</f>
        <v>Normal</v>
      </c>
      <c r="L53" s="3" t="str">
        <f>IFERROR(__xludf.DUMMYFUNCTION("""COMPUTED_VALUE"""),"Non Urgent")</f>
        <v>Non Urgent</v>
      </c>
      <c r="M53" s="7">
        <f>IFERROR(__xludf.DUMMYFUNCTION("""COMPUTED_VALUE"""),46047.897349085644)</f>
        <v>46047.89735</v>
      </c>
    </row>
    <row r="54">
      <c r="A54" s="4">
        <f>IFERROR(__xludf.DUMMYFUNCTION("""COMPUTED_VALUE"""),46068.67842951389)</f>
        <v>46068.67843</v>
      </c>
      <c r="B54" s="3" t="str">
        <f>IFERROR(__xludf.DUMMYFUNCTION("""COMPUTED_VALUE"""),"RIAJA0006")</f>
        <v>RIAJA0006</v>
      </c>
      <c r="C54" s="3" t="str">
        <f>IFERROR(__xludf.DUMMYFUNCTION("""COMPUTED_VALUE"""),"EJO/2025/04/105")</f>
        <v>EJO/2025/04/105</v>
      </c>
      <c r="D54" s="3" t="str">
        <f>IFERROR(__xludf.DUMMYFUNCTION("""COMPUTED_VALUE"""),"OSD")</f>
        <v>OSD</v>
      </c>
      <c r="E54" s="3" t="str">
        <f>IFERROR(__xludf.DUMMYFUNCTION("""COMPUTED_VALUE"""),"Recoating Flowcrete FlowSeal UV Satin Ash Grey
250 micron (4.2 m2)")</f>
        <v>Recoating Flowcrete FlowSeal UV Satin Ash Grey
250 micron (4.2 m2)</v>
      </c>
      <c r="F54" s="3">
        <f>IFERROR(__xludf.DUMMYFUNCTION("""COMPUTED_VALUE"""),1.0)</f>
        <v>1</v>
      </c>
      <c r="G54" s="3" t="str">
        <f>IFERROR(__xludf.DUMMYFUNCTION("""COMPUTED_VALUE"""),"ls")</f>
        <v>ls</v>
      </c>
      <c r="H54" s="3" t="str">
        <f>IFERROR(__xludf.DUMMYFUNCTION("""COMPUTED_VALUE"""),"FIP_002_PNW-A_2026.pdf")</f>
        <v>FIP_002_PNW-A_2026.pdf</v>
      </c>
      <c r="I54" s="3" t="str">
        <f>IFERROR(__xludf.DUMMYFUNCTION("""COMPUTED_VALUE"""),"Untuk Epoxy ulang")</f>
        <v>Untuk Epoxy ulang</v>
      </c>
      <c r="J54" s="3" t="str">
        <f>IFERROR(__xludf.DUMMYFUNCTION("""COMPUTED_VALUE"""),"Approve")</f>
        <v>Approve</v>
      </c>
      <c r="K54" s="3" t="str">
        <f>IFERROR(__xludf.DUMMYFUNCTION("""COMPUTED_VALUE"""),"Normal")</f>
        <v>Normal</v>
      </c>
      <c r="L54" s="3" t="str">
        <f>IFERROR(__xludf.DUMMYFUNCTION("""COMPUTED_VALUE"""),"Non Urgent")</f>
        <v>Non Urgent</v>
      </c>
      <c r="M54" s="7">
        <f>IFERROR(__xludf.DUMMYFUNCTION("""COMPUTED_VALUE"""),46072.9824165625)</f>
        <v>46072.98242</v>
      </c>
    </row>
    <row r="55">
      <c r="A55" s="4">
        <f>IFERROR(__xludf.DUMMYFUNCTION("""COMPUTED_VALUE"""),46068.679214826385)</f>
        <v>46068.67921</v>
      </c>
      <c r="B55" s="3" t="str">
        <f>IFERROR(__xludf.DUMMYFUNCTION("""COMPUTED_VALUE"""),"RIAJA0007")</f>
        <v>RIAJA0007</v>
      </c>
      <c r="C55" s="3" t="str">
        <f>IFERROR(__xludf.DUMMYFUNCTION("""COMPUTED_VALUE"""),"EJO/2025/04/105")</f>
        <v>EJO/2025/04/105</v>
      </c>
      <c r="D55" s="3" t="str">
        <f>IFERROR(__xludf.DUMMYFUNCTION("""COMPUTED_VALUE"""),"OSD")</f>
        <v>OSD</v>
      </c>
      <c r="E55" s="3" t="str">
        <f>IFERROR(__xludf.DUMMYFUNCTION("""COMPUTED_VALUE"""),"Coating curving R5 (2 m)")</f>
        <v>Coating curving R5 (2 m)</v>
      </c>
      <c r="F55" s="3">
        <f>IFERROR(__xludf.DUMMYFUNCTION("""COMPUTED_VALUE"""),1.0)</f>
        <v>1</v>
      </c>
      <c r="G55" s="3" t="str">
        <f>IFERROR(__xludf.DUMMYFUNCTION("""COMPUTED_VALUE"""),"ls")</f>
        <v>ls</v>
      </c>
      <c r="H55" s="3" t="str">
        <f>IFERROR(__xludf.DUMMYFUNCTION("""COMPUTED_VALUE"""),"FIP_002_PNW-A_2026.pdf")</f>
        <v>FIP_002_PNW-A_2026.pdf</v>
      </c>
      <c r="I55" s="3" t="str">
        <f>IFERROR(__xludf.DUMMYFUNCTION("""COMPUTED_VALUE"""),"Untuk Epoxy ulang")</f>
        <v>Untuk Epoxy ulang</v>
      </c>
      <c r="J55" s="3" t="str">
        <f>IFERROR(__xludf.DUMMYFUNCTION("""COMPUTED_VALUE"""),"Approve")</f>
        <v>Approve</v>
      </c>
      <c r="K55" s="3" t="str">
        <f>IFERROR(__xludf.DUMMYFUNCTION("""COMPUTED_VALUE"""),"Normal")</f>
        <v>Normal</v>
      </c>
      <c r="L55" s="3" t="str">
        <f>IFERROR(__xludf.DUMMYFUNCTION("""COMPUTED_VALUE"""),"Non Urgent")</f>
        <v>Non Urgent</v>
      </c>
      <c r="M55" s="7">
        <f>IFERROR(__xludf.DUMMYFUNCTION("""COMPUTED_VALUE"""),46072.98223894676)</f>
        <v>46072.98224</v>
      </c>
    </row>
    <row r="56">
      <c r="A56" s="4">
        <f>IFERROR(__xludf.DUMMYFUNCTION("""COMPUTED_VALUE"""),46068.67987681713)</f>
        <v>46068.67988</v>
      </c>
      <c r="B56" s="3" t="str">
        <f>IFERROR(__xludf.DUMMYFUNCTION("""COMPUTED_VALUE"""),"RIAJA0008")</f>
        <v>RIAJA0008</v>
      </c>
      <c r="C56" s="3" t="str">
        <f>IFERROR(__xludf.DUMMYFUNCTION("""COMPUTED_VALUE"""),"EJO")</f>
        <v>EJO</v>
      </c>
      <c r="D56" s="3" t="str">
        <f>IFERROR(__xludf.DUMMYFUNCTION("""COMPUTED_VALUE"""),"Blister OSD")</f>
        <v>Blister OSD</v>
      </c>
      <c r="E56" s="3" t="str">
        <f>IFERROR(__xludf.DUMMYFUNCTION("""COMPUTED_VALUE"""),"Recoating spot-spot Flowcrete FlowSeal UV Satin Ash
Grey 250 micron (plus mortar area coak) (1 m2)")</f>
        <v>Recoating spot-spot Flowcrete FlowSeal UV Satin Ash
Grey 250 micron (plus mortar area coak) (1 m2)</v>
      </c>
      <c r="F56" s="3">
        <f>IFERROR(__xludf.DUMMYFUNCTION("""COMPUTED_VALUE"""),1.0)</f>
        <v>1</v>
      </c>
      <c r="G56" s="3" t="str">
        <f>IFERROR(__xludf.DUMMYFUNCTION("""COMPUTED_VALUE"""),"ls")</f>
        <v>ls</v>
      </c>
      <c r="H56" s="3" t="str">
        <f>IFERROR(__xludf.DUMMYFUNCTION("""COMPUTED_VALUE"""),"FIP_002_PNW-A_2026.pdf")</f>
        <v>FIP_002_PNW-A_2026.pdf</v>
      </c>
      <c r="I56" s="3" t="str">
        <f>IFERROR(__xludf.DUMMYFUNCTION("""COMPUTED_VALUE"""),"Untuk Epoxy ulang")</f>
        <v>Untuk Epoxy ulang</v>
      </c>
      <c r="J56" s="3" t="str">
        <f>IFERROR(__xludf.DUMMYFUNCTION("""COMPUTED_VALUE"""),"Approve")</f>
        <v>Approve</v>
      </c>
      <c r="K56" s="3" t="str">
        <f>IFERROR(__xludf.DUMMYFUNCTION("""COMPUTED_VALUE"""),"Normal")</f>
        <v>Normal</v>
      </c>
      <c r="L56" s="3" t="str">
        <f>IFERROR(__xludf.DUMMYFUNCTION("""COMPUTED_VALUE"""),"Non Urgent")</f>
        <v>Non Urgent</v>
      </c>
      <c r="M56" s="7">
        <f>IFERROR(__xludf.DUMMYFUNCTION("""COMPUTED_VALUE"""),46072.98205693287)</f>
        <v>46072.98206</v>
      </c>
    </row>
    <row r="57">
      <c r="A57" s="4">
        <f>IFERROR(__xludf.DUMMYFUNCTION("""COMPUTED_VALUE"""),46068.680233784726)</f>
        <v>46068.68023</v>
      </c>
      <c r="B57" s="3" t="str">
        <f>IFERROR(__xludf.DUMMYFUNCTION("""COMPUTED_VALUE"""),"RIAJA0009")</f>
        <v>RIAJA0009</v>
      </c>
      <c r="C57" s="3" t="str">
        <f>IFERROR(__xludf.DUMMYFUNCTION("""COMPUTED_VALUE"""),"EJO")</f>
        <v>EJO</v>
      </c>
      <c r="D57" s="3" t="str">
        <f>IFERROR(__xludf.DUMMYFUNCTION("""COMPUTED_VALUE"""),"Sampling Packaging")</f>
        <v>Sampling Packaging</v>
      </c>
      <c r="E57" s="3" t="str">
        <f>IFERROR(__xludf.DUMMYFUNCTION("""COMPUTED_VALUE"""),"Recoating Flowcrete FlowSeal UV Satin Coklat 250
micron")</f>
        <v>Recoating Flowcrete FlowSeal UV Satin Coklat 250
micron</v>
      </c>
      <c r="F57" s="3">
        <f>IFERROR(__xludf.DUMMYFUNCTION("""COMPUTED_VALUE"""),1.0)</f>
        <v>1</v>
      </c>
      <c r="G57" s="3" t="str">
        <f>IFERROR(__xludf.DUMMYFUNCTION("""COMPUTED_VALUE"""),"ls")</f>
        <v>ls</v>
      </c>
      <c r="H57" s="3" t="str">
        <f>IFERROR(__xludf.DUMMYFUNCTION("""COMPUTED_VALUE"""),"FIP_002_PNW-A_2026.pdf")</f>
        <v>FIP_002_PNW-A_2026.pdf</v>
      </c>
      <c r="I57" s="3" t="str">
        <f>IFERROR(__xludf.DUMMYFUNCTION("""COMPUTED_VALUE"""),"Untuk Epoxy ulang")</f>
        <v>Untuk Epoxy ulang</v>
      </c>
      <c r="J57" s="3" t="str">
        <f>IFERROR(__xludf.DUMMYFUNCTION("""COMPUTED_VALUE"""),"Approve")</f>
        <v>Approve</v>
      </c>
      <c r="K57" s="3" t="str">
        <f>IFERROR(__xludf.DUMMYFUNCTION("""COMPUTED_VALUE"""),"Normal")</f>
        <v>Normal</v>
      </c>
      <c r="L57" s="3" t="str">
        <f>IFERROR(__xludf.DUMMYFUNCTION("""COMPUTED_VALUE"""),"Non Urgent")</f>
        <v>Non Urgent</v>
      </c>
      <c r="M57" s="7">
        <f>IFERROR(__xludf.DUMMYFUNCTION("""COMPUTED_VALUE"""),46072.98181056713)</f>
        <v>46072.98181</v>
      </c>
    </row>
    <row r="58">
      <c r="A58" s="4">
        <f>IFERROR(__xludf.DUMMYFUNCTION("""COMPUTED_VALUE"""),46068.68083392361)</f>
        <v>46068.68083</v>
      </c>
      <c r="B58" s="3" t="str">
        <f>IFERROR(__xludf.DUMMYFUNCTION("""COMPUTED_VALUE"""),"RIAJA0010")</f>
        <v>RIAJA0010</v>
      </c>
      <c r="C58" s="3" t="str">
        <f>IFERROR(__xludf.DUMMYFUNCTION("""COMPUTED_VALUE"""),"EJO")</f>
        <v>EJO</v>
      </c>
      <c r="D58" s="3" t="str">
        <f>IFERROR(__xludf.DUMMYFUNCTION("""COMPUTED_VALUE"""),"Equalisasi WWTP")</f>
        <v>Equalisasi WWTP</v>
      </c>
      <c r="E58" s="3" t="str">
        <f>IFERROR(__xludf.DUMMYFUNCTION("""COMPUTED_VALUE"""),"Waterproofing coating Sikagard 7000 CR")</f>
        <v>Waterproofing coating Sikagard 7000 CR</v>
      </c>
      <c r="F58" s="3">
        <f>IFERROR(__xludf.DUMMYFUNCTION("""COMPUTED_VALUE"""),95.0)</f>
        <v>95</v>
      </c>
      <c r="G58" s="3" t="str">
        <f>IFERROR(__xludf.DUMMYFUNCTION("""COMPUTED_VALUE"""),"m2")</f>
        <v>m2</v>
      </c>
      <c r="H58" s="3" t="str">
        <f>IFERROR(__xludf.DUMMYFUNCTION("""COMPUTED_VALUE"""),"FIP_002_PNW-A_2026.pdf")</f>
        <v>FIP_002_PNW-A_2026.pdf</v>
      </c>
      <c r="I58" s="3" t="str">
        <f>IFERROR(__xludf.DUMMYFUNCTION("""COMPUTED_VALUE"""),"Untuk Epoxy ulang")</f>
        <v>Untuk Epoxy ulang</v>
      </c>
      <c r="J58" s="3" t="str">
        <f>IFERROR(__xludf.DUMMYFUNCTION("""COMPUTED_VALUE"""),"Approve")</f>
        <v>Approve</v>
      </c>
      <c r="K58" s="3" t="str">
        <f>IFERROR(__xludf.DUMMYFUNCTION("""COMPUTED_VALUE"""),"Normal")</f>
        <v>Normal</v>
      </c>
      <c r="L58" s="3" t="str">
        <f>IFERROR(__xludf.DUMMYFUNCTION("""COMPUTED_VALUE"""),"Non Urgent")</f>
        <v>Non Urgent</v>
      </c>
      <c r="M58" s="7">
        <f>IFERROR(__xludf.DUMMYFUNCTION("""COMPUTED_VALUE"""),46072.98163995371)</f>
        <v>46072.98164</v>
      </c>
    </row>
    <row r="59">
      <c r="A59" s="4">
        <f>IFERROR(__xludf.DUMMYFUNCTION("""COMPUTED_VALUE"""),46068.68149923611)</f>
        <v>46068.6815</v>
      </c>
      <c r="B59" s="3" t="str">
        <f>IFERROR(__xludf.DUMMYFUNCTION("""COMPUTED_VALUE"""),"RIAJA0011")</f>
        <v>RIAJA0011</v>
      </c>
      <c r="C59" s="3" t="str">
        <f>IFERROR(__xludf.DUMMYFUNCTION("""COMPUTED_VALUE"""),"EJO")</f>
        <v>EJO</v>
      </c>
      <c r="D59" s="3" t="str">
        <f>IFERROR(__xludf.DUMMYFUNCTION("""COMPUTED_VALUE"""),"Equalisasi WWTP")</f>
        <v>Equalisasi WWTP</v>
      </c>
      <c r="E59" s="3" t="str">
        <f>IFERROR(__xludf.DUMMYFUNCTION("""COMPUTED_VALUE"""),"Kupas aci eksisting")</f>
        <v>Kupas aci eksisting</v>
      </c>
      <c r="F59" s="3">
        <f>IFERROR(__xludf.DUMMYFUNCTION("""COMPUTED_VALUE"""),95.0)</f>
        <v>95</v>
      </c>
      <c r="G59" s="3" t="str">
        <f>IFERROR(__xludf.DUMMYFUNCTION("""COMPUTED_VALUE"""),"m3")</f>
        <v>m3</v>
      </c>
      <c r="H59" s="3" t="str">
        <f>IFERROR(__xludf.DUMMYFUNCTION("""COMPUTED_VALUE"""),"FIP_002_PNW-A_2026.pdf")</f>
        <v>FIP_002_PNW-A_2026.pdf</v>
      </c>
      <c r="I59" s="3" t="str">
        <f>IFERROR(__xludf.DUMMYFUNCTION("""COMPUTED_VALUE"""),"Untuk Epoxy ulang")</f>
        <v>Untuk Epoxy ulang</v>
      </c>
      <c r="J59" s="3" t="str">
        <f>IFERROR(__xludf.DUMMYFUNCTION("""COMPUTED_VALUE"""),"Approve")</f>
        <v>Approve</v>
      </c>
      <c r="K59" s="3" t="str">
        <f>IFERROR(__xludf.DUMMYFUNCTION("""COMPUTED_VALUE"""),"Normal")</f>
        <v>Normal</v>
      </c>
      <c r="L59" s="3" t="str">
        <f>IFERROR(__xludf.DUMMYFUNCTION("""COMPUTED_VALUE"""),"Non Urgent")</f>
        <v>Non Urgent</v>
      </c>
      <c r="M59" s="7">
        <f>IFERROR(__xludf.DUMMYFUNCTION("""COMPUTED_VALUE"""),46072.98136771991)</f>
        <v>46072.98137</v>
      </c>
    </row>
    <row r="60">
      <c r="A60" s="4">
        <f>IFERROR(__xludf.DUMMYFUNCTION("""COMPUTED_VALUE"""),46068.68217659722)</f>
        <v>46068.68218</v>
      </c>
      <c r="B60" s="3" t="str">
        <f>IFERROR(__xludf.DUMMYFUNCTION("""COMPUTED_VALUE"""),"RIAJA0012")</f>
        <v>RIAJA0012</v>
      </c>
      <c r="C60" s="3" t="str">
        <f>IFERROR(__xludf.DUMMYFUNCTION("""COMPUTED_VALUE"""),"EJO/2026/01/145")</f>
        <v>EJO/2026/01/145</v>
      </c>
      <c r="D60" s="3" t="str">
        <f>IFERROR(__xludf.DUMMYFUNCTION("""COMPUTED_VALUE"""),"Condensate WWTP")</f>
        <v>Condensate WWTP</v>
      </c>
      <c r="E60" s="3" t="str">
        <f>IFERROR(__xludf.DUMMYFUNCTION("""COMPUTED_VALUE"""),"Injeksi Polyurethane")</f>
        <v>Injeksi Polyurethane</v>
      </c>
      <c r="F60" s="3">
        <f>IFERROR(__xludf.DUMMYFUNCTION("""COMPUTED_VALUE"""),50.0)</f>
        <v>50</v>
      </c>
      <c r="G60" s="3" t="str">
        <f>IFERROR(__xludf.DUMMYFUNCTION("""COMPUTED_VALUE"""),"titik")</f>
        <v>titik</v>
      </c>
      <c r="H60" s="3" t="str">
        <f>IFERROR(__xludf.DUMMYFUNCTION("""COMPUTED_VALUE"""),"FIP_002_PNW-A_2026.pdf")</f>
        <v>FIP_002_PNW-A_2026.pdf</v>
      </c>
      <c r="I60" s="3" t="str">
        <f>IFERROR(__xludf.DUMMYFUNCTION("""COMPUTED_VALUE"""),"Untuk Epoxy ulang")</f>
        <v>Untuk Epoxy ulang</v>
      </c>
      <c r="J60" s="3" t="str">
        <f>IFERROR(__xludf.DUMMYFUNCTION("""COMPUTED_VALUE"""),"Approve")</f>
        <v>Approve</v>
      </c>
      <c r="K60" s="3" t="str">
        <f>IFERROR(__xludf.DUMMYFUNCTION("""COMPUTED_VALUE"""),"Normal")</f>
        <v>Normal</v>
      </c>
      <c r="L60" s="3" t="str">
        <f>IFERROR(__xludf.DUMMYFUNCTION("""COMPUTED_VALUE"""),"Non Urgent")</f>
        <v>Non Urgent</v>
      </c>
      <c r="M60" s="7">
        <f>IFERROR(__xludf.DUMMYFUNCTION("""COMPUTED_VALUE"""),46072.981142442135)</f>
        <v>46072.98114</v>
      </c>
    </row>
    <row r="61">
      <c r="A61" s="4">
        <f>IFERROR(__xludf.DUMMYFUNCTION("""COMPUTED_VALUE"""),46068.6828222338)</f>
        <v>46068.68282</v>
      </c>
      <c r="B61" s="3" t="str">
        <f>IFERROR(__xludf.DUMMYFUNCTION("""COMPUTED_VALUE"""),"RIAJA0013")</f>
        <v>RIAJA0013</v>
      </c>
      <c r="C61" s="3" t="str">
        <f>IFERROR(__xludf.DUMMYFUNCTION("""COMPUTED_VALUE"""),"EJO")</f>
        <v>EJO</v>
      </c>
      <c r="D61" s="3" t="str">
        <f>IFERROR(__xludf.DUMMYFUNCTION("""COMPUTED_VALUE"""),"Produksi &amp; WWTP")</f>
        <v>Produksi &amp; WWTP</v>
      </c>
      <c r="E61" s="3" t="str">
        <f>IFERROR(__xludf.DUMMYFUNCTION("""COMPUTED_VALUE"""),"Preliminaries, APD Safety, dll, Mobilisasi &amp; Demobilisasi, Akomodasi")</f>
        <v>Preliminaries, APD Safety, dll, Mobilisasi &amp; Demobilisasi, Akomodasi</v>
      </c>
      <c r="F61" s="3">
        <f>IFERROR(__xludf.DUMMYFUNCTION("""COMPUTED_VALUE"""),3.0)</f>
        <v>3</v>
      </c>
      <c r="G61" s="3" t="str">
        <f>IFERROR(__xludf.DUMMYFUNCTION("""COMPUTED_VALUE"""),"ls")</f>
        <v>ls</v>
      </c>
      <c r="H61" s="3" t="str">
        <f>IFERROR(__xludf.DUMMYFUNCTION("""COMPUTED_VALUE"""),"FIP_002_PNW-A_2026.pdf")</f>
        <v>FIP_002_PNW-A_2026.pdf</v>
      </c>
      <c r="I61" s="3" t="str">
        <f>IFERROR(__xludf.DUMMYFUNCTION("""COMPUTED_VALUE"""),"Untuk jasa saja")</f>
        <v>Untuk jasa saja</v>
      </c>
      <c r="J61" s="3" t="str">
        <f>IFERROR(__xludf.DUMMYFUNCTION("""COMPUTED_VALUE"""),"Approve")</f>
        <v>Approve</v>
      </c>
      <c r="K61" s="3" t="str">
        <f>IFERROR(__xludf.DUMMYFUNCTION("""COMPUTED_VALUE"""),"Normal")</f>
        <v>Normal</v>
      </c>
      <c r="L61" s="3" t="str">
        <f>IFERROR(__xludf.DUMMYFUNCTION("""COMPUTED_VALUE"""),"Non Urgent")</f>
        <v>Non Urgent</v>
      </c>
      <c r="M61" s="7">
        <f>IFERROR(__xludf.DUMMYFUNCTION("""COMPUTED_VALUE"""),46072.9809209375)</f>
        <v>46072.98092</v>
      </c>
    </row>
    <row r="62">
      <c r="A62" s="4">
        <f>IFERROR(__xludf.DUMMYFUNCTION("""COMPUTED_VALUE"""),46150.471878553246)</f>
        <v>46150.47188</v>
      </c>
      <c r="B62" s="3" t="str">
        <f>IFERROR(__xludf.DUMMYFUNCTION("""COMPUTED_VALUE"""),"MOBJA0004")</f>
        <v>MOBJA0004</v>
      </c>
      <c r="C62" s="3" t="str">
        <f>IFERROR(__xludf.DUMMYFUNCTION("""COMPUTED_VALUE"""),"EJO/2026/04/022")</f>
        <v>EJO/2026/04/022</v>
      </c>
      <c r="D62" s="3" t="str">
        <f>IFERROR(__xludf.DUMMYFUNCTION("""COMPUTED_VALUE"""),"PSG")</f>
        <v>PSG</v>
      </c>
      <c r="E62" s="3" t="str">
        <f>IFERROR(__xludf.DUMMYFUNCTION("""COMPUTED_VALUE"""),"Mainline condensate PSG Bocor")</f>
        <v>Mainline condensate PSG Bocor</v>
      </c>
      <c r="F62" s="3">
        <f>IFERROR(__xludf.DUMMYFUNCTION("""COMPUTED_VALUE"""),1.0)</f>
        <v>1</v>
      </c>
      <c r="G62" s="3" t="str">
        <f>IFERROR(__xludf.DUMMYFUNCTION("""COMPUTED_VALUE"""),"Lot")</f>
        <v>Lot</v>
      </c>
      <c r="H62" s="5" t="str">
        <f>IFERROR(__xludf.DUMMYFUNCTION("""COMPUTED_VALUE"""),"https://drive.google.com/file/d/1uAXqbtWz6Y-hfUlLHPwk3RfX5j593lI6/view?usp=sharing")</f>
        <v>https://drive.google.com/file/d/1uAXqbtWz6Y-hfUlLHPwk3RfX5j593lI6/view?usp=sharing</v>
      </c>
      <c r="I62" s="3" t="str">
        <f>IFERROR(__xludf.DUMMYFUNCTION("""COMPUTED_VALUE"""),"Penawaran Penggantian Mainline Condensate Pipe PSG (Urgent)")</f>
        <v>Penawaran Penggantian Mainline Condensate Pipe PSG (Urgent)</v>
      </c>
      <c r="J62" s="3" t="str">
        <f>IFERROR(__xludf.DUMMYFUNCTION("""COMPUTED_VALUE"""),"Approve")</f>
        <v>Approve</v>
      </c>
      <c r="K62" s="3" t="str">
        <f>IFERROR(__xludf.DUMMYFUNCTION("""COMPUTED_VALUE"""),"Normal")</f>
        <v>Normal</v>
      </c>
      <c r="L62" s="3" t="str">
        <f>IFERROR(__xludf.DUMMYFUNCTION("""COMPUTED_VALUE"""),"Non Urgent")</f>
        <v>Non Urgent</v>
      </c>
      <c r="M62" s="7">
        <f>IFERROR(__xludf.DUMMYFUNCTION("""COMPUTED_VALUE"""),46153.63881550926)</f>
        <v>46153.63882</v>
      </c>
    </row>
    <row r="63">
      <c r="A63" s="4">
        <f>IFERROR(__xludf.DUMMYFUNCTION("""COMPUTED_VALUE"""),46181.14574168982)</f>
        <v>46181.14574</v>
      </c>
      <c r="B63" s="3" t="str">
        <f>IFERROR(__xludf.DUMMYFUNCTION("""COMPUTED_VALUE"""),"RIAJA0014")</f>
        <v>RIAJA0014</v>
      </c>
      <c r="C63" s="3" t="str">
        <f>IFERROR(__xludf.DUMMYFUNCTION("""COMPUTED_VALUE"""),"EJO")</f>
        <v>EJO</v>
      </c>
      <c r="D63" s="3" t="str">
        <f>IFERROR(__xludf.DUMMYFUNCTION("""COMPUTED_VALUE"""),"Virdi")</f>
        <v>Virdi</v>
      </c>
      <c r="E63" s="3" t="str">
        <f>IFERROR(__xludf.DUMMYFUNCTION("""COMPUTED_VALUE"""),"Perbaikan Board
Tapping Absen")</f>
        <v>Perbaikan Board
Tapping Absen</v>
      </c>
      <c r="F63" s="3">
        <f>IFERROR(__xludf.DUMMYFUNCTION("""COMPUTED_VALUE"""),1.0)</f>
        <v>1</v>
      </c>
      <c r="G63" s="3" t="str">
        <f>IFERROR(__xludf.DUMMYFUNCTION("""COMPUTED_VALUE"""),"Set")</f>
        <v>Set</v>
      </c>
      <c r="H63" s="3" t="str">
        <f>IFERROR(__xludf.DUMMYFUNCTION("""COMPUTED_VALUE"""),"Penawaran 0536-VI-2026 (Fonko-Perbaikan Board Tapping Absen).pdf")</f>
        <v>Penawaran 0536-VI-2026 (Fonko-Perbaikan Board Tapping Absen).pdf</v>
      </c>
      <c r="I63" s="3" t="str">
        <f>IFERROR(__xludf.DUMMYFUNCTION("""COMPUTED_VALUE"""),"Repair Virdi")</f>
        <v>Repair Virdi</v>
      </c>
      <c r="J63" s="3" t="str">
        <f>IFERROR(__xludf.DUMMYFUNCTION("""COMPUTED_VALUE"""),"Approve")</f>
        <v>Approve</v>
      </c>
      <c r="K63" s="3" t="str">
        <f>IFERROR(__xludf.DUMMYFUNCTION("""COMPUTED_VALUE"""),"Normal")</f>
        <v>Normal</v>
      </c>
      <c r="L63" s="3" t="str">
        <f>IFERROR(__xludf.DUMMYFUNCTION("""COMPUTED_VALUE"""),"Non Urgent")</f>
        <v>Non Urgent</v>
      </c>
      <c r="M63" s="7">
        <f>IFERROR(__xludf.DUMMYFUNCTION("""COMPUTED_VALUE"""),46202.928886759255)</f>
        <v>46202.92889</v>
      </c>
    </row>
    <row r="64">
      <c r="A64" s="4">
        <f>IFERROR(__xludf.DUMMYFUNCTION("""COMPUTED_VALUE"""),46181.14625178241)</f>
        <v>46181.14625</v>
      </c>
      <c r="B64" s="3" t="str">
        <f>IFERROR(__xludf.DUMMYFUNCTION("""COMPUTED_VALUE"""),"RIAJA0015")</f>
        <v>RIAJA0015</v>
      </c>
      <c r="C64" s="3" t="str">
        <f>IFERROR(__xludf.DUMMYFUNCTION("""COMPUTED_VALUE"""),"EJO")</f>
        <v>EJO</v>
      </c>
      <c r="D64" s="3" t="str">
        <f>IFERROR(__xludf.DUMMYFUNCTION("""COMPUTED_VALUE"""),"WICC FGRM")</f>
        <v>WICC FGRM</v>
      </c>
      <c r="E64" s="3" t="str">
        <f>IFERROR(__xludf.DUMMYFUNCTION("""COMPUTED_VALUE"""),"Perbaikan Board Power")</f>
        <v>Perbaikan Board Power</v>
      </c>
      <c r="F64" s="3">
        <f>IFERROR(__xludf.DUMMYFUNCTION("""COMPUTED_VALUE"""),1.0)</f>
        <v>1</v>
      </c>
      <c r="G64" s="3" t="str">
        <f>IFERROR(__xludf.DUMMYFUNCTION("""COMPUTED_VALUE"""),"Set")</f>
        <v>Set</v>
      </c>
      <c r="H64" s="3" t="str">
        <f>IFERROR(__xludf.DUMMYFUNCTION("""COMPUTED_VALUE"""),"Penawaran 0536-VI-2026 (Fonko-Perbaikan Board Tapping Absen).pdf")</f>
        <v>Penawaran 0536-VI-2026 (Fonko-Perbaikan Board Tapping Absen).pdf</v>
      </c>
      <c r="I64" s="3" t="str">
        <f>IFERROR(__xludf.DUMMYFUNCTION("""COMPUTED_VALUE"""),"Repair Board Power WICC FGRM")</f>
        <v>Repair Board Power WICC FGRM</v>
      </c>
      <c r="J64" s="3" t="str">
        <f>IFERROR(__xludf.DUMMYFUNCTION("""COMPUTED_VALUE"""),"Approve")</f>
        <v>Approve</v>
      </c>
      <c r="K64" s="3" t="str">
        <f>IFERROR(__xludf.DUMMYFUNCTION("""COMPUTED_VALUE"""),"Normal")</f>
        <v>Normal</v>
      </c>
      <c r="L64" s="3" t="str">
        <f>IFERROR(__xludf.DUMMYFUNCTION("""COMPUTED_VALUE"""),"Non Urgent")</f>
        <v>Non Urgent</v>
      </c>
      <c r="M64" s="7">
        <f>IFERROR(__xludf.DUMMYFUNCTION("""COMPUTED_VALUE"""),46202.92922936342)</f>
        <v>46202.92923</v>
      </c>
    </row>
    <row r="65">
      <c r="A65" s="4">
        <f>IFERROR(__xludf.DUMMYFUNCTION("""COMPUTED_VALUE"""),46256.06071520833)</f>
        <v>46256.06072</v>
      </c>
      <c r="B65" s="3" t="str">
        <f>IFERROR(__xludf.DUMMYFUNCTION("""COMPUTED_VALUE"""),"AAAJA0001")</f>
        <v>AAAJA0001</v>
      </c>
      <c r="C65" s="3" t="str">
        <f>IFERROR(__xludf.DUMMYFUNCTION("""COMPUTED_VALUE"""),"EJO/2025/01/138")</f>
        <v>EJO/2025/01/138</v>
      </c>
      <c r="D65" s="3" t="str">
        <f>IFERROR(__xludf.DUMMYFUNCTION("""COMPUTED_VALUE"""),"Cytotoxic Cabinet bio test micro lab")</f>
        <v>Cytotoxic Cabinet bio test micro lab</v>
      </c>
      <c r="E65" s="3" t="str">
        <f>IFERROR(__xludf.DUMMYFUNCTION("""COMPUTED_VALUE"""),"Pembelian HEPA Filter dan jasa pemasangan")</f>
        <v>Pembelian HEPA Filter dan jasa pemasangan</v>
      </c>
      <c r="F65" s="3">
        <f>IFERROR(__xludf.DUMMYFUNCTION("""COMPUTED_VALUE"""),6.0)</f>
        <v>6</v>
      </c>
      <c r="G65" s="3" t="str">
        <f>IFERROR(__xludf.DUMMYFUNCTION("""COMPUTED_VALUE"""),"Pcs")</f>
        <v>Pcs</v>
      </c>
      <c r="H65" s="5" t="str">
        <f>IFERROR(__xludf.DUMMYFUNCTION("""COMPUTED_VALUE"""),"https://drive.google.com/drive/folders/1GuJq1W6y1ezFtGSc6yqEoeh1yR5IOfgz")</f>
        <v>https://drive.google.com/drive/folders/1GuJq1W6y1ezFtGSc6yqEoeh1yR5IOfgz</v>
      </c>
      <c r="I65" s="3" t="str">
        <f>IFERROR(__xludf.DUMMYFUNCTION("""COMPUTED_VALUE"""),"Part dan jasa pemasangan")</f>
        <v>Part dan jasa pemasangan</v>
      </c>
      <c r="J65" s="3" t="str">
        <f>IFERROR(__xludf.DUMMYFUNCTION("""COMPUTED_VALUE"""),"Approve")</f>
        <v>Approve</v>
      </c>
      <c r="K65" s="3" t="str">
        <f>IFERROR(__xludf.DUMMYFUNCTION("""COMPUTED_VALUE"""),"Normal")</f>
        <v>Normal</v>
      </c>
      <c r="L65" s="3" t="str">
        <f>IFERROR(__xludf.DUMMYFUNCTION("""COMPUTED_VALUE"""),"Non Urgent")</f>
        <v>Non Urgent</v>
      </c>
      <c r="M65" s="7">
        <f>IFERROR(__xludf.DUMMYFUNCTION("""COMPUTED_VALUE"""),45692.571789849535)</f>
        <v>45692.57179</v>
      </c>
    </row>
    <row r="66">
      <c r="A66" s="4">
        <f>IFERROR(__xludf.DUMMYFUNCTION("""COMPUTED_VALUE"""),46256.06071520833)</f>
        <v>46256.06072</v>
      </c>
      <c r="B66" s="3" t="str">
        <f>IFERROR(__xludf.DUMMYFUNCTION("""COMPUTED_VALUE"""),"AAAJA0002")</f>
        <v>AAAJA0002</v>
      </c>
      <c r="C66" s="3" t="str">
        <f>IFERROR(__xludf.DUMMYFUNCTION("""COMPUTED_VALUE"""),"EJO/2025/01/138")</f>
        <v>EJO/2025/01/138</v>
      </c>
      <c r="D66" s="3" t="str">
        <f>IFERROR(__xludf.DUMMYFUNCTION("""COMPUTED_VALUE"""),"Cytotoxic Cabinet Total count micro lab")</f>
        <v>Cytotoxic Cabinet Total count micro lab</v>
      </c>
      <c r="E66" s="3" t="str">
        <f>IFERROR(__xludf.DUMMYFUNCTION("""COMPUTED_VALUE"""),"HEPA filter dan pasang")</f>
        <v>HEPA filter dan pasang</v>
      </c>
      <c r="F66" s="3">
        <f>IFERROR(__xludf.DUMMYFUNCTION("""COMPUTED_VALUE"""),9.0)</f>
        <v>9</v>
      </c>
      <c r="G66" s="3" t="str">
        <f>IFERROR(__xludf.DUMMYFUNCTION("""COMPUTED_VALUE"""),"Pcs")</f>
        <v>Pcs</v>
      </c>
      <c r="H66" s="5" t="str">
        <f>IFERROR(__xludf.DUMMYFUNCTION("""COMPUTED_VALUE"""),"https://drive.google.com/drive/folders/1GuJq1W6y1ezFtGSc6yqEoeh1yR5IOfgz")</f>
        <v>https://drive.google.com/drive/folders/1GuJq1W6y1ezFtGSc6yqEoeh1yR5IOfgz</v>
      </c>
      <c r="I66" s="3" t="str">
        <f>IFERROR(__xludf.DUMMYFUNCTION("""COMPUTED_VALUE"""),"Beli part dan pemasangan")</f>
        <v>Beli part dan pemasangan</v>
      </c>
      <c r="J66" s="3" t="str">
        <f>IFERROR(__xludf.DUMMYFUNCTION("""COMPUTED_VALUE"""),"Approve")</f>
        <v>Approve</v>
      </c>
      <c r="K66" s="3" t="str">
        <f>IFERROR(__xludf.DUMMYFUNCTION("""COMPUTED_VALUE"""),"Normal")</f>
        <v>Normal</v>
      </c>
      <c r="L66" s="3" t="str">
        <f>IFERROR(__xludf.DUMMYFUNCTION("""COMPUTED_VALUE"""),"Non Urgent")</f>
        <v>Non Urgent</v>
      </c>
      <c r="M66" s="7">
        <f>IFERROR(__xludf.DUMMYFUNCTION("""COMPUTED_VALUE"""),45692.572210370374)</f>
        <v>45692.57221</v>
      </c>
    </row>
    <row r="67">
      <c r="A67" s="4">
        <f>IFERROR(__xludf.DUMMYFUNCTION("""COMPUTED_VALUE"""),46256.06071520833)</f>
        <v>46256.06072</v>
      </c>
      <c r="B67" s="3" t="str">
        <f>IFERROR(__xludf.DUMMYFUNCTION("""COMPUTED_VALUE"""),"AAAJA0003")</f>
        <v>AAAJA0003</v>
      </c>
      <c r="C67" s="3" t="str">
        <f>IFERROR(__xludf.DUMMYFUNCTION("""COMPUTED_VALUE"""),"EJO/2025/01/138")</f>
        <v>EJO/2025/01/138</v>
      </c>
      <c r="D67" s="3" t="str">
        <f>IFERROR(__xludf.DUMMYFUNCTION("""COMPUTED_VALUE"""),"Cytotoxic Cabinet Containment Lab")</f>
        <v>Cytotoxic Cabinet Containment Lab</v>
      </c>
      <c r="E67" s="3" t="str">
        <f>IFERROR(__xludf.DUMMYFUNCTION("""COMPUTED_VALUE"""),"HEPA filter dan pasang")</f>
        <v>HEPA filter dan pasang</v>
      </c>
      <c r="F67" s="3">
        <f>IFERROR(__xludf.DUMMYFUNCTION("""COMPUTED_VALUE"""),9.0)</f>
        <v>9</v>
      </c>
      <c r="G67" s="3" t="str">
        <f>IFERROR(__xludf.DUMMYFUNCTION("""COMPUTED_VALUE"""),"Pcs")</f>
        <v>Pcs</v>
      </c>
      <c r="H67" s="5" t="str">
        <f>IFERROR(__xludf.DUMMYFUNCTION("""COMPUTED_VALUE"""),"https://drive.google.com/drive/folders/1GuJq1W6y1ezFtGSc6yqEoeh1yR5IOfgz")</f>
        <v>https://drive.google.com/drive/folders/1GuJq1W6y1ezFtGSc6yqEoeh1yR5IOfgz</v>
      </c>
      <c r="I67" s="3" t="str">
        <f>IFERROR(__xludf.DUMMYFUNCTION("""COMPUTED_VALUE"""),"Beli part dan pemasangan")</f>
        <v>Beli part dan pemasangan</v>
      </c>
      <c r="J67" s="3" t="str">
        <f>IFERROR(__xludf.DUMMYFUNCTION("""COMPUTED_VALUE"""),"Approve")</f>
        <v>Approve</v>
      </c>
      <c r="K67" s="3" t="str">
        <f>IFERROR(__xludf.DUMMYFUNCTION("""COMPUTED_VALUE"""),"Normal")</f>
        <v>Normal</v>
      </c>
      <c r="L67" s="3" t="str">
        <f>IFERROR(__xludf.DUMMYFUNCTION("""COMPUTED_VALUE"""),"Non Urgent")</f>
        <v>Non Urgent</v>
      </c>
      <c r="M67" s="7">
        <f>IFERROR(__xludf.DUMMYFUNCTION("""COMPUTED_VALUE"""),45692.572679375)</f>
        <v>45692.57268</v>
      </c>
    </row>
    <row r="68">
      <c r="M68" s="7"/>
    </row>
    <row r="69">
      <c r="M69" s="7"/>
    </row>
    <row r="70">
      <c r="M70" s="7"/>
    </row>
    <row r="71">
      <c r="M71" s="7"/>
    </row>
    <row r="72">
      <c r="M72" s="7"/>
    </row>
    <row r="73">
      <c r="M73" s="7"/>
    </row>
    <row r="74">
      <c r="M74" s="7"/>
    </row>
    <row r="75">
      <c r="M75" s="7"/>
    </row>
    <row r="76">
      <c r="M76" s="7"/>
    </row>
    <row r="77">
      <c r="M77" s="7"/>
    </row>
    <row r="78">
      <c r="M78" s="7"/>
    </row>
    <row r="79">
      <c r="M79" s="7"/>
    </row>
    <row r="80">
      <c r="M80" s="7"/>
    </row>
    <row r="81">
      <c r="M81" s="7"/>
    </row>
    <row r="82">
      <c r="M82" s="7"/>
    </row>
    <row r="83">
      <c r="M83" s="7"/>
    </row>
    <row r="84">
      <c r="M84" s="7"/>
    </row>
    <row r="85">
      <c r="M85" s="7"/>
    </row>
    <row r="86">
      <c r="M86" s="7"/>
    </row>
    <row r="87">
      <c r="M87" s="7"/>
    </row>
    <row r="88">
      <c r="M88" s="7"/>
    </row>
    <row r="89">
      <c r="M89" s="7"/>
    </row>
    <row r="90">
      <c r="M90" s="7"/>
    </row>
    <row r="91">
      <c r="M91" s="7"/>
    </row>
    <row r="92">
      <c r="M92" s="7"/>
    </row>
    <row r="93">
      <c r="M93" s="7"/>
    </row>
    <row r="94">
      <c r="M94" s="7"/>
    </row>
    <row r="95">
      <c r="M95" s="7"/>
    </row>
    <row r="96">
      <c r="M96" s="7"/>
    </row>
    <row r="97">
      <c r="M97" s="7"/>
    </row>
    <row r="98">
      <c r="M98" s="7"/>
    </row>
    <row r="99">
      <c r="M99" s="7"/>
    </row>
    <row r="100">
      <c r="M100" s="7"/>
    </row>
    <row r="101">
      <c r="M101" s="7"/>
    </row>
    <row r="102">
      <c r="M102" s="7"/>
    </row>
    <row r="103">
      <c r="M103" s="7"/>
    </row>
    <row r="104">
      <c r="M104" s="7"/>
    </row>
    <row r="105">
      <c r="M105" s="7"/>
    </row>
    <row r="106">
      <c r="M106" s="7"/>
    </row>
    <row r="107">
      <c r="M107" s="7"/>
    </row>
    <row r="108">
      <c r="M108" s="7"/>
    </row>
    <row r="109">
      <c r="M109" s="7"/>
    </row>
    <row r="110">
      <c r="M110" s="7"/>
    </row>
    <row r="111">
      <c r="M111" s="7"/>
    </row>
    <row r="112">
      <c r="M112" s="7"/>
    </row>
    <row r="113">
      <c r="M113" s="7"/>
    </row>
    <row r="114">
      <c r="M114" s="7"/>
    </row>
    <row r="115">
      <c r="M115" s="7"/>
    </row>
    <row r="116">
      <c r="M116" s="7"/>
    </row>
    <row r="117">
      <c r="M117" s="7"/>
    </row>
    <row r="118">
      <c r="M118" s="7"/>
    </row>
    <row r="119">
      <c r="M119" s="7"/>
    </row>
    <row r="120">
      <c r="M120" s="7"/>
    </row>
    <row r="121">
      <c r="M121" s="7"/>
    </row>
    <row r="122">
      <c r="M122" s="7"/>
    </row>
    <row r="123">
      <c r="M123" s="7"/>
    </row>
    <row r="124">
      <c r="M124" s="7"/>
    </row>
    <row r="125">
      <c r="M125" s="7"/>
    </row>
    <row r="126">
      <c r="M126" s="7"/>
    </row>
    <row r="127">
      <c r="M127" s="7"/>
    </row>
    <row r="128">
      <c r="M128" s="7"/>
    </row>
    <row r="129">
      <c r="M129" s="7"/>
    </row>
    <row r="130">
      <c r="M130" s="7"/>
    </row>
    <row r="131">
      <c r="M131" s="7"/>
    </row>
    <row r="132">
      <c r="M132" s="7"/>
    </row>
    <row r="133">
      <c r="M133" s="7"/>
    </row>
    <row r="134">
      <c r="M134" s="7"/>
    </row>
    <row r="135">
      <c r="M135" s="7"/>
    </row>
    <row r="136">
      <c r="M136" s="7"/>
    </row>
    <row r="137">
      <c r="M137" s="7"/>
    </row>
    <row r="138">
      <c r="M138" s="7"/>
    </row>
    <row r="139">
      <c r="M139" s="7"/>
    </row>
    <row r="140">
      <c r="M140" s="7"/>
    </row>
    <row r="141">
      <c r="M141" s="7"/>
    </row>
    <row r="142">
      <c r="M142" s="7"/>
    </row>
    <row r="143">
      <c r="M143" s="7"/>
    </row>
    <row r="144">
      <c r="M144" s="7"/>
    </row>
    <row r="145">
      <c r="M145" s="7"/>
    </row>
    <row r="146">
      <c r="M146" s="7"/>
    </row>
    <row r="147">
      <c r="M147" s="7"/>
    </row>
    <row r="148">
      <c r="M148" s="7"/>
    </row>
    <row r="149">
      <c r="M149" s="7"/>
    </row>
    <row r="150">
      <c r="M150" s="7"/>
    </row>
    <row r="151">
      <c r="M151" s="7"/>
    </row>
    <row r="152">
      <c r="M152" s="7"/>
    </row>
    <row r="153">
      <c r="M153" s="7"/>
    </row>
    <row r="154">
      <c r="M154" s="7"/>
    </row>
    <row r="155">
      <c r="M155" s="7"/>
    </row>
    <row r="156">
      <c r="M156" s="7"/>
    </row>
    <row r="157">
      <c r="M157" s="7"/>
    </row>
    <row r="158">
      <c r="M158" s="7"/>
    </row>
    <row r="159">
      <c r="M159" s="7"/>
    </row>
    <row r="160">
      <c r="M160" s="7"/>
    </row>
    <row r="161">
      <c r="M161" s="7"/>
    </row>
    <row r="162">
      <c r="M162" s="7"/>
    </row>
    <row r="163">
      <c r="M163" s="7"/>
    </row>
    <row r="164">
      <c r="M164" s="7"/>
    </row>
    <row r="165">
      <c r="M165" s="7"/>
    </row>
    <row r="166">
      <c r="M166" s="7"/>
    </row>
    <row r="167">
      <c r="M167" s="7"/>
    </row>
    <row r="168">
      <c r="M168" s="7"/>
    </row>
    <row r="169">
      <c r="M169" s="7"/>
    </row>
    <row r="170">
      <c r="M170" s="7"/>
    </row>
    <row r="171">
      <c r="M171" s="7"/>
    </row>
    <row r="172">
      <c r="M172" s="7"/>
    </row>
    <row r="173">
      <c r="M173" s="7"/>
    </row>
    <row r="174">
      <c r="M174" s="7"/>
    </row>
    <row r="175">
      <c r="M175" s="7"/>
    </row>
    <row r="176">
      <c r="M176" s="7"/>
    </row>
    <row r="177">
      <c r="M177" s="7"/>
    </row>
    <row r="178">
      <c r="M178" s="7"/>
    </row>
    <row r="179">
      <c r="M179" s="7"/>
    </row>
    <row r="180">
      <c r="M180" s="7"/>
    </row>
    <row r="181">
      <c r="M181" s="7"/>
    </row>
    <row r="182">
      <c r="M182" s="7"/>
    </row>
    <row r="183">
      <c r="M183" s="7"/>
    </row>
    <row r="184">
      <c r="M184" s="7"/>
    </row>
    <row r="185">
      <c r="M185" s="7"/>
    </row>
    <row r="186">
      <c r="M186" s="7"/>
    </row>
    <row r="187">
      <c r="M187" s="7"/>
    </row>
    <row r="188">
      <c r="M188" s="7"/>
    </row>
    <row r="189">
      <c r="M189" s="7"/>
    </row>
    <row r="190">
      <c r="M190" s="7"/>
    </row>
    <row r="191">
      <c r="M191" s="7"/>
    </row>
    <row r="192">
      <c r="M192" s="7"/>
    </row>
    <row r="193">
      <c r="M193" s="7"/>
    </row>
    <row r="194">
      <c r="M194" s="7"/>
    </row>
    <row r="195">
      <c r="M195" s="7"/>
    </row>
    <row r="196">
      <c r="M196" s="7"/>
    </row>
    <row r="197">
      <c r="M197" s="7"/>
    </row>
    <row r="198">
      <c r="M198" s="7"/>
    </row>
    <row r="199">
      <c r="M199" s="7"/>
    </row>
    <row r="200">
      <c r="M200" s="7"/>
    </row>
    <row r="201">
      <c r="M201" s="7"/>
    </row>
    <row r="202">
      <c r="M202" s="7"/>
    </row>
    <row r="203">
      <c r="M203" s="7"/>
    </row>
    <row r="204">
      <c r="M204" s="7"/>
    </row>
    <row r="205">
      <c r="M205" s="7"/>
    </row>
    <row r="206">
      <c r="M206" s="7"/>
    </row>
    <row r="207">
      <c r="M207" s="7"/>
    </row>
    <row r="208">
      <c r="M208" s="7"/>
    </row>
    <row r="209">
      <c r="M209" s="7"/>
    </row>
    <row r="210">
      <c r="M210" s="7"/>
    </row>
    <row r="211">
      <c r="M211" s="7"/>
    </row>
    <row r="212">
      <c r="M212" s="7"/>
    </row>
    <row r="213">
      <c r="M213" s="7"/>
    </row>
    <row r="214">
      <c r="M214" s="7"/>
    </row>
    <row r="215">
      <c r="M215" s="7"/>
    </row>
    <row r="216">
      <c r="M216" s="7"/>
    </row>
    <row r="217">
      <c r="M217" s="7"/>
    </row>
    <row r="218">
      <c r="M218" s="7"/>
    </row>
    <row r="219">
      <c r="M219" s="7"/>
    </row>
    <row r="220">
      <c r="M220" s="7"/>
    </row>
    <row r="221">
      <c r="M221" s="7"/>
    </row>
    <row r="222">
      <c r="M222" s="7"/>
    </row>
    <row r="223">
      <c r="M223" s="7"/>
    </row>
    <row r="224">
      <c r="M224" s="7"/>
    </row>
    <row r="225">
      <c r="M225" s="7"/>
    </row>
    <row r="226">
      <c r="M226" s="7"/>
    </row>
    <row r="227">
      <c r="M227" s="7"/>
    </row>
    <row r="228">
      <c r="M228" s="7"/>
    </row>
    <row r="229">
      <c r="M229" s="7"/>
    </row>
    <row r="230">
      <c r="M230" s="7"/>
    </row>
    <row r="231">
      <c r="M231" s="7"/>
    </row>
    <row r="232">
      <c r="M232" s="7"/>
    </row>
    <row r="233">
      <c r="M233" s="7"/>
    </row>
    <row r="234">
      <c r="M234" s="7"/>
    </row>
    <row r="235">
      <c r="M235" s="7"/>
    </row>
    <row r="236">
      <c r="M236" s="7"/>
    </row>
    <row r="237">
      <c r="M237" s="7"/>
    </row>
    <row r="238">
      <c r="M238" s="7"/>
    </row>
    <row r="239">
      <c r="M239" s="7"/>
    </row>
    <row r="240">
      <c r="M240" s="7"/>
    </row>
    <row r="241">
      <c r="M241" s="7"/>
    </row>
    <row r="242">
      <c r="M242" s="7"/>
    </row>
    <row r="243">
      <c r="M243" s="7"/>
    </row>
    <row r="244">
      <c r="M244" s="7"/>
    </row>
    <row r="245">
      <c r="M245" s="7"/>
    </row>
    <row r="246">
      <c r="M246" s="7"/>
    </row>
    <row r="247">
      <c r="M247" s="7"/>
    </row>
    <row r="248">
      <c r="M248" s="7"/>
    </row>
    <row r="249">
      <c r="M249" s="7"/>
    </row>
    <row r="250">
      <c r="M250" s="7"/>
    </row>
    <row r="251">
      <c r="M251" s="7"/>
    </row>
    <row r="252">
      <c r="M252" s="7"/>
    </row>
    <row r="253">
      <c r="M253" s="7"/>
    </row>
    <row r="254">
      <c r="M254" s="7"/>
    </row>
    <row r="255">
      <c r="M255" s="7"/>
    </row>
    <row r="256">
      <c r="M256" s="7"/>
    </row>
    <row r="257">
      <c r="M257" s="7"/>
    </row>
    <row r="258">
      <c r="M258" s="7"/>
    </row>
    <row r="259">
      <c r="M259" s="7"/>
    </row>
    <row r="260">
      <c r="M260" s="7"/>
    </row>
    <row r="261">
      <c r="M261" s="7"/>
    </row>
    <row r="262">
      <c r="M262" s="7"/>
    </row>
    <row r="263">
      <c r="M263" s="7"/>
    </row>
    <row r="264">
      <c r="M264" s="7"/>
    </row>
    <row r="265">
      <c r="M265" s="7"/>
    </row>
    <row r="266">
      <c r="M266" s="7"/>
    </row>
    <row r="267">
      <c r="M267" s="7"/>
    </row>
    <row r="268">
      <c r="M268" s="7"/>
    </row>
    <row r="269">
      <c r="M269" s="7"/>
    </row>
    <row r="270">
      <c r="M270" s="7"/>
    </row>
    <row r="271">
      <c r="M271" s="7"/>
    </row>
    <row r="272">
      <c r="M272" s="7"/>
    </row>
    <row r="273">
      <c r="M273" s="7"/>
    </row>
    <row r="274">
      <c r="M274" s="7"/>
    </row>
    <row r="275">
      <c r="M275" s="7"/>
    </row>
    <row r="276">
      <c r="M276" s="7"/>
    </row>
    <row r="277">
      <c r="M277" s="7"/>
    </row>
    <row r="278">
      <c r="M278" s="7"/>
    </row>
    <row r="279">
      <c r="M279" s="7"/>
    </row>
    <row r="280">
      <c r="M280" s="7"/>
    </row>
    <row r="281">
      <c r="M281" s="7"/>
    </row>
    <row r="282">
      <c r="M282" s="7"/>
    </row>
    <row r="283">
      <c r="M283" s="7"/>
    </row>
    <row r="284">
      <c r="M284" s="7"/>
    </row>
    <row r="285">
      <c r="M285" s="7"/>
    </row>
    <row r="286">
      <c r="M286" s="7"/>
    </row>
    <row r="287">
      <c r="M287" s="7"/>
    </row>
    <row r="288">
      <c r="M288" s="7"/>
    </row>
    <row r="289">
      <c r="M289" s="7"/>
    </row>
    <row r="290">
      <c r="M290" s="7"/>
    </row>
    <row r="291">
      <c r="M291" s="7"/>
    </row>
    <row r="292">
      <c r="M292" s="7"/>
    </row>
    <row r="293">
      <c r="M293" s="7"/>
    </row>
    <row r="294">
      <c r="M294" s="7"/>
    </row>
    <row r="295">
      <c r="M295" s="7"/>
    </row>
    <row r="296">
      <c r="M296" s="7"/>
    </row>
    <row r="297">
      <c r="M297" s="7"/>
    </row>
    <row r="298">
      <c r="M298" s="7"/>
    </row>
    <row r="299">
      <c r="M299" s="7"/>
    </row>
    <row r="300">
      <c r="M300" s="7"/>
    </row>
    <row r="301">
      <c r="M301" s="7"/>
    </row>
    <row r="302">
      <c r="M302" s="7"/>
    </row>
    <row r="303">
      <c r="M303" s="7"/>
    </row>
    <row r="304">
      <c r="M304" s="7"/>
    </row>
    <row r="305">
      <c r="M305" s="7"/>
    </row>
    <row r="306">
      <c r="M306" s="7"/>
    </row>
    <row r="307">
      <c r="M307" s="7"/>
    </row>
    <row r="308">
      <c r="M308" s="7"/>
    </row>
    <row r="309">
      <c r="M309" s="7"/>
    </row>
    <row r="310">
      <c r="M310" s="7"/>
    </row>
    <row r="311">
      <c r="M311" s="7"/>
    </row>
    <row r="312">
      <c r="M312" s="7"/>
    </row>
    <row r="313">
      <c r="M313" s="7"/>
    </row>
    <row r="314">
      <c r="M314" s="7"/>
    </row>
    <row r="315">
      <c r="M315" s="7"/>
    </row>
    <row r="316">
      <c r="M316" s="7"/>
    </row>
    <row r="317">
      <c r="M317" s="7"/>
    </row>
    <row r="318">
      <c r="M318" s="7"/>
    </row>
    <row r="319">
      <c r="M319" s="7"/>
    </row>
    <row r="320">
      <c r="M320" s="7"/>
    </row>
    <row r="321">
      <c r="M321" s="7"/>
    </row>
    <row r="322">
      <c r="M322" s="7"/>
    </row>
    <row r="323">
      <c r="M323" s="7"/>
    </row>
    <row r="324">
      <c r="M324" s="7"/>
    </row>
    <row r="325">
      <c r="M325" s="7"/>
    </row>
    <row r="326">
      <c r="M326" s="7"/>
    </row>
    <row r="327">
      <c r="M327" s="7"/>
    </row>
    <row r="328">
      <c r="M328" s="7"/>
    </row>
    <row r="329">
      <c r="M329" s="7"/>
    </row>
    <row r="330">
      <c r="M330" s="7"/>
    </row>
    <row r="331">
      <c r="M331" s="7"/>
    </row>
    <row r="332">
      <c r="M332" s="7"/>
    </row>
    <row r="333">
      <c r="M333" s="7"/>
    </row>
    <row r="334">
      <c r="M334" s="7"/>
    </row>
    <row r="335">
      <c r="M335" s="7"/>
    </row>
    <row r="336">
      <c r="M336" s="7"/>
    </row>
    <row r="337">
      <c r="M337" s="7"/>
    </row>
    <row r="338">
      <c r="M338" s="7"/>
    </row>
    <row r="339">
      <c r="M339" s="7"/>
    </row>
    <row r="340">
      <c r="M340" s="7"/>
    </row>
    <row r="341">
      <c r="M341" s="7"/>
    </row>
    <row r="342">
      <c r="M342" s="7"/>
    </row>
    <row r="343">
      <c r="M343" s="7"/>
    </row>
    <row r="344">
      <c r="M344" s="7"/>
    </row>
    <row r="345">
      <c r="M345" s="7"/>
    </row>
    <row r="346">
      <c r="M346" s="7"/>
    </row>
    <row r="347">
      <c r="M347" s="7"/>
    </row>
    <row r="348">
      <c r="M348" s="7"/>
    </row>
    <row r="349">
      <c r="M349" s="7"/>
    </row>
    <row r="350">
      <c r="M350" s="7"/>
    </row>
    <row r="351">
      <c r="M351" s="7"/>
    </row>
    <row r="352">
      <c r="M352" s="7"/>
    </row>
    <row r="353">
      <c r="M353" s="7"/>
    </row>
    <row r="354">
      <c r="M354" s="7"/>
    </row>
    <row r="355">
      <c r="M355" s="7"/>
    </row>
    <row r="356">
      <c r="M356" s="7"/>
    </row>
    <row r="357">
      <c r="M357" s="7"/>
    </row>
    <row r="358">
      <c r="M358" s="7"/>
    </row>
    <row r="359">
      <c r="M359" s="7"/>
    </row>
    <row r="360">
      <c r="M360" s="7"/>
    </row>
    <row r="361">
      <c r="M361" s="7"/>
    </row>
    <row r="362">
      <c r="M362" s="7"/>
    </row>
    <row r="363">
      <c r="M363" s="7"/>
    </row>
    <row r="364">
      <c r="M364" s="7"/>
    </row>
    <row r="365">
      <c r="M365" s="7"/>
    </row>
    <row r="366">
      <c r="M366" s="7"/>
    </row>
    <row r="367">
      <c r="M367" s="7"/>
    </row>
    <row r="368">
      <c r="M368" s="7"/>
    </row>
    <row r="369">
      <c r="M369" s="7"/>
    </row>
    <row r="370">
      <c r="M370" s="7"/>
    </row>
    <row r="371">
      <c r="M371" s="7"/>
    </row>
    <row r="372">
      <c r="M372" s="7"/>
    </row>
    <row r="373">
      <c r="M373" s="7"/>
    </row>
    <row r="374">
      <c r="M374" s="7"/>
    </row>
    <row r="375">
      <c r="M375" s="7"/>
    </row>
    <row r="376">
      <c r="M376" s="7"/>
    </row>
    <row r="377">
      <c r="M377" s="7"/>
    </row>
    <row r="378">
      <c r="M378" s="7"/>
    </row>
    <row r="379">
      <c r="M379" s="7"/>
    </row>
    <row r="380">
      <c r="M380" s="7"/>
    </row>
    <row r="381">
      <c r="M381" s="7"/>
    </row>
    <row r="382">
      <c r="M382" s="7"/>
    </row>
    <row r="383">
      <c r="M383" s="7"/>
    </row>
    <row r="384">
      <c r="M384" s="7"/>
    </row>
    <row r="385">
      <c r="M385" s="7"/>
    </row>
    <row r="386">
      <c r="M386" s="7"/>
    </row>
    <row r="387">
      <c r="M387" s="7"/>
    </row>
    <row r="388">
      <c r="M388" s="7"/>
    </row>
    <row r="389">
      <c r="M389" s="7"/>
    </row>
    <row r="390">
      <c r="M390" s="7"/>
    </row>
    <row r="391">
      <c r="M391" s="7"/>
    </row>
    <row r="392">
      <c r="M392" s="7"/>
    </row>
    <row r="393">
      <c r="M393" s="7"/>
    </row>
    <row r="394">
      <c r="M394" s="7"/>
    </row>
    <row r="395">
      <c r="M395" s="7"/>
    </row>
    <row r="396">
      <c r="M396" s="7"/>
    </row>
    <row r="397">
      <c r="M397" s="7"/>
    </row>
    <row r="398">
      <c r="M398" s="7"/>
    </row>
    <row r="399">
      <c r="M399" s="7"/>
    </row>
    <row r="400">
      <c r="M400" s="7"/>
    </row>
    <row r="401">
      <c r="M401" s="7"/>
    </row>
    <row r="402">
      <c r="M402" s="7"/>
    </row>
    <row r="403">
      <c r="M403" s="7"/>
    </row>
    <row r="404">
      <c r="M404" s="7"/>
    </row>
    <row r="405">
      <c r="M405" s="7"/>
    </row>
    <row r="406">
      <c r="M406" s="7"/>
    </row>
    <row r="407">
      <c r="M407" s="7"/>
    </row>
    <row r="408">
      <c r="M408" s="7"/>
    </row>
    <row r="409">
      <c r="M409" s="7"/>
    </row>
    <row r="410">
      <c r="M410" s="7"/>
    </row>
    <row r="411">
      <c r="M411" s="7"/>
    </row>
    <row r="412">
      <c r="M412" s="7"/>
    </row>
    <row r="413">
      <c r="M413" s="7"/>
    </row>
    <row r="414">
      <c r="M414" s="7"/>
    </row>
    <row r="415">
      <c r="M415" s="7"/>
    </row>
    <row r="416">
      <c r="M416" s="7"/>
    </row>
    <row r="417">
      <c r="M417" s="7"/>
    </row>
    <row r="418">
      <c r="M418" s="7"/>
    </row>
    <row r="419">
      <c r="M419" s="7"/>
    </row>
    <row r="420">
      <c r="M420" s="7"/>
    </row>
    <row r="421">
      <c r="M421" s="7"/>
    </row>
    <row r="422">
      <c r="M422" s="7"/>
    </row>
    <row r="423">
      <c r="M423" s="7"/>
    </row>
    <row r="424">
      <c r="M424" s="7"/>
    </row>
    <row r="425">
      <c r="M425" s="7"/>
    </row>
    <row r="426">
      <c r="M426" s="7"/>
    </row>
    <row r="427">
      <c r="M427" s="7"/>
    </row>
    <row r="428">
      <c r="M428" s="7"/>
    </row>
    <row r="429">
      <c r="M429" s="7"/>
    </row>
    <row r="430">
      <c r="M430" s="7"/>
    </row>
    <row r="431">
      <c r="M431" s="7"/>
    </row>
    <row r="432">
      <c r="M432" s="7"/>
    </row>
    <row r="433">
      <c r="M433" s="7"/>
    </row>
    <row r="434">
      <c r="M434" s="7"/>
    </row>
    <row r="435">
      <c r="M435" s="7"/>
    </row>
    <row r="436">
      <c r="M436" s="7"/>
    </row>
    <row r="437">
      <c r="M437" s="7"/>
    </row>
    <row r="438">
      <c r="M438" s="7"/>
    </row>
    <row r="439">
      <c r="M439" s="7"/>
    </row>
    <row r="440">
      <c r="M440" s="7"/>
    </row>
    <row r="441">
      <c r="M441" s="7"/>
    </row>
    <row r="442">
      <c r="M442" s="7"/>
    </row>
    <row r="443">
      <c r="M443" s="7"/>
    </row>
    <row r="444">
      <c r="M444" s="7"/>
    </row>
    <row r="445">
      <c r="M445" s="7"/>
    </row>
    <row r="446">
      <c r="M446" s="7"/>
    </row>
    <row r="447">
      <c r="M447" s="7"/>
    </row>
    <row r="448">
      <c r="M448" s="7"/>
    </row>
    <row r="449">
      <c r="M449" s="7"/>
    </row>
    <row r="450">
      <c r="M450" s="7"/>
    </row>
    <row r="451">
      <c r="M451" s="7"/>
    </row>
    <row r="452">
      <c r="M452" s="7"/>
    </row>
    <row r="453">
      <c r="M453" s="7"/>
    </row>
    <row r="454">
      <c r="M454" s="7"/>
    </row>
    <row r="455">
      <c r="M455" s="7"/>
    </row>
    <row r="456">
      <c r="M456" s="7"/>
    </row>
    <row r="457">
      <c r="M457" s="7"/>
    </row>
    <row r="458">
      <c r="M458" s="7"/>
    </row>
    <row r="459">
      <c r="M459" s="7"/>
    </row>
    <row r="460">
      <c r="M460" s="7"/>
    </row>
    <row r="461">
      <c r="M461" s="7"/>
    </row>
    <row r="462">
      <c r="M462" s="7"/>
    </row>
    <row r="463">
      <c r="M463" s="7"/>
    </row>
    <row r="464">
      <c r="M464" s="7"/>
    </row>
    <row r="465">
      <c r="M465" s="7"/>
    </row>
    <row r="466">
      <c r="M466" s="7"/>
    </row>
    <row r="467">
      <c r="M467" s="7"/>
    </row>
    <row r="468">
      <c r="M468" s="7"/>
    </row>
    <row r="469">
      <c r="M469" s="7"/>
    </row>
    <row r="470">
      <c r="M470" s="7"/>
    </row>
    <row r="471">
      <c r="M471" s="7"/>
    </row>
    <row r="472">
      <c r="M472" s="7"/>
    </row>
    <row r="473">
      <c r="M473" s="7"/>
    </row>
    <row r="474">
      <c r="M474" s="7"/>
    </row>
    <row r="475">
      <c r="M475" s="7"/>
    </row>
    <row r="476">
      <c r="M476" s="7"/>
    </row>
    <row r="477">
      <c r="M477" s="7"/>
    </row>
    <row r="478">
      <c r="M478" s="7"/>
    </row>
    <row r="479">
      <c r="M479" s="7"/>
    </row>
    <row r="480">
      <c r="M480" s="7"/>
    </row>
    <row r="481">
      <c r="M481" s="7"/>
    </row>
    <row r="482">
      <c r="M482" s="7"/>
    </row>
    <row r="483">
      <c r="M483" s="7"/>
    </row>
    <row r="484">
      <c r="M484" s="7"/>
    </row>
    <row r="485">
      <c r="M485" s="7"/>
    </row>
    <row r="486">
      <c r="M486" s="7"/>
    </row>
    <row r="487">
      <c r="M487" s="7"/>
    </row>
    <row r="488">
      <c r="M488" s="7"/>
    </row>
    <row r="489">
      <c r="M489" s="7"/>
    </row>
    <row r="490">
      <c r="M490" s="7"/>
    </row>
    <row r="491">
      <c r="M491" s="7"/>
    </row>
    <row r="492">
      <c r="M492" s="7"/>
    </row>
    <row r="493">
      <c r="M493" s="7"/>
    </row>
    <row r="494">
      <c r="M494" s="7"/>
    </row>
    <row r="495">
      <c r="M495" s="7"/>
    </row>
    <row r="496">
      <c r="M496" s="7"/>
    </row>
    <row r="497">
      <c r="M497" s="7"/>
    </row>
    <row r="498">
      <c r="M498" s="7"/>
    </row>
    <row r="499">
      <c r="M499" s="7"/>
    </row>
    <row r="500">
      <c r="M500" s="7"/>
    </row>
    <row r="501">
      <c r="M501" s="7"/>
    </row>
    <row r="502">
      <c r="M502" s="7"/>
    </row>
    <row r="503">
      <c r="M503" s="7"/>
    </row>
    <row r="504">
      <c r="M504" s="7"/>
    </row>
    <row r="505">
      <c r="M505" s="7"/>
    </row>
    <row r="506">
      <c r="M506" s="7"/>
    </row>
    <row r="507">
      <c r="M507" s="7"/>
    </row>
    <row r="508">
      <c r="M508" s="7"/>
    </row>
    <row r="509">
      <c r="M509" s="7"/>
    </row>
    <row r="510">
      <c r="M510" s="7"/>
    </row>
    <row r="511">
      <c r="M511" s="7"/>
    </row>
    <row r="512">
      <c r="M512" s="7"/>
    </row>
    <row r="513">
      <c r="M513" s="7"/>
    </row>
    <row r="514">
      <c r="M514" s="7"/>
    </row>
    <row r="515">
      <c r="M515" s="7"/>
    </row>
    <row r="516">
      <c r="M516" s="7"/>
    </row>
    <row r="517">
      <c r="M517" s="7"/>
    </row>
    <row r="518">
      <c r="M518" s="7"/>
    </row>
    <row r="519">
      <c r="M519" s="7"/>
    </row>
    <row r="520">
      <c r="M520" s="7"/>
    </row>
    <row r="521">
      <c r="M521" s="7"/>
    </row>
    <row r="522">
      <c r="M522" s="7"/>
    </row>
    <row r="523">
      <c r="M523" s="7"/>
    </row>
    <row r="524">
      <c r="M524" s="7"/>
    </row>
    <row r="525">
      <c r="M525" s="7"/>
    </row>
    <row r="526">
      <c r="M526" s="7"/>
    </row>
    <row r="527">
      <c r="M527" s="7"/>
    </row>
    <row r="528">
      <c r="M528" s="7"/>
    </row>
    <row r="529">
      <c r="M529" s="7"/>
    </row>
    <row r="530">
      <c r="M530" s="7"/>
    </row>
    <row r="531">
      <c r="M531" s="7"/>
    </row>
    <row r="532">
      <c r="M532" s="7"/>
    </row>
    <row r="533">
      <c r="M533" s="7"/>
    </row>
    <row r="534">
      <c r="M534" s="7"/>
    </row>
    <row r="535">
      <c r="M535" s="7"/>
    </row>
    <row r="536">
      <c r="M536" s="7"/>
    </row>
    <row r="537">
      <c r="M537" s="7"/>
    </row>
    <row r="538">
      <c r="M538" s="7"/>
    </row>
    <row r="539">
      <c r="M539" s="7"/>
    </row>
    <row r="540">
      <c r="M540" s="7"/>
    </row>
    <row r="541">
      <c r="M541" s="7"/>
    </row>
    <row r="542">
      <c r="M542" s="7"/>
    </row>
    <row r="543">
      <c r="M543" s="7"/>
    </row>
    <row r="544">
      <c r="M544" s="7"/>
    </row>
    <row r="545">
      <c r="M545" s="7"/>
    </row>
    <row r="546">
      <c r="M546" s="7"/>
    </row>
    <row r="547">
      <c r="M547" s="7"/>
    </row>
    <row r="548">
      <c r="M548" s="7"/>
    </row>
    <row r="549">
      <c r="M549" s="7"/>
    </row>
    <row r="550">
      <c r="M550" s="7"/>
    </row>
    <row r="551">
      <c r="M551" s="7"/>
    </row>
    <row r="552">
      <c r="M552" s="7"/>
    </row>
    <row r="553">
      <c r="M553" s="7"/>
    </row>
    <row r="554">
      <c r="M554" s="7"/>
    </row>
    <row r="555">
      <c r="M555" s="7"/>
    </row>
    <row r="556">
      <c r="M556" s="7"/>
    </row>
    <row r="557">
      <c r="M557" s="7"/>
    </row>
    <row r="558">
      <c r="M558" s="7"/>
    </row>
    <row r="559">
      <c r="M559" s="7"/>
    </row>
    <row r="560">
      <c r="M560" s="7"/>
    </row>
    <row r="561">
      <c r="M561" s="7"/>
    </row>
    <row r="562">
      <c r="M562" s="7"/>
    </row>
    <row r="563">
      <c r="M563" s="7"/>
    </row>
    <row r="564">
      <c r="M564" s="7"/>
    </row>
    <row r="565">
      <c r="M565" s="7"/>
    </row>
    <row r="566">
      <c r="M566" s="7"/>
    </row>
    <row r="567">
      <c r="M567" s="7"/>
    </row>
    <row r="568">
      <c r="M568" s="7"/>
    </row>
    <row r="569">
      <c r="M569" s="7"/>
    </row>
    <row r="570">
      <c r="M570" s="7"/>
    </row>
    <row r="571">
      <c r="M571" s="7"/>
    </row>
    <row r="572">
      <c r="M572" s="7"/>
    </row>
    <row r="573">
      <c r="M573" s="7"/>
    </row>
    <row r="574">
      <c r="M574" s="7"/>
    </row>
    <row r="575">
      <c r="M575" s="7"/>
    </row>
    <row r="576">
      <c r="M576" s="7"/>
    </row>
    <row r="577">
      <c r="M577" s="7"/>
    </row>
    <row r="578">
      <c r="M578" s="7"/>
    </row>
    <row r="579">
      <c r="M579" s="7"/>
    </row>
    <row r="580">
      <c r="M580" s="7"/>
    </row>
    <row r="581">
      <c r="M581" s="7"/>
    </row>
    <row r="582">
      <c r="M582" s="7"/>
    </row>
    <row r="583">
      <c r="M583" s="7"/>
    </row>
    <row r="584">
      <c r="M584" s="7"/>
    </row>
    <row r="585">
      <c r="M585" s="7"/>
    </row>
    <row r="586">
      <c r="M586" s="7"/>
    </row>
    <row r="587">
      <c r="M587" s="7"/>
    </row>
    <row r="588">
      <c r="M588" s="7"/>
    </row>
    <row r="589">
      <c r="M589" s="7"/>
    </row>
    <row r="590">
      <c r="M590" s="7"/>
    </row>
    <row r="591">
      <c r="M591" s="7"/>
    </row>
    <row r="592">
      <c r="M592" s="7"/>
    </row>
    <row r="593">
      <c r="M593" s="7"/>
    </row>
    <row r="594">
      <c r="M594" s="7"/>
    </row>
    <row r="595">
      <c r="M595" s="7"/>
    </row>
    <row r="596">
      <c r="M596" s="7"/>
    </row>
    <row r="597">
      <c r="M597" s="7"/>
    </row>
    <row r="598">
      <c r="M598" s="7"/>
    </row>
    <row r="599">
      <c r="M599" s="7"/>
    </row>
    <row r="600">
      <c r="M600" s="7"/>
    </row>
    <row r="601">
      <c r="M601" s="7"/>
    </row>
    <row r="602">
      <c r="M602" s="7"/>
    </row>
    <row r="603">
      <c r="M603" s="7"/>
    </row>
    <row r="604">
      <c r="M604" s="7"/>
    </row>
    <row r="605">
      <c r="M605" s="7"/>
    </row>
    <row r="606">
      <c r="M606" s="7"/>
    </row>
    <row r="607">
      <c r="M607" s="7"/>
    </row>
    <row r="608">
      <c r="M608" s="7"/>
    </row>
    <row r="609">
      <c r="M609" s="7"/>
    </row>
    <row r="610">
      <c r="M610" s="7"/>
    </row>
    <row r="611">
      <c r="M611" s="7"/>
    </row>
    <row r="612">
      <c r="M612" s="7"/>
    </row>
    <row r="613">
      <c r="M613" s="7"/>
    </row>
    <row r="614">
      <c r="M614" s="7"/>
    </row>
    <row r="615">
      <c r="M615" s="7"/>
    </row>
    <row r="616">
      <c r="M616" s="7"/>
    </row>
    <row r="617">
      <c r="M617" s="7"/>
    </row>
    <row r="618">
      <c r="M618" s="7"/>
    </row>
    <row r="619">
      <c r="M619" s="7"/>
    </row>
    <row r="620">
      <c r="M620" s="7"/>
    </row>
    <row r="621">
      <c r="M621" s="7"/>
    </row>
    <row r="622">
      <c r="M622" s="7"/>
    </row>
    <row r="623">
      <c r="M623" s="7"/>
    </row>
    <row r="624">
      <c r="M624" s="7"/>
    </row>
    <row r="625">
      <c r="M625" s="7"/>
    </row>
    <row r="626">
      <c r="M626" s="7"/>
    </row>
    <row r="627">
      <c r="M627" s="7"/>
    </row>
    <row r="628">
      <c r="M628" s="7"/>
    </row>
    <row r="629">
      <c r="M629" s="7"/>
    </row>
    <row r="630">
      <c r="M630" s="7"/>
    </row>
    <row r="631">
      <c r="M631" s="7"/>
    </row>
    <row r="632">
      <c r="M632" s="7"/>
    </row>
    <row r="633">
      <c r="M633" s="7"/>
    </row>
    <row r="634">
      <c r="M634" s="7"/>
    </row>
    <row r="635">
      <c r="M635" s="7"/>
    </row>
    <row r="636">
      <c r="M636" s="7"/>
    </row>
    <row r="637">
      <c r="M637" s="7"/>
    </row>
    <row r="638">
      <c r="M638" s="7"/>
    </row>
    <row r="639">
      <c r="M639" s="7"/>
    </row>
    <row r="640">
      <c r="M640" s="7"/>
    </row>
    <row r="641">
      <c r="M641" s="7"/>
    </row>
    <row r="642">
      <c r="M642" s="7"/>
    </row>
    <row r="643">
      <c r="M643" s="7"/>
    </row>
    <row r="644">
      <c r="M644" s="7"/>
    </row>
    <row r="645">
      <c r="M645" s="7"/>
    </row>
    <row r="646">
      <c r="M646" s="7"/>
    </row>
    <row r="647">
      <c r="M647" s="7"/>
    </row>
    <row r="648">
      <c r="M648" s="7"/>
    </row>
    <row r="649">
      <c r="M649" s="7"/>
    </row>
    <row r="650">
      <c r="M650" s="7"/>
    </row>
    <row r="651">
      <c r="M651" s="7"/>
    </row>
    <row r="652">
      <c r="M652" s="7"/>
    </row>
    <row r="653">
      <c r="M653" s="7"/>
    </row>
    <row r="654">
      <c r="M654" s="7"/>
    </row>
    <row r="655">
      <c r="M655" s="7"/>
    </row>
    <row r="656">
      <c r="M656" s="7"/>
    </row>
    <row r="657">
      <c r="M657" s="7"/>
    </row>
    <row r="658">
      <c r="M658" s="7"/>
    </row>
    <row r="659">
      <c r="M659" s="7"/>
    </row>
    <row r="660">
      <c r="M660" s="7"/>
    </row>
    <row r="661">
      <c r="M661" s="7"/>
    </row>
    <row r="662">
      <c r="M662" s="7"/>
    </row>
    <row r="663">
      <c r="M663" s="7"/>
    </row>
    <row r="664">
      <c r="M664" s="7"/>
    </row>
    <row r="665">
      <c r="M665" s="7"/>
    </row>
    <row r="666">
      <c r="M666" s="7"/>
    </row>
    <row r="667">
      <c r="M667" s="7"/>
    </row>
    <row r="668">
      <c r="M668" s="7"/>
    </row>
    <row r="669">
      <c r="M669" s="7"/>
    </row>
    <row r="670">
      <c r="M670" s="7"/>
    </row>
    <row r="671">
      <c r="M671" s="7"/>
    </row>
    <row r="672">
      <c r="M672" s="7"/>
    </row>
    <row r="673">
      <c r="M673" s="7"/>
    </row>
    <row r="674">
      <c r="M674" s="7"/>
    </row>
    <row r="675">
      <c r="M675" s="7"/>
    </row>
    <row r="676">
      <c r="M676" s="7"/>
    </row>
    <row r="677">
      <c r="M677" s="7"/>
    </row>
    <row r="678">
      <c r="M678" s="7"/>
    </row>
    <row r="679">
      <c r="M679" s="7"/>
    </row>
    <row r="680">
      <c r="M680" s="7"/>
    </row>
    <row r="681">
      <c r="M681" s="7"/>
    </row>
    <row r="682">
      <c r="M682" s="7"/>
    </row>
    <row r="683">
      <c r="M683" s="7"/>
    </row>
    <row r="684">
      <c r="M684" s="7"/>
    </row>
    <row r="685">
      <c r="M685" s="7"/>
    </row>
    <row r="686">
      <c r="M686" s="7"/>
    </row>
    <row r="687">
      <c r="M687" s="7"/>
    </row>
    <row r="688">
      <c r="M688" s="7"/>
    </row>
    <row r="689">
      <c r="M689" s="7"/>
    </row>
    <row r="690">
      <c r="M690" s="7"/>
    </row>
    <row r="691">
      <c r="M691" s="7"/>
    </row>
    <row r="692">
      <c r="M692" s="7"/>
    </row>
    <row r="693">
      <c r="M693" s="7"/>
    </row>
    <row r="694">
      <c r="M694" s="7"/>
    </row>
    <row r="695">
      <c r="M695" s="7"/>
    </row>
    <row r="696">
      <c r="M696" s="7"/>
    </row>
    <row r="697">
      <c r="M697" s="7"/>
    </row>
    <row r="698">
      <c r="M698" s="7"/>
    </row>
    <row r="699">
      <c r="M699" s="7"/>
    </row>
    <row r="700">
      <c r="M700" s="7"/>
    </row>
    <row r="701">
      <c r="M701" s="7"/>
    </row>
    <row r="702">
      <c r="M702" s="7"/>
    </row>
    <row r="703">
      <c r="M703" s="7"/>
    </row>
    <row r="704">
      <c r="M704" s="7"/>
    </row>
    <row r="705">
      <c r="M705" s="7"/>
    </row>
    <row r="706">
      <c r="M706" s="7"/>
    </row>
    <row r="707">
      <c r="M707" s="7"/>
    </row>
    <row r="708">
      <c r="M708" s="7"/>
    </row>
    <row r="709">
      <c r="M709" s="7"/>
    </row>
    <row r="710">
      <c r="M710" s="7"/>
    </row>
    <row r="711">
      <c r="M711" s="7"/>
    </row>
    <row r="712">
      <c r="M712" s="7"/>
    </row>
    <row r="713">
      <c r="M713" s="7"/>
    </row>
    <row r="714">
      <c r="M714" s="7"/>
    </row>
    <row r="715">
      <c r="M715" s="7"/>
    </row>
    <row r="716">
      <c r="M716" s="7"/>
    </row>
    <row r="717">
      <c r="M717" s="7"/>
    </row>
    <row r="718">
      <c r="M718" s="7"/>
    </row>
    <row r="719">
      <c r="M719" s="7"/>
    </row>
    <row r="720">
      <c r="M720" s="7"/>
    </row>
    <row r="721">
      <c r="M721" s="7"/>
    </row>
    <row r="722">
      <c r="M722" s="7"/>
    </row>
    <row r="723">
      <c r="M723" s="7"/>
    </row>
    <row r="724">
      <c r="M724" s="7"/>
    </row>
    <row r="725">
      <c r="M725" s="7"/>
    </row>
    <row r="726">
      <c r="M726" s="7"/>
    </row>
    <row r="727">
      <c r="M727" s="7"/>
    </row>
    <row r="728">
      <c r="M728" s="7"/>
    </row>
    <row r="729">
      <c r="M729" s="7"/>
    </row>
    <row r="730">
      <c r="M730" s="7"/>
    </row>
    <row r="731">
      <c r="M731" s="7"/>
    </row>
    <row r="732">
      <c r="M732" s="7"/>
    </row>
    <row r="733">
      <c r="M733" s="7"/>
    </row>
    <row r="734">
      <c r="M734" s="7"/>
    </row>
    <row r="735">
      <c r="M735" s="7"/>
    </row>
    <row r="736">
      <c r="M736" s="7"/>
    </row>
    <row r="737">
      <c r="M737" s="7"/>
    </row>
    <row r="738">
      <c r="M738" s="7"/>
    </row>
    <row r="739">
      <c r="M739" s="7"/>
    </row>
    <row r="740">
      <c r="M740" s="7"/>
    </row>
    <row r="741">
      <c r="M741" s="7"/>
    </row>
    <row r="742">
      <c r="M742" s="7"/>
    </row>
    <row r="743">
      <c r="M743" s="7"/>
    </row>
    <row r="744">
      <c r="M744" s="7"/>
    </row>
    <row r="745">
      <c r="M745" s="7"/>
    </row>
    <row r="746">
      <c r="M746" s="7"/>
    </row>
    <row r="747">
      <c r="M747" s="7"/>
    </row>
    <row r="748">
      <c r="M748" s="7"/>
    </row>
    <row r="749">
      <c r="M749" s="7"/>
    </row>
    <row r="750">
      <c r="M750" s="7"/>
    </row>
    <row r="751">
      <c r="M751" s="7"/>
    </row>
    <row r="752">
      <c r="M752" s="7"/>
    </row>
    <row r="753">
      <c r="M753" s="7"/>
    </row>
    <row r="754">
      <c r="M754" s="7"/>
    </row>
    <row r="755">
      <c r="M755" s="7"/>
    </row>
    <row r="756">
      <c r="M756" s="7"/>
    </row>
    <row r="757">
      <c r="M757" s="7"/>
    </row>
    <row r="758">
      <c r="M758" s="7"/>
    </row>
    <row r="759">
      <c r="M759" s="7"/>
    </row>
    <row r="760">
      <c r="M760" s="7"/>
    </row>
    <row r="761">
      <c r="M761" s="7"/>
    </row>
    <row r="762">
      <c r="M762" s="7"/>
    </row>
    <row r="763">
      <c r="M763" s="7"/>
    </row>
    <row r="764">
      <c r="M764" s="7"/>
    </row>
    <row r="765">
      <c r="M765" s="7"/>
    </row>
    <row r="766">
      <c r="M766" s="7"/>
    </row>
    <row r="767">
      <c r="M767" s="7"/>
    </row>
    <row r="768">
      <c r="M768" s="7"/>
    </row>
    <row r="769">
      <c r="M769" s="7"/>
    </row>
    <row r="770">
      <c r="M770" s="7"/>
    </row>
    <row r="771">
      <c r="M771" s="7"/>
    </row>
    <row r="772">
      <c r="M772" s="7"/>
    </row>
    <row r="773">
      <c r="M773" s="7"/>
    </row>
    <row r="774">
      <c r="M774" s="7"/>
    </row>
    <row r="775">
      <c r="M775" s="7"/>
    </row>
    <row r="776">
      <c r="M776" s="7"/>
    </row>
    <row r="777">
      <c r="M777" s="7"/>
    </row>
    <row r="778">
      <c r="M778" s="7"/>
    </row>
    <row r="779">
      <c r="M779" s="7"/>
    </row>
    <row r="780">
      <c r="M780" s="7"/>
    </row>
    <row r="781">
      <c r="M781" s="7"/>
    </row>
    <row r="782">
      <c r="M782" s="7"/>
    </row>
    <row r="783">
      <c r="M783" s="7"/>
    </row>
    <row r="784">
      <c r="M784" s="7"/>
    </row>
    <row r="785">
      <c r="M785" s="7"/>
    </row>
    <row r="786">
      <c r="M786" s="7"/>
    </row>
    <row r="787">
      <c r="M787" s="7"/>
    </row>
    <row r="788">
      <c r="M788" s="7"/>
    </row>
    <row r="789">
      <c r="M789" s="7"/>
    </row>
    <row r="790">
      <c r="M790" s="7"/>
    </row>
    <row r="791">
      <c r="M791" s="7"/>
    </row>
    <row r="792">
      <c r="M792" s="7"/>
    </row>
    <row r="793">
      <c r="M793" s="7"/>
    </row>
    <row r="794">
      <c r="M794" s="7"/>
    </row>
    <row r="795">
      <c r="M795" s="7"/>
    </row>
    <row r="796">
      <c r="M796" s="7"/>
    </row>
    <row r="797">
      <c r="M797" s="7"/>
    </row>
    <row r="798">
      <c r="M798" s="7"/>
    </row>
    <row r="799">
      <c r="M799" s="7"/>
    </row>
    <row r="800">
      <c r="M800" s="7"/>
    </row>
    <row r="801">
      <c r="M801" s="7"/>
    </row>
    <row r="802">
      <c r="M802" s="7"/>
    </row>
    <row r="803">
      <c r="M803" s="7"/>
    </row>
    <row r="804">
      <c r="M804" s="7"/>
    </row>
    <row r="805">
      <c r="M805" s="7"/>
    </row>
    <row r="806">
      <c r="M806" s="7"/>
    </row>
    <row r="807">
      <c r="M807" s="7"/>
    </row>
    <row r="808">
      <c r="M808" s="7"/>
    </row>
    <row r="809">
      <c r="M809" s="7"/>
    </row>
    <row r="810">
      <c r="M810" s="7"/>
    </row>
    <row r="811">
      <c r="M811" s="7"/>
    </row>
    <row r="812">
      <c r="M812" s="7"/>
    </row>
    <row r="813">
      <c r="M813" s="7"/>
    </row>
    <row r="814">
      <c r="M814" s="7"/>
    </row>
    <row r="815">
      <c r="M815" s="7"/>
    </row>
    <row r="816">
      <c r="M816" s="7"/>
    </row>
    <row r="817">
      <c r="M817" s="7"/>
    </row>
    <row r="818">
      <c r="M818" s="7"/>
    </row>
    <row r="819">
      <c r="M819" s="7"/>
    </row>
    <row r="820">
      <c r="M820" s="7"/>
    </row>
    <row r="821">
      <c r="M821" s="7"/>
    </row>
    <row r="822">
      <c r="M822" s="7"/>
    </row>
    <row r="823">
      <c r="M823" s="7"/>
    </row>
    <row r="824">
      <c r="M824" s="7"/>
    </row>
    <row r="825">
      <c r="M825" s="7"/>
    </row>
    <row r="826">
      <c r="M826" s="7"/>
    </row>
    <row r="827">
      <c r="M827" s="7"/>
    </row>
    <row r="828">
      <c r="M828" s="7"/>
    </row>
    <row r="829">
      <c r="M829" s="7"/>
    </row>
    <row r="830">
      <c r="M830" s="7"/>
    </row>
    <row r="831">
      <c r="M831" s="7"/>
    </row>
    <row r="832">
      <c r="M832" s="7"/>
    </row>
    <row r="833">
      <c r="M833" s="7"/>
    </row>
    <row r="834">
      <c r="M834" s="7"/>
    </row>
    <row r="835">
      <c r="M835" s="7"/>
    </row>
    <row r="836">
      <c r="M836" s="7"/>
    </row>
    <row r="837">
      <c r="M837" s="7"/>
    </row>
    <row r="838">
      <c r="M838" s="7"/>
    </row>
    <row r="839">
      <c r="M839" s="7"/>
    </row>
    <row r="840">
      <c r="M840" s="7"/>
    </row>
    <row r="841">
      <c r="M841" s="7"/>
    </row>
    <row r="842">
      <c r="M842" s="7"/>
    </row>
    <row r="843">
      <c r="M843" s="7"/>
    </row>
    <row r="844">
      <c r="M844" s="7"/>
    </row>
    <row r="845">
      <c r="M845" s="7"/>
    </row>
    <row r="846">
      <c r="M846" s="7"/>
    </row>
    <row r="847">
      <c r="M847" s="7"/>
    </row>
    <row r="848">
      <c r="M848" s="7"/>
    </row>
    <row r="849">
      <c r="M849" s="7"/>
    </row>
    <row r="850">
      <c r="M850" s="7"/>
    </row>
    <row r="851">
      <c r="M851" s="7"/>
    </row>
    <row r="852">
      <c r="M852" s="7"/>
    </row>
    <row r="853">
      <c r="M853" s="7"/>
    </row>
    <row r="854">
      <c r="M854" s="7"/>
    </row>
    <row r="855">
      <c r="M855" s="7"/>
    </row>
    <row r="856">
      <c r="M856" s="7"/>
    </row>
    <row r="857">
      <c r="M857" s="7"/>
    </row>
    <row r="858">
      <c r="M858" s="7"/>
    </row>
    <row r="859">
      <c r="M859" s="7"/>
    </row>
    <row r="860">
      <c r="M860" s="7"/>
    </row>
    <row r="861">
      <c r="M861" s="7"/>
    </row>
    <row r="862">
      <c r="M862" s="7"/>
    </row>
    <row r="863">
      <c r="M863" s="7"/>
    </row>
    <row r="864">
      <c r="M864" s="7"/>
    </row>
    <row r="865">
      <c r="M865" s="7"/>
    </row>
    <row r="866">
      <c r="M866" s="7"/>
    </row>
    <row r="867">
      <c r="M867" s="7"/>
    </row>
    <row r="868">
      <c r="M868" s="7"/>
    </row>
    <row r="869">
      <c r="M869" s="7"/>
    </row>
    <row r="870">
      <c r="M870" s="7"/>
    </row>
    <row r="871">
      <c r="M871" s="7"/>
    </row>
    <row r="872">
      <c r="M872" s="7"/>
    </row>
    <row r="873">
      <c r="M873" s="7"/>
    </row>
    <row r="874">
      <c r="M874" s="7"/>
    </row>
    <row r="875">
      <c r="M875" s="7"/>
    </row>
    <row r="876">
      <c r="M876" s="7"/>
    </row>
    <row r="877">
      <c r="M877" s="7"/>
    </row>
    <row r="878">
      <c r="M878" s="7"/>
    </row>
    <row r="879">
      <c r="M879" s="7"/>
    </row>
    <row r="880">
      <c r="M880" s="7"/>
    </row>
    <row r="881">
      <c r="M881" s="7"/>
    </row>
    <row r="882">
      <c r="M882" s="7"/>
    </row>
    <row r="883">
      <c r="M883" s="7"/>
    </row>
    <row r="884">
      <c r="M884" s="7"/>
    </row>
    <row r="885">
      <c r="M885" s="7"/>
    </row>
    <row r="886">
      <c r="M886" s="7"/>
    </row>
    <row r="887">
      <c r="M887" s="7"/>
    </row>
    <row r="888">
      <c r="M888" s="7"/>
    </row>
    <row r="889">
      <c r="M889" s="7"/>
    </row>
    <row r="890">
      <c r="M890" s="7"/>
    </row>
    <row r="891">
      <c r="M891" s="7"/>
    </row>
    <row r="892">
      <c r="M892" s="7"/>
    </row>
    <row r="893">
      <c r="M893" s="7"/>
    </row>
    <row r="894">
      <c r="M894" s="7"/>
    </row>
    <row r="895">
      <c r="M895" s="7"/>
    </row>
    <row r="896">
      <c r="M896" s="7"/>
    </row>
    <row r="897">
      <c r="M897" s="7"/>
    </row>
    <row r="898">
      <c r="M898" s="7"/>
    </row>
    <row r="899">
      <c r="M899" s="7"/>
    </row>
    <row r="900">
      <c r="M900" s="7"/>
    </row>
    <row r="901">
      <c r="M901" s="7"/>
    </row>
    <row r="902">
      <c r="M902" s="7"/>
    </row>
    <row r="903">
      <c r="M903" s="7"/>
    </row>
    <row r="904">
      <c r="M904" s="7"/>
    </row>
    <row r="905">
      <c r="M905" s="7"/>
    </row>
    <row r="906">
      <c r="M906" s="7"/>
    </row>
    <row r="907">
      <c r="M907" s="7"/>
    </row>
    <row r="908">
      <c r="M908" s="7"/>
    </row>
    <row r="909">
      <c r="M909" s="7"/>
    </row>
    <row r="910">
      <c r="M910" s="7"/>
    </row>
    <row r="911">
      <c r="M911" s="7"/>
    </row>
    <row r="912">
      <c r="M912" s="7"/>
    </row>
    <row r="913">
      <c r="M913" s="7"/>
    </row>
    <row r="914">
      <c r="M914" s="7"/>
    </row>
    <row r="915">
      <c r="M915" s="7"/>
    </row>
    <row r="916">
      <c r="M916" s="7"/>
    </row>
    <row r="917">
      <c r="M917" s="7"/>
    </row>
    <row r="918">
      <c r="M918" s="7"/>
    </row>
    <row r="919">
      <c r="M919" s="7"/>
    </row>
    <row r="920">
      <c r="M920" s="7"/>
    </row>
    <row r="921">
      <c r="M921" s="7"/>
    </row>
    <row r="922">
      <c r="M922" s="7"/>
    </row>
    <row r="923">
      <c r="M923" s="7"/>
    </row>
    <row r="924">
      <c r="M924" s="7"/>
    </row>
    <row r="925">
      <c r="M925" s="7"/>
    </row>
    <row r="926">
      <c r="M926" s="7"/>
    </row>
    <row r="927">
      <c r="M927" s="7"/>
    </row>
    <row r="928">
      <c r="M928" s="7"/>
    </row>
    <row r="929">
      <c r="M929" s="7"/>
    </row>
    <row r="930">
      <c r="M930" s="7"/>
    </row>
    <row r="931">
      <c r="M931" s="7"/>
    </row>
    <row r="932">
      <c r="M932" s="7"/>
    </row>
    <row r="933">
      <c r="M933" s="7"/>
    </row>
    <row r="934">
      <c r="M934" s="7"/>
    </row>
    <row r="935">
      <c r="M935" s="7"/>
    </row>
    <row r="936">
      <c r="M936" s="7"/>
    </row>
    <row r="937">
      <c r="M937" s="7"/>
    </row>
    <row r="938">
      <c r="M938" s="7"/>
    </row>
    <row r="939">
      <c r="M939" s="7"/>
    </row>
    <row r="940">
      <c r="M940" s="7"/>
    </row>
    <row r="941">
      <c r="M941" s="7"/>
    </row>
    <row r="942">
      <c r="M942" s="7"/>
    </row>
    <row r="943">
      <c r="M943" s="7"/>
    </row>
    <row r="944">
      <c r="M944" s="7"/>
    </row>
    <row r="945">
      <c r="M945" s="7"/>
    </row>
    <row r="946">
      <c r="M946" s="7"/>
    </row>
    <row r="947">
      <c r="M947" s="7"/>
    </row>
    <row r="948">
      <c r="M948" s="7"/>
    </row>
    <row r="949">
      <c r="M949" s="7"/>
    </row>
    <row r="950">
      <c r="M950" s="7"/>
    </row>
    <row r="951">
      <c r="M951" s="7"/>
    </row>
    <row r="952">
      <c r="M952" s="7"/>
    </row>
    <row r="953">
      <c r="M953" s="7"/>
    </row>
    <row r="954">
      <c r="M954" s="7"/>
    </row>
    <row r="955">
      <c r="M955" s="7"/>
    </row>
    <row r="956">
      <c r="M956" s="7"/>
    </row>
    <row r="957">
      <c r="M957" s="7"/>
    </row>
    <row r="958">
      <c r="M958" s="7"/>
    </row>
    <row r="959">
      <c r="M959" s="7"/>
    </row>
    <row r="960">
      <c r="M960" s="7"/>
    </row>
    <row r="961">
      <c r="M961" s="7"/>
    </row>
    <row r="962">
      <c r="M962" s="7"/>
    </row>
    <row r="963">
      <c r="M963" s="7"/>
    </row>
    <row r="964">
      <c r="M964" s="7"/>
    </row>
    <row r="965">
      <c r="M965" s="7"/>
    </row>
    <row r="966">
      <c r="M966" s="7"/>
    </row>
    <row r="967">
      <c r="M967" s="7"/>
    </row>
    <row r="968">
      <c r="M968" s="7"/>
    </row>
    <row r="969">
      <c r="M969" s="7"/>
    </row>
    <row r="970">
      <c r="M970" s="7"/>
    </row>
    <row r="971">
      <c r="M971" s="7"/>
    </row>
    <row r="972">
      <c r="M972" s="7"/>
    </row>
    <row r="973">
      <c r="M973" s="7"/>
    </row>
    <row r="974">
      <c r="M974" s="7"/>
    </row>
    <row r="975">
      <c r="M975" s="7"/>
    </row>
    <row r="976">
      <c r="M976" s="7"/>
    </row>
    <row r="977">
      <c r="M977" s="7"/>
    </row>
    <row r="978">
      <c r="M978" s="7"/>
    </row>
    <row r="979">
      <c r="M979" s="7"/>
    </row>
    <row r="980">
      <c r="M980" s="7"/>
    </row>
    <row r="981">
      <c r="M981" s="7"/>
    </row>
    <row r="982">
      <c r="M982" s="7"/>
    </row>
    <row r="983">
      <c r="M983" s="7"/>
    </row>
    <row r="984">
      <c r="M984" s="7"/>
    </row>
    <row r="985">
      <c r="M985" s="7"/>
    </row>
    <row r="986">
      <c r="M986" s="7"/>
    </row>
    <row r="987">
      <c r="M987" s="7"/>
    </row>
    <row r="988">
      <c r="M988" s="7"/>
    </row>
    <row r="989">
      <c r="M989" s="7"/>
    </row>
    <row r="990">
      <c r="M990" s="7"/>
    </row>
    <row r="991">
      <c r="M991" s="7"/>
    </row>
    <row r="992">
      <c r="M992" s="7"/>
    </row>
    <row r="993">
      <c r="M993" s="7"/>
    </row>
    <row r="994">
      <c r="M994" s="7"/>
    </row>
    <row r="995">
      <c r="M995" s="7"/>
    </row>
    <row r="996">
      <c r="M996" s="7"/>
    </row>
    <row r="997">
      <c r="M997" s="7"/>
    </row>
    <row r="998">
      <c r="M998" s="7"/>
    </row>
    <row r="999">
      <c r="M999" s="7"/>
    </row>
    <row r="1000">
      <c r="M1000" s="7"/>
    </row>
    <row r="1001">
      <c r="M1001" s="7"/>
    </row>
    <row r="1002">
      <c r="M1002" s="7"/>
    </row>
    <row r="1003">
      <c r="M1003" s="7"/>
    </row>
    <row r="1004">
      <c r="M1004" s="7"/>
    </row>
    <row r="1005">
      <c r="M1005" s="7"/>
    </row>
    <row r="1006">
      <c r="M1006" s="7"/>
    </row>
    <row r="1007">
      <c r="M1007" s="7"/>
    </row>
    <row r="1008">
      <c r="M1008" s="7"/>
    </row>
    <row r="1009">
      <c r="M1009" s="7"/>
    </row>
    <row r="1010">
      <c r="M1010" s="7"/>
    </row>
    <row r="1011">
      <c r="M1011" s="7"/>
    </row>
    <row r="1012">
      <c r="M1012" s="7"/>
    </row>
    <row r="1013">
      <c r="M1013" s="7"/>
    </row>
    <row r="1014">
      <c r="M1014" s="7"/>
    </row>
    <row r="1015">
      <c r="M1015" s="7"/>
    </row>
    <row r="1016">
      <c r="M1016" s="7"/>
    </row>
    <row r="1017">
      <c r="M1017" s="7"/>
    </row>
    <row r="1018">
      <c r="M1018" s="7"/>
    </row>
    <row r="1019">
      <c r="M1019" s="7"/>
    </row>
    <row r="1020">
      <c r="M1020" s="7"/>
    </row>
    <row r="1021">
      <c r="M1021" s="7"/>
    </row>
    <row r="1022">
      <c r="M1022" s="7"/>
    </row>
    <row r="1023">
      <c r="M1023" s="7"/>
    </row>
    <row r="1024">
      <c r="M1024" s="7"/>
    </row>
    <row r="1025">
      <c r="M1025" s="7"/>
    </row>
    <row r="1026">
      <c r="M1026" s="7"/>
    </row>
    <row r="1027">
      <c r="M1027" s="7"/>
    </row>
    <row r="1028">
      <c r="M1028" s="7"/>
    </row>
    <row r="1029">
      <c r="M1029" s="7"/>
    </row>
    <row r="1030">
      <c r="M1030" s="7"/>
    </row>
    <row r="1031">
      <c r="M1031" s="7"/>
    </row>
    <row r="1032">
      <c r="M1032" s="7"/>
    </row>
    <row r="1033">
      <c r="M1033" s="7"/>
    </row>
    <row r="1034">
      <c r="M1034" s="7"/>
    </row>
    <row r="1035">
      <c r="M1035" s="7"/>
    </row>
    <row r="1036">
      <c r="M1036" s="7"/>
    </row>
    <row r="1037">
      <c r="M1037" s="7"/>
    </row>
    <row r="1038">
      <c r="M1038" s="7"/>
    </row>
    <row r="1039">
      <c r="M1039" s="7"/>
    </row>
    <row r="1040">
      <c r="M1040" s="7"/>
    </row>
    <row r="1041">
      <c r="M1041" s="7"/>
    </row>
    <row r="1042">
      <c r="M1042" s="7"/>
    </row>
    <row r="1043">
      <c r="M1043" s="7"/>
    </row>
    <row r="1044">
      <c r="M1044" s="7"/>
    </row>
    <row r="1045">
      <c r="M1045" s="7"/>
    </row>
    <row r="1046">
      <c r="M1046" s="7"/>
    </row>
    <row r="1047">
      <c r="M1047" s="7"/>
    </row>
    <row r="1048">
      <c r="M1048" s="7"/>
    </row>
    <row r="1049">
      <c r="M1049" s="7"/>
    </row>
    <row r="1050">
      <c r="M1050" s="7"/>
    </row>
    <row r="1051">
      <c r="M1051" s="7"/>
    </row>
    <row r="1052">
      <c r="M1052" s="7"/>
    </row>
    <row r="1053">
      <c r="M1053" s="7"/>
    </row>
    <row r="1054">
      <c r="M1054" s="7"/>
    </row>
    <row r="1055">
      <c r="M1055" s="7"/>
    </row>
    <row r="1056">
      <c r="M1056" s="7"/>
    </row>
    <row r="1057">
      <c r="M1057" s="7"/>
    </row>
    <row r="1058">
      <c r="M1058" s="7"/>
    </row>
    <row r="1059">
      <c r="M1059" s="7"/>
    </row>
    <row r="1060">
      <c r="M1060" s="7"/>
    </row>
    <row r="1061">
      <c r="M1061" s="7"/>
    </row>
    <row r="1062">
      <c r="M1062" s="7"/>
    </row>
    <row r="1063">
      <c r="M1063" s="7"/>
    </row>
    <row r="1064">
      <c r="M1064" s="7"/>
    </row>
    <row r="1065">
      <c r="M1065" s="7"/>
    </row>
    <row r="1066">
      <c r="M1066" s="7"/>
    </row>
    <row r="1067">
      <c r="M1067" s="7"/>
    </row>
    <row r="1068">
      <c r="M1068" s="7"/>
    </row>
    <row r="1069">
      <c r="M1069" s="7"/>
    </row>
    <row r="1070">
      <c r="M1070" s="7"/>
    </row>
    <row r="1071">
      <c r="M1071" s="7"/>
    </row>
    <row r="1072">
      <c r="M1072" s="7"/>
    </row>
    <row r="1073">
      <c r="M1073" s="7"/>
    </row>
    <row r="1074">
      <c r="M1074" s="7"/>
    </row>
    <row r="1075">
      <c r="M1075" s="7"/>
    </row>
    <row r="1076">
      <c r="M1076" s="7"/>
    </row>
    <row r="1077">
      <c r="M1077" s="7"/>
    </row>
    <row r="1078">
      <c r="M1078" s="7"/>
    </row>
    <row r="1079">
      <c r="M1079" s="7"/>
    </row>
    <row r="1080">
      <c r="M1080" s="7"/>
    </row>
    <row r="1081">
      <c r="M1081" s="7"/>
    </row>
    <row r="1082">
      <c r="M1082" s="7"/>
    </row>
    <row r="1083">
      <c r="M1083" s="7"/>
    </row>
    <row r="1084">
      <c r="M1084" s="7"/>
    </row>
    <row r="1085">
      <c r="M1085" s="7"/>
    </row>
    <row r="1086">
      <c r="M1086" s="7"/>
    </row>
    <row r="1087">
      <c r="M1087" s="7"/>
    </row>
    <row r="1088">
      <c r="M1088" s="7"/>
    </row>
    <row r="1089">
      <c r="M1089" s="7"/>
    </row>
    <row r="1090">
      <c r="M1090" s="7"/>
    </row>
    <row r="1091">
      <c r="M1091" s="7"/>
    </row>
    <row r="1092">
      <c r="M1092" s="7"/>
    </row>
    <row r="1093">
      <c r="M1093" s="7"/>
    </row>
    <row r="1094">
      <c r="M1094" s="7"/>
    </row>
    <row r="1095">
      <c r="M1095" s="7"/>
    </row>
    <row r="1096">
      <c r="M1096" s="7"/>
    </row>
    <row r="1097">
      <c r="M1097" s="7"/>
    </row>
    <row r="1098">
      <c r="M1098" s="7"/>
    </row>
    <row r="1099">
      <c r="M1099" s="7"/>
    </row>
    <row r="1100">
      <c r="M1100" s="7"/>
    </row>
    <row r="1101">
      <c r="M1101" s="7"/>
    </row>
    <row r="1102">
      <c r="M1102" s="7"/>
    </row>
    <row r="1103">
      <c r="M1103" s="7"/>
    </row>
    <row r="1104">
      <c r="M1104" s="7"/>
    </row>
    <row r="1105">
      <c r="M1105" s="7"/>
    </row>
    <row r="1106">
      <c r="M1106" s="7"/>
    </row>
    <row r="1107">
      <c r="M1107" s="7"/>
    </row>
    <row r="1108">
      <c r="M1108" s="7"/>
    </row>
    <row r="1109">
      <c r="M1109" s="7"/>
    </row>
    <row r="1110">
      <c r="M1110" s="7"/>
    </row>
    <row r="1111">
      <c r="M1111" s="7"/>
    </row>
    <row r="1112">
      <c r="M1112" s="7"/>
    </row>
    <row r="1113">
      <c r="M1113" s="7"/>
    </row>
    <row r="1114">
      <c r="M1114" s="7"/>
    </row>
    <row r="1115">
      <c r="M1115" s="7"/>
    </row>
    <row r="1116">
      <c r="M1116" s="7"/>
    </row>
    <row r="1117">
      <c r="M1117" s="7"/>
    </row>
    <row r="1118">
      <c r="M1118" s="7"/>
    </row>
    <row r="1119">
      <c r="M1119" s="7"/>
    </row>
    <row r="1120">
      <c r="M1120" s="7"/>
    </row>
    <row r="1121">
      <c r="M1121" s="7"/>
    </row>
    <row r="1122">
      <c r="M1122" s="7"/>
    </row>
    <row r="1123">
      <c r="M1123" s="7"/>
    </row>
    <row r="1124">
      <c r="M1124" s="7"/>
    </row>
    <row r="1125">
      <c r="M1125" s="7"/>
    </row>
    <row r="1126">
      <c r="M1126" s="7"/>
    </row>
    <row r="1127">
      <c r="M1127" s="7"/>
    </row>
    <row r="1128">
      <c r="M1128" s="7"/>
    </row>
    <row r="1129">
      <c r="M1129" s="7"/>
    </row>
    <row r="1130">
      <c r="M1130" s="7"/>
    </row>
    <row r="1131">
      <c r="M1131" s="7"/>
    </row>
    <row r="1132">
      <c r="M1132" s="7"/>
    </row>
    <row r="1133">
      <c r="M1133" s="7"/>
    </row>
    <row r="1134">
      <c r="M1134" s="7"/>
    </row>
    <row r="1135">
      <c r="M1135" s="7"/>
    </row>
    <row r="1136">
      <c r="M1136" s="7"/>
    </row>
    <row r="1137">
      <c r="M1137" s="7"/>
    </row>
    <row r="1138">
      <c r="M1138" s="7"/>
    </row>
    <row r="1139">
      <c r="M1139" s="7"/>
    </row>
    <row r="1140">
      <c r="M1140" s="7"/>
    </row>
    <row r="1141">
      <c r="M1141" s="7"/>
    </row>
    <row r="1142">
      <c r="M1142" s="7"/>
    </row>
    <row r="1143">
      <c r="M1143" s="7"/>
    </row>
    <row r="1144">
      <c r="M1144" s="7"/>
    </row>
    <row r="1145">
      <c r="M1145" s="7"/>
    </row>
    <row r="1146">
      <c r="M1146" s="7"/>
    </row>
    <row r="1147">
      <c r="M1147" s="7"/>
    </row>
    <row r="1148">
      <c r="M1148" s="7"/>
    </row>
    <row r="1149">
      <c r="M1149" s="7"/>
    </row>
    <row r="1150">
      <c r="M1150" s="7"/>
    </row>
    <row r="1151">
      <c r="M1151" s="7"/>
    </row>
    <row r="1152">
      <c r="M1152" s="7"/>
    </row>
    <row r="1153">
      <c r="M1153" s="7"/>
    </row>
    <row r="1154">
      <c r="M1154" s="7"/>
    </row>
    <row r="1155">
      <c r="M1155" s="7"/>
    </row>
    <row r="1156">
      <c r="M1156" s="7"/>
    </row>
    <row r="1157">
      <c r="M1157" s="7"/>
    </row>
    <row r="1158">
      <c r="M1158" s="7"/>
    </row>
    <row r="1159">
      <c r="M1159" s="7"/>
    </row>
    <row r="1160">
      <c r="M1160" s="7"/>
    </row>
    <row r="1161">
      <c r="M1161" s="7"/>
    </row>
    <row r="1162">
      <c r="M1162" s="7"/>
    </row>
    <row r="1163">
      <c r="M1163" s="7"/>
    </row>
    <row r="1164">
      <c r="M1164" s="7"/>
    </row>
    <row r="1165">
      <c r="M1165" s="7"/>
    </row>
    <row r="1166">
      <c r="M1166" s="7"/>
    </row>
    <row r="1167">
      <c r="M1167" s="7"/>
    </row>
    <row r="1168">
      <c r="M1168" s="7"/>
    </row>
    <row r="1169">
      <c r="M1169" s="7"/>
    </row>
    <row r="1170">
      <c r="M1170" s="7"/>
    </row>
    <row r="1171">
      <c r="M1171" s="7"/>
    </row>
    <row r="1172">
      <c r="M1172" s="7"/>
    </row>
    <row r="1173">
      <c r="M1173" s="7"/>
    </row>
    <row r="1174">
      <c r="M1174" s="7"/>
    </row>
    <row r="1175">
      <c r="M1175" s="7"/>
    </row>
    <row r="1176">
      <c r="M1176" s="7"/>
    </row>
    <row r="1177">
      <c r="M1177" s="7"/>
    </row>
    <row r="1178">
      <c r="M1178" s="7"/>
    </row>
    <row r="1179">
      <c r="M1179" s="7"/>
    </row>
    <row r="1180">
      <c r="M1180" s="7"/>
    </row>
    <row r="1181">
      <c r="M1181" s="7"/>
    </row>
    <row r="1182">
      <c r="M1182" s="7"/>
    </row>
    <row r="1183">
      <c r="M1183" s="7"/>
    </row>
    <row r="1184">
      <c r="M1184" s="7"/>
    </row>
    <row r="1185">
      <c r="M1185" s="7"/>
    </row>
    <row r="1186">
      <c r="M1186" s="7"/>
    </row>
    <row r="1187">
      <c r="M1187" s="7"/>
    </row>
    <row r="1188">
      <c r="M1188" s="7"/>
    </row>
    <row r="1189">
      <c r="M1189" s="7"/>
    </row>
    <row r="1190">
      <c r="M1190" s="7"/>
    </row>
    <row r="1191">
      <c r="M1191" s="7"/>
    </row>
    <row r="1192">
      <c r="M1192" s="7"/>
    </row>
    <row r="1193">
      <c r="M1193" s="7"/>
    </row>
    <row r="1194">
      <c r="M1194" s="7"/>
    </row>
    <row r="1195">
      <c r="M1195" s="7"/>
    </row>
    <row r="1196">
      <c r="M1196" s="7"/>
    </row>
    <row r="1197">
      <c r="M1197" s="7"/>
    </row>
    <row r="1198">
      <c r="M1198" s="7"/>
    </row>
    <row r="1199">
      <c r="M1199" s="7"/>
    </row>
    <row r="1200">
      <c r="M1200" s="7"/>
    </row>
    <row r="1201">
      <c r="M1201" s="7"/>
    </row>
    <row r="1202">
      <c r="M1202" s="7"/>
    </row>
    <row r="1203">
      <c r="M1203" s="7"/>
    </row>
    <row r="1204">
      <c r="M1204" s="7"/>
    </row>
    <row r="1205">
      <c r="M1205" s="7"/>
    </row>
    <row r="1206">
      <c r="M1206" s="7"/>
    </row>
    <row r="1207">
      <c r="M1207" s="7"/>
    </row>
    <row r="1208">
      <c r="M1208" s="7"/>
    </row>
    <row r="1209">
      <c r="M1209" s="7"/>
    </row>
    <row r="1210">
      <c r="M1210" s="7"/>
    </row>
    <row r="1211">
      <c r="M1211" s="7"/>
    </row>
    <row r="1212">
      <c r="M1212" s="7"/>
    </row>
    <row r="1213">
      <c r="M1213" s="7"/>
    </row>
    <row r="1214">
      <c r="M1214" s="7"/>
    </row>
    <row r="1215">
      <c r="M1215" s="7"/>
    </row>
    <row r="1216">
      <c r="M1216" s="7"/>
    </row>
    <row r="1217">
      <c r="M1217" s="7"/>
    </row>
    <row r="1218">
      <c r="M1218" s="7"/>
    </row>
    <row r="1219">
      <c r="M1219" s="7"/>
    </row>
    <row r="1220">
      <c r="M1220" s="7"/>
    </row>
    <row r="1221">
      <c r="M1221" s="7"/>
    </row>
    <row r="1222">
      <c r="M1222" s="7"/>
    </row>
    <row r="1223">
      <c r="M1223" s="7"/>
    </row>
    <row r="1224">
      <c r="M1224" s="7"/>
    </row>
    <row r="1225">
      <c r="M1225" s="7"/>
    </row>
    <row r="1226">
      <c r="M1226" s="7"/>
    </row>
    <row r="1227">
      <c r="M1227" s="7"/>
    </row>
    <row r="1228">
      <c r="M1228" s="7"/>
    </row>
    <row r="1229">
      <c r="M1229" s="7"/>
    </row>
    <row r="1230">
      <c r="M1230" s="7"/>
    </row>
    <row r="1231">
      <c r="M1231" s="7"/>
    </row>
    <row r="1232">
      <c r="M1232" s="7"/>
    </row>
    <row r="1233">
      <c r="M1233" s="7"/>
    </row>
    <row r="1234">
      <c r="M1234" s="7"/>
    </row>
    <row r="1235">
      <c r="M1235" s="7"/>
    </row>
    <row r="1236">
      <c r="M1236" s="7"/>
    </row>
    <row r="1237">
      <c r="M1237" s="7"/>
    </row>
    <row r="1238">
      <c r="M1238" s="7"/>
    </row>
    <row r="1239">
      <c r="M1239" s="7"/>
    </row>
    <row r="1240">
      <c r="M1240" s="7"/>
    </row>
    <row r="1241">
      <c r="M1241" s="7"/>
    </row>
    <row r="1242">
      <c r="M1242" s="7"/>
    </row>
    <row r="1243">
      <c r="M1243" s="7"/>
    </row>
    <row r="1244">
      <c r="M1244" s="7"/>
    </row>
    <row r="1245">
      <c r="M1245" s="7"/>
    </row>
    <row r="1246">
      <c r="M1246" s="7"/>
    </row>
    <row r="1247">
      <c r="M1247" s="7"/>
    </row>
    <row r="1248">
      <c r="M1248" s="7"/>
    </row>
    <row r="1249">
      <c r="M1249" s="7"/>
    </row>
    <row r="1250">
      <c r="M1250" s="7"/>
    </row>
    <row r="1251">
      <c r="M1251" s="7"/>
    </row>
    <row r="1252">
      <c r="M1252" s="7"/>
    </row>
    <row r="1253">
      <c r="M1253" s="7"/>
    </row>
    <row r="1254">
      <c r="M1254" s="7"/>
    </row>
    <row r="1255">
      <c r="M1255" s="7"/>
    </row>
    <row r="1256">
      <c r="M1256" s="7"/>
    </row>
    <row r="1257">
      <c r="M1257" s="7"/>
    </row>
    <row r="1258">
      <c r="M1258" s="7"/>
    </row>
    <row r="1259">
      <c r="M1259" s="7"/>
    </row>
    <row r="1260">
      <c r="M1260" s="7"/>
    </row>
    <row r="1261">
      <c r="M1261" s="7"/>
    </row>
    <row r="1262">
      <c r="M1262" s="7"/>
    </row>
    <row r="1263">
      <c r="M1263" s="7"/>
    </row>
    <row r="1264">
      <c r="M1264" s="7"/>
    </row>
    <row r="1265">
      <c r="M1265" s="7"/>
    </row>
    <row r="1266">
      <c r="M1266" s="7"/>
    </row>
    <row r="1267">
      <c r="M1267" s="7"/>
    </row>
    <row r="1268">
      <c r="M1268" s="7"/>
    </row>
    <row r="1269">
      <c r="M1269" s="7"/>
    </row>
    <row r="1270">
      <c r="M1270" s="7"/>
    </row>
    <row r="1271">
      <c r="M1271" s="7"/>
    </row>
    <row r="1272">
      <c r="M1272" s="7"/>
    </row>
    <row r="1273">
      <c r="M1273" s="7"/>
    </row>
    <row r="1274">
      <c r="M1274" s="7"/>
    </row>
    <row r="1275">
      <c r="M1275" s="7"/>
    </row>
    <row r="1276">
      <c r="M1276" s="7"/>
    </row>
    <row r="1277">
      <c r="M1277" s="7"/>
    </row>
    <row r="1278">
      <c r="M1278" s="7"/>
    </row>
    <row r="1279">
      <c r="M1279" s="7"/>
    </row>
    <row r="1280">
      <c r="M1280" s="7"/>
    </row>
    <row r="1281">
      <c r="M1281" s="7"/>
    </row>
    <row r="1282">
      <c r="M1282" s="7"/>
    </row>
    <row r="1283">
      <c r="M1283" s="7"/>
    </row>
    <row r="1284">
      <c r="M1284" s="7"/>
    </row>
    <row r="1285">
      <c r="M1285" s="7"/>
    </row>
    <row r="1286">
      <c r="M1286" s="7"/>
    </row>
    <row r="1287">
      <c r="M1287" s="7"/>
    </row>
    <row r="1288">
      <c r="M1288" s="7"/>
    </row>
    <row r="1289">
      <c r="M1289" s="7"/>
    </row>
    <row r="1290">
      <c r="M1290" s="7"/>
    </row>
    <row r="1291">
      <c r="M1291" s="7"/>
    </row>
    <row r="1292">
      <c r="M1292" s="7"/>
    </row>
    <row r="1293">
      <c r="M1293" s="7"/>
    </row>
    <row r="1294">
      <c r="M1294" s="7"/>
    </row>
    <row r="1295">
      <c r="M1295" s="7"/>
    </row>
    <row r="1296">
      <c r="M1296" s="7"/>
    </row>
    <row r="1297">
      <c r="M1297" s="7"/>
    </row>
    <row r="1298">
      <c r="M1298" s="7"/>
    </row>
    <row r="1299">
      <c r="M1299" s="7"/>
    </row>
    <row r="1300">
      <c r="M1300" s="7"/>
    </row>
    <row r="1301">
      <c r="M1301" s="7"/>
    </row>
    <row r="1302">
      <c r="M1302" s="7"/>
    </row>
    <row r="1303">
      <c r="M1303" s="7"/>
    </row>
    <row r="1304">
      <c r="M1304" s="7"/>
    </row>
    <row r="1305">
      <c r="M1305" s="7"/>
    </row>
    <row r="1306">
      <c r="M1306" s="7"/>
    </row>
    <row r="1307">
      <c r="M1307" s="7"/>
    </row>
    <row r="1308">
      <c r="M1308" s="7"/>
    </row>
    <row r="1309">
      <c r="M1309" s="7"/>
    </row>
    <row r="1310">
      <c r="M1310" s="7"/>
    </row>
    <row r="1311">
      <c r="M1311" s="7"/>
    </row>
    <row r="1312">
      <c r="M1312" s="7"/>
    </row>
    <row r="1313">
      <c r="M1313" s="7"/>
    </row>
    <row r="1314">
      <c r="M1314" s="7"/>
    </row>
    <row r="1315">
      <c r="M1315" s="7"/>
    </row>
    <row r="1316">
      <c r="M1316" s="7"/>
    </row>
    <row r="1317">
      <c r="M1317" s="7"/>
    </row>
    <row r="1318">
      <c r="M1318" s="7"/>
    </row>
    <row r="1319">
      <c r="M1319" s="7"/>
    </row>
    <row r="1320">
      <c r="M1320" s="7"/>
    </row>
    <row r="1321">
      <c r="M1321" s="7"/>
    </row>
    <row r="1322">
      <c r="M1322" s="7"/>
    </row>
    <row r="1323">
      <c r="M1323" s="7"/>
    </row>
    <row r="1324">
      <c r="M1324" s="7"/>
    </row>
    <row r="1325">
      <c r="M1325" s="7"/>
    </row>
    <row r="1326">
      <c r="M1326" s="7"/>
    </row>
    <row r="1327">
      <c r="M1327" s="7"/>
    </row>
    <row r="1328">
      <c r="M1328" s="7"/>
    </row>
    <row r="1329">
      <c r="M1329" s="7"/>
    </row>
    <row r="1330">
      <c r="M1330" s="7"/>
    </row>
    <row r="1331">
      <c r="M1331" s="7"/>
    </row>
    <row r="1332">
      <c r="M1332" s="7"/>
    </row>
    <row r="1333">
      <c r="M1333" s="7"/>
    </row>
    <row r="1334">
      <c r="M1334" s="7"/>
    </row>
    <row r="1335">
      <c r="M1335" s="7"/>
    </row>
    <row r="1336">
      <c r="M1336" s="7"/>
    </row>
    <row r="1337">
      <c r="M1337" s="7"/>
    </row>
    <row r="1338">
      <c r="M1338" s="7"/>
    </row>
    <row r="1339">
      <c r="M1339" s="7"/>
    </row>
    <row r="1340">
      <c r="M1340" s="7"/>
    </row>
    <row r="1341">
      <c r="M1341" s="7"/>
    </row>
    <row r="1342">
      <c r="M1342" s="7"/>
    </row>
    <row r="1343">
      <c r="M1343" s="7"/>
    </row>
    <row r="1344">
      <c r="M1344" s="7"/>
    </row>
    <row r="1345">
      <c r="M1345" s="7"/>
    </row>
    <row r="1346">
      <c r="M1346" s="7"/>
    </row>
    <row r="1347">
      <c r="M1347" s="7"/>
    </row>
    <row r="1348">
      <c r="M1348" s="7"/>
    </row>
    <row r="1349">
      <c r="M1349" s="7"/>
    </row>
    <row r="1350">
      <c r="M1350" s="7"/>
    </row>
    <row r="1351">
      <c r="M1351" s="7"/>
    </row>
    <row r="1352">
      <c r="M1352" s="7"/>
    </row>
    <row r="1353">
      <c r="M1353" s="7"/>
    </row>
    <row r="1354">
      <c r="M1354" s="7"/>
    </row>
    <row r="1355">
      <c r="M1355" s="7"/>
    </row>
    <row r="1356">
      <c r="M1356" s="7"/>
    </row>
    <row r="1357">
      <c r="M1357" s="7"/>
    </row>
    <row r="1358">
      <c r="M1358" s="7"/>
    </row>
    <row r="1359">
      <c r="M1359" s="7"/>
    </row>
    <row r="1360">
      <c r="M1360" s="7"/>
    </row>
    <row r="1361">
      <c r="M1361" s="7"/>
    </row>
    <row r="1362">
      <c r="M1362" s="7"/>
    </row>
    <row r="1363">
      <c r="M1363" s="7"/>
    </row>
    <row r="1364">
      <c r="M1364" s="7"/>
    </row>
    <row r="1365">
      <c r="M1365" s="7"/>
    </row>
    <row r="1366">
      <c r="M1366" s="7"/>
    </row>
    <row r="1367">
      <c r="M1367" s="7"/>
    </row>
    <row r="1368">
      <c r="M1368" s="7"/>
    </row>
    <row r="1369">
      <c r="M1369" s="7"/>
    </row>
    <row r="1370">
      <c r="M1370" s="7"/>
    </row>
    <row r="1371">
      <c r="M1371" s="7"/>
    </row>
    <row r="1372">
      <c r="M1372" s="7"/>
    </row>
    <row r="1373">
      <c r="M1373" s="7"/>
    </row>
    <row r="1374">
      <c r="M1374" s="7"/>
    </row>
    <row r="1375">
      <c r="M1375" s="7"/>
    </row>
    <row r="1376">
      <c r="M1376" s="7"/>
    </row>
    <row r="1377">
      <c r="M1377" s="7"/>
    </row>
    <row r="1378">
      <c r="M1378" s="7"/>
    </row>
    <row r="1379">
      <c r="M1379" s="7"/>
    </row>
    <row r="1380">
      <c r="M1380" s="7"/>
    </row>
    <row r="1381">
      <c r="M1381" s="7"/>
    </row>
    <row r="1382">
      <c r="M1382" s="7"/>
    </row>
    <row r="1383">
      <c r="M1383" s="7"/>
    </row>
    <row r="1384">
      <c r="M1384" s="7"/>
    </row>
    <row r="1385">
      <c r="M1385" s="7"/>
    </row>
    <row r="1386">
      <c r="M1386" s="7"/>
    </row>
    <row r="1387">
      <c r="M1387" s="7"/>
    </row>
    <row r="1388">
      <c r="M1388" s="7"/>
    </row>
    <row r="1389">
      <c r="M1389" s="7"/>
    </row>
    <row r="1390">
      <c r="M1390" s="7"/>
    </row>
    <row r="1391">
      <c r="M1391" s="7"/>
    </row>
    <row r="1392">
      <c r="M1392" s="7"/>
    </row>
    <row r="1393">
      <c r="M1393" s="7"/>
    </row>
    <row r="1394">
      <c r="M1394" s="7"/>
    </row>
    <row r="1395">
      <c r="M1395" s="7"/>
    </row>
    <row r="1396">
      <c r="M1396" s="7"/>
    </row>
    <row r="1397">
      <c r="M1397" s="7"/>
    </row>
    <row r="1398">
      <c r="M1398" s="7"/>
    </row>
    <row r="1399">
      <c r="M1399" s="7"/>
    </row>
    <row r="1400">
      <c r="M1400" s="7"/>
    </row>
    <row r="1401">
      <c r="M1401" s="7"/>
    </row>
    <row r="1402">
      <c r="M1402" s="7"/>
    </row>
    <row r="1403">
      <c r="M1403" s="7"/>
    </row>
    <row r="1404">
      <c r="M1404" s="7"/>
    </row>
    <row r="1405">
      <c r="M1405" s="7"/>
    </row>
    <row r="1406">
      <c r="M1406" s="7"/>
    </row>
    <row r="1407">
      <c r="M1407" s="7"/>
    </row>
    <row r="1408">
      <c r="M1408" s="7"/>
    </row>
    <row r="1409">
      <c r="M1409" s="7"/>
    </row>
    <row r="1410">
      <c r="M1410" s="7"/>
    </row>
    <row r="1411">
      <c r="M1411" s="7"/>
    </row>
    <row r="1412">
      <c r="M1412" s="7"/>
    </row>
    <row r="1413">
      <c r="M1413" s="7"/>
    </row>
    <row r="1414">
      <c r="M1414" s="7"/>
    </row>
    <row r="1415">
      <c r="M1415" s="7"/>
    </row>
    <row r="1416">
      <c r="M1416" s="7"/>
    </row>
    <row r="1417">
      <c r="M1417" s="7"/>
    </row>
    <row r="1418">
      <c r="M1418" s="7"/>
    </row>
    <row r="1419">
      <c r="M1419" s="7"/>
    </row>
    <row r="1420">
      <c r="M1420" s="7"/>
    </row>
    <row r="1421">
      <c r="M1421" s="7"/>
    </row>
    <row r="1422">
      <c r="M1422" s="7"/>
    </row>
    <row r="1423">
      <c r="M1423" s="7"/>
    </row>
    <row r="1424">
      <c r="M1424" s="7"/>
    </row>
    <row r="1425">
      <c r="M1425" s="7"/>
    </row>
    <row r="1426">
      <c r="M1426" s="7"/>
    </row>
    <row r="1427">
      <c r="M1427" s="7"/>
    </row>
    <row r="1428">
      <c r="M1428" s="7"/>
    </row>
    <row r="1429">
      <c r="M1429" s="7"/>
    </row>
    <row r="1430">
      <c r="M1430" s="7"/>
    </row>
    <row r="1431">
      <c r="M1431" s="7"/>
    </row>
    <row r="1432">
      <c r="M1432" s="7"/>
    </row>
    <row r="1433">
      <c r="M1433" s="7"/>
    </row>
    <row r="1434">
      <c r="M1434" s="7"/>
    </row>
    <row r="1435">
      <c r="M1435" s="7"/>
    </row>
    <row r="1436">
      <c r="M1436" s="7"/>
    </row>
    <row r="1437">
      <c r="M1437" s="7"/>
    </row>
    <row r="1438">
      <c r="M1438" s="7"/>
    </row>
    <row r="1439">
      <c r="M1439" s="7"/>
    </row>
    <row r="1440">
      <c r="M1440" s="7"/>
    </row>
    <row r="1441">
      <c r="M1441" s="7"/>
    </row>
    <row r="1442">
      <c r="M1442" s="7"/>
    </row>
    <row r="1443">
      <c r="M1443" s="7"/>
    </row>
    <row r="1444">
      <c r="M1444" s="7"/>
    </row>
    <row r="1445">
      <c r="M1445" s="7"/>
    </row>
    <row r="1446">
      <c r="M1446" s="7"/>
    </row>
    <row r="1447">
      <c r="M1447" s="7"/>
    </row>
    <row r="1448">
      <c r="M1448" s="7"/>
    </row>
    <row r="1449">
      <c r="M1449" s="7"/>
    </row>
    <row r="1450">
      <c r="M1450" s="7"/>
    </row>
    <row r="1451">
      <c r="M1451" s="7"/>
    </row>
    <row r="1452">
      <c r="M1452" s="7"/>
    </row>
    <row r="1453">
      <c r="M1453" s="7"/>
    </row>
    <row r="1454">
      <c r="M1454" s="7"/>
    </row>
    <row r="1455">
      <c r="M1455" s="7"/>
    </row>
    <row r="1456">
      <c r="M1456" s="7"/>
    </row>
    <row r="1457">
      <c r="M1457" s="7"/>
    </row>
    <row r="1458">
      <c r="M1458" s="7"/>
    </row>
    <row r="1459">
      <c r="M1459" s="7"/>
    </row>
    <row r="1460">
      <c r="M1460" s="7"/>
    </row>
    <row r="1461">
      <c r="M1461" s="7"/>
    </row>
    <row r="1462">
      <c r="M1462" s="7"/>
    </row>
    <row r="1463">
      <c r="M1463" s="7"/>
    </row>
    <row r="1464">
      <c r="M1464" s="7"/>
    </row>
    <row r="1465">
      <c r="M1465" s="7"/>
    </row>
    <row r="1466">
      <c r="M1466" s="7"/>
    </row>
    <row r="1467">
      <c r="M1467" s="7"/>
    </row>
    <row r="1468">
      <c r="M1468" s="7"/>
    </row>
    <row r="1469">
      <c r="M1469" s="7"/>
    </row>
    <row r="1470">
      <c r="M1470" s="7"/>
    </row>
    <row r="1471">
      <c r="M1471" s="7"/>
    </row>
    <row r="1472">
      <c r="M1472" s="7"/>
    </row>
    <row r="1473">
      <c r="M1473" s="7"/>
    </row>
    <row r="1474">
      <c r="M1474" s="7"/>
    </row>
    <row r="1475">
      <c r="M1475" s="7"/>
    </row>
    <row r="1476">
      <c r="M1476" s="7"/>
    </row>
    <row r="1477">
      <c r="M1477" s="7"/>
    </row>
    <row r="1478">
      <c r="M1478" s="7"/>
    </row>
    <row r="1479">
      <c r="M1479" s="7"/>
    </row>
    <row r="1480">
      <c r="M1480" s="7"/>
    </row>
    <row r="1481">
      <c r="M1481" s="7"/>
    </row>
    <row r="1482">
      <c r="M1482" s="7"/>
    </row>
    <row r="1483">
      <c r="M1483" s="7"/>
    </row>
    <row r="1484">
      <c r="M1484" s="7"/>
    </row>
    <row r="1485">
      <c r="M1485" s="7"/>
    </row>
    <row r="1486">
      <c r="M1486" s="7"/>
    </row>
    <row r="1487">
      <c r="M1487" s="7"/>
    </row>
    <row r="1488">
      <c r="M1488" s="7"/>
    </row>
    <row r="1489">
      <c r="M1489" s="7"/>
    </row>
    <row r="1490">
      <c r="M1490" s="7"/>
    </row>
    <row r="1491">
      <c r="M1491" s="7"/>
    </row>
    <row r="1492">
      <c r="M1492" s="7"/>
    </row>
    <row r="1493">
      <c r="M1493" s="7"/>
    </row>
    <row r="1494">
      <c r="M1494" s="7"/>
    </row>
    <row r="1495">
      <c r="M1495" s="7"/>
    </row>
    <row r="1496">
      <c r="M1496" s="7"/>
    </row>
    <row r="1497">
      <c r="M1497" s="7"/>
    </row>
    <row r="1498">
      <c r="M1498" s="7"/>
    </row>
    <row r="1499">
      <c r="M1499" s="7"/>
    </row>
    <row r="1500">
      <c r="M1500" s="7"/>
    </row>
    <row r="1501">
      <c r="M1501" s="7"/>
    </row>
    <row r="1502">
      <c r="M1502" s="7"/>
    </row>
    <row r="1503">
      <c r="M1503" s="7"/>
    </row>
    <row r="1504">
      <c r="M1504" s="7"/>
    </row>
    <row r="1505">
      <c r="M1505" s="7"/>
    </row>
    <row r="1506">
      <c r="M1506" s="7"/>
    </row>
  </sheetData>
  <hyperlinks>
    <hyperlink r:id="rId1" ref="H3"/>
    <hyperlink r:id="rId2" ref="H14"/>
    <hyperlink r:id="rId3" ref="H15"/>
    <hyperlink r:id="rId4" ref="H16"/>
    <hyperlink r:id="rId5" ref="H20"/>
    <hyperlink r:id="rId6" ref="H30"/>
    <hyperlink r:id="rId7" ref="H39"/>
    <hyperlink r:id="rId8" ref="H40"/>
    <hyperlink r:id="rId9" ref="H49"/>
    <hyperlink r:id="rId10" ref="H50"/>
    <hyperlink r:id="rId11" ref="H62"/>
    <hyperlink r:id="rId12" ref="H65"/>
    <hyperlink r:id="rId13" ref="H66"/>
    <hyperlink r:id="rId14" ref="H67"/>
  </hyperlinks>
  <drawing r:id="rId1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3.88"/>
    <col customWidth="1" min="3" max="3" width="14.0"/>
    <col customWidth="1" min="4" max="4" width="9.38"/>
    <col customWidth="1" min="5" max="5" width="19.0"/>
    <col customWidth="1" min="6" max="6" width="3.63"/>
    <col customWidth="1" min="7" max="7" width="4.5"/>
    <col customWidth="1" min="8" max="8" width="17.0"/>
    <col customWidth="1" min="9" max="9" width="4.5"/>
    <col customWidth="1" min="10" max="10" width="16.5"/>
    <col customWidth="1" min="11" max="11" width="7.25"/>
    <col customWidth="1" min="12" max="12" width="11.25"/>
    <col customWidth="1" min="13" max="13" width="16.5"/>
    <col customWidth="1" min="14" max="14" width="7.25"/>
    <col customWidth="1" min="15" max="15" width="11.25"/>
  </cols>
  <sheetData>
    <row r="1">
      <c r="A1" s="6" t="s">
        <v>0</v>
      </c>
      <c r="B1" s="6" t="s">
        <v>1</v>
      </c>
      <c r="C1" s="6" t="s">
        <v>3</v>
      </c>
      <c r="D1" s="6" t="s">
        <v>4</v>
      </c>
      <c r="E1" s="6" t="s">
        <v>14</v>
      </c>
      <c r="F1" s="6" t="s">
        <v>6</v>
      </c>
      <c r="G1" s="6" t="s">
        <v>7</v>
      </c>
      <c r="H1" s="6" t="s">
        <v>16</v>
      </c>
      <c r="I1" s="6" t="s">
        <v>8</v>
      </c>
      <c r="J1" s="6" t="s">
        <v>10</v>
      </c>
      <c r="K1" s="6" t="s">
        <v>11</v>
      </c>
      <c r="L1" s="6" t="s">
        <v>12</v>
      </c>
      <c r="M1" s="10" t="str">
        <f>IFERROR(__xludf.DUMMYFUNCTION("ArrayFormula(IF(LEN(L:L),if(ROW(L:L)=1,""Tanggal Approved"",vlookup(B:B,importrange(""1BTErKYh1WX2wnFOTdYQu-l6Dd40D7PAZBDI78WZqujQ"",""Salinan Gform!B:E""),4,0)),))"),"Tanggal Approved")</f>
        <v>Tanggal Approved</v>
      </c>
    </row>
    <row r="2">
      <c r="A2" s="3" t="str">
        <f>IFERROR(__xludf.DUMMYFUNCTION("if(isna(filter('All JA BQ'!A:L,'All JA BQ'!J:J=""Approve"",'All JA BQ'!K:K=""Urgent"",'All JA BQ'!L:L=""Approve"")),"""",filter('All JA BQ'!A:L,'All JA BQ'!J:J=""Approve"",'All JA BQ'!K:K=""Urgent"",'All JA BQ'!L:L=""Approve""))"),"")</f>
        <v/>
      </c>
      <c r="M2" s="10"/>
    </row>
    <row r="3">
      <c r="M3" s="10"/>
    </row>
    <row r="4">
      <c r="M4" s="10"/>
    </row>
    <row r="5">
      <c r="M5" s="10"/>
    </row>
    <row r="6">
      <c r="M6" s="10"/>
    </row>
    <row r="7">
      <c r="M7" s="10"/>
    </row>
    <row r="8">
      <c r="M8" s="10"/>
    </row>
    <row r="9">
      <c r="M9" s="10"/>
    </row>
    <row r="10">
      <c r="M10" s="10"/>
    </row>
    <row r="11">
      <c r="M11" s="10"/>
    </row>
    <row r="12">
      <c r="M12" s="10"/>
    </row>
    <row r="13">
      <c r="M13" s="10"/>
    </row>
    <row r="14">
      <c r="M14" s="10"/>
    </row>
    <row r="15">
      <c r="M15" s="10"/>
    </row>
    <row r="16">
      <c r="M16" s="10"/>
    </row>
    <row r="17">
      <c r="M17" s="10"/>
    </row>
    <row r="18">
      <c r="M18" s="10"/>
    </row>
    <row r="19">
      <c r="M19" s="10"/>
    </row>
    <row r="20">
      <c r="M20" s="10"/>
    </row>
    <row r="21">
      <c r="M21" s="10"/>
    </row>
    <row r="22">
      <c r="M22" s="10"/>
    </row>
    <row r="23">
      <c r="M23" s="10"/>
    </row>
    <row r="24">
      <c r="M24" s="10"/>
    </row>
    <row r="25">
      <c r="M25" s="10"/>
    </row>
    <row r="26">
      <c r="M26" s="10"/>
    </row>
    <row r="27">
      <c r="M27" s="10"/>
    </row>
    <row r="28">
      <c r="M28" s="10"/>
    </row>
    <row r="29">
      <c r="M29" s="10"/>
    </row>
    <row r="30">
      <c r="M30" s="10"/>
    </row>
    <row r="31">
      <c r="M31" s="10"/>
    </row>
    <row r="32">
      <c r="M32" s="10"/>
    </row>
    <row r="33">
      <c r="M33" s="10"/>
    </row>
    <row r="34">
      <c r="M34" s="10"/>
    </row>
    <row r="35">
      <c r="M35" s="10"/>
    </row>
    <row r="36">
      <c r="M36" s="10"/>
    </row>
    <row r="37">
      <c r="M37" s="10"/>
    </row>
    <row r="38">
      <c r="M38" s="10"/>
    </row>
    <row r="39">
      <c r="M39" s="10"/>
    </row>
    <row r="40">
      <c r="M40" s="10"/>
    </row>
    <row r="41">
      <c r="M41" s="10"/>
    </row>
    <row r="42">
      <c r="M42" s="10"/>
    </row>
    <row r="43">
      <c r="M43" s="10"/>
    </row>
    <row r="44">
      <c r="M44" s="10"/>
    </row>
    <row r="45">
      <c r="M45" s="10"/>
    </row>
    <row r="46">
      <c r="M46" s="10"/>
    </row>
    <row r="47">
      <c r="M47" s="10"/>
    </row>
    <row r="48">
      <c r="M48" s="10"/>
    </row>
    <row r="49">
      <c r="M49" s="10"/>
    </row>
    <row r="50">
      <c r="M50" s="10"/>
    </row>
    <row r="51">
      <c r="M51" s="10"/>
    </row>
    <row r="52">
      <c r="M52" s="10"/>
    </row>
    <row r="53">
      <c r="M53" s="10"/>
    </row>
    <row r="54">
      <c r="M54" s="10"/>
    </row>
    <row r="55">
      <c r="M55" s="10"/>
    </row>
    <row r="56">
      <c r="M56" s="10"/>
    </row>
    <row r="57">
      <c r="M57" s="10"/>
    </row>
    <row r="58">
      <c r="M58" s="10"/>
    </row>
    <row r="59">
      <c r="M59" s="10"/>
    </row>
    <row r="60">
      <c r="M60" s="10"/>
    </row>
    <row r="61">
      <c r="M61" s="10"/>
    </row>
    <row r="62">
      <c r="M62" s="10"/>
    </row>
    <row r="63">
      <c r="M63" s="10"/>
    </row>
    <row r="64">
      <c r="M64" s="10"/>
    </row>
    <row r="65">
      <c r="M65" s="10"/>
    </row>
    <row r="66">
      <c r="M66" s="10"/>
    </row>
    <row r="67">
      <c r="M67" s="10"/>
    </row>
    <row r="68">
      <c r="M68" s="10"/>
    </row>
    <row r="69">
      <c r="M69" s="10"/>
    </row>
    <row r="70">
      <c r="M70" s="10"/>
    </row>
    <row r="71">
      <c r="M71" s="10"/>
    </row>
    <row r="72">
      <c r="M72" s="10"/>
    </row>
    <row r="73">
      <c r="M73" s="10"/>
    </row>
    <row r="74">
      <c r="M74" s="10"/>
    </row>
    <row r="75">
      <c r="M75" s="10"/>
    </row>
    <row r="76">
      <c r="M76" s="10"/>
    </row>
    <row r="77">
      <c r="M77" s="10"/>
    </row>
    <row r="78">
      <c r="M78" s="10"/>
    </row>
    <row r="79">
      <c r="M79" s="10"/>
    </row>
    <row r="80">
      <c r="M80" s="10"/>
    </row>
    <row r="81">
      <c r="M81" s="10"/>
    </row>
    <row r="82">
      <c r="M82" s="10"/>
    </row>
    <row r="83">
      <c r="M83" s="10"/>
    </row>
    <row r="84">
      <c r="M84" s="10"/>
    </row>
    <row r="85">
      <c r="M85" s="10"/>
    </row>
    <row r="86">
      <c r="M86" s="10"/>
    </row>
    <row r="87">
      <c r="M87" s="10"/>
    </row>
    <row r="88">
      <c r="M88" s="10"/>
    </row>
    <row r="89">
      <c r="M89" s="10"/>
    </row>
    <row r="90">
      <c r="M90" s="10"/>
    </row>
    <row r="91">
      <c r="M91" s="10"/>
    </row>
    <row r="92">
      <c r="M92" s="10"/>
    </row>
    <row r="93">
      <c r="M93" s="10"/>
    </row>
    <row r="94">
      <c r="M94" s="10"/>
    </row>
    <row r="95">
      <c r="M95" s="10"/>
    </row>
    <row r="96">
      <c r="M96" s="10"/>
    </row>
    <row r="97">
      <c r="M97" s="10"/>
    </row>
    <row r="98">
      <c r="M98" s="10"/>
    </row>
    <row r="99">
      <c r="M99" s="10"/>
    </row>
    <row r="100">
      <c r="M100" s="10"/>
    </row>
    <row r="101">
      <c r="M101" s="10"/>
    </row>
    <row r="102">
      <c r="M102" s="10"/>
    </row>
    <row r="103">
      <c r="M103" s="10"/>
    </row>
    <row r="104">
      <c r="M104" s="10"/>
    </row>
    <row r="105">
      <c r="M105" s="10"/>
    </row>
    <row r="106">
      <c r="M106" s="10"/>
    </row>
    <row r="107">
      <c r="M107" s="10"/>
    </row>
    <row r="108">
      <c r="M108" s="10"/>
    </row>
    <row r="109">
      <c r="M109" s="10"/>
    </row>
    <row r="110">
      <c r="M110" s="10"/>
    </row>
    <row r="111">
      <c r="M111" s="10"/>
    </row>
    <row r="112">
      <c r="M112" s="10"/>
    </row>
    <row r="113">
      <c r="M113" s="10"/>
    </row>
    <row r="114">
      <c r="M114" s="10"/>
    </row>
    <row r="115">
      <c r="M115" s="10"/>
    </row>
    <row r="116">
      <c r="M116" s="10"/>
    </row>
    <row r="117">
      <c r="M117" s="10"/>
    </row>
    <row r="118">
      <c r="M118" s="10"/>
    </row>
    <row r="119">
      <c r="M119" s="10"/>
    </row>
    <row r="120">
      <c r="M120" s="10"/>
    </row>
    <row r="121">
      <c r="M121" s="10"/>
    </row>
    <row r="122">
      <c r="M122" s="10"/>
    </row>
    <row r="123">
      <c r="M123" s="10"/>
    </row>
    <row r="124">
      <c r="M124" s="10"/>
    </row>
    <row r="125">
      <c r="M125" s="10"/>
    </row>
    <row r="126">
      <c r="M126" s="10"/>
    </row>
    <row r="127">
      <c r="M127" s="10"/>
    </row>
    <row r="128">
      <c r="M128" s="10"/>
    </row>
    <row r="129">
      <c r="M129" s="10"/>
    </row>
    <row r="130">
      <c r="M130" s="10"/>
    </row>
    <row r="131">
      <c r="M131" s="10"/>
    </row>
    <row r="132">
      <c r="M132" s="10"/>
    </row>
    <row r="133">
      <c r="M133" s="10"/>
    </row>
    <row r="134">
      <c r="M134" s="10"/>
    </row>
    <row r="135">
      <c r="M135" s="10"/>
    </row>
    <row r="136">
      <c r="M136" s="10"/>
    </row>
    <row r="137">
      <c r="M137" s="10"/>
    </row>
    <row r="138">
      <c r="M138" s="10"/>
    </row>
    <row r="139">
      <c r="M139" s="10"/>
    </row>
    <row r="140">
      <c r="M140" s="10"/>
    </row>
    <row r="141">
      <c r="M141" s="10"/>
    </row>
    <row r="142">
      <c r="M142" s="10"/>
    </row>
    <row r="143">
      <c r="M143" s="10"/>
    </row>
    <row r="144">
      <c r="M144" s="10"/>
    </row>
    <row r="145">
      <c r="M145" s="10"/>
    </row>
    <row r="146">
      <c r="M146" s="10"/>
    </row>
    <row r="147">
      <c r="M147" s="10"/>
    </row>
    <row r="148">
      <c r="M148" s="10"/>
    </row>
    <row r="149">
      <c r="M149" s="10"/>
    </row>
    <row r="150">
      <c r="M150" s="10"/>
    </row>
    <row r="151">
      <c r="M151" s="10"/>
    </row>
    <row r="152">
      <c r="M152" s="10"/>
    </row>
    <row r="153">
      <c r="M153" s="10"/>
    </row>
    <row r="154">
      <c r="M154" s="10"/>
    </row>
    <row r="155">
      <c r="M155" s="10"/>
    </row>
    <row r="156">
      <c r="M156" s="10"/>
    </row>
    <row r="157">
      <c r="M157" s="10"/>
    </row>
    <row r="158">
      <c r="M158" s="10"/>
    </row>
    <row r="159">
      <c r="M159" s="10"/>
    </row>
    <row r="160">
      <c r="M160" s="10"/>
    </row>
    <row r="161">
      <c r="M161" s="10"/>
    </row>
    <row r="162">
      <c r="M162" s="10"/>
    </row>
    <row r="163">
      <c r="M163" s="10"/>
    </row>
    <row r="164">
      <c r="M164" s="10"/>
    </row>
    <row r="165">
      <c r="M165" s="10"/>
    </row>
    <row r="166">
      <c r="M166" s="10"/>
    </row>
    <row r="167">
      <c r="M167" s="10"/>
    </row>
    <row r="168">
      <c r="M168" s="10"/>
    </row>
    <row r="169">
      <c r="M169" s="10"/>
    </row>
    <row r="170">
      <c r="M170" s="10"/>
    </row>
    <row r="171">
      <c r="M171" s="10"/>
    </row>
    <row r="172">
      <c r="M172" s="10"/>
    </row>
    <row r="173">
      <c r="M173" s="10"/>
    </row>
    <row r="174">
      <c r="M174" s="10"/>
    </row>
    <row r="175">
      <c r="M175" s="10"/>
    </row>
    <row r="176">
      <c r="M176" s="10"/>
    </row>
    <row r="177">
      <c r="M177" s="10"/>
    </row>
    <row r="178">
      <c r="M178" s="10"/>
    </row>
    <row r="179">
      <c r="M179" s="10"/>
    </row>
    <row r="180">
      <c r="M180" s="10"/>
    </row>
    <row r="181">
      <c r="M181" s="10"/>
    </row>
    <row r="182">
      <c r="M182" s="10"/>
    </row>
    <row r="183">
      <c r="M183" s="10"/>
    </row>
    <row r="184">
      <c r="M184" s="10"/>
    </row>
    <row r="185">
      <c r="M185" s="10"/>
    </row>
    <row r="186">
      <c r="M186" s="10"/>
    </row>
    <row r="187">
      <c r="M187" s="10"/>
    </row>
    <row r="188">
      <c r="M188" s="10"/>
    </row>
    <row r="189">
      <c r="M189" s="10"/>
    </row>
    <row r="190">
      <c r="M190" s="10"/>
    </row>
    <row r="191">
      <c r="M191" s="10"/>
    </row>
    <row r="192">
      <c r="M192" s="10"/>
    </row>
    <row r="193">
      <c r="M193" s="10"/>
    </row>
    <row r="194">
      <c r="M194" s="10"/>
    </row>
    <row r="195">
      <c r="M195" s="10"/>
    </row>
    <row r="196">
      <c r="M196" s="10"/>
    </row>
    <row r="197">
      <c r="M197" s="10"/>
    </row>
    <row r="198">
      <c r="M198" s="10"/>
    </row>
    <row r="199">
      <c r="M199" s="10"/>
    </row>
    <row r="200">
      <c r="M200" s="10"/>
    </row>
    <row r="201">
      <c r="M201" s="10"/>
    </row>
    <row r="202">
      <c r="M202" s="10"/>
    </row>
    <row r="203">
      <c r="M203" s="10"/>
    </row>
    <row r="204">
      <c r="M204" s="10"/>
    </row>
    <row r="205">
      <c r="M205" s="10"/>
    </row>
    <row r="206">
      <c r="M206" s="10"/>
    </row>
    <row r="207">
      <c r="M207" s="10"/>
    </row>
    <row r="208">
      <c r="M208" s="10"/>
    </row>
    <row r="209">
      <c r="M209" s="10"/>
    </row>
    <row r="210">
      <c r="M210" s="10"/>
    </row>
    <row r="211">
      <c r="M211" s="10"/>
    </row>
    <row r="212">
      <c r="M212" s="10"/>
    </row>
    <row r="213">
      <c r="M213" s="10"/>
    </row>
    <row r="214">
      <c r="M214" s="10"/>
    </row>
    <row r="215">
      <c r="M215" s="10"/>
    </row>
    <row r="216">
      <c r="M216" s="10"/>
    </row>
    <row r="217">
      <c r="M217" s="10"/>
    </row>
    <row r="218">
      <c r="M218" s="10"/>
    </row>
    <row r="219">
      <c r="M219" s="10"/>
    </row>
    <row r="220">
      <c r="M220" s="10"/>
    </row>
    <row r="221">
      <c r="M221" s="10"/>
    </row>
    <row r="222">
      <c r="M222" s="10"/>
    </row>
    <row r="223">
      <c r="M223" s="10"/>
    </row>
    <row r="224">
      <c r="M224" s="10"/>
    </row>
    <row r="225">
      <c r="M225" s="10"/>
    </row>
    <row r="226">
      <c r="M226" s="10"/>
    </row>
    <row r="227">
      <c r="M227" s="10"/>
    </row>
    <row r="228">
      <c r="M228" s="10"/>
    </row>
    <row r="229">
      <c r="M229" s="10"/>
    </row>
    <row r="230">
      <c r="M230" s="10"/>
    </row>
    <row r="231">
      <c r="M231" s="10"/>
    </row>
    <row r="232">
      <c r="M232" s="10"/>
    </row>
    <row r="233">
      <c r="M233" s="10"/>
    </row>
    <row r="234">
      <c r="M234" s="10"/>
    </row>
    <row r="235">
      <c r="M235" s="10"/>
    </row>
    <row r="236">
      <c r="M236" s="10"/>
    </row>
    <row r="237">
      <c r="M237" s="10"/>
    </row>
    <row r="238">
      <c r="M238" s="10"/>
    </row>
    <row r="239">
      <c r="M239" s="10"/>
    </row>
    <row r="240">
      <c r="M240" s="10"/>
    </row>
    <row r="241">
      <c r="M241" s="10"/>
    </row>
    <row r="242">
      <c r="M242" s="10"/>
    </row>
    <row r="243">
      <c r="M243" s="10"/>
    </row>
    <row r="244">
      <c r="M244" s="10"/>
    </row>
    <row r="245">
      <c r="M245" s="10"/>
    </row>
    <row r="246">
      <c r="M246" s="10"/>
    </row>
    <row r="247">
      <c r="M247" s="10"/>
    </row>
    <row r="248">
      <c r="M248" s="10"/>
    </row>
    <row r="249">
      <c r="M249" s="10"/>
    </row>
    <row r="250">
      <c r="M250" s="10"/>
    </row>
    <row r="251">
      <c r="M251" s="10"/>
    </row>
    <row r="252">
      <c r="M252" s="10"/>
    </row>
    <row r="253">
      <c r="M253" s="10"/>
    </row>
    <row r="254">
      <c r="M254" s="10"/>
    </row>
    <row r="255">
      <c r="M255" s="10"/>
    </row>
    <row r="256">
      <c r="M256" s="10"/>
    </row>
    <row r="257">
      <c r="M257" s="10"/>
    </row>
    <row r="258">
      <c r="M258" s="10"/>
    </row>
    <row r="259">
      <c r="M259" s="10"/>
    </row>
    <row r="260">
      <c r="M260" s="10"/>
    </row>
    <row r="261">
      <c r="M261" s="10"/>
    </row>
    <row r="262">
      <c r="M262" s="10"/>
    </row>
    <row r="263">
      <c r="M263" s="10"/>
    </row>
    <row r="264">
      <c r="M264" s="10"/>
    </row>
    <row r="265">
      <c r="M265" s="10"/>
    </row>
    <row r="266">
      <c r="M266" s="10"/>
    </row>
    <row r="267">
      <c r="M267" s="10"/>
    </row>
    <row r="268">
      <c r="M268" s="10"/>
    </row>
    <row r="269">
      <c r="M269" s="10"/>
    </row>
    <row r="270">
      <c r="M270" s="10"/>
    </row>
    <row r="271">
      <c r="M271" s="10"/>
    </row>
    <row r="272">
      <c r="M272" s="10"/>
    </row>
    <row r="273">
      <c r="M273" s="10"/>
    </row>
    <row r="274">
      <c r="M274" s="10"/>
    </row>
    <row r="275">
      <c r="M275" s="10"/>
    </row>
    <row r="276">
      <c r="M276" s="10"/>
    </row>
    <row r="277">
      <c r="M277" s="10"/>
    </row>
    <row r="278">
      <c r="M278" s="10"/>
    </row>
    <row r="279">
      <c r="M279" s="10"/>
    </row>
    <row r="280">
      <c r="M280" s="10"/>
    </row>
    <row r="281">
      <c r="M281" s="10"/>
    </row>
    <row r="282">
      <c r="M282" s="10"/>
    </row>
    <row r="283">
      <c r="M283" s="10"/>
    </row>
    <row r="284">
      <c r="M284" s="10"/>
    </row>
    <row r="285">
      <c r="M285" s="10"/>
    </row>
    <row r="286">
      <c r="M286" s="10"/>
    </row>
    <row r="287">
      <c r="M287" s="10"/>
    </row>
    <row r="288">
      <c r="M288" s="10"/>
    </row>
    <row r="289">
      <c r="M289" s="10"/>
    </row>
    <row r="290">
      <c r="M290" s="10"/>
    </row>
    <row r="291">
      <c r="M291" s="10"/>
    </row>
    <row r="292">
      <c r="M292" s="10"/>
    </row>
    <row r="293">
      <c r="M293" s="10"/>
    </row>
    <row r="294">
      <c r="M294" s="10"/>
    </row>
    <row r="295">
      <c r="M295" s="10"/>
    </row>
    <row r="296">
      <c r="M296" s="10"/>
    </row>
    <row r="297">
      <c r="M297" s="10"/>
    </row>
    <row r="298">
      <c r="M298" s="10"/>
    </row>
    <row r="299">
      <c r="M299" s="10"/>
    </row>
    <row r="300">
      <c r="M300" s="10"/>
    </row>
    <row r="301">
      <c r="M301" s="10"/>
    </row>
    <row r="302">
      <c r="M302" s="10"/>
    </row>
    <row r="303">
      <c r="M303" s="10"/>
    </row>
    <row r="304">
      <c r="M304" s="10"/>
    </row>
    <row r="305">
      <c r="M305" s="10"/>
    </row>
    <row r="306">
      <c r="M306" s="10"/>
    </row>
    <row r="307">
      <c r="M307" s="10"/>
    </row>
    <row r="308">
      <c r="M308" s="10"/>
    </row>
    <row r="309">
      <c r="M309" s="10"/>
    </row>
    <row r="310">
      <c r="M310" s="10"/>
    </row>
    <row r="311">
      <c r="M311" s="10"/>
    </row>
    <row r="312">
      <c r="M312" s="10"/>
    </row>
    <row r="313">
      <c r="M313" s="10"/>
    </row>
    <row r="314">
      <c r="M314" s="10"/>
    </row>
    <row r="315">
      <c r="M315" s="10"/>
    </row>
    <row r="316">
      <c r="M316" s="10"/>
    </row>
    <row r="317">
      <c r="M317" s="10"/>
    </row>
    <row r="318">
      <c r="M318" s="10"/>
    </row>
    <row r="319">
      <c r="M319" s="10"/>
    </row>
    <row r="320">
      <c r="M320" s="10"/>
    </row>
    <row r="321">
      <c r="M321" s="10"/>
    </row>
    <row r="322">
      <c r="M322" s="10"/>
    </row>
    <row r="323">
      <c r="M323" s="10"/>
    </row>
    <row r="324">
      <c r="M324" s="10"/>
    </row>
    <row r="325">
      <c r="M325" s="10"/>
    </row>
    <row r="326">
      <c r="M326" s="10"/>
    </row>
    <row r="327">
      <c r="M327" s="10"/>
    </row>
    <row r="328">
      <c r="M328" s="10"/>
    </row>
    <row r="329">
      <c r="M329" s="10"/>
    </row>
    <row r="330">
      <c r="M330" s="10"/>
    </row>
    <row r="331">
      <c r="M331" s="10"/>
    </row>
    <row r="332">
      <c r="M332" s="10"/>
    </row>
    <row r="333">
      <c r="M333" s="10"/>
    </row>
    <row r="334">
      <c r="M334" s="10"/>
    </row>
    <row r="335">
      <c r="M335" s="10"/>
    </row>
    <row r="336">
      <c r="M336" s="10"/>
    </row>
    <row r="337">
      <c r="M337" s="10"/>
    </row>
    <row r="338">
      <c r="M338" s="10"/>
    </row>
    <row r="339">
      <c r="M339" s="10"/>
    </row>
    <row r="340">
      <c r="M340" s="10"/>
    </row>
    <row r="341">
      <c r="M341" s="10"/>
    </row>
    <row r="342">
      <c r="M342" s="10"/>
    </row>
    <row r="343">
      <c r="M343" s="10"/>
    </row>
    <row r="344">
      <c r="M344" s="10"/>
    </row>
    <row r="345">
      <c r="M345" s="10"/>
    </row>
    <row r="346">
      <c r="M346" s="10"/>
    </row>
    <row r="347">
      <c r="M347" s="10"/>
    </row>
    <row r="348">
      <c r="M348" s="10"/>
    </row>
    <row r="349">
      <c r="M349" s="10"/>
    </row>
    <row r="350">
      <c r="M350" s="10"/>
    </row>
    <row r="351">
      <c r="M351" s="10"/>
    </row>
    <row r="352">
      <c r="M352" s="10"/>
    </row>
    <row r="353">
      <c r="M353" s="10"/>
    </row>
    <row r="354">
      <c r="M354" s="10"/>
    </row>
    <row r="355">
      <c r="M355" s="10"/>
    </row>
    <row r="356">
      <c r="M356" s="10"/>
    </row>
    <row r="357">
      <c r="M357" s="10"/>
    </row>
    <row r="358">
      <c r="M358" s="10"/>
    </row>
    <row r="359">
      <c r="M359" s="10"/>
    </row>
    <row r="360">
      <c r="M360" s="10"/>
    </row>
    <row r="361">
      <c r="M361" s="10"/>
    </row>
    <row r="362">
      <c r="M362" s="10"/>
    </row>
    <row r="363">
      <c r="M363" s="10"/>
    </row>
    <row r="364">
      <c r="M364" s="10"/>
    </row>
    <row r="365">
      <c r="M365" s="10"/>
    </row>
    <row r="366">
      <c r="M366" s="10"/>
    </row>
    <row r="367">
      <c r="M367" s="10"/>
    </row>
    <row r="368">
      <c r="M368" s="10"/>
    </row>
    <row r="369">
      <c r="M369" s="10"/>
    </row>
    <row r="370">
      <c r="M370" s="10"/>
    </row>
    <row r="371">
      <c r="M371" s="10"/>
    </row>
    <row r="372">
      <c r="M372" s="10"/>
    </row>
    <row r="373">
      <c r="M373" s="10"/>
    </row>
    <row r="374">
      <c r="M374" s="10"/>
    </row>
    <row r="375">
      <c r="M375" s="10"/>
    </row>
    <row r="376">
      <c r="M376" s="10"/>
    </row>
    <row r="377">
      <c r="M377" s="10"/>
    </row>
    <row r="378">
      <c r="M378" s="10"/>
    </row>
    <row r="379">
      <c r="M379" s="10"/>
    </row>
    <row r="380">
      <c r="M380" s="10"/>
    </row>
    <row r="381">
      <c r="M381" s="10"/>
    </row>
    <row r="382">
      <c r="M382" s="10"/>
    </row>
    <row r="383">
      <c r="M383" s="10"/>
    </row>
    <row r="384">
      <c r="M384" s="10"/>
    </row>
    <row r="385">
      <c r="M385" s="10"/>
    </row>
    <row r="386">
      <c r="M386" s="10"/>
    </row>
    <row r="387">
      <c r="M387" s="10"/>
    </row>
    <row r="388">
      <c r="M388" s="10"/>
    </row>
    <row r="389">
      <c r="M389" s="10"/>
    </row>
    <row r="390">
      <c r="M390" s="10"/>
    </row>
    <row r="391">
      <c r="M391" s="10"/>
    </row>
    <row r="392">
      <c r="M392" s="10"/>
    </row>
    <row r="393">
      <c r="M393" s="10"/>
    </row>
    <row r="394">
      <c r="M394" s="10"/>
    </row>
    <row r="395">
      <c r="M395" s="10"/>
    </row>
    <row r="396">
      <c r="M396" s="10"/>
    </row>
    <row r="397">
      <c r="M397" s="10"/>
    </row>
    <row r="398">
      <c r="M398" s="10"/>
    </row>
    <row r="399">
      <c r="M399" s="10"/>
    </row>
    <row r="400">
      <c r="M400" s="10"/>
    </row>
    <row r="401">
      <c r="M401" s="10"/>
    </row>
    <row r="402">
      <c r="M402" s="10"/>
    </row>
    <row r="403">
      <c r="M403" s="10"/>
    </row>
    <row r="404">
      <c r="M404" s="10"/>
    </row>
    <row r="405">
      <c r="M405" s="10"/>
    </row>
    <row r="406">
      <c r="M406" s="10"/>
    </row>
    <row r="407">
      <c r="M407" s="10"/>
    </row>
    <row r="408">
      <c r="M408" s="10"/>
    </row>
    <row r="409">
      <c r="M409" s="10"/>
    </row>
    <row r="410">
      <c r="M410" s="10"/>
    </row>
    <row r="411">
      <c r="M411" s="10"/>
    </row>
    <row r="412">
      <c r="M412" s="10"/>
    </row>
    <row r="413">
      <c r="M413" s="10"/>
    </row>
    <row r="414">
      <c r="M414" s="10"/>
    </row>
    <row r="415">
      <c r="M415" s="10"/>
    </row>
    <row r="416">
      <c r="M416" s="10"/>
    </row>
    <row r="417">
      <c r="M417" s="10"/>
    </row>
    <row r="418">
      <c r="M418" s="10"/>
    </row>
    <row r="419">
      <c r="M419" s="10"/>
    </row>
    <row r="420">
      <c r="M420" s="10"/>
    </row>
    <row r="421">
      <c r="M421" s="10"/>
    </row>
    <row r="422">
      <c r="M422" s="10"/>
    </row>
    <row r="423">
      <c r="M423" s="10"/>
    </row>
    <row r="424">
      <c r="M424" s="10"/>
    </row>
    <row r="425">
      <c r="M425" s="10"/>
    </row>
    <row r="426">
      <c r="M426" s="10"/>
    </row>
    <row r="427">
      <c r="M427" s="10"/>
    </row>
    <row r="428">
      <c r="M428" s="10"/>
    </row>
    <row r="429">
      <c r="M429" s="10"/>
    </row>
    <row r="430">
      <c r="M430" s="10"/>
    </row>
    <row r="431">
      <c r="M431" s="10"/>
    </row>
    <row r="432">
      <c r="M432" s="10"/>
    </row>
    <row r="433">
      <c r="M433" s="10"/>
    </row>
    <row r="434">
      <c r="M434" s="10"/>
    </row>
    <row r="435">
      <c r="M435" s="10"/>
    </row>
    <row r="436">
      <c r="M436" s="10"/>
    </row>
    <row r="437">
      <c r="M437" s="10"/>
    </row>
    <row r="438">
      <c r="M438" s="10"/>
    </row>
    <row r="439">
      <c r="M439" s="10"/>
    </row>
    <row r="440">
      <c r="M440" s="10"/>
    </row>
    <row r="441">
      <c r="M441" s="10"/>
    </row>
    <row r="442">
      <c r="M442" s="10"/>
    </row>
    <row r="443">
      <c r="M443" s="10"/>
    </row>
    <row r="444">
      <c r="M444" s="10"/>
    </row>
    <row r="445">
      <c r="M445" s="10"/>
    </row>
    <row r="446">
      <c r="M446" s="10"/>
    </row>
    <row r="447">
      <c r="M447" s="10"/>
    </row>
    <row r="448">
      <c r="M448" s="10"/>
    </row>
    <row r="449">
      <c r="M449" s="10"/>
    </row>
    <row r="450">
      <c r="M450" s="10"/>
    </row>
    <row r="451">
      <c r="M451" s="10"/>
    </row>
    <row r="452">
      <c r="M452" s="10"/>
    </row>
    <row r="453">
      <c r="M453" s="10"/>
    </row>
    <row r="454">
      <c r="M454" s="10"/>
    </row>
    <row r="455">
      <c r="M455" s="10"/>
    </row>
    <row r="456">
      <c r="M456" s="10"/>
    </row>
    <row r="457">
      <c r="M457" s="10"/>
    </row>
    <row r="458">
      <c r="M458" s="10"/>
    </row>
    <row r="459">
      <c r="M459" s="10"/>
    </row>
    <row r="460">
      <c r="M460" s="10"/>
    </row>
    <row r="461">
      <c r="M461" s="10"/>
    </row>
    <row r="462">
      <c r="M462" s="10"/>
    </row>
    <row r="463">
      <c r="M463" s="10"/>
    </row>
    <row r="464">
      <c r="M464" s="10"/>
    </row>
    <row r="465">
      <c r="M465" s="10"/>
    </row>
    <row r="466">
      <c r="M466" s="10"/>
    </row>
    <row r="467">
      <c r="M467" s="10"/>
    </row>
    <row r="468">
      <c r="M468" s="10"/>
    </row>
    <row r="469">
      <c r="M469" s="10"/>
    </row>
    <row r="470">
      <c r="M470" s="10"/>
    </row>
    <row r="471">
      <c r="M471" s="10"/>
    </row>
    <row r="472">
      <c r="M472" s="10"/>
    </row>
    <row r="473">
      <c r="M473" s="10"/>
    </row>
    <row r="474">
      <c r="M474" s="10"/>
    </row>
    <row r="475">
      <c r="M475" s="10"/>
    </row>
    <row r="476">
      <c r="M476" s="10"/>
    </row>
    <row r="477">
      <c r="M477" s="10"/>
    </row>
    <row r="478">
      <c r="M478" s="10"/>
    </row>
    <row r="479">
      <c r="M479" s="10"/>
    </row>
    <row r="480">
      <c r="M480" s="10"/>
    </row>
    <row r="481">
      <c r="M481" s="10"/>
    </row>
    <row r="482">
      <c r="M482" s="10"/>
    </row>
    <row r="483">
      <c r="M483" s="10"/>
    </row>
    <row r="484">
      <c r="M484" s="10"/>
    </row>
    <row r="485">
      <c r="M485" s="10"/>
    </row>
    <row r="486">
      <c r="M486" s="10"/>
    </row>
    <row r="487">
      <c r="M487" s="10"/>
    </row>
    <row r="488">
      <c r="M488" s="10"/>
    </row>
    <row r="489">
      <c r="M489" s="10"/>
    </row>
    <row r="490">
      <c r="M490" s="10"/>
    </row>
    <row r="491">
      <c r="M491" s="10"/>
    </row>
    <row r="492">
      <c r="M492" s="10"/>
    </row>
    <row r="493">
      <c r="M493" s="10"/>
    </row>
    <row r="494">
      <c r="M494" s="10"/>
    </row>
    <row r="495">
      <c r="M495" s="10"/>
    </row>
    <row r="496">
      <c r="M496" s="10"/>
    </row>
    <row r="497">
      <c r="M497" s="10"/>
    </row>
    <row r="498">
      <c r="M498" s="10"/>
    </row>
    <row r="499">
      <c r="M499" s="10"/>
    </row>
    <row r="500">
      <c r="M500" s="10"/>
    </row>
    <row r="501">
      <c r="M501" s="10"/>
    </row>
    <row r="502">
      <c r="M502" s="10"/>
    </row>
    <row r="503">
      <c r="M503" s="10"/>
    </row>
    <row r="504">
      <c r="M504" s="10"/>
    </row>
    <row r="505">
      <c r="M505" s="10"/>
    </row>
    <row r="506">
      <c r="M506" s="10"/>
    </row>
    <row r="507">
      <c r="M507" s="10"/>
    </row>
    <row r="508">
      <c r="M508" s="10"/>
    </row>
    <row r="509">
      <c r="M509" s="10"/>
    </row>
    <row r="510">
      <c r="M510" s="10"/>
    </row>
    <row r="511">
      <c r="M511" s="10"/>
    </row>
    <row r="512">
      <c r="M512" s="10"/>
    </row>
    <row r="513">
      <c r="M513" s="10"/>
    </row>
    <row r="514">
      <c r="M514" s="10"/>
    </row>
    <row r="515">
      <c r="M515" s="10"/>
    </row>
    <row r="516">
      <c r="M516" s="10"/>
    </row>
    <row r="517">
      <c r="M517" s="10"/>
    </row>
    <row r="518">
      <c r="M518" s="10"/>
    </row>
    <row r="519">
      <c r="M519" s="10"/>
    </row>
    <row r="520">
      <c r="M520" s="10"/>
    </row>
    <row r="521">
      <c r="M521" s="10"/>
    </row>
    <row r="522">
      <c r="M522" s="10"/>
    </row>
    <row r="523">
      <c r="M523" s="10"/>
    </row>
    <row r="524">
      <c r="M524" s="10"/>
    </row>
    <row r="525">
      <c r="M525" s="10"/>
    </row>
    <row r="526">
      <c r="M526" s="10"/>
    </row>
    <row r="527">
      <c r="M527" s="10"/>
    </row>
    <row r="528">
      <c r="M528" s="10"/>
    </row>
    <row r="529">
      <c r="M529" s="10"/>
    </row>
    <row r="530">
      <c r="M530" s="10"/>
    </row>
    <row r="531">
      <c r="M531" s="10"/>
    </row>
    <row r="532">
      <c r="M532" s="10"/>
    </row>
    <row r="533">
      <c r="M533" s="10"/>
    </row>
    <row r="534">
      <c r="M534" s="10"/>
    </row>
    <row r="535">
      <c r="M535" s="10"/>
    </row>
    <row r="536">
      <c r="M536" s="10"/>
    </row>
    <row r="537">
      <c r="M537" s="10"/>
    </row>
    <row r="538">
      <c r="M538" s="10"/>
    </row>
    <row r="539">
      <c r="M539" s="10"/>
    </row>
    <row r="540">
      <c r="M540" s="10"/>
    </row>
    <row r="541">
      <c r="M541" s="10"/>
    </row>
    <row r="542">
      <c r="M542" s="10"/>
    </row>
    <row r="543">
      <c r="M543" s="10"/>
    </row>
    <row r="544">
      <c r="M544" s="10"/>
    </row>
    <row r="545">
      <c r="M545" s="10"/>
    </row>
    <row r="546">
      <c r="M546" s="10"/>
    </row>
    <row r="547">
      <c r="M547" s="10"/>
    </row>
    <row r="548">
      <c r="M548" s="10"/>
    </row>
    <row r="549">
      <c r="M549" s="10"/>
    </row>
    <row r="550">
      <c r="M550" s="10"/>
    </row>
    <row r="551">
      <c r="M551" s="10"/>
    </row>
    <row r="552">
      <c r="M552" s="10"/>
    </row>
    <row r="553">
      <c r="M553" s="10"/>
    </row>
    <row r="554">
      <c r="M554" s="10"/>
    </row>
    <row r="555">
      <c r="M555" s="10"/>
    </row>
    <row r="556">
      <c r="M556" s="10"/>
    </row>
    <row r="557">
      <c r="M557" s="10"/>
    </row>
    <row r="558">
      <c r="M558" s="10"/>
    </row>
    <row r="559">
      <c r="M559" s="10"/>
    </row>
    <row r="560">
      <c r="M560" s="10"/>
    </row>
    <row r="561">
      <c r="M561" s="10"/>
    </row>
    <row r="562">
      <c r="M562" s="10"/>
    </row>
    <row r="563">
      <c r="M563" s="10"/>
    </row>
    <row r="564">
      <c r="M564" s="10"/>
    </row>
    <row r="565">
      <c r="M565" s="10"/>
    </row>
    <row r="566">
      <c r="M566" s="10"/>
    </row>
    <row r="567">
      <c r="M567" s="10"/>
    </row>
    <row r="568">
      <c r="M568" s="10"/>
    </row>
    <row r="569">
      <c r="M569" s="10"/>
    </row>
    <row r="570">
      <c r="M570" s="10"/>
    </row>
    <row r="571">
      <c r="M571" s="10"/>
    </row>
    <row r="572">
      <c r="M572" s="10"/>
    </row>
    <row r="573">
      <c r="M573" s="10"/>
    </row>
    <row r="574">
      <c r="M574" s="10"/>
    </row>
    <row r="575">
      <c r="M575" s="10"/>
    </row>
    <row r="576">
      <c r="M576" s="10"/>
    </row>
    <row r="577">
      <c r="M577" s="10"/>
    </row>
    <row r="578">
      <c r="M578" s="10"/>
    </row>
    <row r="579">
      <c r="M579" s="10"/>
    </row>
    <row r="580">
      <c r="M580" s="10"/>
    </row>
    <row r="581">
      <c r="M581" s="10"/>
    </row>
    <row r="582">
      <c r="M582" s="10"/>
    </row>
    <row r="583">
      <c r="M583" s="10"/>
    </row>
    <row r="584">
      <c r="M584" s="10"/>
    </row>
    <row r="585">
      <c r="M585" s="10"/>
    </row>
    <row r="586">
      <c r="M586" s="10"/>
    </row>
    <row r="587">
      <c r="M587" s="10"/>
    </row>
    <row r="588">
      <c r="M588" s="10"/>
    </row>
    <row r="589">
      <c r="M589" s="10"/>
    </row>
    <row r="590">
      <c r="M590" s="10"/>
    </row>
    <row r="591">
      <c r="M591" s="10"/>
    </row>
    <row r="592">
      <c r="M592" s="10"/>
    </row>
    <row r="593">
      <c r="M593" s="10"/>
    </row>
    <row r="594">
      <c r="M594" s="10"/>
    </row>
    <row r="595">
      <c r="M595" s="10"/>
    </row>
    <row r="596">
      <c r="M596" s="10"/>
    </row>
    <row r="597">
      <c r="M597" s="10"/>
    </row>
    <row r="598">
      <c r="M598" s="10"/>
    </row>
    <row r="599">
      <c r="M599" s="10"/>
    </row>
    <row r="600">
      <c r="M600" s="10"/>
    </row>
    <row r="601">
      <c r="M601" s="10"/>
    </row>
    <row r="602">
      <c r="M602" s="10"/>
    </row>
    <row r="603">
      <c r="M603" s="10"/>
    </row>
    <row r="604">
      <c r="M604" s="10"/>
    </row>
    <row r="605">
      <c r="M605" s="10"/>
    </row>
    <row r="606">
      <c r="M606" s="10"/>
    </row>
    <row r="607">
      <c r="M607" s="10"/>
    </row>
    <row r="608">
      <c r="M608" s="10"/>
    </row>
    <row r="609">
      <c r="M609" s="10"/>
    </row>
    <row r="610">
      <c r="M610" s="10"/>
    </row>
    <row r="611">
      <c r="M611" s="10"/>
    </row>
    <row r="612">
      <c r="M612" s="10"/>
    </row>
    <row r="613">
      <c r="M613" s="10"/>
    </row>
    <row r="614">
      <c r="M614" s="10"/>
    </row>
    <row r="615">
      <c r="M615" s="10"/>
    </row>
    <row r="616">
      <c r="M616" s="10"/>
    </row>
    <row r="617">
      <c r="M617" s="10"/>
    </row>
    <row r="618">
      <c r="M618" s="10"/>
    </row>
    <row r="619">
      <c r="M619" s="10"/>
    </row>
    <row r="620">
      <c r="M620" s="10"/>
    </row>
    <row r="621">
      <c r="M621" s="10"/>
    </row>
    <row r="622">
      <c r="M622" s="10"/>
    </row>
    <row r="623">
      <c r="M623" s="10"/>
    </row>
    <row r="624">
      <c r="M624" s="10"/>
    </row>
    <row r="625">
      <c r="M625" s="10"/>
    </row>
    <row r="626">
      <c r="M626" s="10"/>
    </row>
    <row r="627">
      <c r="M627" s="10"/>
    </row>
    <row r="628">
      <c r="M628" s="10"/>
    </row>
    <row r="629">
      <c r="M629" s="10"/>
    </row>
    <row r="630">
      <c r="M630" s="10"/>
    </row>
    <row r="631">
      <c r="M631" s="10"/>
    </row>
    <row r="632">
      <c r="M632" s="10"/>
    </row>
    <row r="633">
      <c r="M633" s="10"/>
    </row>
    <row r="634">
      <c r="M634" s="10"/>
    </row>
    <row r="635">
      <c r="M635" s="10"/>
    </row>
    <row r="636">
      <c r="M636" s="10"/>
    </row>
    <row r="637">
      <c r="M637" s="10"/>
    </row>
    <row r="638">
      <c r="M638" s="10"/>
    </row>
    <row r="639">
      <c r="M639" s="10"/>
    </row>
    <row r="640">
      <c r="M640" s="10"/>
    </row>
    <row r="641">
      <c r="M641" s="10"/>
    </row>
    <row r="642">
      <c r="M642" s="10"/>
    </row>
    <row r="643">
      <c r="M643" s="10"/>
    </row>
    <row r="644">
      <c r="M644" s="10"/>
    </row>
    <row r="645">
      <c r="M645" s="10"/>
    </row>
    <row r="646">
      <c r="M646" s="10"/>
    </row>
    <row r="647">
      <c r="M647" s="10"/>
    </row>
    <row r="648">
      <c r="M648" s="10"/>
    </row>
    <row r="649">
      <c r="M649" s="10"/>
    </row>
    <row r="650">
      <c r="M650" s="10"/>
    </row>
    <row r="651">
      <c r="M651" s="10"/>
    </row>
    <row r="652">
      <c r="M652" s="10"/>
    </row>
    <row r="653">
      <c r="M653" s="10"/>
    </row>
    <row r="654">
      <c r="M654" s="10"/>
    </row>
    <row r="655">
      <c r="M655" s="10"/>
    </row>
    <row r="656">
      <c r="M656" s="10"/>
    </row>
    <row r="657">
      <c r="M657" s="10"/>
    </row>
    <row r="658">
      <c r="M658" s="10"/>
    </row>
    <row r="659">
      <c r="M659" s="10"/>
    </row>
    <row r="660">
      <c r="M660" s="10"/>
    </row>
    <row r="661">
      <c r="M661" s="10"/>
    </row>
    <row r="662">
      <c r="M662" s="10"/>
    </row>
    <row r="663">
      <c r="M663" s="10"/>
    </row>
    <row r="664">
      <c r="M664" s="10"/>
    </row>
    <row r="665">
      <c r="M665" s="10"/>
    </row>
    <row r="666">
      <c r="M666" s="10"/>
    </row>
    <row r="667">
      <c r="M667" s="10"/>
    </row>
    <row r="668">
      <c r="M668" s="10"/>
    </row>
    <row r="669">
      <c r="M669" s="10"/>
    </row>
    <row r="670">
      <c r="M670" s="10"/>
    </row>
    <row r="671">
      <c r="M671" s="10"/>
    </row>
    <row r="672">
      <c r="M672" s="10"/>
    </row>
    <row r="673">
      <c r="M673" s="10"/>
    </row>
    <row r="674">
      <c r="M674" s="10"/>
    </row>
    <row r="675">
      <c r="M675" s="10"/>
    </row>
    <row r="676">
      <c r="M676" s="10"/>
    </row>
    <row r="677">
      <c r="M677" s="10"/>
    </row>
    <row r="678">
      <c r="M678" s="10"/>
    </row>
    <row r="679">
      <c r="M679" s="10"/>
    </row>
    <row r="680">
      <c r="M680" s="10"/>
    </row>
    <row r="681">
      <c r="M681" s="10"/>
    </row>
    <row r="682">
      <c r="M682" s="10"/>
    </row>
    <row r="683">
      <c r="M683" s="10"/>
    </row>
    <row r="684">
      <c r="M684" s="10"/>
    </row>
    <row r="685">
      <c r="M685" s="10"/>
    </row>
    <row r="686">
      <c r="M686" s="10"/>
    </row>
    <row r="687">
      <c r="M687" s="10"/>
    </row>
    <row r="688">
      <c r="M688" s="10"/>
    </row>
    <row r="689">
      <c r="M689" s="10"/>
    </row>
    <row r="690">
      <c r="M690" s="10"/>
    </row>
    <row r="691">
      <c r="M691" s="10"/>
    </row>
    <row r="692">
      <c r="M692" s="10"/>
    </row>
    <row r="693">
      <c r="M693" s="10"/>
    </row>
    <row r="694">
      <c r="M694" s="10"/>
    </row>
    <row r="695">
      <c r="M695" s="10"/>
    </row>
    <row r="696">
      <c r="M696" s="10"/>
    </row>
    <row r="697">
      <c r="M697" s="10"/>
    </row>
    <row r="698">
      <c r="M698" s="10"/>
    </row>
    <row r="699">
      <c r="M699" s="10"/>
    </row>
    <row r="700">
      <c r="M700" s="10"/>
    </row>
    <row r="701">
      <c r="M701" s="10"/>
    </row>
    <row r="702">
      <c r="M702" s="10"/>
    </row>
    <row r="703">
      <c r="M703" s="10"/>
    </row>
    <row r="704">
      <c r="M704" s="10"/>
    </row>
    <row r="705">
      <c r="M705" s="10"/>
    </row>
    <row r="706">
      <c r="M706" s="10"/>
    </row>
    <row r="707">
      <c r="M707" s="10"/>
    </row>
    <row r="708">
      <c r="M708" s="10"/>
    </row>
    <row r="709">
      <c r="M709" s="10"/>
    </row>
    <row r="710">
      <c r="M710" s="10"/>
    </row>
    <row r="711">
      <c r="M711" s="10"/>
    </row>
    <row r="712">
      <c r="M712" s="10"/>
    </row>
    <row r="713">
      <c r="M713" s="10"/>
    </row>
    <row r="714">
      <c r="M714" s="10"/>
    </row>
    <row r="715">
      <c r="M715" s="10"/>
    </row>
    <row r="716">
      <c r="M716" s="10"/>
    </row>
    <row r="717">
      <c r="M717" s="10"/>
    </row>
    <row r="718">
      <c r="M718" s="10"/>
    </row>
    <row r="719">
      <c r="M719" s="10"/>
    </row>
    <row r="720">
      <c r="M720" s="10"/>
    </row>
    <row r="721">
      <c r="M721" s="10"/>
    </row>
    <row r="722">
      <c r="M722" s="10"/>
    </row>
    <row r="723">
      <c r="M723" s="10"/>
    </row>
    <row r="724">
      <c r="M724" s="10"/>
    </row>
    <row r="725">
      <c r="M725" s="10"/>
    </row>
    <row r="726">
      <c r="M726" s="10"/>
    </row>
    <row r="727">
      <c r="M727" s="10"/>
    </row>
    <row r="728">
      <c r="M728" s="10"/>
    </row>
    <row r="729">
      <c r="M729" s="10"/>
    </row>
    <row r="730">
      <c r="M730" s="10"/>
    </row>
    <row r="731">
      <c r="M731" s="10"/>
    </row>
    <row r="732">
      <c r="M732" s="10"/>
    </row>
    <row r="733">
      <c r="M733" s="10"/>
    </row>
    <row r="734">
      <c r="M734" s="10"/>
    </row>
    <row r="735">
      <c r="M735" s="10"/>
    </row>
    <row r="736">
      <c r="M736" s="10"/>
    </row>
    <row r="737">
      <c r="M737" s="10"/>
    </row>
    <row r="738">
      <c r="M738" s="10"/>
    </row>
    <row r="739">
      <c r="M739" s="10"/>
    </row>
    <row r="740">
      <c r="M740" s="10"/>
    </row>
    <row r="741">
      <c r="M741" s="10"/>
    </row>
    <row r="742">
      <c r="M742" s="10"/>
    </row>
    <row r="743">
      <c r="M743" s="10"/>
    </row>
    <row r="744">
      <c r="M744" s="10"/>
    </row>
    <row r="745">
      <c r="M745" s="10"/>
    </row>
    <row r="746">
      <c r="M746" s="10"/>
    </row>
    <row r="747">
      <c r="M747" s="10"/>
    </row>
    <row r="748">
      <c r="M748" s="10"/>
    </row>
    <row r="749">
      <c r="M749" s="10"/>
    </row>
    <row r="750">
      <c r="M750" s="10"/>
    </row>
    <row r="751">
      <c r="M751" s="10"/>
    </row>
    <row r="752">
      <c r="M752" s="10"/>
    </row>
    <row r="753">
      <c r="M753" s="10"/>
    </row>
    <row r="754">
      <c r="M754" s="10"/>
    </row>
    <row r="755">
      <c r="M755" s="10"/>
    </row>
    <row r="756">
      <c r="M756" s="10"/>
    </row>
    <row r="757">
      <c r="M757" s="10"/>
    </row>
    <row r="758">
      <c r="M758" s="10"/>
    </row>
    <row r="759">
      <c r="M759" s="10"/>
    </row>
    <row r="760">
      <c r="M760" s="10"/>
    </row>
    <row r="761">
      <c r="M761" s="10"/>
    </row>
    <row r="762">
      <c r="M762" s="10"/>
    </row>
    <row r="763">
      <c r="M763" s="10"/>
    </row>
    <row r="764">
      <c r="M764" s="10"/>
    </row>
    <row r="765">
      <c r="M765" s="10"/>
    </row>
    <row r="766">
      <c r="M766" s="10"/>
    </row>
    <row r="767">
      <c r="M767" s="10"/>
    </row>
    <row r="768">
      <c r="M768" s="10"/>
    </row>
    <row r="769">
      <c r="M769" s="10"/>
    </row>
    <row r="770">
      <c r="M770" s="10"/>
    </row>
    <row r="771">
      <c r="M771" s="10"/>
    </row>
    <row r="772">
      <c r="M772" s="10"/>
    </row>
    <row r="773">
      <c r="M773" s="10"/>
    </row>
    <row r="774">
      <c r="M774" s="10"/>
    </row>
    <row r="775">
      <c r="M775" s="10"/>
    </row>
    <row r="776">
      <c r="M776" s="10"/>
    </row>
    <row r="777">
      <c r="M777" s="10"/>
    </row>
    <row r="778">
      <c r="M778" s="10"/>
    </row>
    <row r="779">
      <c r="M779" s="10"/>
    </row>
    <row r="780">
      <c r="M780" s="10"/>
    </row>
    <row r="781">
      <c r="M781" s="10"/>
    </row>
    <row r="782">
      <c r="M782" s="10"/>
    </row>
    <row r="783">
      <c r="M783" s="10"/>
    </row>
    <row r="784">
      <c r="M784" s="10"/>
    </row>
    <row r="785">
      <c r="M785" s="10"/>
    </row>
    <row r="786">
      <c r="M786" s="10"/>
    </row>
    <row r="787">
      <c r="M787" s="10"/>
    </row>
    <row r="788">
      <c r="M788" s="10"/>
    </row>
    <row r="789">
      <c r="M789" s="10"/>
    </row>
    <row r="790">
      <c r="M790" s="10"/>
    </row>
    <row r="791">
      <c r="M791" s="10"/>
    </row>
    <row r="792">
      <c r="M792" s="10"/>
    </row>
    <row r="793">
      <c r="M793" s="10"/>
    </row>
    <row r="794">
      <c r="M794" s="10"/>
    </row>
    <row r="795">
      <c r="M795" s="10"/>
    </row>
    <row r="796">
      <c r="M796" s="10"/>
    </row>
    <row r="797">
      <c r="M797" s="10"/>
    </row>
    <row r="798">
      <c r="M798" s="10"/>
    </row>
    <row r="799">
      <c r="M799" s="10"/>
    </row>
    <row r="800">
      <c r="M800" s="10"/>
    </row>
    <row r="801">
      <c r="M801" s="10"/>
    </row>
    <row r="802">
      <c r="M802" s="10"/>
    </row>
    <row r="803">
      <c r="M803" s="10"/>
    </row>
    <row r="804">
      <c r="M804" s="10"/>
    </row>
    <row r="805">
      <c r="M805" s="10"/>
    </row>
    <row r="806">
      <c r="M806" s="10"/>
    </row>
    <row r="807">
      <c r="M807" s="10"/>
    </row>
    <row r="808">
      <c r="M808" s="10"/>
    </row>
    <row r="809">
      <c r="M809" s="10"/>
    </row>
    <row r="810">
      <c r="M810" s="10"/>
    </row>
    <row r="811">
      <c r="M811" s="10"/>
    </row>
    <row r="812">
      <c r="M812" s="10"/>
    </row>
    <row r="813">
      <c r="M813" s="10"/>
    </row>
    <row r="814">
      <c r="M814" s="10"/>
    </row>
    <row r="815">
      <c r="M815" s="10"/>
    </row>
    <row r="816">
      <c r="M816" s="10"/>
    </row>
    <row r="817">
      <c r="M817" s="10"/>
    </row>
    <row r="818">
      <c r="M818" s="10"/>
    </row>
    <row r="819">
      <c r="M819" s="10"/>
    </row>
    <row r="820">
      <c r="M820" s="10"/>
    </row>
    <row r="821">
      <c r="M821" s="10"/>
    </row>
    <row r="822">
      <c r="M822" s="10"/>
    </row>
    <row r="823">
      <c r="M823" s="10"/>
    </row>
    <row r="824">
      <c r="M824" s="10"/>
    </row>
    <row r="825">
      <c r="M825" s="10"/>
    </row>
    <row r="826">
      <c r="M826" s="10"/>
    </row>
    <row r="827">
      <c r="M827" s="10"/>
    </row>
    <row r="828">
      <c r="M828" s="10"/>
    </row>
    <row r="829">
      <c r="M829" s="10"/>
    </row>
    <row r="830">
      <c r="M830" s="10"/>
    </row>
    <row r="831">
      <c r="M831" s="10"/>
    </row>
    <row r="832">
      <c r="M832" s="10"/>
    </row>
    <row r="833">
      <c r="M833" s="10"/>
    </row>
    <row r="834">
      <c r="M834" s="10"/>
    </row>
    <row r="835">
      <c r="M835" s="10"/>
    </row>
    <row r="836">
      <c r="M836" s="10"/>
    </row>
    <row r="837">
      <c r="M837" s="10"/>
    </row>
    <row r="838">
      <c r="M838" s="10"/>
    </row>
    <row r="839">
      <c r="M839" s="10"/>
    </row>
    <row r="840">
      <c r="M840" s="10"/>
    </row>
    <row r="841">
      <c r="M841" s="10"/>
    </row>
    <row r="842">
      <c r="M842" s="10"/>
    </row>
    <row r="843">
      <c r="M843" s="10"/>
    </row>
    <row r="844">
      <c r="M844" s="10"/>
    </row>
    <row r="845">
      <c r="M845" s="10"/>
    </row>
    <row r="846">
      <c r="M846" s="10"/>
    </row>
    <row r="847">
      <c r="M847" s="10"/>
    </row>
    <row r="848">
      <c r="M848" s="10"/>
    </row>
    <row r="849">
      <c r="M849" s="10"/>
    </row>
    <row r="850">
      <c r="M850" s="10"/>
    </row>
    <row r="851">
      <c r="M851" s="10"/>
    </row>
    <row r="852">
      <c r="M852" s="10"/>
    </row>
    <row r="853">
      <c r="M853" s="10"/>
    </row>
    <row r="854">
      <c r="M854" s="10"/>
    </row>
    <row r="855">
      <c r="M855" s="10"/>
    </row>
    <row r="856">
      <c r="M856" s="10"/>
    </row>
    <row r="857">
      <c r="M857" s="10"/>
    </row>
    <row r="858">
      <c r="M858" s="10"/>
    </row>
    <row r="859">
      <c r="M859" s="10"/>
    </row>
    <row r="860">
      <c r="M860" s="10"/>
    </row>
    <row r="861">
      <c r="M861" s="10"/>
    </row>
    <row r="862">
      <c r="M862" s="10"/>
    </row>
    <row r="863">
      <c r="M863" s="10"/>
    </row>
    <row r="864">
      <c r="M864" s="10"/>
    </row>
    <row r="865">
      <c r="M865" s="10"/>
    </row>
    <row r="866">
      <c r="M866" s="10"/>
    </row>
    <row r="867">
      <c r="M867" s="10"/>
    </row>
    <row r="868">
      <c r="M868" s="10"/>
    </row>
    <row r="869">
      <c r="M869" s="10"/>
    </row>
    <row r="870">
      <c r="M870" s="10"/>
    </row>
    <row r="871">
      <c r="M871" s="10"/>
    </row>
    <row r="872">
      <c r="M872" s="10"/>
    </row>
    <row r="873">
      <c r="M873" s="10"/>
    </row>
    <row r="874">
      <c r="M874" s="10"/>
    </row>
    <row r="875">
      <c r="M875" s="10"/>
    </row>
    <row r="876">
      <c r="M876" s="10"/>
    </row>
    <row r="877">
      <c r="M877" s="10"/>
    </row>
    <row r="878">
      <c r="M878" s="10"/>
    </row>
    <row r="879">
      <c r="M879" s="10"/>
    </row>
    <row r="880">
      <c r="M880" s="10"/>
    </row>
    <row r="881">
      <c r="M881" s="10"/>
    </row>
    <row r="882">
      <c r="M882" s="10"/>
    </row>
    <row r="883">
      <c r="M883" s="10"/>
    </row>
    <row r="884">
      <c r="M884" s="10"/>
    </row>
    <row r="885">
      <c r="M885" s="10"/>
    </row>
    <row r="886">
      <c r="M886" s="10"/>
    </row>
    <row r="887">
      <c r="M887" s="10"/>
    </row>
    <row r="888">
      <c r="M888" s="10"/>
    </row>
    <row r="889">
      <c r="M889" s="10"/>
    </row>
    <row r="890">
      <c r="M890" s="10"/>
    </row>
    <row r="891">
      <c r="M891" s="10"/>
    </row>
    <row r="892">
      <c r="M892" s="10"/>
    </row>
    <row r="893">
      <c r="M893" s="10"/>
    </row>
    <row r="894">
      <c r="M894" s="10"/>
    </row>
    <row r="895">
      <c r="M895" s="10"/>
    </row>
    <row r="896">
      <c r="M896" s="10"/>
    </row>
    <row r="897">
      <c r="M897" s="10"/>
    </row>
    <row r="898">
      <c r="M898" s="10"/>
    </row>
    <row r="899">
      <c r="M899" s="10"/>
    </row>
    <row r="900">
      <c r="M900" s="10"/>
    </row>
    <row r="901">
      <c r="M901" s="10"/>
    </row>
    <row r="902">
      <c r="M902" s="10"/>
    </row>
    <row r="903">
      <c r="M903" s="10"/>
    </row>
    <row r="904">
      <c r="M904" s="10"/>
    </row>
    <row r="905">
      <c r="M905" s="10"/>
    </row>
    <row r="906">
      <c r="M906" s="10"/>
    </row>
    <row r="907">
      <c r="M907" s="10"/>
    </row>
    <row r="908">
      <c r="M908" s="10"/>
    </row>
    <row r="909">
      <c r="M909" s="10"/>
    </row>
    <row r="910">
      <c r="M910" s="10"/>
    </row>
    <row r="911">
      <c r="M911" s="10"/>
    </row>
    <row r="912">
      <c r="M912" s="10"/>
    </row>
    <row r="913">
      <c r="M913" s="10"/>
    </row>
    <row r="914">
      <c r="M914" s="10"/>
    </row>
    <row r="915">
      <c r="M915" s="10"/>
    </row>
    <row r="916">
      <c r="M916" s="10"/>
    </row>
    <row r="917">
      <c r="M917" s="10"/>
    </row>
    <row r="918">
      <c r="M918" s="10"/>
    </row>
    <row r="919">
      <c r="M919" s="10"/>
    </row>
    <row r="920">
      <c r="M920" s="10"/>
    </row>
    <row r="921">
      <c r="M921" s="10"/>
    </row>
    <row r="922">
      <c r="M922" s="10"/>
    </row>
    <row r="923">
      <c r="M923" s="10"/>
    </row>
    <row r="924">
      <c r="M924" s="10"/>
    </row>
    <row r="925">
      <c r="M925" s="10"/>
    </row>
    <row r="926">
      <c r="M926" s="10"/>
    </row>
    <row r="927">
      <c r="M927" s="10"/>
    </row>
    <row r="928">
      <c r="M928" s="10"/>
    </row>
    <row r="929">
      <c r="M929" s="10"/>
    </row>
    <row r="930">
      <c r="M930" s="10"/>
    </row>
    <row r="931">
      <c r="M931" s="10"/>
    </row>
    <row r="932">
      <c r="M932" s="10"/>
    </row>
    <row r="933">
      <c r="M933" s="10"/>
    </row>
    <row r="934">
      <c r="M934" s="10"/>
    </row>
    <row r="935">
      <c r="M935" s="10"/>
    </row>
    <row r="936">
      <c r="M936" s="10"/>
    </row>
    <row r="937">
      <c r="M937" s="10"/>
    </row>
    <row r="938">
      <c r="M938" s="10"/>
    </row>
    <row r="939">
      <c r="M939" s="10"/>
    </row>
    <row r="940">
      <c r="M940" s="10"/>
    </row>
    <row r="941">
      <c r="M941" s="10"/>
    </row>
    <row r="942">
      <c r="M942" s="10"/>
    </row>
    <row r="943">
      <c r="M943" s="10"/>
    </row>
    <row r="944">
      <c r="M944" s="10"/>
    </row>
    <row r="945">
      <c r="M945" s="10"/>
    </row>
    <row r="946">
      <c r="M946" s="10"/>
    </row>
    <row r="947">
      <c r="M947" s="10"/>
    </row>
    <row r="948">
      <c r="M948" s="10"/>
    </row>
    <row r="949">
      <c r="M949" s="10"/>
    </row>
    <row r="950">
      <c r="M950" s="10"/>
    </row>
    <row r="951">
      <c r="M951" s="10"/>
    </row>
    <row r="952">
      <c r="M952" s="10"/>
    </row>
    <row r="953">
      <c r="M953" s="10"/>
    </row>
    <row r="954">
      <c r="M954" s="10"/>
    </row>
    <row r="955">
      <c r="M955" s="10"/>
    </row>
    <row r="956">
      <c r="M956" s="10"/>
    </row>
    <row r="957">
      <c r="M957" s="10"/>
    </row>
    <row r="958">
      <c r="M958" s="10"/>
    </row>
    <row r="959">
      <c r="M959" s="10"/>
    </row>
    <row r="960">
      <c r="M960" s="10"/>
    </row>
    <row r="961">
      <c r="M961" s="10"/>
    </row>
    <row r="962">
      <c r="M962" s="10"/>
    </row>
    <row r="963">
      <c r="M963" s="10"/>
    </row>
    <row r="964">
      <c r="M964" s="10"/>
    </row>
    <row r="965">
      <c r="M965" s="10"/>
    </row>
    <row r="966">
      <c r="M966" s="10"/>
    </row>
    <row r="967">
      <c r="M967" s="10"/>
    </row>
    <row r="968">
      <c r="M968" s="10"/>
    </row>
    <row r="969">
      <c r="M969" s="10"/>
    </row>
    <row r="970">
      <c r="M970" s="10"/>
    </row>
    <row r="971">
      <c r="M971" s="10"/>
    </row>
    <row r="972">
      <c r="M972" s="10"/>
    </row>
    <row r="973">
      <c r="M973" s="10"/>
    </row>
    <row r="974">
      <c r="M974" s="10"/>
    </row>
    <row r="975">
      <c r="M975" s="10"/>
    </row>
    <row r="976">
      <c r="M976" s="10"/>
    </row>
    <row r="977">
      <c r="M977" s="10"/>
    </row>
    <row r="978">
      <c r="M978" s="10"/>
    </row>
    <row r="979">
      <c r="M979" s="10"/>
    </row>
    <row r="980">
      <c r="M980" s="10"/>
    </row>
    <row r="981">
      <c r="M981" s="10"/>
    </row>
    <row r="982">
      <c r="M982" s="10"/>
    </row>
    <row r="983">
      <c r="M983" s="10"/>
    </row>
    <row r="984">
      <c r="M984" s="10"/>
    </row>
    <row r="985">
      <c r="M985" s="10"/>
    </row>
    <row r="986">
      <c r="M986" s="10"/>
    </row>
    <row r="987">
      <c r="M987" s="10"/>
    </row>
    <row r="988">
      <c r="M988" s="10"/>
    </row>
    <row r="989">
      <c r="M989" s="10"/>
    </row>
    <row r="990">
      <c r="M990" s="10"/>
    </row>
    <row r="991">
      <c r="M991" s="10"/>
    </row>
    <row r="992">
      <c r="M992" s="10"/>
    </row>
    <row r="993">
      <c r="M993" s="10"/>
    </row>
    <row r="994">
      <c r="M994" s="10"/>
    </row>
    <row r="995">
      <c r="M995" s="10"/>
    </row>
    <row r="996">
      <c r="M996" s="10"/>
    </row>
    <row r="997">
      <c r="M997" s="10"/>
    </row>
    <row r="998">
      <c r="M998" s="10"/>
    </row>
    <row r="999">
      <c r="M999" s="10"/>
    </row>
    <row r="1000">
      <c r="M1000" s="1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3.63"/>
  </cols>
  <sheetData>
    <row r="1">
      <c r="A1" s="6" t="s">
        <v>17</v>
      </c>
      <c r="B1" s="6" t="s">
        <v>18</v>
      </c>
      <c r="C1" s="6" t="s">
        <v>19</v>
      </c>
      <c r="D1" s="6" t="s">
        <v>4</v>
      </c>
      <c r="E1" s="6" t="s">
        <v>20</v>
      </c>
      <c r="F1" s="6" t="s">
        <v>21</v>
      </c>
      <c r="G1" s="6" t="s">
        <v>6</v>
      </c>
      <c r="H1" s="6" t="s">
        <v>7</v>
      </c>
      <c r="I1" s="6" t="str">
        <f>IFERROR(__xludf.DUMMYFUNCTION("ArrayFormula(IF(LEN(H:H),if(ROW(H:H)=1,""Status BQ"",if(isna(vlookup(A:A,importrange(""12RH_Y861MPkQruhOF4E_cpprpbUSwY3AnrI0zPCJREI"",""Sheet1!L:R""),2,0)),""-"",vlookup(A:A,importrange(""12RH_Y861MPkQruhOF4E_cpprpbUSwY3AnrI0zPCJREI"",""Sheet1!L:R""),2,0)"&amp;")),))"),"Status BQ")</f>
        <v>Status BQ</v>
      </c>
      <c r="J1" s="6" t="str">
        <f>IFERROR(__xludf.DUMMYFUNCTION("ArrayFormula(IF(LEN(H:H),if(ROW(H:H)=1,""No PR"",if(isna(vlookup(A:A,importrange(""12RH_Y861MPkQruhOF4E_cpprpbUSwY3AnrI0zPCJREI"",""Sheet1!L:P""),5,0)),""-"",vlookup(A:A,importrange(""12RH_Y861MPkQruhOF4E_cpprpbUSwY3AnrI0zPCJREI"",""Sheet1!L:P""),5,0))),)"&amp;")"),"No PR")</f>
        <v>No PR</v>
      </c>
      <c r="K1" s="6" t="str">
        <f>IFERROR(__xludf.DUMMYFUNCTION("ArrayFormula(IF(LEN(H:H),if(ROW(H:H)=1,""No PO"",if(isna(vlookup(A:A,importrange(""12RH_Y861MPkQruhOF4E_cpprpbUSwY3AnrI0zPCJREI"",""Sheet1!L:Q""),6,0)),""-"",vlookup(A:A,importrange(""12RH_Y861MPkQruhOF4E_cpprpbUSwY3AnrI0zPCJREI"",""Sheet1!L:Q""),6,0))),)"&amp;")"),"No PO")</f>
        <v>No PO</v>
      </c>
    </row>
    <row r="2">
      <c r="A2" s="3" t="str">
        <f>IFERROR(__xludf.DUMMYFUNCTION("if(isna(query({'Filter JA Approve SPV Normal'!B2:B1000;'Filter JA Approve MGR Urgent'!B2:B1000},""SELECT * WHERE Col1 IS NOT NULL"")),"""",query({'Filter JA Approve SPV Normal'!B2:B1000;'Filter JA Approve MGR Urgent'!B2:B1000},""SELECT * WHERE Col1 IS NOT"&amp;" NULL""))"),"SFHJA0001")</f>
        <v>SFHJA0001</v>
      </c>
      <c r="B2" s="4">
        <f>IFERROR(__xludf.DUMMYFUNCTION("if(isna(query({'Filter JA Approve SPV Normal'!A2:A1000;'Filter JA Approve MGR Urgent'!A2:A1000},""SELECT * WHERE Col1 IS NOT NULL"")),"""",query({'Filter JA Approve SPV Normal'!A2:A1000;'Filter JA Approve MGR Urgent'!A2:A1000},""SELECT * WHERE Col1 IS NOT"&amp;" NULL""))"),45698.64258170139)</f>
        <v>45698.64258</v>
      </c>
      <c r="C2" s="4">
        <f>IFERROR(__xludf.DUMMYFUNCTION("if(isna(query({'Filter JA Approve SPV Normal'!M2:M1000;'Filter JA Approve MGR Urgent'!M2:M1000},""SELECT * WHERE Col1 IS NOT NULL"")),"""",query({'Filter JA Approve SPV Normal'!M2:M1000;'Filter JA Approve MGR Urgent'!M2:M1000},""SELECT * WHERE Col1 IS NOT"&amp;" NULL""))"),45707.52329038195)</f>
        <v>45707.52329</v>
      </c>
      <c r="D2" s="3" t="str">
        <f>IFERROR(__xludf.DUMMYFUNCTION("if(isna(query({'Filter JA Approve SPV Normal'!D2:D1000;'Filter JA Approve MGR Urgent'!D2:D1000},""SELECT * WHERE Col1 IS NOT NULL"")),"""",query({'Filter JA Approve SPV Normal'!D2:D1000;'Filter JA Approve MGR Urgent'!D2:D1000},""SELECT * WHERE Col1 IS NOT"&amp;" NULL""))"),"AHU ruang fresh air")</f>
        <v>AHU ruang fresh air</v>
      </c>
      <c r="E2" s="3" t="str">
        <f>IFERROR(__xludf.DUMMYFUNCTION("if(isna(query({'Filter JA Approve SPV Normal'!C2:C1000;'Filter JA Approve MGR Urgent'!C2:C1000},""SELECT * WHERE Col1 IS NOT NULL"")),"""",query({'Filter JA Approve SPV Normal'!C2:C1000;'Filter JA Approve MGR Urgent'!C2:C1000},""SELECT * WHERE Col1 IS NOT"&amp;" NULL""))"),"EJO/2025/01/13")</f>
        <v>EJO/2025/01/13</v>
      </c>
      <c r="F2" s="3" t="str">
        <f>IFERROR(__xludf.DUMMYFUNCTION("if(isna(query({'Filter JA Approve SPV Normal'!E2:E1000;'Filter JA Approve MGR Urgent'!E2:E1000},""SELECT * WHERE Col1 IS NOT NULL"")),"""",query({'Filter JA Approve SPV Normal'!E2:E1000;'Filter JA Approve MGR Urgent'!E2:E1000},""SELECT * WHERE Col1 IS NOT"&amp;" NULL""))"),"pemasangan mesh protector")</f>
        <v>pemasangan mesh protector</v>
      </c>
      <c r="G2" s="3">
        <f>IFERROR(__xludf.DUMMYFUNCTION("if(isna(query({'Filter JA Approve SPV Normal'!F2:F1000;'Filter JA Approve MGR Urgent'!F2:F1000},""SELECT * WHERE Col1 IS NOT NULL"")),"""",query({'Filter JA Approve SPV Normal'!F2:F1000;'Filter JA Approve MGR Urgent'!F2:F1000},""SELECT * WHERE Col1 IS NOT"&amp;" NULL""))"),1.0)</f>
        <v>1</v>
      </c>
      <c r="H2" s="3" t="str">
        <f>IFERROR(__xludf.DUMMYFUNCTION("if(isna(query({'Filter JA Approve SPV Normal'!G2:G1000;'Filter JA Approve MGR Urgent'!G2:G1000},""SELECT * WHERE Col1 IS NOT NULL"")),"""",query({'Filter JA Approve SPV Normal'!G2:G1000;'Filter JA Approve MGR Urgent'!G2:G1000},""SELECT * WHERE Col1 IS NOT"&amp;" NULL""))"),"Lot")</f>
        <v>Lot</v>
      </c>
      <c r="I2" s="3" t="str">
        <f>IFERROR(__xludf.DUMMYFUNCTION("""COMPUTED_VALUE"""),"Deliver")</f>
        <v>Deliver</v>
      </c>
      <c r="J2" s="3" t="str">
        <f>IFERROR(__xludf.DUMMYFUNCTION("""COMPUTED_VALUE"""),"-")</f>
        <v>-</v>
      </c>
      <c r="K2" s="3" t="str">
        <f>IFERROR(__xludf.DUMMYFUNCTION("""COMPUTED_VALUE"""),"-")</f>
        <v>-</v>
      </c>
    </row>
    <row r="3">
      <c r="A3" s="3" t="str">
        <f>IFERROR(__xludf.DUMMYFUNCTION("""COMPUTED_VALUE"""),"RIAJA0001")</f>
        <v>RIAJA0001</v>
      </c>
      <c r="B3" s="4">
        <f>IFERROR(__xludf.DUMMYFUNCTION("""COMPUTED_VALUE"""),45723.69347403935)</f>
        <v>45723.69347</v>
      </c>
      <c r="C3" s="4">
        <f>IFERROR(__xludf.DUMMYFUNCTION("""COMPUTED_VALUE"""),45762.50549293982)</f>
        <v>45762.50549</v>
      </c>
      <c r="D3" s="3" t="str">
        <f>IFERROR(__xludf.DUMMYFUNCTION("""COMPUTED_VALUE"""),"PSG")</f>
        <v>PSG</v>
      </c>
      <c r="E3" s="3" t="str">
        <f>IFERROR(__xludf.DUMMYFUNCTION("""COMPUTED_VALUE"""),"EJO/2025/03/86")</f>
        <v>EJO/2025/03/86</v>
      </c>
      <c r="F3" s="3" t="str">
        <f>IFERROR(__xludf.DUMMYFUNCTION("""COMPUTED_VALUE"""),"Scalling kolom PSG")</f>
        <v>Scalling kolom PSG</v>
      </c>
      <c r="G3" s="3">
        <f>IFERROR(__xludf.DUMMYFUNCTION("""COMPUTED_VALUE"""),1.0)</f>
        <v>1</v>
      </c>
      <c r="H3" s="3" t="str">
        <f>IFERROR(__xludf.DUMMYFUNCTION("""COMPUTED_VALUE"""),"Set")</f>
        <v>Set</v>
      </c>
      <c r="I3" s="3" t="str">
        <f>IFERROR(__xludf.DUMMYFUNCTION("""COMPUTED_VALUE"""),"Deliver")</f>
        <v>Deliver</v>
      </c>
      <c r="J3" s="3" t="str">
        <f>IFERROR(__xludf.DUMMYFUNCTION("""COMPUTED_VALUE"""),"-")</f>
        <v>-</v>
      </c>
      <c r="K3" s="3" t="str">
        <f>IFERROR(__xludf.DUMMYFUNCTION("""COMPUTED_VALUE"""),"-")</f>
        <v>-</v>
      </c>
    </row>
    <row r="4">
      <c r="A4" s="3" t="str">
        <f>IFERROR(__xludf.DUMMYFUNCTION("""COMPUTED_VALUE"""),"MFHJA0001")</f>
        <v>MFHJA0001</v>
      </c>
      <c r="B4" s="4">
        <f>IFERROR(__xludf.DUMMYFUNCTION("""COMPUTED_VALUE"""),45755.25540655093)</f>
        <v>45755.25541</v>
      </c>
      <c r="C4" s="4">
        <f>IFERROR(__xludf.DUMMYFUNCTION("""COMPUTED_VALUE"""),45756.245849768515)</f>
        <v>45756.24585</v>
      </c>
      <c r="D4" s="3" t="str">
        <f>IFERROR(__xludf.DUMMYFUNCTION("""COMPUTED_VALUE"""),"Tunnel")</f>
        <v>Tunnel</v>
      </c>
      <c r="E4" s="3" t="str">
        <f>IFERROR(__xludf.DUMMYFUNCTION("""COMPUTED_VALUE"""),"-")</f>
        <v>-</v>
      </c>
      <c r="F4" s="3" t="str">
        <f>IFERROR(__xludf.DUMMYFUNCTION("""COMPUTED_VALUE"""),"Rewinding Motor dan Fan")</f>
        <v>Rewinding Motor dan Fan</v>
      </c>
      <c r="G4" s="3">
        <f>IFERROR(__xludf.DUMMYFUNCTION("""COMPUTED_VALUE"""),1.0)</f>
        <v>1</v>
      </c>
      <c r="H4" s="3" t="str">
        <f>IFERROR(__xludf.DUMMYFUNCTION("""COMPUTED_VALUE"""),"Lot")</f>
        <v>Lot</v>
      </c>
      <c r="I4" s="3" t="str">
        <f>IFERROR(__xludf.DUMMYFUNCTION("""COMPUTED_VALUE"""),"Deliver")</f>
        <v>Deliver</v>
      </c>
      <c r="J4" s="3" t="str">
        <f>IFERROR(__xludf.DUMMYFUNCTION("""COMPUTED_VALUE"""),"-")</f>
        <v>-</v>
      </c>
      <c r="K4" s="3" t="str">
        <f>IFERROR(__xludf.DUMMYFUNCTION("""COMPUTED_VALUE"""),"-")</f>
        <v>-</v>
      </c>
    </row>
    <row r="5">
      <c r="A5" s="3" t="str">
        <f>IFERROR(__xludf.DUMMYFUNCTION("""COMPUTED_VALUE"""),"MFHJA0002")</f>
        <v>MFHJA0002</v>
      </c>
      <c r="B5" s="4">
        <f>IFERROR(__xludf.DUMMYFUNCTION("""COMPUTED_VALUE"""),45755.32267778935)</f>
        <v>45755.32268</v>
      </c>
      <c r="C5" s="4">
        <f>IFERROR(__xludf.DUMMYFUNCTION("""COMPUTED_VALUE"""),45756.24596726852)</f>
        <v>45756.24597</v>
      </c>
      <c r="D5" s="3" t="str">
        <f>IFERROR(__xludf.DUMMYFUNCTION("""COMPUTED_VALUE"""),"Chamber")</f>
        <v>Chamber</v>
      </c>
      <c r="E5" s="3" t="str">
        <f>IFERROR(__xludf.DUMMYFUNCTION("""COMPUTED_VALUE"""),"-")</f>
        <v>-</v>
      </c>
      <c r="F5" s="3" t="str">
        <f>IFERROR(__xludf.DUMMYFUNCTION("""COMPUTED_VALUE"""),"Bobok dinding akses chamber masuk")</f>
        <v>Bobok dinding akses chamber masuk</v>
      </c>
      <c r="G5" s="3">
        <f>IFERROR(__xludf.DUMMYFUNCTION("""COMPUTED_VALUE"""),1.0)</f>
        <v>1</v>
      </c>
      <c r="H5" s="3" t="str">
        <f>IFERROR(__xludf.DUMMYFUNCTION("""COMPUTED_VALUE"""),"Lot")</f>
        <v>Lot</v>
      </c>
      <c r="I5" s="3" t="str">
        <f>IFERROR(__xludf.DUMMYFUNCTION("""COMPUTED_VALUE"""),"Deliver")</f>
        <v>Deliver</v>
      </c>
      <c r="J5" s="3" t="str">
        <f>IFERROR(__xludf.DUMMYFUNCTION("""COMPUTED_VALUE"""),"-")</f>
        <v>-</v>
      </c>
      <c r="K5" s="3" t="str">
        <f>IFERROR(__xludf.DUMMYFUNCTION("""COMPUTED_VALUE"""),"-")</f>
        <v>-</v>
      </c>
    </row>
    <row r="6">
      <c r="A6" s="3" t="str">
        <f>IFERROR(__xludf.DUMMYFUNCTION("""COMPUTED_VALUE"""),"MFHJA0003")</f>
        <v>MFHJA0003</v>
      </c>
      <c r="B6" s="4">
        <f>IFERROR(__xludf.DUMMYFUNCTION("""COMPUTED_VALUE"""),45755.329314421295)</f>
        <v>45755.32931</v>
      </c>
      <c r="C6" s="4">
        <f>IFERROR(__xludf.DUMMYFUNCTION("""COMPUTED_VALUE"""),45756.246135416666)</f>
        <v>45756.24614</v>
      </c>
      <c r="D6" s="3" t="str">
        <f>IFERROR(__xludf.DUMMYFUNCTION("""COMPUTED_VALUE"""),"Kulkas GEA")</f>
        <v>Kulkas GEA</v>
      </c>
      <c r="E6" s="3" t="str">
        <f>IFERROR(__xludf.DUMMYFUNCTION("""COMPUTED_VALUE"""),"-")</f>
        <v>-</v>
      </c>
      <c r="F6" s="3" t="str">
        <f>IFERROR(__xludf.DUMMYFUNCTION("""COMPUTED_VALUE"""),"Repair Kulkas GEA")</f>
        <v>Repair Kulkas GEA</v>
      </c>
      <c r="G6" s="3">
        <f>IFERROR(__xludf.DUMMYFUNCTION("""COMPUTED_VALUE"""),1.0)</f>
        <v>1</v>
      </c>
      <c r="H6" s="3" t="str">
        <f>IFERROR(__xludf.DUMMYFUNCTION("""COMPUTED_VALUE"""),"Lot")</f>
        <v>Lot</v>
      </c>
      <c r="I6" s="3" t="str">
        <f>IFERROR(__xludf.DUMMYFUNCTION("""COMPUTED_VALUE"""),"Deliver")</f>
        <v>Deliver</v>
      </c>
      <c r="J6" s="3" t="str">
        <f>IFERROR(__xludf.DUMMYFUNCTION("""COMPUTED_VALUE"""),"-")</f>
        <v>-</v>
      </c>
      <c r="K6" s="3" t="str">
        <f>IFERROR(__xludf.DUMMYFUNCTION("""COMPUTED_VALUE"""),"-")</f>
        <v>-</v>
      </c>
    </row>
    <row r="7">
      <c r="A7" s="3" t="str">
        <f>IFERROR(__xludf.DUMMYFUNCTION("""COMPUTED_VALUE"""),"MFHJA0004")</f>
        <v>MFHJA0004</v>
      </c>
      <c r="B7" s="4">
        <f>IFERROR(__xludf.DUMMYFUNCTION("""COMPUTED_VALUE"""),45755.39125409722)</f>
        <v>45755.39125</v>
      </c>
      <c r="C7" s="4">
        <f>IFERROR(__xludf.DUMMYFUNCTION("""COMPUTED_VALUE"""),45756.24622922453)</f>
        <v>45756.24623</v>
      </c>
      <c r="D7" s="3" t="str">
        <f>IFERROR(__xludf.DUMMYFUNCTION("""COMPUTED_VALUE"""),"Velo")</f>
        <v>Velo</v>
      </c>
      <c r="E7" s="3" t="str">
        <f>IFERROR(__xludf.DUMMYFUNCTION("""COMPUTED_VALUE"""),"-")</f>
        <v>-</v>
      </c>
      <c r="F7" s="3" t="str">
        <f>IFERROR(__xludf.DUMMYFUNCTION("""COMPUTED_VALUE"""),"Perbaikan dan repair Velo")</f>
        <v>Perbaikan dan repair Velo</v>
      </c>
      <c r="G7" s="3">
        <f>IFERROR(__xludf.DUMMYFUNCTION("""COMPUTED_VALUE"""),1.0)</f>
        <v>1</v>
      </c>
      <c r="H7" s="3" t="str">
        <f>IFERROR(__xludf.DUMMYFUNCTION("""COMPUTED_VALUE"""),"Lot")</f>
        <v>Lot</v>
      </c>
      <c r="I7" s="3" t="str">
        <f>IFERROR(__xludf.DUMMYFUNCTION("""COMPUTED_VALUE"""),"Deliver")</f>
        <v>Deliver</v>
      </c>
      <c r="J7" s="3" t="str">
        <f>IFERROR(__xludf.DUMMYFUNCTION("""COMPUTED_VALUE"""),"-")</f>
        <v>-</v>
      </c>
      <c r="K7" s="3" t="str">
        <f>IFERROR(__xludf.DUMMYFUNCTION("""COMPUTED_VALUE"""),"-")</f>
        <v>-</v>
      </c>
    </row>
    <row r="8">
      <c r="A8" s="3" t="str">
        <f>IFERROR(__xludf.DUMMYFUNCTION("""COMPUTED_VALUE"""),"MFHJA0005")</f>
        <v>MFHJA0005</v>
      </c>
      <c r="B8" s="4">
        <f>IFERROR(__xludf.DUMMYFUNCTION("""COMPUTED_VALUE"""),45755.40082490741)</f>
        <v>45755.40082</v>
      </c>
      <c r="C8" s="4">
        <f>IFERROR(__xludf.DUMMYFUNCTION("""COMPUTED_VALUE"""),45756.24633184028)</f>
        <v>45756.24633</v>
      </c>
      <c r="D8" s="3" t="str">
        <f>IFERROR(__xludf.DUMMYFUNCTION("""COMPUTED_VALUE"""),"FD")</f>
        <v>FD</v>
      </c>
      <c r="E8" s="3" t="str">
        <f>IFERROR(__xludf.DUMMYFUNCTION("""COMPUTED_VALUE"""),"-")</f>
        <v>-</v>
      </c>
      <c r="F8" s="3" t="str">
        <f>IFERROR(__xludf.DUMMYFUNCTION("""COMPUTED_VALUE"""),"Pembuatan Tee Reducer untuk Sampling")</f>
        <v>Pembuatan Tee Reducer untuk Sampling</v>
      </c>
      <c r="G8" s="3">
        <f>IFERROR(__xludf.DUMMYFUNCTION("""COMPUTED_VALUE"""),1.0)</f>
        <v>1</v>
      </c>
      <c r="H8" s="3" t="str">
        <f>IFERROR(__xludf.DUMMYFUNCTION("""COMPUTED_VALUE"""),"Lot")</f>
        <v>Lot</v>
      </c>
      <c r="I8" s="3" t="str">
        <f>IFERROR(__xludf.DUMMYFUNCTION("""COMPUTED_VALUE"""),"Deliver")</f>
        <v>Deliver</v>
      </c>
      <c r="J8" s="3" t="str">
        <f>IFERROR(__xludf.DUMMYFUNCTION("""COMPUTED_VALUE"""),"-")</f>
        <v>-</v>
      </c>
      <c r="K8" s="3" t="str">
        <f>IFERROR(__xludf.DUMMYFUNCTION("""COMPUTED_VALUE"""),"-")</f>
        <v>-</v>
      </c>
    </row>
    <row r="9">
      <c r="A9" s="3" t="str">
        <f>IFERROR(__xludf.DUMMYFUNCTION("""COMPUTED_VALUE"""),"MFHJA0006")</f>
        <v>MFHJA0006</v>
      </c>
      <c r="B9" s="4">
        <f>IFERROR(__xludf.DUMMYFUNCTION("""COMPUTED_VALUE"""),45755.44509273148)</f>
        <v>45755.44509</v>
      </c>
      <c r="C9" s="4">
        <f>IFERROR(__xludf.DUMMYFUNCTION("""COMPUTED_VALUE"""),45756.24642502315)</f>
        <v>45756.24643</v>
      </c>
      <c r="D9" s="3" t="str">
        <f>IFERROR(__xludf.DUMMYFUNCTION("""COMPUTED_VALUE"""),"BoD")</f>
        <v>BoD</v>
      </c>
      <c r="E9" s="3" t="str">
        <f>IFERROR(__xludf.DUMMYFUNCTION("""COMPUTED_VALUE"""),"-")</f>
        <v>-</v>
      </c>
      <c r="F9" s="3" t="str">
        <f>IFERROR(__xludf.DUMMYFUNCTION("""COMPUTED_VALUE"""),"Perbaikan Kompresor BoD")</f>
        <v>Perbaikan Kompresor BoD</v>
      </c>
      <c r="G9" s="3">
        <f>IFERROR(__xludf.DUMMYFUNCTION("""COMPUTED_VALUE"""),1.0)</f>
        <v>1</v>
      </c>
      <c r="H9" s="3" t="str">
        <f>IFERROR(__xludf.DUMMYFUNCTION("""COMPUTED_VALUE"""),"Lot")</f>
        <v>Lot</v>
      </c>
      <c r="I9" s="3" t="str">
        <f>IFERROR(__xludf.DUMMYFUNCTION("""COMPUTED_VALUE"""),"Deliver")</f>
        <v>Deliver</v>
      </c>
      <c r="J9" s="3" t="str">
        <f>IFERROR(__xludf.DUMMYFUNCTION("""COMPUTED_VALUE"""),"-")</f>
        <v>-</v>
      </c>
      <c r="K9" s="3" t="str">
        <f>IFERROR(__xludf.DUMMYFUNCTION("""COMPUTED_VALUE"""),"-")</f>
        <v>-</v>
      </c>
    </row>
    <row r="10">
      <c r="A10" s="3" t="str">
        <f>IFERROR(__xludf.DUMMYFUNCTION("""COMPUTED_VALUE"""),"MFHJA0007")</f>
        <v>MFHJA0007</v>
      </c>
      <c r="B10" s="4">
        <f>IFERROR(__xludf.DUMMYFUNCTION("""COMPUTED_VALUE"""),45755.44680806713)</f>
        <v>45755.44681</v>
      </c>
      <c r="C10" s="4">
        <f>IFERROR(__xludf.DUMMYFUNCTION("""COMPUTED_VALUE"""),45756.24654129629)</f>
        <v>45756.24654</v>
      </c>
      <c r="D10" s="3" t="str">
        <f>IFERROR(__xludf.DUMMYFUNCTION("""COMPUTED_VALUE"""),"Capping")</f>
        <v>Capping</v>
      </c>
      <c r="E10" s="3" t="str">
        <f>IFERROR(__xludf.DUMMYFUNCTION("""COMPUTED_VALUE"""),"-")</f>
        <v>-</v>
      </c>
      <c r="F10" s="3" t="str">
        <f>IFERROR(__xludf.DUMMYFUNCTION("""COMPUTED_VALUE"""),"Modiufikasi Caps Chute")</f>
        <v>Modiufikasi Caps Chute</v>
      </c>
      <c r="G10" s="3">
        <f>IFERROR(__xludf.DUMMYFUNCTION("""COMPUTED_VALUE"""),1.0)</f>
        <v>1</v>
      </c>
      <c r="H10" s="3" t="str">
        <f>IFERROR(__xludf.DUMMYFUNCTION("""COMPUTED_VALUE"""),"Lot")</f>
        <v>Lot</v>
      </c>
      <c r="I10" s="3" t="str">
        <f>IFERROR(__xludf.DUMMYFUNCTION("""COMPUTED_VALUE"""),"Deliver")</f>
        <v>Deliver</v>
      </c>
      <c r="J10" s="3" t="str">
        <f>IFERROR(__xludf.DUMMYFUNCTION("""COMPUTED_VALUE"""),"-")</f>
        <v>-</v>
      </c>
      <c r="K10" s="3" t="str">
        <f>IFERROR(__xludf.DUMMYFUNCTION("""COMPUTED_VALUE"""),"-")</f>
        <v>-</v>
      </c>
    </row>
    <row r="11">
      <c r="A11" s="3" t="str">
        <f>IFERROR(__xludf.DUMMYFUNCTION("""COMPUTED_VALUE"""),"MFHJA0008")</f>
        <v>MFHJA0008</v>
      </c>
      <c r="B11" s="4">
        <f>IFERROR(__xludf.DUMMYFUNCTION("""COMPUTED_VALUE"""),45756.230366331016)</f>
        <v>45756.23037</v>
      </c>
      <c r="C11" s="4">
        <f>IFERROR(__xludf.DUMMYFUNCTION("""COMPUTED_VALUE"""),45756.246648541666)</f>
        <v>45756.24665</v>
      </c>
      <c r="D11" s="3" t="str">
        <f>IFERROR(__xludf.DUMMYFUNCTION("""COMPUTED_VALUE"""),"FD")</f>
        <v>FD</v>
      </c>
      <c r="E11" s="3" t="str">
        <f>IFERROR(__xludf.DUMMYFUNCTION("""COMPUTED_VALUE"""),"-")</f>
        <v>-</v>
      </c>
      <c r="F11" s="3" t="str">
        <f>IFERROR(__xludf.DUMMYFUNCTION("""COMPUTED_VALUE"""),"Remote Vacuum FD")</f>
        <v>Remote Vacuum FD</v>
      </c>
      <c r="G11" s="3">
        <f>IFERROR(__xludf.DUMMYFUNCTION("""COMPUTED_VALUE"""),1.0)</f>
        <v>1</v>
      </c>
      <c r="H11" s="3" t="str">
        <f>IFERROR(__xludf.DUMMYFUNCTION("""COMPUTED_VALUE"""),"Lot")</f>
        <v>Lot</v>
      </c>
      <c r="I11" s="3" t="str">
        <f>IFERROR(__xludf.DUMMYFUNCTION("""COMPUTED_VALUE"""),"Deliver")</f>
        <v>Deliver</v>
      </c>
      <c r="J11" s="3" t="str">
        <f>IFERROR(__xludf.DUMMYFUNCTION("""COMPUTED_VALUE"""),"-")</f>
        <v>-</v>
      </c>
      <c r="K11" s="3" t="str">
        <f>IFERROR(__xludf.DUMMYFUNCTION("""COMPUTED_VALUE"""),"-")</f>
        <v>-</v>
      </c>
    </row>
    <row r="12">
      <c r="A12" s="3" t="str">
        <f>IFERROR(__xludf.DUMMYFUNCTION("""COMPUTED_VALUE"""),"MFHJA0009")</f>
        <v>MFHJA0009</v>
      </c>
      <c r="B12" s="4">
        <f>IFERROR(__xludf.DUMMYFUNCTION("""COMPUTED_VALUE"""),45756.23275263889)</f>
        <v>45756.23275</v>
      </c>
      <c r="C12" s="4">
        <f>IFERROR(__xludf.DUMMYFUNCTION("""COMPUTED_VALUE"""),45756.24674576389)</f>
        <v>45756.24675</v>
      </c>
      <c r="D12" s="3" t="str">
        <f>IFERROR(__xludf.DUMMYFUNCTION("""COMPUTED_VALUE"""),"Building")</f>
        <v>Building</v>
      </c>
      <c r="E12" s="3" t="str">
        <f>IFERROR(__xludf.DUMMYFUNCTION("""COMPUTED_VALUE"""),"EJO/2025/04/133")</f>
        <v>EJO/2025/04/133</v>
      </c>
      <c r="F12" s="3" t="str">
        <f>IFERROR(__xludf.DUMMYFUNCTION("""COMPUTED_VALUE"""),"Pengecekan Panel BAS")</f>
        <v>Pengecekan Panel BAS</v>
      </c>
      <c r="G12" s="3">
        <f>IFERROR(__xludf.DUMMYFUNCTION("""COMPUTED_VALUE"""),1.0)</f>
        <v>1</v>
      </c>
      <c r="H12" s="3" t="str">
        <f>IFERROR(__xludf.DUMMYFUNCTION("""COMPUTED_VALUE"""),"Lot")</f>
        <v>Lot</v>
      </c>
      <c r="I12" s="3" t="str">
        <f>IFERROR(__xludf.DUMMYFUNCTION("""COMPUTED_VALUE"""),"Deliver")</f>
        <v>Deliver</v>
      </c>
      <c r="J12" s="3" t="str">
        <f>IFERROR(__xludf.DUMMYFUNCTION("""COMPUTED_VALUE"""),"-")</f>
        <v>-</v>
      </c>
      <c r="K12" s="3" t="str">
        <f>IFERROR(__xludf.DUMMYFUNCTION("""COMPUTED_VALUE"""),"-")</f>
        <v>-</v>
      </c>
    </row>
    <row r="13">
      <c r="A13" s="3" t="str">
        <f>IFERROR(__xludf.DUMMYFUNCTION("""COMPUTED_VALUE"""),"RIAJA0002")</f>
        <v>RIAJA0002</v>
      </c>
      <c r="B13" s="4">
        <f>IFERROR(__xludf.DUMMYFUNCTION("""COMPUTED_VALUE"""),45763.68544725695)</f>
        <v>45763.68545</v>
      </c>
      <c r="C13" s="4">
        <f>IFERROR(__xludf.DUMMYFUNCTION("""COMPUTED_VALUE"""),45768.64324135417)</f>
        <v>45768.64324</v>
      </c>
      <c r="D13" s="3" t="str">
        <f>IFERROR(__xludf.DUMMYFUNCTION("""COMPUTED_VALUE"""),"TOC PW SKID")</f>
        <v>TOC PW SKID</v>
      </c>
      <c r="E13" s="3" t="str">
        <f>IFERROR(__xludf.DUMMYFUNCTION("""COMPUTED_VALUE"""),"EJO/2025/03/45")</f>
        <v>EJO/2025/03/45</v>
      </c>
      <c r="F13" s="3" t="str">
        <f>IFERROR(__xludf.DUMMYFUNCTION("""COMPUTED_VALUE"""),"Repair Pompa TOC PW SKID")</f>
        <v>Repair Pompa TOC PW SKID</v>
      </c>
      <c r="G13" s="3">
        <f>IFERROR(__xludf.DUMMYFUNCTION("""COMPUTED_VALUE"""),1.0)</f>
        <v>1</v>
      </c>
      <c r="H13" s="3" t="str">
        <f>IFERROR(__xludf.DUMMYFUNCTION("""COMPUTED_VALUE"""),"Set")</f>
        <v>Set</v>
      </c>
      <c r="I13" s="3" t="str">
        <f>IFERROR(__xludf.DUMMYFUNCTION("""COMPUTED_VALUE"""),"Deliver")</f>
        <v>Deliver</v>
      </c>
      <c r="J13" s="3" t="str">
        <f>IFERROR(__xludf.DUMMYFUNCTION("""COMPUTED_VALUE"""),"-")</f>
        <v>-</v>
      </c>
      <c r="K13" s="3" t="str">
        <f>IFERROR(__xludf.DUMMYFUNCTION("""COMPUTED_VALUE"""),"-")</f>
        <v>-</v>
      </c>
    </row>
    <row r="14">
      <c r="A14" s="3" t="str">
        <f>IFERROR(__xludf.DUMMYFUNCTION("""COMPUTED_VALUE"""),"INNJA0001")</f>
        <v>INNJA0001</v>
      </c>
      <c r="B14" s="4">
        <f>IFERROR(__xludf.DUMMYFUNCTION("""COMPUTED_VALUE"""),45764.683287789354)</f>
        <v>45764.68329</v>
      </c>
      <c r="C14" s="4">
        <f>IFERROR(__xludf.DUMMYFUNCTION("""COMPUTED_VALUE"""),45767.81723872685)</f>
        <v>45767.81724</v>
      </c>
      <c r="D14" s="3" t="str">
        <f>IFERROR(__xludf.DUMMYFUNCTION("""COMPUTED_VALUE"""),"Capping")</f>
        <v>Capping</v>
      </c>
      <c r="E14" s="3" t="str">
        <f>IFERROR(__xludf.DUMMYFUNCTION("""COMPUTED_VALUE"""),"EJO/2025/04/65")</f>
        <v>EJO/2025/04/65</v>
      </c>
      <c r="F14" s="3" t="str">
        <f>IFERROR(__xludf.DUMMYFUNCTION("""COMPUTED_VALUE"""),"Service motor conveyor infeed capping ")</f>
        <v>Service motor conveyor infeed capping </v>
      </c>
      <c r="G14" s="3">
        <f>IFERROR(__xludf.DUMMYFUNCTION("""COMPUTED_VALUE"""),1.0)</f>
        <v>1</v>
      </c>
      <c r="H14" s="3" t="str">
        <f>IFERROR(__xludf.DUMMYFUNCTION("""COMPUTED_VALUE"""),"unit")</f>
        <v>unit</v>
      </c>
      <c r="I14" s="3" t="str">
        <f>IFERROR(__xludf.DUMMYFUNCTION("""COMPUTED_VALUE"""),"Deliver")</f>
        <v>Deliver</v>
      </c>
      <c r="J14" s="3" t="str">
        <f>IFERROR(__xludf.DUMMYFUNCTION("""COMPUTED_VALUE"""),"-")</f>
        <v>-</v>
      </c>
      <c r="K14" s="3" t="str">
        <f>IFERROR(__xludf.DUMMYFUNCTION("""COMPUTED_VALUE"""),"-")</f>
        <v>-</v>
      </c>
    </row>
    <row r="15">
      <c r="A15" s="3" t="str">
        <f>IFERROR(__xludf.DUMMYFUNCTION("""COMPUTED_VALUE"""),"INNJA0002")</f>
        <v>INNJA0002</v>
      </c>
      <c r="B15" s="4">
        <f>IFERROR(__xludf.DUMMYFUNCTION("""COMPUTED_VALUE"""),45771.367909305554)</f>
        <v>45771.36791</v>
      </c>
      <c r="C15" s="4">
        <f>IFERROR(__xludf.DUMMYFUNCTION("""COMPUTED_VALUE"""),45772.64836769676)</f>
        <v>45772.64837</v>
      </c>
      <c r="D15" s="3" t="str">
        <f>IFERROR(__xludf.DUMMYFUNCTION("""COMPUTED_VALUE"""),"Sartocheck")</f>
        <v>Sartocheck</v>
      </c>
      <c r="E15" s="3" t="str">
        <f>IFERROR(__xludf.DUMMYFUNCTION("""COMPUTED_VALUE"""),"EJO/2025/03/151")</f>
        <v>EJO/2025/03/151</v>
      </c>
      <c r="F15" s="3" t="str">
        <f>IFERROR(__xludf.DUMMYFUNCTION("""COMPUTED_VALUE"""),"Service power Supply")</f>
        <v>Service power Supply</v>
      </c>
      <c r="G15" s="3">
        <f>IFERROR(__xludf.DUMMYFUNCTION("""COMPUTED_VALUE"""),1.0)</f>
        <v>1</v>
      </c>
      <c r="H15" s="3" t="str">
        <f>IFERROR(__xludf.DUMMYFUNCTION("""COMPUTED_VALUE"""),"unit")</f>
        <v>unit</v>
      </c>
      <c r="I15" s="3" t="str">
        <f>IFERROR(__xludf.DUMMYFUNCTION("""COMPUTED_VALUE"""),"Deliver")</f>
        <v>Deliver</v>
      </c>
      <c r="J15" s="3" t="str">
        <f>IFERROR(__xludf.DUMMYFUNCTION("""COMPUTED_VALUE"""),"-")</f>
        <v>-</v>
      </c>
      <c r="K15" s="3" t="str">
        <f>IFERROR(__xludf.DUMMYFUNCTION("""COMPUTED_VALUE"""),"-")</f>
        <v>-</v>
      </c>
    </row>
    <row r="16">
      <c r="A16" s="3" t="str">
        <f>IFERROR(__xludf.DUMMYFUNCTION("""COMPUTED_VALUE"""),"MOBJA0001")</f>
        <v>MOBJA0001</v>
      </c>
      <c r="B16" s="4">
        <f>IFERROR(__xludf.DUMMYFUNCTION("""COMPUTED_VALUE"""),45775.56210447917)</f>
        <v>45775.5621</v>
      </c>
      <c r="C16" s="4">
        <f>IFERROR(__xludf.DUMMYFUNCTION("""COMPUTED_VALUE"""),45727.72684229167)</f>
        <v>45727.72684</v>
      </c>
      <c r="D16" s="3" t="str">
        <f>IFERROR(__xludf.DUMMYFUNCTION("""COMPUTED_VALUE"""),"AHU D1-1, EF D1-4/5, AHU F3-4")</f>
        <v>AHU D1-1, EF D1-4/5, AHU F3-4</v>
      </c>
      <c r="E16" s="3" t="str">
        <f>IFERROR(__xludf.DUMMYFUNCTION("""COMPUTED_VALUE"""),"EJO/2025/03/134")</f>
        <v>EJO/2025/03/134</v>
      </c>
      <c r="F16" s="3" t="str">
        <f>IFERROR(__xludf.DUMMYFUNCTION("""COMPUTED_VALUE"""),"Ganti BIBO")</f>
        <v>Ganti BIBO</v>
      </c>
      <c r="G16" s="3">
        <f>IFERROR(__xludf.DUMMYFUNCTION("""COMPUTED_VALUE"""),3.0)</f>
        <v>3</v>
      </c>
      <c r="H16" s="3" t="str">
        <f>IFERROR(__xludf.DUMMYFUNCTION("""COMPUTED_VALUE"""),"Lot")</f>
        <v>Lot</v>
      </c>
      <c r="I16" s="3" t="str">
        <f>IFERROR(__xludf.DUMMYFUNCTION("""COMPUTED_VALUE"""),"Deliver")</f>
        <v>Deliver</v>
      </c>
      <c r="J16" s="3" t="str">
        <f>IFERROR(__xludf.DUMMYFUNCTION("""COMPUTED_VALUE"""),"-")</f>
        <v>-</v>
      </c>
      <c r="K16" s="3" t="str">
        <f>IFERROR(__xludf.DUMMYFUNCTION("""COMPUTED_VALUE"""),"-")</f>
        <v>-</v>
      </c>
    </row>
    <row r="17">
      <c r="A17" s="3" t="str">
        <f>IFERROR(__xludf.DUMMYFUNCTION("""COMPUTED_VALUE"""),"MFHJA0010")</f>
        <v>MFHJA0010</v>
      </c>
      <c r="B17" s="4">
        <f>IFERROR(__xludf.DUMMYFUNCTION("""COMPUTED_VALUE"""),45789.866367291674)</f>
        <v>45789.86637</v>
      </c>
      <c r="C17" s="4">
        <f>IFERROR(__xludf.DUMMYFUNCTION("""COMPUTED_VALUE"""),45789.879837974535)</f>
        <v>45789.87984</v>
      </c>
      <c r="D17" s="3" t="str">
        <f>IFERROR(__xludf.DUMMYFUNCTION("""COMPUTED_VALUE"""),"Building")</f>
        <v>Building</v>
      </c>
      <c r="E17" s="3" t="str">
        <f>IFERROR(__xludf.DUMMYFUNCTION("""COMPUTED_VALUE"""),"-")</f>
        <v>-</v>
      </c>
      <c r="F17" s="3" t="str">
        <f>IFERROR(__xludf.DUMMYFUNCTION("""COMPUTED_VALUE"""),"Perapihan kabel di ruangh server")</f>
        <v>Perapihan kabel di ruangh server</v>
      </c>
      <c r="G17" s="3">
        <f>IFERROR(__xludf.DUMMYFUNCTION("""COMPUTED_VALUE"""),1.0)</f>
        <v>1</v>
      </c>
      <c r="H17" s="3" t="str">
        <f>IFERROR(__xludf.DUMMYFUNCTION("""COMPUTED_VALUE"""),"Lot")</f>
        <v>Lot</v>
      </c>
      <c r="I17" s="3" t="str">
        <f>IFERROR(__xludf.DUMMYFUNCTION("""COMPUTED_VALUE"""),"Deliver")</f>
        <v>Deliver</v>
      </c>
      <c r="J17" s="3" t="str">
        <f>IFERROR(__xludf.DUMMYFUNCTION("""COMPUTED_VALUE"""),"-")</f>
        <v>-</v>
      </c>
      <c r="K17" s="3" t="str">
        <f>IFERROR(__xludf.DUMMYFUNCTION("""COMPUTED_VALUE"""),"-")</f>
        <v>-</v>
      </c>
    </row>
    <row r="18">
      <c r="A18" s="3" t="str">
        <f>IFERROR(__xludf.DUMMYFUNCTION("""COMPUTED_VALUE"""),"MFHJA0011")</f>
        <v>MFHJA0011</v>
      </c>
      <c r="B18" s="4">
        <f>IFERROR(__xludf.DUMMYFUNCTION("""COMPUTED_VALUE"""),45790.868463391205)</f>
        <v>45790.86846</v>
      </c>
      <c r="C18" s="4">
        <f>IFERROR(__xludf.DUMMYFUNCTION("""COMPUTED_VALUE"""),45790.875012708326)</f>
        <v>45790.87501</v>
      </c>
      <c r="D18" s="3" t="str">
        <f>IFERROR(__xludf.DUMMYFUNCTION("""COMPUTED_VALUE"""),"Building")</f>
        <v>Building</v>
      </c>
      <c r="E18" s="3" t="str">
        <f>IFERROR(__xludf.DUMMYFUNCTION("""COMPUTED_VALUE"""),"-")</f>
        <v>-</v>
      </c>
      <c r="F18" s="3" t="str">
        <f>IFERROR(__xludf.DUMMYFUNCTION("""COMPUTED_VALUE"""),"Perbaikan Board Control Dump Waiter")</f>
        <v>Perbaikan Board Control Dump Waiter</v>
      </c>
      <c r="G18" s="3">
        <f>IFERROR(__xludf.DUMMYFUNCTION("""COMPUTED_VALUE"""),1.0)</f>
        <v>1</v>
      </c>
      <c r="H18" s="3" t="str">
        <f>IFERROR(__xludf.DUMMYFUNCTION("""COMPUTED_VALUE"""),"Lot")</f>
        <v>Lot</v>
      </c>
      <c r="I18" s="3" t="str">
        <f>IFERROR(__xludf.DUMMYFUNCTION("""COMPUTED_VALUE"""),"Deliver")</f>
        <v>Deliver</v>
      </c>
      <c r="J18" s="3" t="str">
        <f>IFERROR(__xludf.DUMMYFUNCTION("""COMPUTED_VALUE"""),"-")</f>
        <v>-</v>
      </c>
      <c r="K18" s="3" t="str">
        <f>IFERROR(__xludf.DUMMYFUNCTION("""COMPUTED_VALUE"""),"-")</f>
        <v>-</v>
      </c>
    </row>
    <row r="19">
      <c r="A19" s="3" t="str">
        <f>IFERROR(__xludf.DUMMYFUNCTION("""COMPUTED_VALUE"""),"MFHJA0012")</f>
        <v>MFHJA0012</v>
      </c>
      <c r="B19" s="4">
        <f>IFERROR(__xludf.DUMMYFUNCTION("""COMPUTED_VALUE"""),45790.87151596064)</f>
        <v>45790.87152</v>
      </c>
      <c r="C19" s="4">
        <f>IFERROR(__xludf.DUMMYFUNCTION("""COMPUTED_VALUE"""),45790.8751490625)</f>
        <v>45790.87515</v>
      </c>
      <c r="D19" s="3" t="str">
        <f>IFERROR(__xludf.DUMMYFUNCTION("""COMPUTED_VALUE"""),"Building")</f>
        <v>Building</v>
      </c>
      <c r="E19" s="3" t="str">
        <f>IFERROR(__xludf.DUMMYFUNCTION("""COMPUTED_VALUE"""),"-")</f>
        <v>-</v>
      </c>
      <c r="F19" s="3" t="str">
        <f>IFERROR(__xludf.DUMMYFUNCTION("""COMPUTED_VALUE"""),"Perkuatan Pondasi N2")</f>
        <v>Perkuatan Pondasi N2</v>
      </c>
      <c r="G19" s="3">
        <f>IFERROR(__xludf.DUMMYFUNCTION("""COMPUTED_VALUE"""),1.0)</f>
        <v>1</v>
      </c>
      <c r="H19" s="3" t="str">
        <f>IFERROR(__xludf.DUMMYFUNCTION("""COMPUTED_VALUE"""),"Lot")</f>
        <v>Lot</v>
      </c>
      <c r="I19" s="3" t="str">
        <f>IFERROR(__xludf.DUMMYFUNCTION("""COMPUTED_VALUE"""),"Deliver")</f>
        <v>Deliver</v>
      </c>
      <c r="J19" s="3" t="str">
        <f>IFERROR(__xludf.DUMMYFUNCTION("""COMPUTED_VALUE"""),"-")</f>
        <v>-</v>
      </c>
      <c r="K19" s="3" t="str">
        <f>IFERROR(__xludf.DUMMYFUNCTION("""COMPUTED_VALUE"""),"-")</f>
        <v>-</v>
      </c>
    </row>
    <row r="20">
      <c r="A20" s="3" t="str">
        <f>IFERROR(__xludf.DUMMYFUNCTION("""COMPUTED_VALUE"""),"INNJA0003")</f>
        <v>INNJA0003</v>
      </c>
      <c r="B20" s="4">
        <f>IFERROR(__xludf.DUMMYFUNCTION("""COMPUTED_VALUE"""),45797.51181383101)</f>
        <v>45797.51181</v>
      </c>
      <c r="C20" s="4">
        <f>IFERROR(__xludf.DUMMYFUNCTION("""COMPUTED_VALUE"""),45812.56311368056)</f>
        <v>45812.56311</v>
      </c>
      <c r="D20" s="3" t="str">
        <f>IFERROR(__xludf.DUMMYFUNCTION("""COMPUTED_VALUE"""),"Newtronic")</f>
        <v>Newtronic</v>
      </c>
      <c r="E20" s="3" t="str">
        <f>IFERROR(__xludf.DUMMYFUNCTION("""COMPUTED_VALUE"""),"EJO/2025/04/137")</f>
        <v>EJO/2025/04/137</v>
      </c>
      <c r="F20" s="3" t="str">
        <f>IFERROR(__xludf.DUMMYFUNCTION("""COMPUTED_VALUE"""),"Perbaikan data base newtronic ( report tidak bisa di ambil dan comunication fail)")</f>
        <v>Perbaikan data base newtronic ( report tidak bisa di ambil dan comunication fail)</v>
      </c>
      <c r="G20" s="3">
        <f>IFERROR(__xludf.DUMMYFUNCTION("""COMPUTED_VALUE"""),1.0)</f>
        <v>1</v>
      </c>
      <c r="H20" s="3" t="str">
        <f>IFERROR(__xludf.DUMMYFUNCTION("""COMPUTED_VALUE"""),"Lot")</f>
        <v>Lot</v>
      </c>
      <c r="I20" s="3" t="str">
        <f>IFERROR(__xludf.DUMMYFUNCTION("""COMPUTED_VALUE"""),"Deliver")</f>
        <v>Deliver</v>
      </c>
      <c r="J20" s="3" t="str">
        <f>IFERROR(__xludf.DUMMYFUNCTION("""COMPUTED_VALUE"""),"-")</f>
        <v>-</v>
      </c>
      <c r="K20" s="3" t="str">
        <f>IFERROR(__xludf.DUMMYFUNCTION("""COMPUTED_VALUE"""),"-")</f>
        <v>-</v>
      </c>
    </row>
    <row r="21">
      <c r="A21" s="3" t="str">
        <f>IFERROR(__xludf.DUMMYFUNCTION("""COMPUTED_VALUE"""),"MFHJA0014")</f>
        <v>MFHJA0014</v>
      </c>
      <c r="B21" s="4">
        <f>IFERROR(__xludf.DUMMYFUNCTION("""COMPUTED_VALUE"""),45802.56572881944)</f>
        <v>45802.56573</v>
      </c>
      <c r="C21" s="4">
        <f>IFERROR(__xludf.DUMMYFUNCTION("""COMPUTED_VALUE"""),45802.67255756944)</f>
        <v>45802.67256</v>
      </c>
      <c r="D21" s="3" t="str">
        <f>IFERROR(__xludf.DUMMYFUNCTION("""COMPUTED_VALUE"""),"Lab")</f>
        <v>Lab</v>
      </c>
      <c r="E21" s="3" t="str">
        <f>IFERROR(__xludf.DUMMYFUNCTION("""COMPUTED_VALUE"""),"-")</f>
        <v>-</v>
      </c>
      <c r="F21" s="3" t="str">
        <f>IFERROR(__xludf.DUMMYFUNCTION("""COMPUTED_VALUE"""),"Rewinding Exhaust")</f>
        <v>Rewinding Exhaust</v>
      </c>
      <c r="G21" s="3">
        <f>IFERROR(__xludf.DUMMYFUNCTION("""COMPUTED_VALUE"""),1.0)</f>
        <v>1</v>
      </c>
      <c r="H21" s="3" t="str">
        <f>IFERROR(__xludf.DUMMYFUNCTION("""COMPUTED_VALUE"""),"Lot")</f>
        <v>Lot</v>
      </c>
      <c r="I21" s="3" t="str">
        <f>IFERROR(__xludf.DUMMYFUNCTION("""COMPUTED_VALUE"""),"Deliver")</f>
        <v>Deliver</v>
      </c>
      <c r="J21" s="3" t="str">
        <f>IFERROR(__xludf.DUMMYFUNCTION("""COMPUTED_VALUE"""),"-")</f>
        <v>-</v>
      </c>
      <c r="K21" s="3" t="str">
        <f>IFERROR(__xludf.DUMMYFUNCTION("""COMPUTED_VALUE"""),"-")</f>
        <v>-</v>
      </c>
    </row>
    <row r="22">
      <c r="A22" s="3" t="str">
        <f>IFERROR(__xludf.DUMMYFUNCTION("""COMPUTED_VALUE"""),"MFHJA0015")</f>
        <v>MFHJA0015</v>
      </c>
      <c r="B22" s="4">
        <f>IFERROR(__xludf.DUMMYFUNCTION("""COMPUTED_VALUE"""),45802.59963862268)</f>
        <v>45802.59964</v>
      </c>
      <c r="C22" s="4">
        <f>IFERROR(__xludf.DUMMYFUNCTION("""COMPUTED_VALUE"""),45802.67268100695)</f>
        <v>45802.67268</v>
      </c>
      <c r="D22" s="3" t="str">
        <f>IFERROR(__xludf.DUMMYFUNCTION("""COMPUTED_VALUE"""),"Building")</f>
        <v>Building</v>
      </c>
      <c r="E22" s="3" t="str">
        <f>IFERROR(__xludf.DUMMYFUNCTION("""COMPUTED_VALUE"""),"-")</f>
        <v>-</v>
      </c>
      <c r="F22" s="3" t="str">
        <f>IFERROR(__xludf.DUMMYFUNCTION("""COMPUTED_VALUE"""),"Jendela Anti Embun")</f>
        <v>Jendela Anti Embun</v>
      </c>
      <c r="G22" s="3">
        <f>IFERROR(__xludf.DUMMYFUNCTION("""COMPUTED_VALUE"""),1.0)</f>
        <v>1</v>
      </c>
      <c r="H22" s="3" t="str">
        <f>IFERROR(__xludf.DUMMYFUNCTION("""COMPUTED_VALUE"""),"Lot")</f>
        <v>Lot</v>
      </c>
      <c r="I22" s="3" t="str">
        <f>IFERROR(__xludf.DUMMYFUNCTION("""COMPUTED_VALUE"""),"Deliver")</f>
        <v>Deliver</v>
      </c>
      <c r="J22" s="3" t="str">
        <f>IFERROR(__xludf.DUMMYFUNCTION("""COMPUTED_VALUE"""),"-")</f>
        <v>-</v>
      </c>
      <c r="K22" s="3" t="str">
        <f>IFERROR(__xludf.DUMMYFUNCTION("""COMPUTED_VALUE"""),"-")</f>
        <v>-</v>
      </c>
    </row>
    <row r="23">
      <c r="A23" s="3" t="str">
        <f>IFERROR(__xludf.DUMMYFUNCTION("""COMPUTED_VALUE"""),"MFHJA0016")</f>
        <v>MFHJA0016</v>
      </c>
      <c r="B23" s="4">
        <f>IFERROR(__xludf.DUMMYFUNCTION("""COMPUTED_VALUE"""),45802.603660671295)</f>
        <v>45802.60366</v>
      </c>
      <c r="C23" s="4">
        <f>IFERROR(__xludf.DUMMYFUNCTION("""COMPUTED_VALUE"""),45802.6728112037)</f>
        <v>45802.67281</v>
      </c>
      <c r="D23" s="3" t="str">
        <f>IFERROR(__xludf.DUMMYFUNCTION("""COMPUTED_VALUE"""),"BAS")</f>
        <v>BAS</v>
      </c>
      <c r="E23" s="3" t="str">
        <f>IFERROR(__xludf.DUMMYFUNCTION("""COMPUTED_VALUE"""),"-")</f>
        <v>-</v>
      </c>
      <c r="F23" s="3" t="str">
        <f>IFERROR(__xludf.DUMMYFUNCTION("""COMPUTED_VALUE"""),"Re Termination dan Re Program BAS")</f>
        <v>Re Termination dan Re Program BAS</v>
      </c>
      <c r="G23" s="3">
        <f>IFERROR(__xludf.DUMMYFUNCTION("""COMPUTED_VALUE"""),1.0)</f>
        <v>1</v>
      </c>
      <c r="H23" s="3" t="str">
        <f>IFERROR(__xludf.DUMMYFUNCTION("""COMPUTED_VALUE"""),"Lot")</f>
        <v>Lot</v>
      </c>
      <c r="I23" s="3" t="str">
        <f>IFERROR(__xludf.DUMMYFUNCTION("""COMPUTED_VALUE"""),"Deliver")</f>
        <v>Deliver</v>
      </c>
      <c r="J23" s="3" t="str">
        <f>IFERROR(__xludf.DUMMYFUNCTION("""COMPUTED_VALUE"""),"-")</f>
        <v>-</v>
      </c>
      <c r="K23" s="3" t="str">
        <f>IFERROR(__xludf.DUMMYFUNCTION("""COMPUTED_VALUE"""),"-")</f>
        <v>-</v>
      </c>
    </row>
    <row r="24">
      <c r="A24" s="3" t="str">
        <f>IFERROR(__xludf.DUMMYFUNCTION("""COMPUTED_VALUE"""),"MFHJA0017")</f>
        <v>MFHJA0017</v>
      </c>
      <c r="B24" s="4">
        <f>IFERROR(__xludf.DUMMYFUNCTION("""COMPUTED_VALUE"""),45834.879656550926)</f>
        <v>45834.87966</v>
      </c>
      <c r="C24" s="4">
        <f>IFERROR(__xludf.DUMMYFUNCTION("""COMPUTED_VALUE"""),45838.6456269676)</f>
        <v>45838.64563</v>
      </c>
      <c r="D24" s="3" t="str">
        <f>IFERROR(__xludf.DUMMYFUNCTION("""COMPUTED_VALUE"""),"Washbay")</f>
        <v>Washbay</v>
      </c>
      <c r="E24" s="3" t="str">
        <f>IFERROR(__xludf.DUMMYFUNCTION("""COMPUTED_VALUE"""),"-")</f>
        <v>-</v>
      </c>
      <c r="F24" s="3" t="str">
        <f>IFERROR(__xludf.DUMMYFUNCTION("""COMPUTED_VALUE"""),"Additional Project to TATA")</f>
        <v>Additional Project to TATA</v>
      </c>
      <c r="G24" s="3">
        <f>IFERROR(__xludf.DUMMYFUNCTION("""COMPUTED_VALUE"""),1.0)</f>
        <v>1</v>
      </c>
      <c r="H24" s="3" t="str">
        <f>IFERROR(__xludf.DUMMYFUNCTION("""COMPUTED_VALUE"""),"Lot")</f>
        <v>Lot</v>
      </c>
      <c r="I24" s="3" t="str">
        <f>IFERROR(__xludf.DUMMYFUNCTION("""COMPUTED_VALUE"""),"Deliver")</f>
        <v>Deliver</v>
      </c>
      <c r="J24" s="3" t="str">
        <f>IFERROR(__xludf.DUMMYFUNCTION("""COMPUTED_VALUE"""),"-")</f>
        <v>-</v>
      </c>
      <c r="K24" s="3" t="str">
        <f>IFERROR(__xludf.DUMMYFUNCTION("""COMPUTED_VALUE"""),"-")</f>
        <v>-</v>
      </c>
    </row>
    <row r="25">
      <c r="A25" s="3" t="str">
        <f>IFERROR(__xludf.DUMMYFUNCTION("""COMPUTED_VALUE"""),"MFHJA0018")</f>
        <v>MFHJA0018</v>
      </c>
      <c r="B25" s="4">
        <f>IFERROR(__xludf.DUMMYFUNCTION("""COMPUTED_VALUE"""),45834.8840340625)</f>
        <v>45834.88403</v>
      </c>
      <c r="C25" s="4">
        <f>IFERROR(__xludf.DUMMYFUNCTION("""COMPUTED_VALUE"""),45838.646771736116)</f>
        <v>45838.64677</v>
      </c>
      <c r="D25" s="3" t="str">
        <f>IFERROR(__xludf.DUMMYFUNCTION("""COMPUTED_VALUE"""),"Beamex")</f>
        <v>Beamex</v>
      </c>
      <c r="E25" s="3" t="str">
        <f>IFERROR(__xludf.DUMMYFUNCTION("""COMPUTED_VALUE"""),"-")</f>
        <v>-</v>
      </c>
      <c r="F25" s="3" t="str">
        <f>IFERROR(__xludf.DUMMYFUNCTION("""COMPUTED_VALUE"""),"Perbaikan Beamex")</f>
        <v>Perbaikan Beamex</v>
      </c>
      <c r="G25" s="3">
        <f>IFERROR(__xludf.DUMMYFUNCTION("""COMPUTED_VALUE"""),1.0)</f>
        <v>1</v>
      </c>
      <c r="H25" s="3" t="str">
        <f>IFERROR(__xludf.DUMMYFUNCTION("""COMPUTED_VALUE"""),"Lot")</f>
        <v>Lot</v>
      </c>
      <c r="I25" s="3" t="str">
        <f>IFERROR(__xludf.DUMMYFUNCTION("""COMPUTED_VALUE"""),"Deliver")</f>
        <v>Deliver</v>
      </c>
      <c r="J25" s="3" t="str">
        <f>IFERROR(__xludf.DUMMYFUNCTION("""COMPUTED_VALUE"""),"-")</f>
        <v>-</v>
      </c>
      <c r="K25" s="3" t="str">
        <f>IFERROR(__xludf.DUMMYFUNCTION("""COMPUTED_VALUE"""),"-")</f>
        <v>-</v>
      </c>
    </row>
    <row r="26">
      <c r="A26" s="3" t="str">
        <f>IFERROR(__xludf.DUMMYFUNCTION("""COMPUTED_VALUE"""),"MFHJA0020")</f>
        <v>MFHJA0020</v>
      </c>
      <c r="B26" s="4">
        <f>IFERROR(__xludf.DUMMYFUNCTION("""COMPUTED_VALUE"""),45834.88849694444)</f>
        <v>45834.8885</v>
      </c>
      <c r="C26" s="4">
        <f>IFERROR(__xludf.DUMMYFUNCTION("""COMPUTED_VALUE"""),45838.64729966435)</f>
        <v>45838.6473</v>
      </c>
      <c r="D26" s="3" t="str">
        <f>IFERROR(__xludf.DUMMYFUNCTION("""COMPUTED_VALUE"""),"Forklift")</f>
        <v>Forklift</v>
      </c>
      <c r="E26" s="3" t="str">
        <f>IFERROR(__xludf.DUMMYFUNCTION("""COMPUTED_VALUE"""),"-")</f>
        <v>-</v>
      </c>
      <c r="F26" s="3" t="str">
        <f>IFERROR(__xludf.DUMMYFUNCTION("""COMPUTED_VALUE"""),"Pengecekan Tombol Emergency")</f>
        <v>Pengecekan Tombol Emergency</v>
      </c>
      <c r="G26" s="3">
        <f>IFERROR(__xludf.DUMMYFUNCTION("""COMPUTED_VALUE"""),1.0)</f>
        <v>1</v>
      </c>
      <c r="H26" s="3" t="str">
        <f>IFERROR(__xludf.DUMMYFUNCTION("""COMPUTED_VALUE"""),"Lot")</f>
        <v>Lot</v>
      </c>
      <c r="I26" s="3" t="str">
        <f>IFERROR(__xludf.DUMMYFUNCTION("""COMPUTED_VALUE"""),"Deliver")</f>
        <v>Deliver</v>
      </c>
      <c r="J26" s="3" t="str">
        <f>IFERROR(__xludf.DUMMYFUNCTION("""COMPUTED_VALUE"""),"-")</f>
        <v>-</v>
      </c>
      <c r="K26" s="3" t="str">
        <f>IFERROR(__xludf.DUMMYFUNCTION("""COMPUTED_VALUE"""),"-")</f>
        <v>-</v>
      </c>
    </row>
    <row r="27">
      <c r="A27" s="3" t="str">
        <f>IFERROR(__xludf.DUMMYFUNCTION("""COMPUTED_VALUE"""),"MFHJA0021")</f>
        <v>MFHJA0021</v>
      </c>
      <c r="B27" s="4">
        <f>IFERROR(__xludf.DUMMYFUNCTION("""COMPUTED_VALUE"""),45834.88907025463)</f>
        <v>45834.88907</v>
      </c>
      <c r="C27" s="4">
        <f>IFERROR(__xludf.DUMMYFUNCTION("""COMPUTED_VALUE"""),45838.64747111111)</f>
        <v>45838.64747</v>
      </c>
      <c r="D27" s="3" t="str">
        <f>IFERROR(__xludf.DUMMYFUNCTION("""COMPUTED_VALUE"""),"WWTP")</f>
        <v>WWTP</v>
      </c>
      <c r="E27" s="3" t="str">
        <f>IFERROR(__xludf.DUMMYFUNCTION("""COMPUTED_VALUE"""),"-")</f>
        <v>-</v>
      </c>
      <c r="F27" s="3" t="str">
        <f>IFERROR(__xludf.DUMMYFUNCTION("""COMPUTED_VALUE"""),"Perbaikan Pompa Air Hujan")</f>
        <v>Perbaikan Pompa Air Hujan</v>
      </c>
      <c r="G27" s="3">
        <f>IFERROR(__xludf.DUMMYFUNCTION("""COMPUTED_VALUE"""),1.0)</f>
        <v>1</v>
      </c>
      <c r="H27" s="3" t="str">
        <f>IFERROR(__xludf.DUMMYFUNCTION("""COMPUTED_VALUE"""),"Lot")</f>
        <v>Lot</v>
      </c>
      <c r="I27" s="3" t="str">
        <f>IFERROR(__xludf.DUMMYFUNCTION("""COMPUTED_VALUE"""),"Deliver")</f>
        <v>Deliver</v>
      </c>
      <c r="J27" s="3" t="str">
        <f>IFERROR(__xludf.DUMMYFUNCTION("""COMPUTED_VALUE"""),"-")</f>
        <v>-</v>
      </c>
      <c r="K27" s="3" t="str">
        <f>IFERROR(__xludf.DUMMYFUNCTION("""COMPUTED_VALUE"""),"-")</f>
        <v>-</v>
      </c>
    </row>
    <row r="28">
      <c r="A28" s="3" t="str">
        <f>IFERROR(__xludf.DUMMYFUNCTION("""COMPUTED_VALUE"""),"MFHJA0022")</f>
        <v>MFHJA0022</v>
      </c>
      <c r="B28" s="4">
        <f>IFERROR(__xludf.DUMMYFUNCTION("""COMPUTED_VALUE"""),45834.8906853125)</f>
        <v>45834.89069</v>
      </c>
      <c r="C28" s="4">
        <f>IFERROR(__xludf.DUMMYFUNCTION("""COMPUTED_VALUE"""),45838.64761366898)</f>
        <v>45838.64761</v>
      </c>
      <c r="D28" s="3" t="str">
        <f>IFERROR(__xludf.DUMMYFUNCTION("""COMPUTED_VALUE"""),"Lift")</f>
        <v>Lift</v>
      </c>
      <c r="E28" s="3" t="str">
        <f>IFERROR(__xludf.DUMMYFUNCTION("""COMPUTED_VALUE"""),"-")</f>
        <v>-</v>
      </c>
      <c r="F28" s="3" t="str">
        <f>IFERROR(__xludf.DUMMYFUNCTION("""COMPUTED_VALUE"""),"Perbaikan Lift")</f>
        <v>Perbaikan Lift</v>
      </c>
      <c r="G28" s="3">
        <f>IFERROR(__xludf.DUMMYFUNCTION("""COMPUTED_VALUE"""),1.0)</f>
        <v>1</v>
      </c>
      <c r="H28" s="3" t="str">
        <f>IFERROR(__xludf.DUMMYFUNCTION("""COMPUTED_VALUE"""),"Lot")</f>
        <v>Lot</v>
      </c>
      <c r="I28" s="3" t="str">
        <f>IFERROR(__xludf.DUMMYFUNCTION("""COMPUTED_VALUE"""),"Deliver")</f>
        <v>Deliver</v>
      </c>
      <c r="J28" s="3" t="str">
        <f>IFERROR(__xludf.DUMMYFUNCTION("""COMPUTED_VALUE"""),"-")</f>
        <v>-</v>
      </c>
      <c r="K28" s="3" t="str">
        <f>IFERROR(__xludf.DUMMYFUNCTION("""COMPUTED_VALUE"""),"-")</f>
        <v>-</v>
      </c>
    </row>
    <row r="29">
      <c r="A29" s="3" t="str">
        <f>IFERROR(__xludf.DUMMYFUNCTION("""COMPUTED_VALUE"""),"MFHJA0023")</f>
        <v>MFHJA0023</v>
      </c>
      <c r="B29" s="4">
        <f>IFERROR(__xludf.DUMMYFUNCTION("""COMPUTED_VALUE"""),45834.89232247685)</f>
        <v>45834.89232</v>
      </c>
      <c r="C29" s="4">
        <f>IFERROR(__xludf.DUMMYFUNCTION("""COMPUTED_VALUE"""),45838.64777584491)</f>
        <v>45838.64778</v>
      </c>
      <c r="D29" s="3" t="str">
        <f>IFERROR(__xludf.DUMMYFUNCTION("""COMPUTED_VALUE"""),"Meja Inspeksi")</f>
        <v>Meja Inspeksi</v>
      </c>
      <c r="E29" s="3" t="str">
        <f>IFERROR(__xludf.DUMMYFUNCTION("""COMPUTED_VALUE"""),"-")</f>
        <v>-</v>
      </c>
      <c r="F29" s="3" t="str">
        <f>IFERROR(__xludf.DUMMYFUNCTION("""COMPUTED_VALUE"""),"Modifikasi 1 Meja Inspeksi")</f>
        <v>Modifikasi 1 Meja Inspeksi</v>
      </c>
      <c r="G29" s="3">
        <f>IFERROR(__xludf.DUMMYFUNCTION("""COMPUTED_VALUE"""),1.0)</f>
        <v>1</v>
      </c>
      <c r="H29" s="3" t="str">
        <f>IFERROR(__xludf.DUMMYFUNCTION("""COMPUTED_VALUE"""),"Lot")</f>
        <v>Lot</v>
      </c>
      <c r="I29" s="3" t="str">
        <f>IFERROR(__xludf.DUMMYFUNCTION("""COMPUTED_VALUE"""),"Deliver")</f>
        <v>Deliver</v>
      </c>
      <c r="J29" s="3" t="str">
        <f>IFERROR(__xludf.DUMMYFUNCTION("""COMPUTED_VALUE"""),"-")</f>
        <v>-</v>
      </c>
      <c r="K29" s="3" t="str">
        <f>IFERROR(__xludf.DUMMYFUNCTION("""COMPUTED_VALUE"""),"-")</f>
        <v>-</v>
      </c>
    </row>
    <row r="30">
      <c r="A30" s="3" t="str">
        <f>IFERROR(__xludf.DUMMYFUNCTION("""COMPUTED_VALUE"""),"MRNJA0008")</f>
        <v>MRNJA0008</v>
      </c>
      <c r="B30" s="4">
        <f>IFERROR(__xludf.DUMMYFUNCTION("""COMPUTED_VALUE"""),45860.863942337965)</f>
        <v>45860.86394</v>
      </c>
      <c r="C30" s="4">
        <f>IFERROR(__xludf.DUMMYFUNCTION("""COMPUTED_VALUE"""),45864.92105436343)</f>
        <v>45864.92105</v>
      </c>
      <c r="D30" s="3" t="str">
        <f>IFERROR(__xludf.DUMMYFUNCTION("""COMPUTED_VALUE"""),"Toilet lantai 2")</f>
        <v>Toilet lantai 2</v>
      </c>
      <c r="E30" s="3" t="str">
        <f>IFERROR(__xludf.DUMMYFUNCTION("""COMPUTED_VALUE"""),"EJO/2025/02/02")</f>
        <v>EJO/2025/02/02</v>
      </c>
      <c r="F30" s="3" t="str">
        <f>IFERROR(__xludf.DUMMYFUNCTION("""COMPUTED_VALUE"""),"Ada rembesan di mezzanine dibawah toilet jongkok eng")</f>
        <v>Ada rembesan di mezzanine dibawah toilet jongkok eng</v>
      </c>
      <c r="G30" s="3">
        <f>IFERROR(__xludf.DUMMYFUNCTION("""COMPUTED_VALUE"""),1.0)</f>
        <v>1</v>
      </c>
      <c r="H30" s="3" t="str">
        <f>IFERROR(__xludf.DUMMYFUNCTION("""COMPUTED_VALUE"""),"lot")</f>
        <v>lot</v>
      </c>
      <c r="I30" s="3" t="str">
        <f>IFERROR(__xludf.DUMMYFUNCTION("""COMPUTED_VALUE"""),"Deliver")</f>
        <v>Deliver</v>
      </c>
      <c r="J30" s="3" t="str">
        <f>IFERROR(__xludf.DUMMYFUNCTION("""COMPUTED_VALUE"""),"-")</f>
        <v>-</v>
      </c>
      <c r="K30" s="3" t="str">
        <f>IFERROR(__xludf.DUMMYFUNCTION("""COMPUTED_VALUE"""),"-")</f>
        <v>-</v>
      </c>
    </row>
    <row r="31">
      <c r="A31" s="3" t="str">
        <f>IFERROR(__xludf.DUMMYFUNCTION("""COMPUTED_VALUE"""),"MFHJA0024")</f>
        <v>MFHJA0024</v>
      </c>
      <c r="B31" s="4">
        <f>IFERROR(__xludf.DUMMYFUNCTION("""COMPUTED_VALUE"""),45865.629318935185)</f>
        <v>45865.62932</v>
      </c>
      <c r="C31" s="4">
        <f>IFERROR(__xludf.DUMMYFUNCTION("""COMPUTED_VALUE"""),45865.935982662035)</f>
        <v>45865.93598</v>
      </c>
      <c r="D31" s="3" t="str">
        <f>IFERROR(__xludf.DUMMYFUNCTION("""COMPUTED_VALUE"""),"FD")</f>
        <v>FD</v>
      </c>
      <c r="E31" s="3" t="str">
        <f>IFERROR(__xludf.DUMMYFUNCTION("""COMPUTED_VALUE"""),"-")</f>
        <v>-</v>
      </c>
      <c r="F31" s="3" t="str">
        <f>IFERROR(__xludf.DUMMYFUNCTION("""COMPUTED_VALUE"""),"Remote FD 1 Jun")</f>
        <v>Remote FD 1 Jun</v>
      </c>
      <c r="G31" s="3">
        <f>IFERROR(__xludf.DUMMYFUNCTION("""COMPUTED_VALUE"""),1.0)</f>
        <v>1</v>
      </c>
      <c r="H31" s="3" t="str">
        <f>IFERROR(__xludf.DUMMYFUNCTION("""COMPUTED_VALUE"""),"Lot")</f>
        <v>Lot</v>
      </c>
      <c r="I31" s="3" t="str">
        <f>IFERROR(__xludf.DUMMYFUNCTION("""COMPUTED_VALUE"""),"Deliver")</f>
        <v>Deliver</v>
      </c>
      <c r="J31" s="3" t="str">
        <f>IFERROR(__xludf.DUMMYFUNCTION("""COMPUTED_VALUE"""),"-")</f>
        <v>-</v>
      </c>
      <c r="K31" s="3" t="str">
        <f>IFERROR(__xludf.DUMMYFUNCTION("""COMPUTED_VALUE"""),"-")</f>
        <v>-</v>
      </c>
    </row>
    <row r="32">
      <c r="A32" s="3" t="str">
        <f>IFERROR(__xludf.DUMMYFUNCTION("""COMPUTED_VALUE"""),"MFHJA0025")</f>
        <v>MFHJA0025</v>
      </c>
      <c r="B32" s="4">
        <f>IFERROR(__xludf.DUMMYFUNCTION("""COMPUTED_VALUE"""),45865.630015891205)</f>
        <v>45865.63002</v>
      </c>
      <c r="C32" s="4">
        <f>IFERROR(__xludf.DUMMYFUNCTION("""COMPUTED_VALUE"""),45865.93611415509)</f>
        <v>45865.93611</v>
      </c>
      <c r="D32" s="3" t="str">
        <f>IFERROR(__xludf.DUMMYFUNCTION("""COMPUTED_VALUE"""),"Washing")</f>
        <v>Washing</v>
      </c>
      <c r="E32" s="3" t="str">
        <f>IFERROR(__xludf.DUMMYFUNCTION("""COMPUTED_VALUE"""),"-")</f>
        <v>-</v>
      </c>
      <c r="F32" s="3" t="str">
        <f>IFERROR(__xludf.DUMMYFUNCTION("""COMPUTED_VALUE"""),"Perbaikan Needle")</f>
        <v>Perbaikan Needle</v>
      </c>
      <c r="G32" s="3">
        <f>IFERROR(__xludf.DUMMYFUNCTION("""COMPUTED_VALUE"""),1.0)</f>
        <v>1</v>
      </c>
      <c r="H32" s="3" t="str">
        <f>IFERROR(__xludf.DUMMYFUNCTION("""COMPUTED_VALUE"""),"Lot")</f>
        <v>Lot</v>
      </c>
      <c r="I32" s="3" t="str">
        <f>IFERROR(__xludf.DUMMYFUNCTION("""COMPUTED_VALUE"""),"Deliver")</f>
        <v>Deliver</v>
      </c>
      <c r="J32" s="3" t="str">
        <f>IFERROR(__xludf.DUMMYFUNCTION("""COMPUTED_VALUE"""),"-")</f>
        <v>-</v>
      </c>
      <c r="K32" s="3" t="str">
        <f>IFERROR(__xludf.DUMMYFUNCTION("""COMPUTED_VALUE"""),"-")</f>
        <v>-</v>
      </c>
    </row>
    <row r="33">
      <c r="A33" s="3" t="str">
        <f>IFERROR(__xludf.DUMMYFUNCTION("""COMPUTED_VALUE"""),"MFHJA0026")</f>
        <v>MFHJA0026</v>
      </c>
      <c r="B33" s="4">
        <f>IFERROR(__xludf.DUMMYFUNCTION("""COMPUTED_VALUE"""),45865.63041311343)</f>
        <v>45865.63041</v>
      </c>
      <c r="C33" s="4">
        <f>IFERROR(__xludf.DUMMYFUNCTION("""COMPUTED_VALUE"""),45865.93649513889)</f>
        <v>45865.9365</v>
      </c>
      <c r="D33" s="3" t="str">
        <f>IFERROR(__xludf.DUMMYFUNCTION("""COMPUTED_VALUE"""),"EDM")</f>
        <v>EDM</v>
      </c>
      <c r="E33" s="3" t="str">
        <f>IFERROR(__xludf.DUMMYFUNCTION("""COMPUTED_VALUE"""),"-")</f>
        <v>-</v>
      </c>
      <c r="F33" s="3" t="str">
        <f>IFERROR(__xludf.DUMMYFUNCTION("""COMPUTED_VALUE"""),"Perbaikan Needle")</f>
        <v>Perbaikan Needle</v>
      </c>
      <c r="G33" s="3">
        <f>IFERROR(__xludf.DUMMYFUNCTION("""COMPUTED_VALUE"""),1.0)</f>
        <v>1</v>
      </c>
      <c r="H33" s="3" t="str">
        <f>IFERROR(__xludf.DUMMYFUNCTION("""COMPUTED_VALUE"""),"Lot")</f>
        <v>Lot</v>
      </c>
      <c r="I33" s="3" t="str">
        <f>IFERROR(__xludf.DUMMYFUNCTION("""COMPUTED_VALUE"""),"Deliver")</f>
        <v>Deliver</v>
      </c>
      <c r="J33" s="3" t="str">
        <f>IFERROR(__xludf.DUMMYFUNCTION("""COMPUTED_VALUE"""),"-")</f>
        <v>-</v>
      </c>
      <c r="K33" s="3" t="str">
        <f>IFERROR(__xludf.DUMMYFUNCTION("""COMPUTED_VALUE"""),"-")</f>
        <v>-</v>
      </c>
    </row>
    <row r="34">
      <c r="A34" s="3" t="str">
        <f>IFERROR(__xludf.DUMMYFUNCTION("""COMPUTED_VALUE"""),"MFHJA0027")</f>
        <v>MFHJA0027</v>
      </c>
      <c r="B34" s="4">
        <f>IFERROR(__xludf.DUMMYFUNCTION("""COMPUTED_VALUE"""),45865.63127168982)</f>
        <v>45865.63127</v>
      </c>
      <c r="C34" s="4">
        <f>IFERROR(__xludf.DUMMYFUNCTION("""COMPUTED_VALUE"""),45865.936693125)</f>
        <v>45865.93669</v>
      </c>
      <c r="D34" s="3" t="str">
        <f>IFERROR(__xludf.DUMMYFUNCTION("""COMPUTED_VALUE"""),"AHU")</f>
        <v>AHU</v>
      </c>
      <c r="E34" s="3" t="str">
        <f>IFERROR(__xludf.DUMMYFUNCTION("""COMPUTED_VALUE"""),"-")</f>
        <v>-</v>
      </c>
      <c r="F34" s="3" t="str">
        <f>IFERROR(__xludf.DUMMYFUNCTION("""COMPUTED_VALUE"""),"Perbaikan Display Regin")</f>
        <v>Perbaikan Display Regin</v>
      </c>
      <c r="G34" s="3">
        <f>IFERROR(__xludf.DUMMYFUNCTION("""COMPUTED_VALUE"""),1.0)</f>
        <v>1</v>
      </c>
      <c r="H34" s="3" t="str">
        <f>IFERROR(__xludf.DUMMYFUNCTION("""COMPUTED_VALUE"""),"Lot")</f>
        <v>Lot</v>
      </c>
      <c r="I34" s="3" t="str">
        <f>IFERROR(__xludf.DUMMYFUNCTION("""COMPUTED_VALUE"""),"Deliver")</f>
        <v>Deliver</v>
      </c>
      <c r="J34" s="3" t="str">
        <f>IFERROR(__xludf.DUMMYFUNCTION("""COMPUTED_VALUE"""),"-")</f>
        <v>-</v>
      </c>
      <c r="K34" s="3" t="str">
        <f>IFERROR(__xludf.DUMMYFUNCTION("""COMPUTED_VALUE"""),"-")</f>
        <v>-</v>
      </c>
    </row>
    <row r="35">
      <c r="A35" s="3" t="str">
        <f>IFERROR(__xludf.DUMMYFUNCTION("""COMPUTED_VALUE"""),"MFHJA0028")</f>
        <v>MFHJA0028</v>
      </c>
      <c r="B35" s="4">
        <f>IFERROR(__xludf.DUMMYFUNCTION("""COMPUTED_VALUE"""),45865.631567777775)</f>
        <v>45865.63157</v>
      </c>
      <c r="C35" s="4">
        <f>IFERROR(__xludf.DUMMYFUNCTION("""COMPUTED_VALUE"""),45865.936805324076)</f>
        <v>45865.93681</v>
      </c>
      <c r="D35" s="3" t="str">
        <f>IFERROR(__xludf.DUMMYFUNCTION("""COMPUTED_VALUE"""),"Instrumen")</f>
        <v>Instrumen</v>
      </c>
      <c r="E35" s="3" t="str">
        <f>IFERROR(__xludf.DUMMYFUNCTION("""COMPUTED_VALUE"""),"-")</f>
        <v>-</v>
      </c>
      <c r="F35" s="3" t="str">
        <f>IFERROR(__xludf.DUMMYFUNCTION("""COMPUTED_VALUE"""),"Perbaikan Mainboard Photometer")</f>
        <v>Perbaikan Mainboard Photometer</v>
      </c>
      <c r="G35" s="3">
        <f>IFERROR(__xludf.DUMMYFUNCTION("""COMPUTED_VALUE"""),1.0)</f>
        <v>1</v>
      </c>
      <c r="H35" s="3" t="str">
        <f>IFERROR(__xludf.DUMMYFUNCTION("""COMPUTED_VALUE"""),"Lot")</f>
        <v>Lot</v>
      </c>
      <c r="I35" s="3" t="str">
        <f>IFERROR(__xludf.DUMMYFUNCTION("""COMPUTED_VALUE"""),"Deliver")</f>
        <v>Deliver</v>
      </c>
      <c r="J35" s="3" t="str">
        <f>IFERROR(__xludf.DUMMYFUNCTION("""COMPUTED_VALUE"""),"-")</f>
        <v>-</v>
      </c>
      <c r="K35" s="3" t="str">
        <f>IFERROR(__xludf.DUMMYFUNCTION("""COMPUTED_VALUE"""),"-")</f>
        <v>-</v>
      </c>
    </row>
    <row r="36">
      <c r="A36" s="3" t="str">
        <f>IFERROR(__xludf.DUMMYFUNCTION("""COMPUTED_VALUE"""),"MFHJA0029")</f>
        <v>MFHJA0029</v>
      </c>
      <c r="B36" s="4">
        <f>IFERROR(__xludf.DUMMYFUNCTION("""COMPUTED_VALUE"""),45865.63220241898)</f>
        <v>45865.6322</v>
      </c>
      <c r="C36" s="4">
        <f>IFERROR(__xludf.DUMMYFUNCTION("""COMPUTED_VALUE"""),45865.936910902776)</f>
        <v>45865.93691</v>
      </c>
      <c r="D36" s="3" t="str">
        <f>IFERROR(__xludf.DUMMYFUNCTION("""COMPUTED_VALUE"""),"UPS")</f>
        <v>UPS</v>
      </c>
      <c r="E36" s="3" t="str">
        <f>IFERROR(__xludf.DUMMYFUNCTION("""COMPUTED_VALUE"""),"-")</f>
        <v>-</v>
      </c>
      <c r="F36" s="3" t="str">
        <f>IFERROR(__xludf.DUMMYFUNCTION("""COMPUTED_VALUE"""),"Perbaikan Main Board UPS")</f>
        <v>Perbaikan Main Board UPS</v>
      </c>
      <c r="G36" s="3">
        <f>IFERROR(__xludf.DUMMYFUNCTION("""COMPUTED_VALUE"""),1.0)</f>
        <v>1</v>
      </c>
      <c r="H36" s="3" t="str">
        <f>IFERROR(__xludf.DUMMYFUNCTION("""COMPUTED_VALUE"""),"Lot")</f>
        <v>Lot</v>
      </c>
      <c r="I36" s="3" t="str">
        <f>IFERROR(__xludf.DUMMYFUNCTION("""COMPUTED_VALUE"""),"Deliver")</f>
        <v>Deliver</v>
      </c>
      <c r="J36" s="3" t="str">
        <f>IFERROR(__xludf.DUMMYFUNCTION("""COMPUTED_VALUE"""),"-")</f>
        <v>-</v>
      </c>
      <c r="K36" s="3" t="str">
        <f>IFERROR(__xludf.DUMMYFUNCTION("""COMPUTED_VALUE"""),"-")</f>
        <v>-</v>
      </c>
    </row>
    <row r="37">
      <c r="A37" s="3" t="str">
        <f>IFERROR(__xludf.DUMMYFUNCTION("""COMPUTED_VALUE"""),"MFHJA0030")</f>
        <v>MFHJA0030</v>
      </c>
      <c r="B37" s="4">
        <f>IFERROR(__xludf.DUMMYFUNCTION("""COMPUTED_VALUE"""),45865.63757422454)</f>
        <v>45865.63757</v>
      </c>
      <c r="C37" s="4">
        <f>IFERROR(__xludf.DUMMYFUNCTION("""COMPUTED_VALUE"""),45865.937023935185)</f>
        <v>45865.93702</v>
      </c>
      <c r="D37" s="3" t="str">
        <f>IFERROR(__xludf.DUMMYFUNCTION("""COMPUTED_VALUE"""),"Lab")</f>
        <v>Lab</v>
      </c>
      <c r="E37" s="3" t="str">
        <f>IFERROR(__xludf.DUMMYFUNCTION("""COMPUTED_VALUE"""),"-")</f>
        <v>-</v>
      </c>
      <c r="F37" s="3" t="str">
        <f>IFERROR(__xludf.DUMMYFUNCTION("""COMPUTED_VALUE"""),"Perbaikan Motor Fumehood")</f>
        <v>Perbaikan Motor Fumehood</v>
      </c>
      <c r="G37" s="3">
        <f>IFERROR(__xludf.DUMMYFUNCTION("""COMPUTED_VALUE"""),1.0)</f>
        <v>1</v>
      </c>
      <c r="H37" s="3" t="str">
        <f>IFERROR(__xludf.DUMMYFUNCTION("""COMPUTED_VALUE"""),"Lot")</f>
        <v>Lot</v>
      </c>
      <c r="I37" s="3" t="str">
        <f>IFERROR(__xludf.DUMMYFUNCTION("""COMPUTED_VALUE"""),"Deliver")</f>
        <v>Deliver</v>
      </c>
      <c r="J37" s="3" t="str">
        <f>IFERROR(__xludf.DUMMYFUNCTION("""COMPUTED_VALUE"""),"-")</f>
        <v>-</v>
      </c>
      <c r="K37" s="3" t="str">
        <f>IFERROR(__xludf.DUMMYFUNCTION("""COMPUTED_VALUE"""),"-")</f>
        <v>-</v>
      </c>
    </row>
    <row r="38">
      <c r="A38" s="3" t="str">
        <f>IFERROR(__xludf.DUMMYFUNCTION("""COMPUTED_VALUE"""),"MFHJA0031")</f>
        <v>MFHJA0031</v>
      </c>
      <c r="B38" s="4">
        <f>IFERROR(__xludf.DUMMYFUNCTION("""COMPUTED_VALUE"""),45865.64315780093)</f>
        <v>45865.64316</v>
      </c>
      <c r="C38" s="4">
        <f>IFERROR(__xludf.DUMMYFUNCTION("""COMPUTED_VALUE"""),45865.93722758102)</f>
        <v>45865.93723</v>
      </c>
      <c r="D38" s="3" t="str">
        <f>IFERROR(__xludf.DUMMYFUNCTION("""COMPUTED_VALUE"""),"Lab")</f>
        <v>Lab</v>
      </c>
      <c r="E38" s="3" t="str">
        <f>IFERROR(__xludf.DUMMYFUNCTION("""COMPUTED_VALUE"""),"-")</f>
        <v>-</v>
      </c>
      <c r="F38" s="3" t="str">
        <f>IFERROR(__xludf.DUMMYFUNCTION("""COMPUTED_VALUE"""),"Pembuatan Desolution Tester")</f>
        <v>Pembuatan Desolution Tester</v>
      </c>
      <c r="G38" s="3">
        <f>IFERROR(__xludf.DUMMYFUNCTION("""COMPUTED_VALUE"""),1.0)</f>
        <v>1</v>
      </c>
      <c r="H38" s="3" t="str">
        <f>IFERROR(__xludf.DUMMYFUNCTION("""COMPUTED_VALUE"""),"Lot")</f>
        <v>Lot</v>
      </c>
      <c r="I38" s="3" t="str">
        <f>IFERROR(__xludf.DUMMYFUNCTION("""COMPUTED_VALUE"""),"Deliver")</f>
        <v>Deliver</v>
      </c>
      <c r="J38" s="3" t="str">
        <f>IFERROR(__xludf.DUMMYFUNCTION("""COMPUTED_VALUE"""),"-")</f>
        <v>-</v>
      </c>
      <c r="K38" s="3" t="str">
        <f>IFERROR(__xludf.DUMMYFUNCTION("""COMPUTED_VALUE"""),"-")</f>
        <v>-</v>
      </c>
    </row>
    <row r="39">
      <c r="A39" s="3" t="str">
        <f>IFERROR(__xludf.DUMMYFUNCTION("""COMPUTED_VALUE"""),"MRNJA0009")</f>
        <v>MRNJA0009</v>
      </c>
      <c r="B39" s="4">
        <f>IFERROR(__xludf.DUMMYFUNCTION("""COMPUTED_VALUE"""),45868.37231552083)</f>
        <v>45868.37232</v>
      </c>
      <c r="C39" s="4">
        <f>IFERROR(__xludf.DUMMYFUNCTION("""COMPUTED_VALUE"""),45880.361062662036)</f>
        <v>45880.36106</v>
      </c>
      <c r="D39" s="3" t="str">
        <f>IFERROR(__xludf.DUMMYFUNCTION("""COMPUTED_VALUE"""),"Warehouse")</f>
        <v>Warehouse</v>
      </c>
      <c r="E39" s="3" t="str">
        <f>IFERROR(__xludf.DUMMYFUNCTION("""COMPUTED_VALUE"""),"EJO/2025/01/119")</f>
        <v>EJO/2025/01/119</v>
      </c>
      <c r="F39" s="3" t="str">
        <f>IFERROR(__xludf.DUMMYFUNCTION("""COMPUTED_VALUE"""),"Sutter door rusak")</f>
        <v>Sutter door rusak</v>
      </c>
      <c r="G39" s="3">
        <f>IFERROR(__xludf.DUMMYFUNCTION("""COMPUTED_VALUE"""),1.0)</f>
        <v>1</v>
      </c>
      <c r="H39" s="3" t="str">
        <f>IFERROR(__xludf.DUMMYFUNCTION("""COMPUTED_VALUE"""),"lot")</f>
        <v>lot</v>
      </c>
      <c r="I39" s="3" t="str">
        <f>IFERROR(__xludf.DUMMYFUNCTION("""COMPUTED_VALUE"""),"Deliver")</f>
        <v>Deliver</v>
      </c>
      <c r="J39" s="3" t="str">
        <f>IFERROR(__xludf.DUMMYFUNCTION("""COMPUTED_VALUE"""),"-")</f>
        <v>-</v>
      </c>
      <c r="K39" s="3" t="str">
        <f>IFERROR(__xludf.DUMMYFUNCTION("""COMPUTED_VALUE"""),"-")</f>
        <v>-</v>
      </c>
    </row>
    <row r="40">
      <c r="A40" s="3" t="str">
        <f>IFERROR(__xludf.DUMMYFUNCTION("""COMPUTED_VALUE"""),"INNJA0004")</f>
        <v>INNJA0004</v>
      </c>
      <c r="B40" s="4">
        <f>IFERROR(__xludf.DUMMYFUNCTION("""COMPUTED_VALUE"""),45884.57668288195)</f>
        <v>45884.57668</v>
      </c>
      <c r="C40" s="4">
        <f>IFERROR(__xludf.DUMMYFUNCTION("""COMPUTED_VALUE"""),45895.11829986111)</f>
        <v>45895.1183</v>
      </c>
      <c r="D40" s="3" t="str">
        <f>IFERROR(__xludf.DUMMYFUNCTION("""COMPUTED_VALUE"""),"Dry Lab")</f>
        <v>Dry Lab</v>
      </c>
      <c r="E40" s="3" t="str">
        <f>IFERROR(__xludf.DUMMYFUNCTION("""COMPUTED_VALUE"""),"EJO/2025/08/190")</f>
        <v>EJO/2025/08/190</v>
      </c>
      <c r="F40" s="3" t="str">
        <f>IFERROR(__xludf.DUMMYFUNCTION("""COMPUTED_VALUE"""),"Perbaikan Weterbath")</f>
        <v>Perbaikan Weterbath</v>
      </c>
      <c r="G40" s="3">
        <f>IFERROR(__xludf.DUMMYFUNCTION("""COMPUTED_VALUE"""),1.0)</f>
        <v>1</v>
      </c>
      <c r="H40" s="3" t="str">
        <f>IFERROR(__xludf.DUMMYFUNCTION("""COMPUTED_VALUE"""),"Lot")</f>
        <v>Lot</v>
      </c>
      <c r="I40" s="3" t="str">
        <f>IFERROR(__xludf.DUMMYFUNCTION("""COMPUTED_VALUE"""),"Deliver")</f>
        <v>Deliver</v>
      </c>
      <c r="J40" s="3" t="str">
        <f>IFERROR(__xludf.DUMMYFUNCTION("""COMPUTED_VALUE"""),"-")</f>
        <v>-</v>
      </c>
      <c r="K40" s="3" t="str">
        <f>IFERROR(__xludf.DUMMYFUNCTION("""COMPUTED_VALUE"""),"-")</f>
        <v>-</v>
      </c>
    </row>
    <row r="41">
      <c r="A41" s="3" t="str">
        <f>IFERROR(__xludf.DUMMYFUNCTION("""COMPUTED_VALUE"""),"MFHJA0032")</f>
        <v>MFHJA0032</v>
      </c>
      <c r="B41" s="4">
        <f>IFERROR(__xludf.DUMMYFUNCTION("""COMPUTED_VALUE"""),45910.93376961805)</f>
        <v>45910.93377</v>
      </c>
      <c r="C41" s="4">
        <f>IFERROR(__xludf.DUMMYFUNCTION("""COMPUTED_VALUE"""),45911.89172216435)</f>
        <v>45911.89172</v>
      </c>
      <c r="D41" s="3" t="str">
        <f>IFERROR(__xludf.DUMMYFUNCTION("""COMPUTED_VALUE"""),"Lab")</f>
        <v>Lab</v>
      </c>
      <c r="E41" s="3" t="str">
        <f>IFERROR(__xludf.DUMMYFUNCTION("""COMPUTED_VALUE"""),"-")</f>
        <v>-</v>
      </c>
      <c r="F41" s="3" t="str">
        <f>IFERROR(__xludf.DUMMYFUNCTION("""COMPUTED_VALUE"""),"Perbaikan Kompresor CC Retain Sample")</f>
        <v>Perbaikan Kompresor CC Retain Sample</v>
      </c>
      <c r="G41" s="3">
        <f>IFERROR(__xludf.DUMMYFUNCTION("""COMPUTED_VALUE"""),1.0)</f>
        <v>1</v>
      </c>
      <c r="H41" s="3" t="str">
        <f>IFERROR(__xludf.DUMMYFUNCTION("""COMPUTED_VALUE"""),"Lot")</f>
        <v>Lot</v>
      </c>
      <c r="I41" s="3" t="str">
        <f>IFERROR(__xludf.DUMMYFUNCTION("""COMPUTED_VALUE"""),"Deliver")</f>
        <v>Deliver</v>
      </c>
      <c r="J41" s="3" t="str">
        <f>IFERROR(__xludf.DUMMYFUNCTION("""COMPUTED_VALUE"""),"-")</f>
        <v>-</v>
      </c>
      <c r="K41" s="3" t="str">
        <f>IFERROR(__xludf.DUMMYFUNCTION("""COMPUTED_VALUE"""),"-")</f>
        <v>-</v>
      </c>
    </row>
    <row r="42">
      <c r="A42" s="3" t="str">
        <f>IFERROR(__xludf.DUMMYFUNCTION("""COMPUTED_VALUE"""),"MFHJA0033")</f>
        <v>MFHJA0033</v>
      </c>
      <c r="B42" s="4">
        <f>IFERROR(__xludf.DUMMYFUNCTION("""COMPUTED_VALUE"""),45910.93439554398)</f>
        <v>45910.9344</v>
      </c>
      <c r="C42" s="4">
        <f>IFERROR(__xludf.DUMMYFUNCTION("""COMPUTED_VALUE"""),45911.89181857638)</f>
        <v>45911.89182</v>
      </c>
      <c r="D42" s="3" t="str">
        <f>IFERROR(__xludf.DUMMYFUNCTION("""COMPUTED_VALUE"""),"Washing")</f>
        <v>Washing</v>
      </c>
      <c r="E42" s="3" t="str">
        <f>IFERROR(__xludf.DUMMYFUNCTION("""COMPUTED_VALUE"""),"-")</f>
        <v>-</v>
      </c>
      <c r="F42" s="3" t="str">
        <f>IFERROR(__xludf.DUMMYFUNCTION("""COMPUTED_VALUE"""),"Perbaikan Needle Washing")</f>
        <v>Perbaikan Needle Washing</v>
      </c>
      <c r="G42" s="3">
        <f>IFERROR(__xludf.DUMMYFUNCTION("""COMPUTED_VALUE"""),1.0)</f>
        <v>1</v>
      </c>
      <c r="H42" s="3" t="str">
        <f>IFERROR(__xludf.DUMMYFUNCTION("""COMPUTED_VALUE"""),"Lot")</f>
        <v>Lot</v>
      </c>
      <c r="I42" s="3" t="str">
        <f>IFERROR(__xludf.DUMMYFUNCTION("""COMPUTED_VALUE"""),"Deliver")</f>
        <v>Deliver</v>
      </c>
      <c r="J42" s="3" t="str">
        <f>IFERROR(__xludf.DUMMYFUNCTION("""COMPUTED_VALUE"""),"-")</f>
        <v>-</v>
      </c>
      <c r="K42" s="3" t="str">
        <f>IFERROR(__xludf.DUMMYFUNCTION("""COMPUTED_VALUE"""),"-")</f>
        <v>-</v>
      </c>
    </row>
    <row r="43">
      <c r="A43" s="3" t="str">
        <f>IFERROR(__xludf.DUMMYFUNCTION("""COMPUTED_VALUE"""),"MFHJA0034")</f>
        <v>MFHJA0034</v>
      </c>
      <c r="B43" s="4">
        <f>IFERROR(__xludf.DUMMYFUNCTION("""COMPUTED_VALUE"""),45921.4442130324)</f>
        <v>45921.44421</v>
      </c>
      <c r="C43" s="4">
        <f>IFERROR(__xludf.DUMMYFUNCTION("""COMPUTED_VALUE"""),45921.876703449074)</f>
        <v>45921.8767</v>
      </c>
      <c r="D43" s="3" t="str">
        <f>IFERROR(__xludf.DUMMYFUNCTION("""COMPUTED_VALUE"""),"Mixing")</f>
        <v>Mixing</v>
      </c>
      <c r="E43" s="3" t="str">
        <f>IFERROR(__xludf.DUMMYFUNCTION("""COMPUTED_VALUE"""),"-")</f>
        <v>-</v>
      </c>
      <c r="F43" s="3" t="str">
        <f>IFERROR(__xludf.DUMMYFUNCTION("""COMPUTED_VALUE"""),"Perbaikan PC Mixing")</f>
        <v>Perbaikan PC Mixing</v>
      </c>
      <c r="G43" s="3">
        <f>IFERROR(__xludf.DUMMYFUNCTION("""COMPUTED_VALUE"""),1.0)</f>
        <v>1</v>
      </c>
      <c r="H43" s="3" t="str">
        <f>IFERROR(__xludf.DUMMYFUNCTION("""COMPUTED_VALUE"""),"Lot")</f>
        <v>Lot</v>
      </c>
      <c r="I43" s="3" t="str">
        <f>IFERROR(__xludf.DUMMYFUNCTION("""COMPUTED_VALUE"""),"Deliver")</f>
        <v>Deliver</v>
      </c>
      <c r="J43" s="3" t="str">
        <f>IFERROR(__xludf.DUMMYFUNCTION("""COMPUTED_VALUE"""),"121703163 - APPROVED")</f>
        <v>121703163 - APPROVED</v>
      </c>
      <c r="K43" s="3" t="str">
        <f>IFERROR(__xludf.DUMMYFUNCTION("""COMPUTED_VALUE"""),"GL2509025")</f>
        <v>GL2509025</v>
      </c>
    </row>
    <row r="44">
      <c r="A44" s="3" t="str">
        <f>IFERROR(__xludf.DUMMYFUNCTION("""COMPUTED_VALUE"""),"MFHJA0035")</f>
        <v>MFHJA0035</v>
      </c>
      <c r="B44" s="4">
        <f>IFERROR(__xludf.DUMMYFUNCTION("""COMPUTED_VALUE"""),45921.445608078706)</f>
        <v>45921.44561</v>
      </c>
      <c r="C44" s="4">
        <f>IFERROR(__xludf.DUMMYFUNCTION("""COMPUTED_VALUE"""),45921.87679583334)</f>
        <v>45921.8768</v>
      </c>
      <c r="D44" s="3" t="str">
        <f>IFERROR(__xludf.DUMMYFUNCTION("""COMPUTED_VALUE"""),"FD")</f>
        <v>FD</v>
      </c>
      <c r="E44" s="3" t="str">
        <f>IFERROR(__xludf.DUMMYFUNCTION("""COMPUTED_VALUE"""),"-")</f>
        <v>-</v>
      </c>
      <c r="F44" s="3" t="str">
        <f>IFERROR(__xludf.DUMMYFUNCTION("""COMPUTED_VALUE"""),"Tabungan Remote FD")</f>
        <v>Tabungan Remote FD</v>
      </c>
      <c r="G44" s="3">
        <f>IFERROR(__xludf.DUMMYFUNCTION("""COMPUTED_VALUE"""),1.0)</f>
        <v>1</v>
      </c>
      <c r="H44" s="3" t="str">
        <f>IFERROR(__xludf.DUMMYFUNCTION("""COMPUTED_VALUE"""),"Lot")</f>
        <v>Lot</v>
      </c>
      <c r="I44" s="3" t="str">
        <f>IFERROR(__xludf.DUMMYFUNCTION("""COMPUTED_VALUE"""),"Deliver")</f>
        <v>Deliver</v>
      </c>
      <c r="J44" s="3" t="str">
        <f>IFERROR(__xludf.DUMMYFUNCTION("""COMPUTED_VALUE"""),"121703104 - APPROVED")</f>
        <v>121703104 - APPROVED</v>
      </c>
      <c r="K44" s="3" t="str">
        <f>IFERROR(__xludf.DUMMYFUNCTION("""COMPUTED_VALUE"""),"GL2508045")</f>
        <v>GL2508045</v>
      </c>
    </row>
    <row r="45">
      <c r="A45" s="3" t="str">
        <f>IFERROR(__xludf.DUMMYFUNCTION("""COMPUTED_VALUE"""),"MFHJA0037")</f>
        <v>MFHJA0037</v>
      </c>
      <c r="B45" s="4">
        <f>IFERROR(__xludf.DUMMYFUNCTION("""COMPUTED_VALUE"""),45921.45370528936)</f>
        <v>45921.45371</v>
      </c>
      <c r="C45" s="4">
        <f>IFERROR(__xludf.DUMMYFUNCTION("""COMPUTED_VALUE"""),45921.87698400464)</f>
        <v>45921.87698</v>
      </c>
      <c r="D45" s="3" t="str">
        <f>IFERROR(__xludf.DUMMYFUNCTION("""COMPUTED_VALUE"""),"AHU")</f>
        <v>AHU</v>
      </c>
      <c r="E45" s="3" t="str">
        <f>IFERROR(__xludf.DUMMYFUNCTION("""COMPUTED_VALUE"""),"-")</f>
        <v>-</v>
      </c>
      <c r="F45" s="3" t="str">
        <f>IFERROR(__xludf.DUMMYFUNCTION("""COMPUTED_VALUE"""),"Penggantian Bibo")</f>
        <v>Penggantian Bibo</v>
      </c>
      <c r="G45" s="3">
        <f>IFERROR(__xludf.DUMMYFUNCTION("""COMPUTED_VALUE"""),1.0)</f>
        <v>1</v>
      </c>
      <c r="H45" s="3" t="str">
        <f>IFERROR(__xludf.DUMMYFUNCTION("""COMPUTED_VALUE"""),"Lot")</f>
        <v>Lot</v>
      </c>
      <c r="I45" s="3" t="str">
        <f>IFERROR(__xludf.DUMMYFUNCTION("""COMPUTED_VALUE"""),"Deliver")</f>
        <v>Deliver</v>
      </c>
      <c r="J45" s="3" t="str">
        <f>IFERROR(__xludf.DUMMYFUNCTION("""COMPUTED_VALUE"""),"-")</f>
        <v>-</v>
      </c>
      <c r="K45" s="3" t="str">
        <f>IFERROR(__xludf.DUMMYFUNCTION("""COMPUTED_VALUE"""),"-")</f>
        <v>-</v>
      </c>
    </row>
    <row r="46">
      <c r="A46" s="3" t="str">
        <f>IFERROR(__xludf.DUMMYFUNCTION("""COMPUTED_VALUE"""),"MFHJA0038")</f>
        <v>MFHJA0038</v>
      </c>
      <c r="B46" s="4">
        <f>IFERROR(__xludf.DUMMYFUNCTION("""COMPUTED_VALUE"""),45921.45562086806)</f>
        <v>45921.45562</v>
      </c>
      <c r="C46" s="4">
        <f>IFERROR(__xludf.DUMMYFUNCTION("""COMPUTED_VALUE"""),45921.87708505787)</f>
        <v>45921.87709</v>
      </c>
      <c r="D46" s="3" t="str">
        <f>IFERROR(__xludf.DUMMYFUNCTION("""COMPUTED_VALUE"""),"Forklift")</f>
        <v>Forklift</v>
      </c>
      <c r="E46" s="3" t="str">
        <f>IFERROR(__xludf.DUMMYFUNCTION("""COMPUTED_VALUE"""),"-")</f>
        <v>-</v>
      </c>
      <c r="F46" s="3" t="str">
        <f>IFERROR(__xludf.DUMMYFUNCTION("""COMPUTED_VALUE"""),"Pergantian Forklift")</f>
        <v>Pergantian Forklift</v>
      </c>
      <c r="G46" s="3">
        <f>IFERROR(__xludf.DUMMYFUNCTION("""COMPUTED_VALUE"""),1.0)</f>
        <v>1</v>
      </c>
      <c r="H46" s="3" t="str">
        <f>IFERROR(__xludf.DUMMYFUNCTION("""COMPUTED_VALUE"""),"Lot")</f>
        <v>Lot</v>
      </c>
      <c r="I46" s="3" t="str">
        <f>IFERROR(__xludf.DUMMYFUNCTION("""COMPUTED_VALUE"""),"Deliver")</f>
        <v>Deliver</v>
      </c>
      <c r="J46" s="3" t="str">
        <f>IFERROR(__xludf.DUMMYFUNCTION("""COMPUTED_VALUE"""),"-")</f>
        <v>-</v>
      </c>
      <c r="K46" s="3" t="str">
        <f>IFERROR(__xludf.DUMMYFUNCTION("""COMPUTED_VALUE"""),"-")</f>
        <v>-</v>
      </c>
    </row>
    <row r="47">
      <c r="A47" s="3" t="str">
        <f>IFERROR(__xludf.DUMMYFUNCTION("""COMPUTED_VALUE"""),"MFHJA0039")</f>
        <v>MFHJA0039</v>
      </c>
      <c r="B47" s="4">
        <f>IFERROR(__xludf.DUMMYFUNCTION("""COMPUTED_VALUE"""),45921.45977744213)</f>
        <v>45921.45978</v>
      </c>
      <c r="C47" s="4">
        <f>IFERROR(__xludf.DUMMYFUNCTION("""COMPUTED_VALUE"""),45921.87718800925)</f>
        <v>45921.87719</v>
      </c>
      <c r="D47" s="3" t="str">
        <f>IFERROR(__xludf.DUMMYFUNCTION("""COMPUTED_VALUE"""),"HPLC")</f>
        <v>HPLC</v>
      </c>
      <c r="E47" s="3" t="str">
        <f>IFERROR(__xludf.DUMMYFUNCTION("""COMPUTED_VALUE"""),"-")</f>
        <v>-</v>
      </c>
      <c r="F47" s="3" t="str">
        <f>IFERROR(__xludf.DUMMYFUNCTION("""COMPUTED_VALUE"""),"TAP 4 Unit")</f>
        <v>TAP 4 Unit</v>
      </c>
      <c r="G47" s="3">
        <f>IFERROR(__xludf.DUMMYFUNCTION("""COMPUTED_VALUE"""),1.0)</f>
        <v>1</v>
      </c>
      <c r="H47" s="3" t="str">
        <f>IFERROR(__xludf.DUMMYFUNCTION("""COMPUTED_VALUE"""),"Lot")</f>
        <v>Lot</v>
      </c>
      <c r="I47" s="3" t="str">
        <f>IFERROR(__xludf.DUMMYFUNCTION("""COMPUTED_VALUE"""),"Deliver")</f>
        <v>Deliver</v>
      </c>
      <c r="J47" s="3" t="str">
        <f>IFERROR(__xludf.DUMMYFUNCTION("""COMPUTED_VALUE"""),"-")</f>
        <v>-</v>
      </c>
      <c r="K47" s="3" t="str">
        <f>IFERROR(__xludf.DUMMYFUNCTION("""COMPUTED_VALUE"""),"-")</f>
        <v>-</v>
      </c>
    </row>
    <row r="48">
      <c r="A48" s="3" t="str">
        <f>IFERROR(__xludf.DUMMYFUNCTION("""COMPUTED_VALUE"""),"MFHJA0040")</f>
        <v>MFHJA0040</v>
      </c>
      <c r="B48" s="4">
        <f>IFERROR(__xludf.DUMMYFUNCTION("""COMPUTED_VALUE"""),45921.46395667824)</f>
        <v>45921.46396</v>
      </c>
      <c r="C48" s="4">
        <f>IFERROR(__xludf.DUMMYFUNCTION("""COMPUTED_VALUE"""),45921.87731011574)</f>
        <v>45921.87731</v>
      </c>
      <c r="D48" s="3" t="str">
        <f>IFERROR(__xludf.DUMMYFUNCTION("""COMPUTED_VALUE"""),"Tunnel")</f>
        <v>Tunnel</v>
      </c>
      <c r="E48" s="3" t="str">
        <f>IFERROR(__xludf.DUMMYFUNCTION("""COMPUTED_VALUE"""),"-")</f>
        <v>-</v>
      </c>
      <c r="F48" s="3" t="str">
        <f>IFERROR(__xludf.DUMMYFUNCTION("""COMPUTED_VALUE"""),"training Recorder Tunnel")</f>
        <v>training Recorder Tunnel</v>
      </c>
      <c r="G48" s="3">
        <f>IFERROR(__xludf.DUMMYFUNCTION("""COMPUTED_VALUE"""),1.0)</f>
        <v>1</v>
      </c>
      <c r="H48" s="3" t="str">
        <f>IFERROR(__xludf.DUMMYFUNCTION("""COMPUTED_VALUE"""),"Lot")</f>
        <v>Lot</v>
      </c>
      <c r="I48" s="3" t="str">
        <f>IFERROR(__xludf.DUMMYFUNCTION("""COMPUTED_VALUE"""),"Deliver")</f>
        <v>Deliver</v>
      </c>
      <c r="J48" s="3" t="str">
        <f>IFERROR(__xludf.DUMMYFUNCTION("""COMPUTED_VALUE"""),"-")</f>
        <v>-</v>
      </c>
      <c r="K48" s="3" t="str">
        <f>IFERROR(__xludf.DUMMYFUNCTION("""COMPUTED_VALUE"""),"-")</f>
        <v>-</v>
      </c>
    </row>
    <row r="49">
      <c r="A49" s="3" t="str">
        <f>IFERROR(__xludf.DUMMYFUNCTION("""COMPUTED_VALUE"""),"SFHJA0003")</f>
        <v>SFHJA0003</v>
      </c>
      <c r="B49" s="4">
        <f>IFERROR(__xludf.DUMMYFUNCTION("""COMPUTED_VALUE"""),45951.90277759259)</f>
        <v>45951.90278</v>
      </c>
      <c r="C49" s="4">
        <f>IFERROR(__xludf.DUMMYFUNCTION("""COMPUTED_VALUE"""),45953.73769930555)</f>
        <v>45953.7377</v>
      </c>
      <c r="D49" s="3" t="str">
        <f>IFERROR(__xludf.DUMMYFUNCTION("""COMPUTED_VALUE"""),"Tangga produksi")</f>
        <v>Tangga produksi</v>
      </c>
      <c r="E49" s="3" t="str">
        <f>IFERROR(__xludf.DUMMYFUNCTION("""COMPUTED_VALUE"""),"EJO/2025/07/152")</f>
        <v>EJO/2025/07/152</v>
      </c>
      <c r="F49" s="3" t="str">
        <f>IFERROR(__xludf.DUMMYFUNCTION("""COMPUTED_VALUE"""),"pergantian glasbox yang pecah dan perbaikan nat yang retak retak")</f>
        <v>pergantian glasbox yang pecah dan perbaikan nat yang retak retak</v>
      </c>
      <c r="G49" s="3">
        <f>IFERROR(__xludf.DUMMYFUNCTION("""COMPUTED_VALUE"""),1.0)</f>
        <v>1</v>
      </c>
      <c r="H49" s="3" t="str">
        <f>IFERROR(__xludf.DUMMYFUNCTION("""COMPUTED_VALUE"""),"lot")</f>
        <v>lot</v>
      </c>
      <c r="I49" s="3" t="str">
        <f>IFERROR(__xludf.DUMMYFUNCTION("""COMPUTED_VALUE"""),"Approval PR")</f>
        <v>Approval PR</v>
      </c>
      <c r="J49" s="3" t="str">
        <f>IFERROR(__xludf.DUMMYFUNCTION("""COMPUTED_VALUE"""),"121703401 - INCOMPLETE")</f>
        <v>121703401 - INCOMPLETE</v>
      </c>
      <c r="K49" s="3" t="str">
        <f>IFERROR(__xludf.DUMMYFUNCTION("""COMPUTED_VALUE"""),"-")</f>
        <v>-</v>
      </c>
    </row>
    <row r="50">
      <c r="A50" s="3" t="str">
        <f>IFERROR(__xludf.DUMMYFUNCTION("""COMPUTED_VALUE"""),"INNJA0005")</f>
        <v>INNJA0005</v>
      </c>
      <c r="B50" s="4">
        <f>IFERROR(__xludf.DUMMYFUNCTION("""COMPUTED_VALUE"""),45958.82183883102)</f>
        <v>45958.82184</v>
      </c>
      <c r="C50" s="4">
        <f>IFERROR(__xludf.DUMMYFUNCTION("""COMPUTED_VALUE"""),45976.217802499996)</f>
        <v>45976.2178</v>
      </c>
      <c r="D50" s="3" t="str">
        <f>IFERROR(__xludf.DUMMYFUNCTION("""COMPUTED_VALUE"""),"Crabs")</f>
        <v>Crabs</v>
      </c>
      <c r="E50" s="3" t="str">
        <f>IFERROR(__xludf.DUMMYFUNCTION("""COMPUTED_VALUE"""),"NA")</f>
        <v>NA</v>
      </c>
      <c r="F50" s="3" t="str">
        <f>IFERROR(__xludf.DUMMYFUNCTION("""COMPUTED_VALUE"""),"Rescreening Membrane 60 micron CR2")</f>
        <v>Rescreening Membrane 60 micron CR2</v>
      </c>
      <c r="G50" s="3">
        <f>IFERROR(__xludf.DUMMYFUNCTION("""COMPUTED_VALUE"""),1.0)</f>
        <v>1</v>
      </c>
      <c r="H50" s="3" t="str">
        <f>IFERROR(__xludf.DUMMYFUNCTION("""COMPUTED_VALUE"""),"Unit")</f>
        <v>Unit</v>
      </c>
      <c r="I50" s="3" t="str">
        <f>IFERROR(__xludf.DUMMYFUNCTION("""COMPUTED_VALUE"""),"Deliver")</f>
        <v>Deliver</v>
      </c>
      <c r="J50" s="3" t="str">
        <f>IFERROR(__xludf.DUMMYFUNCTION("""COMPUTED_VALUE"""),"-")</f>
        <v>-</v>
      </c>
      <c r="K50" s="3" t="str">
        <f>IFERROR(__xludf.DUMMYFUNCTION("""COMPUTED_VALUE"""),"-")</f>
        <v>-</v>
      </c>
    </row>
    <row r="51">
      <c r="A51" s="3" t="str">
        <f>IFERROR(__xludf.DUMMYFUNCTION("""COMPUTED_VALUE"""),"RIAJA0004")</f>
        <v>RIAJA0004</v>
      </c>
      <c r="B51" s="4">
        <f>IFERROR(__xludf.DUMMYFUNCTION("""COMPUTED_VALUE"""),46034.81376619213)</f>
        <v>46034.81377</v>
      </c>
      <c r="C51" s="4">
        <f>IFERROR(__xludf.DUMMYFUNCTION("""COMPUTED_VALUE"""),46037.4172609838)</f>
        <v>46037.41726</v>
      </c>
      <c r="D51" s="3" t="str">
        <f>IFERROR(__xludf.DUMMYFUNCTION("""COMPUTED_VALUE"""),"Panel Distribusi")</f>
        <v>Panel Distribusi</v>
      </c>
      <c r="E51" s="3" t="str">
        <f>IFERROR(__xludf.DUMMYFUNCTION("""COMPUTED_VALUE"""),"EJO/2026/01/03")</f>
        <v>EJO/2026/01/03</v>
      </c>
      <c r="F51" s="3" t="str">
        <f>IFERROR(__xludf.DUMMYFUNCTION("""COMPUTED_VALUE"""),"Jasa Power Meter")</f>
        <v>Jasa Power Meter</v>
      </c>
      <c r="G51" s="3">
        <f>IFERROR(__xludf.DUMMYFUNCTION("""COMPUTED_VALUE"""),1.0)</f>
        <v>1</v>
      </c>
      <c r="H51" s="3" t="str">
        <f>IFERROR(__xludf.DUMMYFUNCTION("""COMPUTED_VALUE"""),"Set")</f>
        <v>Set</v>
      </c>
      <c r="I51" s="3" t="str">
        <f>IFERROR(__xludf.DUMMYFUNCTION("""COMPUTED_VALUE"""),"Deliver")</f>
        <v>Deliver</v>
      </c>
      <c r="J51" s="3" t="str">
        <f>IFERROR(__xludf.DUMMYFUNCTION("""COMPUTED_VALUE"""),"121703874 - APPROVED")</f>
        <v>121703874 - APPROVED</v>
      </c>
      <c r="K51" s="3" t="str">
        <f>IFERROR(__xludf.DUMMYFUNCTION("""COMPUTED_VALUE"""),"-")</f>
        <v>-</v>
      </c>
    </row>
    <row r="52">
      <c r="A52" s="3" t="str">
        <f>IFERROR(__xludf.DUMMYFUNCTION("""COMPUTED_VALUE"""),"MFHJA0041")</f>
        <v>MFHJA0041</v>
      </c>
      <c r="B52" s="4">
        <f>IFERROR(__xludf.DUMMYFUNCTION("""COMPUTED_VALUE"""),46047.86533876158)</f>
        <v>46047.86534</v>
      </c>
      <c r="C52" s="4">
        <f>IFERROR(__xludf.DUMMYFUNCTION("""COMPUTED_VALUE"""),46047.89723372685)</f>
        <v>46047.89723</v>
      </c>
      <c r="D52" s="3" t="str">
        <f>IFERROR(__xludf.DUMMYFUNCTION("""COMPUTED_VALUE"""),"Tools")</f>
        <v>Tools</v>
      </c>
      <c r="E52" s="3" t="str">
        <f>IFERROR(__xludf.DUMMYFUNCTION("""COMPUTED_VALUE"""),"-")</f>
        <v>-</v>
      </c>
      <c r="F52" s="3" t="str">
        <f>IFERROR(__xludf.DUMMYFUNCTION("""COMPUTED_VALUE"""),"Perbaikan Minicapt")</f>
        <v>Perbaikan Minicapt</v>
      </c>
      <c r="G52" s="3">
        <f>IFERROR(__xludf.DUMMYFUNCTION("""COMPUTED_VALUE"""),1.0)</f>
        <v>1</v>
      </c>
      <c r="H52" s="3" t="str">
        <f>IFERROR(__xludf.DUMMYFUNCTION("""COMPUTED_VALUE"""),"Lot")</f>
        <v>Lot</v>
      </c>
      <c r="I52" s="3" t="str">
        <f>IFERROR(__xludf.DUMMYFUNCTION("""COMPUTED_VALUE"""),"Deliver")</f>
        <v>Deliver</v>
      </c>
      <c r="J52" s="3" t="str">
        <f>IFERROR(__xludf.DUMMYFUNCTION("""COMPUTED_VALUE"""),"-")</f>
        <v>-</v>
      </c>
      <c r="K52" s="3" t="str">
        <f>IFERROR(__xludf.DUMMYFUNCTION("""COMPUTED_VALUE"""),"-")</f>
        <v>-</v>
      </c>
    </row>
    <row r="53">
      <c r="A53" s="3" t="str">
        <f>IFERROR(__xludf.DUMMYFUNCTION("""COMPUTED_VALUE"""),"MFHJA0042")</f>
        <v>MFHJA0042</v>
      </c>
      <c r="B53" s="4">
        <f>IFERROR(__xludf.DUMMYFUNCTION("""COMPUTED_VALUE"""),46047.866203715275)</f>
        <v>46047.8662</v>
      </c>
      <c r="C53" s="4">
        <f>IFERROR(__xludf.DUMMYFUNCTION("""COMPUTED_VALUE"""),46047.897349085644)</f>
        <v>46047.89735</v>
      </c>
      <c r="D53" s="3" t="str">
        <f>IFERROR(__xludf.DUMMYFUNCTION("""COMPUTED_VALUE"""),"Tools")</f>
        <v>Tools</v>
      </c>
      <c r="E53" s="3" t="str">
        <f>IFERROR(__xludf.DUMMYFUNCTION("""COMPUTED_VALUE"""),"-")</f>
        <v>-</v>
      </c>
      <c r="F53" s="3" t="str">
        <f>IFERROR(__xludf.DUMMYFUNCTION("""COMPUTED_VALUE"""),"Perbaikan Heating Plate")</f>
        <v>Perbaikan Heating Plate</v>
      </c>
      <c r="G53" s="3">
        <f>IFERROR(__xludf.DUMMYFUNCTION("""COMPUTED_VALUE"""),1.0)</f>
        <v>1</v>
      </c>
      <c r="H53" s="3" t="str">
        <f>IFERROR(__xludf.DUMMYFUNCTION("""COMPUTED_VALUE"""),"Lot")</f>
        <v>Lot</v>
      </c>
      <c r="I53" s="3" t="str">
        <f>IFERROR(__xludf.DUMMYFUNCTION("""COMPUTED_VALUE"""),"PO Open")</f>
        <v>PO Open</v>
      </c>
      <c r="J53" s="3" t="str">
        <f>IFERROR(__xludf.DUMMYFUNCTION("""COMPUTED_VALUE"""),"121703696 - APPROVED")</f>
        <v>121703696 - APPROVED</v>
      </c>
      <c r="K53" s="3" t="str">
        <f>IFERROR(__xludf.DUMMYFUNCTION("""COMPUTED_VALUE"""),"GL2602011")</f>
        <v>GL2602011</v>
      </c>
    </row>
    <row r="54">
      <c r="A54" s="3" t="str">
        <f>IFERROR(__xludf.DUMMYFUNCTION("""COMPUTED_VALUE"""),"RIAJA0006")</f>
        <v>RIAJA0006</v>
      </c>
      <c r="B54" s="4">
        <f>IFERROR(__xludf.DUMMYFUNCTION("""COMPUTED_VALUE"""),46068.67842951389)</f>
        <v>46068.67843</v>
      </c>
      <c r="C54" s="4">
        <f>IFERROR(__xludf.DUMMYFUNCTION("""COMPUTED_VALUE"""),46072.982416562496)</f>
        <v>46072.98242</v>
      </c>
      <c r="D54" s="3" t="str">
        <f>IFERROR(__xludf.DUMMYFUNCTION("""COMPUTED_VALUE"""),"OSD")</f>
        <v>OSD</v>
      </c>
      <c r="E54" s="3" t="str">
        <f>IFERROR(__xludf.DUMMYFUNCTION("""COMPUTED_VALUE"""),"EJO/2025/04/105")</f>
        <v>EJO/2025/04/105</v>
      </c>
      <c r="F54" s="3" t="str">
        <f>IFERROR(__xludf.DUMMYFUNCTION("""COMPUTED_VALUE"""),"Recoating Flowcrete FlowSeal UV Satin Ash Grey
250 micron (4.2 m2)")</f>
        <v>Recoating Flowcrete FlowSeal UV Satin Ash Grey
250 micron (4.2 m2)</v>
      </c>
      <c r="G54" s="3">
        <f>IFERROR(__xludf.DUMMYFUNCTION("""COMPUTED_VALUE"""),1.0)</f>
        <v>1</v>
      </c>
      <c r="H54" s="3" t="str">
        <f>IFERROR(__xludf.DUMMYFUNCTION("""COMPUTED_VALUE"""),"ls")</f>
        <v>ls</v>
      </c>
      <c r="I54" s="3" t="str">
        <f>IFERROR(__xludf.DUMMYFUNCTION("""COMPUTED_VALUE"""),"Mencari Penawaran")</f>
        <v>Mencari Penawaran</v>
      </c>
      <c r="J54" s="3" t="str">
        <f>IFERROR(__xludf.DUMMYFUNCTION("""COMPUTED_VALUE"""),"121703988 - CANCELLED")</f>
        <v>121703988 - CANCELLED</v>
      </c>
      <c r="K54" s="3" t="str">
        <f>IFERROR(__xludf.DUMMYFUNCTION("""COMPUTED_VALUE"""),"-")</f>
        <v>-</v>
      </c>
    </row>
    <row r="55">
      <c r="A55" s="3" t="str">
        <f>IFERROR(__xludf.DUMMYFUNCTION("""COMPUTED_VALUE"""),"RIAJA0007")</f>
        <v>RIAJA0007</v>
      </c>
      <c r="B55" s="4">
        <f>IFERROR(__xludf.DUMMYFUNCTION("""COMPUTED_VALUE"""),46068.679214826385)</f>
        <v>46068.67921</v>
      </c>
      <c r="C55" s="4">
        <f>IFERROR(__xludf.DUMMYFUNCTION("""COMPUTED_VALUE"""),46072.98223894676)</f>
        <v>46072.98224</v>
      </c>
      <c r="D55" s="3" t="str">
        <f>IFERROR(__xludf.DUMMYFUNCTION("""COMPUTED_VALUE"""),"OSD")</f>
        <v>OSD</v>
      </c>
      <c r="E55" s="3" t="str">
        <f>IFERROR(__xludf.DUMMYFUNCTION("""COMPUTED_VALUE"""),"EJO/2025/04/105")</f>
        <v>EJO/2025/04/105</v>
      </c>
      <c r="F55" s="3" t="str">
        <f>IFERROR(__xludf.DUMMYFUNCTION("""COMPUTED_VALUE"""),"Coating curving R5 (2 m)")</f>
        <v>Coating curving R5 (2 m)</v>
      </c>
      <c r="G55" s="3">
        <f>IFERROR(__xludf.DUMMYFUNCTION("""COMPUTED_VALUE"""),1.0)</f>
        <v>1</v>
      </c>
      <c r="H55" s="3" t="str">
        <f>IFERROR(__xludf.DUMMYFUNCTION("""COMPUTED_VALUE"""),"ls")</f>
        <v>ls</v>
      </c>
      <c r="I55" s="3" t="str">
        <f>IFERROR(__xludf.DUMMYFUNCTION("""COMPUTED_VALUE"""),"Mencari Penawaran")</f>
        <v>Mencari Penawaran</v>
      </c>
      <c r="J55" s="3" t="str">
        <f>IFERROR(__xludf.DUMMYFUNCTION("""COMPUTED_VALUE"""),"121703988 - CANCELLED")</f>
        <v>121703988 - CANCELLED</v>
      </c>
      <c r="K55" s="3" t="str">
        <f>IFERROR(__xludf.DUMMYFUNCTION("""COMPUTED_VALUE"""),"-")</f>
        <v>-</v>
      </c>
    </row>
    <row r="56">
      <c r="A56" s="3" t="str">
        <f>IFERROR(__xludf.DUMMYFUNCTION("""COMPUTED_VALUE"""),"RIAJA0008")</f>
        <v>RIAJA0008</v>
      </c>
      <c r="B56" s="4">
        <f>IFERROR(__xludf.DUMMYFUNCTION("""COMPUTED_VALUE"""),46068.67987681713)</f>
        <v>46068.67988</v>
      </c>
      <c r="C56" s="4">
        <f>IFERROR(__xludf.DUMMYFUNCTION("""COMPUTED_VALUE"""),46072.98205693287)</f>
        <v>46072.98206</v>
      </c>
      <c r="D56" s="3" t="str">
        <f>IFERROR(__xludf.DUMMYFUNCTION("""COMPUTED_VALUE"""),"Blister OSD")</f>
        <v>Blister OSD</v>
      </c>
      <c r="E56" s="3" t="str">
        <f>IFERROR(__xludf.DUMMYFUNCTION("""COMPUTED_VALUE"""),"EJO")</f>
        <v>EJO</v>
      </c>
      <c r="F56" s="3" t="str">
        <f>IFERROR(__xludf.DUMMYFUNCTION("""COMPUTED_VALUE"""),"Recoating spot-spot Flowcrete FlowSeal UV Satin Ash
Grey 250 micron (plus mortar area coak) (1 m2)")</f>
        <v>Recoating spot-spot Flowcrete FlowSeal UV Satin Ash
Grey 250 micron (plus mortar area coak) (1 m2)</v>
      </c>
      <c r="G56" s="3">
        <f>IFERROR(__xludf.DUMMYFUNCTION("""COMPUTED_VALUE"""),1.0)</f>
        <v>1</v>
      </c>
      <c r="H56" s="3" t="str">
        <f>IFERROR(__xludf.DUMMYFUNCTION("""COMPUTED_VALUE"""),"ls")</f>
        <v>ls</v>
      </c>
      <c r="I56" s="3" t="str">
        <f>IFERROR(__xludf.DUMMYFUNCTION("""COMPUTED_VALUE"""),"Mencari Penawaran")</f>
        <v>Mencari Penawaran</v>
      </c>
      <c r="J56" s="3" t="str">
        <f>IFERROR(__xludf.DUMMYFUNCTION("""COMPUTED_VALUE"""),"121703988 - CANCELLED")</f>
        <v>121703988 - CANCELLED</v>
      </c>
      <c r="K56" s="3" t="str">
        <f>IFERROR(__xludf.DUMMYFUNCTION("""COMPUTED_VALUE"""),"-")</f>
        <v>-</v>
      </c>
    </row>
    <row r="57">
      <c r="A57" s="3" t="str">
        <f>IFERROR(__xludf.DUMMYFUNCTION("""COMPUTED_VALUE"""),"RIAJA0009")</f>
        <v>RIAJA0009</v>
      </c>
      <c r="B57" s="4">
        <f>IFERROR(__xludf.DUMMYFUNCTION("""COMPUTED_VALUE"""),46068.680233784726)</f>
        <v>46068.68023</v>
      </c>
      <c r="C57" s="4">
        <f>IFERROR(__xludf.DUMMYFUNCTION("""COMPUTED_VALUE"""),46072.98181056712)</f>
        <v>46072.98181</v>
      </c>
      <c r="D57" s="3" t="str">
        <f>IFERROR(__xludf.DUMMYFUNCTION("""COMPUTED_VALUE"""),"Sampling Packaging")</f>
        <v>Sampling Packaging</v>
      </c>
      <c r="E57" s="3" t="str">
        <f>IFERROR(__xludf.DUMMYFUNCTION("""COMPUTED_VALUE"""),"EJO")</f>
        <v>EJO</v>
      </c>
      <c r="F57" s="3" t="str">
        <f>IFERROR(__xludf.DUMMYFUNCTION("""COMPUTED_VALUE"""),"Recoating Flowcrete FlowSeal UV Satin Coklat 250
micron")</f>
        <v>Recoating Flowcrete FlowSeal UV Satin Coklat 250
micron</v>
      </c>
      <c r="G57" s="3">
        <f>IFERROR(__xludf.DUMMYFUNCTION("""COMPUTED_VALUE"""),1.0)</f>
        <v>1</v>
      </c>
      <c r="H57" s="3" t="str">
        <f>IFERROR(__xludf.DUMMYFUNCTION("""COMPUTED_VALUE"""),"ls")</f>
        <v>ls</v>
      </c>
      <c r="I57" s="3" t="str">
        <f>IFERROR(__xludf.DUMMYFUNCTION("""COMPUTED_VALUE"""),"Mencari Penawaran")</f>
        <v>Mencari Penawaran</v>
      </c>
      <c r="J57" s="3" t="str">
        <f>IFERROR(__xludf.DUMMYFUNCTION("""COMPUTED_VALUE"""),"121703988 - CANCELLED")</f>
        <v>121703988 - CANCELLED</v>
      </c>
      <c r="K57" s="3" t="str">
        <f>IFERROR(__xludf.DUMMYFUNCTION("""COMPUTED_VALUE"""),"-")</f>
        <v>-</v>
      </c>
    </row>
    <row r="58">
      <c r="A58" s="3" t="str">
        <f>IFERROR(__xludf.DUMMYFUNCTION("""COMPUTED_VALUE"""),"RIAJA0010")</f>
        <v>RIAJA0010</v>
      </c>
      <c r="B58" s="4">
        <f>IFERROR(__xludf.DUMMYFUNCTION("""COMPUTED_VALUE"""),46068.68083392361)</f>
        <v>46068.68083</v>
      </c>
      <c r="C58" s="4">
        <f>IFERROR(__xludf.DUMMYFUNCTION("""COMPUTED_VALUE"""),46072.9816399537)</f>
        <v>46072.98164</v>
      </c>
      <c r="D58" s="3" t="str">
        <f>IFERROR(__xludf.DUMMYFUNCTION("""COMPUTED_VALUE"""),"Equalisasi WWTP")</f>
        <v>Equalisasi WWTP</v>
      </c>
      <c r="E58" s="3" t="str">
        <f>IFERROR(__xludf.DUMMYFUNCTION("""COMPUTED_VALUE"""),"EJO")</f>
        <v>EJO</v>
      </c>
      <c r="F58" s="3" t="str">
        <f>IFERROR(__xludf.DUMMYFUNCTION("""COMPUTED_VALUE"""),"Waterproofing coating Sikagard 7000 CR")</f>
        <v>Waterproofing coating Sikagard 7000 CR</v>
      </c>
      <c r="G58" s="3">
        <f>IFERROR(__xludf.DUMMYFUNCTION("""COMPUTED_VALUE"""),95.0)</f>
        <v>95</v>
      </c>
      <c r="H58" s="3" t="str">
        <f>IFERROR(__xludf.DUMMYFUNCTION("""COMPUTED_VALUE"""),"m2")</f>
        <v>m2</v>
      </c>
      <c r="I58" s="3" t="str">
        <f>IFERROR(__xludf.DUMMYFUNCTION("""COMPUTED_VALUE"""),"Mencari Penawaran")</f>
        <v>Mencari Penawaran</v>
      </c>
      <c r="J58" s="3" t="str">
        <f>IFERROR(__xludf.DUMMYFUNCTION("""COMPUTED_VALUE"""),"121703988 - CANCELLED")</f>
        <v>121703988 - CANCELLED</v>
      </c>
      <c r="K58" s="3" t="str">
        <f>IFERROR(__xludf.DUMMYFUNCTION("""COMPUTED_VALUE"""),"-")</f>
        <v>-</v>
      </c>
    </row>
    <row r="59">
      <c r="A59" s="3" t="str">
        <f>IFERROR(__xludf.DUMMYFUNCTION("""COMPUTED_VALUE"""),"RIAJA0011")</f>
        <v>RIAJA0011</v>
      </c>
      <c r="B59" s="4">
        <f>IFERROR(__xludf.DUMMYFUNCTION("""COMPUTED_VALUE"""),46068.68149923611)</f>
        <v>46068.6815</v>
      </c>
      <c r="C59" s="4">
        <f>IFERROR(__xludf.DUMMYFUNCTION("""COMPUTED_VALUE"""),46072.981367719905)</f>
        <v>46072.98137</v>
      </c>
      <c r="D59" s="3" t="str">
        <f>IFERROR(__xludf.DUMMYFUNCTION("""COMPUTED_VALUE"""),"Equalisasi WWTP")</f>
        <v>Equalisasi WWTP</v>
      </c>
      <c r="E59" s="3" t="str">
        <f>IFERROR(__xludf.DUMMYFUNCTION("""COMPUTED_VALUE"""),"EJO")</f>
        <v>EJO</v>
      </c>
      <c r="F59" s="3" t="str">
        <f>IFERROR(__xludf.DUMMYFUNCTION("""COMPUTED_VALUE"""),"Kupas aci eksisting")</f>
        <v>Kupas aci eksisting</v>
      </c>
      <c r="G59" s="3">
        <f>IFERROR(__xludf.DUMMYFUNCTION("""COMPUTED_VALUE"""),95.0)</f>
        <v>95</v>
      </c>
      <c r="H59" s="3" t="str">
        <f>IFERROR(__xludf.DUMMYFUNCTION("""COMPUTED_VALUE"""),"m3")</f>
        <v>m3</v>
      </c>
      <c r="I59" s="3" t="str">
        <f>IFERROR(__xludf.DUMMYFUNCTION("""COMPUTED_VALUE"""),"Mencari Penawaran")</f>
        <v>Mencari Penawaran</v>
      </c>
      <c r="J59" s="3" t="str">
        <f>IFERROR(__xludf.DUMMYFUNCTION("""COMPUTED_VALUE"""),"121703988 - CANCELLED")</f>
        <v>121703988 - CANCELLED</v>
      </c>
      <c r="K59" s="3" t="str">
        <f>IFERROR(__xludf.DUMMYFUNCTION("""COMPUTED_VALUE"""),"-")</f>
        <v>-</v>
      </c>
    </row>
    <row r="60">
      <c r="A60" s="3" t="str">
        <f>IFERROR(__xludf.DUMMYFUNCTION("""COMPUTED_VALUE"""),"RIAJA0012")</f>
        <v>RIAJA0012</v>
      </c>
      <c r="B60" s="4">
        <f>IFERROR(__xludf.DUMMYFUNCTION("""COMPUTED_VALUE"""),46068.68217659722)</f>
        <v>46068.68218</v>
      </c>
      <c r="C60" s="4">
        <f>IFERROR(__xludf.DUMMYFUNCTION("""COMPUTED_VALUE"""),46072.98114244213)</f>
        <v>46072.98114</v>
      </c>
      <c r="D60" s="3" t="str">
        <f>IFERROR(__xludf.DUMMYFUNCTION("""COMPUTED_VALUE"""),"Condensate WWTP")</f>
        <v>Condensate WWTP</v>
      </c>
      <c r="E60" s="3" t="str">
        <f>IFERROR(__xludf.DUMMYFUNCTION("""COMPUTED_VALUE"""),"EJO/2026/01/145")</f>
        <v>EJO/2026/01/145</v>
      </c>
      <c r="F60" s="3" t="str">
        <f>IFERROR(__xludf.DUMMYFUNCTION("""COMPUTED_VALUE"""),"Injeksi Polyurethane")</f>
        <v>Injeksi Polyurethane</v>
      </c>
      <c r="G60" s="3">
        <f>IFERROR(__xludf.DUMMYFUNCTION("""COMPUTED_VALUE"""),50.0)</f>
        <v>50</v>
      </c>
      <c r="H60" s="3" t="str">
        <f>IFERROR(__xludf.DUMMYFUNCTION("""COMPUTED_VALUE"""),"titik")</f>
        <v>titik</v>
      </c>
      <c r="I60" s="3" t="str">
        <f>IFERROR(__xludf.DUMMYFUNCTION("""COMPUTED_VALUE"""),"Mencari Penawaran")</f>
        <v>Mencari Penawaran</v>
      </c>
      <c r="J60" s="3" t="str">
        <f>IFERROR(__xludf.DUMMYFUNCTION("""COMPUTED_VALUE"""),"121703988 - CANCELLED")</f>
        <v>121703988 - CANCELLED</v>
      </c>
      <c r="K60" s="3" t="str">
        <f>IFERROR(__xludf.DUMMYFUNCTION("""COMPUTED_VALUE"""),"-")</f>
        <v>-</v>
      </c>
    </row>
    <row r="61">
      <c r="A61" s="3" t="str">
        <f>IFERROR(__xludf.DUMMYFUNCTION("""COMPUTED_VALUE"""),"RIAJA0013")</f>
        <v>RIAJA0013</v>
      </c>
      <c r="B61" s="4">
        <f>IFERROR(__xludf.DUMMYFUNCTION("""COMPUTED_VALUE"""),46068.6828222338)</f>
        <v>46068.68282</v>
      </c>
      <c r="C61" s="4">
        <f>IFERROR(__xludf.DUMMYFUNCTION("""COMPUTED_VALUE"""),46072.9809209375)</f>
        <v>46072.98092</v>
      </c>
      <c r="D61" s="3" t="str">
        <f>IFERROR(__xludf.DUMMYFUNCTION("""COMPUTED_VALUE"""),"Produksi &amp; WWTP")</f>
        <v>Produksi &amp; WWTP</v>
      </c>
      <c r="E61" s="3" t="str">
        <f>IFERROR(__xludf.DUMMYFUNCTION("""COMPUTED_VALUE"""),"EJO")</f>
        <v>EJO</v>
      </c>
      <c r="F61" s="3" t="str">
        <f>IFERROR(__xludf.DUMMYFUNCTION("""COMPUTED_VALUE"""),"Preliminaries, APD Safety, dll, Mobilisasi &amp; Demobilisasi, Akomodasi")</f>
        <v>Preliminaries, APD Safety, dll, Mobilisasi &amp; Demobilisasi, Akomodasi</v>
      </c>
      <c r="G61" s="3">
        <f>IFERROR(__xludf.DUMMYFUNCTION("""COMPUTED_VALUE"""),3.0)</f>
        <v>3</v>
      </c>
      <c r="H61" s="3" t="str">
        <f>IFERROR(__xludf.DUMMYFUNCTION("""COMPUTED_VALUE"""),"ls")</f>
        <v>ls</v>
      </c>
      <c r="I61" s="3" t="str">
        <f>IFERROR(__xludf.DUMMYFUNCTION("""COMPUTED_VALUE"""),"Mencari Penawaran")</f>
        <v>Mencari Penawaran</v>
      </c>
      <c r="J61" s="3" t="str">
        <f>IFERROR(__xludf.DUMMYFUNCTION("""COMPUTED_VALUE"""),"121703988 - CANCELLED")</f>
        <v>121703988 - CANCELLED</v>
      </c>
      <c r="K61" s="3" t="str">
        <f>IFERROR(__xludf.DUMMYFUNCTION("""COMPUTED_VALUE"""),"-")</f>
        <v>-</v>
      </c>
    </row>
    <row r="62">
      <c r="A62" s="3" t="str">
        <f>IFERROR(__xludf.DUMMYFUNCTION("""COMPUTED_VALUE"""),"MOBJA0004")</f>
        <v>MOBJA0004</v>
      </c>
      <c r="B62" s="4">
        <f>IFERROR(__xludf.DUMMYFUNCTION("""COMPUTED_VALUE"""),46150.471878553246)</f>
        <v>46150.47188</v>
      </c>
      <c r="C62" s="4">
        <f>IFERROR(__xludf.DUMMYFUNCTION("""COMPUTED_VALUE"""),46153.638815509265)</f>
        <v>46153.63882</v>
      </c>
      <c r="D62" s="3" t="str">
        <f>IFERROR(__xludf.DUMMYFUNCTION("""COMPUTED_VALUE"""),"PSG")</f>
        <v>PSG</v>
      </c>
      <c r="E62" s="3" t="str">
        <f>IFERROR(__xludf.DUMMYFUNCTION("""COMPUTED_VALUE"""),"EJO/2026/04/022")</f>
        <v>EJO/2026/04/022</v>
      </c>
      <c r="F62" s="3" t="str">
        <f>IFERROR(__xludf.DUMMYFUNCTION("""COMPUTED_VALUE"""),"Mainline condensate PSG Bocor")</f>
        <v>Mainline condensate PSG Bocor</v>
      </c>
      <c r="G62" s="3">
        <f>IFERROR(__xludf.DUMMYFUNCTION("""COMPUTED_VALUE"""),1.0)</f>
        <v>1</v>
      </c>
      <c r="H62" s="3" t="str">
        <f>IFERROR(__xludf.DUMMYFUNCTION("""COMPUTED_VALUE"""),"Lot")</f>
        <v>Lot</v>
      </c>
      <c r="I62" s="3" t="str">
        <f>IFERROR(__xludf.DUMMYFUNCTION("""COMPUTED_VALUE"""),"PR Open")</f>
        <v>PR Open</v>
      </c>
      <c r="J62" s="3" t="str">
        <f>IFERROR(__xludf.DUMMYFUNCTION("""COMPUTED_VALUE"""),"121704557 - APPROVED")</f>
        <v>121704557 - APPROVED</v>
      </c>
      <c r="K62" s="3" t="str">
        <f>IFERROR(__xludf.DUMMYFUNCTION("""COMPUTED_VALUE"""),"-")</f>
        <v>-</v>
      </c>
    </row>
    <row r="63">
      <c r="A63" s="3" t="str">
        <f>IFERROR(__xludf.DUMMYFUNCTION("""COMPUTED_VALUE"""),"RIAJA0014")</f>
        <v>RIAJA0014</v>
      </c>
      <c r="B63" s="4">
        <f>IFERROR(__xludf.DUMMYFUNCTION("""COMPUTED_VALUE"""),46181.14574168982)</f>
        <v>46181.14574</v>
      </c>
      <c r="C63" s="4">
        <f>IFERROR(__xludf.DUMMYFUNCTION("""COMPUTED_VALUE"""),46202.92888675926)</f>
        <v>46202.92889</v>
      </c>
      <c r="D63" s="3" t="str">
        <f>IFERROR(__xludf.DUMMYFUNCTION("""COMPUTED_VALUE"""),"Virdi")</f>
        <v>Virdi</v>
      </c>
      <c r="E63" s="3" t="str">
        <f>IFERROR(__xludf.DUMMYFUNCTION("""COMPUTED_VALUE"""),"EJO")</f>
        <v>EJO</v>
      </c>
      <c r="F63" s="3" t="str">
        <f>IFERROR(__xludf.DUMMYFUNCTION("""COMPUTED_VALUE"""),"Perbaikan Board
Tapping Absen")</f>
        <v>Perbaikan Board
Tapping Absen</v>
      </c>
      <c r="G63" s="3">
        <f>IFERROR(__xludf.DUMMYFUNCTION("""COMPUTED_VALUE"""),1.0)</f>
        <v>1</v>
      </c>
      <c r="H63" s="3" t="str">
        <f>IFERROR(__xludf.DUMMYFUNCTION("""COMPUTED_VALUE"""),"Set")</f>
        <v>Set</v>
      </c>
      <c r="I63" s="3" t="str">
        <f>IFERROR(__xludf.DUMMYFUNCTION("""COMPUTED_VALUE"""),"PO Open")</f>
        <v>PO Open</v>
      </c>
      <c r="J63" s="3" t="str">
        <f>IFERROR(__xludf.DUMMYFUNCTION("""COMPUTED_VALUE"""),"121704472 - APPROVED")</f>
        <v>121704472 - APPROVED</v>
      </c>
      <c r="K63" s="3" t="str">
        <f>IFERROR(__xludf.DUMMYFUNCTION("""COMPUTED_VALUE"""),"GL2608022")</f>
        <v>GL2608022</v>
      </c>
    </row>
    <row r="64">
      <c r="A64" s="3" t="str">
        <f>IFERROR(__xludf.DUMMYFUNCTION("""COMPUTED_VALUE"""),"RIAJA0015")</f>
        <v>RIAJA0015</v>
      </c>
      <c r="B64" s="4">
        <f>IFERROR(__xludf.DUMMYFUNCTION("""COMPUTED_VALUE"""),46181.14625178241)</f>
        <v>46181.14625</v>
      </c>
      <c r="C64" s="4">
        <f>IFERROR(__xludf.DUMMYFUNCTION("""COMPUTED_VALUE"""),46202.92922936343)</f>
        <v>46202.92923</v>
      </c>
      <c r="D64" s="3" t="str">
        <f>IFERROR(__xludf.DUMMYFUNCTION("""COMPUTED_VALUE"""),"WICC FGRM")</f>
        <v>WICC FGRM</v>
      </c>
      <c r="E64" s="3" t="str">
        <f>IFERROR(__xludf.DUMMYFUNCTION("""COMPUTED_VALUE"""),"EJO")</f>
        <v>EJO</v>
      </c>
      <c r="F64" s="3" t="str">
        <f>IFERROR(__xludf.DUMMYFUNCTION("""COMPUTED_VALUE"""),"Perbaikan Board Power")</f>
        <v>Perbaikan Board Power</v>
      </c>
      <c r="G64" s="3">
        <f>IFERROR(__xludf.DUMMYFUNCTION("""COMPUTED_VALUE"""),1.0)</f>
        <v>1</v>
      </c>
      <c r="H64" s="3" t="str">
        <f>IFERROR(__xludf.DUMMYFUNCTION("""COMPUTED_VALUE"""),"Set")</f>
        <v>Set</v>
      </c>
      <c r="I64" s="3" t="str">
        <f>IFERROR(__xludf.DUMMYFUNCTION("""COMPUTED_VALUE"""),"Deliver")</f>
        <v>Deliver</v>
      </c>
      <c r="J64" s="3" t="str">
        <f>IFERROR(__xludf.DUMMYFUNCTION("""COMPUTED_VALUE"""),"121704292 - APPROVED")</f>
        <v>121704292 - APPROVED</v>
      </c>
      <c r="K64" s="3" t="str">
        <f>IFERROR(__xludf.DUMMYFUNCTION("""COMPUTED_VALUE"""),"GL2607001")</f>
        <v>GL2607001</v>
      </c>
    </row>
    <row r="65">
      <c r="A65" s="3" t="str">
        <f>IFERROR(__xludf.DUMMYFUNCTION("""COMPUTED_VALUE"""),"AAAJA0001")</f>
        <v>AAAJA0001</v>
      </c>
      <c r="B65" s="4">
        <f>IFERROR(__xludf.DUMMYFUNCTION("""COMPUTED_VALUE"""),46256.06071520833)</f>
        <v>46256.06072</v>
      </c>
      <c r="C65" s="4">
        <f>IFERROR(__xludf.DUMMYFUNCTION("""COMPUTED_VALUE"""),45692.57178984954)</f>
        <v>45692.57179</v>
      </c>
      <c r="D65" s="3" t="str">
        <f>IFERROR(__xludf.DUMMYFUNCTION("""COMPUTED_VALUE"""),"Cytotoxic Cabinet bio test micro lab")</f>
        <v>Cytotoxic Cabinet bio test micro lab</v>
      </c>
      <c r="E65" s="3" t="str">
        <f>IFERROR(__xludf.DUMMYFUNCTION("""COMPUTED_VALUE"""),"EJO/2025/01/138")</f>
        <v>EJO/2025/01/138</v>
      </c>
      <c r="F65" s="3" t="str">
        <f>IFERROR(__xludf.DUMMYFUNCTION("""COMPUTED_VALUE"""),"Pembelian HEPA Filter dan jasa pemasangan")</f>
        <v>Pembelian HEPA Filter dan jasa pemasangan</v>
      </c>
      <c r="G65" s="3">
        <f>IFERROR(__xludf.DUMMYFUNCTION("""COMPUTED_VALUE"""),6.0)</f>
        <v>6</v>
      </c>
      <c r="H65" s="3" t="str">
        <f>IFERROR(__xludf.DUMMYFUNCTION("""COMPUTED_VALUE"""),"Pcs")</f>
        <v>Pcs</v>
      </c>
      <c r="I65" s="3" t="str">
        <f>IFERROR(__xludf.DUMMYFUNCTION("""COMPUTED_VALUE"""),"Deliver")</f>
        <v>Deliver</v>
      </c>
      <c r="J65" s="3" t="str">
        <f>IFERROR(__xludf.DUMMYFUNCTION("""COMPUTED_VALUE"""),"-")</f>
        <v>-</v>
      </c>
      <c r="K65" s="3" t="str">
        <f>IFERROR(__xludf.DUMMYFUNCTION("""COMPUTED_VALUE"""),"-")</f>
        <v>-</v>
      </c>
    </row>
    <row r="66">
      <c r="A66" s="3" t="str">
        <f>IFERROR(__xludf.DUMMYFUNCTION("""COMPUTED_VALUE"""),"AAAJA0002")</f>
        <v>AAAJA0002</v>
      </c>
      <c r="B66" s="4">
        <f>IFERROR(__xludf.DUMMYFUNCTION("""COMPUTED_VALUE"""),46256.06071520833)</f>
        <v>46256.06072</v>
      </c>
      <c r="C66" s="4">
        <f>IFERROR(__xludf.DUMMYFUNCTION("""COMPUTED_VALUE"""),45692.57221037037)</f>
        <v>45692.57221</v>
      </c>
      <c r="D66" s="3" t="str">
        <f>IFERROR(__xludf.DUMMYFUNCTION("""COMPUTED_VALUE"""),"Cytotoxic Cabinet Total count micro lab")</f>
        <v>Cytotoxic Cabinet Total count micro lab</v>
      </c>
      <c r="E66" s="3" t="str">
        <f>IFERROR(__xludf.DUMMYFUNCTION("""COMPUTED_VALUE"""),"EJO/2025/01/138")</f>
        <v>EJO/2025/01/138</v>
      </c>
      <c r="F66" s="3" t="str">
        <f>IFERROR(__xludf.DUMMYFUNCTION("""COMPUTED_VALUE"""),"HEPA filter dan pasang")</f>
        <v>HEPA filter dan pasang</v>
      </c>
      <c r="G66" s="3">
        <f>IFERROR(__xludf.DUMMYFUNCTION("""COMPUTED_VALUE"""),9.0)</f>
        <v>9</v>
      </c>
      <c r="H66" s="3" t="str">
        <f>IFERROR(__xludf.DUMMYFUNCTION("""COMPUTED_VALUE"""),"Pcs")</f>
        <v>Pcs</v>
      </c>
      <c r="I66" s="3" t="str">
        <f>IFERROR(__xludf.DUMMYFUNCTION("""COMPUTED_VALUE"""),"Deliver")</f>
        <v>Deliver</v>
      </c>
      <c r="J66" s="3" t="str">
        <f>IFERROR(__xludf.DUMMYFUNCTION("""COMPUTED_VALUE"""),"-")</f>
        <v>-</v>
      </c>
      <c r="K66" s="3" t="str">
        <f>IFERROR(__xludf.DUMMYFUNCTION("""COMPUTED_VALUE"""),"-")</f>
        <v>-</v>
      </c>
    </row>
    <row r="67">
      <c r="A67" s="3" t="str">
        <f>IFERROR(__xludf.DUMMYFUNCTION("""COMPUTED_VALUE"""),"AAAJA0003")</f>
        <v>AAAJA0003</v>
      </c>
      <c r="B67" s="4">
        <f>IFERROR(__xludf.DUMMYFUNCTION("""COMPUTED_VALUE"""),46256.06071520833)</f>
        <v>46256.06072</v>
      </c>
      <c r="C67" s="4">
        <f>IFERROR(__xludf.DUMMYFUNCTION("""COMPUTED_VALUE"""),45692.572679375)</f>
        <v>45692.57268</v>
      </c>
      <c r="D67" s="3" t="str">
        <f>IFERROR(__xludf.DUMMYFUNCTION("""COMPUTED_VALUE"""),"Cytotoxic Cabinet Containment Lab")</f>
        <v>Cytotoxic Cabinet Containment Lab</v>
      </c>
      <c r="E67" s="3" t="str">
        <f>IFERROR(__xludf.DUMMYFUNCTION("""COMPUTED_VALUE"""),"EJO/2025/01/138")</f>
        <v>EJO/2025/01/138</v>
      </c>
      <c r="F67" s="3" t="str">
        <f>IFERROR(__xludf.DUMMYFUNCTION("""COMPUTED_VALUE"""),"HEPA filter dan pasang")</f>
        <v>HEPA filter dan pasang</v>
      </c>
      <c r="G67" s="3">
        <f>IFERROR(__xludf.DUMMYFUNCTION("""COMPUTED_VALUE"""),9.0)</f>
        <v>9</v>
      </c>
      <c r="H67" s="3" t="str">
        <f>IFERROR(__xludf.DUMMYFUNCTION("""COMPUTED_VALUE"""),"Pcs")</f>
        <v>Pcs</v>
      </c>
      <c r="I67" s="3" t="str">
        <f>IFERROR(__xludf.DUMMYFUNCTION("""COMPUTED_VALUE"""),"Deliver")</f>
        <v>Deliver</v>
      </c>
      <c r="J67" s="3" t="str">
        <f>IFERROR(__xludf.DUMMYFUNCTION("""COMPUTED_VALUE"""),"-")</f>
        <v>-</v>
      </c>
      <c r="K67" s="3" t="str">
        <f>IFERROR(__xludf.DUMMYFUNCTION("""COMPUTED_VALUE"""),"-")</f>
        <v>-</v>
      </c>
    </row>
    <row r="68">
      <c r="I68" s="3"/>
      <c r="J68" s="3"/>
      <c r="K68" s="3"/>
    </row>
    <row r="69">
      <c r="I69" s="3"/>
      <c r="J69" s="3"/>
      <c r="K69" s="3"/>
    </row>
    <row r="70">
      <c r="I70" s="3"/>
      <c r="J70" s="3"/>
      <c r="K70" s="3"/>
    </row>
    <row r="71">
      <c r="I71" s="3"/>
      <c r="J71" s="3"/>
      <c r="K71" s="3"/>
    </row>
    <row r="72">
      <c r="I72" s="3"/>
      <c r="J72" s="3"/>
      <c r="K72" s="3"/>
    </row>
    <row r="73">
      <c r="I73" s="3"/>
      <c r="J73" s="3"/>
      <c r="K73" s="3"/>
    </row>
    <row r="74">
      <c r="I74" s="3"/>
      <c r="J74" s="3"/>
      <c r="K74" s="3"/>
    </row>
    <row r="75">
      <c r="I75" s="3"/>
      <c r="J75" s="3"/>
      <c r="K75" s="3"/>
    </row>
    <row r="76">
      <c r="I76" s="3"/>
      <c r="J76" s="3"/>
      <c r="K76" s="3"/>
    </row>
    <row r="77">
      <c r="I77" s="3"/>
      <c r="J77" s="3"/>
      <c r="K77" s="3"/>
    </row>
    <row r="78">
      <c r="I78" s="3"/>
      <c r="J78" s="3"/>
      <c r="K78" s="3"/>
    </row>
    <row r="79">
      <c r="I79" s="3"/>
      <c r="J79" s="3"/>
      <c r="K79" s="3"/>
    </row>
    <row r="80">
      <c r="I80" s="3"/>
      <c r="J80" s="3"/>
      <c r="K80" s="3"/>
    </row>
    <row r="81">
      <c r="I81" s="3"/>
      <c r="J81" s="3"/>
      <c r="K81" s="3"/>
    </row>
    <row r="82">
      <c r="I82" s="3"/>
      <c r="J82" s="3"/>
      <c r="K82" s="3"/>
    </row>
    <row r="83">
      <c r="I83" s="3"/>
      <c r="J83" s="3"/>
      <c r="K83" s="3"/>
    </row>
    <row r="84">
      <c r="I84" s="3"/>
      <c r="J84" s="3"/>
      <c r="K84" s="3"/>
    </row>
    <row r="85">
      <c r="I85" s="3"/>
      <c r="J85" s="3"/>
      <c r="K85" s="3"/>
    </row>
    <row r="86">
      <c r="I86" s="3"/>
      <c r="J86" s="3"/>
      <c r="K86" s="3"/>
    </row>
    <row r="87">
      <c r="I87" s="3"/>
      <c r="J87" s="3"/>
      <c r="K87" s="3"/>
    </row>
    <row r="88">
      <c r="I88" s="3"/>
      <c r="J88" s="3"/>
      <c r="K88" s="3"/>
    </row>
    <row r="89">
      <c r="I89" s="3"/>
      <c r="J89" s="3"/>
      <c r="K89" s="3"/>
    </row>
    <row r="90">
      <c r="I90" s="3"/>
      <c r="J90" s="3"/>
      <c r="K90" s="3"/>
    </row>
    <row r="91">
      <c r="I91" s="3"/>
      <c r="J91" s="3"/>
      <c r="K91" s="3"/>
    </row>
    <row r="92">
      <c r="I92" s="3"/>
      <c r="J92" s="3"/>
      <c r="K92" s="3"/>
    </row>
    <row r="93">
      <c r="I93" s="3"/>
      <c r="J93" s="3"/>
      <c r="K93" s="3"/>
    </row>
    <row r="94">
      <c r="I94" s="3"/>
      <c r="J94" s="3"/>
      <c r="K94" s="3"/>
    </row>
    <row r="95">
      <c r="I95" s="3"/>
      <c r="J95" s="3"/>
      <c r="K95" s="3"/>
    </row>
    <row r="96">
      <c r="I96" s="3"/>
      <c r="J96" s="3"/>
      <c r="K96" s="3"/>
    </row>
    <row r="97">
      <c r="I97" s="3"/>
      <c r="J97" s="3"/>
      <c r="K97" s="3"/>
    </row>
    <row r="98">
      <c r="I98" s="3"/>
      <c r="J98" s="3"/>
      <c r="K98" s="3"/>
    </row>
    <row r="99">
      <c r="I99" s="3"/>
      <c r="J99" s="3"/>
      <c r="K99" s="3"/>
    </row>
    <row r="100">
      <c r="I100" s="3"/>
      <c r="J100" s="3"/>
      <c r="K100" s="3"/>
    </row>
    <row r="101">
      <c r="I101" s="3"/>
      <c r="J101" s="3"/>
      <c r="K101" s="3"/>
    </row>
    <row r="102">
      <c r="I102" s="3"/>
      <c r="J102" s="3"/>
      <c r="K102" s="3"/>
    </row>
    <row r="103">
      <c r="I103" s="3"/>
      <c r="J103" s="3"/>
      <c r="K103" s="3"/>
    </row>
    <row r="104">
      <c r="I104" s="3"/>
      <c r="J104" s="3"/>
      <c r="K104" s="3"/>
    </row>
    <row r="105">
      <c r="I105" s="3"/>
      <c r="J105" s="3"/>
      <c r="K105" s="3"/>
    </row>
    <row r="106">
      <c r="I106" s="3"/>
      <c r="J106" s="3"/>
      <c r="K106" s="3"/>
    </row>
    <row r="107">
      <c r="I107" s="3"/>
      <c r="J107" s="3"/>
      <c r="K107" s="3"/>
    </row>
    <row r="108">
      <c r="I108" s="3"/>
      <c r="J108" s="3"/>
      <c r="K108" s="3"/>
    </row>
    <row r="109">
      <c r="I109" s="3"/>
      <c r="J109" s="3"/>
      <c r="K109" s="3"/>
    </row>
    <row r="110">
      <c r="I110" s="3"/>
      <c r="J110" s="3"/>
      <c r="K110" s="3"/>
    </row>
    <row r="111">
      <c r="I111" s="3"/>
      <c r="J111" s="3"/>
      <c r="K111" s="3"/>
    </row>
    <row r="112">
      <c r="I112" s="3"/>
      <c r="J112" s="3"/>
      <c r="K112" s="3"/>
    </row>
    <row r="113">
      <c r="I113" s="3"/>
      <c r="J113" s="3"/>
      <c r="K113" s="3"/>
    </row>
    <row r="114">
      <c r="I114" s="3"/>
      <c r="J114" s="3"/>
      <c r="K114" s="3"/>
    </row>
    <row r="115">
      <c r="I115" s="3"/>
      <c r="J115" s="3"/>
      <c r="K115" s="3"/>
    </row>
    <row r="116">
      <c r="I116" s="3"/>
      <c r="J116" s="3"/>
      <c r="K116" s="3"/>
    </row>
    <row r="117">
      <c r="I117" s="3"/>
      <c r="J117" s="3"/>
      <c r="K117" s="3"/>
    </row>
    <row r="118">
      <c r="I118" s="3"/>
      <c r="J118" s="3"/>
      <c r="K118" s="3"/>
    </row>
    <row r="119">
      <c r="I119" s="3"/>
      <c r="J119" s="3"/>
      <c r="K119" s="3"/>
    </row>
    <row r="120">
      <c r="I120" s="3"/>
      <c r="J120" s="3"/>
      <c r="K120" s="3"/>
    </row>
    <row r="121">
      <c r="I121" s="3"/>
      <c r="J121" s="3"/>
      <c r="K121" s="3"/>
    </row>
    <row r="122">
      <c r="I122" s="3"/>
      <c r="J122" s="3"/>
      <c r="K122" s="3"/>
    </row>
    <row r="123">
      <c r="I123" s="3"/>
      <c r="J123" s="3"/>
      <c r="K123" s="3"/>
    </row>
    <row r="124">
      <c r="I124" s="3"/>
      <c r="J124" s="3"/>
      <c r="K124" s="3"/>
    </row>
    <row r="125">
      <c r="I125" s="3"/>
      <c r="J125" s="3"/>
      <c r="K125" s="3"/>
    </row>
    <row r="126">
      <c r="I126" s="3"/>
      <c r="J126" s="3"/>
      <c r="K126" s="3"/>
    </row>
    <row r="127">
      <c r="I127" s="3"/>
      <c r="J127" s="3"/>
      <c r="K127" s="3"/>
    </row>
    <row r="128">
      <c r="I128" s="3"/>
      <c r="J128" s="3"/>
      <c r="K128" s="3"/>
    </row>
    <row r="129">
      <c r="I129" s="3"/>
      <c r="J129" s="3"/>
      <c r="K129" s="3"/>
    </row>
    <row r="130">
      <c r="I130" s="3"/>
      <c r="J130" s="3"/>
      <c r="K130" s="3"/>
    </row>
    <row r="131">
      <c r="I131" s="3"/>
      <c r="J131" s="3"/>
      <c r="K131" s="3"/>
    </row>
    <row r="132">
      <c r="I132" s="3"/>
      <c r="J132" s="3"/>
      <c r="K132" s="3"/>
    </row>
    <row r="133">
      <c r="I133" s="3"/>
      <c r="J133" s="3"/>
      <c r="K133" s="3"/>
    </row>
    <row r="134">
      <c r="I134" s="3"/>
      <c r="J134" s="3"/>
      <c r="K134" s="3"/>
    </row>
    <row r="135">
      <c r="I135" s="3"/>
      <c r="J135" s="3"/>
      <c r="K135" s="3"/>
    </row>
    <row r="136">
      <c r="I136" s="3"/>
      <c r="J136" s="3"/>
      <c r="K136" s="3"/>
    </row>
    <row r="137">
      <c r="I137" s="3"/>
      <c r="J137" s="3"/>
      <c r="K137" s="3"/>
    </row>
    <row r="138">
      <c r="I138" s="3"/>
      <c r="J138" s="3"/>
      <c r="K138" s="3"/>
    </row>
    <row r="139">
      <c r="I139" s="3"/>
      <c r="J139" s="3"/>
      <c r="K139" s="3"/>
    </row>
    <row r="140">
      <c r="I140" s="3"/>
      <c r="J140" s="3"/>
      <c r="K140" s="3"/>
    </row>
    <row r="141">
      <c r="I141" s="3"/>
      <c r="J141" s="3"/>
      <c r="K141" s="3"/>
    </row>
    <row r="142">
      <c r="I142" s="3"/>
      <c r="J142" s="3"/>
      <c r="K142" s="3"/>
    </row>
    <row r="143">
      <c r="I143" s="3"/>
      <c r="J143" s="3"/>
      <c r="K143" s="3"/>
    </row>
    <row r="144">
      <c r="I144" s="3"/>
      <c r="J144" s="3"/>
      <c r="K144" s="3"/>
    </row>
    <row r="145">
      <c r="I145" s="3"/>
      <c r="J145" s="3"/>
      <c r="K145" s="3"/>
    </row>
    <row r="146">
      <c r="I146" s="3"/>
      <c r="J146" s="3"/>
      <c r="K146" s="3"/>
    </row>
    <row r="147">
      <c r="I147" s="3"/>
      <c r="J147" s="3"/>
      <c r="K147" s="3"/>
    </row>
    <row r="148">
      <c r="I148" s="3"/>
      <c r="J148" s="3"/>
      <c r="K148" s="3"/>
    </row>
    <row r="149">
      <c r="I149" s="3"/>
      <c r="J149" s="3"/>
      <c r="K149" s="3"/>
    </row>
    <row r="150">
      <c r="I150" s="3"/>
      <c r="J150" s="3"/>
      <c r="K150" s="3"/>
    </row>
    <row r="151">
      <c r="I151" s="3"/>
      <c r="J151" s="3"/>
      <c r="K151" s="3"/>
    </row>
    <row r="152">
      <c r="I152" s="3"/>
      <c r="J152" s="3"/>
      <c r="K152" s="3"/>
    </row>
    <row r="153">
      <c r="I153" s="3"/>
      <c r="J153" s="3"/>
      <c r="K153" s="3"/>
    </row>
    <row r="154">
      <c r="I154" s="3"/>
      <c r="J154" s="3"/>
      <c r="K154" s="3"/>
    </row>
    <row r="155">
      <c r="I155" s="3"/>
      <c r="J155" s="3"/>
      <c r="K155" s="3"/>
    </row>
    <row r="156">
      <c r="I156" s="3"/>
      <c r="J156" s="3"/>
      <c r="K156" s="3"/>
    </row>
    <row r="157">
      <c r="I157" s="3"/>
      <c r="J157" s="3"/>
      <c r="K157" s="3"/>
    </row>
    <row r="158">
      <c r="I158" s="3"/>
      <c r="J158" s="3"/>
      <c r="K158" s="3"/>
    </row>
    <row r="159">
      <c r="I159" s="3"/>
      <c r="J159" s="3"/>
      <c r="K159" s="3"/>
    </row>
    <row r="160">
      <c r="I160" s="3"/>
      <c r="J160" s="3"/>
      <c r="K160" s="3"/>
    </row>
    <row r="161">
      <c r="I161" s="3"/>
      <c r="J161" s="3"/>
      <c r="K161" s="3"/>
    </row>
    <row r="162">
      <c r="I162" s="3"/>
      <c r="J162" s="3"/>
      <c r="K162" s="3"/>
    </row>
    <row r="163">
      <c r="I163" s="3"/>
      <c r="J163" s="3"/>
      <c r="K163" s="3"/>
    </row>
    <row r="164">
      <c r="I164" s="3"/>
      <c r="J164" s="3"/>
      <c r="K164" s="3"/>
    </row>
    <row r="165">
      <c r="I165" s="3"/>
      <c r="J165" s="3"/>
      <c r="K165" s="3"/>
    </row>
    <row r="166">
      <c r="I166" s="3"/>
      <c r="J166" s="3"/>
      <c r="K166" s="3"/>
    </row>
    <row r="167">
      <c r="I167" s="3"/>
      <c r="J167" s="3"/>
      <c r="K167" s="3"/>
    </row>
    <row r="168">
      <c r="I168" s="3"/>
      <c r="J168" s="3"/>
      <c r="K168" s="3"/>
    </row>
    <row r="169">
      <c r="I169" s="3"/>
      <c r="J169" s="3"/>
      <c r="K169" s="3"/>
    </row>
    <row r="170">
      <c r="I170" s="3"/>
      <c r="J170" s="3"/>
      <c r="K170" s="3"/>
    </row>
    <row r="171">
      <c r="I171" s="3"/>
      <c r="J171" s="3"/>
      <c r="K171" s="3"/>
    </row>
    <row r="172">
      <c r="I172" s="3"/>
      <c r="J172" s="3"/>
      <c r="K172" s="3"/>
    </row>
    <row r="173">
      <c r="I173" s="3"/>
      <c r="J173" s="3"/>
      <c r="K173" s="3"/>
    </row>
    <row r="174">
      <c r="I174" s="3"/>
      <c r="J174" s="3"/>
      <c r="K174" s="3"/>
    </row>
    <row r="175">
      <c r="I175" s="3"/>
      <c r="J175" s="3"/>
      <c r="K175" s="3"/>
    </row>
    <row r="176">
      <c r="I176" s="3"/>
      <c r="J176" s="3"/>
      <c r="K176" s="3"/>
    </row>
    <row r="177">
      <c r="I177" s="3"/>
      <c r="J177" s="3"/>
      <c r="K177" s="3"/>
    </row>
    <row r="178">
      <c r="I178" s="3"/>
      <c r="J178" s="3"/>
      <c r="K178" s="3"/>
    </row>
    <row r="179">
      <c r="I179" s="3"/>
      <c r="J179" s="3"/>
      <c r="K179" s="3"/>
    </row>
    <row r="180">
      <c r="I180" s="3"/>
      <c r="J180" s="3"/>
      <c r="K180" s="3"/>
    </row>
    <row r="181">
      <c r="I181" s="3"/>
      <c r="J181" s="3"/>
      <c r="K181" s="3"/>
    </row>
    <row r="182">
      <c r="I182" s="3"/>
      <c r="J182" s="3"/>
      <c r="K182" s="3"/>
    </row>
    <row r="183">
      <c r="I183" s="3"/>
      <c r="J183" s="3"/>
      <c r="K183" s="3"/>
    </row>
    <row r="184">
      <c r="I184" s="3"/>
      <c r="J184" s="3"/>
      <c r="K184" s="3"/>
    </row>
    <row r="185">
      <c r="I185" s="3"/>
      <c r="J185" s="3"/>
      <c r="K185" s="3"/>
    </row>
    <row r="186">
      <c r="I186" s="3"/>
      <c r="J186" s="3"/>
      <c r="K186" s="3"/>
    </row>
    <row r="187">
      <c r="I187" s="3"/>
      <c r="J187" s="3"/>
      <c r="K187" s="3"/>
    </row>
    <row r="188">
      <c r="I188" s="3"/>
      <c r="J188" s="3"/>
      <c r="K188" s="3"/>
    </row>
    <row r="189">
      <c r="I189" s="3"/>
      <c r="J189" s="3"/>
      <c r="K189" s="3"/>
    </row>
    <row r="190">
      <c r="I190" s="3"/>
      <c r="J190" s="3"/>
      <c r="K190" s="3"/>
    </row>
    <row r="191">
      <c r="I191" s="3"/>
      <c r="J191" s="3"/>
      <c r="K191" s="3"/>
    </row>
    <row r="192">
      <c r="I192" s="3"/>
      <c r="J192" s="3"/>
      <c r="K192" s="3"/>
    </row>
    <row r="193">
      <c r="I193" s="3"/>
      <c r="J193" s="3"/>
      <c r="K193" s="3"/>
    </row>
    <row r="194">
      <c r="I194" s="3"/>
      <c r="J194" s="3"/>
      <c r="K194" s="3"/>
    </row>
    <row r="195">
      <c r="I195" s="3"/>
      <c r="J195" s="3"/>
      <c r="K195" s="3"/>
    </row>
    <row r="196">
      <c r="I196" s="3"/>
      <c r="J196" s="3"/>
      <c r="K196" s="3"/>
    </row>
    <row r="197">
      <c r="I197" s="3"/>
      <c r="J197" s="3"/>
      <c r="K197" s="3"/>
    </row>
    <row r="198">
      <c r="I198" s="3"/>
      <c r="J198" s="3"/>
      <c r="K198" s="3"/>
    </row>
    <row r="199">
      <c r="I199" s="3"/>
      <c r="J199" s="3"/>
      <c r="K199" s="3"/>
    </row>
    <row r="200">
      <c r="I200" s="3"/>
      <c r="J200" s="3"/>
      <c r="K200" s="3"/>
    </row>
    <row r="201">
      <c r="I201" s="3"/>
      <c r="J201" s="3"/>
      <c r="K201" s="3"/>
    </row>
    <row r="202">
      <c r="I202" s="3"/>
      <c r="J202" s="3"/>
      <c r="K202" s="3"/>
    </row>
    <row r="203">
      <c r="I203" s="3"/>
      <c r="J203" s="3"/>
      <c r="K203" s="3"/>
    </row>
    <row r="204">
      <c r="I204" s="3"/>
      <c r="J204" s="3"/>
      <c r="K204" s="3"/>
    </row>
    <row r="205">
      <c r="I205" s="3"/>
      <c r="J205" s="3"/>
      <c r="K205" s="3"/>
    </row>
    <row r="206">
      <c r="I206" s="3"/>
      <c r="J206" s="3"/>
      <c r="K206" s="3"/>
    </row>
    <row r="207">
      <c r="I207" s="3"/>
      <c r="J207" s="3"/>
      <c r="K207" s="3"/>
    </row>
    <row r="208">
      <c r="I208" s="3"/>
      <c r="J208" s="3"/>
      <c r="K208" s="3"/>
    </row>
    <row r="209">
      <c r="I209" s="3"/>
      <c r="J209" s="3"/>
      <c r="K209" s="3"/>
    </row>
    <row r="210">
      <c r="I210" s="3"/>
      <c r="J210" s="3"/>
      <c r="K210" s="3"/>
    </row>
    <row r="211">
      <c r="I211" s="3"/>
      <c r="J211" s="3"/>
      <c r="K211" s="3"/>
    </row>
    <row r="212">
      <c r="I212" s="3"/>
      <c r="J212" s="3"/>
      <c r="K212" s="3"/>
    </row>
    <row r="213">
      <c r="I213" s="3"/>
      <c r="J213" s="3"/>
      <c r="K213" s="3"/>
    </row>
    <row r="214">
      <c r="I214" s="3"/>
      <c r="J214" s="3"/>
      <c r="K214" s="3"/>
    </row>
    <row r="215">
      <c r="I215" s="3"/>
      <c r="J215" s="3"/>
      <c r="K215" s="3"/>
    </row>
    <row r="216">
      <c r="I216" s="3"/>
      <c r="J216" s="3"/>
      <c r="K216" s="3"/>
    </row>
    <row r="217">
      <c r="I217" s="3"/>
      <c r="J217" s="3"/>
      <c r="K217" s="3"/>
    </row>
    <row r="218">
      <c r="I218" s="3"/>
      <c r="J218" s="3"/>
      <c r="K218" s="3"/>
    </row>
    <row r="219">
      <c r="I219" s="3"/>
      <c r="J219" s="3"/>
      <c r="K219" s="3"/>
    </row>
    <row r="220">
      <c r="I220" s="3"/>
      <c r="J220" s="3"/>
      <c r="K220" s="3"/>
    </row>
    <row r="221">
      <c r="I221" s="3"/>
      <c r="J221" s="3"/>
      <c r="K221" s="3"/>
    </row>
    <row r="222">
      <c r="I222" s="3"/>
      <c r="J222" s="3"/>
      <c r="K222" s="3"/>
    </row>
    <row r="223">
      <c r="I223" s="3"/>
      <c r="J223" s="3"/>
      <c r="K223" s="3"/>
    </row>
    <row r="224">
      <c r="I224" s="3"/>
      <c r="J224" s="3"/>
      <c r="K224" s="3"/>
    </row>
    <row r="225">
      <c r="I225" s="3"/>
      <c r="J225" s="3"/>
      <c r="K225" s="3"/>
    </row>
    <row r="226">
      <c r="I226" s="3"/>
      <c r="J226" s="3"/>
      <c r="K226" s="3"/>
    </row>
    <row r="227">
      <c r="I227" s="3"/>
      <c r="J227" s="3"/>
      <c r="K227" s="3"/>
    </row>
    <row r="228">
      <c r="I228" s="3"/>
      <c r="J228" s="3"/>
      <c r="K228" s="3"/>
    </row>
    <row r="229">
      <c r="I229" s="3"/>
      <c r="J229" s="3"/>
      <c r="K229" s="3"/>
    </row>
    <row r="230">
      <c r="I230" s="3"/>
      <c r="J230" s="3"/>
      <c r="K230" s="3"/>
    </row>
    <row r="231">
      <c r="I231" s="3"/>
      <c r="J231" s="3"/>
      <c r="K231" s="3"/>
    </row>
    <row r="232">
      <c r="I232" s="3"/>
      <c r="J232" s="3"/>
      <c r="K232" s="3"/>
    </row>
    <row r="233">
      <c r="I233" s="3"/>
      <c r="J233" s="3"/>
      <c r="K233" s="3"/>
    </row>
    <row r="234">
      <c r="I234" s="3"/>
      <c r="J234" s="3"/>
      <c r="K234" s="3"/>
    </row>
    <row r="235">
      <c r="I235" s="3"/>
      <c r="J235" s="3"/>
      <c r="K235" s="3"/>
    </row>
    <row r="236">
      <c r="I236" s="3"/>
      <c r="J236" s="3"/>
      <c r="K236" s="3"/>
    </row>
    <row r="237">
      <c r="I237" s="3"/>
      <c r="J237" s="3"/>
      <c r="K237" s="3"/>
    </row>
    <row r="238">
      <c r="I238" s="3"/>
      <c r="J238" s="3"/>
      <c r="K238" s="3"/>
    </row>
    <row r="239">
      <c r="I239" s="3"/>
      <c r="J239" s="3"/>
      <c r="K239" s="3"/>
    </row>
    <row r="240">
      <c r="I240" s="3"/>
      <c r="J240" s="3"/>
      <c r="K240" s="3"/>
    </row>
    <row r="241">
      <c r="I241" s="3"/>
      <c r="J241" s="3"/>
      <c r="K241" s="3"/>
    </row>
    <row r="242">
      <c r="I242" s="3"/>
      <c r="J242" s="3"/>
      <c r="K242" s="3"/>
    </row>
    <row r="243">
      <c r="I243" s="3"/>
      <c r="J243" s="3"/>
      <c r="K243" s="3"/>
    </row>
    <row r="244">
      <c r="I244" s="3"/>
      <c r="J244" s="3"/>
      <c r="K244" s="3"/>
    </row>
    <row r="245">
      <c r="I245" s="3"/>
      <c r="J245" s="3"/>
      <c r="K245" s="3"/>
    </row>
    <row r="246">
      <c r="I246" s="3"/>
      <c r="J246" s="3"/>
      <c r="K246" s="3"/>
    </row>
    <row r="247">
      <c r="I247" s="3"/>
      <c r="J247" s="3"/>
      <c r="K247" s="3"/>
    </row>
    <row r="248">
      <c r="I248" s="3"/>
      <c r="J248" s="3"/>
      <c r="K248" s="3"/>
    </row>
    <row r="249">
      <c r="I249" s="3"/>
      <c r="J249" s="3"/>
      <c r="K249" s="3"/>
    </row>
    <row r="250">
      <c r="I250" s="3"/>
      <c r="J250" s="3"/>
      <c r="K250" s="3"/>
    </row>
    <row r="251">
      <c r="I251" s="3"/>
      <c r="J251" s="3"/>
      <c r="K251" s="3"/>
    </row>
    <row r="252">
      <c r="I252" s="3"/>
      <c r="J252" s="3"/>
      <c r="K252" s="3"/>
    </row>
    <row r="253">
      <c r="I253" s="3"/>
      <c r="J253" s="3"/>
      <c r="K253" s="3"/>
    </row>
    <row r="254">
      <c r="I254" s="3"/>
      <c r="J254" s="3"/>
      <c r="K254" s="3"/>
    </row>
    <row r="255">
      <c r="I255" s="3"/>
      <c r="J255" s="3"/>
      <c r="K255" s="3"/>
    </row>
    <row r="256">
      <c r="I256" s="3"/>
      <c r="J256" s="3"/>
      <c r="K256" s="3"/>
    </row>
    <row r="257">
      <c r="I257" s="3"/>
      <c r="J257" s="3"/>
      <c r="K257" s="3"/>
    </row>
    <row r="258">
      <c r="I258" s="3"/>
      <c r="J258" s="3"/>
      <c r="K258" s="3"/>
    </row>
    <row r="259">
      <c r="I259" s="3"/>
      <c r="J259" s="3"/>
      <c r="K259" s="3"/>
    </row>
    <row r="260">
      <c r="I260" s="3"/>
      <c r="J260" s="3"/>
      <c r="K260" s="3"/>
    </row>
    <row r="261">
      <c r="I261" s="3"/>
      <c r="J261" s="3"/>
      <c r="K261" s="3"/>
    </row>
    <row r="262">
      <c r="I262" s="3"/>
      <c r="J262" s="3"/>
      <c r="K262" s="3"/>
    </row>
    <row r="263">
      <c r="I263" s="3"/>
      <c r="J263" s="3"/>
      <c r="K263" s="3"/>
    </row>
    <row r="264">
      <c r="I264" s="3"/>
      <c r="J264" s="3"/>
      <c r="K264" s="3"/>
    </row>
    <row r="265">
      <c r="I265" s="3"/>
      <c r="J265" s="3"/>
      <c r="K265" s="3"/>
    </row>
    <row r="266">
      <c r="I266" s="3"/>
      <c r="J266" s="3"/>
      <c r="K266" s="3"/>
    </row>
    <row r="267">
      <c r="I267" s="3"/>
      <c r="J267" s="3"/>
      <c r="K267" s="3"/>
    </row>
    <row r="268">
      <c r="I268" s="3"/>
      <c r="J268" s="3"/>
      <c r="K268" s="3"/>
    </row>
    <row r="269">
      <c r="I269" s="3"/>
      <c r="J269" s="3"/>
      <c r="K269" s="3"/>
    </row>
    <row r="270">
      <c r="I270" s="3"/>
      <c r="J270" s="3"/>
      <c r="K270" s="3"/>
    </row>
    <row r="271">
      <c r="I271" s="3"/>
      <c r="J271" s="3"/>
      <c r="K271" s="3"/>
    </row>
    <row r="272">
      <c r="I272" s="3"/>
      <c r="J272" s="3"/>
      <c r="K272" s="3"/>
    </row>
    <row r="273">
      <c r="I273" s="3"/>
      <c r="J273" s="3"/>
      <c r="K273" s="3"/>
    </row>
    <row r="274">
      <c r="I274" s="3"/>
      <c r="J274" s="3"/>
      <c r="K274" s="3"/>
    </row>
    <row r="275">
      <c r="I275" s="3"/>
      <c r="J275" s="3"/>
      <c r="K275" s="3"/>
    </row>
    <row r="276">
      <c r="I276" s="3"/>
      <c r="J276" s="3"/>
      <c r="K276" s="3"/>
    </row>
    <row r="277">
      <c r="I277" s="3"/>
      <c r="J277" s="3"/>
      <c r="K277" s="3"/>
    </row>
    <row r="278">
      <c r="I278" s="3"/>
      <c r="J278" s="3"/>
      <c r="K278" s="3"/>
    </row>
    <row r="279">
      <c r="I279" s="3"/>
      <c r="J279" s="3"/>
      <c r="K279" s="3"/>
    </row>
    <row r="280">
      <c r="I280" s="3"/>
      <c r="J280" s="3"/>
      <c r="K280" s="3"/>
    </row>
    <row r="281">
      <c r="I281" s="3"/>
      <c r="J281" s="3"/>
      <c r="K281" s="3"/>
    </row>
    <row r="282">
      <c r="I282" s="3"/>
      <c r="J282" s="3"/>
      <c r="K282" s="3"/>
    </row>
    <row r="283">
      <c r="I283" s="3"/>
      <c r="J283" s="3"/>
      <c r="K283" s="3"/>
    </row>
    <row r="284">
      <c r="I284" s="3"/>
      <c r="J284" s="3"/>
      <c r="K284" s="3"/>
    </row>
    <row r="285">
      <c r="I285" s="3"/>
      <c r="J285" s="3"/>
      <c r="K285" s="3"/>
    </row>
    <row r="286">
      <c r="I286" s="3"/>
      <c r="J286" s="3"/>
      <c r="K286" s="3"/>
    </row>
    <row r="287">
      <c r="I287" s="3"/>
      <c r="J287" s="3"/>
      <c r="K287" s="3"/>
    </row>
    <row r="288">
      <c r="I288" s="3"/>
      <c r="J288" s="3"/>
      <c r="K288" s="3"/>
    </row>
    <row r="289">
      <c r="I289" s="3"/>
      <c r="J289" s="3"/>
      <c r="K289" s="3"/>
    </row>
    <row r="290">
      <c r="I290" s="3"/>
      <c r="J290" s="3"/>
      <c r="K290" s="3"/>
    </row>
    <row r="291">
      <c r="I291" s="3"/>
      <c r="J291" s="3"/>
      <c r="K291" s="3"/>
    </row>
    <row r="292">
      <c r="I292" s="3"/>
      <c r="J292" s="3"/>
      <c r="K292" s="3"/>
    </row>
    <row r="293">
      <c r="I293" s="3"/>
      <c r="J293" s="3"/>
      <c r="K293" s="3"/>
    </row>
    <row r="294">
      <c r="I294" s="3"/>
      <c r="J294" s="3"/>
      <c r="K294" s="3"/>
    </row>
    <row r="295">
      <c r="I295" s="3"/>
      <c r="J295" s="3"/>
      <c r="K295" s="3"/>
    </row>
    <row r="296">
      <c r="I296" s="3"/>
      <c r="J296" s="3"/>
      <c r="K296" s="3"/>
    </row>
    <row r="297">
      <c r="I297" s="3"/>
      <c r="J297" s="3"/>
      <c r="K297" s="3"/>
    </row>
    <row r="298">
      <c r="I298" s="3"/>
      <c r="J298" s="3"/>
      <c r="K298" s="3"/>
    </row>
    <row r="299">
      <c r="I299" s="3"/>
      <c r="J299" s="3"/>
      <c r="K299" s="3"/>
    </row>
    <row r="300">
      <c r="I300" s="3"/>
      <c r="J300" s="3"/>
      <c r="K300" s="3"/>
    </row>
    <row r="301">
      <c r="I301" s="3"/>
      <c r="J301" s="3"/>
      <c r="K301" s="3"/>
    </row>
    <row r="302">
      <c r="I302" s="3"/>
      <c r="J302" s="3"/>
      <c r="K302" s="3"/>
    </row>
    <row r="303">
      <c r="I303" s="3"/>
      <c r="J303" s="3"/>
      <c r="K303" s="3"/>
    </row>
    <row r="304">
      <c r="I304" s="3"/>
      <c r="J304" s="3"/>
      <c r="K304" s="3"/>
    </row>
    <row r="305">
      <c r="I305" s="3"/>
      <c r="J305" s="3"/>
      <c r="K305" s="3"/>
    </row>
    <row r="306">
      <c r="I306" s="3"/>
      <c r="J306" s="3"/>
      <c r="K306" s="3"/>
    </row>
    <row r="307">
      <c r="I307" s="3"/>
      <c r="J307" s="3"/>
      <c r="K307" s="3"/>
    </row>
    <row r="308">
      <c r="I308" s="3"/>
      <c r="J308" s="3"/>
      <c r="K308" s="3"/>
    </row>
    <row r="309">
      <c r="I309" s="3"/>
      <c r="J309" s="3"/>
      <c r="K309" s="3"/>
    </row>
    <row r="310">
      <c r="I310" s="3"/>
      <c r="J310" s="3"/>
      <c r="K310" s="3"/>
    </row>
    <row r="311">
      <c r="I311" s="3"/>
      <c r="J311" s="3"/>
      <c r="K311" s="3"/>
    </row>
    <row r="312">
      <c r="I312" s="3"/>
      <c r="J312" s="3"/>
      <c r="K312" s="3"/>
    </row>
    <row r="313">
      <c r="I313" s="3"/>
      <c r="J313" s="3"/>
      <c r="K313" s="3"/>
    </row>
    <row r="314">
      <c r="I314" s="3"/>
      <c r="J314" s="3"/>
      <c r="K314" s="3"/>
    </row>
    <row r="315">
      <c r="I315" s="3"/>
      <c r="J315" s="3"/>
      <c r="K315" s="3"/>
    </row>
    <row r="316">
      <c r="I316" s="3"/>
      <c r="J316" s="3"/>
      <c r="K316" s="3"/>
    </row>
    <row r="317">
      <c r="I317" s="3"/>
      <c r="J317" s="3"/>
      <c r="K317" s="3"/>
    </row>
    <row r="318">
      <c r="I318" s="3"/>
      <c r="J318" s="3"/>
      <c r="K318" s="3"/>
    </row>
    <row r="319">
      <c r="I319" s="3"/>
      <c r="J319" s="3"/>
      <c r="K319" s="3"/>
    </row>
    <row r="320">
      <c r="I320" s="3"/>
      <c r="J320" s="3"/>
      <c r="K320" s="3"/>
    </row>
    <row r="321">
      <c r="I321" s="3"/>
      <c r="J321" s="3"/>
      <c r="K321" s="3"/>
    </row>
    <row r="322">
      <c r="I322" s="3"/>
      <c r="J322" s="3"/>
      <c r="K322" s="3"/>
    </row>
    <row r="323">
      <c r="I323" s="3"/>
      <c r="J323" s="3"/>
      <c r="K323" s="3"/>
    </row>
    <row r="324">
      <c r="I324" s="3"/>
      <c r="J324" s="3"/>
      <c r="K324" s="3"/>
    </row>
    <row r="325">
      <c r="I325" s="3"/>
      <c r="J325" s="3"/>
      <c r="K325" s="3"/>
    </row>
    <row r="326">
      <c r="I326" s="3"/>
      <c r="J326" s="3"/>
      <c r="K326" s="3"/>
    </row>
    <row r="327">
      <c r="I327" s="3"/>
      <c r="J327" s="3"/>
      <c r="K327" s="3"/>
    </row>
    <row r="328">
      <c r="I328" s="3"/>
      <c r="J328" s="3"/>
      <c r="K328" s="3"/>
    </row>
    <row r="329">
      <c r="I329" s="3"/>
      <c r="J329" s="3"/>
      <c r="K329" s="3"/>
    </row>
    <row r="330">
      <c r="I330" s="3"/>
      <c r="J330" s="3"/>
      <c r="K330" s="3"/>
    </row>
    <row r="331">
      <c r="I331" s="3"/>
      <c r="J331" s="3"/>
      <c r="K331" s="3"/>
    </row>
    <row r="332">
      <c r="I332" s="3"/>
      <c r="J332" s="3"/>
      <c r="K332" s="3"/>
    </row>
    <row r="333">
      <c r="I333" s="3"/>
      <c r="J333" s="3"/>
      <c r="K333" s="3"/>
    </row>
    <row r="334">
      <c r="I334" s="3"/>
      <c r="J334" s="3"/>
      <c r="K334" s="3"/>
    </row>
    <row r="335">
      <c r="I335" s="3"/>
      <c r="J335" s="3"/>
      <c r="K335" s="3"/>
    </row>
    <row r="336">
      <c r="I336" s="3"/>
      <c r="J336" s="3"/>
      <c r="K336" s="3"/>
    </row>
    <row r="337">
      <c r="I337" s="3"/>
      <c r="J337" s="3"/>
      <c r="K337" s="3"/>
    </row>
    <row r="338">
      <c r="I338" s="3"/>
      <c r="J338" s="3"/>
      <c r="K338" s="3"/>
    </row>
    <row r="339">
      <c r="I339" s="3"/>
      <c r="J339" s="3"/>
      <c r="K339" s="3"/>
    </row>
    <row r="340">
      <c r="I340" s="3"/>
      <c r="J340" s="3"/>
      <c r="K340" s="3"/>
    </row>
    <row r="341">
      <c r="I341" s="3"/>
      <c r="J341" s="3"/>
      <c r="K341" s="3"/>
    </row>
    <row r="342">
      <c r="I342" s="3"/>
      <c r="J342" s="3"/>
      <c r="K342" s="3"/>
    </row>
    <row r="343">
      <c r="I343" s="3"/>
      <c r="J343" s="3"/>
      <c r="K343" s="3"/>
    </row>
    <row r="344">
      <c r="I344" s="3"/>
      <c r="J344" s="3"/>
      <c r="K344" s="3"/>
    </row>
    <row r="345">
      <c r="I345" s="3"/>
      <c r="J345" s="3"/>
      <c r="K345" s="3"/>
    </row>
    <row r="346">
      <c r="I346" s="3"/>
      <c r="J346" s="3"/>
      <c r="K346" s="3"/>
    </row>
    <row r="347">
      <c r="I347" s="3"/>
      <c r="J347" s="3"/>
      <c r="K347" s="3"/>
    </row>
    <row r="348">
      <c r="I348" s="3"/>
      <c r="J348" s="3"/>
      <c r="K348" s="3"/>
    </row>
    <row r="349">
      <c r="I349" s="3"/>
      <c r="J349" s="3"/>
      <c r="K349" s="3"/>
    </row>
    <row r="350">
      <c r="I350" s="3"/>
      <c r="J350" s="3"/>
      <c r="K350" s="3"/>
    </row>
    <row r="351">
      <c r="I351" s="3"/>
      <c r="J351" s="3"/>
      <c r="K351" s="3"/>
    </row>
    <row r="352">
      <c r="I352" s="3"/>
      <c r="J352" s="3"/>
      <c r="K352" s="3"/>
    </row>
    <row r="353">
      <c r="I353" s="3"/>
      <c r="J353" s="3"/>
      <c r="K353" s="3"/>
    </row>
    <row r="354">
      <c r="I354" s="3"/>
      <c r="J354" s="3"/>
      <c r="K354" s="3"/>
    </row>
    <row r="355">
      <c r="I355" s="3"/>
      <c r="J355" s="3"/>
      <c r="K355" s="3"/>
    </row>
    <row r="356">
      <c r="I356" s="3"/>
      <c r="J356" s="3"/>
      <c r="K356" s="3"/>
    </row>
    <row r="357">
      <c r="I357" s="3"/>
      <c r="J357" s="3"/>
      <c r="K357" s="3"/>
    </row>
    <row r="358">
      <c r="I358" s="3"/>
      <c r="J358" s="3"/>
      <c r="K358" s="3"/>
    </row>
    <row r="359">
      <c r="I359" s="3"/>
      <c r="J359" s="3"/>
      <c r="K359" s="3"/>
    </row>
    <row r="360">
      <c r="I360" s="3"/>
      <c r="J360" s="3"/>
      <c r="K360" s="3"/>
    </row>
    <row r="361">
      <c r="I361" s="3"/>
      <c r="J361" s="3"/>
      <c r="K361" s="3"/>
    </row>
    <row r="362">
      <c r="I362" s="3"/>
      <c r="J362" s="3"/>
      <c r="K362" s="3"/>
    </row>
    <row r="363">
      <c r="I363" s="3"/>
      <c r="J363" s="3"/>
      <c r="K363" s="3"/>
    </row>
    <row r="364">
      <c r="I364" s="3"/>
      <c r="J364" s="3"/>
      <c r="K364" s="3"/>
    </row>
    <row r="365">
      <c r="I365" s="3"/>
      <c r="J365" s="3"/>
      <c r="K365" s="3"/>
    </row>
    <row r="366">
      <c r="I366" s="3"/>
      <c r="J366" s="3"/>
      <c r="K366" s="3"/>
    </row>
    <row r="367">
      <c r="I367" s="3"/>
      <c r="J367" s="3"/>
      <c r="K367" s="3"/>
    </row>
    <row r="368">
      <c r="I368" s="3"/>
      <c r="J368" s="3"/>
      <c r="K368" s="3"/>
    </row>
    <row r="369">
      <c r="I369" s="3"/>
      <c r="J369" s="3"/>
      <c r="K369" s="3"/>
    </row>
    <row r="370">
      <c r="I370" s="3"/>
      <c r="J370" s="3"/>
      <c r="K370" s="3"/>
    </row>
    <row r="371">
      <c r="I371" s="3"/>
      <c r="J371" s="3"/>
      <c r="K371" s="3"/>
    </row>
    <row r="372">
      <c r="I372" s="3"/>
      <c r="J372" s="3"/>
      <c r="K372" s="3"/>
    </row>
    <row r="373">
      <c r="I373" s="3"/>
      <c r="J373" s="3"/>
      <c r="K373" s="3"/>
    </row>
    <row r="374">
      <c r="I374" s="3"/>
      <c r="J374" s="3"/>
      <c r="K374" s="3"/>
    </row>
    <row r="375">
      <c r="I375" s="3"/>
      <c r="J375" s="3"/>
      <c r="K375" s="3"/>
    </row>
    <row r="376">
      <c r="I376" s="3"/>
      <c r="J376" s="3"/>
      <c r="K376" s="3"/>
    </row>
    <row r="377">
      <c r="I377" s="3"/>
      <c r="J377" s="3"/>
      <c r="K377" s="3"/>
    </row>
    <row r="378">
      <c r="I378" s="3"/>
      <c r="J378" s="3"/>
      <c r="K378" s="3"/>
    </row>
    <row r="379">
      <c r="I379" s="3"/>
      <c r="J379" s="3"/>
      <c r="K379" s="3"/>
    </row>
    <row r="380">
      <c r="I380" s="3"/>
      <c r="J380" s="3"/>
      <c r="K380" s="3"/>
    </row>
    <row r="381">
      <c r="I381" s="3"/>
      <c r="J381" s="3"/>
      <c r="K381" s="3"/>
    </row>
    <row r="382">
      <c r="I382" s="3"/>
      <c r="J382" s="3"/>
      <c r="K382" s="3"/>
    </row>
    <row r="383">
      <c r="I383" s="3"/>
      <c r="J383" s="3"/>
      <c r="K383" s="3"/>
    </row>
    <row r="384">
      <c r="I384" s="3"/>
      <c r="J384" s="3"/>
      <c r="K384" s="3"/>
    </row>
    <row r="385">
      <c r="I385" s="3"/>
      <c r="J385" s="3"/>
      <c r="K385" s="3"/>
    </row>
    <row r="386">
      <c r="I386" s="3"/>
      <c r="J386" s="3"/>
      <c r="K386" s="3"/>
    </row>
    <row r="387">
      <c r="I387" s="3"/>
      <c r="J387" s="3"/>
      <c r="K387" s="3"/>
    </row>
    <row r="388">
      <c r="I388" s="3"/>
      <c r="J388" s="3"/>
      <c r="K388" s="3"/>
    </row>
    <row r="389">
      <c r="I389" s="3"/>
      <c r="J389" s="3"/>
      <c r="K389" s="3"/>
    </row>
    <row r="390">
      <c r="I390" s="3"/>
      <c r="J390" s="3"/>
      <c r="K390" s="3"/>
    </row>
    <row r="391">
      <c r="I391" s="3"/>
      <c r="J391" s="3"/>
      <c r="K391" s="3"/>
    </row>
    <row r="392">
      <c r="I392" s="3"/>
      <c r="J392" s="3"/>
      <c r="K392" s="3"/>
    </row>
    <row r="393">
      <c r="I393" s="3"/>
      <c r="J393" s="3"/>
      <c r="K393" s="3"/>
    </row>
    <row r="394">
      <c r="I394" s="3"/>
      <c r="J394" s="3"/>
      <c r="K394" s="3"/>
    </row>
    <row r="395">
      <c r="I395" s="3"/>
      <c r="J395" s="3"/>
      <c r="K395" s="3"/>
    </row>
    <row r="396">
      <c r="I396" s="3"/>
      <c r="J396" s="3"/>
      <c r="K396" s="3"/>
    </row>
    <row r="397">
      <c r="I397" s="3"/>
      <c r="J397" s="3"/>
      <c r="K397" s="3"/>
    </row>
    <row r="398">
      <c r="I398" s="3"/>
      <c r="J398" s="3"/>
      <c r="K398" s="3"/>
    </row>
    <row r="399">
      <c r="I399" s="3"/>
      <c r="J399" s="3"/>
      <c r="K399" s="3"/>
    </row>
    <row r="400">
      <c r="I400" s="3"/>
      <c r="J400" s="3"/>
      <c r="K400" s="3"/>
    </row>
    <row r="401">
      <c r="I401" s="3"/>
      <c r="J401" s="3"/>
      <c r="K401" s="3"/>
    </row>
    <row r="402">
      <c r="I402" s="3"/>
      <c r="J402" s="3"/>
      <c r="K402" s="3"/>
    </row>
    <row r="403">
      <c r="I403" s="3"/>
      <c r="J403" s="3"/>
      <c r="K403" s="3"/>
    </row>
    <row r="404">
      <c r="I404" s="3"/>
      <c r="J404" s="3"/>
      <c r="K404" s="3"/>
    </row>
    <row r="405">
      <c r="I405" s="3"/>
      <c r="J405" s="3"/>
      <c r="K405" s="3"/>
    </row>
    <row r="406">
      <c r="I406" s="3"/>
      <c r="J406" s="3"/>
      <c r="K406" s="3"/>
    </row>
    <row r="407">
      <c r="I407" s="3"/>
      <c r="J407" s="3"/>
      <c r="K407" s="3"/>
    </row>
    <row r="408">
      <c r="I408" s="3"/>
      <c r="J408" s="3"/>
      <c r="K408" s="3"/>
    </row>
    <row r="409">
      <c r="I409" s="3"/>
      <c r="J409" s="3"/>
      <c r="K409" s="3"/>
    </row>
    <row r="410">
      <c r="I410" s="3"/>
      <c r="J410" s="3"/>
      <c r="K410" s="3"/>
    </row>
    <row r="411">
      <c r="I411" s="3"/>
      <c r="J411" s="3"/>
      <c r="K411" s="3"/>
    </row>
    <row r="412">
      <c r="I412" s="3"/>
      <c r="J412" s="3"/>
      <c r="K412" s="3"/>
    </row>
    <row r="413">
      <c r="I413" s="3"/>
      <c r="J413" s="3"/>
      <c r="K413" s="3"/>
    </row>
    <row r="414">
      <c r="I414" s="3"/>
      <c r="J414" s="3"/>
      <c r="K414" s="3"/>
    </row>
    <row r="415">
      <c r="I415" s="3"/>
      <c r="J415" s="3"/>
      <c r="K415" s="3"/>
    </row>
    <row r="416">
      <c r="I416" s="3"/>
      <c r="J416" s="3"/>
      <c r="K416" s="3"/>
    </row>
    <row r="417">
      <c r="I417" s="3"/>
      <c r="J417" s="3"/>
      <c r="K417" s="3"/>
    </row>
    <row r="418">
      <c r="I418" s="3"/>
      <c r="J418" s="3"/>
      <c r="K418" s="3"/>
    </row>
    <row r="419">
      <c r="I419" s="3"/>
      <c r="J419" s="3"/>
      <c r="K419" s="3"/>
    </row>
    <row r="420">
      <c r="I420" s="3"/>
      <c r="J420" s="3"/>
      <c r="K420" s="3"/>
    </row>
    <row r="421">
      <c r="I421" s="3"/>
      <c r="J421" s="3"/>
      <c r="K421" s="3"/>
    </row>
    <row r="422">
      <c r="I422" s="3"/>
      <c r="J422" s="3"/>
      <c r="K422" s="3"/>
    </row>
    <row r="423">
      <c r="I423" s="3"/>
      <c r="J423" s="3"/>
      <c r="K423" s="3"/>
    </row>
    <row r="424">
      <c r="I424" s="3"/>
      <c r="J424" s="3"/>
      <c r="K424" s="3"/>
    </row>
    <row r="425">
      <c r="I425" s="3"/>
      <c r="J425" s="3"/>
      <c r="K425" s="3"/>
    </row>
    <row r="426">
      <c r="I426" s="3"/>
      <c r="J426" s="3"/>
      <c r="K426" s="3"/>
    </row>
    <row r="427">
      <c r="I427" s="3"/>
      <c r="J427" s="3"/>
      <c r="K427" s="3"/>
    </row>
    <row r="428">
      <c r="I428" s="3"/>
      <c r="J428" s="3"/>
      <c r="K428" s="3"/>
    </row>
    <row r="429">
      <c r="I429" s="3"/>
      <c r="J429" s="3"/>
      <c r="K429" s="3"/>
    </row>
    <row r="430">
      <c r="I430" s="3"/>
      <c r="J430" s="3"/>
      <c r="K430" s="3"/>
    </row>
    <row r="431">
      <c r="I431" s="3"/>
      <c r="J431" s="3"/>
      <c r="K431" s="3"/>
    </row>
    <row r="432">
      <c r="I432" s="3"/>
      <c r="J432" s="3"/>
      <c r="K432" s="3"/>
    </row>
    <row r="433">
      <c r="I433" s="3"/>
      <c r="J433" s="3"/>
      <c r="K433" s="3"/>
    </row>
    <row r="434">
      <c r="I434" s="3"/>
      <c r="J434" s="3"/>
      <c r="K434" s="3"/>
    </row>
    <row r="435">
      <c r="I435" s="3"/>
      <c r="J435" s="3"/>
      <c r="K435" s="3"/>
    </row>
    <row r="436">
      <c r="I436" s="3"/>
      <c r="J436" s="3"/>
      <c r="K436" s="3"/>
    </row>
    <row r="437">
      <c r="I437" s="3"/>
      <c r="J437" s="3"/>
      <c r="K437" s="3"/>
    </row>
    <row r="438">
      <c r="I438" s="3"/>
      <c r="J438" s="3"/>
      <c r="K438" s="3"/>
    </row>
    <row r="439">
      <c r="I439" s="3"/>
      <c r="J439" s="3"/>
      <c r="K439" s="3"/>
    </row>
    <row r="440">
      <c r="I440" s="3"/>
      <c r="J440" s="3"/>
      <c r="K440" s="3"/>
    </row>
    <row r="441">
      <c r="I441" s="3"/>
      <c r="J441" s="3"/>
      <c r="K441" s="3"/>
    </row>
    <row r="442">
      <c r="I442" s="3"/>
      <c r="J442" s="3"/>
      <c r="K442" s="3"/>
    </row>
    <row r="443">
      <c r="I443" s="3"/>
      <c r="J443" s="3"/>
      <c r="K443" s="3"/>
    </row>
    <row r="444">
      <c r="I444" s="3"/>
      <c r="J444" s="3"/>
      <c r="K444" s="3"/>
    </row>
    <row r="445">
      <c r="I445" s="3"/>
      <c r="J445" s="3"/>
      <c r="K445" s="3"/>
    </row>
    <row r="446">
      <c r="I446" s="3"/>
      <c r="J446" s="3"/>
      <c r="K446" s="3"/>
    </row>
    <row r="447">
      <c r="I447" s="3"/>
      <c r="J447" s="3"/>
      <c r="K447" s="3"/>
    </row>
    <row r="448">
      <c r="I448" s="3"/>
      <c r="J448" s="3"/>
      <c r="K448" s="3"/>
    </row>
    <row r="449">
      <c r="I449" s="3"/>
      <c r="J449" s="3"/>
      <c r="K449" s="3"/>
    </row>
    <row r="450">
      <c r="I450" s="3"/>
      <c r="J450" s="3"/>
      <c r="K450" s="3"/>
    </row>
    <row r="451">
      <c r="I451" s="3"/>
      <c r="J451" s="3"/>
      <c r="K451" s="3"/>
    </row>
    <row r="452">
      <c r="I452" s="3"/>
      <c r="J452" s="3"/>
      <c r="K452" s="3"/>
    </row>
    <row r="453">
      <c r="I453" s="3"/>
      <c r="J453" s="3"/>
      <c r="K453" s="3"/>
    </row>
    <row r="454">
      <c r="I454" s="3"/>
      <c r="J454" s="3"/>
      <c r="K454" s="3"/>
    </row>
    <row r="455">
      <c r="I455" s="3"/>
      <c r="J455" s="3"/>
      <c r="K455" s="3"/>
    </row>
    <row r="456">
      <c r="I456" s="3"/>
      <c r="J456" s="3"/>
      <c r="K456" s="3"/>
    </row>
    <row r="457">
      <c r="I457" s="3"/>
      <c r="J457" s="3"/>
      <c r="K457" s="3"/>
    </row>
    <row r="458">
      <c r="I458" s="3"/>
      <c r="J458" s="3"/>
      <c r="K458" s="3"/>
    </row>
    <row r="459">
      <c r="I459" s="3"/>
      <c r="J459" s="3"/>
      <c r="K459" s="3"/>
    </row>
    <row r="460">
      <c r="I460" s="3"/>
      <c r="J460" s="3"/>
      <c r="K460" s="3"/>
    </row>
    <row r="461">
      <c r="I461" s="3"/>
      <c r="J461" s="3"/>
      <c r="K461" s="3"/>
    </row>
    <row r="462">
      <c r="I462" s="3"/>
      <c r="J462" s="3"/>
      <c r="K462" s="3"/>
    </row>
    <row r="463">
      <c r="I463" s="3"/>
      <c r="J463" s="3"/>
      <c r="K463" s="3"/>
    </row>
    <row r="464">
      <c r="I464" s="3"/>
      <c r="J464" s="3"/>
      <c r="K464" s="3"/>
    </row>
    <row r="465">
      <c r="I465" s="3"/>
      <c r="J465" s="3"/>
      <c r="K465" s="3"/>
    </row>
    <row r="466">
      <c r="I466" s="3"/>
      <c r="J466" s="3"/>
      <c r="K466" s="3"/>
    </row>
    <row r="467">
      <c r="I467" s="3"/>
      <c r="J467" s="3"/>
      <c r="K467" s="3"/>
    </row>
    <row r="468">
      <c r="I468" s="3"/>
      <c r="J468" s="3"/>
      <c r="K468" s="3"/>
    </row>
    <row r="469">
      <c r="I469" s="3"/>
      <c r="J469" s="3"/>
      <c r="K469" s="3"/>
    </row>
    <row r="470">
      <c r="I470" s="3"/>
      <c r="J470" s="3"/>
      <c r="K470" s="3"/>
    </row>
    <row r="471">
      <c r="I471" s="3"/>
      <c r="J471" s="3"/>
      <c r="K471" s="3"/>
    </row>
    <row r="472">
      <c r="I472" s="3"/>
      <c r="J472" s="3"/>
      <c r="K472" s="3"/>
    </row>
    <row r="473">
      <c r="I473" s="3"/>
      <c r="J473" s="3"/>
      <c r="K473" s="3"/>
    </row>
    <row r="474">
      <c r="I474" s="3"/>
      <c r="J474" s="3"/>
      <c r="K474" s="3"/>
    </row>
    <row r="475">
      <c r="I475" s="3"/>
      <c r="J475" s="3"/>
      <c r="K475" s="3"/>
    </row>
    <row r="476">
      <c r="I476" s="3"/>
      <c r="J476" s="3"/>
      <c r="K476" s="3"/>
    </row>
    <row r="477">
      <c r="I477" s="3"/>
      <c r="J477" s="3"/>
      <c r="K477" s="3"/>
    </row>
    <row r="478">
      <c r="I478" s="3"/>
      <c r="J478" s="3"/>
      <c r="K478" s="3"/>
    </row>
    <row r="479">
      <c r="I479" s="3"/>
      <c r="J479" s="3"/>
      <c r="K479" s="3"/>
    </row>
    <row r="480">
      <c r="I480" s="3"/>
      <c r="J480" s="3"/>
      <c r="K480" s="3"/>
    </row>
    <row r="481">
      <c r="I481" s="3"/>
      <c r="J481" s="3"/>
      <c r="K481" s="3"/>
    </row>
    <row r="482">
      <c r="I482" s="3"/>
      <c r="J482" s="3"/>
      <c r="K482" s="3"/>
    </row>
    <row r="483">
      <c r="I483" s="3"/>
      <c r="J483" s="3"/>
      <c r="K483" s="3"/>
    </row>
    <row r="484">
      <c r="I484" s="3"/>
      <c r="J484" s="3"/>
      <c r="K484" s="3"/>
    </row>
    <row r="485">
      <c r="I485" s="3"/>
      <c r="J485" s="3"/>
      <c r="K485" s="3"/>
    </row>
    <row r="486">
      <c r="I486" s="3"/>
      <c r="J486" s="3"/>
      <c r="K486" s="3"/>
    </row>
    <row r="487">
      <c r="I487" s="3"/>
      <c r="J487" s="3"/>
      <c r="K487" s="3"/>
    </row>
    <row r="488">
      <c r="I488" s="3"/>
      <c r="J488" s="3"/>
      <c r="K488" s="3"/>
    </row>
    <row r="489">
      <c r="I489" s="3"/>
      <c r="J489" s="3"/>
      <c r="K489" s="3"/>
    </row>
    <row r="490">
      <c r="I490" s="3"/>
      <c r="J490" s="3"/>
      <c r="K490" s="3"/>
    </row>
    <row r="491">
      <c r="I491" s="3"/>
      <c r="J491" s="3"/>
      <c r="K491" s="3"/>
    </row>
    <row r="492">
      <c r="I492" s="3"/>
      <c r="J492" s="3"/>
      <c r="K492" s="3"/>
    </row>
    <row r="493">
      <c r="I493" s="3"/>
      <c r="J493" s="3"/>
      <c r="K493" s="3"/>
    </row>
    <row r="494">
      <c r="I494" s="3"/>
      <c r="J494" s="3"/>
      <c r="K494" s="3"/>
    </row>
    <row r="495">
      <c r="I495" s="3"/>
      <c r="J495" s="3"/>
      <c r="K495" s="3"/>
    </row>
    <row r="496">
      <c r="I496" s="3"/>
      <c r="J496" s="3"/>
      <c r="K496" s="3"/>
    </row>
    <row r="497">
      <c r="I497" s="3"/>
      <c r="J497" s="3"/>
      <c r="K497" s="3"/>
    </row>
    <row r="498">
      <c r="I498" s="3"/>
      <c r="J498" s="3"/>
      <c r="K498" s="3"/>
    </row>
    <row r="499">
      <c r="I499" s="3"/>
      <c r="J499" s="3"/>
      <c r="K499" s="3"/>
    </row>
    <row r="500">
      <c r="I500" s="3"/>
      <c r="J500" s="3"/>
      <c r="K500" s="3"/>
    </row>
    <row r="501">
      <c r="I501" s="3"/>
      <c r="J501" s="3"/>
      <c r="K501" s="3"/>
    </row>
    <row r="502">
      <c r="I502" s="3"/>
      <c r="J502" s="3"/>
      <c r="K502" s="3"/>
    </row>
    <row r="503">
      <c r="I503" s="3"/>
      <c r="J503" s="3"/>
      <c r="K503" s="3"/>
    </row>
    <row r="504">
      <c r="I504" s="3"/>
      <c r="J504" s="3"/>
      <c r="K504" s="3"/>
    </row>
    <row r="505">
      <c r="I505" s="3"/>
      <c r="J505" s="3"/>
      <c r="K505" s="3"/>
    </row>
    <row r="506">
      <c r="I506" s="3"/>
      <c r="J506" s="3"/>
      <c r="K506" s="3"/>
    </row>
    <row r="507">
      <c r="I507" s="3"/>
      <c r="J507" s="3"/>
      <c r="K507" s="3"/>
    </row>
    <row r="508">
      <c r="I508" s="3"/>
      <c r="J508" s="3"/>
      <c r="K508" s="3"/>
    </row>
    <row r="509">
      <c r="I509" s="3"/>
      <c r="J509" s="3"/>
      <c r="K509" s="3"/>
    </row>
    <row r="510">
      <c r="I510" s="3"/>
      <c r="J510" s="3"/>
      <c r="K510" s="3"/>
    </row>
    <row r="511">
      <c r="I511" s="3"/>
      <c r="J511" s="3"/>
      <c r="K511" s="3"/>
    </row>
    <row r="512">
      <c r="I512" s="3"/>
      <c r="J512" s="3"/>
      <c r="K512" s="3"/>
    </row>
    <row r="513">
      <c r="I513" s="3"/>
      <c r="J513" s="3"/>
      <c r="K513" s="3"/>
    </row>
    <row r="514">
      <c r="I514" s="3"/>
      <c r="J514" s="3"/>
      <c r="K514" s="3"/>
    </row>
    <row r="515">
      <c r="I515" s="3"/>
      <c r="J515" s="3"/>
      <c r="K515" s="3"/>
    </row>
    <row r="516">
      <c r="I516" s="3"/>
      <c r="J516" s="3"/>
      <c r="K516" s="3"/>
    </row>
    <row r="517">
      <c r="I517" s="3"/>
      <c r="J517" s="3"/>
      <c r="K517" s="3"/>
    </row>
    <row r="518">
      <c r="I518" s="3"/>
      <c r="J518" s="3"/>
      <c r="K518" s="3"/>
    </row>
    <row r="519">
      <c r="I519" s="3"/>
      <c r="J519" s="3"/>
      <c r="K519" s="3"/>
    </row>
    <row r="520">
      <c r="I520" s="3"/>
      <c r="J520" s="3"/>
      <c r="K520" s="3"/>
    </row>
    <row r="521">
      <c r="I521" s="3"/>
      <c r="J521" s="3"/>
      <c r="K521" s="3"/>
    </row>
    <row r="522">
      <c r="I522" s="3"/>
      <c r="J522" s="3"/>
      <c r="K522" s="3"/>
    </row>
    <row r="523">
      <c r="I523" s="3"/>
      <c r="J523" s="3"/>
      <c r="K523" s="3"/>
    </row>
    <row r="524">
      <c r="I524" s="3"/>
      <c r="J524" s="3"/>
      <c r="K524" s="3"/>
    </row>
    <row r="525">
      <c r="I525" s="3"/>
      <c r="J525" s="3"/>
      <c r="K525" s="3"/>
    </row>
    <row r="526">
      <c r="I526" s="3"/>
      <c r="J526" s="3"/>
      <c r="K526" s="3"/>
    </row>
    <row r="527">
      <c r="I527" s="3"/>
      <c r="J527" s="3"/>
      <c r="K527" s="3"/>
    </row>
    <row r="528">
      <c r="I528" s="3"/>
      <c r="J528" s="3"/>
      <c r="K528" s="3"/>
    </row>
    <row r="529">
      <c r="I529" s="3"/>
      <c r="J529" s="3"/>
      <c r="K529" s="3"/>
    </row>
    <row r="530">
      <c r="I530" s="3"/>
      <c r="J530" s="3"/>
      <c r="K530" s="3"/>
    </row>
    <row r="531">
      <c r="I531" s="3"/>
      <c r="J531" s="3"/>
      <c r="K531" s="3"/>
    </row>
    <row r="532">
      <c r="I532" s="3"/>
      <c r="J532" s="3"/>
      <c r="K532" s="3"/>
    </row>
    <row r="533">
      <c r="I533" s="3"/>
      <c r="J533" s="3"/>
      <c r="K533" s="3"/>
    </row>
    <row r="534">
      <c r="I534" s="3"/>
      <c r="J534" s="3"/>
      <c r="K534" s="3"/>
    </row>
    <row r="535">
      <c r="I535" s="3"/>
      <c r="J535" s="3"/>
      <c r="K535" s="3"/>
    </row>
    <row r="536">
      <c r="I536" s="3"/>
      <c r="J536" s="3"/>
      <c r="K536" s="3"/>
    </row>
    <row r="537">
      <c r="I537" s="3"/>
      <c r="J537" s="3"/>
      <c r="K537" s="3"/>
    </row>
    <row r="538">
      <c r="I538" s="3"/>
      <c r="J538" s="3"/>
      <c r="K538" s="3"/>
    </row>
    <row r="539">
      <c r="I539" s="3"/>
      <c r="J539" s="3"/>
      <c r="K539" s="3"/>
    </row>
    <row r="540">
      <c r="I540" s="3"/>
      <c r="J540" s="3"/>
      <c r="K540" s="3"/>
    </row>
    <row r="541">
      <c r="I541" s="3"/>
      <c r="J541" s="3"/>
      <c r="K541" s="3"/>
    </row>
    <row r="542">
      <c r="I542" s="3"/>
      <c r="J542" s="3"/>
      <c r="K542" s="3"/>
    </row>
    <row r="543">
      <c r="I543" s="3"/>
      <c r="J543" s="3"/>
      <c r="K543" s="3"/>
    </row>
    <row r="544">
      <c r="I544" s="3"/>
      <c r="J544" s="3"/>
      <c r="K544" s="3"/>
    </row>
    <row r="545">
      <c r="I545" s="3"/>
      <c r="J545" s="3"/>
      <c r="K545" s="3"/>
    </row>
    <row r="546">
      <c r="I546" s="3"/>
      <c r="J546" s="3"/>
      <c r="K546" s="3"/>
    </row>
    <row r="547">
      <c r="I547" s="3"/>
      <c r="J547" s="3"/>
      <c r="K547" s="3"/>
    </row>
    <row r="548">
      <c r="I548" s="3"/>
      <c r="J548" s="3"/>
      <c r="K548" s="3"/>
    </row>
    <row r="549">
      <c r="I549" s="3"/>
      <c r="J549" s="3"/>
      <c r="K549" s="3"/>
    </row>
    <row r="550">
      <c r="I550" s="3"/>
      <c r="J550" s="3"/>
      <c r="K550" s="3"/>
    </row>
    <row r="551">
      <c r="I551" s="3"/>
      <c r="J551" s="3"/>
      <c r="K551" s="3"/>
    </row>
    <row r="552">
      <c r="I552" s="3"/>
      <c r="J552" s="3"/>
      <c r="K552" s="3"/>
    </row>
    <row r="553">
      <c r="I553" s="3"/>
      <c r="J553" s="3"/>
      <c r="K553" s="3"/>
    </row>
    <row r="554">
      <c r="I554" s="3"/>
      <c r="J554" s="3"/>
      <c r="K554" s="3"/>
    </row>
    <row r="555">
      <c r="I555" s="3"/>
      <c r="J555" s="3"/>
      <c r="K555" s="3"/>
    </row>
    <row r="556">
      <c r="I556" s="3"/>
      <c r="J556" s="3"/>
      <c r="K556" s="3"/>
    </row>
    <row r="557">
      <c r="I557" s="3"/>
      <c r="J557" s="3"/>
      <c r="K557" s="3"/>
    </row>
    <row r="558">
      <c r="I558" s="3"/>
      <c r="J558" s="3"/>
      <c r="K558" s="3"/>
    </row>
    <row r="559">
      <c r="I559" s="3"/>
      <c r="J559" s="3"/>
      <c r="K559" s="3"/>
    </row>
    <row r="560">
      <c r="I560" s="3"/>
      <c r="J560" s="3"/>
      <c r="K560" s="3"/>
    </row>
    <row r="561">
      <c r="I561" s="3"/>
      <c r="J561" s="3"/>
      <c r="K561" s="3"/>
    </row>
    <row r="562">
      <c r="I562" s="3"/>
      <c r="J562" s="3"/>
      <c r="K562" s="3"/>
    </row>
    <row r="563">
      <c r="I563" s="3"/>
      <c r="J563" s="3"/>
      <c r="K563" s="3"/>
    </row>
    <row r="564">
      <c r="I564" s="3"/>
      <c r="J564" s="3"/>
      <c r="K564" s="3"/>
    </row>
    <row r="565">
      <c r="I565" s="3"/>
      <c r="J565" s="3"/>
      <c r="K565" s="3"/>
    </row>
    <row r="566">
      <c r="I566" s="3"/>
      <c r="J566" s="3"/>
      <c r="K566" s="3"/>
    </row>
    <row r="567">
      <c r="I567" s="3"/>
      <c r="J567" s="3"/>
      <c r="K567" s="3"/>
    </row>
    <row r="568">
      <c r="I568" s="3"/>
      <c r="J568" s="3"/>
      <c r="K568" s="3"/>
    </row>
    <row r="569">
      <c r="I569" s="3"/>
      <c r="J569" s="3"/>
      <c r="K569" s="3"/>
    </row>
    <row r="570">
      <c r="I570" s="3"/>
      <c r="J570" s="3"/>
      <c r="K570" s="3"/>
    </row>
    <row r="571">
      <c r="I571" s="3"/>
      <c r="J571" s="3"/>
      <c r="K571" s="3"/>
    </row>
    <row r="572">
      <c r="I572" s="3"/>
      <c r="J572" s="3"/>
      <c r="K572" s="3"/>
    </row>
    <row r="573">
      <c r="I573" s="3"/>
      <c r="J573" s="3"/>
      <c r="K573" s="3"/>
    </row>
    <row r="574">
      <c r="I574" s="3"/>
      <c r="J574" s="3"/>
      <c r="K574" s="3"/>
    </row>
    <row r="575">
      <c r="I575" s="3"/>
      <c r="J575" s="3"/>
      <c r="K575" s="3"/>
    </row>
    <row r="576">
      <c r="I576" s="3"/>
      <c r="J576" s="3"/>
      <c r="K576" s="3"/>
    </row>
    <row r="577">
      <c r="I577" s="3"/>
      <c r="J577" s="3"/>
      <c r="K577" s="3"/>
    </row>
    <row r="578">
      <c r="I578" s="3"/>
      <c r="J578" s="3"/>
      <c r="K578" s="3"/>
    </row>
    <row r="579">
      <c r="I579" s="3"/>
      <c r="J579" s="3"/>
      <c r="K579" s="3"/>
    </row>
    <row r="580">
      <c r="I580" s="3"/>
      <c r="J580" s="3"/>
      <c r="K580" s="3"/>
    </row>
    <row r="581">
      <c r="I581" s="3"/>
      <c r="J581" s="3"/>
      <c r="K581" s="3"/>
    </row>
    <row r="582">
      <c r="I582" s="3"/>
      <c r="J582" s="3"/>
      <c r="K582" s="3"/>
    </row>
    <row r="583">
      <c r="I583" s="3"/>
      <c r="J583" s="3"/>
      <c r="K583" s="3"/>
    </row>
    <row r="584">
      <c r="I584" s="3"/>
      <c r="J584" s="3"/>
      <c r="K584" s="3"/>
    </row>
    <row r="585">
      <c r="I585" s="3"/>
      <c r="J585" s="3"/>
      <c r="K585" s="3"/>
    </row>
    <row r="586">
      <c r="I586" s="3"/>
      <c r="J586" s="3"/>
      <c r="K586" s="3"/>
    </row>
    <row r="587">
      <c r="I587" s="3"/>
      <c r="J587" s="3"/>
      <c r="K587" s="3"/>
    </row>
    <row r="588">
      <c r="I588" s="3"/>
      <c r="J588" s="3"/>
      <c r="K588" s="3"/>
    </row>
    <row r="589">
      <c r="I589" s="3"/>
      <c r="J589" s="3"/>
      <c r="K589" s="3"/>
    </row>
    <row r="590">
      <c r="I590" s="3"/>
      <c r="J590" s="3"/>
      <c r="K590" s="3"/>
    </row>
    <row r="591">
      <c r="I591" s="3"/>
      <c r="J591" s="3"/>
      <c r="K591" s="3"/>
    </row>
    <row r="592">
      <c r="I592" s="3"/>
      <c r="J592" s="3"/>
      <c r="K592" s="3"/>
    </row>
    <row r="593">
      <c r="I593" s="3"/>
      <c r="J593" s="3"/>
      <c r="K593" s="3"/>
    </row>
    <row r="594">
      <c r="I594" s="3"/>
      <c r="J594" s="3"/>
      <c r="K594" s="3"/>
    </row>
    <row r="595">
      <c r="I595" s="3"/>
      <c r="J595" s="3"/>
      <c r="K595" s="3"/>
    </row>
    <row r="596">
      <c r="I596" s="3"/>
      <c r="J596" s="3"/>
      <c r="K596" s="3"/>
    </row>
    <row r="597">
      <c r="I597" s="3"/>
      <c r="J597" s="3"/>
      <c r="K597" s="3"/>
    </row>
    <row r="598">
      <c r="I598" s="3"/>
      <c r="J598" s="3"/>
      <c r="K598" s="3"/>
    </row>
    <row r="599">
      <c r="I599" s="3"/>
      <c r="J599" s="3"/>
      <c r="K599" s="3"/>
    </row>
    <row r="600">
      <c r="I600" s="3"/>
      <c r="J600" s="3"/>
      <c r="K600" s="3"/>
    </row>
    <row r="601">
      <c r="I601" s="3"/>
      <c r="J601" s="3"/>
      <c r="K601" s="3"/>
    </row>
    <row r="602">
      <c r="I602" s="3"/>
      <c r="J602" s="3"/>
      <c r="K602" s="3"/>
    </row>
    <row r="603">
      <c r="I603" s="3"/>
      <c r="J603" s="3"/>
      <c r="K603" s="3"/>
    </row>
    <row r="604">
      <c r="I604" s="3"/>
      <c r="J604" s="3"/>
      <c r="K604" s="3"/>
    </row>
    <row r="605">
      <c r="I605" s="3"/>
      <c r="J605" s="3"/>
      <c r="K605" s="3"/>
    </row>
    <row r="606">
      <c r="I606" s="3"/>
      <c r="J606" s="3"/>
      <c r="K606" s="3"/>
    </row>
    <row r="607">
      <c r="I607" s="3"/>
      <c r="J607" s="3"/>
      <c r="K607" s="3"/>
    </row>
    <row r="608">
      <c r="I608" s="3"/>
      <c r="J608" s="3"/>
      <c r="K608" s="3"/>
    </row>
    <row r="609">
      <c r="I609" s="3"/>
      <c r="J609" s="3"/>
      <c r="K609" s="3"/>
    </row>
    <row r="610">
      <c r="I610" s="3"/>
      <c r="J610" s="3"/>
      <c r="K610" s="3"/>
    </row>
    <row r="611">
      <c r="I611" s="3"/>
      <c r="J611" s="3"/>
      <c r="K611" s="3"/>
    </row>
    <row r="612">
      <c r="I612" s="3"/>
      <c r="J612" s="3"/>
      <c r="K612" s="3"/>
    </row>
    <row r="613">
      <c r="I613" s="3"/>
      <c r="J613" s="3"/>
      <c r="K613" s="3"/>
    </row>
    <row r="614">
      <c r="I614" s="3"/>
      <c r="J614" s="3"/>
      <c r="K614" s="3"/>
    </row>
    <row r="615">
      <c r="I615" s="3"/>
      <c r="J615" s="3"/>
      <c r="K615" s="3"/>
    </row>
    <row r="616">
      <c r="I616" s="3"/>
      <c r="J616" s="3"/>
      <c r="K616" s="3"/>
    </row>
    <row r="617">
      <c r="I617" s="3"/>
      <c r="J617" s="3"/>
      <c r="K617" s="3"/>
    </row>
    <row r="618">
      <c r="I618" s="3"/>
      <c r="J618" s="3"/>
      <c r="K618" s="3"/>
    </row>
    <row r="619">
      <c r="I619" s="3"/>
      <c r="J619" s="3"/>
      <c r="K619" s="3"/>
    </row>
    <row r="620">
      <c r="I620" s="3"/>
      <c r="J620" s="3"/>
      <c r="K620" s="3"/>
    </row>
    <row r="621">
      <c r="I621" s="3"/>
      <c r="J621" s="3"/>
      <c r="K621" s="3"/>
    </row>
    <row r="622">
      <c r="I622" s="3"/>
      <c r="J622" s="3"/>
      <c r="K622" s="3"/>
    </row>
    <row r="623">
      <c r="I623" s="3"/>
      <c r="J623" s="3"/>
      <c r="K623" s="3"/>
    </row>
    <row r="624">
      <c r="I624" s="3"/>
      <c r="J624" s="3"/>
      <c r="K624" s="3"/>
    </row>
    <row r="625">
      <c r="I625" s="3"/>
      <c r="J625" s="3"/>
      <c r="K625" s="3"/>
    </row>
    <row r="626">
      <c r="I626" s="3"/>
      <c r="J626" s="3"/>
      <c r="K626" s="3"/>
    </row>
    <row r="627">
      <c r="I627" s="3"/>
      <c r="J627" s="3"/>
      <c r="K627" s="3"/>
    </row>
    <row r="628">
      <c r="I628" s="3"/>
      <c r="J628" s="3"/>
      <c r="K628" s="3"/>
    </row>
    <row r="629">
      <c r="I629" s="3"/>
      <c r="J629" s="3"/>
      <c r="K629" s="3"/>
    </row>
    <row r="630">
      <c r="I630" s="3"/>
      <c r="J630" s="3"/>
      <c r="K630" s="3"/>
    </row>
    <row r="631">
      <c r="I631" s="3"/>
      <c r="J631" s="3"/>
      <c r="K631" s="3"/>
    </row>
    <row r="632">
      <c r="I632" s="3"/>
      <c r="J632" s="3"/>
      <c r="K632" s="3"/>
    </row>
    <row r="633">
      <c r="I633" s="3"/>
      <c r="J633" s="3"/>
      <c r="K633" s="3"/>
    </row>
    <row r="634">
      <c r="I634" s="3"/>
      <c r="J634" s="3"/>
      <c r="K634" s="3"/>
    </row>
    <row r="635">
      <c r="I635" s="3"/>
      <c r="J635" s="3"/>
      <c r="K635" s="3"/>
    </row>
    <row r="636">
      <c r="I636" s="3"/>
      <c r="J636" s="3"/>
      <c r="K636" s="3"/>
    </row>
    <row r="637">
      <c r="I637" s="3"/>
      <c r="J637" s="3"/>
      <c r="K637" s="3"/>
    </row>
    <row r="638">
      <c r="I638" s="3"/>
      <c r="J638" s="3"/>
      <c r="K638" s="3"/>
    </row>
    <row r="639">
      <c r="I639" s="3"/>
      <c r="J639" s="3"/>
      <c r="K639" s="3"/>
    </row>
    <row r="640">
      <c r="I640" s="3"/>
      <c r="J640" s="3"/>
      <c r="K640" s="3"/>
    </row>
    <row r="641">
      <c r="I641" s="3"/>
      <c r="J641" s="3"/>
      <c r="K641" s="3"/>
    </row>
    <row r="642">
      <c r="I642" s="3"/>
      <c r="J642" s="3"/>
      <c r="K642" s="3"/>
    </row>
    <row r="643">
      <c r="I643" s="3"/>
      <c r="J643" s="3"/>
      <c r="K643" s="3"/>
    </row>
    <row r="644">
      <c r="I644" s="3"/>
      <c r="J644" s="3"/>
      <c r="K644" s="3"/>
    </row>
    <row r="645">
      <c r="I645" s="3"/>
      <c r="J645" s="3"/>
      <c r="K645" s="3"/>
    </row>
    <row r="646">
      <c r="I646" s="3"/>
      <c r="J646" s="3"/>
      <c r="K646" s="3"/>
    </row>
    <row r="647">
      <c r="I647" s="3"/>
      <c r="J647" s="3"/>
      <c r="K647" s="3"/>
    </row>
    <row r="648">
      <c r="I648" s="3"/>
      <c r="J648" s="3"/>
      <c r="K648" s="3"/>
    </row>
    <row r="649">
      <c r="I649" s="3"/>
      <c r="J649" s="3"/>
      <c r="K649" s="3"/>
    </row>
    <row r="650">
      <c r="I650" s="3"/>
      <c r="J650" s="3"/>
      <c r="K650" s="3"/>
    </row>
    <row r="651">
      <c r="I651" s="3"/>
      <c r="J651" s="3"/>
      <c r="K651" s="3"/>
    </row>
    <row r="652">
      <c r="I652" s="3"/>
      <c r="J652" s="3"/>
      <c r="K652" s="3"/>
    </row>
    <row r="653">
      <c r="I653" s="3"/>
      <c r="J653" s="3"/>
      <c r="K653" s="3"/>
    </row>
    <row r="654">
      <c r="I654" s="3"/>
      <c r="J654" s="3"/>
      <c r="K654" s="3"/>
    </row>
    <row r="655">
      <c r="I655" s="3"/>
      <c r="J655" s="3"/>
      <c r="K655" s="3"/>
    </row>
    <row r="656">
      <c r="I656" s="3"/>
      <c r="J656" s="3"/>
      <c r="K656" s="3"/>
    </row>
    <row r="657">
      <c r="I657" s="3"/>
      <c r="J657" s="3"/>
      <c r="K657" s="3"/>
    </row>
    <row r="658">
      <c r="I658" s="3"/>
      <c r="J658" s="3"/>
      <c r="K658" s="3"/>
    </row>
    <row r="659">
      <c r="I659" s="3"/>
      <c r="J659" s="3"/>
      <c r="K659" s="3"/>
    </row>
    <row r="660">
      <c r="I660" s="3"/>
      <c r="J660" s="3"/>
      <c r="K660" s="3"/>
    </row>
    <row r="661">
      <c r="I661" s="3"/>
      <c r="J661" s="3"/>
      <c r="K661" s="3"/>
    </row>
    <row r="662">
      <c r="I662" s="3"/>
      <c r="J662" s="3"/>
      <c r="K662" s="3"/>
    </row>
    <row r="663">
      <c r="I663" s="3"/>
      <c r="J663" s="3"/>
      <c r="K663" s="3"/>
    </row>
    <row r="664">
      <c r="I664" s="3"/>
      <c r="J664" s="3"/>
      <c r="K664" s="3"/>
    </row>
    <row r="665">
      <c r="I665" s="3"/>
      <c r="J665" s="3"/>
      <c r="K665" s="3"/>
    </row>
    <row r="666">
      <c r="I666" s="3"/>
      <c r="J666" s="3"/>
      <c r="K666" s="3"/>
    </row>
    <row r="667">
      <c r="I667" s="3"/>
      <c r="J667" s="3"/>
      <c r="K667" s="3"/>
    </row>
    <row r="668">
      <c r="I668" s="3"/>
      <c r="J668" s="3"/>
      <c r="K668" s="3"/>
    </row>
    <row r="669">
      <c r="I669" s="3"/>
      <c r="J669" s="3"/>
      <c r="K669" s="3"/>
    </row>
    <row r="670">
      <c r="I670" s="3"/>
      <c r="J670" s="3"/>
      <c r="K670" s="3"/>
    </row>
    <row r="671">
      <c r="I671" s="3"/>
      <c r="J671" s="3"/>
      <c r="K671" s="3"/>
    </row>
    <row r="672">
      <c r="I672" s="3"/>
      <c r="J672" s="3"/>
      <c r="K672" s="3"/>
    </row>
    <row r="673">
      <c r="I673" s="3"/>
      <c r="J673" s="3"/>
      <c r="K673" s="3"/>
    </row>
    <row r="674">
      <c r="I674" s="3"/>
      <c r="J674" s="3"/>
      <c r="K674" s="3"/>
    </row>
    <row r="675">
      <c r="I675" s="3"/>
      <c r="J675" s="3"/>
      <c r="K675" s="3"/>
    </row>
    <row r="676">
      <c r="I676" s="3"/>
      <c r="J676" s="3"/>
      <c r="K676" s="3"/>
    </row>
    <row r="677">
      <c r="I677" s="3"/>
      <c r="J677" s="3"/>
      <c r="K677" s="3"/>
    </row>
    <row r="678">
      <c r="I678" s="3"/>
      <c r="J678" s="3"/>
      <c r="K678" s="3"/>
    </row>
    <row r="679">
      <c r="I679" s="3"/>
      <c r="J679" s="3"/>
      <c r="K679" s="3"/>
    </row>
    <row r="680">
      <c r="I680" s="3"/>
      <c r="J680" s="3"/>
      <c r="K680" s="3"/>
    </row>
    <row r="681">
      <c r="I681" s="3"/>
      <c r="J681" s="3"/>
      <c r="K681" s="3"/>
    </row>
    <row r="682">
      <c r="I682" s="3"/>
      <c r="J682" s="3"/>
      <c r="K682" s="3"/>
    </row>
    <row r="683">
      <c r="I683" s="3"/>
      <c r="J683" s="3"/>
      <c r="K683" s="3"/>
    </row>
    <row r="684">
      <c r="I684" s="3"/>
      <c r="J684" s="3"/>
      <c r="K684" s="3"/>
    </row>
    <row r="685">
      <c r="I685" s="3"/>
      <c r="J685" s="3"/>
      <c r="K685" s="3"/>
    </row>
    <row r="686">
      <c r="I686" s="3"/>
      <c r="J686" s="3"/>
      <c r="K686" s="3"/>
    </row>
    <row r="687">
      <c r="I687" s="3"/>
      <c r="J687" s="3"/>
      <c r="K687" s="3"/>
    </row>
    <row r="688">
      <c r="I688" s="3"/>
      <c r="J688" s="3"/>
      <c r="K688" s="3"/>
    </row>
    <row r="689">
      <c r="I689" s="3"/>
      <c r="J689" s="3"/>
      <c r="K689" s="3"/>
    </row>
    <row r="690">
      <c r="I690" s="3"/>
      <c r="J690" s="3"/>
      <c r="K690" s="3"/>
    </row>
    <row r="691">
      <c r="I691" s="3"/>
      <c r="J691" s="3"/>
      <c r="K691" s="3"/>
    </row>
    <row r="692">
      <c r="I692" s="3"/>
      <c r="J692" s="3"/>
      <c r="K692" s="3"/>
    </row>
    <row r="693">
      <c r="I693" s="3"/>
      <c r="J693" s="3"/>
      <c r="K693" s="3"/>
    </row>
    <row r="694">
      <c r="I694" s="3"/>
      <c r="J694" s="3"/>
      <c r="K694" s="3"/>
    </row>
    <row r="695">
      <c r="I695" s="3"/>
      <c r="J695" s="3"/>
      <c r="K695" s="3"/>
    </row>
    <row r="696">
      <c r="I696" s="3"/>
      <c r="J696" s="3"/>
      <c r="K696" s="3"/>
    </row>
    <row r="697">
      <c r="I697" s="3"/>
      <c r="J697" s="3"/>
      <c r="K697" s="3"/>
    </row>
    <row r="698">
      <c r="I698" s="3"/>
      <c r="J698" s="3"/>
      <c r="K698" s="3"/>
    </row>
    <row r="699">
      <c r="I699" s="3"/>
      <c r="J699" s="3"/>
      <c r="K699" s="3"/>
    </row>
    <row r="700">
      <c r="I700" s="3"/>
      <c r="J700" s="3"/>
      <c r="K700" s="3"/>
    </row>
    <row r="701">
      <c r="I701" s="3"/>
      <c r="J701" s="3"/>
      <c r="K701" s="3"/>
    </row>
    <row r="702">
      <c r="I702" s="3"/>
      <c r="J702" s="3"/>
      <c r="K702" s="3"/>
    </row>
    <row r="703">
      <c r="I703" s="3"/>
      <c r="J703" s="3"/>
      <c r="K703" s="3"/>
    </row>
    <row r="704">
      <c r="I704" s="3"/>
      <c r="J704" s="3"/>
      <c r="K704" s="3"/>
    </row>
    <row r="705">
      <c r="I705" s="3"/>
      <c r="J705" s="3"/>
      <c r="K705" s="3"/>
    </row>
    <row r="706">
      <c r="I706" s="3"/>
      <c r="J706" s="3"/>
      <c r="K706" s="3"/>
    </row>
    <row r="707">
      <c r="I707" s="3"/>
      <c r="J707" s="3"/>
      <c r="K707" s="3"/>
    </row>
    <row r="708">
      <c r="I708" s="3"/>
      <c r="J708" s="3"/>
      <c r="K708" s="3"/>
    </row>
    <row r="709">
      <c r="I709" s="3"/>
      <c r="J709" s="3"/>
      <c r="K709" s="3"/>
    </row>
    <row r="710">
      <c r="I710" s="3"/>
      <c r="J710" s="3"/>
      <c r="K710" s="3"/>
    </row>
    <row r="711">
      <c r="I711" s="3"/>
      <c r="J711" s="3"/>
      <c r="K711" s="3"/>
    </row>
    <row r="712">
      <c r="I712" s="3"/>
      <c r="J712" s="3"/>
      <c r="K712" s="3"/>
    </row>
    <row r="713">
      <c r="I713" s="3"/>
      <c r="J713" s="3"/>
      <c r="K713" s="3"/>
    </row>
    <row r="714">
      <c r="I714" s="3"/>
      <c r="J714" s="3"/>
      <c r="K714" s="3"/>
    </row>
    <row r="715">
      <c r="I715" s="3"/>
      <c r="J715" s="3"/>
      <c r="K715" s="3"/>
    </row>
    <row r="716">
      <c r="I716" s="3"/>
      <c r="J716" s="3"/>
      <c r="K716" s="3"/>
    </row>
    <row r="717">
      <c r="I717" s="3"/>
      <c r="J717" s="3"/>
      <c r="K717" s="3"/>
    </row>
    <row r="718">
      <c r="I718" s="3"/>
      <c r="J718" s="3"/>
      <c r="K718" s="3"/>
    </row>
    <row r="719">
      <c r="I719" s="3"/>
      <c r="J719" s="3"/>
      <c r="K719" s="3"/>
    </row>
    <row r="720">
      <c r="I720" s="3"/>
      <c r="J720" s="3"/>
      <c r="K720" s="3"/>
    </row>
    <row r="721">
      <c r="I721" s="3"/>
      <c r="J721" s="3"/>
      <c r="K721" s="3"/>
    </row>
    <row r="722">
      <c r="I722" s="3"/>
      <c r="J722" s="3"/>
      <c r="K722" s="3"/>
    </row>
    <row r="723">
      <c r="I723" s="3"/>
      <c r="J723" s="3"/>
      <c r="K723" s="3"/>
    </row>
    <row r="724">
      <c r="I724" s="3"/>
      <c r="J724" s="3"/>
      <c r="K724" s="3"/>
    </row>
    <row r="725">
      <c r="I725" s="3"/>
      <c r="J725" s="3"/>
      <c r="K725" s="3"/>
    </row>
    <row r="726">
      <c r="I726" s="3"/>
      <c r="J726" s="3"/>
      <c r="K726" s="3"/>
    </row>
    <row r="727">
      <c r="I727" s="3"/>
      <c r="J727" s="3"/>
      <c r="K727" s="3"/>
    </row>
    <row r="728">
      <c r="I728" s="3"/>
      <c r="J728" s="3"/>
      <c r="K728" s="3"/>
    </row>
    <row r="729">
      <c r="I729" s="3"/>
      <c r="J729" s="3"/>
      <c r="K729" s="3"/>
    </row>
    <row r="730">
      <c r="I730" s="3"/>
      <c r="J730" s="3"/>
      <c r="K730" s="3"/>
    </row>
    <row r="731">
      <c r="I731" s="3"/>
      <c r="J731" s="3"/>
      <c r="K731" s="3"/>
    </row>
    <row r="732">
      <c r="I732" s="3"/>
      <c r="J732" s="3"/>
      <c r="K732" s="3"/>
    </row>
    <row r="733">
      <c r="I733" s="3"/>
      <c r="J733" s="3"/>
      <c r="K733" s="3"/>
    </row>
    <row r="734">
      <c r="I734" s="3"/>
      <c r="J734" s="3"/>
      <c r="K734" s="3"/>
    </row>
    <row r="735">
      <c r="I735" s="3"/>
      <c r="J735" s="3"/>
      <c r="K735" s="3"/>
    </row>
    <row r="736">
      <c r="I736" s="3"/>
      <c r="J736" s="3"/>
      <c r="K736" s="3"/>
    </row>
    <row r="737">
      <c r="I737" s="3"/>
      <c r="J737" s="3"/>
      <c r="K737" s="3"/>
    </row>
    <row r="738">
      <c r="I738" s="3"/>
      <c r="J738" s="3"/>
      <c r="K738" s="3"/>
    </row>
    <row r="739">
      <c r="I739" s="3"/>
      <c r="J739" s="3"/>
      <c r="K739" s="3"/>
    </row>
    <row r="740">
      <c r="I740" s="3"/>
      <c r="J740" s="3"/>
      <c r="K740" s="3"/>
    </row>
    <row r="741">
      <c r="I741" s="3"/>
      <c r="J741" s="3"/>
      <c r="K741" s="3"/>
    </row>
    <row r="742">
      <c r="I742" s="3"/>
      <c r="J742" s="3"/>
      <c r="K742" s="3"/>
    </row>
    <row r="743">
      <c r="I743" s="3"/>
      <c r="J743" s="3"/>
      <c r="K743" s="3"/>
    </row>
    <row r="744">
      <c r="I744" s="3"/>
      <c r="J744" s="3"/>
      <c r="K744" s="3"/>
    </row>
    <row r="745">
      <c r="I745" s="3"/>
      <c r="J745" s="3"/>
      <c r="K745" s="3"/>
    </row>
    <row r="746">
      <c r="I746" s="3"/>
      <c r="J746" s="3"/>
      <c r="K746" s="3"/>
    </row>
    <row r="747">
      <c r="I747" s="3"/>
      <c r="J747" s="3"/>
      <c r="K747" s="3"/>
    </row>
    <row r="748">
      <c r="I748" s="3"/>
      <c r="J748" s="3"/>
      <c r="K748" s="3"/>
    </row>
    <row r="749">
      <c r="I749" s="3"/>
      <c r="J749" s="3"/>
      <c r="K749" s="3"/>
    </row>
    <row r="750">
      <c r="I750" s="3"/>
      <c r="J750" s="3"/>
      <c r="K750" s="3"/>
    </row>
    <row r="751">
      <c r="I751" s="3"/>
      <c r="J751" s="3"/>
      <c r="K751" s="3"/>
    </row>
    <row r="752">
      <c r="I752" s="3"/>
      <c r="J752" s="3"/>
      <c r="K752" s="3"/>
    </row>
    <row r="753">
      <c r="I753" s="3"/>
      <c r="J753" s="3"/>
      <c r="K753" s="3"/>
    </row>
    <row r="754">
      <c r="I754" s="3"/>
      <c r="J754" s="3"/>
      <c r="K754" s="3"/>
    </row>
    <row r="755">
      <c r="I755" s="3"/>
      <c r="J755" s="3"/>
      <c r="K755" s="3"/>
    </row>
    <row r="756">
      <c r="I756" s="3"/>
      <c r="J756" s="3"/>
      <c r="K756" s="3"/>
    </row>
    <row r="757">
      <c r="I757" s="3"/>
      <c r="J757" s="3"/>
      <c r="K757" s="3"/>
    </row>
    <row r="758">
      <c r="I758" s="3"/>
      <c r="J758" s="3"/>
      <c r="K758" s="3"/>
    </row>
    <row r="759">
      <c r="I759" s="3"/>
      <c r="J759" s="3"/>
      <c r="K759" s="3"/>
    </row>
    <row r="760">
      <c r="I760" s="3"/>
      <c r="J760" s="3"/>
      <c r="K760" s="3"/>
    </row>
    <row r="761">
      <c r="I761" s="3"/>
      <c r="J761" s="3"/>
      <c r="K761" s="3"/>
    </row>
    <row r="762">
      <c r="I762" s="3"/>
      <c r="J762" s="3"/>
      <c r="K762" s="3"/>
    </row>
    <row r="763">
      <c r="I763" s="3"/>
      <c r="J763" s="3"/>
      <c r="K763" s="3"/>
    </row>
    <row r="764">
      <c r="I764" s="3"/>
      <c r="J764" s="3"/>
      <c r="K764" s="3"/>
    </row>
    <row r="765">
      <c r="I765" s="3"/>
      <c r="J765" s="3"/>
      <c r="K765" s="3"/>
    </row>
    <row r="766">
      <c r="I766" s="3"/>
      <c r="J766" s="3"/>
      <c r="K766" s="3"/>
    </row>
    <row r="767">
      <c r="I767" s="3"/>
      <c r="J767" s="3"/>
      <c r="K767" s="3"/>
    </row>
    <row r="768">
      <c r="I768" s="3"/>
      <c r="J768" s="3"/>
      <c r="K768" s="3"/>
    </row>
    <row r="769">
      <c r="I769" s="3"/>
      <c r="J769" s="3"/>
      <c r="K769" s="3"/>
    </row>
    <row r="770">
      <c r="I770" s="3"/>
      <c r="J770" s="3"/>
      <c r="K770" s="3"/>
    </row>
    <row r="771">
      <c r="I771" s="3"/>
      <c r="J771" s="3"/>
      <c r="K771" s="3"/>
    </row>
    <row r="772">
      <c r="I772" s="3"/>
      <c r="J772" s="3"/>
      <c r="K772" s="3"/>
    </row>
    <row r="773">
      <c r="I773" s="3"/>
      <c r="J773" s="3"/>
      <c r="K773" s="3"/>
    </row>
    <row r="774">
      <c r="I774" s="3"/>
      <c r="J774" s="3"/>
      <c r="K774" s="3"/>
    </row>
    <row r="775">
      <c r="I775" s="3"/>
      <c r="J775" s="3"/>
      <c r="K775" s="3"/>
    </row>
    <row r="776">
      <c r="I776" s="3"/>
      <c r="J776" s="3"/>
      <c r="K776" s="3"/>
    </row>
    <row r="777">
      <c r="I777" s="3"/>
      <c r="J777" s="3"/>
      <c r="K777" s="3"/>
    </row>
    <row r="778">
      <c r="I778" s="3"/>
      <c r="J778" s="3"/>
      <c r="K778" s="3"/>
    </row>
    <row r="779">
      <c r="I779" s="3"/>
      <c r="J779" s="3"/>
      <c r="K779" s="3"/>
    </row>
    <row r="780">
      <c r="I780" s="3"/>
      <c r="J780" s="3"/>
      <c r="K780" s="3"/>
    </row>
    <row r="781">
      <c r="I781" s="3"/>
      <c r="J781" s="3"/>
      <c r="K781" s="3"/>
    </row>
    <row r="782">
      <c r="I782" s="3"/>
      <c r="J782" s="3"/>
      <c r="K782" s="3"/>
    </row>
    <row r="783">
      <c r="I783" s="3"/>
      <c r="J783" s="3"/>
      <c r="K783" s="3"/>
    </row>
    <row r="784">
      <c r="I784" s="3"/>
      <c r="J784" s="3"/>
      <c r="K784" s="3"/>
    </row>
    <row r="785">
      <c r="I785" s="3"/>
      <c r="J785" s="3"/>
      <c r="K785" s="3"/>
    </row>
    <row r="786">
      <c r="I786" s="3"/>
      <c r="J786" s="3"/>
      <c r="K786" s="3"/>
    </row>
    <row r="787">
      <c r="I787" s="3"/>
      <c r="J787" s="3"/>
      <c r="K787" s="3"/>
    </row>
    <row r="788">
      <c r="I788" s="3"/>
      <c r="J788" s="3"/>
      <c r="K788" s="3"/>
    </row>
    <row r="789">
      <c r="I789" s="3"/>
      <c r="J789" s="3"/>
      <c r="K789" s="3"/>
    </row>
    <row r="790">
      <c r="I790" s="3"/>
      <c r="J790" s="3"/>
      <c r="K790" s="3"/>
    </row>
    <row r="791">
      <c r="I791" s="3"/>
      <c r="J791" s="3"/>
      <c r="K791" s="3"/>
    </row>
    <row r="792">
      <c r="I792" s="3"/>
      <c r="J792" s="3"/>
      <c r="K792" s="3"/>
    </row>
    <row r="793">
      <c r="I793" s="3"/>
      <c r="J793" s="3"/>
      <c r="K793" s="3"/>
    </row>
    <row r="794">
      <c r="I794" s="3"/>
      <c r="J794" s="3"/>
      <c r="K794" s="3"/>
    </row>
    <row r="795">
      <c r="I795" s="3"/>
      <c r="J795" s="3"/>
      <c r="K795" s="3"/>
    </row>
    <row r="796">
      <c r="I796" s="3"/>
      <c r="J796" s="3"/>
      <c r="K796" s="3"/>
    </row>
    <row r="797">
      <c r="I797" s="3"/>
      <c r="J797" s="3"/>
      <c r="K797" s="3"/>
    </row>
    <row r="798">
      <c r="I798" s="3"/>
      <c r="J798" s="3"/>
      <c r="K798" s="3"/>
    </row>
    <row r="799">
      <c r="I799" s="3"/>
      <c r="J799" s="3"/>
      <c r="K799" s="3"/>
    </row>
    <row r="800">
      <c r="I800" s="3"/>
      <c r="J800" s="3"/>
      <c r="K800" s="3"/>
    </row>
    <row r="801">
      <c r="I801" s="3"/>
      <c r="J801" s="3"/>
      <c r="K801" s="3"/>
    </row>
    <row r="802">
      <c r="I802" s="3"/>
      <c r="J802" s="3"/>
      <c r="K802" s="3"/>
    </row>
    <row r="803">
      <c r="I803" s="3"/>
      <c r="J803" s="3"/>
      <c r="K803" s="3"/>
    </row>
    <row r="804">
      <c r="I804" s="3"/>
      <c r="J804" s="3"/>
      <c r="K804" s="3"/>
    </row>
    <row r="805">
      <c r="I805" s="3"/>
      <c r="J805" s="3"/>
      <c r="K805" s="3"/>
    </row>
    <row r="806">
      <c r="I806" s="3"/>
      <c r="J806" s="3"/>
      <c r="K806" s="3"/>
    </row>
    <row r="807">
      <c r="I807" s="3"/>
      <c r="J807" s="3"/>
      <c r="K807" s="3"/>
    </row>
    <row r="808">
      <c r="I808" s="3"/>
      <c r="J808" s="3"/>
      <c r="K808" s="3"/>
    </row>
    <row r="809">
      <c r="I809" s="3"/>
      <c r="J809" s="3"/>
      <c r="K809" s="3"/>
    </row>
    <row r="810">
      <c r="I810" s="3"/>
      <c r="J810" s="3"/>
      <c r="K810" s="3"/>
    </row>
    <row r="811">
      <c r="I811" s="3"/>
      <c r="J811" s="3"/>
      <c r="K811" s="3"/>
    </row>
    <row r="812">
      <c r="I812" s="3"/>
      <c r="J812" s="3"/>
      <c r="K812" s="3"/>
    </row>
    <row r="813">
      <c r="I813" s="3"/>
      <c r="J813" s="3"/>
      <c r="K813" s="3"/>
    </row>
    <row r="814">
      <c r="I814" s="3"/>
      <c r="J814" s="3"/>
      <c r="K814" s="3"/>
    </row>
    <row r="815">
      <c r="I815" s="3"/>
      <c r="J815" s="3"/>
      <c r="K815" s="3"/>
    </row>
    <row r="816">
      <c r="I816" s="3"/>
      <c r="J816" s="3"/>
      <c r="K816" s="3"/>
    </row>
    <row r="817">
      <c r="I817" s="3"/>
      <c r="J817" s="3"/>
      <c r="K817" s="3"/>
    </row>
    <row r="818">
      <c r="I818" s="3"/>
      <c r="J818" s="3"/>
      <c r="K818" s="3"/>
    </row>
    <row r="819">
      <c r="I819" s="3"/>
      <c r="J819" s="3"/>
      <c r="K819" s="3"/>
    </row>
    <row r="820">
      <c r="I820" s="3"/>
      <c r="J820" s="3"/>
      <c r="K820" s="3"/>
    </row>
    <row r="821">
      <c r="I821" s="3"/>
      <c r="J821" s="3"/>
      <c r="K821" s="3"/>
    </row>
    <row r="822">
      <c r="I822" s="3"/>
      <c r="J822" s="3"/>
      <c r="K822" s="3"/>
    </row>
    <row r="823">
      <c r="I823" s="3"/>
      <c r="J823" s="3"/>
      <c r="K823" s="3"/>
    </row>
    <row r="824">
      <c r="I824" s="3"/>
      <c r="J824" s="3"/>
      <c r="K824" s="3"/>
    </row>
    <row r="825">
      <c r="I825" s="3"/>
      <c r="J825" s="3"/>
      <c r="K825" s="3"/>
    </row>
    <row r="826">
      <c r="I826" s="3"/>
      <c r="J826" s="3"/>
      <c r="K826" s="3"/>
    </row>
    <row r="827">
      <c r="I827" s="3"/>
      <c r="J827" s="3"/>
      <c r="K827" s="3"/>
    </row>
    <row r="828">
      <c r="I828" s="3"/>
      <c r="J828" s="3"/>
      <c r="K828" s="3"/>
    </row>
    <row r="829">
      <c r="I829" s="3"/>
      <c r="J829" s="3"/>
      <c r="K829" s="3"/>
    </row>
    <row r="830">
      <c r="I830" s="3"/>
      <c r="J830" s="3"/>
      <c r="K830" s="3"/>
    </row>
    <row r="831">
      <c r="I831" s="3"/>
      <c r="J831" s="3"/>
      <c r="K831" s="3"/>
    </row>
    <row r="832">
      <c r="I832" s="3"/>
      <c r="J832" s="3"/>
      <c r="K832" s="3"/>
    </row>
    <row r="833">
      <c r="I833" s="3"/>
      <c r="J833" s="3"/>
      <c r="K833" s="3"/>
    </row>
    <row r="834">
      <c r="I834" s="3"/>
      <c r="J834" s="3"/>
      <c r="K834" s="3"/>
    </row>
    <row r="835">
      <c r="I835" s="3"/>
      <c r="J835" s="3"/>
      <c r="K835" s="3"/>
    </row>
    <row r="836">
      <c r="I836" s="3"/>
      <c r="J836" s="3"/>
      <c r="K836" s="3"/>
    </row>
    <row r="837">
      <c r="I837" s="3"/>
      <c r="J837" s="3"/>
      <c r="K837" s="3"/>
    </row>
    <row r="838">
      <c r="I838" s="3"/>
      <c r="J838" s="3"/>
      <c r="K838" s="3"/>
    </row>
    <row r="839">
      <c r="I839" s="3"/>
      <c r="J839" s="3"/>
      <c r="K839" s="3"/>
    </row>
    <row r="840">
      <c r="I840" s="3"/>
      <c r="J840" s="3"/>
      <c r="K840" s="3"/>
    </row>
    <row r="841">
      <c r="I841" s="3"/>
      <c r="J841" s="3"/>
      <c r="K841" s="3"/>
    </row>
    <row r="842">
      <c r="I842" s="3"/>
      <c r="J842" s="3"/>
      <c r="K842" s="3"/>
    </row>
    <row r="843">
      <c r="I843" s="3"/>
      <c r="J843" s="3"/>
      <c r="K843" s="3"/>
    </row>
    <row r="844">
      <c r="I844" s="3"/>
      <c r="J844" s="3"/>
      <c r="K844" s="3"/>
    </row>
    <row r="845">
      <c r="I845" s="3"/>
      <c r="J845" s="3"/>
      <c r="K845" s="3"/>
    </row>
    <row r="846">
      <c r="I846" s="3"/>
      <c r="J846" s="3"/>
      <c r="K846" s="3"/>
    </row>
    <row r="847">
      <c r="I847" s="3"/>
      <c r="J847" s="3"/>
      <c r="K847" s="3"/>
    </row>
    <row r="848">
      <c r="I848" s="3"/>
      <c r="J848" s="3"/>
      <c r="K848" s="3"/>
    </row>
    <row r="849">
      <c r="I849" s="3"/>
      <c r="J849" s="3"/>
      <c r="K849" s="3"/>
    </row>
    <row r="850">
      <c r="I850" s="3"/>
      <c r="J850" s="3"/>
      <c r="K850" s="3"/>
    </row>
    <row r="851">
      <c r="I851" s="3"/>
      <c r="J851" s="3"/>
      <c r="K851" s="3"/>
    </row>
    <row r="852">
      <c r="I852" s="3"/>
      <c r="J852" s="3"/>
      <c r="K852" s="3"/>
    </row>
    <row r="853">
      <c r="I853" s="3"/>
      <c r="J853" s="3"/>
      <c r="K853" s="3"/>
    </row>
    <row r="854">
      <c r="I854" s="3"/>
      <c r="J854" s="3"/>
      <c r="K854" s="3"/>
    </row>
    <row r="855">
      <c r="I855" s="3"/>
      <c r="J855" s="3"/>
      <c r="K855" s="3"/>
    </row>
    <row r="856">
      <c r="I856" s="3"/>
      <c r="J856" s="3"/>
      <c r="K856" s="3"/>
    </row>
    <row r="857">
      <c r="I857" s="3"/>
      <c r="J857" s="3"/>
      <c r="K857" s="3"/>
    </row>
    <row r="858">
      <c r="I858" s="3"/>
      <c r="J858" s="3"/>
      <c r="K858" s="3"/>
    </row>
    <row r="859">
      <c r="I859" s="3"/>
      <c r="J859" s="3"/>
      <c r="K859" s="3"/>
    </row>
    <row r="860">
      <c r="I860" s="3"/>
      <c r="J860" s="3"/>
      <c r="K860" s="3"/>
    </row>
    <row r="861">
      <c r="I861" s="3"/>
      <c r="J861" s="3"/>
      <c r="K861" s="3"/>
    </row>
    <row r="862">
      <c r="I862" s="3"/>
      <c r="J862" s="3"/>
      <c r="K862" s="3"/>
    </row>
    <row r="863">
      <c r="I863" s="3"/>
      <c r="J863" s="3"/>
      <c r="K863" s="3"/>
    </row>
    <row r="864">
      <c r="I864" s="3"/>
      <c r="J864" s="3"/>
      <c r="K864" s="3"/>
    </row>
    <row r="865">
      <c r="I865" s="3"/>
      <c r="J865" s="3"/>
      <c r="K865" s="3"/>
    </row>
    <row r="866">
      <c r="I866" s="3"/>
      <c r="J866" s="3"/>
      <c r="K866" s="3"/>
    </row>
    <row r="867">
      <c r="I867" s="3"/>
      <c r="J867" s="3"/>
      <c r="K867" s="3"/>
    </row>
    <row r="868">
      <c r="I868" s="3"/>
      <c r="J868" s="3"/>
      <c r="K868" s="3"/>
    </row>
    <row r="869">
      <c r="I869" s="3"/>
      <c r="J869" s="3"/>
      <c r="K869" s="3"/>
    </row>
    <row r="870">
      <c r="I870" s="3"/>
      <c r="J870" s="3"/>
      <c r="K870" s="3"/>
    </row>
    <row r="871">
      <c r="I871" s="3"/>
      <c r="J871" s="3"/>
      <c r="K871" s="3"/>
    </row>
    <row r="872">
      <c r="I872" s="3"/>
      <c r="J872" s="3"/>
      <c r="K872" s="3"/>
    </row>
    <row r="873">
      <c r="I873" s="3"/>
      <c r="J873" s="3"/>
      <c r="K873" s="3"/>
    </row>
    <row r="874">
      <c r="I874" s="3"/>
      <c r="J874" s="3"/>
      <c r="K874" s="3"/>
    </row>
    <row r="875">
      <c r="I875" s="3"/>
      <c r="J875" s="3"/>
      <c r="K875" s="3"/>
    </row>
    <row r="876">
      <c r="I876" s="3"/>
      <c r="J876" s="3"/>
      <c r="K876" s="3"/>
    </row>
    <row r="877">
      <c r="I877" s="3"/>
      <c r="J877" s="3"/>
      <c r="K877" s="3"/>
    </row>
    <row r="878">
      <c r="I878" s="3"/>
      <c r="J878" s="3"/>
      <c r="K878" s="3"/>
    </row>
    <row r="879">
      <c r="I879" s="3"/>
      <c r="J879" s="3"/>
      <c r="K879" s="3"/>
    </row>
    <row r="880">
      <c r="I880" s="3"/>
      <c r="J880" s="3"/>
      <c r="K880" s="3"/>
    </row>
    <row r="881">
      <c r="I881" s="3"/>
      <c r="J881" s="3"/>
      <c r="K881" s="3"/>
    </row>
    <row r="882">
      <c r="I882" s="3"/>
      <c r="J882" s="3"/>
      <c r="K882" s="3"/>
    </row>
    <row r="883">
      <c r="I883" s="3"/>
      <c r="J883" s="3"/>
      <c r="K883" s="3"/>
    </row>
    <row r="884">
      <c r="I884" s="3"/>
      <c r="J884" s="3"/>
      <c r="K884" s="3"/>
    </row>
    <row r="885">
      <c r="I885" s="3"/>
      <c r="J885" s="3"/>
      <c r="K885" s="3"/>
    </row>
    <row r="886">
      <c r="I886" s="3"/>
      <c r="J886" s="3"/>
      <c r="K886" s="3"/>
    </row>
    <row r="887">
      <c r="I887" s="3"/>
      <c r="J887" s="3"/>
      <c r="K887" s="3"/>
    </row>
    <row r="888">
      <c r="I888" s="3"/>
      <c r="J888" s="3"/>
      <c r="K888" s="3"/>
    </row>
    <row r="889">
      <c r="I889" s="3"/>
      <c r="J889" s="3"/>
      <c r="K889" s="3"/>
    </row>
    <row r="890">
      <c r="I890" s="3"/>
      <c r="J890" s="3"/>
      <c r="K890" s="3"/>
    </row>
    <row r="891">
      <c r="I891" s="3"/>
      <c r="J891" s="3"/>
      <c r="K891" s="3"/>
    </row>
    <row r="892">
      <c r="I892" s="3"/>
      <c r="J892" s="3"/>
      <c r="K892" s="3"/>
    </row>
    <row r="893">
      <c r="I893" s="3"/>
      <c r="J893" s="3"/>
      <c r="K893" s="3"/>
    </row>
    <row r="894">
      <c r="I894" s="3"/>
      <c r="J894" s="3"/>
      <c r="K894" s="3"/>
    </row>
    <row r="895">
      <c r="I895" s="3"/>
      <c r="J895" s="3"/>
      <c r="K895" s="3"/>
    </row>
    <row r="896">
      <c r="I896" s="3"/>
      <c r="J896" s="3"/>
      <c r="K896" s="3"/>
    </row>
    <row r="897">
      <c r="I897" s="3"/>
      <c r="J897" s="3"/>
      <c r="K897" s="3"/>
    </row>
    <row r="898">
      <c r="I898" s="3"/>
      <c r="J898" s="3"/>
      <c r="K898" s="3"/>
    </row>
    <row r="899">
      <c r="I899" s="3"/>
      <c r="J899" s="3"/>
      <c r="K899" s="3"/>
    </row>
    <row r="900">
      <c r="I900" s="3"/>
      <c r="J900" s="3"/>
      <c r="K900" s="3"/>
    </row>
    <row r="901">
      <c r="I901" s="3"/>
      <c r="J901" s="3"/>
      <c r="K901" s="3"/>
    </row>
    <row r="902">
      <c r="I902" s="3"/>
      <c r="J902" s="3"/>
      <c r="K902" s="3"/>
    </row>
    <row r="903">
      <c r="I903" s="3"/>
      <c r="J903" s="3"/>
      <c r="K903" s="3"/>
    </row>
    <row r="904">
      <c r="I904" s="3"/>
      <c r="J904" s="3"/>
      <c r="K904" s="3"/>
    </row>
    <row r="905">
      <c r="I905" s="3"/>
      <c r="J905" s="3"/>
      <c r="K905" s="3"/>
    </row>
    <row r="906">
      <c r="I906" s="3"/>
      <c r="J906" s="3"/>
      <c r="K906" s="3"/>
    </row>
    <row r="907">
      <c r="I907" s="3"/>
      <c r="J907" s="3"/>
      <c r="K907" s="3"/>
    </row>
    <row r="908">
      <c r="I908" s="3"/>
      <c r="J908" s="3"/>
      <c r="K908" s="3"/>
    </row>
    <row r="909">
      <c r="I909" s="3"/>
      <c r="J909" s="3"/>
      <c r="K909" s="3"/>
    </row>
    <row r="910">
      <c r="I910" s="3"/>
      <c r="J910" s="3"/>
      <c r="K910" s="3"/>
    </row>
    <row r="911">
      <c r="I911" s="3"/>
      <c r="J911" s="3"/>
      <c r="K911" s="3"/>
    </row>
    <row r="912">
      <c r="I912" s="3"/>
      <c r="J912" s="3"/>
      <c r="K912" s="3"/>
    </row>
    <row r="913">
      <c r="I913" s="3"/>
      <c r="J913" s="3"/>
      <c r="K913" s="3"/>
    </row>
    <row r="914">
      <c r="I914" s="3"/>
      <c r="J914" s="3"/>
      <c r="K914" s="3"/>
    </row>
    <row r="915">
      <c r="I915" s="3"/>
      <c r="J915" s="3"/>
      <c r="K915" s="3"/>
    </row>
    <row r="916">
      <c r="I916" s="3"/>
      <c r="J916" s="3"/>
      <c r="K916" s="3"/>
    </row>
    <row r="917">
      <c r="I917" s="3"/>
      <c r="J917" s="3"/>
      <c r="K917" s="3"/>
    </row>
    <row r="918">
      <c r="I918" s="3"/>
      <c r="J918" s="3"/>
      <c r="K918" s="3"/>
    </row>
    <row r="919">
      <c r="I919" s="3"/>
      <c r="J919" s="3"/>
      <c r="K919" s="3"/>
    </row>
    <row r="920">
      <c r="I920" s="3"/>
      <c r="J920" s="3"/>
      <c r="K920" s="3"/>
    </row>
    <row r="921">
      <c r="I921" s="3"/>
      <c r="J921" s="3"/>
      <c r="K921" s="3"/>
    </row>
    <row r="922">
      <c r="I922" s="3"/>
      <c r="J922" s="3"/>
      <c r="K922" s="3"/>
    </row>
    <row r="923">
      <c r="I923" s="3"/>
      <c r="J923" s="3"/>
      <c r="K923" s="3"/>
    </row>
    <row r="924">
      <c r="I924" s="3"/>
      <c r="J924" s="3"/>
      <c r="K924" s="3"/>
    </row>
    <row r="925">
      <c r="I925" s="3"/>
      <c r="J925" s="3"/>
      <c r="K925" s="3"/>
    </row>
    <row r="926">
      <c r="I926" s="3"/>
      <c r="J926" s="3"/>
      <c r="K926" s="3"/>
    </row>
    <row r="927">
      <c r="I927" s="3"/>
      <c r="J927" s="3"/>
      <c r="K927" s="3"/>
    </row>
    <row r="928">
      <c r="I928" s="3"/>
      <c r="J928" s="3"/>
      <c r="K928" s="3"/>
    </row>
    <row r="929">
      <c r="I929" s="3"/>
      <c r="J929" s="3"/>
      <c r="K929" s="3"/>
    </row>
    <row r="930">
      <c r="I930" s="3"/>
      <c r="J930" s="3"/>
      <c r="K930" s="3"/>
    </row>
    <row r="931">
      <c r="I931" s="3"/>
      <c r="J931" s="3"/>
      <c r="K931" s="3"/>
    </row>
    <row r="932">
      <c r="I932" s="3"/>
      <c r="J932" s="3"/>
      <c r="K932" s="3"/>
    </row>
    <row r="933">
      <c r="I933" s="3"/>
      <c r="J933" s="3"/>
      <c r="K933" s="3"/>
    </row>
    <row r="934">
      <c r="I934" s="3"/>
      <c r="J934" s="3"/>
      <c r="K934" s="3"/>
    </row>
    <row r="935">
      <c r="I935" s="3"/>
      <c r="J935" s="3"/>
      <c r="K935" s="3"/>
    </row>
    <row r="936">
      <c r="I936" s="3"/>
      <c r="J936" s="3"/>
      <c r="K936" s="3"/>
    </row>
    <row r="937">
      <c r="I937" s="3"/>
      <c r="J937" s="3"/>
      <c r="K937" s="3"/>
    </row>
    <row r="938">
      <c r="I938" s="3"/>
      <c r="J938" s="3"/>
      <c r="K938" s="3"/>
    </row>
    <row r="939">
      <c r="I939" s="3"/>
      <c r="J939" s="3"/>
      <c r="K939" s="3"/>
    </row>
    <row r="940">
      <c r="I940" s="3"/>
      <c r="J940" s="3"/>
      <c r="K940" s="3"/>
    </row>
    <row r="941">
      <c r="I941" s="3"/>
      <c r="J941" s="3"/>
      <c r="K941" s="3"/>
    </row>
    <row r="942">
      <c r="I942" s="3"/>
      <c r="J942" s="3"/>
      <c r="K942" s="3"/>
    </row>
    <row r="943">
      <c r="I943" s="3"/>
      <c r="J943" s="3"/>
      <c r="K943" s="3"/>
    </row>
    <row r="944">
      <c r="I944" s="3"/>
      <c r="J944" s="3"/>
      <c r="K944" s="3"/>
    </row>
    <row r="945">
      <c r="I945" s="3"/>
      <c r="J945" s="3"/>
      <c r="K945" s="3"/>
    </row>
    <row r="946">
      <c r="I946" s="3"/>
      <c r="J946" s="3"/>
      <c r="K946" s="3"/>
    </row>
    <row r="947">
      <c r="I947" s="3"/>
      <c r="J947" s="3"/>
      <c r="K947" s="3"/>
    </row>
    <row r="948">
      <c r="I948" s="3"/>
      <c r="J948" s="3"/>
      <c r="K948" s="3"/>
    </row>
    <row r="949">
      <c r="I949" s="3"/>
      <c r="J949" s="3"/>
      <c r="K949" s="3"/>
    </row>
    <row r="950">
      <c r="I950" s="3"/>
      <c r="J950" s="3"/>
      <c r="K950" s="3"/>
    </row>
    <row r="951">
      <c r="I951" s="3"/>
      <c r="J951" s="3"/>
      <c r="K951" s="3"/>
    </row>
    <row r="952">
      <c r="I952" s="3"/>
      <c r="J952" s="3"/>
      <c r="K952" s="3"/>
    </row>
    <row r="953">
      <c r="I953" s="3"/>
      <c r="J953" s="3"/>
      <c r="K953" s="3"/>
    </row>
    <row r="954">
      <c r="I954" s="3"/>
      <c r="J954" s="3"/>
      <c r="K954" s="3"/>
    </row>
    <row r="955">
      <c r="I955" s="3"/>
      <c r="J955" s="3"/>
      <c r="K955" s="3"/>
    </row>
    <row r="956">
      <c r="I956" s="3"/>
      <c r="J956" s="3"/>
      <c r="K956" s="3"/>
    </row>
    <row r="957">
      <c r="I957" s="3"/>
      <c r="J957" s="3"/>
      <c r="K957" s="3"/>
    </row>
    <row r="958">
      <c r="I958" s="3"/>
      <c r="J958" s="3"/>
      <c r="K958" s="3"/>
    </row>
    <row r="959">
      <c r="I959" s="3"/>
      <c r="J959" s="3"/>
      <c r="K959" s="3"/>
    </row>
    <row r="960">
      <c r="I960" s="3"/>
      <c r="J960" s="3"/>
      <c r="K960" s="3"/>
    </row>
    <row r="961">
      <c r="I961" s="3"/>
      <c r="J961" s="3"/>
      <c r="K961" s="3"/>
    </row>
    <row r="962">
      <c r="I962" s="3"/>
      <c r="J962" s="3"/>
      <c r="K962" s="3"/>
    </row>
    <row r="963">
      <c r="I963" s="3"/>
      <c r="J963" s="3"/>
      <c r="K963" s="3"/>
    </row>
    <row r="964">
      <c r="I964" s="3"/>
      <c r="J964" s="3"/>
      <c r="K964" s="3"/>
    </row>
    <row r="965">
      <c r="I965" s="3"/>
      <c r="J965" s="3"/>
      <c r="K965" s="3"/>
    </row>
    <row r="966">
      <c r="I966" s="3"/>
      <c r="J966" s="3"/>
      <c r="K966" s="3"/>
    </row>
    <row r="967">
      <c r="I967" s="3"/>
      <c r="J967" s="3"/>
      <c r="K967" s="3"/>
    </row>
    <row r="968">
      <c r="I968" s="3"/>
      <c r="J968" s="3"/>
      <c r="K968" s="3"/>
    </row>
    <row r="969">
      <c r="I969" s="3"/>
      <c r="J969" s="3"/>
      <c r="K969" s="3"/>
    </row>
    <row r="970">
      <c r="I970" s="3"/>
      <c r="J970" s="3"/>
      <c r="K970" s="3"/>
    </row>
    <row r="971">
      <c r="I971" s="3"/>
      <c r="J971" s="3"/>
      <c r="K971" s="3"/>
    </row>
    <row r="972">
      <c r="I972" s="3"/>
      <c r="J972" s="3"/>
      <c r="K972" s="3"/>
    </row>
    <row r="973">
      <c r="I973" s="3"/>
      <c r="J973" s="3"/>
      <c r="K973" s="3"/>
    </row>
    <row r="974">
      <c r="I974" s="3"/>
      <c r="J974" s="3"/>
      <c r="K974" s="3"/>
    </row>
    <row r="975">
      <c r="I975" s="3"/>
      <c r="J975" s="3"/>
      <c r="K975" s="3"/>
    </row>
    <row r="976">
      <c r="I976" s="3"/>
      <c r="J976" s="3"/>
      <c r="K976" s="3"/>
    </row>
    <row r="977">
      <c r="I977" s="3"/>
      <c r="J977" s="3"/>
      <c r="K977" s="3"/>
    </row>
    <row r="978">
      <c r="I978" s="3"/>
      <c r="J978" s="3"/>
      <c r="K978" s="3"/>
    </row>
    <row r="979">
      <c r="I979" s="3"/>
      <c r="J979" s="3"/>
      <c r="K979" s="3"/>
    </row>
    <row r="980">
      <c r="I980" s="3"/>
      <c r="J980" s="3"/>
      <c r="K980" s="3"/>
    </row>
    <row r="981">
      <c r="I981" s="3"/>
      <c r="J981" s="3"/>
      <c r="K981" s="3"/>
    </row>
    <row r="982">
      <c r="I982" s="3"/>
      <c r="J982" s="3"/>
      <c r="K982" s="3"/>
    </row>
    <row r="983">
      <c r="I983" s="3"/>
      <c r="J983" s="3"/>
      <c r="K983" s="3"/>
    </row>
    <row r="984">
      <c r="I984" s="3"/>
      <c r="J984" s="3"/>
      <c r="K984" s="3"/>
    </row>
    <row r="985">
      <c r="I985" s="3"/>
      <c r="J985" s="3"/>
      <c r="K985" s="3"/>
    </row>
    <row r="986">
      <c r="I986" s="3"/>
      <c r="J986" s="3"/>
      <c r="K986" s="3"/>
    </row>
    <row r="987">
      <c r="I987" s="3"/>
      <c r="J987" s="3"/>
      <c r="K987" s="3"/>
    </row>
    <row r="988">
      <c r="I988" s="3"/>
      <c r="J988" s="3"/>
      <c r="K988" s="3"/>
    </row>
    <row r="989">
      <c r="I989" s="3"/>
      <c r="J989" s="3"/>
      <c r="K989" s="3"/>
    </row>
    <row r="990">
      <c r="I990" s="3"/>
      <c r="J990" s="3"/>
      <c r="K990" s="3"/>
    </row>
    <row r="991">
      <c r="I991" s="3"/>
      <c r="J991" s="3"/>
      <c r="K991" s="3"/>
    </row>
    <row r="992">
      <c r="I992" s="3"/>
      <c r="J992" s="3"/>
      <c r="K992" s="3"/>
    </row>
    <row r="993">
      <c r="I993" s="3"/>
      <c r="J993" s="3"/>
      <c r="K993" s="3"/>
    </row>
    <row r="994">
      <c r="I994" s="3"/>
      <c r="J994" s="3"/>
      <c r="K994" s="3"/>
    </row>
    <row r="995">
      <c r="I995" s="3"/>
      <c r="J995" s="3"/>
      <c r="K995" s="3"/>
    </row>
    <row r="996">
      <c r="I996" s="3"/>
      <c r="J996" s="3"/>
      <c r="K996" s="3"/>
    </row>
    <row r="997">
      <c r="I997" s="3"/>
      <c r="J997" s="3"/>
      <c r="K997" s="3"/>
    </row>
    <row r="998">
      <c r="I998" s="3"/>
      <c r="J998" s="3"/>
      <c r="K998" s="3"/>
    </row>
    <row r="999">
      <c r="I999" s="3"/>
      <c r="J999" s="3"/>
      <c r="K999" s="3"/>
    </row>
    <row r="1000">
      <c r="I1000" s="3"/>
      <c r="J1000" s="3"/>
      <c r="K1000" s="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hidden="1" min="2" max="2" width="16.63"/>
    <col customWidth="1" min="3" max="3" width="25.38"/>
    <col customWidth="1" min="4" max="4" width="29.75"/>
    <col customWidth="1" min="5" max="5" width="14.0"/>
    <col customWidth="1" min="6" max="6" width="60.38"/>
    <col customWidth="1" min="7" max="7" width="6.25"/>
    <col customWidth="1" min="8" max="8" width="7.13"/>
    <col customWidth="1" min="9" max="9" width="17.63"/>
    <col customWidth="1" min="10" max="10" width="21.63"/>
    <col customWidth="1" min="11" max="11" width="9.75"/>
    <col customWidth="1" min="12" max="12" width="10.25"/>
  </cols>
  <sheetData>
    <row r="1">
      <c r="A1" s="11" t="s">
        <v>23</v>
      </c>
      <c r="B1" s="12" t="s">
        <v>18</v>
      </c>
      <c r="C1" s="13" t="s">
        <v>19</v>
      </c>
      <c r="D1" s="12" t="s">
        <v>4</v>
      </c>
      <c r="E1" s="12" t="s">
        <v>20</v>
      </c>
      <c r="F1" s="12" t="s">
        <v>21</v>
      </c>
      <c r="G1" s="12" t="s">
        <v>6</v>
      </c>
      <c r="H1" s="12" t="s">
        <v>7</v>
      </c>
      <c r="I1" s="12" t="s">
        <v>24</v>
      </c>
      <c r="J1" s="12" t="s">
        <v>25</v>
      </c>
      <c r="K1" s="11" t="s">
        <v>26</v>
      </c>
      <c r="L1" s="11" t="str">
        <f>IFERROR(__xludf.DUMMYFUNCTION("ArrayFormula(IF(LEN(K:K),if(ROW(K:K)=1,""Kategori"",if(isna(vlookup(A:A,importrange(""1pu4PTNY0DwxqnxT6B1IOshB45EM_Ul3WONUVl73rw4Y"",""Salinan Gform!B:D""),3,0)),""-"",vlookup(A:A,importrange(""1pu4PTNY0DwxqnxT6B1IOshB45EM_Ul3WONUVl73rw4Y"",""Salinan Gfor"&amp;"m!B:D""),3,0))),))"),"Kategori")</f>
        <v>Kategori</v>
      </c>
      <c r="M1" s="14" t="str">
        <f t="array" ref="M1:M2006">IF(LEN(A:A),if(ROW(A:A)=1,"Requestor",Left(A:A,3)),)</f>
        <v>Requestor</v>
      </c>
      <c r="N1" s="14" t="str">
        <f t="array" ref="N1:N2006">IF(LEN(A:A),if(ROW(A:A)=1,"Tim",ifs(M:M="AAA","Maintenance",M:M="ANO","Maintenance",M:M="BDU","Utility",M:M="INN","Maintenance",M:M="KFF","Maintenance",M:M="MFH","ESS",M:M="MOB","Utility",M:M="MRN","Utility",M:M="NDS","Maintenance",M:M="RIA","Utility",M:M="ROS","Maintenance",M:M="SFH","Utility",M:M="SHF","Utility")),)</f>
        <v>Tim</v>
      </c>
      <c r="O1" s="2"/>
      <c r="P1" s="2"/>
      <c r="Q1" s="2"/>
      <c r="R1" s="2"/>
      <c r="S1" s="2"/>
      <c r="T1" s="2"/>
      <c r="U1" s="2"/>
    </row>
    <row r="2" hidden="1">
      <c r="A2" s="15" t="str">
        <f>IFERROR(__xludf.DUMMYFUNCTION("if(isna(query({'Summary JA Full Approved'!A2:K2006;'Summary BR Full Approved'!A2:K2006;'Summary RO Full Approved'!A2:K2006},""SELECT * WHERE Col3 IS NOT NULL ORDER BY Col3 ASC"")),"""",query({'Summary JA Full Approved'!A2:K2006;'Summary BR Full Approved'!"&amp;"A2:K2006;'Summary RO Full Approved'!A2:K2006},""SELECT * WHERE Col3 IS NOT NULL ORDER BY Col3 ASC""))"),"SFHRO0002")</f>
        <v>SFHRO0002</v>
      </c>
      <c r="B2" s="16">
        <f>IFERROR(__xludf.DUMMYFUNCTION("""COMPUTED_VALUE"""),45678.67302818287)</f>
        <v>45678.67303</v>
      </c>
      <c r="C2" s="17">
        <f>IFERROR(__xludf.DUMMYFUNCTION("""COMPUTED_VALUE"""),45679.395960891205)</f>
        <v>45679.39596</v>
      </c>
      <c r="D2" s="15" t="str">
        <f>IFERROR(__xludf.DUMMYFUNCTION("""COMPUTED_VALUE"""),"lantai 2")</f>
        <v>lantai 2</v>
      </c>
      <c r="E2" s="15" t="str">
        <f>IFERROR(__xludf.DUMMYFUNCTION("""COMPUTED_VALUE"""),"-")</f>
        <v>-</v>
      </c>
      <c r="F2" s="15" t="str">
        <f>IFERROR(__xludf.DUMMYFUNCTION("""COMPUTED_VALUE"""),"Door Seal Karet Penutup Bawah Pintu Abu 2,5 cm x 1 M; ; ;")</f>
        <v>Door Seal Karet Penutup Bawah Pintu Abu 2,5 cm x 1 M; ; ;</v>
      </c>
      <c r="G2" s="15">
        <f>IFERROR(__xludf.DUMMYFUNCTION("""COMPUTED_VALUE"""),10.0)</f>
        <v>10</v>
      </c>
      <c r="H2" s="15" t="str">
        <f>IFERROR(__xludf.DUMMYFUNCTION("""COMPUTED_VALUE"""),"m")</f>
        <v>m</v>
      </c>
      <c r="I2" s="15" t="str">
        <f>IFERROR(__xludf.DUMMYFUNCTION("""COMPUTED_VALUE"""),"Deliver")</f>
        <v>Deliver</v>
      </c>
      <c r="J2" s="15" t="str">
        <f>IFERROR(__xludf.DUMMYFUNCTION("""COMPUTED_VALUE"""),"-")</f>
        <v>-</v>
      </c>
      <c r="K2" s="15" t="str">
        <f>IFERROR(__xludf.DUMMYFUNCTION("""COMPUTED_VALUE"""),"-")</f>
        <v>-</v>
      </c>
      <c r="L2" s="15" t="str">
        <f>IFERROR(__xludf.DUMMYFUNCTION("""COMPUTED_VALUE"""),"Normal")</f>
        <v>Normal</v>
      </c>
      <c r="M2" s="18" t="s">
        <v>27</v>
      </c>
      <c r="N2" s="18" t="s">
        <v>28</v>
      </c>
    </row>
    <row r="3" hidden="1">
      <c r="A3" s="15" t="str">
        <f>IFERROR(__xludf.DUMMYFUNCTION("""COMPUTED_VALUE"""),"SFHBR0002")</f>
        <v>SFHBR0002</v>
      </c>
      <c r="B3" s="16">
        <f>IFERROR(__xludf.DUMMYFUNCTION("""COMPUTED_VALUE"""),45678.5874640162)</f>
        <v>45678.58746</v>
      </c>
      <c r="C3" s="17">
        <f>IFERROR(__xludf.DUMMYFUNCTION("""COMPUTED_VALUE"""),45679.3986758449)</f>
        <v>45679.39868</v>
      </c>
      <c r="D3" s="15" t="str">
        <f>IFERROR(__xludf.DUMMYFUNCTION("""COMPUTED_VALUE"""),"lantai 2")</f>
        <v>lantai 2</v>
      </c>
      <c r="E3" s="15" t="str">
        <f>IFERROR(__xludf.DUMMYFUNCTION("""COMPUTED_VALUE"""),"-")</f>
        <v>-</v>
      </c>
      <c r="F3" s="15" t="str">
        <f>IFERROR(__xludf.DUMMYFUNCTION("""COMPUTED_VALUE"""),"kape plastik ")</f>
        <v>kape plastik </v>
      </c>
      <c r="G3" s="15">
        <f>IFERROR(__xludf.DUMMYFUNCTION("""COMPUTED_VALUE"""),10.0)</f>
        <v>10</v>
      </c>
      <c r="H3" s="15" t="str">
        <f>IFERROR(__xludf.DUMMYFUNCTION("""COMPUTED_VALUE"""),"pcs")</f>
        <v>pcs</v>
      </c>
      <c r="I3" s="15" t="str">
        <f>IFERROR(__xludf.DUMMYFUNCTION("""COMPUTED_VALUE"""),"Deliver")</f>
        <v>Deliver</v>
      </c>
      <c r="J3" s="15" t="str">
        <f>IFERROR(__xludf.DUMMYFUNCTION("""COMPUTED_VALUE"""),"-")</f>
        <v>-</v>
      </c>
      <c r="K3" s="15" t="str">
        <f>IFERROR(__xludf.DUMMYFUNCTION("""COMPUTED_VALUE"""),"-")</f>
        <v>-</v>
      </c>
      <c r="L3" s="15" t="str">
        <f>IFERROR(__xludf.DUMMYFUNCTION("""COMPUTED_VALUE"""),"Normal")</f>
        <v>Normal</v>
      </c>
      <c r="M3" s="18" t="s">
        <v>27</v>
      </c>
      <c r="N3" s="18" t="s">
        <v>28</v>
      </c>
    </row>
    <row r="4" hidden="1">
      <c r="A4" s="15" t="str">
        <f>IFERROR(__xludf.DUMMYFUNCTION("""COMPUTED_VALUE"""),"ROSBR0003")</f>
        <v>ROSBR0003</v>
      </c>
      <c r="B4" s="16">
        <f>IFERROR(__xludf.DUMMYFUNCTION("""COMPUTED_VALUE"""),45679.59618357639)</f>
        <v>45679.59618</v>
      </c>
      <c r="C4" s="17">
        <f>IFERROR(__xludf.DUMMYFUNCTION("""COMPUTED_VALUE"""),45679.64169505787)</f>
        <v>45679.6417</v>
      </c>
      <c r="D4" s="15" t="str">
        <f>IFERROR(__xludf.DUMMYFUNCTION("""COMPUTED_VALUE"""),"Capsuling, Tableting, dan Coating")</f>
        <v>Capsuling, Tableting, dan Coating</v>
      </c>
      <c r="E4" s="15" t="str">
        <f>IFERROR(__xludf.DUMMYFUNCTION("""COMPUTED_VALUE"""),"NA")</f>
        <v>NA</v>
      </c>
      <c r="F4" s="15" t="str">
        <f>IFERROR(__xludf.DUMMYFUNCTION("""COMPUTED_VALUE"""),"Buckhel ( Kuncian Spanset)")</f>
        <v>Buckhel ( Kuncian Spanset)</v>
      </c>
      <c r="G4" s="15">
        <f>IFERROR(__xludf.DUMMYFUNCTION("""COMPUTED_VALUE"""),312.0)</f>
        <v>312</v>
      </c>
      <c r="H4" s="15" t="str">
        <f>IFERROR(__xludf.DUMMYFUNCTION("""COMPUTED_VALUE"""),"pcs")</f>
        <v>pcs</v>
      </c>
      <c r="I4" s="15" t="str">
        <f>IFERROR(__xludf.DUMMYFUNCTION("""COMPUTED_VALUE"""),"Deliver")</f>
        <v>Deliver</v>
      </c>
      <c r="J4" s="15" t="str">
        <f>IFERROR(__xludf.DUMMYFUNCTION("""COMPUTED_VALUE"""),"-")</f>
        <v>-</v>
      </c>
      <c r="K4" s="15" t="str">
        <f>IFERROR(__xludf.DUMMYFUNCTION("""COMPUTED_VALUE"""),"-")</f>
        <v>-</v>
      </c>
      <c r="L4" s="15" t="str">
        <f>IFERROR(__xludf.DUMMYFUNCTION("""COMPUTED_VALUE"""),"Normal")</f>
        <v>Normal</v>
      </c>
      <c r="M4" s="18" t="s">
        <v>29</v>
      </c>
      <c r="N4" s="18" t="s">
        <v>30</v>
      </c>
    </row>
    <row r="5" hidden="1">
      <c r="A5" s="18" t="str">
        <f>IFERROR(__xludf.DUMMYFUNCTION("""COMPUTED_VALUE"""),"ROSBR0004")</f>
        <v>ROSBR0004</v>
      </c>
      <c r="B5" s="16">
        <f>IFERROR(__xludf.DUMMYFUNCTION("""COMPUTED_VALUE"""),45679.604100578705)</f>
        <v>45679.6041</v>
      </c>
      <c r="C5" s="17">
        <f>IFERROR(__xludf.DUMMYFUNCTION("""COMPUTED_VALUE"""),45679.641960636574)</f>
        <v>45679.64196</v>
      </c>
      <c r="D5" s="15" t="str">
        <f>IFERROR(__xludf.DUMMYFUNCTION("""COMPUTED_VALUE"""),"Capsuling, Tableting, dan Coating")</f>
        <v>Capsuling, Tableting, dan Coating</v>
      </c>
      <c r="E5" s="15" t="str">
        <f>IFERROR(__xludf.DUMMYFUNCTION("""COMPUTED_VALUE"""),"NA")</f>
        <v>NA</v>
      </c>
      <c r="F5" s="15" t="str">
        <f>IFERROR(__xludf.DUMMYFUNCTION("""COMPUTED_VALUE"""),"Tali Webbing (Spanset)")</f>
        <v>Tali Webbing (Spanset)</v>
      </c>
      <c r="G5" s="15">
        <f>IFERROR(__xludf.DUMMYFUNCTION("""COMPUTED_VALUE"""),13.0)</f>
        <v>13</v>
      </c>
      <c r="H5" s="15" t="str">
        <f>IFERROR(__xludf.DUMMYFUNCTION("""COMPUTED_VALUE"""),"Roll")</f>
        <v>Roll</v>
      </c>
      <c r="I5" s="15" t="str">
        <f>IFERROR(__xludf.DUMMYFUNCTION("""COMPUTED_VALUE"""),"Deliver")</f>
        <v>Deliver</v>
      </c>
      <c r="J5" s="15" t="str">
        <f>IFERROR(__xludf.DUMMYFUNCTION("""COMPUTED_VALUE"""),"-")</f>
        <v>-</v>
      </c>
      <c r="K5" s="15" t="str">
        <f>IFERROR(__xludf.DUMMYFUNCTION("""COMPUTED_VALUE"""),"-")</f>
        <v>-</v>
      </c>
      <c r="L5" s="15" t="str">
        <f>IFERROR(__xludf.DUMMYFUNCTION("""COMPUTED_VALUE"""),"Normal")</f>
        <v>Normal</v>
      </c>
      <c r="M5" s="18" t="s">
        <v>29</v>
      </c>
      <c r="N5" s="18" t="s">
        <v>30</v>
      </c>
    </row>
    <row r="6" hidden="1">
      <c r="A6" s="15" t="str">
        <f>IFERROR(__xludf.DUMMYFUNCTION("""COMPUTED_VALUE"""),"SFHRO0001")</f>
        <v>SFHRO0001</v>
      </c>
      <c r="B6" s="16">
        <f>IFERROR(__xludf.DUMMYFUNCTION("""COMPUTED_VALUE"""),45678.67155555555)</f>
        <v>45678.67156</v>
      </c>
      <c r="C6" s="17">
        <f>IFERROR(__xludf.DUMMYFUNCTION("""COMPUTED_VALUE"""),45680.5826012037)</f>
        <v>45680.5826</v>
      </c>
      <c r="D6" s="15" t="str">
        <f>IFERROR(__xludf.DUMMYFUNCTION("""COMPUTED_VALUE"""),"lantai 2 ")</f>
        <v>lantai 2 </v>
      </c>
      <c r="E6" s="15" t="str">
        <f>IFERROR(__xludf.DUMMYFUNCTION("""COMPUTED_VALUE"""),"-")</f>
        <v>-</v>
      </c>
      <c r="F6" s="15" t="str">
        <f>IFERROR(__xludf.DUMMYFUNCTION("""COMPUTED_VALUE"""),"Compound / Kompon Gypsum;No Brand;;pack size 20 kg per pck")</f>
        <v>Compound / Kompon Gypsum;No Brand;;pack size 20 kg per pck</v>
      </c>
      <c r="G6" s="15">
        <f>IFERROR(__xludf.DUMMYFUNCTION("""COMPUTED_VALUE"""),60.0)</f>
        <v>60</v>
      </c>
      <c r="H6" s="15" t="str">
        <f>IFERROR(__xludf.DUMMYFUNCTION("""COMPUTED_VALUE"""),"kg")</f>
        <v>kg</v>
      </c>
      <c r="I6" s="15" t="str">
        <f>IFERROR(__xludf.DUMMYFUNCTION("""COMPUTED_VALUE"""),"Deliver")</f>
        <v>Deliver</v>
      </c>
      <c r="J6" s="15" t="str">
        <f>IFERROR(__xludf.DUMMYFUNCTION("""COMPUTED_VALUE"""),"-")</f>
        <v>-</v>
      </c>
      <c r="K6" s="15" t="str">
        <f>IFERROR(__xludf.DUMMYFUNCTION("""COMPUTED_VALUE"""),"-")</f>
        <v>-</v>
      </c>
      <c r="L6" s="15" t="str">
        <f>IFERROR(__xludf.DUMMYFUNCTION("""COMPUTED_VALUE"""),"Urgent")</f>
        <v>Urgent</v>
      </c>
      <c r="M6" s="18" t="s">
        <v>27</v>
      </c>
      <c r="N6" s="18" t="s">
        <v>28</v>
      </c>
    </row>
    <row r="7" hidden="1">
      <c r="A7" s="15" t="str">
        <f>IFERROR(__xludf.DUMMYFUNCTION("""COMPUTED_VALUE"""),"MOBRO0001")</f>
        <v>MOBRO0001</v>
      </c>
      <c r="B7" s="16">
        <f>IFERROR(__xludf.DUMMYFUNCTION("""COMPUTED_VALUE"""),45679.47850109954)</f>
        <v>45679.4785</v>
      </c>
      <c r="C7" s="17">
        <f>IFERROR(__xludf.DUMMYFUNCTION("""COMPUTED_VALUE"""),45682.455052094905)</f>
        <v>45682.45505</v>
      </c>
      <c r="D7" s="15" t="str">
        <f>IFERROR(__xludf.DUMMYFUNCTION("""COMPUTED_VALUE"""),"Building")</f>
        <v>Building</v>
      </c>
      <c r="E7" s="15" t="str">
        <f>IFERROR(__xludf.DUMMYFUNCTION("""COMPUTED_VALUE"""),"-")</f>
        <v>-</v>
      </c>
      <c r="F7" s="15" t="str">
        <f>IFERROR(__xludf.DUMMYFUNCTION("""COMPUTED_VALUE"""),"General - Elbow PVC 90 AW 1/2inch; Rucika; -; 1 Pc")</f>
        <v>General - Elbow PVC 90 AW 1/2inch; Rucika; -; 1 Pc</v>
      </c>
      <c r="G7" s="15">
        <f>IFERROR(__xludf.DUMMYFUNCTION("""COMPUTED_VALUE"""),5.0)</f>
        <v>5</v>
      </c>
      <c r="H7" s="15" t="str">
        <f>IFERROR(__xludf.DUMMYFUNCTION("""COMPUTED_VALUE"""),"Pcs")</f>
        <v>Pcs</v>
      </c>
      <c r="I7" s="15" t="str">
        <f>IFERROR(__xludf.DUMMYFUNCTION("""COMPUTED_VALUE"""),"Deliver")</f>
        <v>Deliver</v>
      </c>
      <c r="J7" s="15" t="str">
        <f>IFERROR(__xludf.DUMMYFUNCTION("""COMPUTED_VALUE"""),"-")</f>
        <v>-</v>
      </c>
      <c r="K7" s="15" t="str">
        <f>IFERROR(__xludf.DUMMYFUNCTION("""COMPUTED_VALUE"""),"-")</f>
        <v>-</v>
      </c>
      <c r="L7" s="15" t="str">
        <f>IFERROR(__xludf.DUMMYFUNCTION("""COMPUTED_VALUE"""),"Normal")</f>
        <v>Normal</v>
      </c>
      <c r="M7" s="18" t="s">
        <v>31</v>
      </c>
      <c r="N7" s="18" t="s">
        <v>28</v>
      </c>
    </row>
    <row r="8" hidden="1">
      <c r="A8" s="15" t="str">
        <f>IFERROR(__xludf.DUMMYFUNCTION("""COMPUTED_VALUE"""),"MOBRO0002")</f>
        <v>MOBRO0002</v>
      </c>
      <c r="B8" s="16">
        <f>IFERROR(__xludf.DUMMYFUNCTION("""COMPUTED_VALUE"""),45679.47935678241)</f>
        <v>45679.47936</v>
      </c>
      <c r="C8" s="17">
        <f>IFERROR(__xludf.DUMMYFUNCTION("""COMPUTED_VALUE"""),45682.45523871527)</f>
        <v>45682.45524</v>
      </c>
      <c r="D8" s="15" t="str">
        <f>IFERROR(__xludf.DUMMYFUNCTION("""COMPUTED_VALUE"""),"Building")</f>
        <v>Building</v>
      </c>
      <c r="E8" s="15" t="str">
        <f>IFERROR(__xludf.DUMMYFUNCTION("""COMPUTED_VALUE"""),"-")</f>
        <v>-</v>
      </c>
      <c r="F8" s="15" t="str">
        <f>IFERROR(__xludf.DUMMYFUNCTION("""COMPUTED_VALUE"""),"Fitting PVC - Elbow PVC 3/4""")</f>
        <v>Fitting PVC - Elbow PVC 3/4"</v>
      </c>
      <c r="G8" s="15">
        <f>IFERROR(__xludf.DUMMYFUNCTION("""COMPUTED_VALUE"""),5.0)</f>
        <v>5</v>
      </c>
      <c r="H8" s="15" t="str">
        <f>IFERROR(__xludf.DUMMYFUNCTION("""COMPUTED_VALUE"""),"Pcs")</f>
        <v>Pcs</v>
      </c>
      <c r="I8" s="15" t="str">
        <f>IFERROR(__xludf.DUMMYFUNCTION("""COMPUTED_VALUE"""),"Deliver")</f>
        <v>Deliver</v>
      </c>
      <c r="J8" s="15" t="str">
        <f>IFERROR(__xludf.DUMMYFUNCTION("""COMPUTED_VALUE"""),"-")</f>
        <v>-</v>
      </c>
      <c r="K8" s="15" t="str">
        <f>IFERROR(__xludf.DUMMYFUNCTION("""COMPUTED_VALUE"""),"-")</f>
        <v>-</v>
      </c>
      <c r="L8" s="15" t="str">
        <f>IFERROR(__xludf.DUMMYFUNCTION("""COMPUTED_VALUE"""),"Normal")</f>
        <v>Normal</v>
      </c>
      <c r="M8" s="18" t="s">
        <v>31</v>
      </c>
      <c r="N8" s="18" t="s">
        <v>28</v>
      </c>
    </row>
    <row r="9" hidden="1">
      <c r="A9" s="15" t="str">
        <f>IFERROR(__xludf.DUMMYFUNCTION("""COMPUTED_VALUE"""),"MOBRO0003")</f>
        <v>MOBRO0003</v>
      </c>
      <c r="B9" s="16">
        <f>IFERROR(__xludf.DUMMYFUNCTION("""COMPUTED_VALUE"""),45679.47991846065)</f>
        <v>45679.47992</v>
      </c>
      <c r="C9" s="17">
        <f>IFERROR(__xludf.DUMMYFUNCTION("""COMPUTED_VALUE"""),45682.45538417824)</f>
        <v>45682.45538</v>
      </c>
      <c r="D9" s="15" t="str">
        <f>IFERROR(__xludf.DUMMYFUNCTION("""COMPUTED_VALUE"""),"Building")</f>
        <v>Building</v>
      </c>
      <c r="E9" s="15" t="str">
        <f>IFERROR(__xludf.DUMMYFUNCTION("""COMPUTED_VALUE"""),"-")</f>
        <v>-</v>
      </c>
      <c r="F9" s="15" t="str">
        <f>IFERROR(__xludf.DUMMYFUNCTION("""COMPUTED_VALUE"""),"Fitting PVC - Elbow PVC 1""")</f>
        <v>Fitting PVC - Elbow PVC 1"</v>
      </c>
      <c r="G9" s="15">
        <f>IFERROR(__xludf.DUMMYFUNCTION("""COMPUTED_VALUE"""),5.0)</f>
        <v>5</v>
      </c>
      <c r="H9" s="15" t="str">
        <f>IFERROR(__xludf.DUMMYFUNCTION("""COMPUTED_VALUE"""),"Pcs")</f>
        <v>Pcs</v>
      </c>
      <c r="I9" s="15" t="str">
        <f>IFERROR(__xludf.DUMMYFUNCTION("""COMPUTED_VALUE"""),"Deliver")</f>
        <v>Deliver</v>
      </c>
      <c r="J9" s="15" t="str">
        <f>IFERROR(__xludf.DUMMYFUNCTION("""COMPUTED_VALUE"""),"-")</f>
        <v>-</v>
      </c>
      <c r="K9" s="15" t="str">
        <f>IFERROR(__xludf.DUMMYFUNCTION("""COMPUTED_VALUE"""),"-")</f>
        <v>-</v>
      </c>
      <c r="L9" s="15" t="str">
        <f>IFERROR(__xludf.DUMMYFUNCTION("""COMPUTED_VALUE"""),"Normal")</f>
        <v>Normal</v>
      </c>
      <c r="M9" s="18" t="s">
        <v>31</v>
      </c>
      <c r="N9" s="18" t="s">
        <v>28</v>
      </c>
    </row>
    <row r="10" hidden="1">
      <c r="A10" s="15" t="str">
        <f>IFERROR(__xludf.DUMMYFUNCTION("""COMPUTED_VALUE"""),"MOBRO0004")</f>
        <v>MOBRO0004</v>
      </c>
      <c r="B10" s="16">
        <f>IFERROR(__xludf.DUMMYFUNCTION("""COMPUTED_VALUE"""),45679.48062346065)</f>
        <v>45679.48062</v>
      </c>
      <c r="C10" s="17">
        <f>IFERROR(__xludf.DUMMYFUNCTION("""COMPUTED_VALUE"""),45682.45565002315)</f>
        <v>45682.45565</v>
      </c>
      <c r="D10" s="15" t="str">
        <f>IFERROR(__xludf.DUMMYFUNCTION("""COMPUTED_VALUE"""),"Bulding")</f>
        <v>Bulding</v>
      </c>
      <c r="E10" s="15" t="str">
        <f>IFERROR(__xludf.DUMMYFUNCTION("""COMPUTED_VALUE"""),"-")</f>
        <v>-</v>
      </c>
      <c r="F10" s="15" t="str">
        <f>IFERROR(__xludf.DUMMYFUNCTION("""COMPUTED_VALUE"""),"Fitting PVC - Elbow PVC 1 1/4""")</f>
        <v>Fitting PVC - Elbow PVC 1 1/4"</v>
      </c>
      <c r="G10" s="15">
        <f>IFERROR(__xludf.DUMMYFUNCTION("""COMPUTED_VALUE"""),5.0)</f>
        <v>5</v>
      </c>
      <c r="H10" s="15" t="str">
        <f>IFERROR(__xludf.DUMMYFUNCTION("""COMPUTED_VALUE"""),"Pcs")</f>
        <v>Pcs</v>
      </c>
      <c r="I10" s="15" t="str">
        <f>IFERROR(__xludf.DUMMYFUNCTION("""COMPUTED_VALUE"""),"Deliver")</f>
        <v>Deliver</v>
      </c>
      <c r="J10" s="15" t="str">
        <f>IFERROR(__xludf.DUMMYFUNCTION("""COMPUTED_VALUE"""),"-")</f>
        <v>-</v>
      </c>
      <c r="K10" s="15" t="str">
        <f>IFERROR(__xludf.DUMMYFUNCTION("""COMPUTED_VALUE"""),"-")</f>
        <v>-</v>
      </c>
      <c r="L10" s="15" t="str">
        <f>IFERROR(__xludf.DUMMYFUNCTION("""COMPUTED_VALUE"""),"Normal")</f>
        <v>Normal</v>
      </c>
      <c r="M10" s="18" t="s">
        <v>31</v>
      </c>
      <c r="N10" s="18" t="s">
        <v>28</v>
      </c>
    </row>
    <row r="11" hidden="1">
      <c r="A11" s="15" t="str">
        <f>IFERROR(__xludf.DUMMYFUNCTION("""COMPUTED_VALUE"""),"MOBRO0005")</f>
        <v>MOBRO0005</v>
      </c>
      <c r="B11" s="16">
        <f>IFERROR(__xludf.DUMMYFUNCTION("""COMPUTED_VALUE"""),45679.481238009255)</f>
        <v>45679.48124</v>
      </c>
      <c r="C11" s="17">
        <f>IFERROR(__xludf.DUMMYFUNCTION("""COMPUTED_VALUE"""),45682.455831203704)</f>
        <v>45682.45583</v>
      </c>
      <c r="D11" s="15" t="str">
        <f>IFERROR(__xludf.DUMMYFUNCTION("""COMPUTED_VALUE"""),"Building")</f>
        <v>Building</v>
      </c>
      <c r="E11" s="15" t="str">
        <f>IFERROR(__xludf.DUMMYFUNCTION("""COMPUTED_VALUE"""),"-")</f>
        <v>-</v>
      </c>
      <c r="F11" s="15" t="str">
        <f>IFERROR(__xludf.DUMMYFUNCTION("""COMPUTED_VALUE"""),"General - Elbow PVC 90 AW 1 1/2inch; Rucika; -; 1 Pc")</f>
        <v>General - Elbow PVC 90 AW 1 1/2inch; Rucika; -; 1 Pc</v>
      </c>
      <c r="G11" s="15">
        <f>IFERROR(__xludf.DUMMYFUNCTION("""COMPUTED_VALUE"""),5.0)</f>
        <v>5</v>
      </c>
      <c r="H11" s="15" t="str">
        <f>IFERROR(__xludf.DUMMYFUNCTION("""COMPUTED_VALUE"""),"Pcs")</f>
        <v>Pcs</v>
      </c>
      <c r="I11" s="15" t="str">
        <f>IFERROR(__xludf.DUMMYFUNCTION("""COMPUTED_VALUE"""),"Deliver")</f>
        <v>Deliver</v>
      </c>
      <c r="J11" s="15" t="str">
        <f>IFERROR(__xludf.DUMMYFUNCTION("""COMPUTED_VALUE"""),"-")</f>
        <v>-</v>
      </c>
      <c r="K11" s="15" t="str">
        <f>IFERROR(__xludf.DUMMYFUNCTION("""COMPUTED_VALUE"""),"-")</f>
        <v>-</v>
      </c>
      <c r="L11" s="15" t="str">
        <f>IFERROR(__xludf.DUMMYFUNCTION("""COMPUTED_VALUE"""),"Normal")</f>
        <v>Normal</v>
      </c>
      <c r="M11" s="18" t="s">
        <v>31</v>
      </c>
      <c r="N11" s="18" t="s">
        <v>28</v>
      </c>
    </row>
    <row r="12" hidden="1">
      <c r="A12" s="15" t="str">
        <f>IFERROR(__xludf.DUMMYFUNCTION("""COMPUTED_VALUE"""),"MOBRO0006")</f>
        <v>MOBRO0006</v>
      </c>
      <c r="B12" s="16">
        <f>IFERROR(__xludf.DUMMYFUNCTION("""COMPUTED_VALUE"""),45679.48156423611)</f>
        <v>45679.48156</v>
      </c>
      <c r="C12" s="17">
        <f>IFERROR(__xludf.DUMMYFUNCTION("""COMPUTED_VALUE"""),45682.45599736111)</f>
        <v>45682.456</v>
      </c>
      <c r="D12" s="15" t="str">
        <f>IFERROR(__xludf.DUMMYFUNCTION("""COMPUTED_VALUE"""),"Building")</f>
        <v>Building</v>
      </c>
      <c r="E12" s="15" t="str">
        <f>IFERROR(__xludf.DUMMYFUNCTION("""COMPUTED_VALUE"""),"-")</f>
        <v>-</v>
      </c>
      <c r="F12" s="15" t="str">
        <f>IFERROR(__xludf.DUMMYFUNCTION("""COMPUTED_VALUE"""),"Fitting PVC - Elbow PVC 2""")</f>
        <v>Fitting PVC - Elbow PVC 2"</v>
      </c>
      <c r="G12" s="15">
        <f>IFERROR(__xludf.DUMMYFUNCTION("""COMPUTED_VALUE"""),5.0)</f>
        <v>5</v>
      </c>
      <c r="H12" s="15" t="str">
        <f>IFERROR(__xludf.DUMMYFUNCTION("""COMPUTED_VALUE"""),"Pcs")</f>
        <v>Pcs</v>
      </c>
      <c r="I12" s="15" t="str">
        <f>IFERROR(__xludf.DUMMYFUNCTION("""COMPUTED_VALUE"""),"Deliver")</f>
        <v>Deliver</v>
      </c>
      <c r="J12" s="15" t="str">
        <f>IFERROR(__xludf.DUMMYFUNCTION("""COMPUTED_VALUE"""),"-")</f>
        <v>-</v>
      </c>
      <c r="K12" s="15" t="str">
        <f>IFERROR(__xludf.DUMMYFUNCTION("""COMPUTED_VALUE"""),"-")</f>
        <v>-</v>
      </c>
      <c r="L12" s="15" t="str">
        <f>IFERROR(__xludf.DUMMYFUNCTION("""COMPUTED_VALUE"""),"Normal")</f>
        <v>Normal</v>
      </c>
      <c r="M12" s="18" t="s">
        <v>31</v>
      </c>
      <c r="N12" s="18" t="s">
        <v>28</v>
      </c>
    </row>
    <row r="13" hidden="1">
      <c r="A13" s="15" t="str">
        <f>IFERROR(__xludf.DUMMYFUNCTION("""COMPUTED_VALUE"""),"MOBRO0007")</f>
        <v>MOBRO0007</v>
      </c>
      <c r="B13" s="16">
        <f>IFERROR(__xludf.DUMMYFUNCTION("""COMPUTED_VALUE"""),45679.481986597224)</f>
        <v>45679.48199</v>
      </c>
      <c r="C13" s="17">
        <f>IFERROR(__xludf.DUMMYFUNCTION("""COMPUTED_VALUE"""),45682.456679525465)</f>
        <v>45682.45668</v>
      </c>
      <c r="D13" s="15" t="str">
        <f>IFERROR(__xludf.DUMMYFUNCTION("""COMPUTED_VALUE"""),"Building")</f>
        <v>Building</v>
      </c>
      <c r="E13" s="15" t="str">
        <f>IFERROR(__xludf.DUMMYFUNCTION("""COMPUTED_VALUE"""),"-")</f>
        <v>-</v>
      </c>
      <c r="F13" s="15" t="str">
        <f>IFERROR(__xludf.DUMMYFUNCTION("""COMPUTED_VALUE"""),"Fitting PVC - Elbow PVC 2 1/2""")</f>
        <v>Fitting PVC - Elbow PVC 2 1/2"</v>
      </c>
      <c r="G13" s="15">
        <f>IFERROR(__xludf.DUMMYFUNCTION("""COMPUTED_VALUE"""),5.0)</f>
        <v>5</v>
      </c>
      <c r="H13" s="15" t="str">
        <f>IFERROR(__xludf.DUMMYFUNCTION("""COMPUTED_VALUE"""),"Pcs")</f>
        <v>Pcs</v>
      </c>
      <c r="I13" s="15" t="str">
        <f>IFERROR(__xludf.DUMMYFUNCTION("""COMPUTED_VALUE"""),"Deliver")</f>
        <v>Deliver</v>
      </c>
      <c r="J13" s="15" t="str">
        <f>IFERROR(__xludf.DUMMYFUNCTION("""COMPUTED_VALUE"""),"-")</f>
        <v>-</v>
      </c>
      <c r="K13" s="15" t="str">
        <f>IFERROR(__xludf.DUMMYFUNCTION("""COMPUTED_VALUE"""),"-")</f>
        <v>-</v>
      </c>
      <c r="L13" s="15" t="str">
        <f>IFERROR(__xludf.DUMMYFUNCTION("""COMPUTED_VALUE"""),"Normal")</f>
        <v>Normal</v>
      </c>
      <c r="M13" s="18" t="s">
        <v>31</v>
      </c>
      <c r="N13" s="18" t="s">
        <v>28</v>
      </c>
    </row>
    <row r="14" hidden="1">
      <c r="A14" s="15" t="str">
        <f>IFERROR(__xludf.DUMMYFUNCTION("""COMPUTED_VALUE"""),"MOBRO0008")</f>
        <v>MOBRO0008</v>
      </c>
      <c r="B14" s="16">
        <f>IFERROR(__xludf.DUMMYFUNCTION("""COMPUTED_VALUE"""),45679.48238184028)</f>
        <v>45679.48238</v>
      </c>
      <c r="C14" s="17">
        <f>IFERROR(__xludf.DUMMYFUNCTION("""COMPUTED_VALUE"""),45682.456819618055)</f>
        <v>45682.45682</v>
      </c>
      <c r="D14" s="15" t="str">
        <f>IFERROR(__xludf.DUMMYFUNCTION("""COMPUTED_VALUE"""),"Building")</f>
        <v>Building</v>
      </c>
      <c r="E14" s="15" t="str">
        <f>IFERROR(__xludf.DUMMYFUNCTION("""COMPUTED_VALUE"""),"-")</f>
        <v>-</v>
      </c>
      <c r="F14" s="15" t="str">
        <f>IFERROR(__xludf.DUMMYFUNCTION("""COMPUTED_VALUE"""),"General - Socket, PVC, 1/2""; No Brand; -; 1 pcs")</f>
        <v>General - Socket, PVC, 1/2"; No Brand; -; 1 pcs</v>
      </c>
      <c r="G14" s="15">
        <f>IFERROR(__xludf.DUMMYFUNCTION("""COMPUTED_VALUE"""),4.0)</f>
        <v>4</v>
      </c>
      <c r="H14" s="15" t="str">
        <f>IFERROR(__xludf.DUMMYFUNCTION("""COMPUTED_VALUE"""),"Pcs")</f>
        <v>Pcs</v>
      </c>
      <c r="I14" s="15" t="str">
        <f>IFERROR(__xludf.DUMMYFUNCTION("""COMPUTED_VALUE"""),"Deliver")</f>
        <v>Deliver</v>
      </c>
      <c r="J14" s="15" t="str">
        <f>IFERROR(__xludf.DUMMYFUNCTION("""COMPUTED_VALUE"""),"-")</f>
        <v>-</v>
      </c>
      <c r="K14" s="15" t="str">
        <f>IFERROR(__xludf.DUMMYFUNCTION("""COMPUTED_VALUE"""),"-")</f>
        <v>-</v>
      </c>
      <c r="L14" s="15" t="str">
        <f>IFERROR(__xludf.DUMMYFUNCTION("""COMPUTED_VALUE"""),"Normal")</f>
        <v>Normal</v>
      </c>
      <c r="M14" s="18" t="s">
        <v>31</v>
      </c>
      <c r="N14" s="18" t="s">
        <v>28</v>
      </c>
    </row>
    <row r="15" hidden="1">
      <c r="A15" s="15" t="str">
        <f>IFERROR(__xludf.DUMMYFUNCTION("""COMPUTED_VALUE"""),"MOBRO0009")</f>
        <v>MOBRO0009</v>
      </c>
      <c r="B15" s="16">
        <f>IFERROR(__xludf.DUMMYFUNCTION("""COMPUTED_VALUE"""),45679.48338646991)</f>
        <v>45679.48339</v>
      </c>
      <c r="C15" s="17">
        <f>IFERROR(__xludf.DUMMYFUNCTION("""COMPUTED_VALUE"""),45682.456943182864)</f>
        <v>45682.45694</v>
      </c>
      <c r="D15" s="15" t="str">
        <f>IFERROR(__xludf.DUMMYFUNCTION("""COMPUTED_VALUE"""),"Building")</f>
        <v>Building</v>
      </c>
      <c r="E15" s="15" t="str">
        <f>IFERROR(__xludf.DUMMYFUNCTION("""COMPUTED_VALUE"""),"-")</f>
        <v>-</v>
      </c>
      <c r="F15" s="15" t="str">
        <f>IFERROR(__xludf.DUMMYFUNCTION("""COMPUTED_VALUE"""),"General - Socket, PVC, 3/4""; Rucika; -; 1 pcs")</f>
        <v>General - Socket, PVC, 3/4"; Rucika; -; 1 pcs</v>
      </c>
      <c r="G15" s="15">
        <f>IFERROR(__xludf.DUMMYFUNCTION("""COMPUTED_VALUE"""),4.0)</f>
        <v>4</v>
      </c>
      <c r="H15" s="15" t="str">
        <f>IFERROR(__xludf.DUMMYFUNCTION("""COMPUTED_VALUE"""),"Pcs")</f>
        <v>Pcs</v>
      </c>
      <c r="I15" s="15" t="str">
        <f>IFERROR(__xludf.DUMMYFUNCTION("""COMPUTED_VALUE"""),"Deliver")</f>
        <v>Deliver</v>
      </c>
      <c r="J15" s="15" t="str">
        <f>IFERROR(__xludf.DUMMYFUNCTION("""COMPUTED_VALUE"""),"-")</f>
        <v>-</v>
      </c>
      <c r="K15" s="15" t="str">
        <f>IFERROR(__xludf.DUMMYFUNCTION("""COMPUTED_VALUE"""),"-")</f>
        <v>-</v>
      </c>
      <c r="L15" s="15" t="str">
        <f>IFERROR(__xludf.DUMMYFUNCTION("""COMPUTED_VALUE"""),"Normal")</f>
        <v>Normal</v>
      </c>
      <c r="M15" s="18" t="s">
        <v>31</v>
      </c>
      <c r="N15" s="18" t="s">
        <v>28</v>
      </c>
    </row>
    <row r="16" hidden="1">
      <c r="A16" s="15" t="str">
        <f>IFERROR(__xludf.DUMMYFUNCTION("""COMPUTED_VALUE"""),"MOBRO0010")</f>
        <v>MOBRO0010</v>
      </c>
      <c r="B16" s="16">
        <f>IFERROR(__xludf.DUMMYFUNCTION("""COMPUTED_VALUE"""),45679.484258136574)</f>
        <v>45679.48426</v>
      </c>
      <c r="C16" s="17">
        <f>IFERROR(__xludf.DUMMYFUNCTION("""COMPUTED_VALUE"""),45682.4570681713)</f>
        <v>45682.45707</v>
      </c>
      <c r="D16" s="15" t="str">
        <f>IFERROR(__xludf.DUMMYFUNCTION("""COMPUTED_VALUE"""),"Building")</f>
        <v>Building</v>
      </c>
      <c r="E16" s="15" t="str">
        <f>IFERROR(__xludf.DUMMYFUNCTION("""COMPUTED_VALUE"""),"-")</f>
        <v>-</v>
      </c>
      <c r="F16" s="15" t="str">
        <f>IFERROR(__xludf.DUMMYFUNCTION("""COMPUTED_VALUE"""),"Fitting PVC - Sock PVC 1""")</f>
        <v>Fitting PVC - Sock PVC 1"</v>
      </c>
      <c r="G16" s="15">
        <f>IFERROR(__xludf.DUMMYFUNCTION("""COMPUTED_VALUE"""),4.0)</f>
        <v>4</v>
      </c>
      <c r="H16" s="15" t="str">
        <f>IFERROR(__xludf.DUMMYFUNCTION("""COMPUTED_VALUE"""),"Pcs")</f>
        <v>Pcs</v>
      </c>
      <c r="I16" s="15" t="str">
        <f>IFERROR(__xludf.DUMMYFUNCTION("""COMPUTED_VALUE"""),"Deliver")</f>
        <v>Deliver</v>
      </c>
      <c r="J16" s="15" t="str">
        <f>IFERROR(__xludf.DUMMYFUNCTION("""COMPUTED_VALUE"""),"-")</f>
        <v>-</v>
      </c>
      <c r="K16" s="15" t="str">
        <f>IFERROR(__xludf.DUMMYFUNCTION("""COMPUTED_VALUE"""),"-")</f>
        <v>-</v>
      </c>
      <c r="L16" s="15" t="str">
        <f>IFERROR(__xludf.DUMMYFUNCTION("""COMPUTED_VALUE"""),"Normal")</f>
        <v>Normal</v>
      </c>
      <c r="M16" s="18" t="s">
        <v>31</v>
      </c>
      <c r="N16" s="18" t="s">
        <v>28</v>
      </c>
    </row>
    <row r="17" hidden="1">
      <c r="A17" s="15" t="str">
        <f>IFERROR(__xludf.DUMMYFUNCTION("""COMPUTED_VALUE"""),"MOBRO0011")</f>
        <v>MOBRO0011</v>
      </c>
      <c r="B17" s="16">
        <f>IFERROR(__xludf.DUMMYFUNCTION("""COMPUTED_VALUE"""),45679.48484324074)</f>
        <v>45679.48484</v>
      </c>
      <c r="C17" s="17">
        <f>IFERROR(__xludf.DUMMYFUNCTION("""COMPUTED_VALUE"""),45682.4571980787)</f>
        <v>45682.4572</v>
      </c>
      <c r="D17" s="15" t="str">
        <f>IFERROR(__xludf.DUMMYFUNCTION("""COMPUTED_VALUE"""),"Building")</f>
        <v>Building</v>
      </c>
      <c r="E17" s="15" t="str">
        <f>IFERROR(__xludf.DUMMYFUNCTION("""COMPUTED_VALUE"""),"-")</f>
        <v>-</v>
      </c>
      <c r="F17" s="15" t="str">
        <f>IFERROR(__xludf.DUMMYFUNCTION("""COMPUTED_VALUE"""),"Fitting PVC - Sock PVC 2""")</f>
        <v>Fitting PVC - Sock PVC 2"</v>
      </c>
      <c r="G17" s="15">
        <f>IFERROR(__xludf.DUMMYFUNCTION("""COMPUTED_VALUE"""),4.0)</f>
        <v>4</v>
      </c>
      <c r="H17" s="15" t="str">
        <f>IFERROR(__xludf.DUMMYFUNCTION("""COMPUTED_VALUE"""),"PCS")</f>
        <v>PCS</v>
      </c>
      <c r="I17" s="15" t="str">
        <f>IFERROR(__xludf.DUMMYFUNCTION("""COMPUTED_VALUE"""),"Deliver")</f>
        <v>Deliver</v>
      </c>
      <c r="J17" s="15" t="str">
        <f>IFERROR(__xludf.DUMMYFUNCTION("""COMPUTED_VALUE"""),"-")</f>
        <v>-</v>
      </c>
      <c r="K17" s="15" t="str">
        <f>IFERROR(__xludf.DUMMYFUNCTION("""COMPUTED_VALUE"""),"-")</f>
        <v>-</v>
      </c>
      <c r="L17" s="15" t="str">
        <f>IFERROR(__xludf.DUMMYFUNCTION("""COMPUTED_VALUE"""),"Normal")</f>
        <v>Normal</v>
      </c>
      <c r="M17" s="18" t="s">
        <v>31</v>
      </c>
      <c r="N17" s="18" t="s">
        <v>28</v>
      </c>
    </row>
    <row r="18" hidden="1">
      <c r="A18" s="15" t="str">
        <f>IFERROR(__xludf.DUMMYFUNCTION("""COMPUTED_VALUE"""),"MOBRO0012")</f>
        <v>MOBRO0012</v>
      </c>
      <c r="B18" s="16">
        <f>IFERROR(__xludf.DUMMYFUNCTION("""COMPUTED_VALUE"""),45679.48616252314)</f>
        <v>45679.48616</v>
      </c>
      <c r="C18" s="17">
        <f>IFERROR(__xludf.DUMMYFUNCTION("""COMPUTED_VALUE"""),45682.457324953706)</f>
        <v>45682.45732</v>
      </c>
      <c r="D18" s="15" t="str">
        <f>IFERROR(__xludf.DUMMYFUNCTION("""COMPUTED_VALUE"""),"Building")</f>
        <v>Building</v>
      </c>
      <c r="E18" s="15" t="str">
        <f>IFERROR(__xludf.DUMMYFUNCTION("""COMPUTED_VALUE"""),"-")</f>
        <v>-</v>
      </c>
      <c r="F18" s="15" t="str">
        <f>IFERROR(__xludf.DUMMYFUNCTION("""COMPUTED_VALUE"""),"Fitting PVC - Tee PVC 1"" Rucika AW")</f>
        <v>Fitting PVC - Tee PVC 1" Rucika AW</v>
      </c>
      <c r="G18" s="15">
        <f>IFERROR(__xludf.DUMMYFUNCTION("""COMPUTED_VALUE"""),4.0)</f>
        <v>4</v>
      </c>
      <c r="H18" s="15" t="str">
        <f>IFERROR(__xludf.DUMMYFUNCTION("""COMPUTED_VALUE"""),"Pcs")</f>
        <v>Pcs</v>
      </c>
      <c r="I18" s="15" t="str">
        <f>IFERROR(__xludf.DUMMYFUNCTION("""COMPUTED_VALUE"""),"Deliver")</f>
        <v>Deliver</v>
      </c>
      <c r="J18" s="15" t="str">
        <f>IFERROR(__xludf.DUMMYFUNCTION("""COMPUTED_VALUE"""),"-")</f>
        <v>-</v>
      </c>
      <c r="K18" s="15" t="str">
        <f>IFERROR(__xludf.DUMMYFUNCTION("""COMPUTED_VALUE"""),"-")</f>
        <v>-</v>
      </c>
      <c r="L18" s="15" t="str">
        <f>IFERROR(__xludf.DUMMYFUNCTION("""COMPUTED_VALUE"""),"Normal")</f>
        <v>Normal</v>
      </c>
      <c r="M18" s="19" t="s">
        <v>31</v>
      </c>
      <c r="N18" s="18" t="s">
        <v>28</v>
      </c>
    </row>
    <row r="19" hidden="1">
      <c r="A19" s="15" t="str">
        <f>IFERROR(__xludf.DUMMYFUNCTION("""COMPUTED_VALUE"""),"MOBRO0013")</f>
        <v>MOBRO0013</v>
      </c>
      <c r="B19" s="16">
        <f>IFERROR(__xludf.DUMMYFUNCTION("""COMPUTED_VALUE"""),45679.49535489584)</f>
        <v>45679.49535</v>
      </c>
      <c r="C19" s="17">
        <f>IFERROR(__xludf.DUMMYFUNCTION("""COMPUTED_VALUE"""),45682.45991875)</f>
        <v>45682.45992</v>
      </c>
      <c r="D19" s="15" t="str">
        <f>IFERROR(__xludf.DUMMYFUNCTION("""COMPUTED_VALUE"""),"Ruang Gas QC")</f>
        <v>Ruang Gas QC</v>
      </c>
      <c r="E19" s="15" t="str">
        <f>IFERROR(__xludf.DUMMYFUNCTION("""COMPUTED_VALUE"""),"EJO/01/123")</f>
        <v>EJO/01/123</v>
      </c>
      <c r="F19" s="15" t="str">
        <f>IFERROR(__xludf.DUMMYFUNCTION("""COMPUTED_VALUE"""),"Regulator Hydrogen 96A-10M Morris; ; ;")</f>
        <v>Regulator Hydrogen 96A-10M Morris; ; ;</v>
      </c>
      <c r="G19" s="15">
        <f>IFERROR(__xludf.DUMMYFUNCTION("""COMPUTED_VALUE"""),1.0)</f>
        <v>1</v>
      </c>
      <c r="H19" s="15" t="str">
        <f>IFERROR(__xludf.DUMMYFUNCTION("""COMPUTED_VALUE"""),"Pcs")</f>
        <v>Pcs</v>
      </c>
      <c r="I19" s="15" t="str">
        <f>IFERROR(__xludf.DUMMYFUNCTION("""COMPUTED_VALUE"""),"Deliver")</f>
        <v>Deliver</v>
      </c>
      <c r="J19" s="15" t="str">
        <f>IFERROR(__xludf.DUMMYFUNCTION("""COMPUTED_VALUE"""),"-")</f>
        <v>-</v>
      </c>
      <c r="K19" s="15" t="str">
        <f>IFERROR(__xludf.DUMMYFUNCTION("""COMPUTED_VALUE"""),"-")</f>
        <v>-</v>
      </c>
      <c r="L19" s="15" t="str">
        <f>IFERROR(__xludf.DUMMYFUNCTION("""COMPUTED_VALUE"""),"Normal")</f>
        <v>Normal</v>
      </c>
      <c r="M19" s="18" t="s">
        <v>31</v>
      </c>
      <c r="N19" s="18" t="s">
        <v>28</v>
      </c>
    </row>
    <row r="20" hidden="1">
      <c r="A20" s="15" t="str">
        <f>IFERROR(__xludf.DUMMYFUNCTION("""COMPUTED_VALUE"""),"MOBRO0014")</f>
        <v>MOBRO0014</v>
      </c>
      <c r="B20" s="16">
        <f>IFERROR(__xludf.DUMMYFUNCTION("""COMPUTED_VALUE"""),45679.50538865741)</f>
        <v>45679.50539</v>
      </c>
      <c r="C20" s="17">
        <f>IFERROR(__xludf.DUMMYFUNCTION("""COMPUTED_VALUE"""),45682.460041018516)</f>
        <v>45682.46004</v>
      </c>
      <c r="D20" s="15" t="str">
        <f>IFERROR(__xludf.DUMMYFUNCTION("""COMPUTED_VALUE"""),"Ruang Gas QC")</f>
        <v>Ruang Gas QC</v>
      </c>
      <c r="E20" s="15" t="str">
        <f>IFERROR(__xludf.DUMMYFUNCTION("""COMPUTED_VALUE"""),"-")</f>
        <v>-</v>
      </c>
      <c r="F20" s="15" t="str">
        <f>IFERROR(__xludf.DUMMYFUNCTION("""COMPUTED_VALUE"""),"Regulator Nitrogen ( N2 )  YAMATO P/N : -  pc")</f>
        <v>Regulator Nitrogen ( N2 )  YAMATO P/N : -  pc</v>
      </c>
      <c r="G20" s="15">
        <f>IFERROR(__xludf.DUMMYFUNCTION("""COMPUTED_VALUE"""),1.0)</f>
        <v>1</v>
      </c>
      <c r="H20" s="15" t="str">
        <f>IFERROR(__xludf.DUMMYFUNCTION("""COMPUTED_VALUE"""),"Pcs")</f>
        <v>Pcs</v>
      </c>
      <c r="I20" s="15" t="str">
        <f>IFERROR(__xludf.DUMMYFUNCTION("""COMPUTED_VALUE"""),"Deliver")</f>
        <v>Deliver</v>
      </c>
      <c r="J20" s="15" t="str">
        <f>IFERROR(__xludf.DUMMYFUNCTION("""COMPUTED_VALUE"""),"-")</f>
        <v>-</v>
      </c>
      <c r="K20" s="15" t="str">
        <f>IFERROR(__xludf.DUMMYFUNCTION("""COMPUTED_VALUE"""),"-")</f>
        <v>-</v>
      </c>
      <c r="L20" s="15" t="str">
        <f>IFERROR(__xludf.DUMMYFUNCTION("""COMPUTED_VALUE"""),"Normal")</f>
        <v>Normal</v>
      </c>
      <c r="M20" s="18" t="s">
        <v>31</v>
      </c>
      <c r="N20" s="18" t="s">
        <v>28</v>
      </c>
    </row>
    <row r="21" hidden="1">
      <c r="A21" s="15" t="str">
        <f>IFERROR(__xludf.DUMMYFUNCTION("""COMPUTED_VALUE"""),"MOBRO0015")</f>
        <v>MOBRO0015</v>
      </c>
      <c r="B21" s="16">
        <f>IFERROR(__xludf.DUMMYFUNCTION("""COMPUTED_VALUE"""),45679.50815523148)</f>
        <v>45679.50816</v>
      </c>
      <c r="C21" s="17">
        <f>IFERROR(__xludf.DUMMYFUNCTION("""COMPUTED_VALUE"""),45682.46607689815)</f>
        <v>45682.46608</v>
      </c>
      <c r="D21" s="15" t="str">
        <f>IFERROR(__xludf.DUMMYFUNCTION("""COMPUTED_VALUE"""),"Building")</f>
        <v>Building</v>
      </c>
      <c r="E21" s="15" t="str">
        <f>IFERROR(__xludf.DUMMYFUNCTION("""COMPUTED_VALUE"""),"-")</f>
        <v>-</v>
      </c>
      <c r="F21" s="15" t="str">
        <f>IFERROR(__xludf.DUMMYFUNCTION("""COMPUTED_VALUE"""),"General - Reducer, PVC, 1"" x 1/2""; Rucika; -; 1 pcs")</f>
        <v>General - Reducer, PVC, 1" x 1/2"; Rucika; -; 1 pcs</v>
      </c>
      <c r="G21" s="15">
        <f>IFERROR(__xludf.DUMMYFUNCTION("""COMPUTED_VALUE"""),4.0)</f>
        <v>4</v>
      </c>
      <c r="H21" s="15" t="str">
        <f>IFERROR(__xludf.DUMMYFUNCTION("""COMPUTED_VALUE"""),"Pcs")</f>
        <v>Pcs</v>
      </c>
      <c r="I21" s="15" t="str">
        <f>IFERROR(__xludf.DUMMYFUNCTION("""COMPUTED_VALUE"""),"Deliver")</f>
        <v>Deliver</v>
      </c>
      <c r="J21" s="15" t="str">
        <f>IFERROR(__xludf.DUMMYFUNCTION("""COMPUTED_VALUE"""),"-")</f>
        <v>-</v>
      </c>
      <c r="K21" s="15" t="str">
        <f>IFERROR(__xludf.DUMMYFUNCTION("""COMPUTED_VALUE"""),"-")</f>
        <v>-</v>
      </c>
      <c r="L21" s="15" t="str">
        <f>IFERROR(__xludf.DUMMYFUNCTION("""COMPUTED_VALUE"""),"Normal")</f>
        <v>Normal</v>
      </c>
      <c r="M21" s="18" t="s">
        <v>31</v>
      </c>
      <c r="N21" s="18" t="s">
        <v>28</v>
      </c>
    </row>
    <row r="22" hidden="1">
      <c r="A22" s="15" t="str">
        <f>IFERROR(__xludf.DUMMYFUNCTION("""COMPUTED_VALUE"""),"MOBRO0016")</f>
        <v>MOBRO0016</v>
      </c>
      <c r="B22" s="16">
        <f>IFERROR(__xludf.DUMMYFUNCTION("""COMPUTED_VALUE"""),45680.38341931713)</f>
        <v>45680.38342</v>
      </c>
      <c r="C22" s="17">
        <f>IFERROR(__xludf.DUMMYFUNCTION("""COMPUTED_VALUE"""),45682.46622954861)</f>
        <v>45682.46623</v>
      </c>
      <c r="D22" s="15" t="str">
        <f>IFERROR(__xludf.DUMMYFUNCTION("""COMPUTED_VALUE"""),"Building")</f>
        <v>Building</v>
      </c>
      <c r="E22" s="15" t="str">
        <f>IFERROR(__xludf.DUMMYFUNCTION("""COMPUTED_VALUE"""),"-")</f>
        <v>-</v>
      </c>
      <c r="F22" s="15" t="str">
        <f>IFERROR(__xludf.DUMMYFUNCTION("""COMPUTED_VALUE"""),"PVC - Dop 1 inch; ; ;")</f>
        <v>PVC - Dop 1 inch; ; ;</v>
      </c>
      <c r="G22" s="15">
        <f>IFERROR(__xludf.DUMMYFUNCTION("""COMPUTED_VALUE"""),4.0)</f>
        <v>4</v>
      </c>
      <c r="H22" s="15" t="str">
        <f>IFERROR(__xludf.DUMMYFUNCTION("""COMPUTED_VALUE"""),"Pcs")</f>
        <v>Pcs</v>
      </c>
      <c r="I22" s="15" t="str">
        <f>IFERROR(__xludf.DUMMYFUNCTION("""COMPUTED_VALUE"""),"Deliver")</f>
        <v>Deliver</v>
      </c>
      <c r="J22" s="15" t="str">
        <f>IFERROR(__xludf.DUMMYFUNCTION("""COMPUTED_VALUE"""),"-")</f>
        <v>-</v>
      </c>
      <c r="K22" s="15" t="str">
        <f>IFERROR(__xludf.DUMMYFUNCTION("""COMPUTED_VALUE"""),"-")</f>
        <v>-</v>
      </c>
      <c r="L22" s="15" t="str">
        <f>IFERROR(__xludf.DUMMYFUNCTION("""COMPUTED_VALUE"""),"Normal")</f>
        <v>Normal</v>
      </c>
      <c r="M22" s="18" t="s">
        <v>31</v>
      </c>
      <c r="N22" s="18" t="s">
        <v>28</v>
      </c>
    </row>
    <row r="23" hidden="1">
      <c r="A23" s="15" t="str">
        <f>IFERROR(__xludf.DUMMYFUNCTION("""COMPUTED_VALUE"""),"MOBBR0001")</f>
        <v>MOBBR0001</v>
      </c>
      <c r="B23" s="16">
        <f>IFERROR(__xludf.DUMMYFUNCTION("""COMPUTED_VALUE"""),45679.48693741898)</f>
        <v>45679.48694</v>
      </c>
      <c r="C23" s="17">
        <f>IFERROR(__xludf.DUMMYFUNCTION("""COMPUTED_VALUE"""),45682.4666993287)</f>
        <v>45682.4667</v>
      </c>
      <c r="D23" s="15" t="str">
        <f>IFERROR(__xludf.DUMMYFUNCTION("""COMPUTED_VALUE"""),"Plambing Building")</f>
        <v>Plambing Building</v>
      </c>
      <c r="E23" s="15" t="str">
        <f>IFERROR(__xludf.DUMMYFUNCTION("""COMPUTED_VALUE"""),"-")</f>
        <v>-</v>
      </c>
      <c r="F23" s="15" t="str">
        <f>IFERROR(__xludf.DUMMYFUNCTION("""COMPUTED_VALUE"""),"Fitting PVC - Sock PVC 1.5""")</f>
        <v>Fitting PVC - Sock PVC 1.5"</v>
      </c>
      <c r="G23" s="15">
        <f>IFERROR(__xludf.DUMMYFUNCTION("""COMPUTED_VALUE"""),4.0)</f>
        <v>4</v>
      </c>
      <c r="H23" s="15" t="str">
        <f>IFERROR(__xludf.DUMMYFUNCTION("""COMPUTED_VALUE"""),"Pcs")</f>
        <v>Pcs</v>
      </c>
      <c r="I23" s="15" t="str">
        <f>IFERROR(__xludf.DUMMYFUNCTION("""COMPUTED_VALUE"""),"Deliver")</f>
        <v>Deliver</v>
      </c>
      <c r="J23" s="15" t="str">
        <f>IFERROR(__xludf.DUMMYFUNCTION("""COMPUTED_VALUE"""),"-")</f>
        <v>-</v>
      </c>
      <c r="K23" s="15" t="str">
        <f>IFERROR(__xludf.DUMMYFUNCTION("""COMPUTED_VALUE"""),"-")</f>
        <v>-</v>
      </c>
      <c r="L23" s="15" t="str">
        <f>IFERROR(__xludf.DUMMYFUNCTION("""COMPUTED_VALUE"""),"Normal")</f>
        <v>Normal</v>
      </c>
      <c r="M23" s="18" t="s">
        <v>31</v>
      </c>
      <c r="N23" s="18" t="s">
        <v>28</v>
      </c>
    </row>
    <row r="24" hidden="1">
      <c r="A24" s="15" t="str">
        <f>IFERROR(__xludf.DUMMYFUNCTION("""COMPUTED_VALUE"""),"MOBBR0002")</f>
        <v>MOBBR0002</v>
      </c>
      <c r="B24" s="16">
        <f>IFERROR(__xludf.DUMMYFUNCTION("""COMPUTED_VALUE"""),45679.489123321764)</f>
        <v>45679.48912</v>
      </c>
      <c r="C24" s="17">
        <f>IFERROR(__xludf.DUMMYFUNCTION("""COMPUTED_VALUE"""),45682.466855983796)</f>
        <v>45682.46686</v>
      </c>
      <c r="D24" s="15" t="str">
        <f>IFERROR(__xludf.DUMMYFUNCTION("""COMPUTED_VALUE"""),"Plambing Building")</f>
        <v>Plambing Building</v>
      </c>
      <c r="E24" s="15" t="str">
        <f>IFERROR(__xludf.DUMMYFUNCTION("""COMPUTED_VALUE"""),"-")</f>
        <v>-</v>
      </c>
      <c r="F24" s="15" t="str">
        <f>IFERROR(__xludf.DUMMYFUNCTION("""COMPUTED_VALUE"""),"Fitting PVC - Sock PVC 2.5""")</f>
        <v>Fitting PVC - Sock PVC 2.5"</v>
      </c>
      <c r="G24" s="15">
        <f>IFERROR(__xludf.DUMMYFUNCTION("""COMPUTED_VALUE"""),4.0)</f>
        <v>4</v>
      </c>
      <c r="H24" s="15" t="str">
        <f>IFERROR(__xludf.DUMMYFUNCTION("""COMPUTED_VALUE"""),"Pcs")</f>
        <v>Pcs</v>
      </c>
      <c r="I24" s="15" t="str">
        <f>IFERROR(__xludf.DUMMYFUNCTION("""COMPUTED_VALUE"""),"Deliver")</f>
        <v>Deliver</v>
      </c>
      <c r="J24" s="15" t="str">
        <f>IFERROR(__xludf.DUMMYFUNCTION("""COMPUTED_VALUE"""),"-")</f>
        <v>-</v>
      </c>
      <c r="K24" s="15" t="str">
        <f>IFERROR(__xludf.DUMMYFUNCTION("""COMPUTED_VALUE"""),"-")</f>
        <v>-</v>
      </c>
      <c r="L24" s="15" t="str">
        <f>IFERROR(__xludf.DUMMYFUNCTION("""COMPUTED_VALUE"""),"Normal")</f>
        <v>Normal</v>
      </c>
      <c r="M24" s="18" t="s">
        <v>31</v>
      </c>
      <c r="N24" s="18" t="s">
        <v>28</v>
      </c>
    </row>
    <row r="25" hidden="1">
      <c r="A25" s="15" t="str">
        <f>IFERROR(__xludf.DUMMYFUNCTION("""COMPUTED_VALUE"""),"MOBBR0003")</f>
        <v>MOBBR0003</v>
      </c>
      <c r="B25" s="16">
        <f>IFERROR(__xludf.DUMMYFUNCTION("""COMPUTED_VALUE"""),45679.49178275463)</f>
        <v>45679.49178</v>
      </c>
      <c r="C25" s="17">
        <f>IFERROR(__xludf.DUMMYFUNCTION("""COMPUTED_VALUE"""),45682.46700321759)</f>
        <v>45682.467</v>
      </c>
      <c r="D25" s="15" t="str">
        <f>IFERROR(__xludf.DUMMYFUNCTION("""COMPUTED_VALUE"""),"Plambing Building")</f>
        <v>Plambing Building</v>
      </c>
      <c r="E25" s="15" t="str">
        <f>IFERROR(__xludf.DUMMYFUNCTION("""COMPUTED_VALUE"""),"-")</f>
        <v>-</v>
      </c>
      <c r="F25" s="15" t="str">
        <f>IFERROR(__xludf.DUMMYFUNCTION("""COMPUTED_VALUE"""),"Fitting PVC - Tee PVC 1.5""")</f>
        <v>Fitting PVC - Tee PVC 1.5"</v>
      </c>
      <c r="G25" s="15">
        <f>IFERROR(__xludf.DUMMYFUNCTION("""COMPUTED_VALUE"""),4.0)</f>
        <v>4</v>
      </c>
      <c r="H25" s="15" t="str">
        <f>IFERROR(__xludf.DUMMYFUNCTION("""COMPUTED_VALUE"""),"Pcs")</f>
        <v>Pcs</v>
      </c>
      <c r="I25" s="15" t="str">
        <f>IFERROR(__xludf.DUMMYFUNCTION("""COMPUTED_VALUE"""),"Deliver")</f>
        <v>Deliver</v>
      </c>
      <c r="J25" s="15" t="str">
        <f>IFERROR(__xludf.DUMMYFUNCTION("""COMPUTED_VALUE"""),"-")</f>
        <v>-</v>
      </c>
      <c r="K25" s="15" t="str">
        <f>IFERROR(__xludf.DUMMYFUNCTION("""COMPUTED_VALUE"""),"-")</f>
        <v>-</v>
      </c>
      <c r="L25" s="15" t="str">
        <f>IFERROR(__xludf.DUMMYFUNCTION("""COMPUTED_VALUE"""),"Normal")</f>
        <v>Normal</v>
      </c>
      <c r="M25" s="18" t="s">
        <v>31</v>
      </c>
      <c r="N25" s="18" t="s">
        <v>28</v>
      </c>
    </row>
    <row r="26" hidden="1">
      <c r="A26" s="15" t="str">
        <f>IFERROR(__xludf.DUMMYFUNCTION("""COMPUTED_VALUE"""),"MOBBR0004")</f>
        <v>MOBBR0004</v>
      </c>
      <c r="B26" s="16">
        <f>IFERROR(__xludf.DUMMYFUNCTION("""COMPUTED_VALUE"""),45679.49250216435)</f>
        <v>45679.4925</v>
      </c>
      <c r="C26" s="17">
        <f>IFERROR(__xludf.DUMMYFUNCTION("""COMPUTED_VALUE"""),45682.46715569445)</f>
        <v>45682.46716</v>
      </c>
      <c r="D26" s="15" t="str">
        <f>IFERROR(__xludf.DUMMYFUNCTION("""COMPUTED_VALUE"""),"Plambing Building")</f>
        <v>Plambing Building</v>
      </c>
      <c r="E26" s="15" t="str">
        <f>IFERROR(__xludf.DUMMYFUNCTION("""COMPUTED_VALUE"""),"-")</f>
        <v>-</v>
      </c>
      <c r="F26" s="15" t="str">
        <f>IFERROR(__xludf.DUMMYFUNCTION("""COMPUTED_VALUE"""),"Fitting PVC - Tee PVC 2.5""")</f>
        <v>Fitting PVC - Tee PVC 2.5"</v>
      </c>
      <c r="G26" s="15">
        <f>IFERROR(__xludf.DUMMYFUNCTION("""COMPUTED_VALUE"""),4.0)</f>
        <v>4</v>
      </c>
      <c r="H26" s="15" t="str">
        <f>IFERROR(__xludf.DUMMYFUNCTION("""COMPUTED_VALUE"""),"Pcs")</f>
        <v>Pcs</v>
      </c>
      <c r="I26" s="15" t="str">
        <f>IFERROR(__xludf.DUMMYFUNCTION("""COMPUTED_VALUE"""),"Deliver")</f>
        <v>Deliver</v>
      </c>
      <c r="J26" s="15" t="str">
        <f>IFERROR(__xludf.DUMMYFUNCTION("""COMPUTED_VALUE"""),"-")</f>
        <v>-</v>
      </c>
      <c r="K26" s="15" t="str">
        <f>IFERROR(__xludf.DUMMYFUNCTION("""COMPUTED_VALUE"""),"-")</f>
        <v>-</v>
      </c>
      <c r="L26" s="15" t="str">
        <f>IFERROR(__xludf.DUMMYFUNCTION("""COMPUTED_VALUE"""),"Normal")</f>
        <v>Normal</v>
      </c>
      <c r="M26" s="18" t="s">
        <v>31</v>
      </c>
      <c r="N26" s="18" t="s">
        <v>28</v>
      </c>
    </row>
    <row r="27" hidden="1">
      <c r="A27" s="15" t="str">
        <f>IFERROR(__xludf.DUMMYFUNCTION("""COMPUTED_VALUE"""),"MOBBR0005")</f>
        <v>MOBBR0005</v>
      </c>
      <c r="B27" s="16">
        <f>IFERROR(__xludf.DUMMYFUNCTION("""COMPUTED_VALUE"""),45679.493272615735)</f>
        <v>45679.49327</v>
      </c>
      <c r="C27" s="17">
        <f>IFERROR(__xludf.DUMMYFUNCTION("""COMPUTED_VALUE"""),45682.46730909723)</f>
        <v>45682.46731</v>
      </c>
      <c r="D27" s="15" t="str">
        <f>IFERROR(__xludf.DUMMYFUNCTION("""COMPUTED_VALUE"""),"Plambing Building")</f>
        <v>Plambing Building</v>
      </c>
      <c r="E27" s="15" t="str">
        <f>IFERROR(__xludf.DUMMYFUNCTION("""COMPUTED_VALUE"""),"-")</f>
        <v>-</v>
      </c>
      <c r="F27" s="15" t="str">
        <f>IFERROR(__xludf.DUMMYFUNCTION("""COMPUTED_VALUE"""),"Fitting PVC - Water Mur PVC 2.5""")</f>
        <v>Fitting PVC - Water Mur PVC 2.5"</v>
      </c>
      <c r="G27" s="15">
        <f>IFERROR(__xludf.DUMMYFUNCTION("""COMPUTED_VALUE"""),4.0)</f>
        <v>4</v>
      </c>
      <c r="H27" s="15" t="str">
        <f>IFERROR(__xludf.DUMMYFUNCTION("""COMPUTED_VALUE"""),"Pcs")</f>
        <v>Pcs</v>
      </c>
      <c r="I27" s="15" t="str">
        <f>IFERROR(__xludf.DUMMYFUNCTION("""COMPUTED_VALUE"""),"Deliver")</f>
        <v>Deliver</v>
      </c>
      <c r="J27" s="15" t="str">
        <f>IFERROR(__xludf.DUMMYFUNCTION("""COMPUTED_VALUE"""),"-")</f>
        <v>-</v>
      </c>
      <c r="K27" s="15" t="str">
        <f>IFERROR(__xludf.DUMMYFUNCTION("""COMPUTED_VALUE"""),"-")</f>
        <v>-</v>
      </c>
      <c r="L27" s="15" t="str">
        <f>IFERROR(__xludf.DUMMYFUNCTION("""COMPUTED_VALUE"""),"Normal")</f>
        <v>Normal</v>
      </c>
      <c r="M27" s="18" t="s">
        <v>31</v>
      </c>
      <c r="N27" s="18" t="s">
        <v>28</v>
      </c>
    </row>
    <row r="28" hidden="1">
      <c r="A28" s="15" t="str">
        <f>IFERROR(__xludf.DUMMYFUNCTION("""COMPUTED_VALUE"""),"MOBBR0006")</f>
        <v>MOBBR0006</v>
      </c>
      <c r="B28" s="16">
        <f>IFERROR(__xludf.DUMMYFUNCTION("""COMPUTED_VALUE"""),45679.494418240734)</f>
        <v>45679.49442</v>
      </c>
      <c r="C28" s="17">
        <f>IFERROR(__xludf.DUMMYFUNCTION("""COMPUTED_VALUE"""),45682.46776121528)</f>
        <v>45682.46776</v>
      </c>
      <c r="D28" s="15" t="str">
        <f>IFERROR(__xludf.DUMMYFUNCTION("""COMPUTED_VALUE"""),"Plambing Building")</f>
        <v>Plambing Building</v>
      </c>
      <c r="E28" s="15" t="str">
        <f>IFERROR(__xludf.DUMMYFUNCTION("""COMPUTED_VALUE"""),"-")</f>
        <v>-</v>
      </c>
      <c r="F28" s="15" t="str">
        <f>IFERROR(__xludf.DUMMYFUNCTION("""COMPUTED_VALUE"""),"Fitting PVC - Water Mur PVC 1""")</f>
        <v>Fitting PVC - Water Mur PVC 1"</v>
      </c>
      <c r="G28" s="15">
        <f>IFERROR(__xludf.DUMMYFUNCTION("""COMPUTED_VALUE"""),4.0)</f>
        <v>4</v>
      </c>
      <c r="H28" s="15" t="str">
        <f>IFERROR(__xludf.DUMMYFUNCTION("""COMPUTED_VALUE"""),"Pcs")</f>
        <v>Pcs</v>
      </c>
      <c r="I28" s="15" t="str">
        <f>IFERROR(__xludf.DUMMYFUNCTION("""COMPUTED_VALUE"""),"Deliver")</f>
        <v>Deliver</v>
      </c>
      <c r="J28" s="15" t="str">
        <f>IFERROR(__xludf.DUMMYFUNCTION("""COMPUTED_VALUE"""),"-")</f>
        <v>-</v>
      </c>
      <c r="K28" s="15" t="str">
        <f>IFERROR(__xludf.DUMMYFUNCTION("""COMPUTED_VALUE"""),"-")</f>
        <v>-</v>
      </c>
      <c r="L28" s="15" t="str">
        <f>IFERROR(__xludf.DUMMYFUNCTION("""COMPUTED_VALUE"""),"Normal")</f>
        <v>Normal</v>
      </c>
      <c r="M28" s="18" t="s">
        <v>31</v>
      </c>
      <c r="N28" s="18" t="s">
        <v>28</v>
      </c>
    </row>
    <row r="29" hidden="1">
      <c r="A29" s="15" t="str">
        <f>IFERROR(__xludf.DUMMYFUNCTION("""COMPUTED_VALUE"""),"MOBBR0007")</f>
        <v>MOBBR0007</v>
      </c>
      <c r="B29" s="16">
        <f>IFERROR(__xludf.DUMMYFUNCTION("""COMPUTED_VALUE"""),45679.50596162037)</f>
        <v>45679.50596</v>
      </c>
      <c r="C29" s="17">
        <f>IFERROR(__xludf.DUMMYFUNCTION("""COMPUTED_VALUE"""),45682.468397488425)</f>
        <v>45682.4684</v>
      </c>
      <c r="D29" s="15" t="str">
        <f>IFERROR(__xludf.DUMMYFUNCTION("""COMPUTED_VALUE"""),"Ruang Gas QC")</f>
        <v>Ruang Gas QC</v>
      </c>
      <c r="E29" s="15" t="str">
        <f>IFERROR(__xludf.DUMMYFUNCTION("""COMPUTED_VALUE"""),"-")</f>
        <v>-</v>
      </c>
      <c r="F29" s="15" t="str">
        <f>IFERROR(__xludf.DUMMYFUNCTION("""COMPUTED_VALUE"""),"Regulator Gas Helium")</f>
        <v>Regulator Gas Helium</v>
      </c>
      <c r="G29" s="15">
        <f>IFERROR(__xludf.DUMMYFUNCTION("""COMPUTED_VALUE"""),1.0)</f>
        <v>1</v>
      </c>
      <c r="H29" s="15" t="str">
        <f>IFERROR(__xludf.DUMMYFUNCTION("""COMPUTED_VALUE"""),"Pcs")</f>
        <v>Pcs</v>
      </c>
      <c r="I29" s="15" t="str">
        <f>IFERROR(__xludf.DUMMYFUNCTION("""COMPUTED_VALUE"""),"Deliver")</f>
        <v>Deliver</v>
      </c>
      <c r="J29" s="15" t="str">
        <f>IFERROR(__xludf.DUMMYFUNCTION("""COMPUTED_VALUE"""),"-")</f>
        <v>-</v>
      </c>
      <c r="K29" s="15" t="str">
        <f>IFERROR(__xludf.DUMMYFUNCTION("""COMPUTED_VALUE"""),"-")</f>
        <v>-</v>
      </c>
      <c r="L29" s="15" t="str">
        <f>IFERROR(__xludf.DUMMYFUNCTION("""COMPUTED_VALUE"""),"Normal")</f>
        <v>Normal</v>
      </c>
      <c r="M29" s="18" t="s">
        <v>31</v>
      </c>
      <c r="N29" s="18" t="s">
        <v>28</v>
      </c>
    </row>
    <row r="30" hidden="1">
      <c r="A30" s="15" t="str">
        <f>IFERROR(__xludf.DUMMYFUNCTION("""COMPUTED_VALUE"""),"MOBBR0008")</f>
        <v>MOBBR0008</v>
      </c>
      <c r="B30" s="16">
        <f>IFERROR(__xludf.DUMMYFUNCTION("""COMPUTED_VALUE"""),45679.50860945601)</f>
        <v>45679.50861</v>
      </c>
      <c r="C30" s="17">
        <f>IFERROR(__xludf.DUMMYFUNCTION("""COMPUTED_VALUE"""),45682.46854090278)</f>
        <v>45682.46854</v>
      </c>
      <c r="D30" s="15" t="str">
        <f>IFERROR(__xludf.DUMMYFUNCTION("""COMPUTED_VALUE"""),"Plambing Building")</f>
        <v>Plambing Building</v>
      </c>
      <c r="E30" s="15" t="str">
        <f>IFERROR(__xludf.DUMMYFUNCTION("""COMPUTED_VALUE"""),"-")</f>
        <v>-</v>
      </c>
      <c r="F30" s="15" t="str">
        <f>IFERROR(__xludf.DUMMYFUNCTION("""COMPUTED_VALUE"""),"Fitting PVC - Reducer PVC 1"" - 2""")</f>
        <v>Fitting PVC - Reducer PVC 1" - 2"</v>
      </c>
      <c r="G30" s="15">
        <f>IFERROR(__xludf.DUMMYFUNCTION("""COMPUTED_VALUE"""),4.0)</f>
        <v>4</v>
      </c>
      <c r="H30" s="15" t="str">
        <f>IFERROR(__xludf.DUMMYFUNCTION("""COMPUTED_VALUE"""),"Pcs")</f>
        <v>Pcs</v>
      </c>
      <c r="I30" s="15" t="str">
        <f>IFERROR(__xludf.DUMMYFUNCTION("""COMPUTED_VALUE"""),"Deliver")</f>
        <v>Deliver</v>
      </c>
      <c r="J30" s="15" t="str">
        <f>IFERROR(__xludf.DUMMYFUNCTION("""COMPUTED_VALUE"""),"-")</f>
        <v>-</v>
      </c>
      <c r="K30" s="15" t="str">
        <f>IFERROR(__xludf.DUMMYFUNCTION("""COMPUTED_VALUE"""),"-")</f>
        <v>-</v>
      </c>
      <c r="L30" s="15" t="str">
        <f>IFERROR(__xludf.DUMMYFUNCTION("""COMPUTED_VALUE"""),"Normal")</f>
        <v>Normal</v>
      </c>
      <c r="M30" s="18" t="s">
        <v>31</v>
      </c>
      <c r="N30" s="18" t="s">
        <v>28</v>
      </c>
    </row>
    <row r="31" hidden="1">
      <c r="A31" s="15" t="str">
        <f>IFERROR(__xludf.DUMMYFUNCTION("""COMPUTED_VALUE"""),"MOBBR0009")</f>
        <v>MOBBR0009</v>
      </c>
      <c r="B31" s="16">
        <f>IFERROR(__xludf.DUMMYFUNCTION("""COMPUTED_VALUE"""),45679.51542798611)</f>
        <v>45679.51543</v>
      </c>
      <c r="C31" s="17">
        <f>IFERROR(__xludf.DUMMYFUNCTION("""COMPUTED_VALUE"""),45682.47072065972)</f>
        <v>45682.47072</v>
      </c>
      <c r="D31" s="15" t="str">
        <f>IFERROR(__xludf.DUMMYFUNCTION("""COMPUTED_VALUE"""),"Intercom Wireless Office WH")</f>
        <v>Intercom Wireless Office WH</v>
      </c>
      <c r="E31" s="15" t="str">
        <f>IFERROR(__xludf.DUMMYFUNCTION("""COMPUTED_VALUE"""),"-")</f>
        <v>-</v>
      </c>
      <c r="F31" s="15" t="str">
        <f>IFERROR(__xludf.DUMMYFUNCTION("""COMPUTED_VALUE"""),"Intercom Wireless")</f>
        <v>Intercom Wireless</v>
      </c>
      <c r="G31" s="15">
        <f>IFERROR(__xludf.DUMMYFUNCTION("""COMPUTED_VALUE"""),2.0)</f>
        <v>2</v>
      </c>
      <c r="H31" s="15" t="str">
        <f>IFERROR(__xludf.DUMMYFUNCTION("""COMPUTED_VALUE"""),"Pcs")</f>
        <v>Pcs</v>
      </c>
      <c r="I31" s="15" t="str">
        <f>IFERROR(__xludf.DUMMYFUNCTION("""COMPUTED_VALUE"""),"Closed")</f>
        <v>Closed</v>
      </c>
      <c r="J31" s="15" t="str">
        <f>IFERROR(__xludf.DUMMYFUNCTION("""COMPUTED_VALUE"""),"-")</f>
        <v>-</v>
      </c>
      <c r="K31" s="15" t="str">
        <f>IFERROR(__xludf.DUMMYFUNCTION("""COMPUTED_VALUE"""),"-")</f>
        <v>-</v>
      </c>
      <c r="L31" s="15" t="str">
        <f>IFERROR(__xludf.DUMMYFUNCTION("""COMPUTED_VALUE"""),"Normal")</f>
        <v>Normal</v>
      </c>
      <c r="M31" s="18" t="s">
        <v>31</v>
      </c>
      <c r="N31" s="18" t="s">
        <v>28</v>
      </c>
    </row>
    <row r="32" hidden="1">
      <c r="A32" s="15" t="str">
        <f>IFERROR(__xludf.DUMMYFUNCTION("""COMPUTED_VALUE"""),"MOBBR0010")</f>
        <v>MOBBR0010</v>
      </c>
      <c r="B32" s="16">
        <f>IFERROR(__xludf.DUMMYFUNCTION("""COMPUTED_VALUE"""),45680.382373796296)</f>
        <v>45680.38237</v>
      </c>
      <c r="C32" s="17">
        <f>IFERROR(__xludf.DUMMYFUNCTION("""COMPUTED_VALUE"""),45682.470873645834)</f>
        <v>45682.47087</v>
      </c>
      <c r="D32" s="15" t="str">
        <f>IFERROR(__xludf.DUMMYFUNCTION("""COMPUTED_VALUE"""),"Plambing Building")</f>
        <v>Plambing Building</v>
      </c>
      <c r="E32" s="15" t="str">
        <f>IFERROR(__xludf.DUMMYFUNCTION("""COMPUTED_VALUE"""),"-")</f>
        <v>-</v>
      </c>
      <c r="F32" s="15" t="str">
        <f>IFERROR(__xludf.DUMMYFUNCTION("""COMPUTED_VALUE"""),"Fitting PVC - Water Mur PVC 1.5""")</f>
        <v>Fitting PVC - Water Mur PVC 1.5"</v>
      </c>
      <c r="G32" s="15">
        <f>IFERROR(__xludf.DUMMYFUNCTION("""COMPUTED_VALUE"""),4.0)</f>
        <v>4</v>
      </c>
      <c r="H32" s="15" t="str">
        <f>IFERROR(__xludf.DUMMYFUNCTION("""COMPUTED_VALUE"""),"Pcs")</f>
        <v>Pcs</v>
      </c>
      <c r="I32" s="15" t="str">
        <f>IFERROR(__xludf.DUMMYFUNCTION("""COMPUTED_VALUE"""),"Deliver")</f>
        <v>Deliver</v>
      </c>
      <c r="J32" s="15" t="str">
        <f>IFERROR(__xludf.DUMMYFUNCTION("""COMPUTED_VALUE"""),"-")</f>
        <v>-</v>
      </c>
      <c r="K32" s="15" t="str">
        <f>IFERROR(__xludf.DUMMYFUNCTION("""COMPUTED_VALUE"""),"-")</f>
        <v>-</v>
      </c>
      <c r="L32" s="15" t="str">
        <f>IFERROR(__xludf.DUMMYFUNCTION("""COMPUTED_VALUE"""),"Normal")</f>
        <v>Normal</v>
      </c>
      <c r="M32" s="18" t="s">
        <v>31</v>
      </c>
      <c r="N32" s="18" t="s">
        <v>28</v>
      </c>
    </row>
    <row r="33" hidden="1">
      <c r="A33" s="15" t="str">
        <f>IFERROR(__xludf.DUMMYFUNCTION("""COMPUTED_VALUE"""),"MOBBR0011")</f>
        <v>MOBBR0011</v>
      </c>
      <c r="B33" s="16">
        <f>IFERROR(__xludf.DUMMYFUNCTION("""COMPUTED_VALUE"""),45680.383995509255)</f>
        <v>45680.384</v>
      </c>
      <c r="C33" s="17">
        <f>IFERROR(__xludf.DUMMYFUNCTION("""COMPUTED_VALUE"""),45682.470995868054)</f>
        <v>45682.471</v>
      </c>
      <c r="D33" s="15" t="str">
        <f>IFERROR(__xludf.DUMMYFUNCTION("""COMPUTED_VALUE"""),"Plambing Building")</f>
        <v>Plambing Building</v>
      </c>
      <c r="E33" s="15" t="str">
        <f>IFERROR(__xludf.DUMMYFUNCTION("""COMPUTED_VALUE"""),"-")</f>
        <v>-</v>
      </c>
      <c r="F33" s="15" t="str">
        <f>IFERROR(__xludf.DUMMYFUNCTION("""COMPUTED_VALUE"""),"PVC - Dop 3/4""")</f>
        <v>PVC - Dop 3/4"</v>
      </c>
      <c r="G33" s="15">
        <f>IFERROR(__xludf.DUMMYFUNCTION("""COMPUTED_VALUE"""),4.0)</f>
        <v>4</v>
      </c>
      <c r="H33" s="15" t="str">
        <f>IFERROR(__xludf.DUMMYFUNCTION("""COMPUTED_VALUE"""),"Pcs")</f>
        <v>Pcs</v>
      </c>
      <c r="I33" s="15" t="str">
        <f>IFERROR(__xludf.DUMMYFUNCTION("""COMPUTED_VALUE"""),"Deliver")</f>
        <v>Deliver</v>
      </c>
      <c r="J33" s="15" t="str">
        <f>IFERROR(__xludf.DUMMYFUNCTION("""COMPUTED_VALUE"""),"-")</f>
        <v>-</v>
      </c>
      <c r="K33" s="15" t="str">
        <f>IFERROR(__xludf.DUMMYFUNCTION("""COMPUTED_VALUE"""),"-")</f>
        <v>-</v>
      </c>
      <c r="L33" s="15" t="str">
        <f>IFERROR(__xludf.DUMMYFUNCTION("""COMPUTED_VALUE"""),"Normal")</f>
        <v>Normal</v>
      </c>
      <c r="M33" s="18" t="s">
        <v>31</v>
      </c>
      <c r="N33" s="18" t="s">
        <v>28</v>
      </c>
    </row>
    <row r="34" hidden="1">
      <c r="A34" s="15" t="str">
        <f>IFERROR(__xludf.DUMMYFUNCTION("""COMPUTED_VALUE"""),"ROSBR0005")</f>
        <v>ROSBR0005</v>
      </c>
      <c r="B34" s="16">
        <f>IFERROR(__xludf.DUMMYFUNCTION("""COMPUTED_VALUE"""),45685.50748862268)</f>
        <v>45685.50749</v>
      </c>
      <c r="C34" s="17">
        <f>IFERROR(__xludf.DUMMYFUNCTION("""COMPUTED_VALUE"""),45685.560642662036)</f>
        <v>45685.56064</v>
      </c>
      <c r="D34" s="15" t="str">
        <f>IFERROR(__xludf.DUMMYFUNCTION("""COMPUTED_VALUE"""),"Mixing")</f>
        <v>Mixing</v>
      </c>
      <c r="E34" s="15" t="str">
        <f>IFERROR(__xludf.DUMMYFUNCTION("""COMPUTED_VALUE"""),"EJO/2025/01/26")</f>
        <v>EJO/2025/01/26</v>
      </c>
      <c r="F34" s="15" t="str">
        <f>IFERROR(__xludf.DUMMYFUNCTION("""COMPUTED_VALUE"""),"Cover Tray Pelindung Tubing ")</f>
        <v>Cover Tray Pelindung Tubing </v>
      </c>
      <c r="G34" s="15">
        <f>IFERROR(__xludf.DUMMYFUNCTION("""COMPUTED_VALUE"""),2.0)</f>
        <v>2</v>
      </c>
      <c r="H34" s="15" t="str">
        <f>IFERROR(__xludf.DUMMYFUNCTION("""COMPUTED_VALUE"""),"Pcs")</f>
        <v>Pcs</v>
      </c>
      <c r="I34" s="15" t="str">
        <f>IFERROR(__xludf.DUMMYFUNCTION("""COMPUTED_VALUE"""),"Deliver")</f>
        <v>Deliver</v>
      </c>
      <c r="J34" s="15" t="str">
        <f>IFERROR(__xludf.DUMMYFUNCTION("""COMPUTED_VALUE"""),"-")</f>
        <v>-</v>
      </c>
      <c r="K34" s="15" t="str">
        <f>IFERROR(__xludf.DUMMYFUNCTION("""COMPUTED_VALUE"""),"-")</f>
        <v>-</v>
      </c>
      <c r="L34" s="15" t="str">
        <f>IFERROR(__xludf.DUMMYFUNCTION("""COMPUTED_VALUE"""),"Normal")</f>
        <v>Normal</v>
      </c>
      <c r="M34" s="18" t="s">
        <v>29</v>
      </c>
      <c r="N34" s="18" t="s">
        <v>30</v>
      </c>
    </row>
    <row r="35" hidden="1">
      <c r="A35" s="15" t="str">
        <f>IFERROR(__xludf.DUMMYFUNCTION("""COMPUTED_VALUE"""),"MOBBR0012")</f>
        <v>MOBBR0012</v>
      </c>
      <c r="B35" s="16">
        <f>IFERROR(__xludf.DUMMYFUNCTION("""COMPUTED_VALUE"""),45684.634351423614)</f>
        <v>45684.63435</v>
      </c>
      <c r="C35" s="17">
        <f>IFERROR(__xludf.DUMMYFUNCTION("""COMPUTED_VALUE"""),45685.84379293981)</f>
        <v>45685.84379</v>
      </c>
      <c r="D35" s="15" t="str">
        <f>IFERROR(__xludf.DUMMYFUNCTION("""COMPUTED_VALUE"""),"Plumbing")</f>
        <v>Plumbing</v>
      </c>
      <c r="E35" s="15" t="str">
        <f>IFERROR(__xludf.DUMMYFUNCTION("""COMPUTED_VALUE"""),"EJO/2025/01/108")</f>
        <v>EJO/2025/01/108</v>
      </c>
      <c r="F35" s="15" t="str">
        <f>IFERROR(__xludf.DUMMYFUNCTION("""COMPUTED_VALUE"""),"Gate Valve Kitz")</f>
        <v>Gate Valve Kitz</v>
      </c>
      <c r="G35" s="15">
        <f>IFERROR(__xludf.DUMMYFUNCTION("""COMPUTED_VALUE"""),2.0)</f>
        <v>2</v>
      </c>
      <c r="H35" s="15" t="str">
        <f>IFERROR(__xludf.DUMMYFUNCTION("""COMPUTED_VALUE"""),"Pcs")</f>
        <v>Pcs</v>
      </c>
      <c r="I35" s="15" t="str">
        <f>IFERROR(__xludf.DUMMYFUNCTION("""COMPUTED_VALUE"""),"Deliver")</f>
        <v>Deliver</v>
      </c>
      <c r="J35" s="15" t="str">
        <f>IFERROR(__xludf.DUMMYFUNCTION("""COMPUTED_VALUE"""),"-")</f>
        <v>-</v>
      </c>
      <c r="K35" s="15" t="str">
        <f>IFERROR(__xludf.DUMMYFUNCTION("""COMPUTED_VALUE"""),"-")</f>
        <v>-</v>
      </c>
      <c r="L35" s="15" t="str">
        <f>IFERROR(__xludf.DUMMYFUNCTION("""COMPUTED_VALUE"""),"Normal")</f>
        <v>Normal</v>
      </c>
      <c r="M35" s="18" t="s">
        <v>31</v>
      </c>
      <c r="N35" s="18" t="s">
        <v>28</v>
      </c>
    </row>
    <row r="36" hidden="1">
      <c r="A36" s="15" t="str">
        <f>IFERROR(__xludf.DUMMYFUNCTION("""COMPUTED_VALUE"""),"RIARO0001")</f>
        <v>RIARO0001</v>
      </c>
      <c r="B36" s="16">
        <f>IFERROR(__xludf.DUMMYFUNCTION("""COMPUTED_VALUE"""),45688.279736620374)</f>
        <v>45688.27974</v>
      </c>
      <c r="C36" s="17">
        <f>IFERROR(__xludf.DUMMYFUNCTION("""COMPUTED_VALUE"""),45688.93968822916)</f>
        <v>45688.93969</v>
      </c>
      <c r="D36" s="15" t="str">
        <f>IFERROR(__xludf.DUMMYFUNCTION("""COMPUTED_VALUE"""),"AHU F31")</f>
        <v>AHU F31</v>
      </c>
      <c r="E36" s="15" t="str">
        <f>IFERROR(__xludf.DUMMYFUNCTION("""COMPUTED_VALUE"""),"EJO/2025/01/69")</f>
        <v>EJO/2025/01/69</v>
      </c>
      <c r="F36" s="15" t="str">
        <f>IFERROR(__xludf.DUMMYFUNCTION("""COMPUTED_VALUE"""),"HVAC - Pressure Flow Control MF PFC Ver.3 24 VAC/VDC 0 - 100 Pa Micatrone; ; ;")</f>
        <v>HVAC - Pressure Flow Control MF PFC Ver.3 24 VAC/VDC 0 - 100 Pa Micatrone; ; ;</v>
      </c>
      <c r="G36" s="15">
        <f>IFERROR(__xludf.DUMMYFUNCTION("""COMPUTED_VALUE"""),1.0)</f>
        <v>1</v>
      </c>
      <c r="H36" s="15" t="str">
        <f>IFERROR(__xludf.DUMMYFUNCTION("""COMPUTED_VALUE"""),"Pcs")</f>
        <v>Pcs</v>
      </c>
      <c r="I36" s="15" t="str">
        <f>IFERROR(__xludf.DUMMYFUNCTION("""COMPUTED_VALUE"""),"Deliver")</f>
        <v>Deliver</v>
      </c>
      <c r="J36" s="15" t="str">
        <f>IFERROR(__xludf.DUMMYFUNCTION("""COMPUTED_VALUE"""),"-")</f>
        <v>-</v>
      </c>
      <c r="K36" s="15" t="str">
        <f>IFERROR(__xludf.DUMMYFUNCTION("""COMPUTED_VALUE"""),"-")</f>
        <v>-</v>
      </c>
      <c r="L36" s="15" t="str">
        <f>IFERROR(__xludf.DUMMYFUNCTION("""COMPUTED_VALUE"""),"Normal")</f>
        <v>Normal</v>
      </c>
      <c r="M36" s="18" t="s">
        <v>32</v>
      </c>
      <c r="N36" s="18" t="s">
        <v>28</v>
      </c>
    </row>
    <row r="37" hidden="1">
      <c r="A37" s="15" t="str">
        <f>IFERROR(__xludf.DUMMYFUNCTION("""COMPUTED_VALUE"""),"RIARO0002")</f>
        <v>RIARO0002</v>
      </c>
      <c r="B37" s="16">
        <f>IFERROR(__xludf.DUMMYFUNCTION("""COMPUTED_VALUE"""),45688.280334166666)</f>
        <v>45688.28033</v>
      </c>
      <c r="C37" s="17">
        <f>IFERROR(__xludf.DUMMYFUNCTION("""COMPUTED_VALUE"""),45688.94002701389)</f>
        <v>45688.94003</v>
      </c>
      <c r="D37" s="15" t="str">
        <f>IFERROR(__xludf.DUMMYFUNCTION("""COMPUTED_VALUE"""),"AHU F32")</f>
        <v>AHU F32</v>
      </c>
      <c r="E37" s="15" t="str">
        <f>IFERROR(__xludf.DUMMYFUNCTION("""COMPUTED_VALUE"""),"EJO/2025/01/69")</f>
        <v>EJO/2025/01/69</v>
      </c>
      <c r="F37" s="15" t="str">
        <f>IFERROR(__xludf.DUMMYFUNCTION("""COMPUTED_VALUE"""),"HVAC - Pressure Flow Control MF PFC Ver.3 24 VAC/VDC 0 - 100 Pa Micatrone; ; ;")</f>
        <v>HVAC - Pressure Flow Control MF PFC Ver.3 24 VAC/VDC 0 - 100 Pa Micatrone; ; ;</v>
      </c>
      <c r="G37" s="15">
        <f>IFERROR(__xludf.DUMMYFUNCTION("""COMPUTED_VALUE"""),1.0)</f>
        <v>1</v>
      </c>
      <c r="H37" s="15" t="str">
        <f>IFERROR(__xludf.DUMMYFUNCTION("""COMPUTED_VALUE"""),"Pcs")</f>
        <v>Pcs</v>
      </c>
      <c r="I37" s="15" t="str">
        <f>IFERROR(__xludf.DUMMYFUNCTION("""COMPUTED_VALUE"""),"Deliver")</f>
        <v>Deliver</v>
      </c>
      <c r="J37" s="15" t="str">
        <f>IFERROR(__xludf.DUMMYFUNCTION("""COMPUTED_VALUE"""),"-")</f>
        <v>-</v>
      </c>
      <c r="K37" s="15" t="str">
        <f>IFERROR(__xludf.DUMMYFUNCTION("""COMPUTED_VALUE"""),"-")</f>
        <v>-</v>
      </c>
      <c r="L37" s="15" t="str">
        <f>IFERROR(__xludf.DUMMYFUNCTION("""COMPUTED_VALUE"""),"Normal")</f>
        <v>Normal</v>
      </c>
      <c r="M37" s="18" t="s">
        <v>32</v>
      </c>
      <c r="N37" s="18" t="s">
        <v>28</v>
      </c>
    </row>
    <row r="38" hidden="1">
      <c r="A38" s="15" t="str">
        <f>IFERROR(__xludf.DUMMYFUNCTION("""COMPUTED_VALUE"""),"RIABR0001")</f>
        <v>RIABR0001</v>
      </c>
      <c r="B38" s="16">
        <f>IFERROR(__xludf.DUMMYFUNCTION("""COMPUTED_VALUE"""),45688.2731081713)</f>
        <v>45688.27311</v>
      </c>
      <c r="C38" s="17">
        <f>IFERROR(__xludf.DUMMYFUNCTION("""COMPUTED_VALUE"""),45688.940998784725)</f>
        <v>45688.941</v>
      </c>
      <c r="D38" s="15" t="str">
        <f>IFERROR(__xludf.DUMMYFUNCTION("""COMPUTED_VALUE"""),"AHU F22")</f>
        <v>AHU F22</v>
      </c>
      <c r="E38" s="15" t="str">
        <f>IFERROR(__xludf.DUMMYFUNCTION("""COMPUTED_VALUE"""),"EJO/2025/01/30")</f>
        <v>EJO/2025/01/30</v>
      </c>
      <c r="F38" s="15" t="str">
        <f>IFERROR(__xludf.DUMMYFUNCTION("""COMPUTED_VALUE"""),"LCD Inverter")</f>
        <v>LCD Inverter</v>
      </c>
      <c r="G38" s="15">
        <f>IFERROR(__xludf.DUMMYFUNCTION("""COMPUTED_VALUE"""),1.0)</f>
        <v>1</v>
      </c>
      <c r="H38" s="15" t="str">
        <f>IFERROR(__xludf.DUMMYFUNCTION("""COMPUTED_VALUE"""),"Pcs")</f>
        <v>Pcs</v>
      </c>
      <c r="I38" s="15" t="str">
        <f>IFERROR(__xludf.DUMMYFUNCTION("""COMPUTED_VALUE"""),"Deliver")</f>
        <v>Deliver</v>
      </c>
      <c r="J38" s="15" t="str">
        <f>IFERROR(__xludf.DUMMYFUNCTION("""COMPUTED_VALUE"""),"-")</f>
        <v>-</v>
      </c>
      <c r="K38" s="15" t="str">
        <f>IFERROR(__xludf.DUMMYFUNCTION("""COMPUTED_VALUE"""),"-")</f>
        <v>-</v>
      </c>
      <c r="L38" s="15" t="str">
        <f>IFERROR(__xludf.DUMMYFUNCTION("""COMPUTED_VALUE"""),"Normal")</f>
        <v>Normal</v>
      </c>
      <c r="M38" s="18" t="s">
        <v>32</v>
      </c>
      <c r="N38" s="18" t="s">
        <v>28</v>
      </c>
    </row>
    <row r="39" hidden="1">
      <c r="A39" s="15" t="str">
        <f>IFERROR(__xludf.DUMMYFUNCTION("""COMPUTED_VALUE"""),"RIABR0002")</f>
        <v>RIABR0002</v>
      </c>
      <c r="B39" s="16">
        <f>IFERROR(__xludf.DUMMYFUNCTION("""COMPUTED_VALUE"""),45688.275967395835)</f>
        <v>45688.27597</v>
      </c>
      <c r="C39" s="17">
        <f>IFERROR(__xludf.DUMMYFUNCTION("""COMPUTED_VALUE"""),45688.941593703705)</f>
        <v>45688.94159</v>
      </c>
      <c r="D39" s="15" t="str">
        <f>IFERROR(__xludf.DUMMYFUNCTION("""COMPUTED_VALUE"""),"AHU B12")</f>
        <v>AHU B12</v>
      </c>
      <c r="E39" s="15" t="str">
        <f>IFERROR(__xludf.DUMMYFUNCTION("""COMPUTED_VALUE"""),"EJO/2025/01/40")</f>
        <v>EJO/2025/01/40</v>
      </c>
      <c r="F39" s="15" t="str">
        <f>IFERROR(__xludf.DUMMYFUNCTION("""COMPUTED_VALUE"""),"Regin Heater")</f>
        <v>Regin Heater</v>
      </c>
      <c r="G39" s="15">
        <f>IFERROR(__xludf.DUMMYFUNCTION("""COMPUTED_VALUE"""),1.0)</f>
        <v>1</v>
      </c>
      <c r="H39" s="15" t="str">
        <f>IFERROR(__xludf.DUMMYFUNCTION("""COMPUTED_VALUE"""),"Pcs")</f>
        <v>Pcs</v>
      </c>
      <c r="I39" s="15" t="str">
        <f>IFERROR(__xludf.DUMMYFUNCTION("""COMPUTED_VALUE"""),"Deliver")</f>
        <v>Deliver</v>
      </c>
      <c r="J39" s="15" t="str">
        <f>IFERROR(__xludf.DUMMYFUNCTION("""COMPUTED_VALUE"""),"-")</f>
        <v>-</v>
      </c>
      <c r="K39" s="15" t="str">
        <f>IFERROR(__xludf.DUMMYFUNCTION("""COMPUTED_VALUE"""),"-")</f>
        <v>-</v>
      </c>
      <c r="L39" s="15" t="str">
        <f>IFERROR(__xludf.DUMMYFUNCTION("""COMPUTED_VALUE"""),"Normal")</f>
        <v>Normal</v>
      </c>
      <c r="M39" s="18" t="s">
        <v>32</v>
      </c>
      <c r="N39" s="18" t="s">
        <v>28</v>
      </c>
    </row>
    <row r="40" hidden="1">
      <c r="A40" s="15" t="str">
        <f>IFERROR(__xludf.DUMMYFUNCTION("""COMPUTED_VALUE"""),"RIABR0003")</f>
        <v>RIABR0003</v>
      </c>
      <c r="B40" s="16">
        <f>IFERROR(__xludf.DUMMYFUNCTION("""COMPUTED_VALUE"""),45688.27733950232)</f>
        <v>45688.27734</v>
      </c>
      <c r="C40" s="17">
        <f>IFERROR(__xludf.DUMMYFUNCTION("""COMPUTED_VALUE"""),45688.94283193287)</f>
        <v>45688.94283</v>
      </c>
      <c r="D40" s="15" t="str">
        <f>IFERROR(__xludf.DUMMYFUNCTION("""COMPUTED_VALUE"""),"F32")</f>
        <v>F32</v>
      </c>
      <c r="E40" s="15" t="str">
        <f>IFERROR(__xludf.DUMMYFUNCTION("""COMPUTED_VALUE"""),"EJO/2025/01/69")</f>
        <v>EJO/2025/01/69</v>
      </c>
      <c r="F40" s="15" t="str">
        <f>IFERROR(__xludf.DUMMYFUNCTION("""COMPUTED_VALUE"""),"LCD Inverter")</f>
        <v>LCD Inverter</v>
      </c>
      <c r="G40" s="15">
        <f>IFERROR(__xludf.DUMMYFUNCTION("""COMPUTED_VALUE"""),1.0)</f>
        <v>1</v>
      </c>
      <c r="H40" s="15" t="str">
        <f>IFERROR(__xludf.DUMMYFUNCTION("""COMPUTED_VALUE"""),"Pcs")</f>
        <v>Pcs</v>
      </c>
      <c r="I40" s="15" t="str">
        <f>IFERROR(__xludf.DUMMYFUNCTION("""COMPUTED_VALUE"""),"Deliver")</f>
        <v>Deliver</v>
      </c>
      <c r="J40" s="15" t="str">
        <f>IFERROR(__xludf.DUMMYFUNCTION("""COMPUTED_VALUE"""),"-")</f>
        <v>-</v>
      </c>
      <c r="K40" s="15" t="str">
        <f>IFERROR(__xludf.DUMMYFUNCTION("""COMPUTED_VALUE"""),"-")</f>
        <v>-</v>
      </c>
      <c r="L40" s="15" t="str">
        <f>IFERROR(__xludf.DUMMYFUNCTION("""COMPUTED_VALUE"""),"Normal")</f>
        <v>Normal</v>
      </c>
      <c r="M40" s="18" t="s">
        <v>32</v>
      </c>
      <c r="N40" s="18" t="s">
        <v>28</v>
      </c>
    </row>
    <row r="41" hidden="1">
      <c r="A41" s="15" t="str">
        <f>IFERROR(__xludf.DUMMYFUNCTION("""COMPUTED_VALUE"""),"RIABR0004")</f>
        <v>RIABR0004</v>
      </c>
      <c r="B41" s="16">
        <f>IFERROR(__xludf.DUMMYFUNCTION("""COMPUTED_VALUE"""),45688.2850531713)</f>
        <v>45688.28505</v>
      </c>
      <c r="C41" s="17">
        <f>IFERROR(__xludf.DUMMYFUNCTION("""COMPUTED_VALUE"""),45688.94334115741)</f>
        <v>45688.94334</v>
      </c>
      <c r="D41" s="15" t="str">
        <f>IFERROR(__xludf.DUMMYFUNCTION("""COMPUTED_VALUE"""),"Produksi")</f>
        <v>Produksi</v>
      </c>
      <c r="E41" s="15" t="str">
        <f>IFERROR(__xludf.DUMMYFUNCTION("""COMPUTED_VALUE"""),"EJO/2024/08/49")</f>
        <v>EJO/2024/08/49</v>
      </c>
      <c r="F41" s="15" t="str">
        <f>IFERROR(__xludf.DUMMYFUNCTION("""COMPUTED_VALUE"""),"Baterai Lampu Emergency")</f>
        <v>Baterai Lampu Emergency</v>
      </c>
      <c r="G41" s="15">
        <f>IFERROR(__xludf.DUMMYFUNCTION("""COMPUTED_VALUE"""),10.0)</f>
        <v>10</v>
      </c>
      <c r="H41" s="15" t="str">
        <f>IFERROR(__xludf.DUMMYFUNCTION("""COMPUTED_VALUE"""),"Pcs")</f>
        <v>Pcs</v>
      </c>
      <c r="I41" s="15" t="str">
        <f>IFERROR(__xludf.DUMMYFUNCTION("""COMPUTED_VALUE"""),"Deliver")</f>
        <v>Deliver</v>
      </c>
      <c r="J41" s="15" t="str">
        <f>IFERROR(__xludf.DUMMYFUNCTION("""COMPUTED_VALUE"""),"-")</f>
        <v>-</v>
      </c>
      <c r="K41" s="15" t="str">
        <f>IFERROR(__xludf.DUMMYFUNCTION("""COMPUTED_VALUE"""),"-")</f>
        <v>-</v>
      </c>
      <c r="L41" s="15" t="str">
        <f>IFERROR(__xludf.DUMMYFUNCTION("""COMPUTED_VALUE"""),"Normal")</f>
        <v>Normal</v>
      </c>
      <c r="M41" s="18" t="s">
        <v>32</v>
      </c>
      <c r="N41" s="18" t="s">
        <v>28</v>
      </c>
    </row>
    <row r="42" hidden="1">
      <c r="A42" s="15" t="str">
        <f>IFERROR(__xludf.DUMMYFUNCTION("""COMPUTED_VALUE"""),"RIABR0005")</f>
        <v>RIABR0005</v>
      </c>
      <c r="B42" s="16">
        <f>IFERROR(__xludf.DUMMYFUNCTION("""COMPUTED_VALUE"""),45688.2909409375)</f>
        <v>45688.29094</v>
      </c>
      <c r="C42" s="17">
        <f>IFERROR(__xludf.DUMMYFUNCTION("""COMPUTED_VALUE"""),45688.94393872686)</f>
        <v>45688.94394</v>
      </c>
      <c r="D42" s="15" t="str">
        <f>IFERROR(__xludf.DUMMYFUNCTION("""COMPUTED_VALUE"""),"HO")</f>
        <v>HO</v>
      </c>
      <c r="E42" s="15" t="str">
        <f>IFERROR(__xludf.DUMMYFUNCTION("""COMPUTED_VALUE"""),"EJO/2024/12/09")</f>
        <v>EJO/2024/12/09</v>
      </c>
      <c r="F42" s="15" t="str">
        <f>IFERROR(__xludf.DUMMYFUNCTION("""COMPUTED_VALUE"""),"Baterai Lampu Emergency")</f>
        <v>Baterai Lampu Emergency</v>
      </c>
      <c r="G42" s="15">
        <f>IFERROR(__xludf.DUMMYFUNCTION("""COMPUTED_VALUE"""),5.0)</f>
        <v>5</v>
      </c>
      <c r="H42" s="15" t="str">
        <f>IFERROR(__xludf.DUMMYFUNCTION("""COMPUTED_VALUE"""),"Pcs")</f>
        <v>Pcs</v>
      </c>
      <c r="I42" s="15" t="str">
        <f>IFERROR(__xludf.DUMMYFUNCTION("""COMPUTED_VALUE"""),"Deliver")</f>
        <v>Deliver</v>
      </c>
      <c r="J42" s="15" t="str">
        <f>IFERROR(__xludf.DUMMYFUNCTION("""COMPUTED_VALUE"""),"-")</f>
        <v>-</v>
      </c>
      <c r="K42" s="15" t="str">
        <f>IFERROR(__xludf.DUMMYFUNCTION("""COMPUTED_VALUE"""),"-")</f>
        <v>-</v>
      </c>
      <c r="L42" s="15" t="str">
        <f>IFERROR(__xludf.DUMMYFUNCTION("""COMPUTED_VALUE"""),"Normal")</f>
        <v>Normal</v>
      </c>
      <c r="M42" s="18" t="s">
        <v>32</v>
      </c>
      <c r="N42" s="18" t="s">
        <v>28</v>
      </c>
    </row>
    <row r="43" hidden="1">
      <c r="A43" s="15" t="str">
        <f>IFERROR(__xludf.DUMMYFUNCTION("""COMPUTED_VALUE"""),"RIABR0006")</f>
        <v>RIABR0006</v>
      </c>
      <c r="B43" s="16">
        <f>IFERROR(__xludf.DUMMYFUNCTION("""COMPUTED_VALUE"""),45688.29599300926)</f>
        <v>45688.29599</v>
      </c>
      <c r="C43" s="17">
        <f>IFERROR(__xludf.DUMMYFUNCTION("""COMPUTED_VALUE"""),45688.944468553236)</f>
        <v>45688.94447</v>
      </c>
      <c r="D43" s="15" t="str">
        <f>IFERROR(__xludf.DUMMYFUNCTION("""COMPUTED_VALUE"""),"Tangga HO")</f>
        <v>Tangga HO</v>
      </c>
      <c r="E43" s="15" t="str">
        <f>IFERROR(__xludf.DUMMYFUNCTION("""COMPUTED_VALUE"""),"EJO/2024/12/09")</f>
        <v>EJO/2024/12/09</v>
      </c>
      <c r="F43" s="15" t="str">
        <f>IFERROR(__xludf.DUMMYFUNCTION("""COMPUTED_VALUE"""),"Lampu Emergency")</f>
        <v>Lampu Emergency</v>
      </c>
      <c r="G43" s="15">
        <f>IFERROR(__xludf.DUMMYFUNCTION("""COMPUTED_VALUE"""),5.0)</f>
        <v>5</v>
      </c>
      <c r="H43" s="15" t="str">
        <f>IFERROR(__xludf.DUMMYFUNCTION("""COMPUTED_VALUE"""),"Pcs")</f>
        <v>Pcs</v>
      </c>
      <c r="I43" s="15" t="str">
        <f>IFERROR(__xludf.DUMMYFUNCTION("""COMPUTED_VALUE"""),"Deliver")</f>
        <v>Deliver</v>
      </c>
      <c r="J43" s="15" t="str">
        <f>IFERROR(__xludf.DUMMYFUNCTION("""COMPUTED_VALUE"""),"-")</f>
        <v>-</v>
      </c>
      <c r="K43" s="15" t="str">
        <f>IFERROR(__xludf.DUMMYFUNCTION("""COMPUTED_VALUE"""),"-")</f>
        <v>-</v>
      </c>
      <c r="L43" s="15" t="str">
        <f>IFERROR(__xludf.DUMMYFUNCTION("""COMPUTED_VALUE"""),"Normal")</f>
        <v>Normal</v>
      </c>
      <c r="M43" s="18" t="s">
        <v>32</v>
      </c>
      <c r="N43" s="18" t="s">
        <v>28</v>
      </c>
    </row>
    <row r="44" hidden="1">
      <c r="A44" s="15" t="str">
        <f>IFERROR(__xludf.DUMMYFUNCTION("""COMPUTED_VALUE"""),"MOBRO0017")</f>
        <v>MOBRO0017</v>
      </c>
      <c r="B44" s="16">
        <f>IFERROR(__xludf.DUMMYFUNCTION("""COMPUTED_VALUE"""),45691.57719454861)</f>
        <v>45691.57719</v>
      </c>
      <c r="C44" s="17">
        <f>IFERROR(__xludf.DUMMYFUNCTION("""COMPUTED_VALUE"""),45692.389934363426)</f>
        <v>45692.38993</v>
      </c>
      <c r="D44" s="15" t="str">
        <f>IFERROR(__xludf.DUMMYFUNCTION("""COMPUTED_VALUE"""),"AHU F3-6")</f>
        <v>AHU F3-6</v>
      </c>
      <c r="E44" s="15" t="str">
        <f>IFERROR(__xludf.DUMMYFUNCTION("""COMPUTED_VALUE"""),"EJO/2025/01/50")</f>
        <v>EJO/2025/01/50</v>
      </c>
      <c r="F44" s="15" t="str">
        <f>IFERROR(__xludf.DUMMYFUNCTION("""COMPUTED_VALUE"""),"HVAC - Pressure Flow Control MF PFC Ver.3 24 VAC/VDC 0 - 100 Pa Micatrone; ; ;")</f>
        <v>HVAC - Pressure Flow Control MF PFC Ver.3 24 VAC/VDC 0 - 100 Pa Micatrone; ; ;</v>
      </c>
      <c r="G44" s="15">
        <f>IFERROR(__xludf.DUMMYFUNCTION("""COMPUTED_VALUE"""),2.0)</f>
        <v>2</v>
      </c>
      <c r="H44" s="15" t="str">
        <f>IFERROR(__xludf.DUMMYFUNCTION("""COMPUTED_VALUE"""),"Pcs")</f>
        <v>Pcs</v>
      </c>
      <c r="I44" s="15" t="str">
        <f>IFERROR(__xludf.DUMMYFUNCTION("""COMPUTED_VALUE"""),"Deliver")</f>
        <v>Deliver</v>
      </c>
      <c r="J44" s="15" t="str">
        <f>IFERROR(__xludf.DUMMYFUNCTION("""COMPUTED_VALUE"""),"-")</f>
        <v>-</v>
      </c>
      <c r="K44" s="15" t="str">
        <f>IFERROR(__xludf.DUMMYFUNCTION("""COMPUTED_VALUE"""),"-")</f>
        <v>-</v>
      </c>
      <c r="L44" s="15" t="str">
        <f>IFERROR(__xludf.DUMMYFUNCTION("""COMPUTED_VALUE"""),"Normal")</f>
        <v>Normal</v>
      </c>
      <c r="M44" s="18" t="s">
        <v>31</v>
      </c>
      <c r="N44" s="18" t="s">
        <v>28</v>
      </c>
    </row>
    <row r="45" hidden="1">
      <c r="A45" s="15" t="str">
        <f>IFERROR(__xludf.DUMMYFUNCTION("""COMPUTED_VALUE"""),"MOBRO0020")</f>
        <v>MOBRO0020</v>
      </c>
      <c r="B45" s="16">
        <f>IFERROR(__xludf.DUMMYFUNCTION("""COMPUTED_VALUE"""),45691.67420321759)</f>
        <v>45691.6742</v>
      </c>
      <c r="C45" s="17">
        <f>IFERROR(__xludf.DUMMYFUNCTION("""COMPUTED_VALUE"""),45692.396353171294)</f>
        <v>45692.39635</v>
      </c>
      <c r="D45" s="15" t="str">
        <f>IFERROR(__xludf.DUMMYFUNCTION("""COMPUTED_VALUE"""),"Plumbing")</f>
        <v>Plumbing</v>
      </c>
      <c r="E45" s="15" t="str">
        <f>IFERROR(__xludf.DUMMYFUNCTION("""COMPUTED_VALUE"""),"-")</f>
        <v>-</v>
      </c>
      <c r="F45" s="15" t="str">
        <f>IFERROR(__xludf.DUMMYFUNCTION("""COMPUTED_VALUE"""),"RUCIKA - Pipa PVC AW dia 1 inch Warna Abu-Abu")</f>
        <v>RUCIKA - Pipa PVC AW dia 1 inch Warna Abu-Abu</v>
      </c>
      <c r="G45" s="15">
        <f>IFERROR(__xludf.DUMMYFUNCTION("""COMPUTED_VALUE"""),5.0)</f>
        <v>5</v>
      </c>
      <c r="H45" s="15" t="str">
        <f>IFERROR(__xludf.DUMMYFUNCTION("""COMPUTED_VALUE"""),"Pcs")</f>
        <v>Pcs</v>
      </c>
      <c r="I45" s="15" t="str">
        <f>IFERROR(__xludf.DUMMYFUNCTION("""COMPUTED_VALUE"""),"Deliver")</f>
        <v>Deliver</v>
      </c>
      <c r="J45" s="15" t="str">
        <f>IFERROR(__xludf.DUMMYFUNCTION("""COMPUTED_VALUE"""),"-")</f>
        <v>-</v>
      </c>
      <c r="K45" s="15" t="str">
        <f>IFERROR(__xludf.DUMMYFUNCTION("""COMPUTED_VALUE"""),"-")</f>
        <v>-</v>
      </c>
      <c r="L45" s="15" t="str">
        <f>IFERROR(__xludf.DUMMYFUNCTION("""COMPUTED_VALUE"""),"Normal")</f>
        <v>Normal</v>
      </c>
      <c r="M45" s="18" t="s">
        <v>31</v>
      </c>
      <c r="N45" s="18" t="s">
        <v>28</v>
      </c>
    </row>
    <row r="46" hidden="1">
      <c r="A46" s="15" t="str">
        <f>IFERROR(__xludf.DUMMYFUNCTION("""COMPUTED_VALUE"""),"MOBRO0021")</f>
        <v>MOBRO0021</v>
      </c>
      <c r="B46" s="16">
        <f>IFERROR(__xludf.DUMMYFUNCTION("""COMPUTED_VALUE"""),45691.6794790625)</f>
        <v>45691.67948</v>
      </c>
      <c r="C46" s="17">
        <f>IFERROR(__xludf.DUMMYFUNCTION("""COMPUTED_VALUE"""),45692.3967227199)</f>
        <v>45692.39672</v>
      </c>
      <c r="D46" s="15" t="str">
        <f>IFERROR(__xludf.DUMMYFUNCTION("""COMPUTED_VALUE"""),"Plumbing")</f>
        <v>Plumbing</v>
      </c>
      <c r="E46" s="15" t="str">
        <f>IFERROR(__xludf.DUMMYFUNCTION("""COMPUTED_VALUE"""),"-")</f>
        <v>-</v>
      </c>
      <c r="F46" s="15" t="str">
        <f>IFERROR(__xludf.DUMMYFUNCTION("""COMPUTED_VALUE"""),"RUCIKA - Pipa PVC aw dia 1/2 inch Warna Abu-Abu")</f>
        <v>RUCIKA - Pipa PVC aw dia 1/2 inch Warna Abu-Abu</v>
      </c>
      <c r="G46" s="15">
        <f>IFERROR(__xludf.DUMMYFUNCTION("""COMPUTED_VALUE"""),5.0)</f>
        <v>5</v>
      </c>
      <c r="H46" s="15" t="str">
        <f>IFERROR(__xludf.DUMMYFUNCTION("""COMPUTED_VALUE"""),"Pcs")</f>
        <v>Pcs</v>
      </c>
      <c r="I46" s="15" t="str">
        <f>IFERROR(__xludf.DUMMYFUNCTION("""COMPUTED_VALUE"""),"Deliver")</f>
        <v>Deliver</v>
      </c>
      <c r="J46" s="15" t="str">
        <f>IFERROR(__xludf.DUMMYFUNCTION("""COMPUTED_VALUE"""),"-")</f>
        <v>-</v>
      </c>
      <c r="K46" s="15" t="str">
        <f>IFERROR(__xludf.DUMMYFUNCTION("""COMPUTED_VALUE"""),"-")</f>
        <v>-</v>
      </c>
      <c r="L46" s="15" t="str">
        <f>IFERROR(__xludf.DUMMYFUNCTION("""COMPUTED_VALUE"""),"Normal")</f>
        <v>Normal</v>
      </c>
      <c r="M46" s="18" t="s">
        <v>31</v>
      </c>
      <c r="N46" s="18" t="s">
        <v>28</v>
      </c>
    </row>
    <row r="47" hidden="1">
      <c r="A47" s="15" t="str">
        <f>IFERROR(__xludf.DUMMYFUNCTION("""COMPUTED_VALUE"""),"MOBRO0022")</f>
        <v>MOBRO0022</v>
      </c>
      <c r="B47" s="16">
        <f>IFERROR(__xludf.DUMMYFUNCTION("""COMPUTED_VALUE"""),45691.67974535879)</f>
        <v>45691.67975</v>
      </c>
      <c r="C47" s="17">
        <f>IFERROR(__xludf.DUMMYFUNCTION("""COMPUTED_VALUE"""),45692.397083854165)</f>
        <v>45692.39708</v>
      </c>
      <c r="D47" s="15" t="str">
        <f>IFERROR(__xludf.DUMMYFUNCTION("""COMPUTED_VALUE"""),"Plumbing")</f>
        <v>Plumbing</v>
      </c>
      <c r="E47" s="15" t="str">
        <f>IFERROR(__xludf.DUMMYFUNCTION("""COMPUTED_VALUE"""),"-")</f>
        <v>-</v>
      </c>
      <c r="F47" s="15" t="str">
        <f>IFERROR(__xludf.DUMMYFUNCTION("""COMPUTED_VALUE"""),"RUCIKA - Pipa PVC AW dia 3/4inch")</f>
        <v>RUCIKA - Pipa PVC AW dia 3/4inch</v>
      </c>
      <c r="G47" s="15">
        <f>IFERROR(__xludf.DUMMYFUNCTION("""COMPUTED_VALUE"""),5.0)</f>
        <v>5</v>
      </c>
      <c r="H47" s="15" t="str">
        <f>IFERROR(__xludf.DUMMYFUNCTION("""COMPUTED_VALUE"""),"Pcs")</f>
        <v>Pcs</v>
      </c>
      <c r="I47" s="15" t="str">
        <f>IFERROR(__xludf.DUMMYFUNCTION("""COMPUTED_VALUE"""),"Deliver")</f>
        <v>Deliver</v>
      </c>
      <c r="J47" s="15" t="str">
        <f>IFERROR(__xludf.DUMMYFUNCTION("""COMPUTED_VALUE"""),"-")</f>
        <v>-</v>
      </c>
      <c r="K47" s="15" t="str">
        <f>IFERROR(__xludf.DUMMYFUNCTION("""COMPUTED_VALUE"""),"-")</f>
        <v>-</v>
      </c>
      <c r="L47" s="15" t="str">
        <f>IFERROR(__xludf.DUMMYFUNCTION("""COMPUTED_VALUE"""),"Normal")</f>
        <v>Normal</v>
      </c>
      <c r="M47" s="18" t="s">
        <v>31</v>
      </c>
      <c r="N47" s="18" t="s">
        <v>28</v>
      </c>
    </row>
    <row r="48" hidden="1">
      <c r="A48" s="15" t="str">
        <f>IFERROR(__xludf.DUMMYFUNCTION("""COMPUTED_VALUE"""),"MOBBR0013")</f>
        <v>MOBBR0013</v>
      </c>
      <c r="B48" s="16">
        <f>IFERROR(__xludf.DUMMYFUNCTION("""COMPUTED_VALUE"""),45691.60329695602)</f>
        <v>45691.6033</v>
      </c>
      <c r="C48" s="17">
        <f>IFERROR(__xludf.DUMMYFUNCTION("""COMPUTED_VALUE"""),45692.39737899305)</f>
        <v>45692.39738</v>
      </c>
      <c r="D48" s="15" t="str">
        <f>IFERROR(__xludf.DUMMYFUNCTION("""COMPUTED_VALUE"""),"WFI SKID")</f>
        <v>WFI SKID</v>
      </c>
      <c r="E48" s="15" t="str">
        <f>IFERROR(__xludf.DUMMYFUNCTION("""COMPUTED_VALUE"""),"EJO/2025/01/11")</f>
        <v>EJO/2025/01/11</v>
      </c>
      <c r="F48" s="15" t="str">
        <f>IFERROR(__xludf.DUMMYFUNCTION("""COMPUTED_VALUE"""),"PG Spirax Sarco")</f>
        <v>PG Spirax Sarco</v>
      </c>
      <c r="G48" s="15">
        <f>IFERROR(__xludf.DUMMYFUNCTION("""COMPUTED_VALUE"""),2.0)</f>
        <v>2</v>
      </c>
      <c r="H48" s="15" t="str">
        <f>IFERROR(__xludf.DUMMYFUNCTION("""COMPUTED_VALUE"""),"Pcs")</f>
        <v>Pcs</v>
      </c>
      <c r="I48" s="15" t="str">
        <f>IFERROR(__xludf.DUMMYFUNCTION("""COMPUTED_VALUE"""),"Deliver")</f>
        <v>Deliver</v>
      </c>
      <c r="J48" s="15" t="str">
        <f>IFERROR(__xludf.DUMMYFUNCTION("""COMPUTED_VALUE"""),"-")</f>
        <v>-</v>
      </c>
      <c r="K48" s="15" t="str">
        <f>IFERROR(__xludf.DUMMYFUNCTION("""COMPUTED_VALUE"""),"-")</f>
        <v>-</v>
      </c>
      <c r="L48" s="15" t="str">
        <f>IFERROR(__xludf.DUMMYFUNCTION("""COMPUTED_VALUE"""),"Normal")</f>
        <v>Normal</v>
      </c>
      <c r="M48" s="18" t="s">
        <v>31</v>
      </c>
      <c r="N48" s="18" t="s">
        <v>28</v>
      </c>
    </row>
    <row r="49" hidden="1">
      <c r="A49" s="15" t="str">
        <f>IFERROR(__xludf.DUMMYFUNCTION("""COMPUTED_VALUE"""),"MOBBR0015")</f>
        <v>MOBBR0015</v>
      </c>
      <c r="B49" s="16">
        <f>IFERROR(__xludf.DUMMYFUNCTION("""COMPUTED_VALUE"""),45691.63591788194)</f>
        <v>45691.63592</v>
      </c>
      <c r="C49" s="17">
        <f>IFERROR(__xludf.DUMMYFUNCTION("""COMPUTED_VALUE"""),45692.398586180556)</f>
        <v>45692.39859</v>
      </c>
      <c r="D49" s="15" t="str">
        <f>IFERROR(__xludf.DUMMYFUNCTION("""COMPUTED_VALUE"""),"N2 Generator")</f>
        <v>N2 Generator</v>
      </c>
      <c r="E49" s="15" t="str">
        <f>IFERROR(__xludf.DUMMYFUNCTION("""COMPUTED_VALUE"""),"EJO/2024/12/161")</f>
        <v>EJO/2024/12/161</v>
      </c>
      <c r="F49" s="15" t="str">
        <f>IFERROR(__xludf.DUMMYFUNCTION("""COMPUTED_VALUE"""),"Elbow Male Connection")</f>
        <v>Elbow Male Connection</v>
      </c>
      <c r="G49" s="15">
        <f>IFERROR(__xludf.DUMMYFUNCTION("""COMPUTED_VALUE"""),6.0)</f>
        <v>6</v>
      </c>
      <c r="H49" s="15" t="str">
        <f>IFERROR(__xludf.DUMMYFUNCTION("""COMPUTED_VALUE"""),"Pcs")</f>
        <v>Pcs</v>
      </c>
      <c r="I49" s="15" t="str">
        <f>IFERROR(__xludf.DUMMYFUNCTION("""COMPUTED_VALUE"""),"Deliver")</f>
        <v>Deliver</v>
      </c>
      <c r="J49" s="15" t="str">
        <f>IFERROR(__xludf.DUMMYFUNCTION("""COMPUTED_VALUE"""),"-")</f>
        <v>-</v>
      </c>
      <c r="K49" s="15" t="str">
        <f>IFERROR(__xludf.DUMMYFUNCTION("""COMPUTED_VALUE"""),"-")</f>
        <v>-</v>
      </c>
      <c r="L49" s="15" t="str">
        <f>IFERROR(__xludf.DUMMYFUNCTION("""COMPUTED_VALUE"""),"Normal")</f>
        <v>Normal</v>
      </c>
      <c r="M49" s="18" t="s">
        <v>31</v>
      </c>
      <c r="N49" s="18" t="s">
        <v>28</v>
      </c>
    </row>
    <row r="50" hidden="1">
      <c r="A50" s="15" t="str">
        <f>IFERROR(__xludf.DUMMYFUNCTION("""COMPUTED_VALUE"""),"MOBBR0014")</f>
        <v>MOBBR0014</v>
      </c>
      <c r="B50" s="16">
        <f>IFERROR(__xludf.DUMMYFUNCTION("""COMPUTED_VALUE"""),45691.621258287036)</f>
        <v>45691.62126</v>
      </c>
      <c r="C50" s="17">
        <f>IFERROR(__xludf.DUMMYFUNCTION("""COMPUTED_VALUE"""),45692.39880653936)</f>
        <v>45692.39881</v>
      </c>
      <c r="D50" s="15" t="str">
        <f>IFERROR(__xludf.DUMMYFUNCTION("""COMPUTED_VALUE"""),"N2 Generator")</f>
        <v>N2 Generator</v>
      </c>
      <c r="E50" s="15" t="str">
        <f>IFERROR(__xludf.DUMMYFUNCTION("""COMPUTED_VALUE"""),"EJO/2024/12/161")</f>
        <v>EJO/2024/12/161</v>
      </c>
      <c r="F50" s="15" t="str">
        <f>IFERROR(__xludf.DUMMYFUNCTION("""COMPUTED_VALUE"""),"Male Connection")</f>
        <v>Male Connection</v>
      </c>
      <c r="G50" s="15">
        <f>IFERROR(__xludf.DUMMYFUNCTION("""COMPUTED_VALUE"""),6.0)</f>
        <v>6</v>
      </c>
      <c r="H50" s="15" t="str">
        <f>IFERROR(__xludf.DUMMYFUNCTION("""COMPUTED_VALUE"""),"Pcs")</f>
        <v>Pcs</v>
      </c>
      <c r="I50" s="15" t="str">
        <f>IFERROR(__xludf.DUMMYFUNCTION("""COMPUTED_VALUE"""),"Deliver")</f>
        <v>Deliver</v>
      </c>
      <c r="J50" s="15" t="str">
        <f>IFERROR(__xludf.DUMMYFUNCTION("""COMPUTED_VALUE"""),"-")</f>
        <v>-</v>
      </c>
      <c r="K50" s="15" t="str">
        <f>IFERROR(__xludf.DUMMYFUNCTION("""COMPUTED_VALUE"""),"-")</f>
        <v>-</v>
      </c>
      <c r="L50" s="15" t="str">
        <f>IFERROR(__xludf.DUMMYFUNCTION("""COMPUTED_VALUE"""),"Normal")</f>
        <v>Normal</v>
      </c>
      <c r="M50" s="18" t="s">
        <v>31</v>
      </c>
      <c r="N50" s="18" t="s">
        <v>28</v>
      </c>
    </row>
    <row r="51" hidden="1">
      <c r="A51" s="15" t="str">
        <f>IFERROR(__xludf.DUMMYFUNCTION("""COMPUTED_VALUE"""),"RIABR0007")</f>
        <v>RIABR0007</v>
      </c>
      <c r="B51" s="16">
        <f>IFERROR(__xludf.DUMMYFUNCTION("""COMPUTED_VALUE"""),45691.657104432874)</f>
        <v>45691.6571</v>
      </c>
      <c r="C51" s="17">
        <f>IFERROR(__xludf.DUMMYFUNCTION("""COMPUTED_VALUE"""),45692.42265736111)</f>
        <v>45692.42266</v>
      </c>
      <c r="D51" s="15" t="str">
        <f>IFERROR(__xludf.DUMMYFUNCTION("""COMPUTED_VALUE"""),"Cooling Water")</f>
        <v>Cooling Water</v>
      </c>
      <c r="E51" s="15" t="str">
        <f>IFERROR(__xludf.DUMMYFUNCTION("""COMPUTED_VALUE"""),"EJO/2024/12/138")</f>
        <v>EJO/2024/12/138</v>
      </c>
      <c r="F51" s="15" t="str">
        <f>IFERROR(__xludf.DUMMYFUNCTION("""COMPUTED_VALUE"""),"Solenoid Valve")</f>
        <v>Solenoid Valve</v>
      </c>
      <c r="G51" s="15">
        <f>IFERROR(__xludf.DUMMYFUNCTION("""COMPUTED_VALUE"""),3.0)</f>
        <v>3</v>
      </c>
      <c r="H51" s="15" t="str">
        <f>IFERROR(__xludf.DUMMYFUNCTION("""COMPUTED_VALUE"""),"Pcs")</f>
        <v>Pcs</v>
      </c>
      <c r="I51" s="15" t="str">
        <f>IFERROR(__xludf.DUMMYFUNCTION("""COMPUTED_VALUE"""),"Deliver")</f>
        <v>Deliver</v>
      </c>
      <c r="J51" s="15" t="str">
        <f>IFERROR(__xludf.DUMMYFUNCTION("""COMPUTED_VALUE"""),"-")</f>
        <v>-</v>
      </c>
      <c r="K51" s="15" t="str">
        <f>IFERROR(__xludf.DUMMYFUNCTION("""COMPUTED_VALUE"""),"-")</f>
        <v>-</v>
      </c>
      <c r="L51" s="15" t="str">
        <f>IFERROR(__xludf.DUMMYFUNCTION("""COMPUTED_VALUE"""),"Normal")</f>
        <v>Normal</v>
      </c>
      <c r="M51" s="18" t="s">
        <v>32</v>
      </c>
      <c r="N51" s="18" t="s">
        <v>28</v>
      </c>
    </row>
    <row r="52" hidden="1">
      <c r="A52" s="15" t="str">
        <f>IFERROR(__xludf.DUMMYFUNCTION("""COMPUTED_VALUE"""),"AAAJA0001")</f>
        <v>AAAJA0001</v>
      </c>
      <c r="B52" s="16">
        <f>IFERROR(__xludf.DUMMYFUNCTION("""COMPUTED_VALUE"""),46256.06071520833)</f>
        <v>46256.06072</v>
      </c>
      <c r="C52" s="17">
        <f>IFERROR(__xludf.DUMMYFUNCTION("""COMPUTED_VALUE"""),45692.57178984954)</f>
        <v>45692.57179</v>
      </c>
      <c r="D52" s="15" t="str">
        <f>IFERROR(__xludf.DUMMYFUNCTION("""COMPUTED_VALUE"""),"Cytotoxic Cabinet bio test micro lab")</f>
        <v>Cytotoxic Cabinet bio test micro lab</v>
      </c>
      <c r="E52" s="15" t="str">
        <f>IFERROR(__xludf.DUMMYFUNCTION("""COMPUTED_VALUE"""),"EJO/2025/01/138")</f>
        <v>EJO/2025/01/138</v>
      </c>
      <c r="F52" s="15" t="str">
        <f>IFERROR(__xludf.DUMMYFUNCTION("""COMPUTED_VALUE"""),"Pembelian HEPA Filter dan jasa pemasangan")</f>
        <v>Pembelian HEPA Filter dan jasa pemasangan</v>
      </c>
      <c r="G52" s="15">
        <f>IFERROR(__xludf.DUMMYFUNCTION("""COMPUTED_VALUE"""),6.0)</f>
        <v>6</v>
      </c>
      <c r="H52" s="15" t="str">
        <f>IFERROR(__xludf.DUMMYFUNCTION("""COMPUTED_VALUE"""),"Pcs")</f>
        <v>Pcs</v>
      </c>
      <c r="I52" s="15" t="str">
        <f>IFERROR(__xludf.DUMMYFUNCTION("""COMPUTED_VALUE"""),"Deliver")</f>
        <v>Deliver</v>
      </c>
      <c r="J52" s="15" t="str">
        <f>IFERROR(__xludf.DUMMYFUNCTION("""COMPUTED_VALUE"""),"-")</f>
        <v>-</v>
      </c>
      <c r="K52" s="15" t="str">
        <f>IFERROR(__xludf.DUMMYFUNCTION("""COMPUTED_VALUE"""),"-")</f>
        <v>-</v>
      </c>
      <c r="L52" s="15" t="str">
        <f>IFERROR(__xludf.DUMMYFUNCTION("""COMPUTED_VALUE"""),"Normal")</f>
        <v>Normal</v>
      </c>
      <c r="M52" s="18" t="s">
        <v>47</v>
      </c>
      <c r="N52" s="18" t="s">
        <v>30</v>
      </c>
    </row>
    <row r="53" hidden="1">
      <c r="A53" s="15" t="str">
        <f>IFERROR(__xludf.DUMMYFUNCTION("""COMPUTED_VALUE"""),"AAAJA0002")</f>
        <v>AAAJA0002</v>
      </c>
      <c r="B53" s="16">
        <f>IFERROR(__xludf.DUMMYFUNCTION("""COMPUTED_VALUE"""),46256.06071520833)</f>
        <v>46256.06072</v>
      </c>
      <c r="C53" s="17">
        <f>IFERROR(__xludf.DUMMYFUNCTION("""COMPUTED_VALUE"""),45692.57221037037)</f>
        <v>45692.57221</v>
      </c>
      <c r="D53" s="15" t="str">
        <f>IFERROR(__xludf.DUMMYFUNCTION("""COMPUTED_VALUE"""),"Cytotoxic Cabinet Total count micro lab")</f>
        <v>Cytotoxic Cabinet Total count micro lab</v>
      </c>
      <c r="E53" s="15" t="str">
        <f>IFERROR(__xludf.DUMMYFUNCTION("""COMPUTED_VALUE"""),"EJO/2025/01/138")</f>
        <v>EJO/2025/01/138</v>
      </c>
      <c r="F53" s="15" t="str">
        <f>IFERROR(__xludf.DUMMYFUNCTION("""COMPUTED_VALUE"""),"HEPA filter dan pasang")</f>
        <v>HEPA filter dan pasang</v>
      </c>
      <c r="G53" s="15">
        <f>IFERROR(__xludf.DUMMYFUNCTION("""COMPUTED_VALUE"""),9.0)</f>
        <v>9</v>
      </c>
      <c r="H53" s="15" t="str">
        <f>IFERROR(__xludf.DUMMYFUNCTION("""COMPUTED_VALUE"""),"Pcs")</f>
        <v>Pcs</v>
      </c>
      <c r="I53" s="15" t="str">
        <f>IFERROR(__xludf.DUMMYFUNCTION("""COMPUTED_VALUE"""),"Deliver")</f>
        <v>Deliver</v>
      </c>
      <c r="J53" s="15" t="str">
        <f>IFERROR(__xludf.DUMMYFUNCTION("""COMPUTED_VALUE"""),"-")</f>
        <v>-</v>
      </c>
      <c r="K53" s="15" t="str">
        <f>IFERROR(__xludf.DUMMYFUNCTION("""COMPUTED_VALUE"""),"-")</f>
        <v>-</v>
      </c>
      <c r="L53" s="15" t="str">
        <f>IFERROR(__xludf.DUMMYFUNCTION("""COMPUTED_VALUE"""),"Normal")</f>
        <v>Normal</v>
      </c>
      <c r="M53" s="18" t="s">
        <v>47</v>
      </c>
      <c r="N53" s="18" t="s">
        <v>30</v>
      </c>
    </row>
    <row r="54" hidden="1">
      <c r="A54" s="15" t="str">
        <f>IFERROR(__xludf.DUMMYFUNCTION("""COMPUTED_VALUE"""),"AAAJA0003")</f>
        <v>AAAJA0003</v>
      </c>
      <c r="B54" s="16">
        <f>IFERROR(__xludf.DUMMYFUNCTION("""COMPUTED_VALUE"""),46256.06071520833)</f>
        <v>46256.06072</v>
      </c>
      <c r="C54" s="17">
        <f>IFERROR(__xludf.DUMMYFUNCTION("""COMPUTED_VALUE"""),45692.572679375)</f>
        <v>45692.57268</v>
      </c>
      <c r="D54" s="15" t="str">
        <f>IFERROR(__xludf.DUMMYFUNCTION("""COMPUTED_VALUE"""),"Cytotoxic Cabinet Containment Lab")</f>
        <v>Cytotoxic Cabinet Containment Lab</v>
      </c>
      <c r="E54" s="15" t="str">
        <f>IFERROR(__xludf.DUMMYFUNCTION("""COMPUTED_VALUE"""),"EJO/2025/01/138")</f>
        <v>EJO/2025/01/138</v>
      </c>
      <c r="F54" s="15" t="str">
        <f>IFERROR(__xludf.DUMMYFUNCTION("""COMPUTED_VALUE"""),"HEPA filter dan pasang")</f>
        <v>HEPA filter dan pasang</v>
      </c>
      <c r="G54" s="15">
        <f>IFERROR(__xludf.DUMMYFUNCTION("""COMPUTED_VALUE"""),9.0)</f>
        <v>9</v>
      </c>
      <c r="H54" s="15" t="str">
        <f>IFERROR(__xludf.DUMMYFUNCTION("""COMPUTED_VALUE"""),"Pcs")</f>
        <v>Pcs</v>
      </c>
      <c r="I54" s="15" t="str">
        <f>IFERROR(__xludf.DUMMYFUNCTION("""COMPUTED_VALUE"""),"Deliver")</f>
        <v>Deliver</v>
      </c>
      <c r="J54" s="15" t="str">
        <f>IFERROR(__xludf.DUMMYFUNCTION("""COMPUTED_VALUE"""),"-")</f>
        <v>-</v>
      </c>
      <c r="K54" s="15" t="str">
        <f>IFERROR(__xludf.DUMMYFUNCTION("""COMPUTED_VALUE"""),"-")</f>
        <v>-</v>
      </c>
      <c r="L54" s="15" t="str">
        <f>IFERROR(__xludf.DUMMYFUNCTION("""COMPUTED_VALUE"""),"Normal")</f>
        <v>Normal</v>
      </c>
      <c r="M54" s="18" t="s">
        <v>47</v>
      </c>
      <c r="N54" s="18" t="s">
        <v>30</v>
      </c>
    </row>
    <row r="55" hidden="1">
      <c r="A55" s="15" t="str">
        <f>IFERROR(__xludf.DUMMYFUNCTION("""COMPUTED_VALUE"""),"ROSBR0006")</f>
        <v>ROSBR0006</v>
      </c>
      <c r="B55" s="16">
        <f>IFERROR(__xludf.DUMMYFUNCTION("""COMPUTED_VALUE"""),45688.42307068287)</f>
        <v>45688.42307</v>
      </c>
      <c r="C55" s="17">
        <f>IFERROR(__xludf.DUMMYFUNCTION("""COMPUTED_VALUE"""),45692.62459615741)</f>
        <v>45692.6246</v>
      </c>
      <c r="D55" s="15" t="str">
        <f>IFERROR(__xludf.DUMMYFUNCTION("""COMPUTED_VALUE"""),"Vial Washing")</f>
        <v>Vial Washing</v>
      </c>
      <c r="E55" s="15" t="str">
        <f>IFERROR(__xludf.DUMMYFUNCTION("""COMPUTED_VALUE"""),"2025/01/151")</f>
        <v>2025/01/151</v>
      </c>
      <c r="F55" s="15" t="str">
        <f>IFERROR(__xludf.DUMMYFUNCTION("""COMPUTED_VALUE"""),"Spray Gun CA")</f>
        <v>Spray Gun CA</v>
      </c>
      <c r="G55" s="15">
        <f>IFERROR(__xludf.DUMMYFUNCTION("""COMPUTED_VALUE"""),2.0)</f>
        <v>2</v>
      </c>
      <c r="H55" s="15" t="str">
        <f>IFERROR(__xludf.DUMMYFUNCTION("""COMPUTED_VALUE"""),"Pcs")</f>
        <v>Pcs</v>
      </c>
      <c r="I55" s="15" t="str">
        <f>IFERROR(__xludf.DUMMYFUNCTION("""COMPUTED_VALUE"""),"Deliver")</f>
        <v>Deliver</v>
      </c>
      <c r="J55" s="15" t="str">
        <f>IFERROR(__xludf.DUMMYFUNCTION("""COMPUTED_VALUE"""),"-")</f>
        <v>-</v>
      </c>
      <c r="K55" s="15" t="str">
        <f>IFERROR(__xludf.DUMMYFUNCTION("""COMPUTED_VALUE"""),"-")</f>
        <v>-</v>
      </c>
      <c r="L55" s="15" t="str">
        <f>IFERROR(__xludf.DUMMYFUNCTION("""COMPUTED_VALUE"""),"Normal")</f>
        <v>Normal</v>
      </c>
      <c r="M55" s="18" t="s">
        <v>29</v>
      </c>
      <c r="N55" s="18" t="s">
        <v>30</v>
      </c>
    </row>
    <row r="56" hidden="1">
      <c r="A56" s="15" t="str">
        <f>IFERROR(__xludf.DUMMYFUNCTION("""COMPUTED_VALUE"""),"RIARO0008")</f>
        <v>RIARO0008</v>
      </c>
      <c r="B56" s="16">
        <f>IFERROR(__xludf.DUMMYFUNCTION("""COMPUTED_VALUE"""),45692.454085289355)</f>
        <v>45692.45409</v>
      </c>
      <c r="C56" s="17">
        <f>IFERROR(__xludf.DUMMYFUNCTION("""COMPUTED_VALUE"""),45694.61051193287)</f>
        <v>45694.61051</v>
      </c>
      <c r="D56" s="15" t="str">
        <f>IFERROR(__xludf.DUMMYFUNCTION("""COMPUTED_VALUE"""),"Hot Water")</f>
        <v>Hot Water</v>
      </c>
      <c r="E56" s="15" t="str">
        <f>IFERROR(__xludf.DUMMYFUNCTION("""COMPUTED_VALUE"""),"EJO/2025/01/34")</f>
        <v>EJO/2025/01/34</v>
      </c>
      <c r="F56" s="15" t="str">
        <f>IFERROR(__xludf.DUMMYFUNCTION("""COMPUTED_VALUE"""),"General - Exhaust Fan Panel 240VAC; TW; -; 1 pc")</f>
        <v>General - Exhaust Fan Panel 240VAC; TW; -; 1 pc</v>
      </c>
      <c r="G56" s="15">
        <f>IFERROR(__xludf.DUMMYFUNCTION("""COMPUTED_VALUE"""),2.0)</f>
        <v>2</v>
      </c>
      <c r="H56" s="15" t="str">
        <f>IFERROR(__xludf.DUMMYFUNCTION("""COMPUTED_VALUE"""),"Pcs")</f>
        <v>Pcs</v>
      </c>
      <c r="I56" s="15" t="str">
        <f>IFERROR(__xludf.DUMMYFUNCTION("""COMPUTED_VALUE"""),"Deliver")</f>
        <v>Deliver</v>
      </c>
      <c r="J56" s="15" t="str">
        <f>IFERROR(__xludf.DUMMYFUNCTION("""COMPUTED_VALUE"""),"-")</f>
        <v>-</v>
      </c>
      <c r="K56" s="15" t="str">
        <f>IFERROR(__xludf.DUMMYFUNCTION("""COMPUTED_VALUE"""),"-")</f>
        <v>-</v>
      </c>
      <c r="L56" s="15" t="str">
        <f>IFERROR(__xludf.DUMMYFUNCTION("""COMPUTED_VALUE"""),"Normal")</f>
        <v>Normal</v>
      </c>
      <c r="M56" s="18" t="s">
        <v>32</v>
      </c>
      <c r="N56" s="18" t="s">
        <v>28</v>
      </c>
    </row>
    <row r="57" hidden="1">
      <c r="A57" s="15" t="str">
        <f>IFERROR(__xludf.DUMMYFUNCTION("""COMPUTED_VALUE"""),"MRNBR0001")</f>
        <v>MRNBR0001</v>
      </c>
      <c r="B57" s="16">
        <f>IFERROR(__xludf.DUMMYFUNCTION("""COMPUTED_VALUE"""),45685.70989032408)</f>
        <v>45685.70989</v>
      </c>
      <c r="C57" s="17">
        <f>IFERROR(__xludf.DUMMYFUNCTION("""COMPUTED_VALUE"""),45694.63182101852)</f>
        <v>45694.63182</v>
      </c>
      <c r="D57" s="15" t="str">
        <f>IFERROR(__xludf.DUMMYFUNCTION("""COMPUTED_VALUE"""),"Loker sepatu")</f>
        <v>Loker sepatu</v>
      </c>
      <c r="E57" s="15" t="str">
        <f>IFERROR(__xludf.DUMMYFUNCTION("""COMPUTED_VALUE"""),"EJO/2024/12/150")</f>
        <v>EJO/2024/12/150</v>
      </c>
      <c r="F57" s="15" t="str">
        <f>IFERROR(__xludf.DUMMYFUNCTION("""COMPUTED_VALUE"""),"Exhaust")</f>
        <v>Exhaust</v>
      </c>
      <c r="G57" s="15">
        <f>IFERROR(__xludf.DUMMYFUNCTION("""COMPUTED_VALUE"""),2.0)</f>
        <v>2</v>
      </c>
      <c r="H57" s="15" t="str">
        <f>IFERROR(__xludf.DUMMYFUNCTION("""COMPUTED_VALUE"""),"unit")</f>
        <v>unit</v>
      </c>
      <c r="I57" s="15" t="str">
        <f>IFERROR(__xludf.DUMMYFUNCTION("""COMPUTED_VALUE"""),"Deliver")</f>
        <v>Deliver</v>
      </c>
      <c r="J57" s="15" t="str">
        <f>IFERROR(__xludf.DUMMYFUNCTION("""COMPUTED_VALUE"""),"-")</f>
        <v>-</v>
      </c>
      <c r="K57" s="15" t="str">
        <f>IFERROR(__xludf.DUMMYFUNCTION("""COMPUTED_VALUE"""),"-")</f>
        <v>-</v>
      </c>
      <c r="L57" s="15" t="str">
        <f>IFERROR(__xludf.DUMMYFUNCTION("""COMPUTED_VALUE"""),"Normal")</f>
        <v>Normal</v>
      </c>
      <c r="M57" s="18" t="s">
        <v>48</v>
      </c>
      <c r="N57" s="18" t="s">
        <v>28</v>
      </c>
    </row>
    <row r="58" hidden="1">
      <c r="A58" s="15" t="str">
        <f>IFERROR(__xludf.DUMMYFUNCTION("""COMPUTED_VALUE"""),"MRNBR0002")</f>
        <v>MRNBR0002</v>
      </c>
      <c r="B58" s="16">
        <f>IFERROR(__xludf.DUMMYFUNCTION("""COMPUTED_VALUE"""),45691.94213246529)</f>
        <v>45691.94213</v>
      </c>
      <c r="C58" s="17">
        <f>IFERROR(__xludf.DUMMYFUNCTION("""COMPUTED_VALUE"""),45694.63235770833)</f>
        <v>45694.63236</v>
      </c>
      <c r="D58" s="15" t="str">
        <f>IFERROR(__xludf.DUMMYFUNCTION("""COMPUTED_VALUE"""),"hot water")</f>
        <v>hot water</v>
      </c>
      <c r="E58" s="15" t="str">
        <f>IFERROR(__xludf.DUMMYFUNCTION("""COMPUTED_VALUE"""),"Ejo/2025/01/118")</f>
        <v>Ejo/2025/01/118</v>
      </c>
      <c r="F58" s="15" t="str">
        <f>IFERROR(__xludf.DUMMYFUNCTION("""COMPUTED_VALUE"""),"wafer check valve")</f>
        <v>wafer check valve</v>
      </c>
      <c r="G58" s="15">
        <f>IFERROR(__xludf.DUMMYFUNCTION("""COMPUTED_VALUE"""),2.0)</f>
        <v>2</v>
      </c>
      <c r="H58" s="15" t="str">
        <f>IFERROR(__xludf.DUMMYFUNCTION("""COMPUTED_VALUE"""),"pcs")</f>
        <v>pcs</v>
      </c>
      <c r="I58" s="15" t="str">
        <f>IFERROR(__xludf.DUMMYFUNCTION("""COMPUTED_VALUE"""),"Deliver")</f>
        <v>Deliver</v>
      </c>
      <c r="J58" s="15" t="str">
        <f>IFERROR(__xludf.DUMMYFUNCTION("""COMPUTED_VALUE"""),"-")</f>
        <v>-</v>
      </c>
      <c r="K58" s="15" t="str">
        <f>IFERROR(__xludf.DUMMYFUNCTION("""COMPUTED_VALUE"""),"-")</f>
        <v>-</v>
      </c>
      <c r="L58" s="15" t="str">
        <f>IFERROR(__xludf.DUMMYFUNCTION("""COMPUTED_VALUE"""),"Normal")</f>
        <v>Normal</v>
      </c>
      <c r="M58" s="18" t="s">
        <v>48</v>
      </c>
      <c r="N58" s="18" t="s">
        <v>28</v>
      </c>
    </row>
    <row r="59" hidden="1">
      <c r="A59" s="15" t="str">
        <f>IFERROR(__xludf.DUMMYFUNCTION("""COMPUTED_VALUE"""),"RIABR0008")</f>
        <v>RIABR0008</v>
      </c>
      <c r="B59" s="16">
        <f>IFERROR(__xludf.DUMMYFUNCTION("""COMPUTED_VALUE"""),45692.57083173611)</f>
        <v>45692.57083</v>
      </c>
      <c r="C59" s="17">
        <f>IFERROR(__xludf.DUMMYFUNCTION("""COMPUTED_VALUE"""),45694.744651712965)</f>
        <v>45694.74465</v>
      </c>
      <c r="D59" s="15" t="str">
        <f>IFERROR(__xludf.DUMMYFUNCTION("""COMPUTED_VALUE"""),"Hot Water")</f>
        <v>Hot Water</v>
      </c>
      <c r="E59" s="15" t="str">
        <f>IFERROR(__xludf.DUMMYFUNCTION("""COMPUTED_VALUE"""),"EJO/2025/01/34")</f>
        <v>EJO/2025/01/34</v>
      </c>
      <c r="F59" s="15" t="str">
        <f>IFERROR(__xludf.DUMMYFUNCTION("""COMPUTED_VALUE"""),"Filter Panel")</f>
        <v>Filter Panel</v>
      </c>
      <c r="G59" s="15">
        <f>IFERROR(__xludf.DUMMYFUNCTION("""COMPUTED_VALUE"""),2.0)</f>
        <v>2</v>
      </c>
      <c r="H59" s="15" t="str">
        <f>IFERROR(__xludf.DUMMYFUNCTION("""COMPUTED_VALUE"""),"Pcs")</f>
        <v>Pcs</v>
      </c>
      <c r="I59" s="15" t="str">
        <f>IFERROR(__xludf.DUMMYFUNCTION("""COMPUTED_VALUE"""),"Deliver")</f>
        <v>Deliver</v>
      </c>
      <c r="J59" s="15" t="str">
        <f>IFERROR(__xludf.DUMMYFUNCTION("""COMPUTED_VALUE"""),"-")</f>
        <v>-</v>
      </c>
      <c r="K59" s="15" t="str">
        <f>IFERROR(__xludf.DUMMYFUNCTION("""COMPUTED_VALUE"""),"-")</f>
        <v>-</v>
      </c>
      <c r="L59" s="15" t="str">
        <f>IFERROR(__xludf.DUMMYFUNCTION("""COMPUTED_VALUE"""),"Normal")</f>
        <v>Normal</v>
      </c>
      <c r="M59" s="18" t="s">
        <v>32</v>
      </c>
      <c r="N59" s="18" t="s">
        <v>28</v>
      </c>
    </row>
    <row r="60" hidden="1">
      <c r="A60" s="15" t="str">
        <f>IFERROR(__xludf.DUMMYFUNCTION("""COMPUTED_VALUE"""),"RIARO0010")</f>
        <v>RIARO0010</v>
      </c>
      <c r="B60" s="16">
        <f>IFERROR(__xludf.DUMMYFUNCTION("""COMPUTED_VALUE"""),45692.585179340276)</f>
        <v>45692.58518</v>
      </c>
      <c r="C60" s="17">
        <f>IFERROR(__xludf.DUMMYFUNCTION("""COMPUTED_VALUE"""),45694.74487995371)</f>
        <v>45694.74488</v>
      </c>
      <c r="D60" s="15" t="str">
        <f>IFERROR(__xludf.DUMMYFUNCTION("""COMPUTED_VALUE"""),"PWG")</f>
        <v>PWG</v>
      </c>
      <c r="E60" s="15" t="str">
        <f>IFERROR(__xludf.DUMMYFUNCTION("""COMPUTED_VALUE"""),"EJO/2025/02/25")</f>
        <v>EJO/2025/02/25</v>
      </c>
      <c r="F60" s="15" t="str">
        <f>IFERROR(__xludf.DUMMYFUNCTION("""COMPUTED_VALUE"""),"General - External Cable 5 Wire for Dosing Pump Analogue 4-20mA; Prominent; BT4B 0708 PVT 2000UA011A00YP; 1 pc")</f>
        <v>General - External Cable 5 Wire for Dosing Pump Analogue 4-20mA; Prominent; BT4B 0708 PVT 2000UA011A00YP; 1 pc</v>
      </c>
      <c r="G60" s="15">
        <f>IFERROR(__xludf.DUMMYFUNCTION("""COMPUTED_VALUE"""),2.0)</f>
        <v>2</v>
      </c>
      <c r="H60" s="15" t="str">
        <f>IFERROR(__xludf.DUMMYFUNCTION("""COMPUTED_VALUE"""),"Pcs")</f>
        <v>Pcs</v>
      </c>
      <c r="I60" s="15" t="str">
        <f>IFERROR(__xludf.DUMMYFUNCTION("""COMPUTED_VALUE"""),"Deliver")</f>
        <v>Deliver</v>
      </c>
      <c r="J60" s="15" t="str">
        <f>IFERROR(__xludf.DUMMYFUNCTION("""COMPUTED_VALUE"""),"-")</f>
        <v>-</v>
      </c>
      <c r="K60" s="15" t="str">
        <f>IFERROR(__xludf.DUMMYFUNCTION("""COMPUTED_VALUE"""),"-")</f>
        <v>-</v>
      </c>
      <c r="L60" s="15" t="str">
        <f>IFERROR(__xludf.DUMMYFUNCTION("""COMPUTED_VALUE"""),"Normal")</f>
        <v>Normal</v>
      </c>
      <c r="M60" s="18" t="s">
        <v>32</v>
      </c>
      <c r="N60" s="18" t="s">
        <v>28</v>
      </c>
    </row>
    <row r="61" hidden="1">
      <c r="A61" s="15" t="str">
        <f>IFERROR(__xludf.DUMMYFUNCTION("""COMPUTED_VALUE"""),"RIARO0011")</f>
        <v>RIARO0011</v>
      </c>
      <c r="B61" s="16">
        <f>IFERROR(__xludf.DUMMYFUNCTION("""COMPUTED_VALUE"""),45692.58546775463)</f>
        <v>45692.58547</v>
      </c>
      <c r="C61" s="17">
        <f>IFERROR(__xludf.DUMMYFUNCTION("""COMPUTED_VALUE"""),45694.7452875)</f>
        <v>45694.74529</v>
      </c>
      <c r="D61" s="15" t="str">
        <f>IFERROR(__xludf.DUMMYFUNCTION("""COMPUTED_VALUE"""),"PWG")</f>
        <v>PWG</v>
      </c>
      <c r="E61" s="15" t="str">
        <f>IFERROR(__xludf.DUMMYFUNCTION("""COMPUTED_VALUE"""),"EJO/2025/02/25")</f>
        <v>EJO/2025/02/25</v>
      </c>
      <c r="F61" s="15" t="str">
        <f>IFERROR(__xludf.DUMMYFUNCTION("""COMPUTED_VALUE"""),"Doshing Pump BT4B Merk Prominent; ; ;")</f>
        <v>Doshing Pump BT4B Merk Prominent; ; ;</v>
      </c>
      <c r="G61" s="15">
        <f>IFERROR(__xludf.DUMMYFUNCTION("""COMPUTED_VALUE"""),2.0)</f>
        <v>2</v>
      </c>
      <c r="H61" s="15" t="str">
        <f>IFERROR(__xludf.DUMMYFUNCTION("""COMPUTED_VALUE"""),"Pcs")</f>
        <v>Pcs</v>
      </c>
      <c r="I61" s="15" t="str">
        <f>IFERROR(__xludf.DUMMYFUNCTION("""COMPUTED_VALUE"""),"Deliver")</f>
        <v>Deliver</v>
      </c>
      <c r="J61" s="15" t="str">
        <f>IFERROR(__xludf.DUMMYFUNCTION("""COMPUTED_VALUE"""),"-")</f>
        <v>-</v>
      </c>
      <c r="K61" s="15" t="str">
        <f>IFERROR(__xludf.DUMMYFUNCTION("""COMPUTED_VALUE"""),"-")</f>
        <v>-</v>
      </c>
      <c r="L61" s="15" t="str">
        <f>IFERROR(__xludf.DUMMYFUNCTION("""COMPUTED_VALUE"""),"Normal")</f>
        <v>Normal</v>
      </c>
      <c r="M61" s="18" t="s">
        <v>32</v>
      </c>
      <c r="N61" s="18" t="s">
        <v>28</v>
      </c>
    </row>
    <row r="62" hidden="1">
      <c r="A62" s="15" t="str">
        <f>IFERROR(__xludf.DUMMYFUNCTION("""COMPUTED_VALUE"""),"RIABR0011")</f>
        <v>RIABR0011</v>
      </c>
      <c r="B62" s="16">
        <f>IFERROR(__xludf.DUMMYFUNCTION("""COMPUTED_VALUE"""),45692.68169960647)</f>
        <v>45692.6817</v>
      </c>
      <c r="C62" s="17">
        <f>IFERROR(__xludf.DUMMYFUNCTION("""COMPUTED_VALUE"""),45694.746460925926)</f>
        <v>45694.74646</v>
      </c>
      <c r="D62" s="15" t="str">
        <f>IFERROR(__xludf.DUMMYFUNCTION("""COMPUTED_VALUE"""),"WWTP")</f>
        <v>WWTP</v>
      </c>
      <c r="E62" s="15" t="str">
        <f>IFERROR(__xludf.DUMMYFUNCTION("""COMPUTED_VALUE"""),"EJO/2024/12/153")</f>
        <v>EJO/2024/12/153</v>
      </c>
      <c r="F62" s="15" t="str">
        <f>IFERROR(__xludf.DUMMYFUNCTION("""COMPUTED_VALUE"""),"Level Switch")</f>
        <v>Level Switch</v>
      </c>
      <c r="G62" s="15">
        <f>IFERROR(__xludf.DUMMYFUNCTION("""COMPUTED_VALUE"""),2.0)</f>
        <v>2</v>
      </c>
      <c r="H62" s="15" t="str">
        <f>IFERROR(__xludf.DUMMYFUNCTION("""COMPUTED_VALUE"""),"Set")</f>
        <v>Set</v>
      </c>
      <c r="I62" s="15" t="str">
        <f>IFERROR(__xludf.DUMMYFUNCTION("""COMPUTED_VALUE"""),"Deliver")</f>
        <v>Deliver</v>
      </c>
      <c r="J62" s="15" t="str">
        <f>IFERROR(__xludf.DUMMYFUNCTION("""COMPUTED_VALUE"""),"-")</f>
        <v>-</v>
      </c>
      <c r="K62" s="15" t="str">
        <f>IFERROR(__xludf.DUMMYFUNCTION("""COMPUTED_VALUE"""),"-")</f>
        <v>-</v>
      </c>
      <c r="L62" s="15" t="str">
        <f>IFERROR(__xludf.DUMMYFUNCTION("""COMPUTED_VALUE"""),"Normal")</f>
        <v>Normal</v>
      </c>
      <c r="M62" s="18" t="s">
        <v>32</v>
      </c>
      <c r="N62" s="18" t="s">
        <v>28</v>
      </c>
    </row>
    <row r="63" hidden="1">
      <c r="A63" s="15" t="str">
        <f>IFERROR(__xludf.DUMMYFUNCTION("""COMPUTED_VALUE"""),"MRNRO0001")</f>
        <v>MRNRO0001</v>
      </c>
      <c r="B63" s="16">
        <f>IFERROR(__xludf.DUMMYFUNCTION("""COMPUTED_VALUE"""),45693.71919592593)</f>
        <v>45693.7192</v>
      </c>
      <c r="C63" s="17">
        <f>IFERROR(__xludf.DUMMYFUNCTION("""COMPUTED_VALUE"""),45694.74675329861)</f>
        <v>45694.74675</v>
      </c>
      <c r="D63" s="15" t="str">
        <f>IFERROR(__xludf.DUMMYFUNCTION("""COMPUTED_VALUE"""),"CC baru di stability")</f>
        <v>CC baru di stability</v>
      </c>
      <c r="E63" s="15" t="str">
        <f>IFERROR(__xludf.DUMMYFUNCTION("""COMPUTED_VALUE"""),"EJO/2025/01/23")</f>
        <v>EJO/2025/01/23</v>
      </c>
      <c r="F63" s="15" t="str">
        <f>IFERROR(__xludf.DUMMYFUNCTION("""COMPUTED_VALUE"""),"RUCIKA - Pipa PVC aw dia 1/2 inch Warna Abu-Abu")</f>
        <v>RUCIKA - Pipa PVC aw dia 1/2 inch Warna Abu-Abu</v>
      </c>
      <c r="G63" s="15">
        <f>IFERROR(__xludf.DUMMYFUNCTION("""COMPUTED_VALUE"""),4.0)</f>
        <v>4</v>
      </c>
      <c r="H63" s="15" t="str">
        <f>IFERROR(__xludf.DUMMYFUNCTION("""COMPUTED_VALUE"""),"btg")</f>
        <v>btg</v>
      </c>
      <c r="I63" s="15" t="str">
        <f>IFERROR(__xludf.DUMMYFUNCTION("""COMPUTED_VALUE"""),"Deliver")</f>
        <v>Deliver</v>
      </c>
      <c r="J63" s="15" t="str">
        <f>IFERROR(__xludf.DUMMYFUNCTION("""COMPUTED_VALUE"""),"-")</f>
        <v>-</v>
      </c>
      <c r="K63" s="15" t="str">
        <f>IFERROR(__xludf.DUMMYFUNCTION("""COMPUTED_VALUE"""),"-")</f>
        <v>-</v>
      </c>
      <c r="L63" s="15" t="str">
        <f>IFERROR(__xludf.DUMMYFUNCTION("""COMPUTED_VALUE"""),"Normal")</f>
        <v>Normal</v>
      </c>
      <c r="M63" s="18" t="s">
        <v>48</v>
      </c>
      <c r="N63" s="18" t="s">
        <v>28</v>
      </c>
    </row>
    <row r="64" hidden="1">
      <c r="A64" s="15" t="str">
        <f>IFERROR(__xludf.DUMMYFUNCTION("""COMPUTED_VALUE"""),"MRNRO0002")</f>
        <v>MRNRO0002</v>
      </c>
      <c r="B64" s="16">
        <f>IFERROR(__xludf.DUMMYFUNCTION("""COMPUTED_VALUE"""),45693.722962534725)</f>
        <v>45693.72296</v>
      </c>
      <c r="C64" s="17">
        <f>IFERROR(__xludf.DUMMYFUNCTION("""COMPUTED_VALUE"""),45694.74693619213)</f>
        <v>45694.74694</v>
      </c>
      <c r="D64" s="15" t="str">
        <f>IFERROR(__xludf.DUMMYFUNCTION("""COMPUTED_VALUE"""),"CC baru di stability")</f>
        <v>CC baru di stability</v>
      </c>
      <c r="E64" s="15" t="str">
        <f>IFERROR(__xludf.DUMMYFUNCTION("""COMPUTED_VALUE"""),"EJO/2025/01/23")</f>
        <v>EJO/2025/01/23</v>
      </c>
      <c r="F64" s="15" t="str">
        <f>IFERROR(__xludf.DUMMYFUNCTION("""COMPUTED_VALUE"""),"Cable Duct Round Putih 35 x 10 mm; ; ;")</f>
        <v>Cable Duct Round Putih 35 x 10 mm; ; ;</v>
      </c>
      <c r="G64" s="15">
        <f>IFERROR(__xludf.DUMMYFUNCTION("""COMPUTED_VALUE"""),2.0)</f>
        <v>2</v>
      </c>
      <c r="H64" s="15" t="str">
        <f>IFERROR(__xludf.DUMMYFUNCTION("""COMPUTED_VALUE"""),"btg")</f>
        <v>btg</v>
      </c>
      <c r="I64" s="15" t="str">
        <f>IFERROR(__xludf.DUMMYFUNCTION("""COMPUTED_VALUE"""),"Deliver")</f>
        <v>Deliver</v>
      </c>
      <c r="J64" s="15" t="str">
        <f>IFERROR(__xludf.DUMMYFUNCTION("""COMPUTED_VALUE"""),"-")</f>
        <v>-</v>
      </c>
      <c r="K64" s="15" t="str">
        <f>IFERROR(__xludf.DUMMYFUNCTION("""COMPUTED_VALUE"""),"-")</f>
        <v>-</v>
      </c>
      <c r="L64" s="15" t="str">
        <f>IFERROR(__xludf.DUMMYFUNCTION("""COMPUTED_VALUE"""),"Normal")</f>
        <v>Normal</v>
      </c>
      <c r="M64" s="18" t="s">
        <v>48</v>
      </c>
      <c r="N64" s="18" t="s">
        <v>28</v>
      </c>
    </row>
    <row r="65" hidden="1">
      <c r="A65" s="15" t="str">
        <f>IFERROR(__xludf.DUMMYFUNCTION("""COMPUTED_VALUE"""),"MRNRO0003")</f>
        <v>MRNRO0003</v>
      </c>
      <c r="B65" s="16">
        <f>IFERROR(__xludf.DUMMYFUNCTION("""COMPUTED_VALUE"""),45693.722962534725)</f>
        <v>45693.72296</v>
      </c>
      <c r="C65" s="17">
        <f>IFERROR(__xludf.DUMMYFUNCTION("""COMPUTED_VALUE"""),45694.74714484954)</f>
        <v>45694.74714</v>
      </c>
      <c r="D65" s="15" t="str">
        <f>IFERROR(__xludf.DUMMYFUNCTION("""COMPUTED_VALUE"""),"CC baru di stability")</f>
        <v>CC baru di stability</v>
      </c>
      <c r="E65" s="15" t="str">
        <f>IFERROR(__xludf.DUMMYFUNCTION("""COMPUTED_VALUE"""),"EJO/2025/01/23")</f>
        <v>EJO/2025/01/23</v>
      </c>
      <c r="F65" s="15" t="str">
        <f>IFERROR(__xludf.DUMMYFUNCTION("""COMPUTED_VALUE"""),"General - Elbow PVC 90 AW 1/2inch; Rucika; -; 1 Pc")</f>
        <v>General - Elbow PVC 90 AW 1/2inch; Rucika; -; 1 Pc</v>
      </c>
      <c r="G65" s="15">
        <f>IFERROR(__xludf.DUMMYFUNCTION("""COMPUTED_VALUE"""),6.0)</f>
        <v>6</v>
      </c>
      <c r="H65" s="15" t="str">
        <f>IFERROR(__xludf.DUMMYFUNCTION("""COMPUTED_VALUE"""),"pcs")</f>
        <v>pcs</v>
      </c>
      <c r="I65" s="15" t="str">
        <f>IFERROR(__xludf.DUMMYFUNCTION("""COMPUTED_VALUE"""),"Deliver")</f>
        <v>Deliver</v>
      </c>
      <c r="J65" s="15" t="str">
        <f>IFERROR(__xludf.DUMMYFUNCTION("""COMPUTED_VALUE"""),"-")</f>
        <v>-</v>
      </c>
      <c r="K65" s="15" t="str">
        <f>IFERROR(__xludf.DUMMYFUNCTION("""COMPUTED_VALUE"""),"-")</f>
        <v>-</v>
      </c>
      <c r="L65" s="15" t="str">
        <f>IFERROR(__xludf.DUMMYFUNCTION("""COMPUTED_VALUE"""),"Normal")</f>
        <v>Normal</v>
      </c>
      <c r="M65" s="18" t="s">
        <v>48</v>
      </c>
      <c r="N65" s="18" t="s">
        <v>28</v>
      </c>
    </row>
    <row r="66" hidden="1">
      <c r="A66" s="15" t="str">
        <f>IFERROR(__xludf.DUMMYFUNCTION("""COMPUTED_VALUE"""),"MRNRO0004")</f>
        <v>MRNRO0004</v>
      </c>
      <c r="B66" s="16">
        <f>IFERROR(__xludf.DUMMYFUNCTION("""COMPUTED_VALUE"""),45693.722962534725)</f>
        <v>45693.72296</v>
      </c>
      <c r="C66" s="17">
        <f>IFERROR(__xludf.DUMMYFUNCTION("""COMPUTED_VALUE"""),45694.74732289352)</f>
        <v>45694.74732</v>
      </c>
      <c r="D66" s="15" t="str">
        <f>IFERROR(__xludf.DUMMYFUNCTION("""COMPUTED_VALUE"""),"CC baru di stability")</f>
        <v>CC baru di stability</v>
      </c>
      <c r="E66" s="15" t="str">
        <f>IFERROR(__xludf.DUMMYFUNCTION("""COMPUTED_VALUE"""),"EJO/2025/01/23")</f>
        <v>EJO/2025/01/23</v>
      </c>
      <c r="F66" s="15" t="str">
        <f>IFERROR(__xludf.DUMMYFUNCTION("""COMPUTED_VALUE"""),"Water Mur PVC dia 1/2inch")</f>
        <v>Water Mur PVC dia 1/2inch</v>
      </c>
      <c r="G66" s="15">
        <f>IFERROR(__xludf.DUMMYFUNCTION("""COMPUTED_VALUE"""),3.0)</f>
        <v>3</v>
      </c>
      <c r="H66" s="15" t="str">
        <f>IFERROR(__xludf.DUMMYFUNCTION("""COMPUTED_VALUE"""),"pcs")</f>
        <v>pcs</v>
      </c>
      <c r="I66" s="15" t="str">
        <f>IFERROR(__xludf.DUMMYFUNCTION("""COMPUTED_VALUE"""),"Deliver")</f>
        <v>Deliver</v>
      </c>
      <c r="J66" s="15" t="str">
        <f>IFERROR(__xludf.DUMMYFUNCTION("""COMPUTED_VALUE"""),"-")</f>
        <v>-</v>
      </c>
      <c r="K66" s="15" t="str">
        <f>IFERROR(__xludf.DUMMYFUNCTION("""COMPUTED_VALUE"""),"-")</f>
        <v>-</v>
      </c>
      <c r="L66" s="15" t="str">
        <f>IFERROR(__xludf.DUMMYFUNCTION("""COMPUTED_VALUE"""),"Normal")</f>
        <v>Normal</v>
      </c>
      <c r="M66" s="18" t="s">
        <v>48</v>
      </c>
      <c r="N66" s="18" t="s">
        <v>28</v>
      </c>
    </row>
    <row r="67" hidden="1">
      <c r="A67" s="15" t="str">
        <f>IFERROR(__xludf.DUMMYFUNCTION("""COMPUTED_VALUE"""),"MRNRO0005")</f>
        <v>MRNRO0005</v>
      </c>
      <c r="B67" s="16">
        <f>IFERROR(__xludf.DUMMYFUNCTION("""COMPUTED_VALUE"""),45693.722962534725)</f>
        <v>45693.72296</v>
      </c>
      <c r="C67" s="17">
        <f>IFERROR(__xludf.DUMMYFUNCTION("""COMPUTED_VALUE"""),45694.74751974537)</f>
        <v>45694.74752</v>
      </c>
      <c r="D67" s="15" t="str">
        <f>IFERROR(__xludf.DUMMYFUNCTION("""COMPUTED_VALUE"""),"CC baru di stability")</f>
        <v>CC baru di stability</v>
      </c>
      <c r="E67" s="15" t="str">
        <f>IFERROR(__xludf.DUMMYFUNCTION("""COMPUTED_VALUE"""),"EJO/2025/01/23")</f>
        <v>EJO/2025/01/23</v>
      </c>
      <c r="F67" s="15" t="str">
        <f>IFERROR(__xludf.DUMMYFUNCTION("""COMPUTED_VALUE"""),"Tee PVC AW General - Tee PVC AW dia 1/2inch X 1/2inch; Rucika; -; 1 pcs")</f>
        <v>Tee PVC AW General - Tee PVC AW dia 1/2inch X 1/2inch; Rucika; -; 1 pcs</v>
      </c>
      <c r="G67" s="15">
        <f>IFERROR(__xludf.DUMMYFUNCTION("""COMPUTED_VALUE"""),2.0)</f>
        <v>2</v>
      </c>
      <c r="H67" s="15" t="str">
        <f>IFERROR(__xludf.DUMMYFUNCTION("""COMPUTED_VALUE"""),"pcs")</f>
        <v>pcs</v>
      </c>
      <c r="I67" s="15" t="str">
        <f>IFERROR(__xludf.DUMMYFUNCTION("""COMPUTED_VALUE"""),"Deliver")</f>
        <v>Deliver</v>
      </c>
      <c r="J67" s="15" t="str">
        <f>IFERROR(__xludf.DUMMYFUNCTION("""COMPUTED_VALUE"""),"-")</f>
        <v>-</v>
      </c>
      <c r="K67" s="15" t="str">
        <f>IFERROR(__xludf.DUMMYFUNCTION("""COMPUTED_VALUE"""),"-")</f>
        <v>-</v>
      </c>
      <c r="L67" s="15" t="str">
        <f>IFERROR(__xludf.DUMMYFUNCTION("""COMPUTED_VALUE"""),"Normal")</f>
        <v>Normal</v>
      </c>
      <c r="M67" s="18" t="s">
        <v>48</v>
      </c>
      <c r="N67" s="18" t="s">
        <v>28</v>
      </c>
    </row>
    <row r="68" hidden="1">
      <c r="A68" s="15" t="str">
        <f>IFERROR(__xludf.DUMMYFUNCTION("""COMPUTED_VALUE"""),"MRNRO0006")</f>
        <v>MRNRO0006</v>
      </c>
      <c r="B68" s="16">
        <f>IFERROR(__xludf.DUMMYFUNCTION("""COMPUTED_VALUE"""),45693.722962534725)</f>
        <v>45693.72296</v>
      </c>
      <c r="C68" s="17">
        <f>IFERROR(__xludf.DUMMYFUNCTION("""COMPUTED_VALUE"""),45694.74771689815)</f>
        <v>45694.74772</v>
      </c>
      <c r="D68" s="15" t="str">
        <f>IFERROR(__xludf.DUMMYFUNCTION("""COMPUTED_VALUE"""),"CC baru di stability")</f>
        <v>CC baru di stability</v>
      </c>
      <c r="E68" s="15" t="str">
        <f>IFERROR(__xludf.DUMMYFUNCTION("""COMPUTED_VALUE"""),"EJO/2025/01/23")</f>
        <v>EJO/2025/01/23</v>
      </c>
      <c r="F68" s="15" t="str">
        <f>IFERROR(__xludf.DUMMYFUNCTION("""COMPUTED_VALUE"""),"Hollow Baja Ringan 4x4cm, Tebal 0.5mm, Panjang 4m; ; ;")</f>
        <v>Hollow Baja Ringan 4x4cm, Tebal 0.5mm, Panjang 4m; ; ;</v>
      </c>
      <c r="G68" s="15">
        <f>IFERROR(__xludf.DUMMYFUNCTION("""COMPUTED_VALUE"""),3.0)</f>
        <v>3</v>
      </c>
      <c r="H68" s="15" t="str">
        <f>IFERROR(__xludf.DUMMYFUNCTION("""COMPUTED_VALUE"""),"btg")</f>
        <v>btg</v>
      </c>
      <c r="I68" s="15" t="str">
        <f>IFERROR(__xludf.DUMMYFUNCTION("""COMPUTED_VALUE"""),"Deliver")</f>
        <v>Deliver</v>
      </c>
      <c r="J68" s="15" t="str">
        <f>IFERROR(__xludf.DUMMYFUNCTION("""COMPUTED_VALUE"""),"-")</f>
        <v>-</v>
      </c>
      <c r="K68" s="15" t="str">
        <f>IFERROR(__xludf.DUMMYFUNCTION("""COMPUTED_VALUE"""),"-")</f>
        <v>-</v>
      </c>
      <c r="L68" s="15" t="str">
        <f>IFERROR(__xludf.DUMMYFUNCTION("""COMPUTED_VALUE"""),"Normal")</f>
        <v>Normal</v>
      </c>
      <c r="M68" s="18" t="s">
        <v>48</v>
      </c>
      <c r="N68" s="18" t="s">
        <v>28</v>
      </c>
    </row>
    <row r="69" hidden="1">
      <c r="A69" s="15" t="str">
        <f>IFERROR(__xludf.DUMMYFUNCTION("""COMPUTED_VALUE"""),"MRNRO0007")</f>
        <v>MRNRO0007</v>
      </c>
      <c r="B69" s="16">
        <f>IFERROR(__xludf.DUMMYFUNCTION("""COMPUTED_VALUE"""),45693.722962534725)</f>
        <v>45693.72296</v>
      </c>
      <c r="C69" s="17">
        <f>IFERROR(__xludf.DUMMYFUNCTION("""COMPUTED_VALUE"""),45694.7481400926)</f>
        <v>45694.74814</v>
      </c>
      <c r="D69" s="15" t="str">
        <f>IFERROR(__xludf.DUMMYFUNCTION("""COMPUTED_VALUE"""),"CC baru di stability")</f>
        <v>CC baru di stability</v>
      </c>
      <c r="E69" s="15" t="str">
        <f>IFERROR(__xludf.DUMMYFUNCTION("""COMPUTED_VALUE"""),"EJO/2025/01/23")</f>
        <v>EJO/2025/01/23</v>
      </c>
      <c r="F69" s="15" t="str">
        <f>IFERROR(__xludf.DUMMYFUNCTION("""COMPUTED_VALUE"""),"Skrup Baja Hitam;No Brand;;pack size per pack")</f>
        <v>Skrup Baja Hitam;No Brand;;pack size per pack</v>
      </c>
      <c r="G69" s="15">
        <f>IFERROR(__xludf.DUMMYFUNCTION("""COMPUTED_VALUE"""),1.0)</f>
        <v>1</v>
      </c>
      <c r="H69" s="15" t="str">
        <f>IFERROR(__xludf.DUMMYFUNCTION("""COMPUTED_VALUE"""),"pack")</f>
        <v>pack</v>
      </c>
      <c r="I69" s="15" t="str">
        <f>IFERROR(__xludf.DUMMYFUNCTION("""COMPUTED_VALUE"""),"Deliver")</f>
        <v>Deliver</v>
      </c>
      <c r="J69" s="15" t="str">
        <f>IFERROR(__xludf.DUMMYFUNCTION("""COMPUTED_VALUE"""),"-")</f>
        <v>-</v>
      </c>
      <c r="K69" s="15" t="str">
        <f>IFERROR(__xludf.DUMMYFUNCTION("""COMPUTED_VALUE"""),"-")</f>
        <v>-</v>
      </c>
      <c r="L69" s="15" t="str">
        <f>IFERROR(__xludf.DUMMYFUNCTION("""COMPUTED_VALUE"""),"Normal")</f>
        <v>Normal</v>
      </c>
      <c r="M69" s="18" t="s">
        <v>48</v>
      </c>
      <c r="N69" s="18" t="s">
        <v>28</v>
      </c>
    </row>
    <row r="70" hidden="1">
      <c r="A70" s="15" t="str">
        <f>IFERROR(__xludf.DUMMYFUNCTION("""COMPUTED_VALUE"""),"MRNRO0008")</f>
        <v>MRNRO0008</v>
      </c>
      <c r="B70" s="16">
        <f>IFERROR(__xludf.DUMMYFUNCTION("""COMPUTED_VALUE"""),45693.72360567129)</f>
        <v>45693.72361</v>
      </c>
      <c r="C70" s="17">
        <f>IFERROR(__xludf.DUMMYFUNCTION("""COMPUTED_VALUE"""),45694.74836019676)</f>
        <v>45694.74836</v>
      </c>
      <c r="D70" s="15" t="str">
        <f>IFERROR(__xludf.DUMMYFUNCTION("""COMPUTED_VALUE"""),"Building")</f>
        <v>Building</v>
      </c>
      <c r="E70" s="15" t="str">
        <f>IFERROR(__xludf.DUMMYFUNCTION("""COMPUTED_VALUE"""),"EJO/2025/01/28")</f>
        <v>EJO/2025/01/28</v>
      </c>
      <c r="F70" s="15" t="str">
        <f>IFERROR(__xludf.DUMMYFUNCTION("""COMPUTED_VALUE"""),"Compound / Kompon Gypsum;No Brand;;pack size 20 kg per pck")</f>
        <v>Compound / Kompon Gypsum;No Brand;;pack size 20 kg per pck</v>
      </c>
      <c r="G70" s="15">
        <f>IFERROR(__xludf.DUMMYFUNCTION("""COMPUTED_VALUE"""),5.0)</f>
        <v>5</v>
      </c>
      <c r="H70" s="15" t="str">
        <f>IFERROR(__xludf.DUMMYFUNCTION("""COMPUTED_VALUE"""),"sack")</f>
        <v>sack</v>
      </c>
      <c r="I70" s="15" t="str">
        <f>IFERROR(__xludf.DUMMYFUNCTION("""COMPUTED_VALUE"""),"Deliver")</f>
        <v>Deliver</v>
      </c>
      <c r="J70" s="15" t="str">
        <f>IFERROR(__xludf.DUMMYFUNCTION("""COMPUTED_VALUE"""),"-")</f>
        <v>-</v>
      </c>
      <c r="K70" s="15" t="str">
        <f>IFERROR(__xludf.DUMMYFUNCTION("""COMPUTED_VALUE"""),"-")</f>
        <v>-</v>
      </c>
      <c r="L70" s="15" t="str">
        <f>IFERROR(__xludf.DUMMYFUNCTION("""COMPUTED_VALUE"""),"Normal")</f>
        <v>Normal</v>
      </c>
      <c r="M70" s="18" t="s">
        <v>48</v>
      </c>
      <c r="N70" s="18" t="s">
        <v>28</v>
      </c>
    </row>
    <row r="71" hidden="1">
      <c r="A71" s="15" t="str">
        <f>IFERROR(__xludf.DUMMYFUNCTION("""COMPUTED_VALUE"""),"MRNRO0009")</f>
        <v>MRNRO0009</v>
      </c>
      <c r="B71" s="16">
        <f>IFERROR(__xludf.DUMMYFUNCTION("""COMPUTED_VALUE"""),45693.72575957176)</f>
        <v>45693.72576</v>
      </c>
      <c r="C71" s="17">
        <f>IFERROR(__xludf.DUMMYFUNCTION("""COMPUTED_VALUE"""),45694.748620335646)</f>
        <v>45694.74862</v>
      </c>
      <c r="D71" s="15" t="str">
        <f>IFERROR(__xludf.DUMMYFUNCTION("""COMPUTED_VALUE"""),"CC baru di stability")</f>
        <v>CC baru di stability</v>
      </c>
      <c r="E71" s="15" t="str">
        <f>IFERROR(__xludf.DUMMYFUNCTION("""COMPUTED_VALUE"""),"EJO/2025/01/23")</f>
        <v>EJO/2025/01/23</v>
      </c>
      <c r="F71" s="15" t="str">
        <f>IFERROR(__xludf.DUMMYFUNCTION("""COMPUTED_VALUE"""),"PVC - Dop 1/2 inch; ; ;")</f>
        <v>PVC - Dop 1/2 inch; ; ;</v>
      </c>
      <c r="G71" s="15">
        <f>IFERROR(__xludf.DUMMYFUNCTION("""COMPUTED_VALUE"""),2.0)</f>
        <v>2</v>
      </c>
      <c r="H71" s="15" t="str">
        <f>IFERROR(__xludf.DUMMYFUNCTION("""COMPUTED_VALUE"""),"pcs")</f>
        <v>pcs</v>
      </c>
      <c r="I71" s="15" t="str">
        <f>IFERROR(__xludf.DUMMYFUNCTION("""COMPUTED_VALUE"""),"Deliver")</f>
        <v>Deliver</v>
      </c>
      <c r="J71" s="15" t="str">
        <f>IFERROR(__xludf.DUMMYFUNCTION("""COMPUTED_VALUE"""),"-")</f>
        <v>-</v>
      </c>
      <c r="K71" s="15" t="str">
        <f>IFERROR(__xludf.DUMMYFUNCTION("""COMPUTED_VALUE"""),"-")</f>
        <v>-</v>
      </c>
      <c r="L71" s="15" t="str">
        <f>IFERROR(__xludf.DUMMYFUNCTION("""COMPUTED_VALUE"""),"Normal")</f>
        <v>Normal</v>
      </c>
      <c r="M71" s="18" t="s">
        <v>48</v>
      </c>
      <c r="N71" s="18" t="s">
        <v>28</v>
      </c>
    </row>
    <row r="72" hidden="1">
      <c r="A72" s="15" t="str">
        <f>IFERROR(__xludf.DUMMYFUNCTION("""COMPUTED_VALUE"""),"MRNRO0010")</f>
        <v>MRNRO0010</v>
      </c>
      <c r="B72" s="16">
        <f>IFERROR(__xludf.DUMMYFUNCTION("""COMPUTED_VALUE"""),45693.73084386574)</f>
        <v>45693.73084</v>
      </c>
      <c r="C72" s="17">
        <f>IFERROR(__xludf.DUMMYFUNCTION("""COMPUTED_VALUE"""),45694.748861736116)</f>
        <v>45694.74886</v>
      </c>
      <c r="D72" s="15" t="str">
        <f>IFERROR(__xludf.DUMMYFUNCTION("""COMPUTED_VALUE"""),"CC baru di stability")</f>
        <v>CC baru di stability</v>
      </c>
      <c r="E72" s="15" t="str">
        <f>IFERROR(__xludf.DUMMYFUNCTION("""COMPUTED_VALUE"""),"EJO/2025/01/23")</f>
        <v>EJO/2025/01/23</v>
      </c>
      <c r="F72" s="15" t="str">
        <f>IFERROR(__xludf.DUMMYFUNCTION("""COMPUTED_VALUE"""),"General - Tee, PVC, 1 1/4""; Rucika; -; 1 pcs")</f>
        <v>General - Tee, PVC, 1 1/4"; Rucika; -; 1 pcs</v>
      </c>
      <c r="G72" s="15">
        <f>IFERROR(__xludf.DUMMYFUNCTION("""COMPUTED_VALUE"""),1.0)</f>
        <v>1</v>
      </c>
      <c r="H72" s="15" t="str">
        <f>IFERROR(__xludf.DUMMYFUNCTION("""COMPUTED_VALUE"""),"pcs")</f>
        <v>pcs</v>
      </c>
      <c r="I72" s="15" t="str">
        <f>IFERROR(__xludf.DUMMYFUNCTION("""COMPUTED_VALUE"""),"Deliver")</f>
        <v>Deliver</v>
      </c>
      <c r="J72" s="15" t="str">
        <f>IFERROR(__xludf.DUMMYFUNCTION("""COMPUTED_VALUE"""),"-")</f>
        <v>-</v>
      </c>
      <c r="K72" s="15" t="str">
        <f>IFERROR(__xludf.DUMMYFUNCTION("""COMPUTED_VALUE"""),"-")</f>
        <v>-</v>
      </c>
      <c r="L72" s="15" t="str">
        <f>IFERROR(__xludf.DUMMYFUNCTION("""COMPUTED_VALUE"""),"Normal")</f>
        <v>Normal</v>
      </c>
      <c r="M72" s="18" t="s">
        <v>48</v>
      </c>
      <c r="N72" s="18" t="s">
        <v>28</v>
      </c>
    </row>
    <row r="73" hidden="1">
      <c r="A73" s="15" t="str">
        <f>IFERROR(__xludf.DUMMYFUNCTION("""COMPUTED_VALUE"""),"MRNRO0011")</f>
        <v>MRNRO0011</v>
      </c>
      <c r="B73" s="16">
        <f>IFERROR(__xludf.DUMMYFUNCTION("""COMPUTED_VALUE"""),45693.75055214121)</f>
        <v>45693.75055</v>
      </c>
      <c r="C73" s="17">
        <f>IFERROR(__xludf.DUMMYFUNCTION("""COMPUTED_VALUE"""),45694.74903899305)</f>
        <v>45694.74904</v>
      </c>
      <c r="D73" s="15" t="str">
        <f>IFERROR(__xludf.DUMMYFUNCTION("""COMPUTED_VALUE"""),"Building")</f>
        <v>Building</v>
      </c>
      <c r="E73" s="15" t="str">
        <f>IFERROR(__xludf.DUMMYFUNCTION("""COMPUTED_VALUE"""),"EJO/2025/01/28")</f>
        <v>EJO/2025/01/28</v>
      </c>
      <c r="F73" s="15" t="str">
        <f>IFERROR(__xludf.DUMMYFUNCTION("""COMPUTED_VALUE"""),"Kuas Cat Uk. 2 inch;Eterna;Tipe 611;pack size per pcs")</f>
        <v>Kuas Cat Uk. 2 inch;Eterna;Tipe 611;pack size per pcs</v>
      </c>
      <c r="G73" s="15">
        <f>IFERROR(__xludf.DUMMYFUNCTION("""COMPUTED_VALUE"""),10.0)</f>
        <v>10</v>
      </c>
      <c r="H73" s="15" t="str">
        <f>IFERROR(__xludf.DUMMYFUNCTION("""COMPUTED_VALUE"""),"pcs")</f>
        <v>pcs</v>
      </c>
      <c r="I73" s="15" t="str">
        <f>IFERROR(__xludf.DUMMYFUNCTION("""COMPUTED_VALUE"""),"Deliver")</f>
        <v>Deliver</v>
      </c>
      <c r="J73" s="15" t="str">
        <f>IFERROR(__xludf.DUMMYFUNCTION("""COMPUTED_VALUE"""),"-")</f>
        <v>-</v>
      </c>
      <c r="K73" s="15" t="str">
        <f>IFERROR(__xludf.DUMMYFUNCTION("""COMPUTED_VALUE"""),"-")</f>
        <v>-</v>
      </c>
      <c r="L73" s="15" t="str">
        <f>IFERROR(__xludf.DUMMYFUNCTION("""COMPUTED_VALUE"""),"Normal")</f>
        <v>Normal</v>
      </c>
      <c r="M73" s="18" t="s">
        <v>48</v>
      </c>
      <c r="N73" s="18" t="s">
        <v>28</v>
      </c>
    </row>
    <row r="74" hidden="1">
      <c r="A74" s="15" t="str">
        <f>IFERROR(__xludf.DUMMYFUNCTION("""COMPUTED_VALUE"""),"ANORO0001")</f>
        <v>ANORO0001</v>
      </c>
      <c r="B74" s="16">
        <f>IFERROR(__xludf.DUMMYFUNCTION("""COMPUTED_VALUE"""),45693.39191435185)</f>
        <v>45693.39191</v>
      </c>
      <c r="C74" s="17">
        <f>IFERROR(__xludf.DUMMYFUNCTION("""COMPUTED_VALUE"""),45698.382479733795)</f>
        <v>45698.38248</v>
      </c>
      <c r="D74" s="15" t="str">
        <f>IFERROR(__xludf.DUMMYFUNCTION("""COMPUTED_VALUE"""),"Lab micro")</f>
        <v>Lab micro</v>
      </c>
      <c r="E74" s="15" t="str">
        <f>IFERROR(__xludf.DUMMYFUNCTION("""COMPUTED_VALUE"""),"EJO/2025/01/137")</f>
        <v>EJO/2025/01/137</v>
      </c>
      <c r="F74" s="15" t="str">
        <f>IFERROR(__xludf.DUMMYFUNCTION("""COMPUTED_VALUE"""),"Trolly - Roda ABUS 4inch (100 x 27mm), Without Brake; No Brand; -; 1 pc")</f>
        <v>Trolly - Roda ABUS 4inch (100 x 27mm), Without Brake; No Brand; -; 1 pc</v>
      </c>
      <c r="G74" s="15">
        <f>IFERROR(__xludf.DUMMYFUNCTION("""COMPUTED_VALUE"""),5.0)</f>
        <v>5</v>
      </c>
      <c r="H74" s="15" t="str">
        <f>IFERROR(__xludf.DUMMYFUNCTION("""COMPUTED_VALUE"""),"pcs")</f>
        <v>pcs</v>
      </c>
      <c r="I74" s="15" t="str">
        <f>IFERROR(__xludf.DUMMYFUNCTION("""COMPUTED_VALUE"""),"Deliver")</f>
        <v>Deliver</v>
      </c>
      <c r="J74" s="15" t="str">
        <f>IFERROR(__xludf.DUMMYFUNCTION("""COMPUTED_VALUE"""),"-")</f>
        <v>-</v>
      </c>
      <c r="K74" s="15" t="str">
        <f>IFERROR(__xludf.DUMMYFUNCTION("""COMPUTED_VALUE"""),"-")</f>
        <v>-</v>
      </c>
      <c r="L74" s="15" t="str">
        <f>IFERROR(__xludf.DUMMYFUNCTION("""COMPUTED_VALUE"""),"Normal")</f>
        <v>Normal</v>
      </c>
      <c r="M74" s="18" t="s">
        <v>49</v>
      </c>
      <c r="N74" s="18" t="s">
        <v>30</v>
      </c>
    </row>
    <row r="75" hidden="1">
      <c r="A75" s="15" t="str">
        <f>IFERROR(__xludf.DUMMYFUNCTION("""COMPUTED_VALUE"""),"SFHBR0004")</f>
        <v>SFHBR0004</v>
      </c>
      <c r="B75" s="16">
        <f>IFERROR(__xludf.DUMMYFUNCTION("""COMPUTED_VALUE"""),45695.56057479166)</f>
        <v>45695.56057</v>
      </c>
      <c r="C75" s="17">
        <f>IFERROR(__xludf.DUMMYFUNCTION("""COMPUTED_VALUE"""),45698.631758738426)</f>
        <v>45698.63176</v>
      </c>
      <c r="D75" s="15" t="str">
        <f>IFERROR(__xludf.DUMMYFUNCTION("""COMPUTED_VALUE"""),"lantai 2")</f>
        <v>lantai 2</v>
      </c>
      <c r="E75" s="15" t="str">
        <f>IFERROR(__xludf.DUMMYFUNCTION("""COMPUTED_VALUE"""),"-")</f>
        <v>-</v>
      </c>
      <c r="F75" s="15" t="str">
        <f>IFERROR(__xludf.DUMMYFUNCTION("""COMPUTED_VALUE"""),"semen putih")</f>
        <v>semen putih</v>
      </c>
      <c r="G75" s="15">
        <f>IFERROR(__xludf.DUMMYFUNCTION("""COMPUTED_VALUE"""),80.0)</f>
        <v>80</v>
      </c>
      <c r="H75" s="15" t="str">
        <f>IFERROR(__xludf.DUMMYFUNCTION("""COMPUTED_VALUE"""),"kg")</f>
        <v>kg</v>
      </c>
      <c r="I75" s="15" t="str">
        <f>IFERROR(__xludf.DUMMYFUNCTION("""COMPUTED_VALUE"""),"Deliver")</f>
        <v>Deliver</v>
      </c>
      <c r="J75" s="15" t="str">
        <f>IFERROR(__xludf.DUMMYFUNCTION("""COMPUTED_VALUE"""),"-")</f>
        <v>-</v>
      </c>
      <c r="K75" s="15" t="str">
        <f>IFERROR(__xludf.DUMMYFUNCTION("""COMPUTED_VALUE"""),"-")</f>
        <v>-</v>
      </c>
      <c r="L75" s="15" t="str">
        <f>IFERROR(__xludf.DUMMYFUNCTION("""COMPUTED_VALUE"""),"Normal")</f>
        <v>Normal</v>
      </c>
      <c r="M75" s="18" t="s">
        <v>27</v>
      </c>
      <c r="N75" s="18" t="s">
        <v>28</v>
      </c>
    </row>
    <row r="76" hidden="1">
      <c r="A76" s="15" t="str">
        <f>IFERROR(__xludf.DUMMYFUNCTION("""COMPUTED_VALUE"""),"SFHBR0003")</f>
        <v>SFHBR0003</v>
      </c>
      <c r="B76" s="16">
        <f>IFERROR(__xludf.DUMMYFUNCTION("""COMPUTED_VALUE"""),45695.55478181713)</f>
        <v>45695.55478</v>
      </c>
      <c r="C76" s="17">
        <f>IFERROR(__xludf.DUMMYFUNCTION("""COMPUTED_VALUE"""),45698.63344725694)</f>
        <v>45698.63345</v>
      </c>
      <c r="D76" s="15" t="str">
        <f>IFERROR(__xludf.DUMMYFUNCTION("""COMPUTED_VALUE"""),"lantai 2")</f>
        <v>lantai 2</v>
      </c>
      <c r="E76" s="15" t="str">
        <f>IFERROR(__xludf.DUMMYFUNCTION("""COMPUTED_VALUE"""),"-")</f>
        <v>-</v>
      </c>
      <c r="F76" s="15" t="str">
        <f>IFERROR(__xludf.DUMMYFUNCTION("""COMPUTED_VALUE"""),"coumpond sandwich")</f>
        <v>coumpond sandwich</v>
      </c>
      <c r="G76" s="15">
        <f>IFERROR(__xludf.DUMMYFUNCTION("""COMPUTED_VALUE"""),4.0)</f>
        <v>4</v>
      </c>
      <c r="H76" s="15" t="str">
        <f>IFERROR(__xludf.DUMMYFUNCTION("""COMPUTED_VALUE"""),"kg")</f>
        <v>kg</v>
      </c>
      <c r="I76" s="15" t="str">
        <f>IFERROR(__xludf.DUMMYFUNCTION("""COMPUTED_VALUE"""),"Deliver")</f>
        <v>Deliver</v>
      </c>
      <c r="J76" s="15" t="str">
        <f>IFERROR(__xludf.DUMMYFUNCTION("""COMPUTED_VALUE"""),"-")</f>
        <v>-</v>
      </c>
      <c r="K76" s="15" t="str">
        <f>IFERROR(__xludf.DUMMYFUNCTION("""COMPUTED_VALUE"""),"-")</f>
        <v>-</v>
      </c>
      <c r="L76" s="15" t="str">
        <f>IFERROR(__xludf.DUMMYFUNCTION("""COMPUTED_VALUE"""),"Normal")</f>
        <v>Normal</v>
      </c>
      <c r="M76" s="18" t="s">
        <v>27</v>
      </c>
      <c r="N76" s="18" t="s">
        <v>28</v>
      </c>
    </row>
    <row r="77" hidden="1">
      <c r="A77" s="15" t="str">
        <f>IFERROR(__xludf.DUMMYFUNCTION("""COMPUTED_VALUE"""),"RIARO0013")</f>
        <v>RIARO0013</v>
      </c>
      <c r="B77" s="16">
        <f>IFERROR(__xludf.DUMMYFUNCTION("""COMPUTED_VALUE"""),45696.258744942126)</f>
        <v>45696.25874</v>
      </c>
      <c r="C77" s="17">
        <f>IFERROR(__xludf.DUMMYFUNCTION("""COMPUTED_VALUE"""),45698.63372162037)</f>
        <v>45698.63372</v>
      </c>
      <c r="D77" s="15" t="str">
        <f>IFERROR(__xludf.DUMMYFUNCTION("""COMPUTED_VALUE"""),"Heater Mixing")</f>
        <v>Heater Mixing</v>
      </c>
      <c r="E77" s="15" t="str">
        <f>IFERROR(__xludf.DUMMYFUNCTION("""COMPUTED_VALUE"""),"EJO/2025/02/65")</f>
        <v>EJO/2025/02/65</v>
      </c>
      <c r="F77" s="15" t="str">
        <f>IFERROR(__xludf.DUMMYFUNCTION("""COMPUTED_VALUE"""),"General - Exhaust Fan Panel 240VAC; TW; -; 1 pc")</f>
        <v>General - Exhaust Fan Panel 240VAC; TW; -; 1 pc</v>
      </c>
      <c r="G77" s="15">
        <f>IFERROR(__xludf.DUMMYFUNCTION("""COMPUTED_VALUE"""),2.0)</f>
        <v>2</v>
      </c>
      <c r="H77" s="15" t="str">
        <f>IFERROR(__xludf.DUMMYFUNCTION("""COMPUTED_VALUE"""),"Pcs")</f>
        <v>Pcs</v>
      </c>
      <c r="I77" s="15" t="str">
        <f>IFERROR(__xludf.DUMMYFUNCTION("""COMPUTED_VALUE"""),"Deliver")</f>
        <v>Deliver</v>
      </c>
      <c r="J77" s="15" t="str">
        <f>IFERROR(__xludf.DUMMYFUNCTION("""COMPUTED_VALUE"""),"-")</f>
        <v>-</v>
      </c>
      <c r="K77" s="15" t="str">
        <f>IFERROR(__xludf.DUMMYFUNCTION("""COMPUTED_VALUE"""),"-")</f>
        <v>-</v>
      </c>
      <c r="L77" s="15" t="str">
        <f>IFERROR(__xludf.DUMMYFUNCTION("""COMPUTED_VALUE"""),"Normal")</f>
        <v>Normal</v>
      </c>
      <c r="M77" s="18" t="s">
        <v>32</v>
      </c>
      <c r="N77" s="18" t="s">
        <v>28</v>
      </c>
    </row>
    <row r="78" hidden="1">
      <c r="A78" s="15" t="str">
        <f>IFERROR(__xludf.DUMMYFUNCTION("""COMPUTED_VALUE"""),"RIABR0012")</f>
        <v>RIABR0012</v>
      </c>
      <c r="B78" s="16">
        <f>IFERROR(__xludf.DUMMYFUNCTION("""COMPUTED_VALUE"""),45696.26774259259)</f>
        <v>45696.26774</v>
      </c>
      <c r="C78" s="17">
        <f>IFERROR(__xludf.DUMMYFUNCTION("""COMPUTED_VALUE"""),45698.6343947338)</f>
        <v>45698.63439</v>
      </c>
      <c r="D78" s="15" t="str">
        <f>IFERROR(__xludf.DUMMYFUNCTION("""COMPUTED_VALUE"""),"Building Lt 4")</f>
        <v>Building Lt 4</v>
      </c>
      <c r="E78" s="15" t="str">
        <f>IFERROR(__xludf.DUMMYFUNCTION("""COMPUTED_VALUE"""),"EJO/2024/12/68")</f>
        <v>EJO/2024/12/68</v>
      </c>
      <c r="F78" s="15" t="str">
        <f>IFERROR(__xludf.DUMMYFUNCTION("""COMPUTED_VALUE"""),"Ballast")</f>
        <v>Ballast</v>
      </c>
      <c r="G78" s="15">
        <f>IFERROR(__xludf.DUMMYFUNCTION("""COMPUTED_VALUE"""),2.0)</f>
        <v>2</v>
      </c>
      <c r="H78" s="15" t="str">
        <f>IFERROR(__xludf.DUMMYFUNCTION("""COMPUTED_VALUE"""),"Pcs")</f>
        <v>Pcs</v>
      </c>
      <c r="I78" s="15" t="str">
        <f>IFERROR(__xludf.DUMMYFUNCTION("""COMPUTED_VALUE"""),"Deliver")</f>
        <v>Deliver</v>
      </c>
      <c r="J78" s="15" t="str">
        <f>IFERROR(__xludf.DUMMYFUNCTION("""COMPUTED_VALUE"""),"-")</f>
        <v>-</v>
      </c>
      <c r="K78" s="15" t="str">
        <f>IFERROR(__xludf.DUMMYFUNCTION("""COMPUTED_VALUE"""),"-")</f>
        <v>-</v>
      </c>
      <c r="L78" s="15" t="str">
        <f>IFERROR(__xludf.DUMMYFUNCTION("""COMPUTED_VALUE"""),"Normal")</f>
        <v>Normal</v>
      </c>
      <c r="M78" s="18" t="s">
        <v>32</v>
      </c>
      <c r="N78" s="18" t="s">
        <v>28</v>
      </c>
    </row>
    <row r="79" hidden="1">
      <c r="A79" s="15" t="str">
        <f>IFERROR(__xludf.DUMMYFUNCTION("""COMPUTED_VALUE"""),"RIABR0013")</f>
        <v>RIABR0013</v>
      </c>
      <c r="B79" s="16">
        <f>IFERROR(__xludf.DUMMYFUNCTION("""COMPUTED_VALUE"""),45696.27971736111)</f>
        <v>45696.27972</v>
      </c>
      <c r="C79" s="17">
        <f>IFERROR(__xludf.DUMMYFUNCTION("""COMPUTED_VALUE"""),45698.6346064699)</f>
        <v>45698.63461</v>
      </c>
      <c r="D79" s="15" t="str">
        <f>IFERROR(__xludf.DUMMYFUNCTION("""COMPUTED_VALUE"""),"Building Lt 4")</f>
        <v>Building Lt 4</v>
      </c>
      <c r="E79" s="15" t="str">
        <f>IFERROR(__xludf.DUMMYFUNCTION("""COMPUTED_VALUE"""),"EJO/2024/12/68")</f>
        <v>EJO/2024/12/68</v>
      </c>
      <c r="F79" s="15" t="str">
        <f>IFERROR(__xludf.DUMMYFUNCTION("""COMPUTED_VALUE"""),"Lampu LED")</f>
        <v>Lampu LED</v>
      </c>
      <c r="G79" s="15">
        <f>IFERROR(__xludf.DUMMYFUNCTION("""COMPUTED_VALUE"""),20.0)</f>
        <v>20</v>
      </c>
      <c r="H79" s="15" t="str">
        <f>IFERROR(__xludf.DUMMYFUNCTION("""COMPUTED_VALUE"""),"Pcs")</f>
        <v>Pcs</v>
      </c>
      <c r="I79" s="15" t="str">
        <f>IFERROR(__xludf.DUMMYFUNCTION("""COMPUTED_VALUE"""),"Deliver")</f>
        <v>Deliver</v>
      </c>
      <c r="J79" s="15" t="str">
        <f>IFERROR(__xludf.DUMMYFUNCTION("""COMPUTED_VALUE"""),"-")</f>
        <v>-</v>
      </c>
      <c r="K79" s="15" t="str">
        <f>IFERROR(__xludf.DUMMYFUNCTION("""COMPUTED_VALUE"""),"-")</f>
        <v>-</v>
      </c>
      <c r="L79" s="15" t="str">
        <f>IFERROR(__xludf.DUMMYFUNCTION("""COMPUTED_VALUE"""),"Normal")</f>
        <v>Normal</v>
      </c>
      <c r="M79" s="18" t="s">
        <v>32</v>
      </c>
      <c r="N79" s="18" t="s">
        <v>28</v>
      </c>
    </row>
    <row r="80" hidden="1">
      <c r="A80" s="15" t="str">
        <f>IFERROR(__xludf.DUMMYFUNCTION("""COMPUTED_VALUE"""),"RIABR0014")</f>
        <v>RIABR0014</v>
      </c>
      <c r="B80" s="16">
        <f>IFERROR(__xludf.DUMMYFUNCTION("""COMPUTED_VALUE"""),45696.29381403935)</f>
        <v>45696.29381</v>
      </c>
      <c r="C80" s="17">
        <f>IFERROR(__xludf.DUMMYFUNCTION("""COMPUTED_VALUE"""),45698.635704884255)</f>
        <v>45698.6357</v>
      </c>
      <c r="D80" s="15" t="str">
        <f>IFERROR(__xludf.DUMMYFUNCTION("""COMPUTED_VALUE"""),"WWTP")</f>
        <v>WWTP</v>
      </c>
      <c r="E80" s="15" t="str">
        <f>IFERROR(__xludf.DUMMYFUNCTION("""COMPUTED_VALUE"""),"EJO/2025/02/45")</f>
        <v>EJO/2025/02/45</v>
      </c>
      <c r="F80" s="15" t="str">
        <f>IFERROR(__xludf.DUMMYFUNCTION("""COMPUTED_VALUE"""),"Solenoid Valve")</f>
        <v>Solenoid Valve</v>
      </c>
      <c r="G80" s="15">
        <f>IFERROR(__xludf.DUMMYFUNCTION("""COMPUTED_VALUE"""),3.0)</f>
        <v>3</v>
      </c>
      <c r="H80" s="15" t="str">
        <f>IFERROR(__xludf.DUMMYFUNCTION("""COMPUTED_VALUE"""),"Pcs")</f>
        <v>Pcs</v>
      </c>
      <c r="I80" s="15" t="str">
        <f>IFERROR(__xludf.DUMMYFUNCTION("""COMPUTED_VALUE"""),"Deliver")</f>
        <v>Deliver</v>
      </c>
      <c r="J80" s="15" t="str">
        <f>IFERROR(__xludf.DUMMYFUNCTION("""COMPUTED_VALUE"""),"-")</f>
        <v>-</v>
      </c>
      <c r="K80" s="15" t="str">
        <f>IFERROR(__xludf.DUMMYFUNCTION("""COMPUTED_VALUE"""),"-")</f>
        <v>-</v>
      </c>
      <c r="L80" s="15" t="str">
        <f>IFERROR(__xludf.DUMMYFUNCTION("""COMPUTED_VALUE"""),"Normal")</f>
        <v>Normal</v>
      </c>
      <c r="M80" s="18" t="s">
        <v>32</v>
      </c>
      <c r="N80" s="18" t="s">
        <v>28</v>
      </c>
    </row>
    <row r="81" hidden="1">
      <c r="A81" s="15" t="str">
        <f>IFERROR(__xludf.DUMMYFUNCTION("""COMPUTED_VALUE"""),"NDSRO0002")</f>
        <v>NDSRO0002</v>
      </c>
      <c r="B81" s="16">
        <f>IFERROR(__xludf.DUMMYFUNCTION("""COMPUTED_VALUE"""),45698.453369571755)</f>
        <v>45698.45337</v>
      </c>
      <c r="C81" s="17">
        <f>IFERROR(__xludf.DUMMYFUNCTION("""COMPUTED_VALUE"""),45700.57314202547)</f>
        <v>45700.57314</v>
      </c>
      <c r="D81" s="15" t="str">
        <f>IFERROR(__xludf.DUMMYFUNCTION("""COMPUTED_VALUE"""),"Labeling")</f>
        <v>Labeling</v>
      </c>
      <c r="E81" s="15" t="str">
        <f>IFERROR(__xludf.DUMMYFUNCTION("""COMPUTED_VALUE"""),"EJO/2025/02/75")</f>
        <v>EJO/2025/02/75</v>
      </c>
      <c r="F81" s="15" t="str">
        <f>IFERROR(__xludf.DUMMYFUNCTION("""COMPUTED_VALUE"""),"Belt HTD 720-5M-95mm + Lapisan Blue Sponge 6mm DIAN BATARA INTI, PT P/N : -  set")</f>
        <v>Belt HTD 720-5M-95mm + Lapisan Blue Sponge 6mm DIAN BATARA INTI, PT P/N : -  set</v>
      </c>
      <c r="G81" s="15">
        <f>IFERROR(__xludf.DUMMYFUNCTION("""COMPUTED_VALUE"""),3.0)</f>
        <v>3</v>
      </c>
      <c r="H81" s="15" t="str">
        <f>IFERROR(__xludf.DUMMYFUNCTION("""COMPUTED_VALUE"""),"Pcs")</f>
        <v>Pcs</v>
      </c>
      <c r="I81" s="15" t="str">
        <f>IFERROR(__xludf.DUMMYFUNCTION("""COMPUTED_VALUE"""),"Deliver")</f>
        <v>Deliver</v>
      </c>
      <c r="J81" s="15" t="str">
        <f>IFERROR(__xludf.DUMMYFUNCTION("""COMPUTED_VALUE"""),"-")</f>
        <v>-</v>
      </c>
      <c r="K81" s="15" t="str">
        <f>IFERROR(__xludf.DUMMYFUNCTION("""COMPUTED_VALUE"""),"-")</f>
        <v>-</v>
      </c>
      <c r="L81" s="15" t="str">
        <f>IFERROR(__xludf.DUMMYFUNCTION("""COMPUTED_VALUE"""),"Normal")</f>
        <v>Normal</v>
      </c>
      <c r="M81" s="18" t="s">
        <v>50</v>
      </c>
      <c r="N81" s="18" t="s">
        <v>30</v>
      </c>
    </row>
    <row r="82" hidden="1">
      <c r="A82" s="15" t="str">
        <f>IFERROR(__xludf.DUMMYFUNCTION("""COMPUTED_VALUE"""),"NDSRO0001")</f>
        <v>NDSRO0001</v>
      </c>
      <c r="B82" s="16">
        <f>IFERROR(__xludf.DUMMYFUNCTION("""COMPUTED_VALUE"""),45698.442053217594)</f>
        <v>45698.44205</v>
      </c>
      <c r="C82" s="17">
        <f>IFERROR(__xludf.DUMMYFUNCTION("""COMPUTED_VALUE"""),45700.57423015046)</f>
        <v>45700.57423</v>
      </c>
      <c r="D82" s="15" t="str">
        <f>IFERROR(__xludf.DUMMYFUNCTION("""COMPUTED_VALUE"""),"Conveyor A &amp; B")</f>
        <v>Conveyor A &amp; B</v>
      </c>
      <c r="E82" s="15" t="str">
        <f>IFERROR(__xludf.DUMMYFUNCTION("""COMPUTED_VALUE"""),"EJO/2025/02/76")</f>
        <v>EJO/2025/02/76</v>
      </c>
      <c r="F82" s="15" t="str">
        <f>IFERROR(__xludf.DUMMYFUNCTION("""COMPUTED_VALUE"""),"Bola lampu 24V 5 Watt")</f>
        <v>Bola lampu 24V 5 Watt</v>
      </c>
      <c r="G82" s="15">
        <f>IFERROR(__xludf.DUMMYFUNCTION("""COMPUTED_VALUE"""),20.0)</f>
        <v>20</v>
      </c>
      <c r="H82" s="15" t="str">
        <f>IFERROR(__xludf.DUMMYFUNCTION("""COMPUTED_VALUE"""),"Pcs")</f>
        <v>Pcs</v>
      </c>
      <c r="I82" s="15" t="str">
        <f>IFERROR(__xludf.DUMMYFUNCTION("""COMPUTED_VALUE"""),"Deliver")</f>
        <v>Deliver</v>
      </c>
      <c r="J82" s="15" t="str">
        <f>IFERROR(__xludf.DUMMYFUNCTION("""COMPUTED_VALUE"""),"-")</f>
        <v>-</v>
      </c>
      <c r="K82" s="15" t="str">
        <f>IFERROR(__xludf.DUMMYFUNCTION("""COMPUTED_VALUE"""),"-")</f>
        <v>-</v>
      </c>
      <c r="L82" s="15" t="str">
        <f>IFERROR(__xludf.DUMMYFUNCTION("""COMPUTED_VALUE"""),"Normal")</f>
        <v>Normal</v>
      </c>
      <c r="M82" s="18" t="s">
        <v>50</v>
      </c>
      <c r="N82" s="18" t="s">
        <v>30</v>
      </c>
    </row>
    <row r="83" hidden="1">
      <c r="A83" s="15" t="str">
        <f>IFERROR(__xludf.DUMMYFUNCTION("""COMPUTED_VALUE"""),"RIARO0012")</f>
        <v>RIARO0012</v>
      </c>
      <c r="B83" s="16">
        <f>IFERROR(__xludf.DUMMYFUNCTION("""COMPUTED_VALUE"""),45696.25871767361)</f>
        <v>45696.25872</v>
      </c>
      <c r="C83" s="17">
        <f>IFERROR(__xludf.DUMMYFUNCTION("""COMPUTED_VALUE"""),45700.61964012731)</f>
        <v>45700.61964</v>
      </c>
      <c r="D83" s="15" t="str">
        <f>IFERROR(__xludf.DUMMYFUNCTION("""COMPUTED_VALUE"""),"PW SKID")</f>
        <v>PW SKID</v>
      </c>
      <c r="E83" s="15" t="str">
        <f>IFERROR(__xludf.DUMMYFUNCTION("""COMPUTED_VALUE"""),"EJO/2025/02/38")</f>
        <v>EJO/2025/02/38</v>
      </c>
      <c r="F83" s="15" t="str">
        <f>IFERROR(__xludf.DUMMYFUNCTION("""COMPUTED_VALUE"""),"UV DEVICE ; REMOVAL OF OZONE; HANOVIA UV; Pharma Line SD55; ID : S203-001")</f>
        <v>UV DEVICE ; REMOVAL OF OZONE; HANOVIA UV; Pharma Line SD55; ID : S203-001</v>
      </c>
      <c r="G83" s="15">
        <f>IFERROR(__xludf.DUMMYFUNCTION("""COMPUTED_VALUE"""),2.0)</f>
        <v>2</v>
      </c>
      <c r="H83" s="15" t="str">
        <f>IFERROR(__xludf.DUMMYFUNCTION("""COMPUTED_VALUE"""),"Pcs")</f>
        <v>Pcs</v>
      </c>
      <c r="I83" s="15" t="str">
        <f>IFERROR(__xludf.DUMMYFUNCTION("""COMPUTED_VALUE"""),"Deliver")</f>
        <v>Deliver</v>
      </c>
      <c r="J83" s="15" t="str">
        <f>IFERROR(__xludf.DUMMYFUNCTION("""COMPUTED_VALUE"""),"-")</f>
        <v>-</v>
      </c>
      <c r="K83" s="15" t="str">
        <f>IFERROR(__xludf.DUMMYFUNCTION("""COMPUTED_VALUE"""),"-")</f>
        <v>-</v>
      </c>
      <c r="L83" s="15" t="str">
        <f>IFERROR(__xludf.DUMMYFUNCTION("""COMPUTED_VALUE"""),"Urgent")</f>
        <v>Urgent</v>
      </c>
      <c r="M83" s="18" t="s">
        <v>32</v>
      </c>
      <c r="N83" s="18" t="s">
        <v>28</v>
      </c>
    </row>
    <row r="84" hidden="1">
      <c r="A84" s="15" t="str">
        <f>IFERROR(__xludf.DUMMYFUNCTION("""COMPUTED_VALUE"""),"SFHRO0003")</f>
        <v>SFHRO0003</v>
      </c>
      <c r="B84" s="16">
        <f>IFERROR(__xludf.DUMMYFUNCTION("""COMPUTED_VALUE"""),45699.18760521991)</f>
        <v>45699.18761</v>
      </c>
      <c r="C84" s="17">
        <f>IFERROR(__xludf.DUMMYFUNCTION("""COMPUTED_VALUE"""),45700.63538237269)</f>
        <v>45700.63538</v>
      </c>
      <c r="D84" s="15" t="str">
        <f>IFERROR(__xludf.DUMMYFUNCTION("""COMPUTED_VALUE"""),"lantai 2")</f>
        <v>lantai 2</v>
      </c>
      <c r="E84" s="15" t="str">
        <f>IFERROR(__xludf.DUMMYFUNCTION("""COMPUTED_VALUE"""),"-")</f>
        <v>-</v>
      </c>
      <c r="F84" s="15" t="str">
        <f>IFERROR(__xludf.DUMMYFUNCTION("""COMPUTED_VALUE"""),"Thinner Super End/Impala @ 1 Liter")</f>
        <v>Thinner Super End/Impala @ 1 Liter</v>
      </c>
      <c r="G84" s="15">
        <f>IFERROR(__xludf.DUMMYFUNCTION("""COMPUTED_VALUE"""),20.0)</f>
        <v>20</v>
      </c>
      <c r="H84" s="15" t="str">
        <f>IFERROR(__xludf.DUMMYFUNCTION("""COMPUTED_VALUE"""),"liter")</f>
        <v>liter</v>
      </c>
      <c r="I84" s="15" t="str">
        <f>IFERROR(__xludf.DUMMYFUNCTION("""COMPUTED_VALUE"""),"Deliver")</f>
        <v>Deliver</v>
      </c>
      <c r="J84" s="15" t="str">
        <f>IFERROR(__xludf.DUMMYFUNCTION("""COMPUTED_VALUE"""),"-")</f>
        <v>-</v>
      </c>
      <c r="K84" s="15" t="str">
        <f>IFERROR(__xludf.DUMMYFUNCTION("""COMPUTED_VALUE"""),"-")</f>
        <v>-</v>
      </c>
      <c r="L84" s="15" t="str">
        <f>IFERROR(__xludf.DUMMYFUNCTION("""COMPUTED_VALUE"""),"Normal")</f>
        <v>Normal</v>
      </c>
      <c r="M84" s="18" t="s">
        <v>27</v>
      </c>
      <c r="N84" s="18" t="s">
        <v>28</v>
      </c>
    </row>
    <row r="85" hidden="1">
      <c r="A85" s="15" t="str">
        <f>IFERROR(__xludf.DUMMYFUNCTION("""COMPUTED_VALUE"""),"SFHBR0006")</f>
        <v>SFHBR0006</v>
      </c>
      <c r="B85" s="16">
        <f>IFERROR(__xludf.DUMMYFUNCTION("""COMPUTED_VALUE"""),45699.6596987037)</f>
        <v>45699.6597</v>
      </c>
      <c r="C85" s="17">
        <f>IFERROR(__xludf.DUMMYFUNCTION("""COMPUTED_VALUE"""),45700.64197207176)</f>
        <v>45700.64197</v>
      </c>
      <c r="D85" s="15" t="str">
        <f>IFERROR(__xludf.DUMMYFUNCTION("""COMPUTED_VALUE"""),"lantai 2 ")</f>
        <v>lantai 2 </v>
      </c>
      <c r="E85" s="15" t="str">
        <f>IFERROR(__xludf.DUMMYFUNCTION("""COMPUTED_VALUE"""),"-")</f>
        <v>-</v>
      </c>
      <c r="F85" s="15" t="str">
        <f>IFERROR(__xludf.DUMMYFUNCTION("""COMPUTED_VALUE"""),"cat dulux buat flafon")</f>
        <v>cat dulux buat flafon</v>
      </c>
      <c r="G85" s="15">
        <f>IFERROR(__xludf.DUMMYFUNCTION("""COMPUTED_VALUE"""),5.0)</f>
        <v>5</v>
      </c>
      <c r="H85" s="15" t="str">
        <f>IFERROR(__xludf.DUMMYFUNCTION("""COMPUTED_VALUE"""),"Pel")</f>
        <v>Pel</v>
      </c>
      <c r="I85" s="15" t="str">
        <f>IFERROR(__xludf.DUMMYFUNCTION("""COMPUTED_VALUE"""),"Deliver")</f>
        <v>Deliver</v>
      </c>
      <c r="J85" s="15" t="str">
        <f>IFERROR(__xludf.DUMMYFUNCTION("""COMPUTED_VALUE"""),"-")</f>
        <v>-</v>
      </c>
      <c r="K85" s="15" t="str">
        <f>IFERROR(__xludf.DUMMYFUNCTION("""COMPUTED_VALUE"""),"-")</f>
        <v>-</v>
      </c>
      <c r="L85" s="15" t="str">
        <f>IFERROR(__xludf.DUMMYFUNCTION("""COMPUTED_VALUE"""),"Normal")</f>
        <v>Normal</v>
      </c>
      <c r="M85" s="18" t="s">
        <v>27</v>
      </c>
      <c r="N85" s="18" t="s">
        <v>28</v>
      </c>
    </row>
    <row r="86" hidden="1">
      <c r="A86" s="15" t="str">
        <f>IFERROR(__xludf.DUMMYFUNCTION("""COMPUTED_VALUE"""),"MOBBR0016")</f>
        <v>MOBBR0016</v>
      </c>
      <c r="B86" s="16">
        <f>IFERROR(__xludf.DUMMYFUNCTION("""COMPUTED_VALUE"""),45705.505491006945)</f>
        <v>45705.50549</v>
      </c>
      <c r="C86" s="17">
        <f>IFERROR(__xludf.DUMMYFUNCTION("""COMPUTED_VALUE"""),45706.61104431713)</f>
        <v>45706.61104</v>
      </c>
      <c r="D86" s="15" t="str">
        <f>IFERROR(__xludf.DUMMYFUNCTION("""COMPUTED_VALUE"""),"Plambing Building")</f>
        <v>Plambing Building</v>
      </c>
      <c r="E86" s="15" t="str">
        <f>IFERROR(__xludf.DUMMYFUNCTION("""COMPUTED_VALUE"""),"EJO/2025/02/127")</f>
        <v>EJO/2025/02/127</v>
      </c>
      <c r="F86" s="15" t="str">
        <f>IFERROR(__xludf.DUMMYFUNCTION("""COMPUTED_VALUE"""),"Pipa PVC")</f>
        <v>Pipa PVC</v>
      </c>
      <c r="G86" s="15">
        <f>IFERROR(__xludf.DUMMYFUNCTION("""COMPUTED_VALUE"""),6.0)</f>
        <v>6</v>
      </c>
      <c r="H86" s="15" t="str">
        <f>IFERROR(__xludf.DUMMYFUNCTION("""COMPUTED_VALUE"""),"Pcs")</f>
        <v>Pcs</v>
      </c>
      <c r="I86" s="15" t="str">
        <f>IFERROR(__xludf.DUMMYFUNCTION("""COMPUTED_VALUE"""),"Deliver")</f>
        <v>Deliver</v>
      </c>
      <c r="J86" s="15" t="str">
        <f>IFERROR(__xludf.DUMMYFUNCTION("""COMPUTED_VALUE"""),"-")</f>
        <v>-</v>
      </c>
      <c r="K86" s="15" t="str">
        <f>IFERROR(__xludf.DUMMYFUNCTION("""COMPUTED_VALUE"""),"-")</f>
        <v>-</v>
      </c>
      <c r="L86" s="15" t="str">
        <f>IFERROR(__xludf.DUMMYFUNCTION("""COMPUTED_VALUE"""),"Normal")</f>
        <v>Normal</v>
      </c>
      <c r="M86" s="18" t="s">
        <v>31</v>
      </c>
      <c r="N86" s="18" t="s">
        <v>28</v>
      </c>
    </row>
    <row r="87" hidden="1">
      <c r="A87" s="15" t="str">
        <f>IFERROR(__xludf.DUMMYFUNCTION("""COMPUTED_VALUE"""),"MOBBR0017")</f>
        <v>MOBBR0017</v>
      </c>
      <c r="B87" s="16">
        <f>IFERROR(__xludf.DUMMYFUNCTION("""COMPUTED_VALUE"""),45705.50774033565)</f>
        <v>45705.50774</v>
      </c>
      <c r="C87" s="17">
        <f>IFERROR(__xludf.DUMMYFUNCTION("""COMPUTED_VALUE"""),45706.61130819444)</f>
        <v>45706.61131</v>
      </c>
      <c r="D87" s="15" t="str">
        <f>IFERROR(__xludf.DUMMYFUNCTION("""COMPUTED_VALUE"""),"Plambing Building")</f>
        <v>Plambing Building</v>
      </c>
      <c r="E87" s="15" t="str">
        <f>IFERROR(__xludf.DUMMYFUNCTION("""COMPUTED_VALUE"""),"-")</f>
        <v>-</v>
      </c>
      <c r="F87" s="15" t="str">
        <f>IFERROR(__xludf.DUMMYFUNCTION("""COMPUTED_VALUE"""),"Pipa PVC")</f>
        <v>Pipa PVC</v>
      </c>
      <c r="G87" s="15">
        <f>IFERROR(__xludf.DUMMYFUNCTION("""COMPUTED_VALUE"""),6.0)</f>
        <v>6</v>
      </c>
      <c r="H87" s="15" t="str">
        <f>IFERROR(__xludf.DUMMYFUNCTION("""COMPUTED_VALUE"""),"Pcs")</f>
        <v>Pcs</v>
      </c>
      <c r="I87" s="15" t="str">
        <f>IFERROR(__xludf.DUMMYFUNCTION("""COMPUTED_VALUE"""),"Deliver")</f>
        <v>Deliver</v>
      </c>
      <c r="J87" s="15" t="str">
        <f>IFERROR(__xludf.DUMMYFUNCTION("""COMPUTED_VALUE"""),"-")</f>
        <v>-</v>
      </c>
      <c r="K87" s="15" t="str">
        <f>IFERROR(__xludf.DUMMYFUNCTION("""COMPUTED_VALUE"""),"-")</f>
        <v>-</v>
      </c>
      <c r="L87" s="15" t="str">
        <f>IFERROR(__xludf.DUMMYFUNCTION("""COMPUTED_VALUE"""),"Normal")</f>
        <v>Normal</v>
      </c>
      <c r="M87" s="18" t="s">
        <v>31</v>
      </c>
      <c r="N87" s="18" t="s">
        <v>28</v>
      </c>
    </row>
    <row r="88" hidden="1">
      <c r="A88" s="15" t="str">
        <f>IFERROR(__xludf.DUMMYFUNCTION("""COMPUTED_VALUE"""),"SFHBR0007")</f>
        <v>SFHBR0007</v>
      </c>
      <c r="B88" s="16">
        <f>IFERROR(__xludf.DUMMYFUNCTION("""COMPUTED_VALUE"""),45702.09946612269)</f>
        <v>45702.09947</v>
      </c>
      <c r="C88" s="17">
        <f>IFERROR(__xludf.DUMMYFUNCTION("""COMPUTED_VALUE"""),45706.6180833449)</f>
        <v>45706.61808</v>
      </c>
      <c r="D88" s="15" t="str">
        <f>IFERROR(__xludf.DUMMYFUNCTION("""COMPUTED_VALUE"""),"lantai 2")</f>
        <v>lantai 2</v>
      </c>
      <c r="E88" s="15" t="str">
        <f>IFERROR(__xludf.DUMMYFUNCTION("""COMPUTED_VALUE"""),"-")</f>
        <v>-</v>
      </c>
      <c r="F88" s="15" t="str">
        <f>IFERROR(__xludf.DUMMYFUNCTION("""COMPUTED_VALUE"""),"cat propan buat sandwich panel")</f>
        <v>cat propan buat sandwich panel</v>
      </c>
      <c r="G88" s="15">
        <f>IFERROR(__xludf.DUMMYFUNCTION("""COMPUTED_VALUE"""),3.0)</f>
        <v>3</v>
      </c>
      <c r="H88" s="15" t="str">
        <f>IFERROR(__xludf.DUMMYFUNCTION("""COMPUTED_VALUE"""),"pel")</f>
        <v>pel</v>
      </c>
      <c r="I88" s="15" t="str">
        <f>IFERROR(__xludf.DUMMYFUNCTION("""COMPUTED_VALUE"""),"Deliver")</f>
        <v>Deliver</v>
      </c>
      <c r="J88" s="15" t="str">
        <f>IFERROR(__xludf.DUMMYFUNCTION("""COMPUTED_VALUE"""),"-")</f>
        <v>-</v>
      </c>
      <c r="K88" s="15" t="str">
        <f>IFERROR(__xludf.DUMMYFUNCTION("""COMPUTED_VALUE"""),"-")</f>
        <v>-</v>
      </c>
      <c r="L88" s="15" t="str">
        <f>IFERROR(__xludf.DUMMYFUNCTION("""COMPUTED_VALUE"""),"Normal")</f>
        <v>Normal</v>
      </c>
      <c r="M88" s="18" t="s">
        <v>27</v>
      </c>
      <c r="N88" s="18" t="s">
        <v>28</v>
      </c>
    </row>
    <row r="89" hidden="1">
      <c r="A89" s="15" t="str">
        <f>IFERROR(__xludf.DUMMYFUNCTION("""COMPUTED_VALUE"""),"SFHJA0001")</f>
        <v>SFHJA0001</v>
      </c>
      <c r="B89" s="16">
        <f>IFERROR(__xludf.DUMMYFUNCTION("""COMPUTED_VALUE"""),45698.64258170139)</f>
        <v>45698.64258</v>
      </c>
      <c r="C89" s="17">
        <f>IFERROR(__xludf.DUMMYFUNCTION("""COMPUTED_VALUE"""),45707.52329038195)</f>
        <v>45707.52329</v>
      </c>
      <c r="D89" s="15" t="str">
        <f>IFERROR(__xludf.DUMMYFUNCTION("""COMPUTED_VALUE"""),"AHU ruang fresh air")</f>
        <v>AHU ruang fresh air</v>
      </c>
      <c r="E89" s="15" t="str">
        <f>IFERROR(__xludf.DUMMYFUNCTION("""COMPUTED_VALUE"""),"EJO/2025/01/13")</f>
        <v>EJO/2025/01/13</v>
      </c>
      <c r="F89" s="15" t="str">
        <f>IFERROR(__xludf.DUMMYFUNCTION("""COMPUTED_VALUE"""),"pemasangan mesh protector")</f>
        <v>pemasangan mesh protector</v>
      </c>
      <c r="G89" s="15">
        <f>IFERROR(__xludf.DUMMYFUNCTION("""COMPUTED_VALUE"""),1.0)</f>
        <v>1</v>
      </c>
      <c r="H89" s="15" t="str">
        <f>IFERROR(__xludf.DUMMYFUNCTION("""COMPUTED_VALUE"""),"Lot")</f>
        <v>Lot</v>
      </c>
      <c r="I89" s="15" t="str">
        <f>IFERROR(__xludf.DUMMYFUNCTION("""COMPUTED_VALUE"""),"Deliver")</f>
        <v>Deliver</v>
      </c>
      <c r="J89" s="15" t="str">
        <f>IFERROR(__xludf.DUMMYFUNCTION("""COMPUTED_VALUE"""),"-")</f>
        <v>-</v>
      </c>
      <c r="K89" s="15" t="str">
        <f>IFERROR(__xludf.DUMMYFUNCTION("""COMPUTED_VALUE"""),"-")</f>
        <v>-</v>
      </c>
      <c r="L89" s="15" t="str">
        <f>IFERROR(__xludf.DUMMYFUNCTION("""COMPUTED_VALUE"""),"Normal")</f>
        <v>Normal</v>
      </c>
      <c r="M89" s="18" t="s">
        <v>27</v>
      </c>
      <c r="N89" s="18" t="s">
        <v>28</v>
      </c>
    </row>
    <row r="90" hidden="1">
      <c r="A90" s="15" t="str">
        <f>IFERROR(__xludf.DUMMYFUNCTION("""COMPUTED_VALUE"""),"SFHBR0008")</f>
        <v>SFHBR0008</v>
      </c>
      <c r="B90" s="16">
        <f>IFERROR(__xludf.DUMMYFUNCTION("""COMPUTED_VALUE"""),45707.43580172454)</f>
        <v>45707.4358</v>
      </c>
      <c r="C90" s="17">
        <f>IFERROR(__xludf.DUMMYFUNCTION("""COMPUTED_VALUE"""),45707.529199178236)</f>
        <v>45707.5292</v>
      </c>
      <c r="D90" s="15" t="str">
        <f>IFERROR(__xludf.DUMMYFUNCTION("""COMPUTED_VALUE"""),"lantai 1")</f>
        <v>lantai 1</v>
      </c>
      <c r="E90" s="15" t="str">
        <f>IFERROR(__xludf.DUMMYFUNCTION("""COMPUTED_VALUE"""),"EJO/2025/02/108")</f>
        <v>EJO/2025/02/108</v>
      </c>
      <c r="F90" s="15" t="str">
        <f>IFERROR(__xludf.DUMMYFUNCTION("""COMPUTED_VALUE"""),"kawat wire mesh")</f>
        <v>kawat wire mesh</v>
      </c>
      <c r="G90" s="15">
        <f>IFERROR(__xludf.DUMMYFUNCTION("""COMPUTED_VALUE"""),10.0)</f>
        <v>10</v>
      </c>
      <c r="H90" s="15" t="str">
        <f>IFERROR(__xludf.DUMMYFUNCTION("""COMPUTED_VALUE"""),"meter ")</f>
        <v>meter </v>
      </c>
      <c r="I90" s="15" t="str">
        <f>IFERROR(__xludf.DUMMYFUNCTION("""COMPUTED_VALUE"""),"Deliver")</f>
        <v>Deliver</v>
      </c>
      <c r="J90" s="15" t="str">
        <f>IFERROR(__xludf.DUMMYFUNCTION("""COMPUTED_VALUE"""),"-")</f>
        <v>-</v>
      </c>
      <c r="K90" s="15" t="str">
        <f>IFERROR(__xludf.DUMMYFUNCTION("""COMPUTED_VALUE"""),"-")</f>
        <v>-</v>
      </c>
      <c r="L90" s="15" t="str">
        <f>IFERROR(__xludf.DUMMYFUNCTION("""COMPUTED_VALUE"""),"Normal")</f>
        <v>Normal</v>
      </c>
      <c r="M90" s="18" t="s">
        <v>27</v>
      </c>
      <c r="N90" s="18" t="s">
        <v>28</v>
      </c>
    </row>
    <row r="91" hidden="1">
      <c r="A91" s="15" t="str">
        <f>IFERROR(__xludf.DUMMYFUNCTION("""COMPUTED_VALUE"""),"MOBRO0018")</f>
        <v>MOBRO0018</v>
      </c>
      <c r="B91" s="16">
        <f>IFERROR(__xludf.DUMMYFUNCTION("""COMPUTED_VALUE"""),45691.58993614583)</f>
        <v>45691.58994</v>
      </c>
      <c r="C91" s="17">
        <f>IFERROR(__xludf.DUMMYFUNCTION("""COMPUTED_VALUE"""),45709.5518825926)</f>
        <v>45709.55188</v>
      </c>
      <c r="D91" s="15" t="str">
        <f>IFERROR(__xludf.DUMMYFUNCTION("""COMPUTED_VALUE"""),"UV Lamp PW SKID")</f>
        <v>UV Lamp PW SKID</v>
      </c>
      <c r="E91" s="15" t="str">
        <f>IFERROR(__xludf.DUMMYFUNCTION("""COMPUTED_VALUE"""),"EJO/2025/02/38")</f>
        <v>EJO/2025/02/38</v>
      </c>
      <c r="F91" s="15" t="str">
        <f>IFERROR(__xludf.DUMMYFUNCTION("""COMPUTED_VALUE"""),"Arc tube Hanovia UV System; HANOVIA; p/n 130071 - 0320 - 01;")</f>
        <v>Arc tube Hanovia UV System; HANOVIA; p/n 130071 - 0320 - 01;</v>
      </c>
      <c r="G91" s="15">
        <f>IFERROR(__xludf.DUMMYFUNCTION("""COMPUTED_VALUE"""),2.0)</f>
        <v>2</v>
      </c>
      <c r="H91" s="15" t="str">
        <f>IFERROR(__xludf.DUMMYFUNCTION("""COMPUTED_VALUE"""),"Pcs")</f>
        <v>Pcs</v>
      </c>
      <c r="I91" s="15" t="str">
        <f>IFERROR(__xludf.DUMMYFUNCTION("""COMPUTED_VALUE"""),"Deliver")</f>
        <v>Deliver</v>
      </c>
      <c r="J91" s="15" t="str">
        <f>IFERROR(__xludf.DUMMYFUNCTION("""COMPUTED_VALUE"""),"-")</f>
        <v>-</v>
      </c>
      <c r="K91" s="15" t="str">
        <f>IFERROR(__xludf.DUMMYFUNCTION("""COMPUTED_VALUE"""),"-")</f>
        <v>-</v>
      </c>
      <c r="L91" s="15" t="str">
        <f>IFERROR(__xludf.DUMMYFUNCTION("""COMPUTED_VALUE"""),"Urgent")</f>
        <v>Urgent</v>
      </c>
      <c r="M91" s="18" t="s">
        <v>31</v>
      </c>
      <c r="N91" s="18" t="s">
        <v>28</v>
      </c>
    </row>
    <row r="92" hidden="1">
      <c r="A92" s="15" t="str">
        <f>IFERROR(__xludf.DUMMYFUNCTION("""COMPUTED_VALUE"""),"AAARO0001")</f>
        <v>AAARO0001</v>
      </c>
      <c r="B92" s="16">
        <f>IFERROR(__xludf.DUMMYFUNCTION("""COMPUTED_VALUE"""),46255.82219748843)</f>
        <v>46255.8222</v>
      </c>
      <c r="C92" s="17">
        <f>IFERROR(__xludf.DUMMYFUNCTION("""COMPUTED_VALUE"""),45709.598167291675)</f>
        <v>45709.59817</v>
      </c>
      <c r="D92" s="15" t="str">
        <f>IFERROR(__xludf.DUMMYFUNCTION("""COMPUTED_VALUE"""),"Mixing Tank")</f>
        <v>Mixing Tank</v>
      </c>
      <c r="E92" s="15" t="str">
        <f>IFERROR(__xludf.DUMMYFUNCTION("""COMPUTED_VALUE"""),"EJO/2025/02/142")</f>
        <v>EJO/2025/02/142</v>
      </c>
      <c r="F92" s="15" t="str">
        <f>IFERROR(__xludf.DUMMYFUNCTION("""COMPUTED_VALUE"""),"SENSOR SUHU 2 x PT100 (DUPLEX), Jumo type 902810/13 Dia probe 6 mm, probe lenght 150 mm, conection threaded dia 29,1 mm. range temp. -15 ~ 150 oC.")</f>
        <v>SENSOR SUHU 2 x PT100 (DUPLEX), Jumo type 902810/13 Dia probe 6 mm, probe lenght 150 mm, conection threaded dia 29,1 mm. range temp. -15 ~ 150 oC.</v>
      </c>
      <c r="G92" s="15">
        <f>IFERROR(__xludf.DUMMYFUNCTION("""COMPUTED_VALUE"""),3.0)</f>
        <v>3</v>
      </c>
      <c r="H92" s="15" t="str">
        <f>IFERROR(__xludf.DUMMYFUNCTION("""COMPUTED_VALUE"""),"Pcs")</f>
        <v>Pcs</v>
      </c>
      <c r="I92" s="15" t="str">
        <f>IFERROR(__xludf.DUMMYFUNCTION("""COMPUTED_VALUE"""),"Deliver")</f>
        <v>Deliver</v>
      </c>
      <c r="J92" s="15" t="str">
        <f>IFERROR(__xludf.DUMMYFUNCTION("""COMPUTED_VALUE"""),"-")</f>
        <v>-</v>
      </c>
      <c r="K92" s="15" t="str">
        <f>IFERROR(__xludf.DUMMYFUNCTION("""COMPUTED_VALUE"""),"-")</f>
        <v>-</v>
      </c>
      <c r="L92" s="15" t="str">
        <f>IFERROR(__xludf.DUMMYFUNCTION("""COMPUTED_VALUE"""),"Urgent")</f>
        <v>Urgent</v>
      </c>
      <c r="M92" s="18" t="s">
        <v>47</v>
      </c>
      <c r="N92" s="18" t="s">
        <v>30</v>
      </c>
    </row>
    <row r="93" hidden="1">
      <c r="A93" s="15" t="str">
        <f>IFERROR(__xludf.DUMMYFUNCTION("""COMPUTED_VALUE"""),"MOBRO0023")</f>
        <v>MOBRO0023</v>
      </c>
      <c r="B93" s="16">
        <f>IFERROR(__xludf.DUMMYFUNCTION("""COMPUTED_VALUE"""),45707.49983197916)</f>
        <v>45707.49983</v>
      </c>
      <c r="C93" s="17">
        <f>IFERROR(__xludf.DUMMYFUNCTION("""COMPUTED_VALUE"""),45712.51459329861)</f>
        <v>45712.51459</v>
      </c>
      <c r="D93" s="15" t="str">
        <f>IFERROR(__xludf.DUMMYFUNCTION("""COMPUTED_VALUE"""),"FMS AHU")</f>
        <v>FMS AHU</v>
      </c>
      <c r="E93" s="15" t="str">
        <f>IFERROR(__xludf.DUMMYFUNCTION("""COMPUTED_VALUE"""),"EJO/2025/02/91")</f>
        <v>EJO/2025/02/91</v>
      </c>
      <c r="F93" s="15" t="str">
        <f>IFERROR(__xludf.DUMMYFUNCTION("""COMPUTED_VALUE"""),"General - TU Polyurethane Tubing, TU1065C-100; SMC Pneumatics; -; 1 roll")</f>
        <v>General - TU Polyurethane Tubing, TU1065C-100; SMC Pneumatics; -; 1 roll</v>
      </c>
      <c r="G93" s="15">
        <f>IFERROR(__xludf.DUMMYFUNCTION("""COMPUTED_VALUE"""),4.0)</f>
        <v>4</v>
      </c>
      <c r="H93" s="15" t="str">
        <f>IFERROR(__xludf.DUMMYFUNCTION("""COMPUTED_VALUE"""),"Pcs")</f>
        <v>Pcs</v>
      </c>
      <c r="I93" s="15" t="str">
        <f>IFERROR(__xludf.DUMMYFUNCTION("""COMPUTED_VALUE"""),"Deliver")</f>
        <v>Deliver</v>
      </c>
      <c r="J93" s="15" t="str">
        <f>IFERROR(__xludf.DUMMYFUNCTION("""COMPUTED_VALUE"""),"-")</f>
        <v>-</v>
      </c>
      <c r="K93" s="15" t="str">
        <f>IFERROR(__xludf.DUMMYFUNCTION("""COMPUTED_VALUE"""),"-")</f>
        <v>-</v>
      </c>
      <c r="L93" s="15" t="str">
        <f>IFERROR(__xludf.DUMMYFUNCTION("""COMPUTED_VALUE"""),"Normal")</f>
        <v>Normal</v>
      </c>
      <c r="M93" s="18" t="s">
        <v>31</v>
      </c>
      <c r="N93" s="18" t="s">
        <v>28</v>
      </c>
    </row>
    <row r="94" hidden="1">
      <c r="A94" s="15" t="str">
        <f>IFERROR(__xludf.DUMMYFUNCTION("""COMPUTED_VALUE"""),"RIARO0014")</f>
        <v>RIARO0014</v>
      </c>
      <c r="B94" s="16">
        <f>IFERROR(__xludf.DUMMYFUNCTION("""COMPUTED_VALUE"""),45708.40492289352)</f>
        <v>45708.40492</v>
      </c>
      <c r="C94" s="17">
        <f>IFERROR(__xludf.DUMMYFUNCTION("""COMPUTED_VALUE"""),45712.51503483796)</f>
        <v>45712.51503</v>
      </c>
      <c r="D94" s="15" t="str">
        <f>IFERROR(__xludf.DUMMYFUNCTION("""COMPUTED_VALUE"""),"Pipa FW OSD")</f>
        <v>Pipa FW OSD</v>
      </c>
      <c r="E94" s="15" t="str">
        <f>IFERROR(__xludf.DUMMYFUNCTION("""COMPUTED_VALUE"""),"EJO/2024/12/75")</f>
        <v>EJO/2024/12/75</v>
      </c>
      <c r="F94" s="15" t="str">
        <f>IFERROR(__xludf.DUMMYFUNCTION("""COMPUTED_VALUE"""),"Acrylic tebal 5mm ukr : 1000 x 2000")</f>
        <v>Acrylic tebal 5mm ukr : 1000 x 2000</v>
      </c>
      <c r="G94" s="15">
        <f>IFERROR(__xludf.DUMMYFUNCTION("""COMPUTED_VALUE"""),1.0)</f>
        <v>1</v>
      </c>
      <c r="H94" s="15" t="str">
        <f>IFERROR(__xludf.DUMMYFUNCTION("""COMPUTED_VALUE"""),"Pcs")</f>
        <v>Pcs</v>
      </c>
      <c r="I94" s="15" t="str">
        <f>IFERROR(__xludf.DUMMYFUNCTION("""COMPUTED_VALUE"""),"Deliver")</f>
        <v>Deliver</v>
      </c>
      <c r="J94" s="15" t="str">
        <f>IFERROR(__xludf.DUMMYFUNCTION("""COMPUTED_VALUE"""),"-")</f>
        <v>-</v>
      </c>
      <c r="K94" s="15" t="str">
        <f>IFERROR(__xludf.DUMMYFUNCTION("""COMPUTED_VALUE"""),"-")</f>
        <v>-</v>
      </c>
      <c r="L94" s="15" t="str">
        <f>IFERROR(__xludf.DUMMYFUNCTION("""COMPUTED_VALUE"""),"Normal")</f>
        <v>Normal</v>
      </c>
      <c r="M94" s="18" t="s">
        <v>32</v>
      </c>
      <c r="N94" s="18" t="s">
        <v>28</v>
      </c>
    </row>
    <row r="95" hidden="1">
      <c r="A95" s="15" t="str">
        <f>IFERROR(__xludf.DUMMYFUNCTION("""COMPUTED_VALUE"""),"ANORO0003")</f>
        <v>ANORO0003</v>
      </c>
      <c r="B95" s="16">
        <f>IFERROR(__xludf.DUMMYFUNCTION("""COMPUTED_VALUE"""),45703.74109815972)</f>
        <v>45703.7411</v>
      </c>
      <c r="C95" s="17">
        <f>IFERROR(__xludf.DUMMYFUNCTION("""COMPUTED_VALUE"""),45712.964251111116)</f>
        <v>45712.96425</v>
      </c>
      <c r="D95" s="15" t="str">
        <f>IFERROR(__xludf.DUMMYFUNCTION("""COMPUTED_VALUE"""),"washing ")</f>
        <v>washing </v>
      </c>
      <c r="E95" s="15" t="str">
        <f>IFERROR(__xludf.DUMMYFUNCTION("""COMPUTED_VALUE"""),"-")</f>
        <v>-</v>
      </c>
      <c r="F95" s="15" t="str">
        <f>IFERROR(__xludf.DUMMYFUNCTION("""COMPUTED_VALUE"""),"Washing RAV4 - Base Black Arm Mat. VCN; Custom/Lokal; -; 1 Pc")</f>
        <v>Washing RAV4 - Base Black Arm Mat. VCN; Custom/Lokal; -; 1 Pc</v>
      </c>
      <c r="G95" s="15">
        <f>IFERROR(__xludf.DUMMYFUNCTION("""COMPUTED_VALUE"""),3.0)</f>
        <v>3</v>
      </c>
      <c r="H95" s="15" t="str">
        <f>IFERROR(__xludf.DUMMYFUNCTION("""COMPUTED_VALUE"""),"pcs")</f>
        <v>pcs</v>
      </c>
      <c r="I95" s="15" t="str">
        <f>IFERROR(__xludf.DUMMYFUNCTION("""COMPUTED_VALUE"""),"PO Open")</f>
        <v>PO Open</v>
      </c>
      <c r="J95" s="15" t="str">
        <f>IFERROR(__xludf.DUMMYFUNCTION("""COMPUTED_VALUE"""),"121702486 - APPROVED")</f>
        <v>121702486 - APPROVED</v>
      </c>
      <c r="K95" s="15" t="str">
        <f>IFERROR(__xludf.DUMMYFUNCTION("""COMPUTED_VALUE"""),"GL2503060")</f>
        <v>GL2503060</v>
      </c>
      <c r="L95" s="15" t="str">
        <f>IFERROR(__xludf.DUMMYFUNCTION("""COMPUTED_VALUE"""),"Normal")</f>
        <v>Normal</v>
      </c>
      <c r="M95" s="18" t="s">
        <v>49</v>
      </c>
      <c r="N95" s="18" t="s">
        <v>30</v>
      </c>
    </row>
    <row r="96" hidden="1">
      <c r="A96" s="15" t="str">
        <f>IFERROR(__xludf.DUMMYFUNCTION("""COMPUTED_VALUE"""),"ROSBR0008")</f>
        <v>ROSBR0008</v>
      </c>
      <c r="B96" s="16">
        <f>IFERROR(__xludf.DUMMYFUNCTION("""COMPUTED_VALUE"""),45708.64757615741)</f>
        <v>45708.64758</v>
      </c>
      <c r="C96" s="17">
        <f>IFERROR(__xludf.DUMMYFUNCTION("""COMPUTED_VALUE"""),45712.96731136574)</f>
        <v>45712.96731</v>
      </c>
      <c r="D96" s="15" t="str">
        <f>IFERROR(__xludf.DUMMYFUNCTION("""COMPUTED_VALUE"""),"mixing Mv 60L")</f>
        <v>mixing Mv 60L</v>
      </c>
      <c r="E96" s="15" t="str">
        <f>IFERROR(__xludf.DUMMYFUNCTION("""COMPUTED_VALUE"""),"EJO/2025/02/115")</f>
        <v>EJO/2025/02/115</v>
      </c>
      <c r="F96" s="15" t="str">
        <f>IFERROR(__xludf.DUMMYFUNCTION("""COMPUTED_VALUE"""),"O-Ring")</f>
        <v>O-Ring</v>
      </c>
      <c r="G96" s="15">
        <f>IFERROR(__xludf.DUMMYFUNCTION("""COMPUTED_VALUE"""),10.0)</f>
        <v>10</v>
      </c>
      <c r="H96" s="15" t="str">
        <f>IFERROR(__xludf.DUMMYFUNCTION("""COMPUTED_VALUE"""),"pcs")</f>
        <v>pcs</v>
      </c>
      <c r="I96" s="15" t="str">
        <f>IFERROR(__xludf.DUMMYFUNCTION("""COMPUTED_VALUE"""),"Deliver")</f>
        <v>Deliver</v>
      </c>
      <c r="J96" s="15" t="str">
        <f>IFERROR(__xludf.DUMMYFUNCTION("""COMPUTED_VALUE"""),"-")</f>
        <v>-</v>
      </c>
      <c r="K96" s="15" t="str">
        <f>IFERROR(__xludf.DUMMYFUNCTION("""COMPUTED_VALUE"""),"-")</f>
        <v>-</v>
      </c>
      <c r="L96" s="15" t="str">
        <f>IFERROR(__xludf.DUMMYFUNCTION("""COMPUTED_VALUE"""),"Normal")</f>
        <v>Normal</v>
      </c>
      <c r="M96" s="18" t="s">
        <v>29</v>
      </c>
      <c r="N96" s="18" t="s">
        <v>30</v>
      </c>
    </row>
    <row r="97" hidden="1">
      <c r="A97" s="15" t="str">
        <f>IFERROR(__xludf.DUMMYFUNCTION("""COMPUTED_VALUE"""),"INNBR0013")</f>
        <v>INNBR0013</v>
      </c>
      <c r="B97" s="16">
        <f>IFERROR(__xludf.DUMMYFUNCTION("""COMPUTED_VALUE"""),45697.73605521991)</f>
        <v>45697.73606</v>
      </c>
      <c r="C97" s="17">
        <f>IFERROR(__xludf.DUMMYFUNCTION("""COMPUTED_VALUE"""),45712.977379108794)</f>
        <v>45712.97738</v>
      </c>
      <c r="D97" s="15" t="str">
        <f>IFERROR(__xludf.DUMMYFUNCTION("""COMPUTED_VALUE"""),"Washing")</f>
        <v>Washing</v>
      </c>
      <c r="E97" s="15" t="str">
        <f>IFERROR(__xludf.DUMMYFUNCTION("""COMPUTED_VALUE"""),"-")</f>
        <v>-</v>
      </c>
      <c r="F97" s="15" t="str">
        <f>IFERROR(__xludf.DUMMYFUNCTION("""COMPUTED_VALUE"""),"Oil Seal TC 15x24x7, NOK")</f>
        <v>Oil Seal TC 15x24x7, NOK</v>
      </c>
      <c r="G97" s="15">
        <f>IFERROR(__xludf.DUMMYFUNCTION("""COMPUTED_VALUE"""),5.0)</f>
        <v>5</v>
      </c>
      <c r="H97" s="15" t="str">
        <f>IFERROR(__xludf.DUMMYFUNCTION("""COMPUTED_VALUE"""),"Pcs")</f>
        <v>Pcs</v>
      </c>
      <c r="I97" s="15" t="str">
        <f>IFERROR(__xludf.DUMMYFUNCTION("""COMPUTED_VALUE"""),"Deliver")</f>
        <v>Deliver</v>
      </c>
      <c r="J97" s="15" t="str">
        <f>IFERROR(__xludf.DUMMYFUNCTION("""COMPUTED_VALUE"""),"-")</f>
        <v>-</v>
      </c>
      <c r="K97" s="15" t="str">
        <f>IFERROR(__xludf.DUMMYFUNCTION("""COMPUTED_VALUE"""),"-")</f>
        <v>-</v>
      </c>
      <c r="L97" s="15" t="str">
        <f>IFERROR(__xludf.DUMMYFUNCTION("""COMPUTED_VALUE"""),"Normal")</f>
        <v>Normal</v>
      </c>
      <c r="M97" s="18" t="s">
        <v>51</v>
      </c>
      <c r="N97" s="18" t="s">
        <v>30</v>
      </c>
    </row>
    <row r="98" hidden="1">
      <c r="A98" s="15" t="str">
        <f>IFERROR(__xludf.DUMMYFUNCTION("""COMPUTED_VALUE"""),"INNBR0010")</f>
        <v>INNBR0010</v>
      </c>
      <c r="B98" s="16">
        <f>IFERROR(__xludf.DUMMYFUNCTION("""COMPUTED_VALUE"""),45697.70315533565)</f>
        <v>45697.70316</v>
      </c>
      <c r="C98" s="17">
        <f>IFERROR(__xludf.DUMMYFUNCTION("""COMPUTED_VALUE"""),45712.98077650463)</f>
        <v>45712.98078</v>
      </c>
      <c r="D98" s="15" t="str">
        <f>IFERROR(__xludf.DUMMYFUNCTION("""COMPUTED_VALUE"""),"Cartoning")</f>
        <v>Cartoning</v>
      </c>
      <c r="E98" s="15" t="str">
        <f>IFERROR(__xludf.DUMMYFUNCTION("""COMPUTED_VALUE"""),"-")</f>
        <v>-</v>
      </c>
      <c r="F98" s="15" t="str">
        <f>IFERROR(__xludf.DUMMYFUNCTION("""COMPUTED_VALUE"""),"Tension spring")</f>
        <v>Tension spring</v>
      </c>
      <c r="G98" s="15">
        <f>IFERROR(__xludf.DUMMYFUNCTION("""COMPUTED_VALUE"""),2.0)</f>
        <v>2</v>
      </c>
      <c r="H98" s="15" t="str">
        <f>IFERROR(__xludf.DUMMYFUNCTION("""COMPUTED_VALUE"""),"Pcs")</f>
        <v>Pcs</v>
      </c>
      <c r="I98" s="15" t="str">
        <f>IFERROR(__xludf.DUMMYFUNCTION("""COMPUTED_VALUE"""),"Deliver")</f>
        <v>Deliver</v>
      </c>
      <c r="J98" s="15" t="str">
        <f>IFERROR(__xludf.DUMMYFUNCTION("""COMPUTED_VALUE"""),"-")</f>
        <v>-</v>
      </c>
      <c r="K98" s="15" t="str">
        <f>IFERROR(__xludf.DUMMYFUNCTION("""COMPUTED_VALUE"""),"-")</f>
        <v>-</v>
      </c>
      <c r="L98" s="15" t="str">
        <f>IFERROR(__xludf.DUMMYFUNCTION("""COMPUTED_VALUE"""),"Normal")</f>
        <v>Normal</v>
      </c>
      <c r="M98" s="18" t="s">
        <v>51</v>
      </c>
      <c r="N98" s="18" t="s">
        <v>30</v>
      </c>
    </row>
    <row r="99" hidden="1">
      <c r="A99" s="15" t="str">
        <f>IFERROR(__xludf.DUMMYFUNCTION("""COMPUTED_VALUE"""),"ANORO0004")</f>
        <v>ANORO0004</v>
      </c>
      <c r="B99" s="16">
        <f>IFERROR(__xludf.DUMMYFUNCTION("""COMPUTED_VALUE"""),45712.56990068287)</f>
        <v>45712.5699</v>
      </c>
      <c r="C99" s="17">
        <f>IFERROR(__xludf.DUMMYFUNCTION("""COMPUTED_VALUE"""),45712.99018756945)</f>
        <v>45712.99019</v>
      </c>
      <c r="D99" s="15" t="str">
        <f>IFERROR(__xludf.DUMMYFUNCTION("""COMPUTED_VALUE"""),"Autoclave Decontam")</f>
        <v>Autoclave Decontam</v>
      </c>
      <c r="E99" s="15" t="str">
        <f>IFERROR(__xludf.DUMMYFUNCTION("""COMPUTED_VALUE"""),"EJO/2025/02/170")</f>
        <v>EJO/2025/02/170</v>
      </c>
      <c r="F99" s="15" t="str">
        <f>IFERROR(__xludf.DUMMYFUNCTION("""COMPUTED_VALUE"""),"Ball Valve SS 316 1/2"" 1000 WOG SANKYO")</f>
        <v>Ball Valve SS 316 1/2" 1000 WOG SANKYO</v>
      </c>
      <c r="G99" s="15">
        <f>IFERROR(__xludf.DUMMYFUNCTION("""COMPUTED_VALUE"""),3.0)</f>
        <v>3</v>
      </c>
      <c r="H99" s="15" t="str">
        <f>IFERROR(__xludf.DUMMYFUNCTION("""COMPUTED_VALUE"""),"pcs")</f>
        <v>pcs</v>
      </c>
      <c r="I99" s="15" t="str">
        <f>IFERROR(__xludf.DUMMYFUNCTION("""COMPUTED_VALUE"""),"Deliver")</f>
        <v>Deliver</v>
      </c>
      <c r="J99" s="15" t="str">
        <f>IFERROR(__xludf.DUMMYFUNCTION("""COMPUTED_VALUE"""),"-")</f>
        <v>-</v>
      </c>
      <c r="K99" s="15" t="str">
        <f>IFERROR(__xludf.DUMMYFUNCTION("""COMPUTED_VALUE"""),"-")</f>
        <v>-</v>
      </c>
      <c r="L99" s="15" t="str">
        <f>IFERROR(__xludf.DUMMYFUNCTION("""COMPUTED_VALUE"""),"Normal")</f>
        <v>Normal</v>
      </c>
      <c r="M99" s="18" t="s">
        <v>49</v>
      </c>
      <c r="N99" s="18" t="s">
        <v>30</v>
      </c>
    </row>
    <row r="100" hidden="1">
      <c r="A100" s="15" t="str">
        <f>IFERROR(__xludf.DUMMYFUNCTION("""COMPUTED_VALUE"""),"ANORO0002")</f>
        <v>ANORO0002</v>
      </c>
      <c r="B100" s="16">
        <f>IFERROR(__xludf.DUMMYFUNCTION("""COMPUTED_VALUE"""),45703.74109815972)</f>
        <v>45703.7411</v>
      </c>
      <c r="C100" s="17">
        <f>IFERROR(__xludf.DUMMYFUNCTION("""COMPUTED_VALUE"""),45712.991248969905)</f>
        <v>45712.99125</v>
      </c>
      <c r="D100" s="15" t="str">
        <f>IFERROR(__xludf.DUMMYFUNCTION("""COMPUTED_VALUE"""),"washing ")</f>
        <v>washing </v>
      </c>
      <c r="E100" s="15" t="str">
        <f>IFERROR(__xludf.DUMMYFUNCTION("""COMPUTED_VALUE"""),"-")</f>
        <v>-</v>
      </c>
      <c r="F100" s="15" t="str">
        <f>IFERROR(__xludf.DUMMYFUNCTION("""COMPUTED_VALUE"""),"Washing RAV4 - Black Arm Mat. SUS 304; Custom/Lokal; -; 1 Pc")</f>
        <v>Washing RAV4 - Black Arm Mat. SUS 304; Custom/Lokal; -; 1 Pc</v>
      </c>
      <c r="G100" s="15">
        <f>IFERROR(__xludf.DUMMYFUNCTION("""COMPUTED_VALUE"""),6.0)</f>
        <v>6</v>
      </c>
      <c r="H100" s="15" t="str">
        <f>IFERROR(__xludf.DUMMYFUNCTION("""COMPUTED_VALUE"""),"pcs")</f>
        <v>pcs</v>
      </c>
      <c r="I100" s="15" t="str">
        <f>IFERROR(__xludf.DUMMYFUNCTION("""COMPUTED_VALUE"""),"PO Open")</f>
        <v>PO Open</v>
      </c>
      <c r="J100" s="15" t="str">
        <f>IFERROR(__xludf.DUMMYFUNCTION("""COMPUTED_VALUE"""),"121702486 - APPROVED")</f>
        <v>121702486 - APPROVED</v>
      </c>
      <c r="K100" s="15" t="str">
        <f>IFERROR(__xludf.DUMMYFUNCTION("""COMPUTED_VALUE"""),"GL2503060")</f>
        <v>GL2503060</v>
      </c>
      <c r="L100" s="15" t="str">
        <f>IFERROR(__xludf.DUMMYFUNCTION("""COMPUTED_VALUE"""),"Normal")</f>
        <v>Normal</v>
      </c>
      <c r="M100" s="18" t="s">
        <v>49</v>
      </c>
      <c r="N100" s="18" t="s">
        <v>30</v>
      </c>
    </row>
    <row r="101" hidden="1">
      <c r="A101" s="15" t="str">
        <f>IFERROR(__xludf.DUMMYFUNCTION("""COMPUTED_VALUE"""),"RIARO0016")</f>
        <v>RIARO0016</v>
      </c>
      <c r="B101" s="16">
        <f>IFERROR(__xludf.DUMMYFUNCTION("""COMPUTED_VALUE"""),45712.50946371528)</f>
        <v>45712.50946</v>
      </c>
      <c r="C101" s="17">
        <f>IFERROR(__xludf.DUMMYFUNCTION("""COMPUTED_VALUE"""),45713.7385360301)</f>
        <v>45713.73854</v>
      </c>
      <c r="D101" s="15" t="str">
        <f>IFERROR(__xludf.DUMMYFUNCTION("""COMPUTED_VALUE"""),"TOC WFI SKID")</f>
        <v>TOC WFI SKID</v>
      </c>
      <c r="E101" s="15" t="str">
        <f>IFERROR(__xludf.DUMMYFUNCTION("""COMPUTED_VALUE"""),"-")</f>
        <v>-</v>
      </c>
      <c r="F101" s="15" t="str">
        <f>IFERROR(__xludf.DUMMYFUNCTION("""COMPUTED_VALUE"""),"Sample Pump Head for TOC Sievers M500; ; ;")</f>
        <v>Sample Pump Head for TOC Sievers M500; ; ;</v>
      </c>
      <c r="G101" s="15">
        <f>IFERROR(__xludf.DUMMYFUNCTION("""COMPUTED_VALUE"""),1.0)</f>
        <v>1</v>
      </c>
      <c r="H101" s="15" t="str">
        <f>IFERROR(__xludf.DUMMYFUNCTION("""COMPUTED_VALUE"""),"Set")</f>
        <v>Set</v>
      </c>
      <c r="I101" s="15" t="str">
        <f>IFERROR(__xludf.DUMMYFUNCTION("""COMPUTED_VALUE"""),"Deliver")</f>
        <v>Deliver</v>
      </c>
      <c r="J101" s="15" t="str">
        <f>IFERROR(__xludf.DUMMYFUNCTION("""COMPUTED_VALUE"""),"-")</f>
        <v>-</v>
      </c>
      <c r="K101" s="15" t="str">
        <f>IFERROR(__xludf.DUMMYFUNCTION("""COMPUTED_VALUE"""),"-")</f>
        <v>-</v>
      </c>
      <c r="L101" s="15" t="str">
        <f>IFERROR(__xludf.DUMMYFUNCTION("""COMPUTED_VALUE"""),"Normal")</f>
        <v>Normal</v>
      </c>
      <c r="M101" s="18" t="s">
        <v>32</v>
      </c>
      <c r="N101" s="18" t="s">
        <v>28</v>
      </c>
    </row>
    <row r="102" hidden="1">
      <c r="A102" s="15" t="str">
        <f>IFERROR(__xludf.DUMMYFUNCTION("""COMPUTED_VALUE"""),"RIARO0017")</f>
        <v>RIARO0017</v>
      </c>
      <c r="B102" s="16">
        <f>IFERROR(__xludf.DUMMYFUNCTION("""COMPUTED_VALUE"""),45712.50997244213)</f>
        <v>45712.50997</v>
      </c>
      <c r="C102" s="17">
        <f>IFERROR(__xludf.DUMMYFUNCTION("""COMPUTED_VALUE"""),45713.738795150464)</f>
        <v>45713.7388</v>
      </c>
      <c r="D102" s="15" t="str">
        <f>IFERROR(__xludf.DUMMYFUNCTION("""COMPUTED_VALUE"""),"TOC WFI SKID")</f>
        <v>TOC WFI SKID</v>
      </c>
      <c r="E102" s="15" t="str">
        <f>IFERROR(__xludf.DUMMYFUNCTION("""COMPUTED_VALUE"""),"-")</f>
        <v>-</v>
      </c>
      <c r="F102" s="15" t="str">
        <f>IFERROR(__xludf.DUMMYFUNCTION("""COMPUTED_VALUE"""),"UV lamp for TOC Sievers M500; TOC Sievers; ; pack size per pc")</f>
        <v>UV lamp for TOC Sievers M500; TOC Sievers; ; pack size per pc</v>
      </c>
      <c r="G102" s="15">
        <f>IFERROR(__xludf.DUMMYFUNCTION("""COMPUTED_VALUE"""),2.0)</f>
        <v>2</v>
      </c>
      <c r="H102" s="15" t="str">
        <f>IFERROR(__xludf.DUMMYFUNCTION("""COMPUTED_VALUE"""),"Pcs")</f>
        <v>Pcs</v>
      </c>
      <c r="I102" s="15" t="str">
        <f>IFERROR(__xludf.DUMMYFUNCTION("""COMPUTED_VALUE"""),"Deliver")</f>
        <v>Deliver</v>
      </c>
      <c r="J102" s="15" t="str">
        <f>IFERROR(__xludf.DUMMYFUNCTION("""COMPUTED_VALUE"""),"-")</f>
        <v>-</v>
      </c>
      <c r="K102" s="15" t="str">
        <f>IFERROR(__xludf.DUMMYFUNCTION("""COMPUTED_VALUE"""),"-")</f>
        <v>-</v>
      </c>
      <c r="L102" s="15" t="str">
        <f>IFERROR(__xludf.DUMMYFUNCTION("""COMPUTED_VALUE"""),"Normal")</f>
        <v>Normal</v>
      </c>
      <c r="M102" s="18" t="s">
        <v>32</v>
      </c>
      <c r="N102" s="18" t="s">
        <v>28</v>
      </c>
    </row>
    <row r="103" hidden="1">
      <c r="A103" s="15" t="str">
        <f>IFERROR(__xludf.DUMMYFUNCTION("""COMPUTED_VALUE"""),"RIARO0018")</f>
        <v>RIARO0018</v>
      </c>
      <c r="B103" s="16">
        <f>IFERROR(__xludf.DUMMYFUNCTION("""COMPUTED_VALUE"""),45712.510523680554)</f>
        <v>45712.51052</v>
      </c>
      <c r="C103" s="17">
        <f>IFERROR(__xludf.DUMMYFUNCTION("""COMPUTED_VALUE"""),45713.73900954862)</f>
        <v>45713.73901</v>
      </c>
      <c r="D103" s="15" t="str">
        <f>IFERROR(__xludf.DUMMYFUNCTION("""COMPUTED_VALUE"""),"TOC WFI SKID")</f>
        <v>TOC WFI SKID</v>
      </c>
      <c r="E103" s="15" t="str">
        <f>IFERROR(__xludf.DUMMYFUNCTION("""COMPUTED_VALUE"""),"-")</f>
        <v>-</v>
      </c>
      <c r="F103" s="15" t="str">
        <f>IFERROR(__xludf.DUMMYFUNCTION("""COMPUTED_VALUE"""),"Resin Bed Replacement for TOC Sievers M500; ; ;")</f>
        <v>Resin Bed Replacement for TOC Sievers M500; ; ;</v>
      </c>
      <c r="G103" s="15">
        <f>IFERROR(__xludf.DUMMYFUNCTION("""COMPUTED_VALUE"""),1.0)</f>
        <v>1</v>
      </c>
      <c r="H103" s="15" t="str">
        <f>IFERROR(__xludf.DUMMYFUNCTION("""COMPUTED_VALUE"""),"Pcs")</f>
        <v>Pcs</v>
      </c>
      <c r="I103" s="15" t="str">
        <f>IFERROR(__xludf.DUMMYFUNCTION("""COMPUTED_VALUE"""),"Deliver")</f>
        <v>Deliver</v>
      </c>
      <c r="J103" s="15" t="str">
        <f>IFERROR(__xludf.DUMMYFUNCTION("""COMPUTED_VALUE"""),"-")</f>
        <v>-</v>
      </c>
      <c r="K103" s="15" t="str">
        <f>IFERROR(__xludf.DUMMYFUNCTION("""COMPUTED_VALUE"""),"-")</f>
        <v>-</v>
      </c>
      <c r="L103" s="15" t="str">
        <f>IFERROR(__xludf.DUMMYFUNCTION("""COMPUTED_VALUE"""),"Normal")</f>
        <v>Normal</v>
      </c>
      <c r="M103" s="18" t="s">
        <v>32</v>
      </c>
      <c r="N103" s="18" t="s">
        <v>28</v>
      </c>
    </row>
    <row r="104" hidden="1">
      <c r="A104" s="15" t="str">
        <f>IFERROR(__xludf.DUMMYFUNCTION("""COMPUTED_VALUE"""),"RIABR0016")</f>
        <v>RIABR0016</v>
      </c>
      <c r="B104" s="16">
        <f>IFERROR(__xludf.DUMMYFUNCTION("""COMPUTED_VALUE"""),45712.48573388889)</f>
        <v>45712.48573</v>
      </c>
      <c r="C104" s="17">
        <f>IFERROR(__xludf.DUMMYFUNCTION("""COMPUTED_VALUE"""),45713.73941341435)</f>
        <v>45713.73941</v>
      </c>
      <c r="D104" s="15" t="str">
        <f>IFERROR(__xludf.DUMMYFUNCTION("""COMPUTED_VALUE"""),"HO")</f>
        <v>HO</v>
      </c>
      <c r="E104" s="15" t="str">
        <f>IFERROR(__xludf.DUMMYFUNCTION("""COMPUTED_VALUE"""),"EJO/2025/02/89")</f>
        <v>EJO/2025/02/89</v>
      </c>
      <c r="F104" s="15" t="str">
        <f>IFERROR(__xludf.DUMMYFUNCTION("""COMPUTED_VALUE"""),"Kabel Audio")</f>
        <v>Kabel Audio</v>
      </c>
      <c r="G104" s="15">
        <f>IFERROR(__xludf.DUMMYFUNCTION("""COMPUTED_VALUE"""),50.0)</f>
        <v>50</v>
      </c>
      <c r="H104" s="15" t="str">
        <f>IFERROR(__xludf.DUMMYFUNCTION("""COMPUTED_VALUE"""),"Mtr")</f>
        <v>Mtr</v>
      </c>
      <c r="I104" s="15" t="str">
        <f>IFERROR(__xludf.DUMMYFUNCTION("""COMPUTED_VALUE"""),"Deliver")</f>
        <v>Deliver</v>
      </c>
      <c r="J104" s="15" t="str">
        <f>IFERROR(__xludf.DUMMYFUNCTION("""COMPUTED_VALUE"""),"-")</f>
        <v>-</v>
      </c>
      <c r="K104" s="15" t="str">
        <f>IFERROR(__xludf.DUMMYFUNCTION("""COMPUTED_VALUE"""),"-")</f>
        <v>-</v>
      </c>
      <c r="L104" s="15" t="str">
        <f>IFERROR(__xludf.DUMMYFUNCTION("""COMPUTED_VALUE"""),"Normal")</f>
        <v>Normal</v>
      </c>
      <c r="M104" s="18" t="s">
        <v>32</v>
      </c>
      <c r="N104" s="18" t="s">
        <v>28</v>
      </c>
    </row>
    <row r="105" hidden="1">
      <c r="A105" s="15" t="str">
        <f>IFERROR(__xludf.DUMMYFUNCTION("""COMPUTED_VALUE"""),"RIARO0019")</f>
        <v>RIARO0019</v>
      </c>
      <c r="B105" s="16">
        <f>IFERROR(__xludf.DUMMYFUNCTION("""COMPUTED_VALUE"""),45712.51167266203)</f>
        <v>45712.51167</v>
      </c>
      <c r="C105" s="17">
        <f>IFERROR(__xludf.DUMMYFUNCTION("""COMPUTED_VALUE"""),45713.73983664352)</f>
        <v>45713.73984</v>
      </c>
      <c r="D105" s="15" t="str">
        <f>IFERROR(__xludf.DUMMYFUNCTION("""COMPUTED_VALUE"""),"UPS 40KVA")</f>
        <v>UPS 40KVA</v>
      </c>
      <c r="E105" s="15" t="str">
        <f>IFERROR(__xludf.DUMMYFUNCTION("""COMPUTED_VALUE"""),"EJO/2024/11/89")</f>
        <v>EJO/2024/11/89</v>
      </c>
      <c r="F105" s="15" t="str">
        <f>IFERROR(__xludf.DUMMYFUNCTION("""COMPUTED_VALUE"""),"General - Accu 6FM40, Baterai Kering, 12 V, 40 Ah; Vision; -; 1 pcs")</f>
        <v>General - Accu 6FM40, Baterai Kering, 12 V, 40 Ah; Vision; -; 1 pcs</v>
      </c>
      <c r="G105" s="15">
        <f>IFERROR(__xludf.DUMMYFUNCTION("""COMPUTED_VALUE"""),32.0)</f>
        <v>32</v>
      </c>
      <c r="H105" s="15" t="str">
        <f>IFERROR(__xludf.DUMMYFUNCTION("""COMPUTED_VALUE"""),"Pcs")</f>
        <v>Pcs</v>
      </c>
      <c r="I105" s="15" t="str">
        <f>IFERROR(__xludf.DUMMYFUNCTION("""COMPUTED_VALUE"""),"Deliver")</f>
        <v>Deliver</v>
      </c>
      <c r="J105" s="15" t="str">
        <f>IFERROR(__xludf.DUMMYFUNCTION("""COMPUTED_VALUE"""),"-")</f>
        <v>-</v>
      </c>
      <c r="K105" s="15" t="str">
        <f>IFERROR(__xludf.DUMMYFUNCTION("""COMPUTED_VALUE"""),"-")</f>
        <v>-</v>
      </c>
      <c r="L105" s="15" t="str">
        <f>IFERROR(__xludf.DUMMYFUNCTION("""COMPUTED_VALUE"""),"Normal")</f>
        <v>Normal</v>
      </c>
      <c r="M105" s="18" t="s">
        <v>32</v>
      </c>
      <c r="N105" s="18" t="s">
        <v>28</v>
      </c>
    </row>
    <row r="106" hidden="1">
      <c r="A106" s="15" t="str">
        <f>IFERROR(__xludf.DUMMYFUNCTION("""COMPUTED_VALUE"""),"RIABR0017")</f>
        <v>RIABR0017</v>
      </c>
      <c r="B106" s="16">
        <f>IFERROR(__xludf.DUMMYFUNCTION("""COMPUTED_VALUE"""),45712.495239895834)</f>
        <v>45712.49524</v>
      </c>
      <c r="C106" s="17">
        <f>IFERROR(__xludf.DUMMYFUNCTION("""COMPUTED_VALUE"""),45713.74001792824)</f>
        <v>45713.74002</v>
      </c>
      <c r="D106" s="15" t="str">
        <f>IFERROR(__xludf.DUMMYFUNCTION("""COMPUTED_VALUE"""),"Server")</f>
        <v>Server</v>
      </c>
      <c r="E106" s="15" t="str">
        <f>IFERROR(__xludf.DUMMYFUNCTION("""COMPUTED_VALUE"""),"EJO/2025/02/114")</f>
        <v>EJO/2025/02/114</v>
      </c>
      <c r="F106" s="15" t="str">
        <f>IFERROR(__xludf.DUMMYFUNCTION("""COMPUTED_VALUE"""),"Kabel Duct")</f>
        <v>Kabel Duct</v>
      </c>
      <c r="G106" s="15">
        <f>IFERROR(__xludf.DUMMYFUNCTION("""COMPUTED_VALUE"""),3.0)</f>
        <v>3</v>
      </c>
      <c r="H106" s="15" t="str">
        <f>IFERROR(__xludf.DUMMYFUNCTION("""COMPUTED_VALUE"""),"Btg")</f>
        <v>Btg</v>
      </c>
      <c r="I106" s="15" t="str">
        <f>IFERROR(__xludf.DUMMYFUNCTION("""COMPUTED_VALUE"""),"Deliver")</f>
        <v>Deliver</v>
      </c>
      <c r="J106" s="15" t="str">
        <f>IFERROR(__xludf.DUMMYFUNCTION("""COMPUTED_VALUE"""),"-")</f>
        <v>-</v>
      </c>
      <c r="K106" s="15" t="str">
        <f>IFERROR(__xludf.DUMMYFUNCTION("""COMPUTED_VALUE"""),"-")</f>
        <v>-</v>
      </c>
      <c r="L106" s="15" t="str">
        <f>IFERROR(__xludf.DUMMYFUNCTION("""COMPUTED_VALUE"""),"Normal")</f>
        <v>Normal</v>
      </c>
      <c r="M106" s="18" t="s">
        <v>32</v>
      </c>
      <c r="N106" s="18" t="s">
        <v>28</v>
      </c>
    </row>
    <row r="107" hidden="1">
      <c r="A107" s="15" t="str">
        <f>IFERROR(__xludf.DUMMYFUNCTION("""COMPUTED_VALUE"""),"RIARO0020")</f>
        <v>RIARO0020</v>
      </c>
      <c r="B107" s="16">
        <f>IFERROR(__xludf.DUMMYFUNCTION("""COMPUTED_VALUE"""),45712.512104594905)</f>
        <v>45712.5121</v>
      </c>
      <c r="C107" s="17">
        <f>IFERROR(__xludf.DUMMYFUNCTION("""COMPUTED_VALUE"""),45713.740237858794)</f>
        <v>45713.74024</v>
      </c>
      <c r="D107" s="15" t="str">
        <f>IFERROR(__xludf.DUMMYFUNCTION("""COMPUTED_VALUE"""),"UPS 40KVA")</f>
        <v>UPS 40KVA</v>
      </c>
      <c r="E107" s="15" t="str">
        <f>IFERROR(__xludf.DUMMYFUNCTION("""COMPUTED_VALUE"""),"EJO/2024/11/89")</f>
        <v>EJO/2024/11/89</v>
      </c>
      <c r="F107" s="15" t="str">
        <f>IFERROR(__xludf.DUMMYFUNCTION("""COMPUTED_VALUE"""),"Capacitor 50F 250VAC 25A 5% Screw (KMT) P/N : 6R 01502010; ; ;")</f>
        <v>Capacitor 50F 250VAC 25A 5% Screw (KMT) P/N : 6R 01502010; ; ;</v>
      </c>
      <c r="G107" s="15">
        <f>IFERROR(__xludf.DUMMYFUNCTION("""COMPUTED_VALUE"""),10.0)</f>
        <v>10</v>
      </c>
      <c r="H107" s="15" t="str">
        <f>IFERROR(__xludf.DUMMYFUNCTION("""COMPUTED_VALUE"""),"Pcs")</f>
        <v>Pcs</v>
      </c>
      <c r="I107" s="15" t="str">
        <f>IFERROR(__xludf.DUMMYFUNCTION("""COMPUTED_VALUE"""),"Deliver")</f>
        <v>Deliver</v>
      </c>
      <c r="J107" s="15" t="str">
        <f>IFERROR(__xludf.DUMMYFUNCTION("""COMPUTED_VALUE"""),"-")</f>
        <v>-</v>
      </c>
      <c r="K107" s="15" t="str">
        <f>IFERROR(__xludf.DUMMYFUNCTION("""COMPUTED_VALUE"""),"-")</f>
        <v>-</v>
      </c>
      <c r="L107" s="15" t="str">
        <f>IFERROR(__xludf.DUMMYFUNCTION("""COMPUTED_VALUE"""),"Normal")</f>
        <v>Normal</v>
      </c>
      <c r="M107" s="18" t="s">
        <v>32</v>
      </c>
      <c r="N107" s="18" t="s">
        <v>28</v>
      </c>
    </row>
    <row r="108" hidden="1">
      <c r="A108" s="15" t="str">
        <f>IFERROR(__xludf.DUMMYFUNCTION("""COMPUTED_VALUE"""),"RIABR0020")</f>
        <v>RIABR0020</v>
      </c>
      <c r="B108" s="16">
        <f>IFERROR(__xludf.DUMMYFUNCTION("""COMPUTED_VALUE"""),45712.51840177083)</f>
        <v>45712.5184</v>
      </c>
      <c r="C108" s="17">
        <f>IFERROR(__xludf.DUMMYFUNCTION("""COMPUTED_VALUE"""),45713.74058796296)</f>
        <v>45713.74059</v>
      </c>
      <c r="D108" s="15" t="str">
        <f>IFERROR(__xludf.DUMMYFUNCTION("""COMPUTED_VALUE"""),"Kantin")</f>
        <v>Kantin</v>
      </c>
      <c r="E108" s="15" t="str">
        <f>IFERROR(__xludf.DUMMYFUNCTION("""COMPUTED_VALUE"""),"EJO/2024/11/95")</f>
        <v>EJO/2024/11/95</v>
      </c>
      <c r="F108" s="15" t="str">
        <f>IFERROR(__xludf.DUMMYFUNCTION("""COMPUTED_VALUE"""),"Pengunci Lemari")</f>
        <v>Pengunci Lemari</v>
      </c>
      <c r="G108" s="15">
        <f>IFERROR(__xludf.DUMMYFUNCTION("""COMPUTED_VALUE"""),4.0)</f>
        <v>4</v>
      </c>
      <c r="H108" s="15" t="str">
        <f>IFERROR(__xludf.DUMMYFUNCTION("""COMPUTED_VALUE"""),"Pcs")</f>
        <v>Pcs</v>
      </c>
      <c r="I108" s="15" t="str">
        <f>IFERROR(__xludf.DUMMYFUNCTION("""COMPUTED_VALUE"""),"Deliver")</f>
        <v>Deliver</v>
      </c>
      <c r="J108" s="15" t="str">
        <f>IFERROR(__xludf.DUMMYFUNCTION("""COMPUTED_VALUE"""),"-")</f>
        <v>-</v>
      </c>
      <c r="K108" s="15" t="str">
        <f>IFERROR(__xludf.DUMMYFUNCTION("""COMPUTED_VALUE"""),"-")</f>
        <v>-</v>
      </c>
      <c r="L108" s="15" t="str">
        <f>IFERROR(__xludf.DUMMYFUNCTION("""COMPUTED_VALUE"""),"Normal")</f>
        <v>Normal</v>
      </c>
      <c r="M108" s="18" t="s">
        <v>32</v>
      </c>
      <c r="N108" s="18" t="s">
        <v>28</v>
      </c>
    </row>
    <row r="109" hidden="1">
      <c r="A109" s="15" t="str">
        <f>IFERROR(__xludf.DUMMYFUNCTION("""COMPUTED_VALUE"""),"RIABR0022")</f>
        <v>RIABR0022</v>
      </c>
      <c r="B109" s="16">
        <f>IFERROR(__xludf.DUMMYFUNCTION("""COMPUTED_VALUE"""),45712.58252472222)</f>
        <v>45712.58252</v>
      </c>
      <c r="C109" s="17">
        <f>IFERROR(__xludf.DUMMYFUNCTION("""COMPUTED_VALUE"""),45713.74079418981)</f>
        <v>45713.74079</v>
      </c>
      <c r="D109" s="15" t="str">
        <f>IFERROR(__xludf.DUMMYFUNCTION("""COMPUTED_VALUE"""),"AHU E1-3")</f>
        <v>AHU E1-3</v>
      </c>
      <c r="E109" s="15" t="str">
        <f>IFERROR(__xludf.DUMMYFUNCTION("""COMPUTED_VALUE"""),"EJO/2025/02/126")</f>
        <v>EJO/2025/02/126</v>
      </c>
      <c r="F109" s="15" t="str">
        <f>IFERROR(__xludf.DUMMYFUNCTION("""COMPUTED_VALUE"""),"LCD Inverter")</f>
        <v>LCD Inverter</v>
      </c>
      <c r="G109" s="15">
        <f>IFERROR(__xludf.DUMMYFUNCTION("""COMPUTED_VALUE"""),1.0)</f>
        <v>1</v>
      </c>
      <c r="H109" s="15" t="str">
        <f>IFERROR(__xludf.DUMMYFUNCTION("""COMPUTED_VALUE"""),"Pcs")</f>
        <v>Pcs</v>
      </c>
      <c r="I109" s="15" t="str">
        <f>IFERROR(__xludf.DUMMYFUNCTION("""COMPUTED_VALUE"""),"Deliver")</f>
        <v>Deliver</v>
      </c>
      <c r="J109" s="15" t="str">
        <f>IFERROR(__xludf.DUMMYFUNCTION("""COMPUTED_VALUE"""),"-")</f>
        <v>-</v>
      </c>
      <c r="K109" s="15" t="str">
        <f>IFERROR(__xludf.DUMMYFUNCTION("""COMPUTED_VALUE"""),"-")</f>
        <v>-</v>
      </c>
      <c r="L109" s="15" t="str">
        <f>IFERROR(__xludf.DUMMYFUNCTION("""COMPUTED_VALUE"""),"Normal")</f>
        <v>Normal</v>
      </c>
      <c r="M109" s="18" t="s">
        <v>32</v>
      </c>
      <c r="N109" s="18" t="s">
        <v>28</v>
      </c>
    </row>
    <row r="110" hidden="1">
      <c r="A110" s="15" t="str">
        <f>IFERROR(__xludf.DUMMYFUNCTION("""COMPUTED_VALUE"""),"NDSBR0001")</f>
        <v>NDSBR0001</v>
      </c>
      <c r="B110" s="16">
        <f>IFERROR(__xludf.DUMMYFUNCTION("""COMPUTED_VALUE"""),45694.59800484953)</f>
        <v>45694.598</v>
      </c>
      <c r="C110" s="17">
        <f>IFERROR(__xludf.DUMMYFUNCTION("""COMPUTED_VALUE"""),45720.66549532408)</f>
        <v>45720.6655</v>
      </c>
      <c r="D110" s="15" t="str">
        <f>IFERROR(__xludf.DUMMYFUNCTION("""COMPUTED_VALUE"""),"Filling")</f>
        <v>Filling</v>
      </c>
      <c r="E110" s="15" t="str">
        <f>IFERROR(__xludf.DUMMYFUNCTION("""COMPUTED_VALUE"""),"EJO/2025/01/68")</f>
        <v>EJO/2025/01/68</v>
      </c>
      <c r="F110" s="15" t="str">
        <f>IFERROR(__xludf.DUMMYFUNCTION("""COMPUTED_VALUE"""),"Clamp Ferrule")</f>
        <v>Clamp Ferrule</v>
      </c>
      <c r="G110" s="15">
        <f>IFERROR(__xludf.DUMMYFUNCTION("""COMPUTED_VALUE"""),10.0)</f>
        <v>10</v>
      </c>
      <c r="H110" s="15" t="str">
        <f>IFERROR(__xludf.DUMMYFUNCTION("""COMPUTED_VALUE"""),"Pcs")</f>
        <v>Pcs</v>
      </c>
      <c r="I110" s="15" t="str">
        <f>IFERROR(__xludf.DUMMYFUNCTION("""COMPUTED_VALUE"""),"Deliver")</f>
        <v>Deliver</v>
      </c>
      <c r="J110" s="15" t="str">
        <f>IFERROR(__xludf.DUMMYFUNCTION("""COMPUTED_VALUE"""),"-")</f>
        <v>-</v>
      </c>
      <c r="K110" s="15" t="str">
        <f>IFERROR(__xludf.DUMMYFUNCTION("""COMPUTED_VALUE"""),"-")</f>
        <v>-</v>
      </c>
      <c r="L110" s="15" t="str">
        <f>IFERROR(__xludf.DUMMYFUNCTION("""COMPUTED_VALUE"""),"Normal")</f>
        <v>Normal</v>
      </c>
      <c r="M110" s="18" t="s">
        <v>50</v>
      </c>
      <c r="N110" s="18" t="s">
        <v>30</v>
      </c>
    </row>
    <row r="111" hidden="1">
      <c r="A111" s="15" t="str">
        <f>IFERROR(__xludf.DUMMYFUNCTION("""COMPUTED_VALUE"""),"NDSBR0004")</f>
        <v>NDSBR0004</v>
      </c>
      <c r="B111" s="16">
        <f>IFERROR(__xludf.DUMMYFUNCTION("""COMPUTED_VALUE"""),45715.47366626157)</f>
        <v>45715.47367</v>
      </c>
      <c r="C111" s="17">
        <f>IFERROR(__xludf.DUMMYFUNCTION("""COMPUTED_VALUE"""),45720.674591284725)</f>
        <v>45720.67459</v>
      </c>
      <c r="D111" s="15" t="str">
        <f>IFERROR(__xludf.DUMMYFUNCTION("""COMPUTED_VALUE"""),"Vial Washing")</f>
        <v>Vial Washing</v>
      </c>
      <c r="E111" s="15" t="str">
        <f>IFERROR(__xludf.DUMMYFUNCTION("""COMPUTED_VALUE"""),"EJO/2024/08/27")</f>
        <v>EJO/2024/08/27</v>
      </c>
      <c r="F111" s="15" t="str">
        <f>IFERROR(__xludf.DUMMYFUNCTION("""COMPUTED_VALUE"""),"Baut L Tanam")</f>
        <v>Baut L Tanam</v>
      </c>
      <c r="G111" s="15">
        <f>IFERROR(__xludf.DUMMYFUNCTION("""COMPUTED_VALUE"""),100.0)</f>
        <v>100</v>
      </c>
      <c r="H111" s="15" t="str">
        <f>IFERROR(__xludf.DUMMYFUNCTION("""COMPUTED_VALUE"""),"Pcs")</f>
        <v>Pcs</v>
      </c>
      <c r="I111" s="15" t="str">
        <f>IFERROR(__xludf.DUMMYFUNCTION("""COMPUTED_VALUE"""),"Deliver")</f>
        <v>Deliver</v>
      </c>
      <c r="J111" s="15" t="str">
        <f>IFERROR(__xludf.DUMMYFUNCTION("""COMPUTED_VALUE"""),"-")</f>
        <v>-</v>
      </c>
      <c r="K111" s="15" t="str">
        <f>IFERROR(__xludf.DUMMYFUNCTION("""COMPUTED_VALUE"""),"-")</f>
        <v>-</v>
      </c>
      <c r="L111" s="15" t="str">
        <f>IFERROR(__xludf.DUMMYFUNCTION("""COMPUTED_VALUE"""),"Normal")</f>
        <v>Normal</v>
      </c>
      <c r="M111" s="18" t="s">
        <v>50</v>
      </c>
      <c r="N111" s="18" t="s">
        <v>30</v>
      </c>
    </row>
    <row r="112" hidden="1">
      <c r="A112" s="15" t="str">
        <f>IFERROR(__xludf.DUMMYFUNCTION("""COMPUTED_VALUE"""),"INNBR0001")</f>
        <v>INNBR0001</v>
      </c>
      <c r="B112" s="16">
        <f>IFERROR(__xludf.DUMMYFUNCTION("""COMPUTED_VALUE"""),45697.703081736116)</f>
        <v>45697.70308</v>
      </c>
      <c r="C112" s="17">
        <f>IFERROR(__xludf.DUMMYFUNCTION("""COMPUTED_VALUE"""),45720.94721150463)</f>
        <v>45720.94721</v>
      </c>
      <c r="D112" s="15" t="str">
        <f>IFERROR(__xludf.DUMMYFUNCTION("""COMPUTED_VALUE"""),"Cartoning")</f>
        <v>Cartoning</v>
      </c>
      <c r="E112" s="15" t="str">
        <f>IFERROR(__xludf.DUMMYFUNCTION("""COMPUTED_VALUE"""),"-")</f>
        <v>-</v>
      </c>
      <c r="F112" s="15" t="str">
        <f>IFERROR(__xludf.DUMMYFUNCTION("""COMPUTED_VALUE"""),"Toothed belt 240 L 075")</f>
        <v>Toothed belt 240 L 075</v>
      </c>
      <c r="G112" s="15">
        <f>IFERROR(__xludf.DUMMYFUNCTION("""COMPUTED_VALUE"""),1.0)</f>
        <v>1</v>
      </c>
      <c r="H112" s="15" t="str">
        <f>IFERROR(__xludf.DUMMYFUNCTION("""COMPUTED_VALUE"""),"Pcs")</f>
        <v>Pcs</v>
      </c>
      <c r="I112" s="15" t="str">
        <f>IFERROR(__xludf.DUMMYFUNCTION("""COMPUTED_VALUE"""),"Deliver")</f>
        <v>Deliver</v>
      </c>
      <c r="J112" s="15" t="str">
        <f>IFERROR(__xludf.DUMMYFUNCTION("""COMPUTED_VALUE"""),"-")</f>
        <v>-</v>
      </c>
      <c r="K112" s="15" t="str">
        <f>IFERROR(__xludf.DUMMYFUNCTION("""COMPUTED_VALUE"""),"-")</f>
        <v>-</v>
      </c>
      <c r="L112" s="15" t="str">
        <f>IFERROR(__xludf.DUMMYFUNCTION("""COMPUTED_VALUE"""),"Normal")</f>
        <v>Normal</v>
      </c>
      <c r="M112" s="18" t="s">
        <v>51</v>
      </c>
      <c r="N112" s="18" t="s">
        <v>30</v>
      </c>
    </row>
    <row r="113" hidden="1">
      <c r="A113" s="15" t="str">
        <f>IFERROR(__xludf.DUMMYFUNCTION("""COMPUTED_VALUE"""),"SFHBR0011")</f>
        <v>SFHBR0011</v>
      </c>
      <c r="B113" s="16">
        <f>IFERROR(__xludf.DUMMYFUNCTION("""COMPUTED_VALUE"""),45720.48712806713)</f>
        <v>45720.48713</v>
      </c>
      <c r="C113" s="17">
        <f>IFERROR(__xludf.DUMMYFUNCTION("""COMPUTED_VALUE"""),45721.84856931713)</f>
        <v>45721.84857</v>
      </c>
      <c r="D113" s="15" t="str">
        <f>IFERROR(__xludf.DUMMYFUNCTION("""COMPUTED_VALUE"""),"lantai 1")</f>
        <v>lantai 1</v>
      </c>
      <c r="E113" s="15" t="str">
        <f>IFERROR(__xludf.DUMMYFUNCTION("""COMPUTED_VALUE"""),"EJO/2025/01/127")</f>
        <v>EJO/2025/01/127</v>
      </c>
      <c r="F113" s="15" t="str">
        <f>IFERROR(__xludf.DUMMYFUNCTION("""COMPUTED_VALUE"""),"cat batu alam")</f>
        <v>cat batu alam</v>
      </c>
      <c r="G113" s="15">
        <f>IFERROR(__xludf.DUMMYFUNCTION("""COMPUTED_VALUE"""),4.0)</f>
        <v>4</v>
      </c>
      <c r="H113" s="15" t="str">
        <f>IFERROR(__xludf.DUMMYFUNCTION("""COMPUTED_VALUE"""),"pel")</f>
        <v>pel</v>
      </c>
      <c r="I113" s="15" t="str">
        <f>IFERROR(__xludf.DUMMYFUNCTION("""COMPUTED_VALUE"""),"Deliver")</f>
        <v>Deliver</v>
      </c>
      <c r="J113" s="15" t="str">
        <f>IFERROR(__xludf.DUMMYFUNCTION("""COMPUTED_VALUE"""),"-")</f>
        <v>-</v>
      </c>
      <c r="K113" s="15" t="str">
        <f>IFERROR(__xludf.DUMMYFUNCTION("""COMPUTED_VALUE"""),"-")</f>
        <v>-</v>
      </c>
      <c r="L113" s="15" t="str">
        <f>IFERROR(__xludf.DUMMYFUNCTION("""COMPUTED_VALUE"""),"Normal")</f>
        <v>Normal</v>
      </c>
      <c r="M113" s="18" t="s">
        <v>27</v>
      </c>
      <c r="N113" s="18" t="s">
        <v>28</v>
      </c>
    </row>
    <row r="114" hidden="1">
      <c r="A114" s="15" t="str">
        <f>IFERROR(__xludf.DUMMYFUNCTION("""COMPUTED_VALUE"""),"RIABR0025")</f>
        <v>RIABR0025</v>
      </c>
      <c r="B114" s="16">
        <f>IFERROR(__xludf.DUMMYFUNCTION("""COMPUTED_VALUE"""),45721.915733124995)</f>
        <v>45721.91573</v>
      </c>
      <c r="C114" s="17">
        <f>IFERROR(__xludf.DUMMYFUNCTION("""COMPUTED_VALUE"""),45723.63340704861)</f>
        <v>45723.63341</v>
      </c>
      <c r="D114" s="15" t="str">
        <f>IFERROR(__xludf.DUMMYFUNCTION("""COMPUTED_VALUE"""),"Forklift")</f>
        <v>Forklift</v>
      </c>
      <c r="E114" s="15" t="str">
        <f>IFERROR(__xludf.DUMMYFUNCTION("""COMPUTED_VALUE"""),"-")</f>
        <v>-</v>
      </c>
      <c r="F114" s="15" t="str">
        <f>IFERROR(__xludf.DUMMYFUNCTION("""COMPUTED_VALUE"""),"Air Aki")</f>
        <v>Air Aki</v>
      </c>
      <c r="G114" s="15">
        <f>IFERROR(__xludf.DUMMYFUNCTION("""COMPUTED_VALUE"""),20.0)</f>
        <v>20</v>
      </c>
      <c r="H114" s="15" t="str">
        <f>IFERROR(__xludf.DUMMYFUNCTION("""COMPUTED_VALUE"""),"Ltr")</f>
        <v>Ltr</v>
      </c>
      <c r="I114" s="15" t="str">
        <f>IFERROR(__xludf.DUMMYFUNCTION("""COMPUTED_VALUE"""),"Deliver")</f>
        <v>Deliver</v>
      </c>
      <c r="J114" s="15" t="str">
        <f>IFERROR(__xludf.DUMMYFUNCTION("""COMPUTED_VALUE"""),"-")</f>
        <v>-</v>
      </c>
      <c r="K114" s="15" t="str">
        <f>IFERROR(__xludf.DUMMYFUNCTION("""COMPUTED_VALUE"""),"-")</f>
        <v>-</v>
      </c>
      <c r="L114" s="15" t="str">
        <f>IFERROR(__xludf.DUMMYFUNCTION("""COMPUTED_VALUE"""),"Normal")</f>
        <v>Normal</v>
      </c>
      <c r="M114" s="18" t="s">
        <v>32</v>
      </c>
      <c r="N114" s="18" t="s">
        <v>28</v>
      </c>
    </row>
    <row r="115" hidden="1">
      <c r="A115" s="15" t="str">
        <f>IFERROR(__xludf.DUMMYFUNCTION("""COMPUTED_VALUE"""),"SFHBR0012")</f>
        <v>SFHBR0012</v>
      </c>
      <c r="B115" s="16">
        <f>IFERROR(__xludf.DUMMYFUNCTION("""COMPUTED_VALUE"""),45722.40214248843)</f>
        <v>45722.40214</v>
      </c>
      <c r="C115" s="17">
        <f>IFERROR(__xludf.DUMMYFUNCTION("""COMPUTED_VALUE"""),45723.63493662037)</f>
        <v>45723.63494</v>
      </c>
      <c r="D115" s="15" t="str">
        <f>IFERROR(__xludf.DUMMYFUNCTION("""COMPUTED_VALUE"""),"lantai 1")</f>
        <v>lantai 1</v>
      </c>
      <c r="E115" s="15" t="str">
        <f>IFERROR(__xludf.DUMMYFUNCTION("""COMPUTED_VALUE"""),"EJO/2025/03/36")</f>
        <v>EJO/2025/03/36</v>
      </c>
      <c r="F115" s="15" t="str">
        <f>IFERROR(__xludf.DUMMYFUNCTION("""COMPUTED_VALUE"""),"hardener sanpolac")</f>
        <v>hardener sanpolac</v>
      </c>
      <c r="G115" s="15">
        <f>IFERROR(__xludf.DUMMYFUNCTION("""COMPUTED_VALUE"""),3.0)</f>
        <v>3</v>
      </c>
      <c r="H115" s="15" t="str">
        <f>IFERROR(__xludf.DUMMYFUNCTION("""COMPUTED_VALUE"""),"kg")</f>
        <v>kg</v>
      </c>
      <c r="I115" s="15" t="str">
        <f>IFERROR(__xludf.DUMMYFUNCTION("""COMPUTED_VALUE"""),"Deliver")</f>
        <v>Deliver</v>
      </c>
      <c r="J115" s="15" t="str">
        <f>IFERROR(__xludf.DUMMYFUNCTION("""COMPUTED_VALUE"""),"-")</f>
        <v>-</v>
      </c>
      <c r="K115" s="15" t="str">
        <f>IFERROR(__xludf.DUMMYFUNCTION("""COMPUTED_VALUE"""),"-")</f>
        <v>-</v>
      </c>
      <c r="L115" s="15" t="str">
        <f>IFERROR(__xludf.DUMMYFUNCTION("""COMPUTED_VALUE"""),"Normal")</f>
        <v>Normal</v>
      </c>
      <c r="M115" s="18" t="s">
        <v>27</v>
      </c>
      <c r="N115" s="18" t="s">
        <v>28</v>
      </c>
    </row>
    <row r="116" hidden="1">
      <c r="A116" s="15" t="str">
        <f>IFERROR(__xludf.DUMMYFUNCTION("""COMPUTED_VALUE"""),"SHFRO0004")</f>
        <v>SHFRO0004</v>
      </c>
      <c r="B116" s="16">
        <f>IFERROR(__xludf.DUMMYFUNCTION("""COMPUTED_VALUE"""),45713.40445349537)</f>
        <v>45713.40445</v>
      </c>
      <c r="C116" s="17">
        <f>IFERROR(__xludf.DUMMYFUNCTION("""COMPUTED_VALUE"""),45723.649419375004)</f>
        <v>45723.64942</v>
      </c>
      <c r="D116" s="15" t="str">
        <f>IFERROR(__xludf.DUMMYFUNCTION("""COMPUTED_VALUE"""),"Tank Hot Water OSD")</f>
        <v>Tank Hot Water OSD</v>
      </c>
      <c r="E116" s="15" t="str">
        <f>IFERROR(__xludf.DUMMYFUNCTION("""COMPUTED_VALUE"""),"EJO/2024/12/158")</f>
        <v>EJO/2024/12/158</v>
      </c>
      <c r="F116" s="15" t="str">
        <f>IFERROR(__xludf.DUMMYFUNCTION("""COMPUTED_VALUE"""),"Ball Valve PVC 2""")</f>
        <v>Ball Valve PVC 2"</v>
      </c>
      <c r="G116" s="15">
        <f>IFERROR(__xludf.DUMMYFUNCTION("""COMPUTED_VALUE"""),2.0)</f>
        <v>2</v>
      </c>
      <c r="H116" s="15" t="str">
        <f>IFERROR(__xludf.DUMMYFUNCTION("""COMPUTED_VALUE"""),"Pcs")</f>
        <v>Pcs</v>
      </c>
      <c r="I116" s="15" t="str">
        <f>IFERROR(__xludf.DUMMYFUNCTION("""COMPUTED_VALUE"""),"Deliver")</f>
        <v>Deliver</v>
      </c>
      <c r="J116" s="15" t="str">
        <f>IFERROR(__xludf.DUMMYFUNCTION("""COMPUTED_VALUE"""),"-")</f>
        <v>-</v>
      </c>
      <c r="K116" s="15" t="str">
        <f>IFERROR(__xludf.DUMMYFUNCTION("""COMPUTED_VALUE"""),"-")</f>
        <v>-</v>
      </c>
      <c r="L116" s="15" t="str">
        <f>IFERROR(__xludf.DUMMYFUNCTION("""COMPUTED_VALUE"""),"Normal")</f>
        <v>Normal</v>
      </c>
      <c r="M116" s="18" t="s">
        <v>52</v>
      </c>
      <c r="N116" s="18" t="s">
        <v>28</v>
      </c>
    </row>
    <row r="117" hidden="1">
      <c r="A117" s="15" t="str">
        <f>IFERROR(__xludf.DUMMYFUNCTION("""COMPUTED_VALUE"""),"SHFRO0003")</f>
        <v>SHFRO0003</v>
      </c>
      <c r="B117" s="16">
        <f>IFERROR(__xludf.DUMMYFUNCTION("""COMPUTED_VALUE"""),45712.503166400464)</f>
        <v>45712.50317</v>
      </c>
      <c r="C117" s="17">
        <f>IFERROR(__xludf.DUMMYFUNCTION("""COMPUTED_VALUE"""),45723.651759155095)</f>
        <v>45723.65176</v>
      </c>
      <c r="D117" s="15" t="str">
        <f>IFERROR(__xludf.DUMMYFUNCTION("""COMPUTED_VALUE"""),"Tank Hot Water OSD")</f>
        <v>Tank Hot Water OSD</v>
      </c>
      <c r="E117" s="15" t="str">
        <f>IFERROR(__xludf.DUMMYFUNCTION("""COMPUTED_VALUE"""),"EJO/2024/12/158")</f>
        <v>EJO/2024/12/158</v>
      </c>
      <c r="F117" s="15" t="str">
        <f>IFERROR(__xludf.DUMMYFUNCTION("""COMPUTED_VALUE"""),"Elbow PVC AW 45 deg dia 2 Inch; ; ;")</f>
        <v>Elbow PVC AW 45 deg dia 2 Inch; ; ;</v>
      </c>
      <c r="G117" s="15">
        <f>IFERROR(__xludf.DUMMYFUNCTION("""COMPUTED_VALUE"""),4.0)</f>
        <v>4</v>
      </c>
      <c r="H117" s="15" t="str">
        <f>IFERROR(__xludf.DUMMYFUNCTION("""COMPUTED_VALUE"""),"Pc")</f>
        <v>Pc</v>
      </c>
      <c r="I117" s="15" t="str">
        <f>IFERROR(__xludf.DUMMYFUNCTION("""COMPUTED_VALUE"""),"Deliver")</f>
        <v>Deliver</v>
      </c>
      <c r="J117" s="15" t="str">
        <f>IFERROR(__xludf.DUMMYFUNCTION("""COMPUTED_VALUE"""),"-")</f>
        <v>-</v>
      </c>
      <c r="K117" s="15" t="str">
        <f>IFERROR(__xludf.DUMMYFUNCTION("""COMPUTED_VALUE"""),"-")</f>
        <v>-</v>
      </c>
      <c r="L117" s="15" t="str">
        <f>IFERROR(__xludf.DUMMYFUNCTION("""COMPUTED_VALUE"""),"Normal")</f>
        <v>Normal</v>
      </c>
      <c r="M117" s="18" t="s">
        <v>52</v>
      </c>
      <c r="N117" s="18" t="s">
        <v>28</v>
      </c>
    </row>
    <row r="118" hidden="1">
      <c r="A118" s="15" t="str">
        <f>IFERROR(__xludf.DUMMYFUNCTION("""COMPUTED_VALUE"""),"SHFRO0002")</f>
        <v>SHFRO0002</v>
      </c>
      <c r="B118" s="16">
        <f>IFERROR(__xludf.DUMMYFUNCTION("""COMPUTED_VALUE"""),45712.503166400464)</f>
        <v>45712.50317</v>
      </c>
      <c r="C118" s="17">
        <f>IFERROR(__xludf.DUMMYFUNCTION("""COMPUTED_VALUE"""),45723.65193114583)</f>
        <v>45723.65193</v>
      </c>
      <c r="D118" s="15" t="str">
        <f>IFERROR(__xludf.DUMMYFUNCTION("""COMPUTED_VALUE"""),"Tank Hot Water OSD")</f>
        <v>Tank Hot Water OSD</v>
      </c>
      <c r="E118" s="15" t="str">
        <f>IFERROR(__xludf.DUMMYFUNCTION("""COMPUTED_VALUE"""),"EJO/2024/12/158")</f>
        <v>EJO/2024/12/158</v>
      </c>
      <c r="F118" s="15" t="str">
        <f>IFERROR(__xludf.DUMMYFUNCTION("""COMPUTED_VALUE"""),"General - ELBOW PVC AW 2"" ; Rucika; -; 1 pc")</f>
        <v>General - ELBOW PVC AW 2" ; Rucika; -; 1 pc</v>
      </c>
      <c r="G118" s="15">
        <f>IFERROR(__xludf.DUMMYFUNCTION("""COMPUTED_VALUE"""),4.0)</f>
        <v>4</v>
      </c>
      <c r="H118" s="15" t="str">
        <f>IFERROR(__xludf.DUMMYFUNCTION("""COMPUTED_VALUE"""),"Pc")</f>
        <v>Pc</v>
      </c>
      <c r="I118" s="15" t="str">
        <f>IFERROR(__xludf.DUMMYFUNCTION("""COMPUTED_VALUE"""),"Deliver")</f>
        <v>Deliver</v>
      </c>
      <c r="J118" s="15" t="str">
        <f>IFERROR(__xludf.DUMMYFUNCTION("""COMPUTED_VALUE"""),"-")</f>
        <v>-</v>
      </c>
      <c r="K118" s="15" t="str">
        <f>IFERROR(__xludf.DUMMYFUNCTION("""COMPUTED_VALUE"""),"-")</f>
        <v>-</v>
      </c>
      <c r="L118" s="15" t="str">
        <f>IFERROR(__xludf.DUMMYFUNCTION("""COMPUTED_VALUE"""),"Normal")</f>
        <v>Normal</v>
      </c>
      <c r="M118" s="18" t="s">
        <v>52</v>
      </c>
      <c r="N118" s="18" t="s">
        <v>28</v>
      </c>
    </row>
    <row r="119" hidden="1">
      <c r="A119" s="15" t="str">
        <f>IFERROR(__xludf.DUMMYFUNCTION("""COMPUTED_VALUE"""),"RIARO0024")</f>
        <v>RIARO0024</v>
      </c>
      <c r="B119" s="16">
        <f>IFERROR(__xludf.DUMMYFUNCTION("""COMPUTED_VALUE"""),45720.9661524074)</f>
        <v>45720.96615</v>
      </c>
      <c r="C119" s="17">
        <f>IFERROR(__xludf.DUMMYFUNCTION("""COMPUTED_VALUE"""),45723.65293586806)</f>
        <v>45723.65294</v>
      </c>
      <c r="D119" s="15" t="str">
        <f>IFERROR(__xludf.DUMMYFUNCTION("""COMPUTED_VALUE"""),"Wet Lab")</f>
        <v>Wet Lab</v>
      </c>
      <c r="E119" s="15" t="str">
        <f>IFERROR(__xludf.DUMMYFUNCTION("""COMPUTED_VALUE"""),"EJO/2025/03/01")</f>
        <v>EJO/2025/03/01</v>
      </c>
      <c r="F119" s="15" t="str">
        <f>IFERROR(__xludf.DUMMYFUNCTION("""COMPUTED_VALUE"""),"General - Ceiling Exhaust Fan; KDK; FV-25TGU5; 1 Pc")</f>
        <v>General - Ceiling Exhaust Fan; KDK; FV-25TGU5; 1 Pc</v>
      </c>
      <c r="G119" s="15">
        <f>IFERROR(__xludf.DUMMYFUNCTION("""COMPUTED_VALUE"""),1.0)</f>
        <v>1</v>
      </c>
      <c r="H119" s="15" t="str">
        <f>IFERROR(__xludf.DUMMYFUNCTION("""COMPUTED_VALUE"""),"Pcs")</f>
        <v>Pcs</v>
      </c>
      <c r="I119" s="15" t="str">
        <f>IFERROR(__xludf.DUMMYFUNCTION("""COMPUTED_VALUE"""),"Deliver")</f>
        <v>Deliver</v>
      </c>
      <c r="J119" s="15" t="str">
        <f>IFERROR(__xludf.DUMMYFUNCTION("""COMPUTED_VALUE"""),"-")</f>
        <v>-</v>
      </c>
      <c r="K119" s="15" t="str">
        <f>IFERROR(__xludf.DUMMYFUNCTION("""COMPUTED_VALUE"""),"-")</f>
        <v>-</v>
      </c>
      <c r="L119" s="15" t="str">
        <f>IFERROR(__xludf.DUMMYFUNCTION("""COMPUTED_VALUE"""),"Normal")</f>
        <v>Normal</v>
      </c>
      <c r="M119" s="18" t="s">
        <v>32</v>
      </c>
      <c r="N119" s="18" t="s">
        <v>28</v>
      </c>
    </row>
    <row r="120" hidden="1">
      <c r="A120" s="15" t="str">
        <f>IFERROR(__xludf.DUMMYFUNCTION("""COMPUTED_VALUE"""),"RIARO0023")</f>
        <v>RIARO0023</v>
      </c>
      <c r="B120" s="16">
        <f>IFERROR(__xludf.DUMMYFUNCTION("""COMPUTED_VALUE"""),45720.871782905095)</f>
        <v>45720.87178</v>
      </c>
      <c r="C120" s="17">
        <f>IFERROR(__xludf.DUMMYFUNCTION("""COMPUTED_VALUE"""),45723.653291608796)</f>
        <v>45723.65329</v>
      </c>
      <c r="D120" s="15" t="str">
        <f>IFERROR(__xludf.DUMMYFUNCTION("""COMPUTED_VALUE"""),"PW SKID")</f>
        <v>PW SKID</v>
      </c>
      <c r="E120" s="15" t="str">
        <f>IFERROR(__xludf.DUMMYFUNCTION("""COMPUTED_VALUE"""),"-")</f>
        <v>-</v>
      </c>
      <c r="F120" s="15" t="str">
        <f>IFERROR(__xludf.DUMMYFUNCTION("""COMPUTED_VALUE"""),"Membrane Valve PTFE/EPDM DN15 type 612 GEMU; ; ;")</f>
        <v>Membrane Valve PTFE/EPDM DN15 type 612 GEMU; ; ;</v>
      </c>
      <c r="G120" s="15">
        <f>IFERROR(__xludf.DUMMYFUNCTION("""COMPUTED_VALUE"""),5.0)</f>
        <v>5</v>
      </c>
      <c r="H120" s="15" t="str">
        <f>IFERROR(__xludf.DUMMYFUNCTION("""COMPUTED_VALUE"""),"Pcs")</f>
        <v>Pcs</v>
      </c>
      <c r="I120" s="15" t="str">
        <f>IFERROR(__xludf.DUMMYFUNCTION("""COMPUTED_VALUE"""),"Deliver")</f>
        <v>Deliver</v>
      </c>
      <c r="J120" s="15" t="str">
        <f>IFERROR(__xludf.DUMMYFUNCTION("""COMPUTED_VALUE"""),"-")</f>
        <v>-</v>
      </c>
      <c r="K120" s="15" t="str">
        <f>IFERROR(__xludf.DUMMYFUNCTION("""COMPUTED_VALUE"""),"-")</f>
        <v>-</v>
      </c>
      <c r="L120" s="15" t="str">
        <f>IFERROR(__xludf.DUMMYFUNCTION("""COMPUTED_VALUE"""),"Normal")</f>
        <v>Normal</v>
      </c>
      <c r="M120" s="18" t="s">
        <v>32</v>
      </c>
      <c r="N120" s="18" t="s">
        <v>28</v>
      </c>
    </row>
    <row r="121" hidden="1">
      <c r="A121" s="15" t="str">
        <f>IFERROR(__xludf.DUMMYFUNCTION("""COMPUTED_VALUE"""),"RIARO0022")</f>
        <v>RIARO0022</v>
      </c>
      <c r="B121" s="16">
        <f>IFERROR(__xludf.DUMMYFUNCTION("""COMPUTED_VALUE"""),45720.86735175926)</f>
        <v>45720.86735</v>
      </c>
      <c r="C121" s="17">
        <f>IFERROR(__xludf.DUMMYFUNCTION("""COMPUTED_VALUE"""),45723.653454363426)</f>
        <v>45723.65345</v>
      </c>
      <c r="D121" s="15" t="str">
        <f>IFERROR(__xludf.DUMMYFUNCTION("""COMPUTED_VALUE"""),"PW SKID")</f>
        <v>PW SKID</v>
      </c>
      <c r="E121" s="15" t="str">
        <f>IFERROR(__xludf.DUMMYFUNCTION("""COMPUTED_VALUE"""),"-")</f>
        <v>-</v>
      </c>
      <c r="F121" s="15" t="str">
        <f>IFERROR(__xludf.DUMMYFUNCTION("""COMPUTED_VALUE"""),"Membrane Diaphragm Valve EPDM PTFE DN 25 Gemu KRISNA DWI MITRA P/N : 600 25M 17 pc")</f>
        <v>Membrane Diaphragm Valve EPDM PTFE DN 25 Gemu KRISNA DWI MITRA P/N : 600 25M 17 pc</v>
      </c>
      <c r="G121" s="15">
        <f>IFERROR(__xludf.DUMMYFUNCTION("""COMPUTED_VALUE"""),5.0)</f>
        <v>5</v>
      </c>
      <c r="H121" s="15" t="str">
        <f>IFERROR(__xludf.DUMMYFUNCTION("""COMPUTED_VALUE"""),"Pcs")</f>
        <v>Pcs</v>
      </c>
      <c r="I121" s="15" t="str">
        <f>IFERROR(__xludf.DUMMYFUNCTION("""COMPUTED_VALUE"""),"Deliver")</f>
        <v>Deliver</v>
      </c>
      <c r="J121" s="15" t="str">
        <f>IFERROR(__xludf.DUMMYFUNCTION("""COMPUTED_VALUE"""),"-")</f>
        <v>-</v>
      </c>
      <c r="K121" s="15" t="str">
        <f>IFERROR(__xludf.DUMMYFUNCTION("""COMPUTED_VALUE"""),"-")</f>
        <v>-</v>
      </c>
      <c r="L121" s="15" t="str">
        <f>IFERROR(__xludf.DUMMYFUNCTION("""COMPUTED_VALUE"""),"Normal")</f>
        <v>Normal</v>
      </c>
      <c r="M121" s="18" t="s">
        <v>32</v>
      </c>
      <c r="N121" s="18" t="s">
        <v>28</v>
      </c>
    </row>
    <row r="122" hidden="1">
      <c r="A122" s="15" t="str">
        <f>IFERROR(__xludf.DUMMYFUNCTION("""COMPUTED_VALUE"""),"MRNBR0003")</f>
        <v>MRNBR0003</v>
      </c>
      <c r="B122" s="16">
        <f>IFERROR(__xludf.DUMMYFUNCTION("""COMPUTED_VALUE"""),45714.36542666667)</f>
        <v>45714.36543</v>
      </c>
      <c r="C122" s="17">
        <f>IFERROR(__xludf.DUMMYFUNCTION("""COMPUTED_VALUE"""),45723.65603869213)</f>
        <v>45723.65604</v>
      </c>
      <c r="D122" s="15" t="str">
        <f>IFERROR(__xludf.DUMMYFUNCTION("""COMPUTED_VALUE"""),"Loker sepatu")</f>
        <v>Loker sepatu</v>
      </c>
      <c r="E122" s="15" t="str">
        <f>IFERROR(__xludf.DUMMYFUNCTION("""COMPUTED_VALUE"""),"EJO/2024/12/150")</f>
        <v>EJO/2024/12/150</v>
      </c>
      <c r="F122" s="15" t="str">
        <f>IFERROR(__xludf.DUMMYFUNCTION("""COMPUTED_VALUE"""),"ducting flexible")</f>
        <v>ducting flexible</v>
      </c>
      <c r="G122" s="15">
        <f>IFERROR(__xludf.DUMMYFUNCTION("""COMPUTED_VALUE"""),3.0)</f>
        <v>3</v>
      </c>
      <c r="H122" s="15" t="str">
        <f>IFERROR(__xludf.DUMMYFUNCTION("""COMPUTED_VALUE"""),"unit")</f>
        <v>unit</v>
      </c>
      <c r="I122" s="15" t="str">
        <f>IFERROR(__xludf.DUMMYFUNCTION("""COMPUTED_VALUE"""),"Deliver")</f>
        <v>Deliver</v>
      </c>
      <c r="J122" s="15" t="str">
        <f>IFERROR(__xludf.DUMMYFUNCTION("""COMPUTED_VALUE"""),"-")</f>
        <v>-</v>
      </c>
      <c r="K122" s="15" t="str">
        <f>IFERROR(__xludf.DUMMYFUNCTION("""COMPUTED_VALUE"""),"-")</f>
        <v>-</v>
      </c>
      <c r="L122" s="15" t="str">
        <f>IFERROR(__xludf.DUMMYFUNCTION("""COMPUTED_VALUE"""),"Normal")</f>
        <v>Normal</v>
      </c>
      <c r="M122" s="18" t="s">
        <v>48</v>
      </c>
      <c r="N122" s="18" t="s">
        <v>28</v>
      </c>
    </row>
    <row r="123" hidden="1">
      <c r="A123" s="15" t="str">
        <f>IFERROR(__xludf.DUMMYFUNCTION("""COMPUTED_VALUE"""),"MOBBR0019")</f>
        <v>MOBBR0019</v>
      </c>
      <c r="B123" s="16">
        <f>IFERROR(__xludf.DUMMYFUNCTION("""COMPUTED_VALUE"""),45713.94654012731)</f>
        <v>45713.94654</v>
      </c>
      <c r="C123" s="17">
        <f>IFERROR(__xludf.DUMMYFUNCTION("""COMPUTED_VALUE"""),45723.65623229166)</f>
        <v>45723.65623</v>
      </c>
      <c r="D123" s="15" t="str">
        <f>IFERROR(__xludf.DUMMYFUNCTION("""COMPUTED_VALUE"""),"AC")</f>
        <v>AC</v>
      </c>
      <c r="E123" s="15" t="str">
        <f>IFERROR(__xludf.DUMMYFUNCTION("""COMPUTED_VALUE"""),"-")</f>
        <v>-</v>
      </c>
      <c r="F123" s="15" t="str">
        <f>IFERROR(__xludf.DUMMYFUNCTION("""COMPUTED_VALUE"""),"Freon")</f>
        <v>Freon</v>
      </c>
      <c r="G123" s="15">
        <f>IFERROR(__xludf.DUMMYFUNCTION("""COMPUTED_VALUE"""),2.0)</f>
        <v>2</v>
      </c>
      <c r="H123" s="15" t="str">
        <f>IFERROR(__xludf.DUMMYFUNCTION("""COMPUTED_VALUE"""),"Pcs")</f>
        <v>Pcs</v>
      </c>
      <c r="I123" s="15" t="str">
        <f>IFERROR(__xludf.DUMMYFUNCTION("""COMPUTED_VALUE"""),"Deliver")</f>
        <v>Deliver</v>
      </c>
      <c r="J123" s="15" t="str">
        <f>IFERROR(__xludf.DUMMYFUNCTION("""COMPUTED_VALUE"""),"-")</f>
        <v>-</v>
      </c>
      <c r="K123" s="15" t="str">
        <f>IFERROR(__xludf.DUMMYFUNCTION("""COMPUTED_VALUE"""),"-")</f>
        <v>-</v>
      </c>
      <c r="L123" s="15" t="str">
        <f>IFERROR(__xludf.DUMMYFUNCTION("""COMPUTED_VALUE"""),"Normal")</f>
        <v>Normal</v>
      </c>
      <c r="M123" s="18" t="s">
        <v>31</v>
      </c>
      <c r="N123" s="18" t="s">
        <v>28</v>
      </c>
    </row>
    <row r="124" hidden="1">
      <c r="A124" s="15" t="str">
        <f>IFERROR(__xludf.DUMMYFUNCTION("""COMPUTED_VALUE"""),"SFHBR0013")</f>
        <v>SFHBR0013</v>
      </c>
      <c r="B124" s="16">
        <f>IFERROR(__xludf.DUMMYFUNCTION("""COMPUTED_VALUE"""),45723.46938396991)</f>
        <v>45723.46938</v>
      </c>
      <c r="C124" s="17">
        <f>IFERROR(__xludf.DUMMYFUNCTION("""COMPUTED_VALUE"""),45723.65679113426)</f>
        <v>45723.65679</v>
      </c>
      <c r="D124" s="15" t="str">
        <f>IFERROR(__xludf.DUMMYFUNCTION("""COMPUTED_VALUE"""),"FIP Luar")</f>
        <v>FIP Luar</v>
      </c>
      <c r="E124" s="15" t="str">
        <f>IFERROR(__xludf.DUMMYFUNCTION("""COMPUTED_VALUE"""),"-")</f>
        <v>-</v>
      </c>
      <c r="F124" s="15" t="str">
        <f>IFERROR(__xludf.DUMMYFUNCTION("""COMPUTED_VALUE"""),"Wearpack")</f>
        <v>Wearpack</v>
      </c>
      <c r="G124" s="15">
        <f>IFERROR(__xludf.DUMMYFUNCTION("""COMPUTED_VALUE"""),2.0)</f>
        <v>2</v>
      </c>
      <c r="H124" s="15" t="str">
        <f>IFERROR(__xludf.DUMMYFUNCTION("""COMPUTED_VALUE"""),"Pcs")</f>
        <v>Pcs</v>
      </c>
      <c r="I124" s="15" t="str">
        <f>IFERROR(__xludf.DUMMYFUNCTION("""COMPUTED_VALUE"""),"Deliver")</f>
        <v>Deliver</v>
      </c>
      <c r="J124" s="15" t="str">
        <f>IFERROR(__xludf.DUMMYFUNCTION("""COMPUTED_VALUE"""),"-")</f>
        <v>-</v>
      </c>
      <c r="K124" s="15" t="str">
        <f>IFERROR(__xludf.DUMMYFUNCTION("""COMPUTED_VALUE"""),"-")</f>
        <v>-</v>
      </c>
      <c r="L124" s="15" t="str">
        <f>IFERROR(__xludf.DUMMYFUNCTION("""COMPUTED_VALUE"""),"Normal")</f>
        <v>Normal</v>
      </c>
      <c r="M124" s="18" t="s">
        <v>27</v>
      </c>
      <c r="N124" s="18" t="s">
        <v>28</v>
      </c>
    </row>
    <row r="125" hidden="1">
      <c r="A125" s="15" t="str">
        <f>IFERROR(__xludf.DUMMYFUNCTION("""COMPUTED_VALUE"""),"SFHBR0014")</f>
        <v>SFHBR0014</v>
      </c>
      <c r="B125" s="16">
        <f>IFERROR(__xludf.DUMMYFUNCTION("""COMPUTED_VALUE"""),45723.476641608795)</f>
        <v>45723.47664</v>
      </c>
      <c r="C125" s="17">
        <f>IFERROR(__xludf.DUMMYFUNCTION("""COMPUTED_VALUE"""),45723.65702150463)</f>
        <v>45723.65702</v>
      </c>
      <c r="D125" s="15" t="str">
        <f>IFERROR(__xludf.DUMMYFUNCTION("""COMPUTED_VALUE"""),"FIP Luar")</f>
        <v>FIP Luar</v>
      </c>
      <c r="E125" s="15" t="str">
        <f>IFERROR(__xludf.DUMMYFUNCTION("""COMPUTED_VALUE"""),"-")</f>
        <v>-</v>
      </c>
      <c r="F125" s="15" t="str">
        <f>IFERROR(__xludf.DUMMYFUNCTION("""COMPUTED_VALUE"""),"Wearpack")</f>
        <v>Wearpack</v>
      </c>
      <c r="G125" s="15">
        <f>IFERROR(__xludf.DUMMYFUNCTION("""COMPUTED_VALUE"""),2.0)</f>
        <v>2</v>
      </c>
      <c r="H125" s="15" t="str">
        <f>IFERROR(__xludf.DUMMYFUNCTION("""COMPUTED_VALUE"""),"Pcs")</f>
        <v>Pcs</v>
      </c>
      <c r="I125" s="15" t="str">
        <f>IFERROR(__xludf.DUMMYFUNCTION("""COMPUTED_VALUE"""),"Deliver")</f>
        <v>Deliver</v>
      </c>
      <c r="J125" s="15" t="str">
        <f>IFERROR(__xludf.DUMMYFUNCTION("""COMPUTED_VALUE"""),"-")</f>
        <v>-</v>
      </c>
      <c r="K125" s="15" t="str">
        <f>IFERROR(__xludf.DUMMYFUNCTION("""COMPUTED_VALUE"""),"-")</f>
        <v>-</v>
      </c>
      <c r="L125" s="15" t="str">
        <f>IFERROR(__xludf.DUMMYFUNCTION("""COMPUTED_VALUE"""),"Normal")</f>
        <v>Normal</v>
      </c>
      <c r="M125" s="18" t="s">
        <v>27</v>
      </c>
      <c r="N125" s="18" t="s">
        <v>28</v>
      </c>
    </row>
    <row r="126" hidden="1">
      <c r="A126" s="15" t="str">
        <f>IFERROR(__xludf.DUMMYFUNCTION("""COMPUTED_VALUE"""),"SFHBR0015")</f>
        <v>SFHBR0015</v>
      </c>
      <c r="B126" s="16">
        <f>IFERROR(__xludf.DUMMYFUNCTION("""COMPUTED_VALUE"""),45723.476641608795)</f>
        <v>45723.47664</v>
      </c>
      <c r="C126" s="17">
        <f>IFERROR(__xludf.DUMMYFUNCTION("""COMPUTED_VALUE"""),45723.657242534726)</f>
        <v>45723.65724</v>
      </c>
      <c r="D126" s="15" t="str">
        <f>IFERROR(__xludf.DUMMYFUNCTION("""COMPUTED_VALUE"""),"FIP Luar")</f>
        <v>FIP Luar</v>
      </c>
      <c r="E126" s="15" t="str">
        <f>IFERROR(__xludf.DUMMYFUNCTION("""COMPUTED_VALUE"""),"-")</f>
        <v>-</v>
      </c>
      <c r="F126" s="15" t="str">
        <f>IFERROR(__xludf.DUMMYFUNCTION("""COMPUTED_VALUE"""),"Wearpack")</f>
        <v>Wearpack</v>
      </c>
      <c r="G126" s="15">
        <f>IFERROR(__xludf.DUMMYFUNCTION("""COMPUTED_VALUE"""),2.0)</f>
        <v>2</v>
      </c>
      <c r="H126" s="15" t="str">
        <f>IFERROR(__xludf.DUMMYFUNCTION("""COMPUTED_VALUE"""),"Pcs")</f>
        <v>Pcs</v>
      </c>
      <c r="I126" s="15" t="str">
        <f>IFERROR(__xludf.DUMMYFUNCTION("""COMPUTED_VALUE"""),"Deliver")</f>
        <v>Deliver</v>
      </c>
      <c r="J126" s="15" t="str">
        <f>IFERROR(__xludf.DUMMYFUNCTION("""COMPUTED_VALUE"""),"-")</f>
        <v>-</v>
      </c>
      <c r="K126" s="15" t="str">
        <f>IFERROR(__xludf.DUMMYFUNCTION("""COMPUTED_VALUE"""),"-")</f>
        <v>-</v>
      </c>
      <c r="L126" s="15" t="str">
        <f>IFERROR(__xludf.DUMMYFUNCTION("""COMPUTED_VALUE"""),"Normal")</f>
        <v>Normal</v>
      </c>
      <c r="M126" s="18" t="s">
        <v>27</v>
      </c>
      <c r="N126" s="18" t="s">
        <v>28</v>
      </c>
    </row>
    <row r="127" hidden="1">
      <c r="A127" s="15" t="str">
        <f>IFERROR(__xludf.DUMMYFUNCTION("""COMPUTED_VALUE"""),"MOBRO0025")</f>
        <v>MOBRO0025</v>
      </c>
      <c r="B127" s="16">
        <f>IFERROR(__xludf.DUMMYFUNCTION("""COMPUTED_VALUE"""),45727.048098761574)</f>
        <v>45727.0481</v>
      </c>
      <c r="C127" s="17">
        <f>IFERROR(__xludf.DUMMYFUNCTION("""COMPUTED_VALUE"""),45727.726657534724)</f>
        <v>45727.72666</v>
      </c>
      <c r="D127" s="15" t="str">
        <f>IFERROR(__xludf.DUMMYFUNCTION("""COMPUTED_VALUE"""),"Plumbing")</f>
        <v>Plumbing</v>
      </c>
      <c r="E127" s="15" t="str">
        <f>IFERROR(__xludf.DUMMYFUNCTION("""COMPUTED_VALUE"""),"-")</f>
        <v>-</v>
      </c>
      <c r="F127" s="15" t="str">
        <f>IFERROR(__xludf.DUMMYFUNCTION("""COMPUTED_VALUE"""),"Pneumatic  Fitting - QS 1/2-10 / PN : 190646 / Festo")</f>
        <v>Pneumatic  Fitting - QS 1/2-10 / PN : 190646 / Festo</v>
      </c>
      <c r="G127" s="15">
        <f>IFERROR(__xludf.DUMMYFUNCTION("""COMPUTED_VALUE"""),8.0)</f>
        <v>8</v>
      </c>
      <c r="H127" s="15" t="str">
        <f>IFERROR(__xludf.DUMMYFUNCTION("""COMPUTED_VALUE"""),"Pcs")</f>
        <v>Pcs</v>
      </c>
      <c r="I127" s="15" t="str">
        <f>IFERROR(__xludf.DUMMYFUNCTION("""COMPUTED_VALUE"""),"Deliver")</f>
        <v>Deliver</v>
      </c>
      <c r="J127" s="15" t="str">
        <f>IFERROR(__xludf.DUMMYFUNCTION("""COMPUTED_VALUE"""),"-")</f>
        <v>-</v>
      </c>
      <c r="K127" s="15" t="str">
        <f>IFERROR(__xludf.DUMMYFUNCTION("""COMPUTED_VALUE"""),"-")</f>
        <v>-</v>
      </c>
      <c r="L127" s="15" t="str">
        <f>IFERROR(__xludf.DUMMYFUNCTION("""COMPUTED_VALUE"""),"Normal")</f>
        <v>Normal</v>
      </c>
      <c r="M127" s="18" t="s">
        <v>31</v>
      </c>
      <c r="N127" s="18" t="s">
        <v>28</v>
      </c>
    </row>
    <row r="128" hidden="1">
      <c r="A128" s="15" t="str">
        <f>IFERROR(__xludf.DUMMYFUNCTION("""COMPUTED_VALUE"""),"MOBJA0001")</f>
        <v>MOBJA0001</v>
      </c>
      <c r="B128" s="16">
        <f>IFERROR(__xludf.DUMMYFUNCTION("""COMPUTED_VALUE"""),45775.56210447917)</f>
        <v>45775.5621</v>
      </c>
      <c r="C128" s="17">
        <f>IFERROR(__xludf.DUMMYFUNCTION("""COMPUTED_VALUE"""),45727.72684229167)</f>
        <v>45727.72684</v>
      </c>
      <c r="D128" s="15" t="str">
        <f>IFERROR(__xludf.DUMMYFUNCTION("""COMPUTED_VALUE"""),"AHU D1-1, EF D1-4/5, AHU F3-4")</f>
        <v>AHU D1-1, EF D1-4/5, AHU F3-4</v>
      </c>
      <c r="E128" s="15" t="str">
        <f>IFERROR(__xludf.DUMMYFUNCTION("""COMPUTED_VALUE"""),"EJO/2025/03/134")</f>
        <v>EJO/2025/03/134</v>
      </c>
      <c r="F128" s="15" t="str">
        <f>IFERROR(__xludf.DUMMYFUNCTION("""COMPUTED_VALUE"""),"Ganti BIBO")</f>
        <v>Ganti BIBO</v>
      </c>
      <c r="G128" s="15">
        <f>IFERROR(__xludf.DUMMYFUNCTION("""COMPUTED_VALUE"""),3.0)</f>
        <v>3</v>
      </c>
      <c r="H128" s="15" t="str">
        <f>IFERROR(__xludf.DUMMYFUNCTION("""COMPUTED_VALUE"""),"Lot")</f>
        <v>Lot</v>
      </c>
      <c r="I128" s="15" t="str">
        <f>IFERROR(__xludf.DUMMYFUNCTION("""COMPUTED_VALUE"""),"Deliver")</f>
        <v>Deliver</v>
      </c>
      <c r="J128" s="15" t="str">
        <f>IFERROR(__xludf.DUMMYFUNCTION("""COMPUTED_VALUE"""),"-")</f>
        <v>-</v>
      </c>
      <c r="K128" s="15" t="str">
        <f>IFERROR(__xludf.DUMMYFUNCTION("""COMPUTED_VALUE"""),"-")</f>
        <v>-</v>
      </c>
      <c r="L128" s="15" t="str">
        <f>IFERROR(__xludf.DUMMYFUNCTION("""COMPUTED_VALUE"""),"Normal")</f>
        <v>Normal</v>
      </c>
      <c r="M128" s="18" t="s">
        <v>31</v>
      </c>
      <c r="N128" s="18" t="s">
        <v>28</v>
      </c>
    </row>
    <row r="129" hidden="1">
      <c r="A129" s="15" t="str">
        <f>IFERROR(__xludf.DUMMYFUNCTION("""COMPUTED_VALUE"""),"SFHBR0016")</f>
        <v>SFHBR0016</v>
      </c>
      <c r="B129" s="16">
        <f>IFERROR(__xludf.DUMMYFUNCTION("""COMPUTED_VALUE"""),45724.564102418975)</f>
        <v>45724.5641</v>
      </c>
      <c r="C129" s="17">
        <f>IFERROR(__xludf.DUMMYFUNCTION("""COMPUTED_VALUE"""),45727.72762640046)</f>
        <v>45727.72763</v>
      </c>
      <c r="D129" s="15" t="str">
        <f>IFERROR(__xludf.DUMMYFUNCTION("""COMPUTED_VALUE"""),"lantai 2")</f>
        <v>lantai 2</v>
      </c>
      <c r="E129" s="15" t="str">
        <f>IFERROR(__xludf.DUMMYFUNCTION("""COMPUTED_VALUE"""),"EJ0/EJO/03/17")</f>
        <v>EJ0/EJO/03/17</v>
      </c>
      <c r="F129" s="15" t="str">
        <f>IFERROR(__xludf.DUMMYFUNCTION("""COMPUTED_VALUE"""),"Door closer ")</f>
        <v>Door closer </v>
      </c>
      <c r="G129" s="15">
        <f>IFERROR(__xludf.DUMMYFUNCTION("""COMPUTED_VALUE"""),5.0)</f>
        <v>5</v>
      </c>
      <c r="H129" s="15" t="str">
        <f>IFERROR(__xludf.DUMMYFUNCTION("""COMPUTED_VALUE"""),"PCS")</f>
        <v>PCS</v>
      </c>
      <c r="I129" s="15" t="str">
        <f>IFERROR(__xludf.DUMMYFUNCTION("""COMPUTED_VALUE"""),"Deliver")</f>
        <v>Deliver</v>
      </c>
      <c r="J129" s="15" t="str">
        <f>IFERROR(__xludf.DUMMYFUNCTION("""COMPUTED_VALUE"""),"-")</f>
        <v>-</v>
      </c>
      <c r="K129" s="15" t="str">
        <f>IFERROR(__xludf.DUMMYFUNCTION("""COMPUTED_VALUE"""),"-")</f>
        <v>-</v>
      </c>
      <c r="L129" s="15" t="str">
        <f>IFERROR(__xludf.DUMMYFUNCTION("""COMPUTED_VALUE"""),"Normal")</f>
        <v>Normal</v>
      </c>
      <c r="M129" s="18" t="s">
        <v>27</v>
      </c>
      <c r="N129" s="18" t="s">
        <v>28</v>
      </c>
    </row>
    <row r="130" hidden="1">
      <c r="A130" s="15" t="str">
        <f>IFERROR(__xludf.DUMMYFUNCTION("""COMPUTED_VALUE"""),"ROSRO0001")</f>
        <v>ROSRO0001</v>
      </c>
      <c r="B130" s="16">
        <f>IFERROR(__xludf.DUMMYFUNCTION("""COMPUTED_VALUE"""),45723.63803334491)</f>
        <v>45723.63803</v>
      </c>
      <c r="C130" s="17">
        <f>IFERROR(__xludf.DUMMYFUNCTION("""COMPUTED_VALUE"""),45729.47068056713)</f>
        <v>45729.47068</v>
      </c>
      <c r="D130" s="15" t="str">
        <f>IFERROR(__xludf.DUMMYFUNCTION("""COMPUTED_VALUE"""),"refigerator GEA")</f>
        <v>refigerator GEA</v>
      </c>
      <c r="E130" s="15" t="str">
        <f>IFERROR(__xludf.DUMMYFUNCTION("""COMPUTED_VALUE"""),"EJO/2023/02/60")</f>
        <v>EJO/2023/02/60</v>
      </c>
      <c r="F130" s="15" t="str">
        <f>IFERROR(__xludf.DUMMYFUNCTION("""COMPUTED_VALUE"""),"Cable Temperature Sensor Silicone 1,5m PT1000 QAP2012.150")</f>
        <v>Cable Temperature Sensor Silicone 1,5m PT1000 QAP2012.150</v>
      </c>
      <c r="G130" s="15">
        <f>IFERROR(__xludf.DUMMYFUNCTION("""COMPUTED_VALUE"""),4.0)</f>
        <v>4</v>
      </c>
      <c r="H130" s="15" t="str">
        <f>IFERROR(__xludf.DUMMYFUNCTION("""COMPUTED_VALUE"""),"pcs")</f>
        <v>pcs</v>
      </c>
      <c r="I130" s="15" t="str">
        <f>IFERROR(__xludf.DUMMYFUNCTION("""COMPUTED_VALUE"""),"Deliver")</f>
        <v>Deliver</v>
      </c>
      <c r="J130" s="15" t="str">
        <f>IFERROR(__xludf.DUMMYFUNCTION("""COMPUTED_VALUE"""),"-")</f>
        <v>-</v>
      </c>
      <c r="K130" s="15" t="str">
        <f>IFERROR(__xludf.DUMMYFUNCTION("""COMPUTED_VALUE"""),"-")</f>
        <v>-</v>
      </c>
      <c r="L130" s="15" t="str">
        <f>IFERROR(__xludf.DUMMYFUNCTION("""COMPUTED_VALUE"""),"Normal")</f>
        <v>Normal</v>
      </c>
      <c r="M130" s="18" t="s">
        <v>29</v>
      </c>
      <c r="N130" s="18" t="s">
        <v>30</v>
      </c>
    </row>
    <row r="131" hidden="1">
      <c r="A131" s="15" t="str">
        <f>IFERROR(__xludf.DUMMYFUNCTION("""COMPUTED_VALUE"""),"ROSBR0009")</f>
        <v>ROSBR0009</v>
      </c>
      <c r="B131" s="16">
        <f>IFERROR(__xludf.DUMMYFUNCTION("""COMPUTED_VALUE"""),45723.60668484954)</f>
        <v>45723.60668</v>
      </c>
      <c r="C131" s="17">
        <f>IFERROR(__xludf.DUMMYFUNCTION("""COMPUTED_VALUE"""),45729.47239177083)</f>
        <v>45729.47239</v>
      </c>
      <c r="D131" s="15" t="str">
        <f>IFERROR(__xludf.DUMMYFUNCTION("""COMPUTED_VALUE"""),"isolator Dispensing (steril)")</f>
        <v>isolator Dispensing (steril)</v>
      </c>
      <c r="E131" s="15" t="str">
        <f>IFERROR(__xludf.DUMMYFUNCTION("""COMPUTED_VALUE"""),"EJO/2025/02/145")</f>
        <v>EJO/2025/02/145</v>
      </c>
      <c r="F131" s="15" t="str">
        <f>IFERROR(__xludf.DUMMYFUNCTION("""COMPUTED_VALUE"""),"Roda Tangki Limbah dispensing (steril)")</f>
        <v>Roda Tangki Limbah dispensing (steril)</v>
      </c>
      <c r="G131" s="15">
        <f>IFERROR(__xludf.DUMMYFUNCTION("""COMPUTED_VALUE"""),4.0)</f>
        <v>4</v>
      </c>
      <c r="H131" s="15" t="str">
        <f>IFERROR(__xludf.DUMMYFUNCTION("""COMPUTED_VALUE"""),"pcs")</f>
        <v>pcs</v>
      </c>
      <c r="I131" s="15" t="str">
        <f>IFERROR(__xludf.DUMMYFUNCTION("""COMPUTED_VALUE"""),"Deliver")</f>
        <v>Deliver</v>
      </c>
      <c r="J131" s="15" t="str">
        <f>IFERROR(__xludf.DUMMYFUNCTION("""COMPUTED_VALUE"""),"-")</f>
        <v>-</v>
      </c>
      <c r="K131" s="15" t="str">
        <f>IFERROR(__xludf.DUMMYFUNCTION("""COMPUTED_VALUE"""),"-")</f>
        <v>-</v>
      </c>
      <c r="L131" s="15" t="str">
        <f>IFERROR(__xludf.DUMMYFUNCTION("""COMPUTED_VALUE"""),"Normal")</f>
        <v>Normal</v>
      </c>
      <c r="M131" s="18" t="s">
        <v>29</v>
      </c>
      <c r="N131" s="18" t="s">
        <v>30</v>
      </c>
    </row>
    <row r="132" hidden="1">
      <c r="A132" s="15" t="str">
        <f>IFERROR(__xludf.DUMMYFUNCTION("""COMPUTED_VALUE"""),"ROSBR0011")</f>
        <v>ROSBR0011</v>
      </c>
      <c r="B132" s="16">
        <f>IFERROR(__xludf.DUMMYFUNCTION("""COMPUTED_VALUE"""),45725.56726363426)</f>
        <v>45725.56726</v>
      </c>
      <c r="C132" s="17">
        <f>IFERROR(__xludf.DUMMYFUNCTION("""COMPUTED_VALUE"""),45729.59346282407)</f>
        <v>45729.59346</v>
      </c>
      <c r="D132" s="15" t="str">
        <f>IFERROR(__xludf.DUMMYFUNCTION("""COMPUTED_VALUE"""),"Tunnel")</f>
        <v>Tunnel</v>
      </c>
      <c r="E132" s="15" t="str">
        <f>IFERROR(__xludf.DUMMYFUNCTION("""COMPUTED_VALUE"""),"EJO/2025/03/38")</f>
        <v>EJO/2025/03/38</v>
      </c>
      <c r="F132" s="15" t="str">
        <f>IFERROR(__xludf.DUMMYFUNCTION("""COMPUTED_VALUE"""),"Insulflex Insulasi Pipa")</f>
        <v>Insulflex Insulasi Pipa</v>
      </c>
      <c r="G132" s="15">
        <f>IFERROR(__xludf.DUMMYFUNCTION("""COMPUTED_VALUE"""),10.0)</f>
        <v>10</v>
      </c>
      <c r="H132" s="15" t="str">
        <f>IFERROR(__xludf.DUMMYFUNCTION("""COMPUTED_VALUE"""),"meter")</f>
        <v>meter</v>
      </c>
      <c r="I132" s="15" t="str">
        <f>IFERROR(__xludf.DUMMYFUNCTION("""COMPUTED_VALUE"""),"Deliver")</f>
        <v>Deliver</v>
      </c>
      <c r="J132" s="15" t="str">
        <f>IFERROR(__xludf.DUMMYFUNCTION("""COMPUTED_VALUE"""),"-")</f>
        <v>-</v>
      </c>
      <c r="K132" s="15" t="str">
        <f>IFERROR(__xludf.DUMMYFUNCTION("""COMPUTED_VALUE"""),"-")</f>
        <v>-</v>
      </c>
      <c r="L132" s="15" t="str">
        <f>IFERROR(__xludf.DUMMYFUNCTION("""COMPUTED_VALUE"""),"Normal")</f>
        <v>Normal</v>
      </c>
      <c r="M132" s="18" t="s">
        <v>29</v>
      </c>
      <c r="N132" s="18" t="s">
        <v>30</v>
      </c>
    </row>
    <row r="133" hidden="1">
      <c r="A133" s="15" t="str">
        <f>IFERROR(__xludf.DUMMYFUNCTION("""COMPUTED_VALUE"""),"ROSBR0012")</f>
        <v>ROSBR0012</v>
      </c>
      <c r="B133" s="16">
        <f>IFERROR(__xludf.DUMMYFUNCTION("""COMPUTED_VALUE"""),45725.73334604166)</f>
        <v>45725.73335</v>
      </c>
      <c r="C133" s="17">
        <f>IFERROR(__xludf.DUMMYFUNCTION("""COMPUTED_VALUE"""),45729.59383622685)</f>
        <v>45729.59384</v>
      </c>
      <c r="D133" s="15" t="str">
        <f>IFERROR(__xludf.DUMMYFUNCTION("""COMPUTED_VALUE"""),"Tunnel")</f>
        <v>Tunnel</v>
      </c>
      <c r="E133" s="15" t="str">
        <f>IFERROR(__xludf.DUMMYFUNCTION("""COMPUTED_VALUE"""),"EJO/2025/03/38")</f>
        <v>EJO/2025/03/38</v>
      </c>
      <c r="F133" s="15" t="str">
        <f>IFERROR(__xludf.DUMMYFUNCTION("""COMPUTED_VALUE"""),"Lem Perekat Superlon")</f>
        <v>Lem Perekat Superlon</v>
      </c>
      <c r="G133" s="15">
        <f>IFERROR(__xludf.DUMMYFUNCTION("""COMPUTED_VALUE"""),1.0)</f>
        <v>1</v>
      </c>
      <c r="H133" s="15" t="str">
        <f>IFERROR(__xludf.DUMMYFUNCTION("""COMPUTED_VALUE"""),"kaleng")</f>
        <v>kaleng</v>
      </c>
      <c r="I133" s="15" t="str">
        <f>IFERROR(__xludf.DUMMYFUNCTION("""COMPUTED_VALUE"""),"Deliver")</f>
        <v>Deliver</v>
      </c>
      <c r="J133" s="15" t="str">
        <f>IFERROR(__xludf.DUMMYFUNCTION("""COMPUTED_VALUE"""),"-")</f>
        <v>-</v>
      </c>
      <c r="K133" s="15" t="str">
        <f>IFERROR(__xludf.DUMMYFUNCTION("""COMPUTED_VALUE"""),"-")</f>
        <v>-</v>
      </c>
      <c r="L133" s="15" t="str">
        <f>IFERROR(__xludf.DUMMYFUNCTION("""COMPUTED_VALUE"""),"Normal")</f>
        <v>Normal</v>
      </c>
      <c r="M133" s="18" t="s">
        <v>29</v>
      </c>
      <c r="N133" s="18" t="s">
        <v>30</v>
      </c>
    </row>
    <row r="134" hidden="1">
      <c r="A134" s="15" t="str">
        <f>IFERROR(__xludf.DUMMYFUNCTION("""COMPUTED_VALUE"""),"AAABR0001")</f>
        <v>AAABR0001</v>
      </c>
      <c r="B134" s="16">
        <f>IFERROR(__xludf.DUMMYFUNCTION("""COMPUTED_VALUE"""),45715.95977559027)</f>
        <v>45715.95978</v>
      </c>
      <c r="C134" s="17">
        <f>IFERROR(__xludf.DUMMYFUNCTION("""COMPUTED_VALUE"""),45729.595949594914)</f>
        <v>45729.59595</v>
      </c>
      <c r="D134" s="15" t="str">
        <f>IFERROR(__xludf.DUMMYFUNCTION("""COMPUTED_VALUE"""),"Cartoning")</f>
        <v>Cartoning</v>
      </c>
      <c r="E134" s="15" t="str">
        <f>IFERROR(__xludf.DUMMYFUNCTION("""COMPUTED_VALUE"""),"NA")</f>
        <v>NA</v>
      </c>
      <c r="F134" s="15" t="str">
        <f>IFERROR(__xludf.DUMMYFUNCTION("""COMPUTED_VALUE"""),"Toothed Belt")</f>
        <v>Toothed Belt</v>
      </c>
      <c r="G134" s="15">
        <f>IFERROR(__xludf.DUMMYFUNCTION("""COMPUTED_VALUE"""),2.0)</f>
        <v>2</v>
      </c>
      <c r="H134" s="15" t="str">
        <f>IFERROR(__xludf.DUMMYFUNCTION("""COMPUTED_VALUE"""),"Pcs")</f>
        <v>Pcs</v>
      </c>
      <c r="I134" s="15" t="str">
        <f>IFERROR(__xludf.DUMMYFUNCTION("""COMPUTED_VALUE"""),"Deliver")</f>
        <v>Deliver</v>
      </c>
      <c r="J134" s="15" t="str">
        <f>IFERROR(__xludf.DUMMYFUNCTION("""COMPUTED_VALUE"""),"-")</f>
        <v>-</v>
      </c>
      <c r="K134" s="15" t="str">
        <f>IFERROR(__xludf.DUMMYFUNCTION("""COMPUTED_VALUE"""),"-")</f>
        <v>-</v>
      </c>
      <c r="L134" s="15" t="str">
        <f>IFERROR(__xludf.DUMMYFUNCTION("""COMPUTED_VALUE"""),"Normal")</f>
        <v>Normal</v>
      </c>
      <c r="M134" s="18" t="s">
        <v>47</v>
      </c>
      <c r="N134" s="18" t="s">
        <v>30</v>
      </c>
    </row>
    <row r="135" hidden="1">
      <c r="A135" s="15" t="str">
        <f>IFERROR(__xludf.DUMMYFUNCTION("""COMPUTED_VALUE"""),"AAARO0002")</f>
        <v>AAARO0002</v>
      </c>
      <c r="B135" s="16">
        <f>IFERROR(__xludf.DUMMYFUNCTION("""COMPUTED_VALUE"""),46255.82219748843)</f>
        <v>46255.8222</v>
      </c>
      <c r="C135" s="17">
        <f>IFERROR(__xludf.DUMMYFUNCTION("""COMPUTED_VALUE"""),45729.59638354166)</f>
        <v>45729.59638</v>
      </c>
      <c r="D135" s="15" t="str">
        <f>IFERROR(__xludf.DUMMYFUNCTION("""COMPUTED_VALUE"""),"Mixing tank")</f>
        <v>Mixing tank</v>
      </c>
      <c r="E135" s="15" t="str">
        <f>IFERROR(__xludf.DUMMYFUNCTION("""COMPUTED_VALUE"""),"N/A")</f>
        <v>N/A</v>
      </c>
      <c r="F135" s="15" t="str">
        <f>IFERROR(__xludf.DUMMYFUNCTION("""COMPUTED_VALUE"""),"General - Lampu Halogen 20 W; Osram; -; 1 unt")</f>
        <v>General - Lampu Halogen 20 W; Osram; -; 1 unt</v>
      </c>
      <c r="G135" s="15">
        <f>IFERROR(__xludf.DUMMYFUNCTION("""COMPUTED_VALUE"""),4.0)</f>
        <v>4</v>
      </c>
      <c r="H135" s="15" t="str">
        <f>IFERROR(__xludf.DUMMYFUNCTION("""COMPUTED_VALUE"""),"Pcs")</f>
        <v>Pcs</v>
      </c>
      <c r="I135" s="15" t="str">
        <f>IFERROR(__xludf.DUMMYFUNCTION("""COMPUTED_VALUE"""),"Deliver")</f>
        <v>Deliver</v>
      </c>
      <c r="J135" s="15" t="str">
        <f>IFERROR(__xludf.DUMMYFUNCTION("""COMPUTED_VALUE"""),"-")</f>
        <v>-</v>
      </c>
      <c r="K135" s="15" t="str">
        <f>IFERROR(__xludf.DUMMYFUNCTION("""COMPUTED_VALUE"""),"-")</f>
        <v>-</v>
      </c>
      <c r="L135" s="15" t="str">
        <f>IFERROR(__xludf.DUMMYFUNCTION("""COMPUTED_VALUE"""),"Normal")</f>
        <v>Normal</v>
      </c>
      <c r="M135" s="18" t="s">
        <v>47</v>
      </c>
      <c r="N135" s="18" t="s">
        <v>30</v>
      </c>
    </row>
    <row r="136" hidden="1">
      <c r="A136" s="15" t="str">
        <f>IFERROR(__xludf.DUMMYFUNCTION("""COMPUTED_VALUE"""),"AAARO0003")</f>
        <v>AAARO0003</v>
      </c>
      <c r="B136" s="16">
        <f>IFERROR(__xludf.DUMMYFUNCTION("""COMPUTED_VALUE"""),46255.82219748843)</f>
        <v>46255.8222</v>
      </c>
      <c r="C136" s="17">
        <f>IFERROR(__xludf.DUMMYFUNCTION("""COMPUTED_VALUE"""),45729.59678209491)</f>
        <v>45729.59678</v>
      </c>
      <c r="D136" s="15" t="str">
        <f>IFERROR(__xludf.DUMMYFUNCTION("""COMPUTED_VALUE"""),"Cartoning")</f>
        <v>Cartoning</v>
      </c>
      <c r="E136" s="15" t="str">
        <f>IFERROR(__xludf.DUMMYFUNCTION("""COMPUTED_VALUE"""),"NA")</f>
        <v>NA</v>
      </c>
      <c r="F136" s="15" t="str">
        <f>IFERROR(__xludf.DUMMYFUNCTION("""COMPUTED_VALUE"""),"Marchesini MA155 - Leaflet Grippet p/n:A920000005")</f>
        <v>Marchesini MA155 - Leaflet Grippet p/n:A920000005</v>
      </c>
      <c r="G136" s="15">
        <f>IFERROR(__xludf.DUMMYFUNCTION("""COMPUTED_VALUE"""),2.0)</f>
        <v>2</v>
      </c>
      <c r="H136" s="15" t="str">
        <f>IFERROR(__xludf.DUMMYFUNCTION("""COMPUTED_VALUE"""),"Pcs")</f>
        <v>Pcs</v>
      </c>
      <c r="I136" s="15" t="str">
        <f>IFERROR(__xludf.DUMMYFUNCTION("""COMPUTED_VALUE"""),"Deliver")</f>
        <v>Deliver</v>
      </c>
      <c r="J136" s="15" t="str">
        <f>IFERROR(__xludf.DUMMYFUNCTION("""COMPUTED_VALUE"""),"-")</f>
        <v>-</v>
      </c>
      <c r="K136" s="15" t="str">
        <f>IFERROR(__xludf.DUMMYFUNCTION("""COMPUTED_VALUE"""),"-")</f>
        <v>-</v>
      </c>
      <c r="L136" s="15" t="str">
        <f>IFERROR(__xludf.DUMMYFUNCTION("""COMPUTED_VALUE"""),"Normal")</f>
        <v>Normal</v>
      </c>
      <c r="M136" s="18" t="s">
        <v>47</v>
      </c>
      <c r="N136" s="18" t="s">
        <v>30</v>
      </c>
    </row>
    <row r="137" hidden="1">
      <c r="A137" s="15" t="str">
        <f>IFERROR(__xludf.DUMMYFUNCTION("""COMPUTED_VALUE"""),"AAARO0004")</f>
        <v>AAARO0004</v>
      </c>
      <c r="B137" s="16">
        <f>IFERROR(__xludf.DUMMYFUNCTION("""COMPUTED_VALUE"""),46255.82219748843)</f>
        <v>46255.8222</v>
      </c>
      <c r="C137" s="17">
        <f>IFERROR(__xludf.DUMMYFUNCTION("""COMPUTED_VALUE"""),45729.59719958333)</f>
        <v>45729.5972</v>
      </c>
      <c r="D137" s="15" t="str">
        <f>IFERROR(__xludf.DUMMYFUNCTION("""COMPUTED_VALUE"""),"Cartoning")</f>
        <v>Cartoning</v>
      </c>
      <c r="E137" s="15" t="str">
        <f>IFERROR(__xludf.DUMMYFUNCTION("""COMPUTED_VALUE"""),"NA")</f>
        <v>NA</v>
      </c>
      <c r="F137" s="15" t="str">
        <f>IFERROR(__xludf.DUMMYFUNCTION("""COMPUTED_VALUE"""),"Marchesini MA155 - Conveyor Belt FNI-5E ER 1110 X 75 (SIL) p/n:C721411175")</f>
        <v>Marchesini MA155 - Conveyor Belt FNI-5E ER 1110 X 75 (SIL) p/n:C721411175</v>
      </c>
      <c r="G137" s="15">
        <f>IFERROR(__xludf.DUMMYFUNCTION("""COMPUTED_VALUE"""),2.0)</f>
        <v>2</v>
      </c>
      <c r="H137" s="15" t="str">
        <f>IFERROR(__xludf.DUMMYFUNCTION("""COMPUTED_VALUE"""),"Pcs")</f>
        <v>Pcs</v>
      </c>
      <c r="I137" s="15" t="str">
        <f>IFERROR(__xludf.DUMMYFUNCTION("""COMPUTED_VALUE"""),"Deliver")</f>
        <v>Deliver</v>
      </c>
      <c r="J137" s="15" t="str">
        <f>IFERROR(__xludf.DUMMYFUNCTION("""COMPUTED_VALUE"""),"-")</f>
        <v>-</v>
      </c>
      <c r="K137" s="15" t="str">
        <f>IFERROR(__xludf.DUMMYFUNCTION("""COMPUTED_VALUE"""),"-")</f>
        <v>-</v>
      </c>
      <c r="L137" s="15" t="str">
        <f>IFERROR(__xludf.DUMMYFUNCTION("""COMPUTED_VALUE"""),"Normal")</f>
        <v>Normal</v>
      </c>
      <c r="M137" s="18" t="s">
        <v>47</v>
      </c>
      <c r="N137" s="18" t="s">
        <v>30</v>
      </c>
    </row>
    <row r="138" hidden="1">
      <c r="A138" s="15" t="str">
        <f>IFERROR(__xludf.DUMMYFUNCTION("""COMPUTED_VALUE"""),"AAARO0005")</f>
        <v>AAARO0005</v>
      </c>
      <c r="B138" s="16">
        <f>IFERROR(__xludf.DUMMYFUNCTION("""COMPUTED_VALUE"""),46255.82219748843)</f>
        <v>46255.8222</v>
      </c>
      <c r="C138" s="17">
        <f>IFERROR(__xludf.DUMMYFUNCTION("""COMPUTED_VALUE"""),45729.597545543984)</f>
        <v>45729.59755</v>
      </c>
      <c r="D138" s="15" t="str">
        <f>IFERROR(__xludf.DUMMYFUNCTION("""COMPUTED_VALUE"""),"Cartoning")</f>
        <v>Cartoning</v>
      </c>
      <c r="E138" s="15" t="str">
        <f>IFERROR(__xludf.DUMMYFUNCTION("""COMPUTED_VALUE"""),"AAABR0029")</f>
        <v>AAABR0029</v>
      </c>
      <c r="F138" s="15" t="str">
        <f>IFERROR(__xludf.DUMMYFUNCTION("""COMPUTED_VALUE"""),"Marchesini MA155 - Conveyor Belt NB-8E 1850 x 40 p/n:C720718540")</f>
        <v>Marchesini MA155 - Conveyor Belt NB-8E 1850 x 40 p/n:C720718540</v>
      </c>
      <c r="G138" s="15">
        <f>IFERROR(__xludf.DUMMYFUNCTION("""COMPUTED_VALUE"""),1.0)</f>
        <v>1</v>
      </c>
      <c r="H138" s="15" t="str">
        <f>IFERROR(__xludf.DUMMYFUNCTION("""COMPUTED_VALUE"""),"Pcs")</f>
        <v>Pcs</v>
      </c>
      <c r="I138" s="15" t="str">
        <f>IFERROR(__xludf.DUMMYFUNCTION("""COMPUTED_VALUE"""),"Deliver")</f>
        <v>Deliver</v>
      </c>
      <c r="J138" s="15" t="str">
        <f>IFERROR(__xludf.DUMMYFUNCTION("""COMPUTED_VALUE"""),"-")</f>
        <v>-</v>
      </c>
      <c r="K138" s="15" t="str">
        <f>IFERROR(__xludf.DUMMYFUNCTION("""COMPUTED_VALUE"""),"-")</f>
        <v>-</v>
      </c>
      <c r="L138" s="15" t="str">
        <f>IFERROR(__xludf.DUMMYFUNCTION("""COMPUTED_VALUE"""),"Normal")</f>
        <v>Normal</v>
      </c>
      <c r="M138" s="18" t="s">
        <v>47</v>
      </c>
      <c r="N138" s="18" t="s">
        <v>30</v>
      </c>
    </row>
    <row r="139" hidden="1">
      <c r="A139" s="15" t="str">
        <f>IFERROR(__xludf.DUMMYFUNCTION("""COMPUTED_VALUE"""),"AAARO0006")</f>
        <v>AAARO0006</v>
      </c>
      <c r="B139" s="16">
        <f>IFERROR(__xludf.DUMMYFUNCTION("""COMPUTED_VALUE"""),46255.82219748843)</f>
        <v>46255.8222</v>
      </c>
      <c r="C139" s="17">
        <f>IFERROR(__xludf.DUMMYFUNCTION("""COMPUTED_VALUE"""),45729.59787643519)</f>
        <v>45729.59788</v>
      </c>
      <c r="D139" s="15" t="str">
        <f>IFERROR(__xludf.DUMMYFUNCTION("""COMPUTED_VALUE"""),"Cartoning")</f>
        <v>Cartoning</v>
      </c>
      <c r="E139" s="15" t="str">
        <f>IFERROR(__xludf.DUMMYFUNCTION("""COMPUTED_VALUE"""),"NA")</f>
        <v>NA</v>
      </c>
      <c r="F139" s="15" t="str">
        <f>IFERROR(__xludf.DUMMYFUNCTION("""COMPUTED_VALUE"""),"Marchesini MA155 - Conveyor Belt 1380 x 40 HA p/n:C720713840")</f>
        <v>Marchesini MA155 - Conveyor Belt 1380 x 40 HA p/n:C720713840</v>
      </c>
      <c r="G139" s="15">
        <f>IFERROR(__xludf.DUMMYFUNCTION("""COMPUTED_VALUE"""),1.0)</f>
        <v>1</v>
      </c>
      <c r="H139" s="15" t="str">
        <f>IFERROR(__xludf.DUMMYFUNCTION("""COMPUTED_VALUE"""),"pcs")</f>
        <v>pcs</v>
      </c>
      <c r="I139" s="15" t="str">
        <f>IFERROR(__xludf.DUMMYFUNCTION("""COMPUTED_VALUE"""),"Deliver")</f>
        <v>Deliver</v>
      </c>
      <c r="J139" s="15" t="str">
        <f>IFERROR(__xludf.DUMMYFUNCTION("""COMPUTED_VALUE"""),"-")</f>
        <v>-</v>
      </c>
      <c r="K139" s="15" t="str">
        <f>IFERROR(__xludf.DUMMYFUNCTION("""COMPUTED_VALUE"""),"-")</f>
        <v>-</v>
      </c>
      <c r="L139" s="15" t="str">
        <f>IFERROR(__xludf.DUMMYFUNCTION("""COMPUTED_VALUE"""),"Normal")</f>
        <v>Normal</v>
      </c>
      <c r="M139" s="18" t="s">
        <v>47</v>
      </c>
      <c r="N139" s="18" t="s">
        <v>30</v>
      </c>
    </row>
    <row r="140" hidden="1">
      <c r="A140" s="15" t="str">
        <f>IFERROR(__xludf.DUMMYFUNCTION("""COMPUTED_VALUE"""),"AAARO0007")</f>
        <v>AAARO0007</v>
      </c>
      <c r="B140" s="16">
        <f>IFERROR(__xludf.DUMMYFUNCTION("""COMPUTED_VALUE"""),46255.82219748843)</f>
        <v>46255.8222</v>
      </c>
      <c r="C140" s="17">
        <f>IFERROR(__xludf.DUMMYFUNCTION("""COMPUTED_VALUE"""),45729.598727233795)</f>
        <v>45729.59873</v>
      </c>
      <c r="D140" s="15" t="str">
        <f>IFERROR(__xludf.DUMMYFUNCTION("""COMPUTED_VALUE"""),"Tunnel")</f>
        <v>Tunnel</v>
      </c>
      <c r="E140" s="15" t="str">
        <f>IFERROR(__xludf.DUMMYFUNCTION("""COMPUTED_VALUE"""),"NA")</f>
        <v>NA</v>
      </c>
      <c r="F140" s="15" t="str">
        <f>IFERROR(__xludf.DUMMYFUNCTION("""COMPUTED_VALUE"""),"STERILIZING CHAMBER HEATERS ;NO. 03 RIBBED HEATERS RCU - 1000W - 230VAC -50/60HZ MATERIAL AISI316/304, MECHANICAL DIMENSION:; LENGTH: 397 MM -CENTER DISTANCE: 50 MM HEATING BODY DIAMETER: 10 MM RIBBED DIAMETER: 22 MM;")</f>
        <v>STERILIZING CHAMBER HEATERS ;NO. 03 RIBBED HEATERS RCU - 1000W - 230VAC -50/60HZ MATERIAL AISI316/304, MECHANICAL DIMENSION:; LENGTH: 397 MM -CENTER DISTANCE: 50 MM HEATING BODY DIAMETER: 10 MM RIBBED DIAMETER: 22 MM;</v>
      </c>
      <c r="G140" s="15">
        <f>IFERROR(__xludf.DUMMYFUNCTION("""COMPUTED_VALUE"""),5.0)</f>
        <v>5</v>
      </c>
      <c r="H140" s="15" t="str">
        <f>IFERROR(__xludf.DUMMYFUNCTION("""COMPUTED_VALUE"""),"Pcs")</f>
        <v>Pcs</v>
      </c>
      <c r="I140" s="15" t="str">
        <f>IFERROR(__xludf.DUMMYFUNCTION("""COMPUTED_VALUE"""),"Deliver")</f>
        <v>Deliver</v>
      </c>
      <c r="J140" s="15" t="str">
        <f>IFERROR(__xludf.DUMMYFUNCTION("""COMPUTED_VALUE"""),"-")</f>
        <v>-</v>
      </c>
      <c r="K140" s="15" t="str">
        <f>IFERROR(__xludf.DUMMYFUNCTION("""COMPUTED_VALUE"""),"-")</f>
        <v>-</v>
      </c>
      <c r="L140" s="15" t="str">
        <f>IFERROR(__xludf.DUMMYFUNCTION("""COMPUTED_VALUE"""),"Normal")</f>
        <v>Normal</v>
      </c>
      <c r="M140" s="18" t="s">
        <v>47</v>
      </c>
      <c r="N140" s="18" t="s">
        <v>30</v>
      </c>
    </row>
    <row r="141" hidden="1">
      <c r="A141" s="15" t="str">
        <f>IFERROR(__xludf.DUMMYFUNCTION("""COMPUTED_VALUE"""),"AAARO0008")</f>
        <v>AAARO0008</v>
      </c>
      <c r="B141" s="16">
        <f>IFERROR(__xludf.DUMMYFUNCTION("""COMPUTED_VALUE"""),46255.82219748843)</f>
        <v>46255.8222</v>
      </c>
      <c r="C141" s="17">
        <f>IFERROR(__xludf.DUMMYFUNCTION("""COMPUTED_VALUE"""),45729.59921054398)</f>
        <v>45729.59921</v>
      </c>
      <c r="D141" s="15" t="str">
        <f>IFERROR(__xludf.DUMMYFUNCTION("""COMPUTED_VALUE"""),"Tunnel")</f>
        <v>Tunnel</v>
      </c>
      <c r="E141" s="15" t="str">
        <f>IFERROR(__xludf.DUMMYFUNCTION("""COMPUTED_VALUE"""),"NA")</f>
        <v>NA</v>
      </c>
      <c r="F141" s="15" t="str">
        <f>IFERROR(__xludf.DUMMYFUNCTION("""COMPUTED_VALUE"""),"STERILIZING CHAMBER HEATERS ; NO. 15 RIBBED HEATERS RCU - 1200W - 230VAC - 50/60HZ - MATERIAL: AISI 304; DIMENSION 75X20 MM;")</f>
        <v>STERILIZING CHAMBER HEATERS ; NO. 15 RIBBED HEATERS RCU - 1200W - 230VAC - 50/60HZ - MATERIAL: AISI 304; DIMENSION 75X20 MM;</v>
      </c>
      <c r="G141" s="15">
        <f>IFERROR(__xludf.DUMMYFUNCTION("""COMPUTED_VALUE"""),10.0)</f>
        <v>10</v>
      </c>
      <c r="H141" s="15" t="str">
        <f>IFERROR(__xludf.DUMMYFUNCTION("""COMPUTED_VALUE"""),"Pcs")</f>
        <v>Pcs</v>
      </c>
      <c r="I141" s="15" t="str">
        <f>IFERROR(__xludf.DUMMYFUNCTION("""COMPUTED_VALUE"""),"Deliver")</f>
        <v>Deliver</v>
      </c>
      <c r="J141" s="15" t="str">
        <f>IFERROR(__xludf.DUMMYFUNCTION("""COMPUTED_VALUE"""),"121703649 - APPROVED")</f>
        <v>121703649 - APPROVED</v>
      </c>
      <c r="K141" s="15" t="str">
        <f>IFERROR(__xludf.DUMMYFUNCTION("""COMPUTED_VALUE"""),"GL2602377")</f>
        <v>GL2602377</v>
      </c>
      <c r="L141" s="15" t="str">
        <f>IFERROR(__xludf.DUMMYFUNCTION("""COMPUTED_VALUE"""),"Normal")</f>
        <v>Normal</v>
      </c>
      <c r="M141" s="18" t="s">
        <v>47</v>
      </c>
      <c r="N141" s="18" t="s">
        <v>30</v>
      </c>
    </row>
    <row r="142" hidden="1">
      <c r="A142" s="15" t="str">
        <f>IFERROR(__xludf.DUMMYFUNCTION("""COMPUTED_VALUE"""),"AAARO0009")</f>
        <v>AAARO0009</v>
      </c>
      <c r="B142" s="16">
        <f>IFERROR(__xludf.DUMMYFUNCTION("""COMPUTED_VALUE"""),46255.82219748843)</f>
        <v>46255.8222</v>
      </c>
      <c r="C142" s="17">
        <f>IFERROR(__xludf.DUMMYFUNCTION("""COMPUTED_VALUE"""),45729.599980590276)</f>
        <v>45729.59998</v>
      </c>
      <c r="D142" s="15" t="str">
        <f>IFERROR(__xludf.DUMMYFUNCTION("""COMPUTED_VALUE"""),"EDM")</f>
        <v>EDM</v>
      </c>
      <c r="E142" s="15" t="str">
        <f>IFERROR(__xludf.DUMMYFUNCTION("""COMPUTED_VALUE"""),"NA")</f>
        <v>NA</v>
      </c>
      <c r="F142" s="15" t="str">
        <f>IFERROR(__xludf.DUMMYFUNCTION("""COMPUTED_VALUE"""),"General - Silicone Guide Infeed; Custom/Lokal; -; 1 Pc")</f>
        <v>General - Silicone Guide Infeed; Custom/Lokal; -; 1 Pc</v>
      </c>
      <c r="G142" s="15">
        <f>IFERROR(__xludf.DUMMYFUNCTION("""COMPUTED_VALUE"""),1.0)</f>
        <v>1</v>
      </c>
      <c r="H142" s="15" t="str">
        <f>IFERROR(__xludf.DUMMYFUNCTION("""COMPUTED_VALUE"""),"Set")</f>
        <v>Set</v>
      </c>
      <c r="I142" s="15" t="str">
        <f>IFERROR(__xludf.DUMMYFUNCTION("""COMPUTED_VALUE"""),"Deliver")</f>
        <v>Deliver</v>
      </c>
      <c r="J142" s="15" t="str">
        <f>IFERROR(__xludf.DUMMYFUNCTION("""COMPUTED_VALUE"""),"-")</f>
        <v>-</v>
      </c>
      <c r="K142" s="15" t="str">
        <f>IFERROR(__xludf.DUMMYFUNCTION("""COMPUTED_VALUE"""),"-")</f>
        <v>-</v>
      </c>
      <c r="L142" s="15" t="str">
        <f>IFERROR(__xludf.DUMMYFUNCTION("""COMPUTED_VALUE"""),"Normal")</f>
        <v>Normal</v>
      </c>
      <c r="M142" s="18" t="s">
        <v>47</v>
      </c>
      <c r="N142" s="18" t="s">
        <v>30</v>
      </c>
    </row>
    <row r="143" hidden="1">
      <c r="A143" s="15" t="str">
        <f>IFERROR(__xludf.DUMMYFUNCTION("""COMPUTED_VALUE"""),"AAARO0010")</f>
        <v>AAARO0010</v>
      </c>
      <c r="B143" s="16">
        <f>IFERROR(__xludf.DUMMYFUNCTION("""COMPUTED_VALUE"""),46255.82219748843)</f>
        <v>46255.8222</v>
      </c>
      <c r="C143" s="17">
        <f>IFERROR(__xludf.DUMMYFUNCTION("""COMPUTED_VALUE"""),45729.60297894676)</f>
        <v>45729.60298</v>
      </c>
      <c r="D143" s="15" t="str">
        <f>IFERROR(__xludf.DUMMYFUNCTION("""COMPUTED_VALUE"""),"EDM")</f>
        <v>EDM</v>
      </c>
      <c r="E143" s="15" t="str">
        <f>IFERROR(__xludf.DUMMYFUNCTION("""COMPUTED_VALUE"""),"NA")</f>
        <v>NA</v>
      </c>
      <c r="F143" s="15" t="str">
        <f>IFERROR(__xludf.DUMMYFUNCTION("""COMPUTED_VALUE"""),"General - Silicone Guide Outfeed; Custom/Lokal; -; 1 Pc")</f>
        <v>General - Silicone Guide Outfeed; Custom/Lokal; -; 1 Pc</v>
      </c>
      <c r="G143" s="15">
        <f>IFERROR(__xludf.DUMMYFUNCTION("""COMPUTED_VALUE"""),1.0)</f>
        <v>1</v>
      </c>
      <c r="H143" s="15" t="str">
        <f>IFERROR(__xludf.DUMMYFUNCTION("""COMPUTED_VALUE"""),"Set")</f>
        <v>Set</v>
      </c>
      <c r="I143" s="15" t="str">
        <f>IFERROR(__xludf.DUMMYFUNCTION("""COMPUTED_VALUE"""),"Deliver")</f>
        <v>Deliver</v>
      </c>
      <c r="J143" s="15" t="str">
        <f>IFERROR(__xludf.DUMMYFUNCTION("""COMPUTED_VALUE"""),"-")</f>
        <v>-</v>
      </c>
      <c r="K143" s="15" t="str">
        <f>IFERROR(__xludf.DUMMYFUNCTION("""COMPUTED_VALUE"""),"-")</f>
        <v>-</v>
      </c>
      <c r="L143" s="15" t="str">
        <f>IFERROR(__xludf.DUMMYFUNCTION("""COMPUTED_VALUE"""),"Normal")</f>
        <v>Normal</v>
      </c>
      <c r="M143" s="18" t="s">
        <v>47</v>
      </c>
      <c r="N143" s="18" t="s">
        <v>30</v>
      </c>
    </row>
    <row r="144" hidden="1">
      <c r="A144" s="15" t="str">
        <f>IFERROR(__xludf.DUMMYFUNCTION("""COMPUTED_VALUE"""),"ANOBR0002")</f>
        <v>ANOBR0002</v>
      </c>
      <c r="B144" s="16">
        <f>IFERROR(__xludf.DUMMYFUNCTION("""COMPUTED_VALUE"""),45708.63963178241)</f>
        <v>45708.63963</v>
      </c>
      <c r="C144" s="17">
        <f>IFERROR(__xludf.DUMMYFUNCTION("""COMPUTED_VALUE"""),45729.60442098379)</f>
        <v>45729.60442</v>
      </c>
      <c r="D144" s="15" t="str">
        <f>IFERROR(__xludf.DUMMYFUNCTION("""COMPUTED_VALUE"""),"washing tunnel")</f>
        <v>washing tunnel</v>
      </c>
      <c r="E144" s="15" t="str">
        <f>IFERROR(__xludf.DUMMYFUNCTION("""COMPUTED_VALUE"""),"EJO/2025/02/62")</f>
        <v>EJO/2025/02/62</v>
      </c>
      <c r="F144" s="15" t="str">
        <f>IFERROR(__xludf.DUMMYFUNCTION("""COMPUTED_VALUE"""),"Baut pengunci Coupling")</f>
        <v>Baut pengunci Coupling</v>
      </c>
      <c r="G144" s="15">
        <f>IFERROR(__xludf.DUMMYFUNCTION("""COMPUTED_VALUE"""),100.0)</f>
        <v>100</v>
      </c>
      <c r="H144" s="15" t="str">
        <f>IFERROR(__xludf.DUMMYFUNCTION("""COMPUTED_VALUE"""),"Pcs")</f>
        <v>Pcs</v>
      </c>
      <c r="I144" s="15" t="str">
        <f>IFERROR(__xludf.DUMMYFUNCTION("""COMPUTED_VALUE"""),"Deliver")</f>
        <v>Deliver</v>
      </c>
      <c r="J144" s="15" t="str">
        <f>IFERROR(__xludf.DUMMYFUNCTION("""COMPUTED_VALUE"""),"-")</f>
        <v>-</v>
      </c>
      <c r="K144" s="15" t="str">
        <f>IFERROR(__xludf.DUMMYFUNCTION("""COMPUTED_VALUE"""),"-")</f>
        <v>-</v>
      </c>
      <c r="L144" s="15" t="str">
        <f>IFERROR(__xludf.DUMMYFUNCTION("""COMPUTED_VALUE"""),"Normal")</f>
        <v>Normal</v>
      </c>
      <c r="M144" s="18" t="s">
        <v>49</v>
      </c>
      <c r="N144" s="18" t="s">
        <v>30</v>
      </c>
    </row>
    <row r="145" hidden="1">
      <c r="A145" s="15" t="str">
        <f>IFERROR(__xludf.DUMMYFUNCTION("""COMPUTED_VALUE"""),"ANOBR0003")</f>
        <v>ANOBR0003</v>
      </c>
      <c r="B145" s="16">
        <f>IFERROR(__xludf.DUMMYFUNCTION("""COMPUTED_VALUE"""),45708.65289321759)</f>
        <v>45708.65289</v>
      </c>
      <c r="C145" s="17">
        <f>IFERROR(__xludf.DUMMYFUNCTION("""COMPUTED_VALUE"""),45729.60480435185)</f>
        <v>45729.6048</v>
      </c>
      <c r="D145" s="15" t="str">
        <f>IFERROR(__xludf.DUMMYFUNCTION("""COMPUTED_VALUE"""),"keperluan mesin las ")</f>
        <v>keperluan mesin las </v>
      </c>
      <c r="E145" s="15" t="str">
        <f>IFERROR(__xludf.DUMMYFUNCTION("""COMPUTED_VALUE"""),"-")</f>
        <v>-</v>
      </c>
      <c r="F145" s="15" t="str">
        <f>IFERROR(__xludf.DUMMYFUNCTION("""COMPUTED_VALUE"""),"Peralatan las argon, tungsten,keramik,collet,body collet")</f>
        <v>Peralatan las argon, tungsten,keramik,collet,body collet</v>
      </c>
      <c r="G145" s="15">
        <f>IFERROR(__xludf.DUMMYFUNCTION("""COMPUTED_VALUE"""),1.0)</f>
        <v>1</v>
      </c>
      <c r="H145" s="15" t="str">
        <f>IFERROR(__xludf.DUMMYFUNCTION("""COMPUTED_VALUE"""),"set")</f>
        <v>set</v>
      </c>
      <c r="I145" s="15" t="str">
        <f>IFERROR(__xludf.DUMMYFUNCTION("""COMPUTED_VALUE"""),"Deliver")</f>
        <v>Deliver</v>
      </c>
      <c r="J145" s="15" t="str">
        <f>IFERROR(__xludf.DUMMYFUNCTION("""COMPUTED_VALUE"""),"-")</f>
        <v>-</v>
      </c>
      <c r="K145" s="15" t="str">
        <f>IFERROR(__xludf.DUMMYFUNCTION("""COMPUTED_VALUE"""),"-")</f>
        <v>-</v>
      </c>
      <c r="L145" s="15" t="str">
        <f>IFERROR(__xludf.DUMMYFUNCTION("""COMPUTED_VALUE"""),"Normal")</f>
        <v>Normal</v>
      </c>
      <c r="M145" s="18" t="s">
        <v>49</v>
      </c>
      <c r="N145" s="18" t="s">
        <v>30</v>
      </c>
    </row>
    <row r="146" hidden="1">
      <c r="A146" s="15" t="str">
        <f>IFERROR(__xludf.DUMMYFUNCTION("""COMPUTED_VALUE"""),"ANOBR0004")</f>
        <v>ANOBR0004</v>
      </c>
      <c r="B146" s="16">
        <f>IFERROR(__xludf.DUMMYFUNCTION("""COMPUTED_VALUE"""),45708.65408222222)</f>
        <v>45708.65408</v>
      </c>
      <c r="C146" s="17">
        <f>IFERROR(__xludf.DUMMYFUNCTION("""COMPUTED_VALUE"""),45729.60547296297)</f>
        <v>45729.60547</v>
      </c>
      <c r="D146" s="15" t="str">
        <f>IFERROR(__xludf.DUMMYFUNCTION("""COMPUTED_VALUE"""),"mesin gerinda")</f>
        <v>mesin gerinda</v>
      </c>
      <c r="E146" s="15" t="str">
        <f>IFERROR(__xludf.DUMMYFUNCTION("""COMPUTED_VALUE"""),"-")</f>
        <v>-</v>
      </c>
      <c r="F146" s="15" t="str">
        <f>IFERROR(__xludf.DUMMYFUNCTION("""COMPUTED_VALUE"""),"Mata gerinda poles stainless")</f>
        <v>Mata gerinda poles stainless</v>
      </c>
      <c r="G146" s="15">
        <f>IFERROR(__xludf.DUMMYFUNCTION("""COMPUTED_VALUE"""),1.0)</f>
        <v>1</v>
      </c>
      <c r="H146" s="15" t="str">
        <f>IFERROR(__xludf.DUMMYFUNCTION("""COMPUTED_VALUE"""),"box")</f>
        <v>box</v>
      </c>
      <c r="I146" s="15" t="str">
        <f>IFERROR(__xludf.DUMMYFUNCTION("""COMPUTED_VALUE"""),"Deliver")</f>
        <v>Deliver</v>
      </c>
      <c r="J146" s="15" t="str">
        <f>IFERROR(__xludf.DUMMYFUNCTION("""COMPUTED_VALUE"""),"-")</f>
        <v>-</v>
      </c>
      <c r="K146" s="15" t="str">
        <f>IFERROR(__xludf.DUMMYFUNCTION("""COMPUTED_VALUE"""),"-")</f>
        <v>-</v>
      </c>
      <c r="L146" s="15" t="str">
        <f>IFERROR(__xludf.DUMMYFUNCTION("""COMPUTED_VALUE"""),"Normal")</f>
        <v>Normal</v>
      </c>
      <c r="M146" s="18" t="s">
        <v>49</v>
      </c>
      <c r="N146" s="18" t="s">
        <v>30</v>
      </c>
    </row>
    <row r="147" hidden="1">
      <c r="A147" s="15" t="str">
        <f>IFERROR(__xludf.DUMMYFUNCTION("""COMPUTED_VALUE"""),"ANOBR0005")</f>
        <v>ANOBR0005</v>
      </c>
      <c r="B147" s="16">
        <f>IFERROR(__xludf.DUMMYFUNCTION("""COMPUTED_VALUE"""),45708.65895222222)</f>
        <v>45708.65895</v>
      </c>
      <c r="C147" s="17">
        <f>IFERROR(__xludf.DUMMYFUNCTION("""COMPUTED_VALUE"""),45729.60574313658)</f>
        <v>45729.60574</v>
      </c>
      <c r="D147" s="15" t="str">
        <f>IFERROR(__xludf.DUMMYFUNCTION("""COMPUTED_VALUE"""),"mesin las")</f>
        <v>mesin las</v>
      </c>
      <c r="E147" s="15" t="str">
        <f>IFERROR(__xludf.DUMMYFUNCTION("""COMPUTED_VALUE"""),"-")</f>
        <v>-</v>
      </c>
      <c r="F147" s="15" t="str">
        <f>IFERROR(__xludf.DUMMYFUNCTION("""COMPUTED_VALUE"""),"Kaca kedok las hitam")</f>
        <v>Kaca kedok las hitam</v>
      </c>
      <c r="G147" s="15">
        <f>IFERROR(__xludf.DUMMYFUNCTION("""COMPUTED_VALUE"""),1.0)</f>
        <v>1</v>
      </c>
      <c r="H147" s="15" t="str">
        <f>IFERROR(__xludf.DUMMYFUNCTION("""COMPUTED_VALUE"""),"box")</f>
        <v>box</v>
      </c>
      <c r="I147" s="15" t="str">
        <f>IFERROR(__xludf.DUMMYFUNCTION("""COMPUTED_VALUE"""),"Deliver")</f>
        <v>Deliver</v>
      </c>
      <c r="J147" s="15" t="str">
        <f>IFERROR(__xludf.DUMMYFUNCTION("""COMPUTED_VALUE"""),"-")</f>
        <v>-</v>
      </c>
      <c r="K147" s="15" t="str">
        <f>IFERROR(__xludf.DUMMYFUNCTION("""COMPUTED_VALUE"""),"-")</f>
        <v>-</v>
      </c>
      <c r="L147" s="15" t="str">
        <f>IFERROR(__xludf.DUMMYFUNCTION("""COMPUTED_VALUE"""),"Normal")</f>
        <v>Normal</v>
      </c>
      <c r="M147" s="18" t="s">
        <v>49</v>
      </c>
      <c r="N147" s="18" t="s">
        <v>30</v>
      </c>
    </row>
    <row r="148" hidden="1">
      <c r="A148" s="15" t="str">
        <f>IFERROR(__xludf.DUMMYFUNCTION("""COMPUTED_VALUE"""),"ANOBR0006")</f>
        <v>ANOBR0006</v>
      </c>
      <c r="B148" s="16">
        <f>IFERROR(__xludf.DUMMYFUNCTION("""COMPUTED_VALUE"""),45708.662424594906)</f>
        <v>45708.66242</v>
      </c>
      <c r="C148" s="17">
        <f>IFERROR(__xludf.DUMMYFUNCTION("""COMPUTED_VALUE"""),45729.606332800926)</f>
        <v>45729.60633</v>
      </c>
      <c r="D148" s="15" t="str">
        <f>IFERROR(__xludf.DUMMYFUNCTION("""COMPUTED_VALUE"""),"mesin las")</f>
        <v>mesin las</v>
      </c>
      <c r="E148" s="15" t="str">
        <f>IFERROR(__xludf.DUMMYFUNCTION("""COMPUTED_VALUE"""),"-")</f>
        <v>-</v>
      </c>
      <c r="F148" s="15" t="str">
        <f>IFERROR(__xludf.DUMMYFUNCTION("""COMPUTED_VALUE"""),"kawat las argon stainless steel")</f>
        <v>kawat las argon stainless steel</v>
      </c>
      <c r="G148" s="15">
        <f>IFERROR(__xludf.DUMMYFUNCTION("""COMPUTED_VALUE"""),2.0)</f>
        <v>2</v>
      </c>
      <c r="H148" s="15" t="str">
        <f>IFERROR(__xludf.DUMMYFUNCTION("""COMPUTED_VALUE"""),"kg")</f>
        <v>kg</v>
      </c>
      <c r="I148" s="15" t="str">
        <f>IFERROR(__xludf.DUMMYFUNCTION("""COMPUTED_VALUE"""),"Deliver")</f>
        <v>Deliver</v>
      </c>
      <c r="J148" s="15" t="str">
        <f>IFERROR(__xludf.DUMMYFUNCTION("""COMPUTED_VALUE"""),"-")</f>
        <v>-</v>
      </c>
      <c r="K148" s="15" t="str">
        <f>IFERROR(__xludf.DUMMYFUNCTION("""COMPUTED_VALUE"""),"-")</f>
        <v>-</v>
      </c>
      <c r="L148" s="15" t="str">
        <f>IFERROR(__xludf.DUMMYFUNCTION("""COMPUTED_VALUE"""),"Normal")</f>
        <v>Normal</v>
      </c>
      <c r="M148" s="18" t="s">
        <v>49</v>
      </c>
      <c r="N148" s="18" t="s">
        <v>30</v>
      </c>
    </row>
    <row r="149" hidden="1">
      <c r="A149" s="15" t="str">
        <f>IFERROR(__xludf.DUMMYFUNCTION("""COMPUTED_VALUE"""),"ANOBR0007")</f>
        <v>ANOBR0007</v>
      </c>
      <c r="B149" s="16">
        <f>IFERROR(__xludf.DUMMYFUNCTION("""COMPUTED_VALUE"""),45708.66446137732)</f>
        <v>45708.66446</v>
      </c>
      <c r="C149" s="17">
        <f>IFERROR(__xludf.DUMMYFUNCTION("""COMPUTED_VALUE"""),45729.606636805554)</f>
        <v>45729.60664</v>
      </c>
      <c r="D149" s="15" t="str">
        <f>IFERROR(__xludf.DUMMYFUNCTION("""COMPUTED_VALUE"""),"mesin gerinda")</f>
        <v>mesin gerinda</v>
      </c>
      <c r="E149" s="15" t="str">
        <f>IFERROR(__xludf.DUMMYFUNCTION("""COMPUTED_VALUE"""),"-")</f>
        <v>-</v>
      </c>
      <c r="F149" s="15" t="str">
        <f>IFERROR(__xludf.DUMMYFUNCTION("""COMPUTED_VALUE"""),"facesield APD gerinda")</f>
        <v>facesield APD gerinda</v>
      </c>
      <c r="G149" s="15">
        <f>IFERROR(__xludf.DUMMYFUNCTION("""COMPUTED_VALUE"""),2.0)</f>
        <v>2</v>
      </c>
      <c r="H149" s="15" t="str">
        <f>IFERROR(__xludf.DUMMYFUNCTION("""COMPUTED_VALUE"""),"pcs")</f>
        <v>pcs</v>
      </c>
      <c r="I149" s="15" t="str">
        <f>IFERROR(__xludf.DUMMYFUNCTION("""COMPUTED_VALUE"""),"Deliver")</f>
        <v>Deliver</v>
      </c>
      <c r="J149" s="15" t="str">
        <f>IFERROR(__xludf.DUMMYFUNCTION("""COMPUTED_VALUE"""),"-")</f>
        <v>-</v>
      </c>
      <c r="K149" s="15" t="str">
        <f>IFERROR(__xludf.DUMMYFUNCTION("""COMPUTED_VALUE"""),"-")</f>
        <v>-</v>
      </c>
      <c r="L149" s="15" t="str">
        <f>IFERROR(__xludf.DUMMYFUNCTION("""COMPUTED_VALUE"""),"Normal")</f>
        <v>Normal</v>
      </c>
      <c r="M149" s="18" t="s">
        <v>49</v>
      </c>
      <c r="N149" s="18" t="s">
        <v>30</v>
      </c>
    </row>
    <row r="150" hidden="1">
      <c r="A150" s="15" t="str">
        <f>IFERROR(__xludf.DUMMYFUNCTION("""COMPUTED_VALUE"""),"ANOBR0008")</f>
        <v>ANOBR0008</v>
      </c>
      <c r="B150" s="16">
        <f>IFERROR(__xludf.DUMMYFUNCTION("""COMPUTED_VALUE"""),45708.66570855324)</f>
        <v>45708.66571</v>
      </c>
      <c r="C150" s="17">
        <f>IFERROR(__xludf.DUMMYFUNCTION("""COMPUTED_VALUE"""),45729.606855011574)</f>
        <v>45729.60686</v>
      </c>
      <c r="D150" s="15" t="str">
        <f>IFERROR(__xludf.DUMMYFUNCTION("""COMPUTED_VALUE"""),"mesin las")</f>
        <v>mesin las</v>
      </c>
      <c r="E150" s="15" t="str">
        <f>IFERROR(__xludf.DUMMYFUNCTION("""COMPUTED_VALUE"""),"-")</f>
        <v>-</v>
      </c>
      <c r="F150" s="15" t="str">
        <f>IFERROR(__xludf.DUMMYFUNCTION("""COMPUTED_VALUE"""),"Elektroda SS 308 Size 2,6x300mm")</f>
        <v>Elektroda SS 308 Size 2,6x300mm</v>
      </c>
      <c r="G150" s="15">
        <f>IFERROR(__xludf.DUMMYFUNCTION("""COMPUTED_VALUE"""),1.0)</f>
        <v>1</v>
      </c>
      <c r="H150" s="15" t="str">
        <f>IFERROR(__xludf.DUMMYFUNCTION("""COMPUTED_VALUE"""),"kg")</f>
        <v>kg</v>
      </c>
      <c r="I150" s="15" t="str">
        <f>IFERROR(__xludf.DUMMYFUNCTION("""COMPUTED_VALUE"""),"Deliver")</f>
        <v>Deliver</v>
      </c>
      <c r="J150" s="15" t="str">
        <f>IFERROR(__xludf.DUMMYFUNCTION("""COMPUTED_VALUE"""),"-")</f>
        <v>-</v>
      </c>
      <c r="K150" s="15" t="str">
        <f>IFERROR(__xludf.DUMMYFUNCTION("""COMPUTED_VALUE"""),"-")</f>
        <v>-</v>
      </c>
      <c r="L150" s="15" t="str">
        <f>IFERROR(__xludf.DUMMYFUNCTION("""COMPUTED_VALUE"""),"Normal")</f>
        <v>Normal</v>
      </c>
      <c r="M150" s="18" t="s">
        <v>49</v>
      </c>
      <c r="N150" s="18" t="s">
        <v>30</v>
      </c>
    </row>
    <row r="151" hidden="1">
      <c r="A151" s="15" t="str">
        <f>IFERROR(__xludf.DUMMYFUNCTION("""COMPUTED_VALUE"""),"ANOBR0009")</f>
        <v>ANOBR0009</v>
      </c>
      <c r="B151" s="16">
        <f>IFERROR(__xludf.DUMMYFUNCTION("""COMPUTED_VALUE"""),45708.66689751158)</f>
        <v>45708.6669</v>
      </c>
      <c r="C151" s="17">
        <f>IFERROR(__xludf.DUMMYFUNCTION("""COMPUTED_VALUE"""),45729.60709715277)</f>
        <v>45729.6071</v>
      </c>
      <c r="D151" s="15" t="str">
        <f>IFERROR(__xludf.DUMMYFUNCTION("""COMPUTED_VALUE"""),"mesin las")</f>
        <v>mesin las</v>
      </c>
      <c r="E151" s="15" t="str">
        <f>IFERROR(__xludf.DUMMYFUNCTION("""COMPUTED_VALUE"""),"-")</f>
        <v>-</v>
      </c>
      <c r="F151" s="15" t="str">
        <f>IFERROR(__xludf.DUMMYFUNCTION("""COMPUTED_VALUE"""),"kaca kedok las bening")</f>
        <v>kaca kedok las bening</v>
      </c>
      <c r="G151" s="15">
        <f>IFERROR(__xludf.DUMMYFUNCTION("""COMPUTED_VALUE"""),2.0)</f>
        <v>2</v>
      </c>
      <c r="H151" s="15" t="str">
        <f>IFERROR(__xludf.DUMMYFUNCTION("""COMPUTED_VALUE"""),"pcs")</f>
        <v>pcs</v>
      </c>
      <c r="I151" s="15" t="str">
        <f>IFERROR(__xludf.DUMMYFUNCTION("""COMPUTED_VALUE"""),"Deliver")</f>
        <v>Deliver</v>
      </c>
      <c r="J151" s="15" t="str">
        <f>IFERROR(__xludf.DUMMYFUNCTION("""COMPUTED_VALUE"""),"-")</f>
        <v>-</v>
      </c>
      <c r="K151" s="15" t="str">
        <f>IFERROR(__xludf.DUMMYFUNCTION("""COMPUTED_VALUE"""),"-")</f>
        <v>-</v>
      </c>
      <c r="L151" s="15" t="str">
        <f>IFERROR(__xludf.DUMMYFUNCTION("""COMPUTED_VALUE"""),"Normal")</f>
        <v>Normal</v>
      </c>
      <c r="M151" s="18" t="s">
        <v>49</v>
      </c>
      <c r="N151" s="18" t="s">
        <v>30</v>
      </c>
    </row>
    <row r="152" hidden="1">
      <c r="A152" s="15" t="str">
        <f>IFERROR(__xludf.DUMMYFUNCTION("""COMPUTED_VALUE"""),"ANOBR0010")</f>
        <v>ANOBR0010</v>
      </c>
      <c r="B152" s="16">
        <f>IFERROR(__xludf.DUMMYFUNCTION("""COMPUTED_VALUE"""),45712.55976002315)</f>
        <v>45712.55976</v>
      </c>
      <c r="C152" s="17">
        <f>IFERROR(__xludf.DUMMYFUNCTION("""COMPUTED_VALUE"""),45729.60929953704)</f>
        <v>45729.6093</v>
      </c>
      <c r="D152" s="15" t="str">
        <f>IFERROR(__xludf.DUMMYFUNCTION("""COMPUTED_VALUE"""),"Autoclave decontame")</f>
        <v>Autoclave decontame</v>
      </c>
      <c r="E152" s="15" t="str">
        <f>IFERROR(__xludf.DUMMYFUNCTION("""COMPUTED_VALUE"""),"EJO/2025/02/170")</f>
        <v>EJO/2025/02/170</v>
      </c>
      <c r="F152" s="15" t="str">
        <f>IFERROR(__xludf.DUMMYFUNCTION("""COMPUTED_VALUE"""),"oring seal")</f>
        <v>oring seal</v>
      </c>
      <c r="G152" s="15">
        <f>IFERROR(__xludf.DUMMYFUNCTION("""COMPUTED_VALUE"""),10.0)</f>
        <v>10</v>
      </c>
      <c r="H152" s="15" t="str">
        <f>IFERROR(__xludf.DUMMYFUNCTION("""COMPUTED_VALUE"""),"pcs")</f>
        <v>pcs</v>
      </c>
      <c r="I152" s="15" t="str">
        <f>IFERROR(__xludf.DUMMYFUNCTION("""COMPUTED_VALUE"""),"Deliver")</f>
        <v>Deliver</v>
      </c>
      <c r="J152" s="15" t="str">
        <f>IFERROR(__xludf.DUMMYFUNCTION("""COMPUTED_VALUE"""),"-")</f>
        <v>-</v>
      </c>
      <c r="K152" s="15" t="str">
        <f>IFERROR(__xludf.DUMMYFUNCTION("""COMPUTED_VALUE"""),"-")</f>
        <v>-</v>
      </c>
      <c r="L152" s="15" t="str">
        <f>IFERROR(__xludf.DUMMYFUNCTION("""COMPUTED_VALUE"""),"Normal")</f>
        <v>Normal</v>
      </c>
      <c r="M152" s="18" t="s">
        <v>49</v>
      </c>
      <c r="N152" s="18" t="s">
        <v>30</v>
      </c>
    </row>
    <row r="153" hidden="1">
      <c r="A153" s="15" t="str">
        <f>IFERROR(__xludf.DUMMYFUNCTION("""COMPUTED_VALUE"""),"ANOBR0011")</f>
        <v>ANOBR0011</v>
      </c>
      <c r="B153" s="16">
        <f>IFERROR(__xludf.DUMMYFUNCTION("""COMPUTED_VALUE"""),45712.559842187504)</f>
        <v>45712.55984</v>
      </c>
      <c r="C153" s="17">
        <f>IFERROR(__xludf.DUMMYFUNCTION("""COMPUTED_VALUE"""),45729.60958812501)</f>
        <v>45729.60959</v>
      </c>
      <c r="D153" s="15" t="str">
        <f>IFERROR(__xludf.DUMMYFUNCTION("""COMPUTED_VALUE"""),"Autoclave decontame")</f>
        <v>Autoclave decontame</v>
      </c>
      <c r="E153" s="15" t="str">
        <f>IFERROR(__xludf.DUMMYFUNCTION("""COMPUTED_VALUE"""),"EJO/2025/02/170")</f>
        <v>EJO/2025/02/170</v>
      </c>
      <c r="F153" s="15" t="str">
        <f>IFERROR(__xludf.DUMMYFUNCTION("""COMPUTED_VALUE"""),"oring seal")</f>
        <v>oring seal</v>
      </c>
      <c r="G153" s="15">
        <f>IFERROR(__xludf.DUMMYFUNCTION("""COMPUTED_VALUE"""),10.0)</f>
        <v>10</v>
      </c>
      <c r="H153" s="15" t="str">
        <f>IFERROR(__xludf.DUMMYFUNCTION("""COMPUTED_VALUE"""),"pcs")</f>
        <v>pcs</v>
      </c>
      <c r="I153" s="15" t="str">
        <f>IFERROR(__xludf.DUMMYFUNCTION("""COMPUTED_VALUE"""),"Deliver")</f>
        <v>Deliver</v>
      </c>
      <c r="J153" s="15" t="str">
        <f>IFERROR(__xludf.DUMMYFUNCTION("""COMPUTED_VALUE"""),"-")</f>
        <v>-</v>
      </c>
      <c r="K153" s="15" t="str">
        <f>IFERROR(__xludf.DUMMYFUNCTION("""COMPUTED_VALUE"""),"-")</f>
        <v>-</v>
      </c>
      <c r="L153" s="15" t="str">
        <f>IFERROR(__xludf.DUMMYFUNCTION("""COMPUTED_VALUE"""),"Normal")</f>
        <v>Normal</v>
      </c>
      <c r="M153" s="18" t="s">
        <v>49</v>
      </c>
      <c r="N153" s="18" t="s">
        <v>30</v>
      </c>
    </row>
    <row r="154" hidden="1">
      <c r="A154" s="15" t="str">
        <f>IFERROR(__xludf.DUMMYFUNCTION("""COMPUTED_VALUE"""),"ANOBR0012")</f>
        <v>ANOBR0012</v>
      </c>
      <c r="B154" s="16">
        <f>IFERROR(__xludf.DUMMYFUNCTION("""COMPUTED_VALUE"""),45715.413608622686)</f>
        <v>45715.41361</v>
      </c>
      <c r="C154" s="17">
        <f>IFERROR(__xludf.DUMMYFUNCTION("""COMPUTED_VALUE"""),45730.61894465278)</f>
        <v>45730.61894</v>
      </c>
      <c r="D154" s="15" t="str">
        <f>IFERROR(__xludf.DUMMYFUNCTION("""COMPUTED_VALUE"""),"Workshop")</f>
        <v>Workshop</v>
      </c>
      <c r="E154" s="15" t="str">
        <f>IFERROR(__xludf.DUMMYFUNCTION("""COMPUTED_VALUE"""),"-")</f>
        <v>-</v>
      </c>
      <c r="F154" s="15" t="str">
        <f>IFERROR(__xludf.DUMMYFUNCTION("""COMPUTED_VALUE"""),"Alat Tap dan Snei")</f>
        <v>Alat Tap dan Snei</v>
      </c>
      <c r="G154" s="15">
        <f>IFERROR(__xludf.DUMMYFUNCTION("""COMPUTED_VALUE"""),3.0)</f>
        <v>3</v>
      </c>
      <c r="H154" s="15" t="str">
        <f>IFERROR(__xludf.DUMMYFUNCTION("""COMPUTED_VALUE"""),"pcs")</f>
        <v>pcs</v>
      </c>
      <c r="I154" s="15" t="str">
        <f>IFERROR(__xludf.DUMMYFUNCTION("""COMPUTED_VALUE"""),"Deliver")</f>
        <v>Deliver</v>
      </c>
      <c r="J154" s="15" t="str">
        <f>IFERROR(__xludf.DUMMYFUNCTION("""COMPUTED_VALUE"""),"-")</f>
        <v>-</v>
      </c>
      <c r="K154" s="15" t="str">
        <f>IFERROR(__xludf.DUMMYFUNCTION("""COMPUTED_VALUE"""),"-")</f>
        <v>-</v>
      </c>
      <c r="L154" s="15" t="str">
        <f>IFERROR(__xludf.DUMMYFUNCTION("""COMPUTED_VALUE"""),"Normal")</f>
        <v>Normal</v>
      </c>
      <c r="M154" s="18" t="s">
        <v>49</v>
      </c>
      <c r="N154" s="18" t="s">
        <v>30</v>
      </c>
    </row>
    <row r="155" hidden="1">
      <c r="A155" s="15" t="str">
        <f>IFERROR(__xludf.DUMMYFUNCTION("""COMPUTED_VALUE"""),"ANOBR0013")</f>
        <v>ANOBR0013</v>
      </c>
      <c r="B155" s="16">
        <f>IFERROR(__xludf.DUMMYFUNCTION("""COMPUTED_VALUE"""),45715.41855144676)</f>
        <v>45715.41855</v>
      </c>
      <c r="C155" s="17">
        <f>IFERROR(__xludf.DUMMYFUNCTION("""COMPUTED_VALUE"""),45730.61958699074)</f>
        <v>45730.61959</v>
      </c>
      <c r="D155" s="15" t="str">
        <f>IFERROR(__xludf.DUMMYFUNCTION("""COMPUTED_VALUE"""),"Workshop")</f>
        <v>Workshop</v>
      </c>
      <c r="E155" s="15" t="str">
        <f>IFERROR(__xludf.DUMMYFUNCTION("""COMPUTED_VALUE"""),"-")</f>
        <v>-</v>
      </c>
      <c r="F155" s="15" t="str">
        <f>IFERROR(__xludf.DUMMYFUNCTION("""COMPUTED_VALUE"""),"Alat Tap dan Snei")</f>
        <v>Alat Tap dan Snei</v>
      </c>
      <c r="G155" s="15">
        <f>IFERROR(__xludf.DUMMYFUNCTION("""COMPUTED_VALUE"""),3.0)</f>
        <v>3</v>
      </c>
      <c r="H155" s="15" t="str">
        <f>IFERROR(__xludf.DUMMYFUNCTION("""COMPUTED_VALUE"""),"pcs")</f>
        <v>pcs</v>
      </c>
      <c r="I155" s="15" t="str">
        <f>IFERROR(__xludf.DUMMYFUNCTION("""COMPUTED_VALUE"""),"Deliver")</f>
        <v>Deliver</v>
      </c>
      <c r="J155" s="15" t="str">
        <f>IFERROR(__xludf.DUMMYFUNCTION("""COMPUTED_VALUE"""),"121703825 - APPROVED")</f>
        <v>121703825 - APPROVED</v>
      </c>
      <c r="K155" s="15" t="str">
        <f>IFERROR(__xludf.DUMMYFUNCTION("""COMPUTED_VALUE"""),"GL2603431")</f>
        <v>GL2603431</v>
      </c>
      <c r="L155" s="15" t="str">
        <f>IFERROR(__xludf.DUMMYFUNCTION("""COMPUTED_VALUE"""),"Normal")</f>
        <v>Normal</v>
      </c>
      <c r="M155" s="18" t="s">
        <v>49</v>
      </c>
      <c r="N155" s="18" t="s">
        <v>30</v>
      </c>
    </row>
    <row r="156" hidden="1">
      <c r="A156" s="15" t="str">
        <f>IFERROR(__xludf.DUMMYFUNCTION("""COMPUTED_VALUE"""),"ANOBR0014")</f>
        <v>ANOBR0014</v>
      </c>
      <c r="B156" s="16">
        <f>IFERROR(__xludf.DUMMYFUNCTION("""COMPUTED_VALUE"""),45715.421505046295)</f>
        <v>45715.42151</v>
      </c>
      <c r="C156" s="17">
        <f>IFERROR(__xludf.DUMMYFUNCTION("""COMPUTED_VALUE"""),45730.62083486111)</f>
        <v>45730.62083</v>
      </c>
      <c r="D156" s="15" t="str">
        <f>IFERROR(__xludf.DUMMYFUNCTION("""COMPUTED_VALUE"""),"Workshop")</f>
        <v>Workshop</v>
      </c>
      <c r="E156" s="15" t="str">
        <f>IFERROR(__xludf.DUMMYFUNCTION("""COMPUTED_VALUE"""),"-")</f>
        <v>-</v>
      </c>
      <c r="F156" s="15" t="str">
        <f>IFERROR(__xludf.DUMMYFUNCTION("""COMPUTED_VALUE"""),"Alat Tap dan Snei")</f>
        <v>Alat Tap dan Snei</v>
      </c>
      <c r="G156" s="15">
        <f>IFERROR(__xludf.DUMMYFUNCTION("""COMPUTED_VALUE"""),3.0)</f>
        <v>3</v>
      </c>
      <c r="H156" s="15" t="str">
        <f>IFERROR(__xludf.DUMMYFUNCTION("""COMPUTED_VALUE"""),"pcs")</f>
        <v>pcs</v>
      </c>
      <c r="I156" s="15" t="str">
        <f>IFERROR(__xludf.DUMMYFUNCTION("""COMPUTED_VALUE"""),"Deliver")</f>
        <v>Deliver</v>
      </c>
      <c r="J156" s="15" t="str">
        <f>IFERROR(__xludf.DUMMYFUNCTION("""COMPUTED_VALUE"""),"121703825 - APPROVED")</f>
        <v>121703825 - APPROVED</v>
      </c>
      <c r="K156" s="15" t="str">
        <f>IFERROR(__xludf.DUMMYFUNCTION("""COMPUTED_VALUE"""),"GL2603431")</f>
        <v>GL2603431</v>
      </c>
      <c r="L156" s="15" t="str">
        <f>IFERROR(__xludf.DUMMYFUNCTION("""COMPUTED_VALUE"""),"Normal")</f>
        <v>Normal</v>
      </c>
      <c r="M156" s="18" t="s">
        <v>49</v>
      </c>
      <c r="N156" s="18" t="s">
        <v>30</v>
      </c>
    </row>
    <row r="157" hidden="1">
      <c r="A157" s="15" t="str">
        <f>IFERROR(__xludf.DUMMYFUNCTION("""COMPUTED_VALUE"""),"ANOBR0015")</f>
        <v>ANOBR0015</v>
      </c>
      <c r="B157" s="16">
        <f>IFERROR(__xludf.DUMMYFUNCTION("""COMPUTED_VALUE"""),45715.43380225694)</f>
        <v>45715.4338</v>
      </c>
      <c r="C157" s="17">
        <f>IFERROR(__xludf.DUMMYFUNCTION("""COMPUTED_VALUE"""),45730.62130640046)</f>
        <v>45730.62131</v>
      </c>
      <c r="D157" s="15" t="str">
        <f>IFERROR(__xludf.DUMMYFUNCTION("""COMPUTED_VALUE"""),"Workshop")</f>
        <v>Workshop</v>
      </c>
      <c r="E157" s="15" t="str">
        <f>IFERROR(__xludf.DUMMYFUNCTION("""COMPUTED_VALUE"""),"-")</f>
        <v>-</v>
      </c>
      <c r="F157" s="15" t="str">
        <f>IFERROR(__xludf.DUMMYFUNCTION("""COMPUTED_VALUE"""),"Alat Tap dan Snei")</f>
        <v>Alat Tap dan Snei</v>
      </c>
      <c r="G157" s="15">
        <f>IFERROR(__xludf.DUMMYFUNCTION("""COMPUTED_VALUE"""),3.0)</f>
        <v>3</v>
      </c>
      <c r="H157" s="15" t="str">
        <f>IFERROR(__xludf.DUMMYFUNCTION("""COMPUTED_VALUE"""),"pcs")</f>
        <v>pcs</v>
      </c>
      <c r="I157" s="15" t="str">
        <f>IFERROR(__xludf.DUMMYFUNCTION("""COMPUTED_VALUE"""),"Deliver")</f>
        <v>Deliver</v>
      </c>
      <c r="J157" s="15" t="str">
        <f>IFERROR(__xludf.DUMMYFUNCTION("""COMPUTED_VALUE"""),"-")</f>
        <v>-</v>
      </c>
      <c r="K157" s="15" t="str">
        <f>IFERROR(__xludf.DUMMYFUNCTION("""COMPUTED_VALUE"""),"-")</f>
        <v>-</v>
      </c>
      <c r="L157" s="15" t="str">
        <f>IFERROR(__xludf.DUMMYFUNCTION("""COMPUTED_VALUE"""),"Normal")</f>
        <v>Normal</v>
      </c>
      <c r="M157" s="18" t="s">
        <v>49</v>
      </c>
      <c r="N157" s="18" t="s">
        <v>30</v>
      </c>
    </row>
    <row r="158" hidden="1">
      <c r="A158" s="15" t="str">
        <f>IFERROR(__xludf.DUMMYFUNCTION("""COMPUTED_VALUE"""),"ANOBR0016")</f>
        <v>ANOBR0016</v>
      </c>
      <c r="B158" s="16">
        <f>IFERROR(__xludf.DUMMYFUNCTION("""COMPUTED_VALUE"""),45715.43703217593)</f>
        <v>45715.43703</v>
      </c>
      <c r="C158" s="17">
        <f>IFERROR(__xludf.DUMMYFUNCTION("""COMPUTED_VALUE"""),45730.621910173606)</f>
        <v>45730.62191</v>
      </c>
      <c r="D158" s="15" t="str">
        <f>IFERROR(__xludf.DUMMYFUNCTION("""COMPUTED_VALUE"""),"Workshop")</f>
        <v>Workshop</v>
      </c>
      <c r="E158" s="15" t="str">
        <f>IFERROR(__xludf.DUMMYFUNCTION("""COMPUTED_VALUE"""),"-")</f>
        <v>-</v>
      </c>
      <c r="F158" s="15" t="str">
        <f>IFERROR(__xludf.DUMMYFUNCTION("""COMPUTED_VALUE"""),"Alat Tap dan Snei")</f>
        <v>Alat Tap dan Snei</v>
      </c>
      <c r="G158" s="15">
        <f>IFERROR(__xludf.DUMMYFUNCTION("""COMPUTED_VALUE"""),1.0)</f>
        <v>1</v>
      </c>
      <c r="H158" s="15" t="str">
        <f>IFERROR(__xludf.DUMMYFUNCTION("""COMPUTED_VALUE"""),"pcs")</f>
        <v>pcs</v>
      </c>
      <c r="I158" s="15" t="str">
        <f>IFERROR(__xludf.DUMMYFUNCTION("""COMPUTED_VALUE"""),"Deliver")</f>
        <v>Deliver</v>
      </c>
      <c r="J158" s="15" t="str">
        <f>IFERROR(__xludf.DUMMYFUNCTION("""COMPUTED_VALUE"""),"-")</f>
        <v>-</v>
      </c>
      <c r="K158" s="15" t="str">
        <f>IFERROR(__xludf.DUMMYFUNCTION("""COMPUTED_VALUE"""),"-")</f>
        <v>-</v>
      </c>
      <c r="L158" s="15" t="str">
        <f>IFERROR(__xludf.DUMMYFUNCTION("""COMPUTED_VALUE"""),"Normal")</f>
        <v>Normal</v>
      </c>
      <c r="M158" s="18" t="s">
        <v>49</v>
      </c>
      <c r="N158" s="18" t="s">
        <v>30</v>
      </c>
    </row>
    <row r="159" hidden="1">
      <c r="A159" s="15" t="str">
        <f>IFERROR(__xludf.DUMMYFUNCTION("""COMPUTED_VALUE"""),"INNBR0015")</f>
        <v>INNBR0015</v>
      </c>
      <c r="B159" s="16">
        <f>IFERROR(__xludf.DUMMYFUNCTION("""COMPUTED_VALUE"""),45715.48699853009)</f>
        <v>45715.487</v>
      </c>
      <c r="C159" s="17">
        <f>IFERROR(__xludf.DUMMYFUNCTION("""COMPUTED_VALUE"""),45730.625915462966)</f>
        <v>45730.62592</v>
      </c>
      <c r="D159" s="15" t="str">
        <f>IFERROR(__xludf.DUMMYFUNCTION("""COMPUTED_VALUE"""),"Mixing (jaket heater cremophor)")</f>
        <v>Mixing (jaket heater cremophor)</v>
      </c>
      <c r="E159" s="15" t="str">
        <f>IFERROR(__xludf.DUMMYFUNCTION("""COMPUTED_VALUE"""),"-")</f>
        <v>-</v>
      </c>
      <c r="F159" s="15" t="str">
        <f>IFERROR(__xludf.DUMMYFUNCTION("""COMPUTED_VALUE"""),"HEATER JAKET (HEATING CABLE +THERMOSTAT) UK 1790 X 330MM 230V 2000W P.KABEL 5 METER")</f>
        <v>HEATER JAKET (HEATING CABLE +THERMOSTAT) UK 1790 X 330MM 230V 2000W P.KABEL 5 METER</v>
      </c>
      <c r="G159" s="15">
        <f>IFERROR(__xludf.DUMMYFUNCTION("""COMPUTED_VALUE"""),1.0)</f>
        <v>1</v>
      </c>
      <c r="H159" s="15" t="str">
        <f>IFERROR(__xludf.DUMMYFUNCTION("""COMPUTED_VALUE"""),"Unit")</f>
        <v>Unit</v>
      </c>
      <c r="I159" s="15" t="str">
        <f>IFERROR(__xludf.DUMMYFUNCTION("""COMPUTED_VALUE"""),"Deliver")</f>
        <v>Deliver</v>
      </c>
      <c r="J159" s="15" t="str">
        <f>IFERROR(__xludf.DUMMYFUNCTION("""COMPUTED_VALUE"""),"-")</f>
        <v>-</v>
      </c>
      <c r="K159" s="15" t="str">
        <f>IFERROR(__xludf.DUMMYFUNCTION("""COMPUTED_VALUE"""),"-")</f>
        <v>-</v>
      </c>
      <c r="L159" s="15" t="str">
        <f>IFERROR(__xludf.DUMMYFUNCTION("""COMPUTED_VALUE"""),"Normal")</f>
        <v>Normal</v>
      </c>
      <c r="M159" s="18" t="s">
        <v>51</v>
      </c>
      <c r="N159" s="18" t="s">
        <v>30</v>
      </c>
    </row>
    <row r="160" hidden="1">
      <c r="A160" s="15" t="str">
        <f>IFERROR(__xludf.DUMMYFUNCTION("""COMPUTED_VALUE"""),"MOBBR0021")</f>
        <v>MOBBR0021</v>
      </c>
      <c r="B160" s="16">
        <f>IFERROR(__xludf.DUMMYFUNCTION("""COMPUTED_VALUE"""),45729.97713024306)</f>
        <v>45729.97713</v>
      </c>
      <c r="C160" s="17">
        <f>IFERROR(__xludf.DUMMYFUNCTION("""COMPUTED_VALUE"""),45731.435133148145)</f>
        <v>45731.43513</v>
      </c>
      <c r="D160" s="15" t="str">
        <f>IFERROR(__xludf.DUMMYFUNCTION("""COMPUTED_VALUE"""),"Pneumatic Fitting")</f>
        <v>Pneumatic Fitting</v>
      </c>
      <c r="E160" s="15" t="str">
        <f>IFERROR(__xludf.DUMMYFUNCTION("""COMPUTED_VALUE"""),"-")</f>
        <v>-</v>
      </c>
      <c r="F160" s="15" t="str">
        <f>IFERROR(__xludf.DUMMYFUNCTION("""COMPUTED_VALUE"""),"Pneumatic Fitting")</f>
        <v>Pneumatic Fitting</v>
      </c>
      <c r="G160" s="15">
        <f>IFERROR(__xludf.DUMMYFUNCTION("""COMPUTED_VALUE"""),8.0)</f>
        <v>8</v>
      </c>
      <c r="H160" s="15" t="str">
        <f>IFERROR(__xludf.DUMMYFUNCTION("""COMPUTED_VALUE"""),"Pcs")</f>
        <v>Pcs</v>
      </c>
      <c r="I160" s="15" t="str">
        <f>IFERROR(__xludf.DUMMYFUNCTION("""COMPUTED_VALUE"""),"Deliver")</f>
        <v>Deliver</v>
      </c>
      <c r="J160" s="15" t="str">
        <f>IFERROR(__xludf.DUMMYFUNCTION("""COMPUTED_VALUE"""),"-")</f>
        <v>-</v>
      </c>
      <c r="K160" s="15" t="str">
        <f>IFERROR(__xludf.DUMMYFUNCTION("""COMPUTED_VALUE"""),"-")</f>
        <v>-</v>
      </c>
      <c r="L160" s="15" t="str">
        <f>IFERROR(__xludf.DUMMYFUNCTION("""COMPUTED_VALUE"""),"Normal")</f>
        <v>Normal</v>
      </c>
      <c r="M160" s="18" t="s">
        <v>31</v>
      </c>
      <c r="N160" s="18" t="s">
        <v>28</v>
      </c>
    </row>
    <row r="161" hidden="1">
      <c r="A161" s="15" t="str">
        <f>IFERROR(__xludf.DUMMYFUNCTION("""COMPUTED_VALUE"""),"MOBRO0026")</f>
        <v>MOBRO0026</v>
      </c>
      <c r="B161" s="16">
        <f>IFERROR(__xludf.DUMMYFUNCTION("""COMPUTED_VALUE"""),45729.97195557871)</f>
        <v>45729.97196</v>
      </c>
      <c r="C161" s="17">
        <f>IFERROR(__xludf.DUMMYFUNCTION("""COMPUTED_VALUE"""),45735.37260605324)</f>
        <v>45735.37261</v>
      </c>
      <c r="D161" s="15" t="str">
        <f>IFERROR(__xludf.DUMMYFUNCTION("""COMPUTED_VALUE"""),"Pneumatic Fitting")</f>
        <v>Pneumatic Fitting</v>
      </c>
      <c r="E161" s="15" t="str">
        <f>IFERROR(__xludf.DUMMYFUNCTION("""COMPUTED_VALUE"""),"-")</f>
        <v>-</v>
      </c>
      <c r="F161" s="15" t="str">
        <f>IFERROR(__xludf.DUMMYFUNCTION("""COMPUTED_VALUE"""),"General - Push-in Connector, QS-8-6; Festo; 153038; 1 pcs")</f>
        <v>General - Push-in Connector, QS-8-6; Festo; 153038; 1 pcs</v>
      </c>
      <c r="G161" s="15">
        <f>IFERROR(__xludf.DUMMYFUNCTION("""COMPUTED_VALUE"""),8.0)</f>
        <v>8</v>
      </c>
      <c r="H161" s="15" t="str">
        <f>IFERROR(__xludf.DUMMYFUNCTION("""COMPUTED_VALUE"""),"Pcs")</f>
        <v>Pcs</v>
      </c>
      <c r="I161" s="15" t="str">
        <f>IFERROR(__xludf.DUMMYFUNCTION("""COMPUTED_VALUE"""),"Deliver")</f>
        <v>Deliver</v>
      </c>
      <c r="J161" s="15" t="str">
        <f>IFERROR(__xludf.DUMMYFUNCTION("""COMPUTED_VALUE"""),"-")</f>
        <v>-</v>
      </c>
      <c r="K161" s="15" t="str">
        <f>IFERROR(__xludf.DUMMYFUNCTION("""COMPUTED_VALUE"""),"-")</f>
        <v>-</v>
      </c>
      <c r="L161" s="15" t="str">
        <f>IFERROR(__xludf.DUMMYFUNCTION("""COMPUTED_VALUE"""),"Normal")</f>
        <v>Normal</v>
      </c>
      <c r="M161" s="18" t="s">
        <v>31</v>
      </c>
      <c r="N161" s="18" t="s">
        <v>28</v>
      </c>
    </row>
    <row r="162" hidden="1">
      <c r="A162" s="15" t="str">
        <f>IFERROR(__xludf.DUMMYFUNCTION("""COMPUTED_VALUE"""),"MOBRO0027")</f>
        <v>MOBRO0027</v>
      </c>
      <c r="B162" s="16">
        <f>IFERROR(__xludf.DUMMYFUNCTION("""COMPUTED_VALUE"""),45729.9726683912)</f>
        <v>45729.97267</v>
      </c>
      <c r="C162" s="17">
        <f>IFERROR(__xludf.DUMMYFUNCTION("""COMPUTED_VALUE"""),45735.372844687496)</f>
        <v>45735.37284</v>
      </c>
      <c r="D162" s="15" t="str">
        <f>IFERROR(__xludf.DUMMYFUNCTION("""COMPUTED_VALUE"""),"Pneumatic Fitting")</f>
        <v>Pneumatic Fitting</v>
      </c>
      <c r="E162" s="15" t="str">
        <f>IFERROR(__xludf.DUMMYFUNCTION("""COMPUTED_VALUE"""),"-")</f>
        <v>-</v>
      </c>
      <c r="F162" s="15" t="str">
        <f>IFERROR(__xludf.DUMMYFUNCTION("""COMPUTED_VALUE"""),"FESTO - QS-10-8 Push In Connector p/n 153039")</f>
        <v>FESTO - QS-10-8 Push In Connector p/n 153039</v>
      </c>
      <c r="G162" s="15">
        <f>IFERROR(__xludf.DUMMYFUNCTION("""COMPUTED_VALUE"""),8.0)</f>
        <v>8</v>
      </c>
      <c r="H162" s="15" t="str">
        <f>IFERROR(__xludf.DUMMYFUNCTION("""COMPUTED_VALUE"""),"Pcs")</f>
        <v>Pcs</v>
      </c>
      <c r="I162" s="15" t="str">
        <f>IFERROR(__xludf.DUMMYFUNCTION("""COMPUTED_VALUE"""),"Deliver")</f>
        <v>Deliver</v>
      </c>
      <c r="J162" s="15" t="str">
        <f>IFERROR(__xludf.DUMMYFUNCTION("""COMPUTED_VALUE"""),"-")</f>
        <v>-</v>
      </c>
      <c r="K162" s="15" t="str">
        <f>IFERROR(__xludf.DUMMYFUNCTION("""COMPUTED_VALUE"""),"-")</f>
        <v>-</v>
      </c>
      <c r="L162" s="15" t="str">
        <f>IFERROR(__xludf.DUMMYFUNCTION("""COMPUTED_VALUE"""),"Normal")</f>
        <v>Normal</v>
      </c>
      <c r="M162" s="18" t="s">
        <v>31</v>
      </c>
      <c r="N162" s="18" t="s">
        <v>28</v>
      </c>
    </row>
    <row r="163" hidden="1">
      <c r="A163" s="15" t="str">
        <f>IFERROR(__xludf.DUMMYFUNCTION("""COMPUTED_VALUE"""),"MOBRO0028")</f>
        <v>MOBRO0028</v>
      </c>
      <c r="B163" s="16">
        <f>IFERROR(__xludf.DUMMYFUNCTION("""COMPUTED_VALUE"""),45729.97299439815)</f>
        <v>45729.97299</v>
      </c>
      <c r="C163" s="17">
        <f>IFERROR(__xludf.DUMMYFUNCTION("""COMPUTED_VALUE"""),45735.3730405324)</f>
        <v>45735.37304</v>
      </c>
      <c r="D163" s="15" t="str">
        <f>IFERROR(__xludf.DUMMYFUNCTION("""COMPUTED_VALUE"""),"Pneumatic Fitting")</f>
        <v>Pneumatic Fitting</v>
      </c>
      <c r="E163" s="15" t="str">
        <f>IFERROR(__xludf.DUMMYFUNCTION("""COMPUTED_VALUE"""),"-")</f>
        <v>-</v>
      </c>
      <c r="F163" s="15" t="str">
        <f>IFERROR(__xludf.DUMMYFUNCTION("""COMPUTED_VALUE"""),"FESTO - QS-12-10 Push in Connector p/n: 153040")</f>
        <v>FESTO - QS-12-10 Push in Connector p/n: 153040</v>
      </c>
      <c r="G163" s="15">
        <f>IFERROR(__xludf.DUMMYFUNCTION("""COMPUTED_VALUE"""),8.0)</f>
        <v>8</v>
      </c>
      <c r="H163" s="15" t="str">
        <f>IFERROR(__xludf.DUMMYFUNCTION("""COMPUTED_VALUE"""),"Pcs")</f>
        <v>Pcs</v>
      </c>
      <c r="I163" s="15" t="str">
        <f>IFERROR(__xludf.DUMMYFUNCTION("""COMPUTED_VALUE"""),"Deliver")</f>
        <v>Deliver</v>
      </c>
      <c r="J163" s="15" t="str">
        <f>IFERROR(__xludf.DUMMYFUNCTION("""COMPUTED_VALUE"""),"-")</f>
        <v>-</v>
      </c>
      <c r="K163" s="15" t="str">
        <f>IFERROR(__xludf.DUMMYFUNCTION("""COMPUTED_VALUE"""),"-")</f>
        <v>-</v>
      </c>
      <c r="L163" s="15" t="str">
        <f>IFERROR(__xludf.DUMMYFUNCTION("""COMPUTED_VALUE"""),"Normal")</f>
        <v>Normal</v>
      </c>
      <c r="M163" s="18" t="s">
        <v>31</v>
      </c>
      <c r="N163" s="18" t="s">
        <v>28</v>
      </c>
    </row>
    <row r="164" hidden="1">
      <c r="A164" s="15" t="str">
        <f>IFERROR(__xludf.DUMMYFUNCTION("""COMPUTED_VALUE"""),"ROSRO0002")</f>
        <v>ROSRO0002</v>
      </c>
      <c r="B164" s="16">
        <f>IFERROR(__xludf.DUMMYFUNCTION("""COMPUTED_VALUE"""),45734.94708142361)</f>
        <v>45734.94708</v>
      </c>
      <c r="C164" s="17">
        <f>IFERROR(__xludf.DUMMYFUNCTION("""COMPUTED_VALUE"""),45735.666636539354)</f>
        <v>45735.66664</v>
      </c>
      <c r="D164" s="15" t="str">
        <f>IFERROR(__xludf.DUMMYFUNCTION("""COMPUTED_VALUE"""),"autoclave preparasi dan decontam")</f>
        <v>autoclave preparasi dan decontam</v>
      </c>
      <c r="E164" s="15" t="str">
        <f>IFERROR(__xludf.DUMMYFUNCTION("""COMPUTED_VALUE"""),"-")</f>
        <v>-</v>
      </c>
      <c r="F164" s="15" t="str">
        <f>IFERROR(__xludf.DUMMYFUNCTION("""COMPUTED_VALUE"""),"Fedegari FVA2/A1 - O-RING 15.47x3.53 ; Code : CC150170; ; ;")</f>
        <v>Fedegari FVA2/A1 - O-RING 15.47x3.53 ; Code : CC150170; ; ;</v>
      </c>
      <c r="G164" s="15">
        <f>IFERROR(__xludf.DUMMYFUNCTION("""COMPUTED_VALUE"""),20.0)</f>
        <v>20</v>
      </c>
      <c r="H164" s="15" t="str">
        <f>IFERROR(__xludf.DUMMYFUNCTION("""COMPUTED_VALUE"""),"pcs")</f>
        <v>pcs</v>
      </c>
      <c r="I164" s="15" t="str">
        <f>IFERROR(__xludf.DUMMYFUNCTION("""COMPUTED_VALUE"""),"Deliver")</f>
        <v>Deliver</v>
      </c>
      <c r="J164" s="15" t="str">
        <f>IFERROR(__xludf.DUMMYFUNCTION("""COMPUTED_VALUE"""),"-")</f>
        <v>-</v>
      </c>
      <c r="K164" s="15" t="str">
        <f>IFERROR(__xludf.DUMMYFUNCTION("""COMPUTED_VALUE"""),"-")</f>
        <v>-</v>
      </c>
      <c r="L164" s="15" t="str">
        <f>IFERROR(__xludf.DUMMYFUNCTION("""COMPUTED_VALUE"""),"Normal")</f>
        <v>Normal</v>
      </c>
      <c r="M164" s="18" t="s">
        <v>29</v>
      </c>
      <c r="N164" s="18" t="s">
        <v>30</v>
      </c>
    </row>
    <row r="165" hidden="1">
      <c r="A165" s="15" t="str">
        <f>IFERROR(__xludf.DUMMYFUNCTION("""COMPUTED_VALUE"""),"RIABR0026")</f>
        <v>RIABR0026</v>
      </c>
      <c r="B165" s="16">
        <f>IFERROR(__xludf.DUMMYFUNCTION("""COMPUTED_VALUE"""),45734.69094292824)</f>
        <v>45734.69094</v>
      </c>
      <c r="C165" s="17">
        <f>IFERROR(__xludf.DUMMYFUNCTION("""COMPUTED_VALUE"""),45736.4829415162)</f>
        <v>45736.48294</v>
      </c>
      <c r="D165" s="15" t="str">
        <f>IFERROR(__xludf.DUMMYFUNCTION("""COMPUTED_VALUE"""),"Cooling Water")</f>
        <v>Cooling Water</v>
      </c>
      <c r="E165" s="15" t="str">
        <f>IFERROR(__xludf.DUMMYFUNCTION("""COMPUTED_VALUE"""),"EJO/2025/03/116")</f>
        <v>EJO/2025/03/116</v>
      </c>
      <c r="F165" s="15" t="str">
        <f>IFERROR(__xludf.DUMMYFUNCTION("""COMPUTED_VALUE"""),"Motorized")</f>
        <v>Motorized</v>
      </c>
      <c r="G165" s="15">
        <f>IFERROR(__xludf.DUMMYFUNCTION("""COMPUTED_VALUE"""),1.0)</f>
        <v>1</v>
      </c>
      <c r="H165" s="15" t="str">
        <f>IFERROR(__xludf.DUMMYFUNCTION("""COMPUTED_VALUE"""),"Set")</f>
        <v>Set</v>
      </c>
      <c r="I165" s="15" t="str">
        <f>IFERROR(__xludf.DUMMYFUNCTION("""COMPUTED_VALUE"""),"Deliver")</f>
        <v>Deliver</v>
      </c>
      <c r="J165" s="15" t="str">
        <f>IFERROR(__xludf.DUMMYFUNCTION("""COMPUTED_VALUE"""),"-")</f>
        <v>-</v>
      </c>
      <c r="K165" s="15" t="str">
        <f>IFERROR(__xludf.DUMMYFUNCTION("""COMPUTED_VALUE"""),"-")</f>
        <v>-</v>
      </c>
      <c r="L165" s="15" t="str">
        <f>IFERROR(__xludf.DUMMYFUNCTION("""COMPUTED_VALUE"""),"Normal")</f>
        <v>Normal</v>
      </c>
      <c r="M165" s="18" t="s">
        <v>32</v>
      </c>
      <c r="N165" s="18" t="s">
        <v>28</v>
      </c>
    </row>
    <row r="166" hidden="1">
      <c r="A166" s="15" t="str">
        <f>IFERROR(__xludf.DUMMYFUNCTION("""COMPUTED_VALUE"""),"NDSRO0003")</f>
        <v>NDSRO0003</v>
      </c>
      <c r="B166" s="16">
        <f>IFERROR(__xludf.DUMMYFUNCTION("""COMPUTED_VALUE"""),45729.89329858796)</f>
        <v>45729.8933</v>
      </c>
      <c r="C166" s="17">
        <f>IFERROR(__xludf.DUMMYFUNCTION("""COMPUTED_VALUE"""),45736.68805202546)</f>
        <v>45736.68805</v>
      </c>
      <c r="D166" s="15" t="str">
        <f>IFERROR(__xludf.DUMMYFUNCTION("""COMPUTED_VALUE"""),"Tunnel")</f>
        <v>Tunnel</v>
      </c>
      <c r="E166" s="15" t="str">
        <f>IFERROR(__xludf.DUMMYFUNCTION("""COMPUTED_VALUE"""),"-")</f>
        <v>-</v>
      </c>
      <c r="F166" s="15" t="str">
        <f>IFERROR(__xludf.DUMMYFUNCTION("""COMPUTED_VALUE"""),"Selenoid Valve VSNC-FC-M52-MD-G14-F8-1B2; Festo; P/n: 577295;")</f>
        <v>Selenoid Valve VSNC-FC-M52-MD-G14-F8-1B2; Festo; P/n: 577295;</v>
      </c>
      <c r="G166" s="15">
        <f>IFERROR(__xludf.DUMMYFUNCTION("""COMPUTED_VALUE"""),2.0)</f>
        <v>2</v>
      </c>
      <c r="H166" s="15" t="str">
        <f>IFERROR(__xludf.DUMMYFUNCTION("""COMPUTED_VALUE"""),"Pcs")</f>
        <v>Pcs</v>
      </c>
      <c r="I166" s="15" t="str">
        <f>IFERROR(__xludf.DUMMYFUNCTION("""COMPUTED_VALUE"""),"Deliver")</f>
        <v>Deliver</v>
      </c>
      <c r="J166" s="15" t="str">
        <f>IFERROR(__xludf.DUMMYFUNCTION("""COMPUTED_VALUE"""),"-")</f>
        <v>-</v>
      </c>
      <c r="K166" s="15" t="str">
        <f>IFERROR(__xludf.DUMMYFUNCTION("""COMPUTED_VALUE"""),"-")</f>
        <v>-</v>
      </c>
      <c r="L166" s="15" t="str">
        <f>IFERROR(__xludf.DUMMYFUNCTION("""COMPUTED_VALUE"""),"Normal")</f>
        <v>Normal</v>
      </c>
      <c r="M166" s="18" t="s">
        <v>50</v>
      </c>
      <c r="N166" s="18" t="s">
        <v>30</v>
      </c>
    </row>
    <row r="167" hidden="1">
      <c r="A167" s="15" t="str">
        <f>IFERROR(__xludf.DUMMYFUNCTION("""COMPUTED_VALUE"""),"NDSBR0007")</f>
        <v>NDSBR0007</v>
      </c>
      <c r="B167" s="16">
        <f>IFERROR(__xludf.DUMMYFUNCTION("""COMPUTED_VALUE"""),45729.738412106475)</f>
        <v>45729.73841</v>
      </c>
      <c r="C167" s="17">
        <f>IFERROR(__xludf.DUMMYFUNCTION("""COMPUTED_VALUE"""),45736.69521481481)</f>
        <v>45736.69521</v>
      </c>
      <c r="D167" s="15" t="str">
        <f>IFERROR(__xludf.DUMMYFUNCTION("""COMPUTED_VALUE"""),"Mixing Tank MV 200")</f>
        <v>Mixing Tank MV 200</v>
      </c>
      <c r="E167" s="15" t="str">
        <f>IFERROR(__xludf.DUMMYFUNCTION("""COMPUTED_VALUE"""),"EJO/2024/12/147")</f>
        <v>EJO/2024/12/147</v>
      </c>
      <c r="F167" s="15" t="str">
        <f>IFERROR(__xludf.DUMMYFUNCTION("""COMPUTED_VALUE"""),"Gasket Ferrule ")</f>
        <v>Gasket Ferrule </v>
      </c>
      <c r="G167" s="15">
        <f>IFERROR(__xludf.DUMMYFUNCTION("""COMPUTED_VALUE"""),4.0)</f>
        <v>4</v>
      </c>
      <c r="H167" s="15" t="str">
        <f>IFERROR(__xludf.DUMMYFUNCTION("""COMPUTED_VALUE"""),"Pcs")</f>
        <v>Pcs</v>
      </c>
      <c r="I167" s="15" t="str">
        <f>IFERROR(__xludf.DUMMYFUNCTION("""COMPUTED_VALUE"""),"Deliver")</f>
        <v>Deliver</v>
      </c>
      <c r="J167" s="15" t="str">
        <f>IFERROR(__xludf.DUMMYFUNCTION("""COMPUTED_VALUE"""),"-")</f>
        <v>-</v>
      </c>
      <c r="K167" s="15" t="str">
        <f>IFERROR(__xludf.DUMMYFUNCTION("""COMPUTED_VALUE"""),"-")</f>
        <v>-</v>
      </c>
      <c r="L167" s="15" t="str">
        <f>IFERROR(__xludf.DUMMYFUNCTION("""COMPUTED_VALUE"""),"Normal")</f>
        <v>Normal</v>
      </c>
      <c r="M167" s="18" t="s">
        <v>50</v>
      </c>
      <c r="N167" s="18" t="s">
        <v>30</v>
      </c>
    </row>
    <row r="168" hidden="1">
      <c r="A168" s="15" t="str">
        <f>IFERROR(__xludf.DUMMYFUNCTION("""COMPUTED_VALUE"""),"NDSBR0008")</f>
        <v>NDSBR0008</v>
      </c>
      <c r="B168" s="16">
        <f>IFERROR(__xludf.DUMMYFUNCTION("""COMPUTED_VALUE"""),45729.738920752316)</f>
        <v>45729.73892</v>
      </c>
      <c r="C168" s="17">
        <f>IFERROR(__xludf.DUMMYFUNCTION("""COMPUTED_VALUE"""),45736.69599613426)</f>
        <v>45736.696</v>
      </c>
      <c r="D168" s="15" t="str">
        <f>IFERROR(__xludf.DUMMYFUNCTION("""COMPUTED_VALUE"""),"Tablet Press")</f>
        <v>Tablet Press</v>
      </c>
      <c r="E168" s="15" t="str">
        <f>IFERROR(__xludf.DUMMYFUNCTION("""COMPUTED_VALUE"""),"-")</f>
        <v>-</v>
      </c>
      <c r="F168" s="15" t="str">
        <f>IFERROR(__xludf.DUMMYFUNCTION("""COMPUTED_VALUE"""),"Mobilux EP 2")</f>
        <v>Mobilux EP 2</v>
      </c>
      <c r="G168" s="15">
        <f>IFERROR(__xludf.DUMMYFUNCTION("""COMPUTED_VALUE"""),1.0)</f>
        <v>1</v>
      </c>
      <c r="H168" s="15" t="str">
        <f>IFERROR(__xludf.DUMMYFUNCTION("""COMPUTED_VALUE"""),"Pcs")</f>
        <v>Pcs</v>
      </c>
      <c r="I168" s="15" t="str">
        <f>IFERROR(__xludf.DUMMYFUNCTION("""COMPUTED_VALUE"""),"Deliver")</f>
        <v>Deliver</v>
      </c>
      <c r="J168" s="15" t="str">
        <f>IFERROR(__xludf.DUMMYFUNCTION("""COMPUTED_VALUE"""),"-")</f>
        <v>-</v>
      </c>
      <c r="K168" s="15" t="str">
        <f>IFERROR(__xludf.DUMMYFUNCTION("""COMPUTED_VALUE"""),"-")</f>
        <v>-</v>
      </c>
      <c r="L168" s="15" t="str">
        <f>IFERROR(__xludf.DUMMYFUNCTION("""COMPUTED_VALUE"""),"Normal")</f>
        <v>Normal</v>
      </c>
      <c r="M168" s="18" t="s">
        <v>50</v>
      </c>
      <c r="N168" s="18" t="s">
        <v>30</v>
      </c>
    </row>
    <row r="169" hidden="1">
      <c r="A169" s="15" t="str">
        <f>IFERROR(__xludf.DUMMYFUNCTION("""COMPUTED_VALUE"""),"INNBR0016")</f>
        <v>INNBR0016</v>
      </c>
      <c r="B169" s="16">
        <f>IFERROR(__xludf.DUMMYFUNCTION("""COMPUTED_VALUE"""),45735.6757028588)</f>
        <v>45735.6757</v>
      </c>
      <c r="C169" s="17">
        <f>IFERROR(__xludf.DUMMYFUNCTION("""COMPUTED_VALUE"""),45736.69662336806)</f>
        <v>45736.69662</v>
      </c>
      <c r="D169" s="15" t="str">
        <f>IFERROR(__xludf.DUMMYFUNCTION("""COMPUTED_VALUE"""),"Filling")</f>
        <v>Filling</v>
      </c>
      <c r="E169" s="15" t="str">
        <f>IFERROR(__xludf.DUMMYFUNCTION("""COMPUTED_VALUE"""),"EJO/2024/12/139")</f>
        <v>EJO/2024/12/139</v>
      </c>
      <c r="F169" s="15" t="str">
        <f>IFERROR(__xludf.DUMMYFUNCTION("""COMPUTED_VALUE"""),"Oring silicone : 1.5 mm x 37.5 mm x 40.5 mm")</f>
        <v>Oring silicone : 1.5 mm x 37.5 mm x 40.5 mm</v>
      </c>
      <c r="G169" s="15">
        <f>IFERROR(__xludf.DUMMYFUNCTION("""COMPUTED_VALUE"""),10.0)</f>
        <v>10</v>
      </c>
      <c r="H169" s="15" t="str">
        <f>IFERROR(__xludf.DUMMYFUNCTION("""COMPUTED_VALUE"""),"pcs")</f>
        <v>pcs</v>
      </c>
      <c r="I169" s="15" t="str">
        <f>IFERROR(__xludf.DUMMYFUNCTION("""COMPUTED_VALUE"""),"Deliver")</f>
        <v>Deliver</v>
      </c>
      <c r="J169" s="15" t="str">
        <f>IFERROR(__xludf.DUMMYFUNCTION("""COMPUTED_VALUE"""),"-")</f>
        <v>-</v>
      </c>
      <c r="K169" s="15" t="str">
        <f>IFERROR(__xludf.DUMMYFUNCTION("""COMPUTED_VALUE"""),"-")</f>
        <v>-</v>
      </c>
      <c r="L169" s="15" t="str">
        <f>IFERROR(__xludf.DUMMYFUNCTION("""COMPUTED_VALUE"""),"Normal")</f>
        <v>Normal</v>
      </c>
      <c r="M169" s="18" t="s">
        <v>51</v>
      </c>
      <c r="N169" s="18" t="s">
        <v>30</v>
      </c>
    </row>
    <row r="170" hidden="1">
      <c r="A170" s="15" t="str">
        <f>IFERROR(__xludf.DUMMYFUNCTION("""COMPUTED_VALUE"""),"INNBR0002")</f>
        <v>INNBR0002</v>
      </c>
      <c r="B170" s="16">
        <f>IFERROR(__xludf.DUMMYFUNCTION("""COMPUTED_VALUE"""),45697.70315533565)</f>
        <v>45697.70316</v>
      </c>
      <c r="C170" s="17">
        <f>IFERROR(__xludf.DUMMYFUNCTION("""COMPUTED_VALUE"""),45736.696994398146)</f>
        <v>45736.69699</v>
      </c>
      <c r="D170" s="15" t="str">
        <f>IFERROR(__xludf.DUMMYFUNCTION("""COMPUTED_VALUE"""),"Cartoning")</f>
        <v>Cartoning</v>
      </c>
      <c r="E170" s="15" t="str">
        <f>IFERROR(__xludf.DUMMYFUNCTION("""COMPUTED_VALUE"""),"-")</f>
        <v>-</v>
      </c>
      <c r="F170" s="15" t="str">
        <f>IFERROR(__xludf.DUMMYFUNCTION("""COMPUTED_VALUE"""),"Spring plate")</f>
        <v>Spring plate</v>
      </c>
      <c r="G170" s="15">
        <f>IFERROR(__xludf.DUMMYFUNCTION("""COMPUTED_VALUE"""),6.0)</f>
        <v>6</v>
      </c>
      <c r="H170" s="15" t="str">
        <f>IFERROR(__xludf.DUMMYFUNCTION("""COMPUTED_VALUE"""),"Pcs")</f>
        <v>Pcs</v>
      </c>
      <c r="I170" s="15" t="str">
        <f>IFERROR(__xludf.DUMMYFUNCTION("""COMPUTED_VALUE"""),"Deliver")</f>
        <v>Deliver</v>
      </c>
      <c r="J170" s="15" t="str">
        <f>IFERROR(__xludf.DUMMYFUNCTION("""COMPUTED_VALUE"""),"121703643 - APPROVED")</f>
        <v>121703643 - APPROVED</v>
      </c>
      <c r="K170" s="15" t="str">
        <f>IFERROR(__xludf.DUMMYFUNCTION("""COMPUTED_VALUE"""),"GL2602373")</f>
        <v>GL2602373</v>
      </c>
      <c r="L170" s="15" t="str">
        <f>IFERROR(__xludf.DUMMYFUNCTION("""COMPUTED_VALUE"""),"Normal")</f>
        <v>Normal</v>
      </c>
      <c r="M170" s="18" t="s">
        <v>51</v>
      </c>
      <c r="N170" s="18" t="s">
        <v>30</v>
      </c>
    </row>
    <row r="171" hidden="1">
      <c r="A171" s="15" t="str">
        <f>IFERROR(__xludf.DUMMYFUNCTION("""COMPUTED_VALUE"""),"SFHBR0010")</f>
        <v>SFHBR0010</v>
      </c>
      <c r="B171" s="16">
        <f>IFERROR(__xludf.DUMMYFUNCTION("""COMPUTED_VALUE"""),45713.999412627316)</f>
        <v>45713.99941</v>
      </c>
      <c r="C171" s="17">
        <f>IFERROR(__xludf.DUMMYFUNCTION("""COMPUTED_VALUE"""),45742.564148935184)</f>
        <v>45742.56415</v>
      </c>
      <c r="D171" s="15" t="str">
        <f>IFERROR(__xludf.DUMMYFUNCTION("""COMPUTED_VALUE"""),"lantai 2")</f>
        <v>lantai 2</v>
      </c>
      <c r="E171" s="15" t="str">
        <f>IFERROR(__xludf.DUMMYFUNCTION("""COMPUTED_VALUE"""),"-")</f>
        <v>-</v>
      </c>
      <c r="F171" s="15" t="str">
        <f>IFERROR(__xludf.DUMMYFUNCTION("""COMPUTED_VALUE"""),"karet ban")</f>
        <v>karet ban</v>
      </c>
      <c r="G171" s="15">
        <f>IFERROR(__xludf.DUMMYFUNCTION("""COMPUTED_VALUE"""),10.0)</f>
        <v>10</v>
      </c>
      <c r="H171" s="15" t="str">
        <f>IFERROR(__xludf.DUMMYFUNCTION("""COMPUTED_VALUE"""),"mtr")</f>
        <v>mtr</v>
      </c>
      <c r="I171" s="15" t="str">
        <f>IFERROR(__xludf.DUMMYFUNCTION("""COMPUTED_VALUE"""),"Deliver")</f>
        <v>Deliver</v>
      </c>
      <c r="J171" s="15" t="str">
        <f>IFERROR(__xludf.DUMMYFUNCTION("""COMPUTED_VALUE"""),"121704042 - APPROVED")</f>
        <v>121704042 - APPROVED</v>
      </c>
      <c r="K171" s="15" t="str">
        <f>IFERROR(__xludf.DUMMYFUNCTION("""COMPUTED_VALUE"""),"GL2604038")</f>
        <v>GL2604038</v>
      </c>
      <c r="L171" s="15" t="str">
        <f>IFERROR(__xludf.DUMMYFUNCTION("""COMPUTED_VALUE"""),"Urgent")</f>
        <v>Urgent</v>
      </c>
      <c r="M171" s="18" t="s">
        <v>27</v>
      </c>
      <c r="N171" s="18" t="s">
        <v>28</v>
      </c>
    </row>
    <row r="172" hidden="1">
      <c r="A172" s="15" t="str">
        <f>IFERROR(__xludf.DUMMYFUNCTION("""COMPUTED_VALUE"""),"MOBBR0022")</f>
        <v>MOBBR0022</v>
      </c>
      <c r="B172" s="16">
        <f>IFERROR(__xludf.DUMMYFUNCTION("""COMPUTED_VALUE"""),45737.56979324074)</f>
        <v>45737.56979</v>
      </c>
      <c r="C172" s="17">
        <f>IFERROR(__xludf.DUMMYFUNCTION("""COMPUTED_VALUE"""),45742.86123369213)</f>
        <v>45742.86123</v>
      </c>
      <c r="D172" s="15" t="str">
        <f>IFERROR(__xludf.DUMMYFUNCTION("""COMPUTED_VALUE"""),"Panel WWTP")</f>
        <v>Panel WWTP</v>
      </c>
      <c r="E172" s="15" t="str">
        <f>IFERROR(__xludf.DUMMYFUNCTION("""COMPUTED_VALUE"""),"-")</f>
        <v>-</v>
      </c>
      <c r="F172" s="15" t="str">
        <f>IFERROR(__xludf.DUMMYFUNCTION("""COMPUTED_VALUE"""),"Pilot Lamp")</f>
        <v>Pilot Lamp</v>
      </c>
      <c r="G172" s="15">
        <f>IFERROR(__xludf.DUMMYFUNCTION("""COMPUTED_VALUE"""),8.0)</f>
        <v>8</v>
      </c>
      <c r="H172" s="15" t="str">
        <f>IFERROR(__xludf.DUMMYFUNCTION("""COMPUTED_VALUE"""),"Pcs")</f>
        <v>Pcs</v>
      </c>
      <c r="I172" s="15" t="str">
        <f>IFERROR(__xludf.DUMMYFUNCTION("""COMPUTED_VALUE"""),"Deliver")</f>
        <v>Deliver</v>
      </c>
      <c r="J172" s="15" t="str">
        <f>IFERROR(__xludf.DUMMYFUNCTION("""COMPUTED_VALUE"""),"-")</f>
        <v>-</v>
      </c>
      <c r="K172" s="15" t="str">
        <f>IFERROR(__xludf.DUMMYFUNCTION("""COMPUTED_VALUE"""),"-")</f>
        <v>-</v>
      </c>
      <c r="L172" s="15" t="str">
        <f>IFERROR(__xludf.DUMMYFUNCTION("""COMPUTED_VALUE"""),"Normal")</f>
        <v>Normal</v>
      </c>
      <c r="M172" s="18" t="s">
        <v>31</v>
      </c>
      <c r="N172" s="18" t="s">
        <v>28</v>
      </c>
    </row>
    <row r="173" hidden="1">
      <c r="A173" s="15" t="str">
        <f>IFERROR(__xludf.DUMMYFUNCTION("""COMPUTED_VALUE"""),"MRNBR0008")</f>
        <v>MRNBR0008</v>
      </c>
      <c r="B173" s="16">
        <f>IFERROR(__xludf.DUMMYFUNCTION("""COMPUTED_VALUE"""),45737.07097291667)</f>
        <v>45737.07097</v>
      </c>
      <c r="C173" s="17">
        <f>IFERROR(__xludf.DUMMYFUNCTION("""COMPUTED_VALUE"""),45742.861653761574)</f>
        <v>45742.86165</v>
      </c>
      <c r="D173" s="15" t="str">
        <f>IFERROR(__xludf.DUMMYFUNCTION("""COMPUTED_VALUE"""),"Cooling water")</f>
        <v>Cooling water</v>
      </c>
      <c r="E173" s="15" t="str">
        <f>IFERROR(__xludf.DUMMYFUNCTION("""COMPUTED_VALUE"""),"EJO/2024/08/79")</f>
        <v>EJO/2024/08/79</v>
      </c>
      <c r="F173" s="15" t="str">
        <f>IFERROR(__xludf.DUMMYFUNCTION("""COMPUTED_VALUE"""),"Motorize valve")</f>
        <v>Motorize valve</v>
      </c>
      <c r="G173" s="15">
        <f>IFERROR(__xludf.DUMMYFUNCTION("""COMPUTED_VALUE"""),1.0)</f>
        <v>1</v>
      </c>
      <c r="H173" s="15" t="str">
        <f>IFERROR(__xludf.DUMMYFUNCTION("""COMPUTED_VALUE"""),"unit")</f>
        <v>unit</v>
      </c>
      <c r="I173" s="15" t="str">
        <f>IFERROR(__xludf.DUMMYFUNCTION("""COMPUTED_VALUE"""),"Deliver")</f>
        <v>Deliver</v>
      </c>
      <c r="J173" s="15" t="str">
        <f>IFERROR(__xludf.DUMMYFUNCTION("""COMPUTED_VALUE"""),"-")</f>
        <v>-</v>
      </c>
      <c r="K173" s="15" t="str">
        <f>IFERROR(__xludf.DUMMYFUNCTION("""COMPUTED_VALUE"""),"-")</f>
        <v>-</v>
      </c>
      <c r="L173" s="15" t="str">
        <f>IFERROR(__xludf.DUMMYFUNCTION("""COMPUTED_VALUE"""),"Normal")</f>
        <v>Normal</v>
      </c>
      <c r="M173" s="18" t="s">
        <v>48</v>
      </c>
      <c r="N173" s="18" t="s">
        <v>28</v>
      </c>
    </row>
    <row r="174" hidden="1">
      <c r="A174" s="15" t="str">
        <f>IFERROR(__xludf.DUMMYFUNCTION("""COMPUTED_VALUE"""),"MRNBR0009")</f>
        <v>MRNBR0009</v>
      </c>
      <c r="B174" s="16">
        <f>IFERROR(__xludf.DUMMYFUNCTION("""COMPUTED_VALUE"""),45737.75088133102)</f>
        <v>45737.75088</v>
      </c>
      <c r="C174" s="17">
        <f>IFERROR(__xludf.DUMMYFUNCTION("""COMPUTED_VALUE"""),45742.861811712966)</f>
        <v>45742.86181</v>
      </c>
      <c r="D174" s="15" t="str">
        <f>IFERROR(__xludf.DUMMYFUNCTION("""COMPUTED_VALUE"""),"Jet cleaner")</f>
        <v>Jet cleaner</v>
      </c>
      <c r="E174" s="15" t="str">
        <f>IFERROR(__xludf.DUMMYFUNCTION("""COMPUTED_VALUE"""),"EJO/2025/02/163")</f>
        <v>EJO/2025/02/163</v>
      </c>
      <c r="F174" s="15" t="str">
        <f>IFERROR(__xludf.DUMMYFUNCTION("""COMPUTED_VALUE"""),"Bearing")</f>
        <v>Bearing</v>
      </c>
      <c r="G174" s="15">
        <f>IFERROR(__xludf.DUMMYFUNCTION("""COMPUTED_VALUE"""),2.0)</f>
        <v>2</v>
      </c>
      <c r="H174" s="15" t="str">
        <f>IFERROR(__xludf.DUMMYFUNCTION("""COMPUTED_VALUE"""),"pcs")</f>
        <v>pcs</v>
      </c>
      <c r="I174" s="15" t="str">
        <f>IFERROR(__xludf.DUMMYFUNCTION("""COMPUTED_VALUE"""),"Deliver")</f>
        <v>Deliver</v>
      </c>
      <c r="J174" s="15" t="str">
        <f>IFERROR(__xludf.DUMMYFUNCTION("""COMPUTED_VALUE"""),"-")</f>
        <v>-</v>
      </c>
      <c r="K174" s="15" t="str">
        <f>IFERROR(__xludf.DUMMYFUNCTION("""COMPUTED_VALUE"""),"-")</f>
        <v>-</v>
      </c>
      <c r="L174" s="15" t="str">
        <f>IFERROR(__xludf.DUMMYFUNCTION("""COMPUTED_VALUE"""),"Normal")</f>
        <v>Normal</v>
      </c>
      <c r="M174" s="18" t="s">
        <v>48</v>
      </c>
      <c r="N174" s="18" t="s">
        <v>28</v>
      </c>
    </row>
    <row r="175" hidden="1">
      <c r="A175" s="15" t="str">
        <f>IFERROR(__xludf.DUMMYFUNCTION("""COMPUTED_VALUE"""),"SFHBR0017")</f>
        <v>SFHBR0017</v>
      </c>
      <c r="B175" s="16">
        <f>IFERROR(__xludf.DUMMYFUNCTION("""COMPUTED_VALUE"""),45735.66877271991)</f>
        <v>45735.66877</v>
      </c>
      <c r="C175" s="17">
        <f>IFERROR(__xludf.DUMMYFUNCTION("""COMPUTED_VALUE"""),45742.863306666666)</f>
        <v>45742.86331</v>
      </c>
      <c r="D175" s="15" t="str">
        <f>IFERROR(__xludf.DUMMYFUNCTION("""COMPUTED_VALUE"""),"lantai 2")</f>
        <v>lantai 2</v>
      </c>
      <c r="E175" s="15" t="str">
        <f>IFERROR(__xludf.DUMMYFUNCTION("""COMPUTED_VALUE"""),"EJO/2025/01/86")</f>
        <v>EJO/2025/01/86</v>
      </c>
      <c r="F175" s="15" t="str">
        <f>IFERROR(__xludf.DUMMYFUNCTION("""COMPUTED_VALUE"""),"cat propan buat sandwich panel")</f>
        <v>cat propan buat sandwich panel</v>
      </c>
      <c r="G175" s="15">
        <f>IFERROR(__xludf.DUMMYFUNCTION("""COMPUTED_VALUE"""),3.0)</f>
        <v>3</v>
      </c>
      <c r="H175" s="15" t="str">
        <f>IFERROR(__xludf.DUMMYFUNCTION("""COMPUTED_VALUE"""),"pel")</f>
        <v>pel</v>
      </c>
      <c r="I175" s="15" t="str">
        <f>IFERROR(__xludf.DUMMYFUNCTION("""COMPUTED_VALUE"""),"Deliver")</f>
        <v>Deliver</v>
      </c>
      <c r="J175" s="15" t="str">
        <f>IFERROR(__xludf.DUMMYFUNCTION("""COMPUTED_VALUE"""),"-")</f>
        <v>-</v>
      </c>
      <c r="K175" s="15" t="str">
        <f>IFERROR(__xludf.DUMMYFUNCTION("""COMPUTED_VALUE"""),"-")</f>
        <v>-</v>
      </c>
      <c r="L175" s="15" t="str">
        <f>IFERROR(__xludf.DUMMYFUNCTION("""COMPUTED_VALUE"""),"Normal")</f>
        <v>Normal</v>
      </c>
      <c r="M175" s="18" t="s">
        <v>27</v>
      </c>
      <c r="N175" s="18" t="s">
        <v>28</v>
      </c>
    </row>
    <row r="176" hidden="1">
      <c r="A176" s="15" t="str">
        <f>IFERROR(__xludf.DUMMYFUNCTION("""COMPUTED_VALUE"""),"SHFBR0001")</f>
        <v>SHFBR0001</v>
      </c>
      <c r="B176" s="16">
        <f>IFERROR(__xludf.DUMMYFUNCTION("""COMPUTED_VALUE"""),45713.3941837963)</f>
        <v>45713.39418</v>
      </c>
      <c r="C176" s="17">
        <f>IFERROR(__xludf.DUMMYFUNCTION("""COMPUTED_VALUE"""),45742.86359487268)</f>
        <v>45742.86359</v>
      </c>
      <c r="D176" s="15" t="str">
        <f>IFERROR(__xludf.DUMMYFUNCTION("""COMPUTED_VALUE"""),"Tank Hot Water OSD")</f>
        <v>Tank Hot Water OSD</v>
      </c>
      <c r="E176" s="15" t="str">
        <f>IFERROR(__xludf.DUMMYFUNCTION("""COMPUTED_VALUE"""),"EJO/2024/12/158")</f>
        <v>EJO/2024/12/158</v>
      </c>
      <c r="F176" s="15" t="str">
        <f>IFERROR(__xludf.DUMMYFUNCTION("""COMPUTED_VALUE"""),"PIpa 1 Inch Aw")</f>
        <v>PIpa 1 Inch Aw</v>
      </c>
      <c r="G176" s="15">
        <f>IFERROR(__xludf.DUMMYFUNCTION("""COMPUTED_VALUE"""),4.0)</f>
        <v>4</v>
      </c>
      <c r="H176" s="15" t="str">
        <f>IFERROR(__xludf.DUMMYFUNCTION("""COMPUTED_VALUE"""),"Btg")</f>
        <v>Btg</v>
      </c>
      <c r="I176" s="15" t="str">
        <f>IFERROR(__xludf.DUMMYFUNCTION("""COMPUTED_VALUE"""),"Deliver")</f>
        <v>Deliver</v>
      </c>
      <c r="J176" s="15" t="str">
        <f>IFERROR(__xludf.DUMMYFUNCTION("""COMPUTED_VALUE"""),"-")</f>
        <v>-</v>
      </c>
      <c r="K176" s="15" t="str">
        <f>IFERROR(__xludf.DUMMYFUNCTION("""COMPUTED_VALUE"""),"-")</f>
        <v>-</v>
      </c>
      <c r="L176" s="15" t="str">
        <f>IFERROR(__xludf.DUMMYFUNCTION("""COMPUTED_VALUE"""),"Normal")</f>
        <v>Normal</v>
      </c>
      <c r="M176" s="18" t="s">
        <v>52</v>
      </c>
      <c r="N176" s="18" t="s">
        <v>28</v>
      </c>
    </row>
    <row r="177" hidden="1">
      <c r="A177" s="15" t="str">
        <f>IFERROR(__xludf.DUMMYFUNCTION("""COMPUTED_VALUE"""),"SHFBR0002")</f>
        <v>SHFBR0002</v>
      </c>
      <c r="B177" s="16">
        <f>IFERROR(__xludf.DUMMYFUNCTION("""COMPUTED_VALUE"""),45713.3987574537)</f>
        <v>45713.39876</v>
      </c>
      <c r="C177" s="17">
        <f>IFERROR(__xludf.DUMMYFUNCTION("""COMPUTED_VALUE"""),45742.86382190972)</f>
        <v>45742.86382</v>
      </c>
      <c r="D177" s="15" t="str">
        <f>IFERROR(__xludf.DUMMYFUNCTION("""COMPUTED_VALUE"""),"Tank Hot Water OSD")</f>
        <v>Tank Hot Water OSD</v>
      </c>
      <c r="E177" s="15" t="str">
        <f>IFERROR(__xludf.DUMMYFUNCTION("""COMPUTED_VALUE"""),"EJO/2024/12/158")</f>
        <v>EJO/2024/12/158</v>
      </c>
      <c r="F177" s="15" t="str">
        <f>IFERROR(__xludf.DUMMYFUNCTION("""COMPUTED_VALUE"""),"Gate Valve 2 Inch")</f>
        <v>Gate Valve 2 Inch</v>
      </c>
      <c r="G177" s="15">
        <f>IFERROR(__xludf.DUMMYFUNCTION("""COMPUTED_VALUE"""),2.0)</f>
        <v>2</v>
      </c>
      <c r="H177" s="15" t="str">
        <f>IFERROR(__xludf.DUMMYFUNCTION("""COMPUTED_VALUE"""),"Pcs")</f>
        <v>Pcs</v>
      </c>
      <c r="I177" s="15" t="str">
        <f>IFERROR(__xludf.DUMMYFUNCTION("""COMPUTED_VALUE"""),"Deliver")</f>
        <v>Deliver</v>
      </c>
      <c r="J177" s="15" t="str">
        <f>IFERROR(__xludf.DUMMYFUNCTION("""COMPUTED_VALUE"""),"-")</f>
        <v>-</v>
      </c>
      <c r="K177" s="15" t="str">
        <f>IFERROR(__xludf.DUMMYFUNCTION("""COMPUTED_VALUE"""),"-")</f>
        <v>-</v>
      </c>
      <c r="L177" s="15" t="str">
        <f>IFERROR(__xludf.DUMMYFUNCTION("""COMPUTED_VALUE"""),"Normal")</f>
        <v>Normal</v>
      </c>
      <c r="M177" s="18" t="s">
        <v>52</v>
      </c>
      <c r="N177" s="18" t="s">
        <v>28</v>
      </c>
    </row>
    <row r="178" hidden="1">
      <c r="A178" s="15" t="str">
        <f>IFERROR(__xludf.DUMMYFUNCTION("""COMPUTED_VALUE"""),"SHFBR0003")</f>
        <v>SHFBR0003</v>
      </c>
      <c r="B178" s="16">
        <f>IFERROR(__xludf.DUMMYFUNCTION("""COMPUTED_VALUE"""),45713.404929247685)</f>
        <v>45713.40493</v>
      </c>
      <c r="C178" s="17">
        <f>IFERROR(__xludf.DUMMYFUNCTION("""COMPUTED_VALUE"""),45742.86667283565)</f>
        <v>45742.86667</v>
      </c>
      <c r="D178" s="15" t="str">
        <f>IFERROR(__xludf.DUMMYFUNCTION("""COMPUTED_VALUE"""),"Tank Hot Water OSD")</f>
        <v>Tank Hot Water OSD</v>
      </c>
      <c r="E178" s="15" t="str">
        <f>IFERROR(__xludf.DUMMYFUNCTION("""COMPUTED_VALUE"""),"EJO/2024/12/158")</f>
        <v>EJO/2024/12/158</v>
      </c>
      <c r="F178" s="15" t="str">
        <f>IFERROR(__xludf.DUMMYFUNCTION("""COMPUTED_VALUE"""),"Hanger Clam/kelm Gantungan  2 Inch ")</f>
        <v>Hanger Clam/kelm Gantungan  2 Inch </v>
      </c>
      <c r="G178" s="15">
        <f>IFERROR(__xludf.DUMMYFUNCTION("""COMPUTED_VALUE"""),15.0)</f>
        <v>15</v>
      </c>
      <c r="H178" s="15" t="str">
        <f>IFERROR(__xludf.DUMMYFUNCTION("""COMPUTED_VALUE"""),"Pcs")</f>
        <v>Pcs</v>
      </c>
      <c r="I178" s="15" t="str">
        <f>IFERROR(__xludf.DUMMYFUNCTION("""COMPUTED_VALUE"""),"Deliver")</f>
        <v>Deliver</v>
      </c>
      <c r="J178" s="15" t="str">
        <f>IFERROR(__xludf.DUMMYFUNCTION("""COMPUTED_VALUE"""),"-")</f>
        <v>-</v>
      </c>
      <c r="K178" s="15" t="str">
        <f>IFERROR(__xludf.DUMMYFUNCTION("""COMPUTED_VALUE"""),"-")</f>
        <v>-</v>
      </c>
      <c r="L178" s="15" t="str">
        <f>IFERROR(__xludf.DUMMYFUNCTION("""COMPUTED_VALUE"""),"Normal")</f>
        <v>Normal</v>
      </c>
      <c r="M178" s="18" t="s">
        <v>52</v>
      </c>
      <c r="N178" s="18" t="s">
        <v>28</v>
      </c>
    </row>
    <row r="179" hidden="1">
      <c r="A179" s="15" t="str">
        <f>IFERROR(__xludf.DUMMYFUNCTION("""COMPUTED_VALUE"""),"SHFBR0004")</f>
        <v>SHFBR0004</v>
      </c>
      <c r="B179" s="16">
        <f>IFERROR(__xludf.DUMMYFUNCTION("""COMPUTED_VALUE"""),45713.40760268518)</f>
        <v>45713.4076</v>
      </c>
      <c r="C179" s="17">
        <f>IFERROR(__xludf.DUMMYFUNCTION("""COMPUTED_VALUE"""),45742.86690055556)</f>
        <v>45742.8669</v>
      </c>
      <c r="D179" s="15" t="str">
        <f>IFERROR(__xludf.DUMMYFUNCTION("""COMPUTED_VALUE"""),"Tank Hot Water OSD")</f>
        <v>Tank Hot Water OSD</v>
      </c>
      <c r="E179" s="15" t="str">
        <f>IFERROR(__xludf.DUMMYFUNCTION("""COMPUTED_VALUE"""),"EJO/2024/12/158")</f>
        <v>EJO/2024/12/158</v>
      </c>
      <c r="F179" s="15" t="str">
        <f>IFERROR(__xludf.DUMMYFUNCTION("""COMPUTED_VALUE"""),"Socket pipa 2 inch ")</f>
        <v>Socket pipa 2 inch </v>
      </c>
      <c r="G179" s="15">
        <f>IFERROR(__xludf.DUMMYFUNCTION("""COMPUTED_VALUE"""),6.0)</f>
        <v>6</v>
      </c>
      <c r="H179" s="15" t="str">
        <f>IFERROR(__xludf.DUMMYFUNCTION("""COMPUTED_VALUE"""),"Pcs")</f>
        <v>Pcs</v>
      </c>
      <c r="I179" s="15" t="str">
        <f>IFERROR(__xludf.DUMMYFUNCTION("""COMPUTED_VALUE"""),"Deliver")</f>
        <v>Deliver</v>
      </c>
      <c r="J179" s="15" t="str">
        <f>IFERROR(__xludf.DUMMYFUNCTION("""COMPUTED_VALUE"""),"-")</f>
        <v>-</v>
      </c>
      <c r="K179" s="15" t="str">
        <f>IFERROR(__xludf.DUMMYFUNCTION("""COMPUTED_VALUE"""),"-")</f>
        <v>-</v>
      </c>
      <c r="L179" s="15" t="str">
        <f>IFERROR(__xludf.DUMMYFUNCTION("""COMPUTED_VALUE"""),"Normal")</f>
        <v>Normal</v>
      </c>
      <c r="M179" s="18" t="s">
        <v>52</v>
      </c>
      <c r="N179" s="18" t="s">
        <v>28</v>
      </c>
    </row>
    <row r="180" hidden="1">
      <c r="A180" s="15" t="str">
        <f>IFERROR(__xludf.DUMMYFUNCTION("""COMPUTED_VALUE"""),"SHFBR0006")</f>
        <v>SHFBR0006</v>
      </c>
      <c r="B180" s="16">
        <f>IFERROR(__xludf.DUMMYFUNCTION("""COMPUTED_VALUE"""),45713.412935428234)</f>
        <v>45713.41294</v>
      </c>
      <c r="C180" s="17">
        <f>IFERROR(__xludf.DUMMYFUNCTION("""COMPUTED_VALUE"""),45742.86726978009)</f>
        <v>45742.86727</v>
      </c>
      <c r="D180" s="15" t="str">
        <f>IFERROR(__xludf.DUMMYFUNCTION("""COMPUTED_VALUE"""),"Office QA")</f>
        <v>Office QA</v>
      </c>
      <c r="E180" s="15" t="str">
        <f>IFERROR(__xludf.DUMMYFUNCTION("""COMPUTED_VALUE"""),"EJO/2025/01/79")</f>
        <v>EJO/2025/01/79</v>
      </c>
      <c r="F180" s="15" t="str">
        <f>IFERROR(__xludf.DUMMYFUNCTION("""COMPUTED_VALUE"""),"KabelDuck Setengah lingkaran")</f>
        <v>KabelDuck Setengah lingkaran</v>
      </c>
      <c r="G180" s="15">
        <f>IFERROR(__xludf.DUMMYFUNCTION("""COMPUTED_VALUE"""),3.0)</f>
        <v>3</v>
      </c>
      <c r="H180" s="15" t="str">
        <f>IFERROR(__xludf.DUMMYFUNCTION("""COMPUTED_VALUE"""),"Pcs")</f>
        <v>Pcs</v>
      </c>
      <c r="I180" s="15" t="str">
        <f>IFERROR(__xludf.DUMMYFUNCTION("""COMPUTED_VALUE"""),"Deliver")</f>
        <v>Deliver</v>
      </c>
      <c r="J180" s="15" t="str">
        <f>IFERROR(__xludf.DUMMYFUNCTION("""COMPUTED_VALUE"""),"-")</f>
        <v>-</v>
      </c>
      <c r="K180" s="15" t="str">
        <f>IFERROR(__xludf.DUMMYFUNCTION("""COMPUTED_VALUE"""),"-")</f>
        <v>-</v>
      </c>
      <c r="L180" s="15" t="str">
        <f>IFERROR(__xludf.DUMMYFUNCTION("""COMPUTED_VALUE"""),"Normal")</f>
        <v>Normal</v>
      </c>
      <c r="M180" s="18" t="s">
        <v>52</v>
      </c>
      <c r="N180" s="18" t="s">
        <v>28</v>
      </c>
    </row>
    <row r="181" hidden="1">
      <c r="A181" s="15" t="str">
        <f>IFERROR(__xludf.DUMMYFUNCTION("""COMPUTED_VALUE"""),"SHFBR0008")</f>
        <v>SHFBR0008</v>
      </c>
      <c r="B181" s="16">
        <f>IFERROR(__xludf.DUMMYFUNCTION("""COMPUTED_VALUE"""),45737.663434918984)</f>
        <v>45737.66343</v>
      </c>
      <c r="C181" s="17">
        <f>IFERROR(__xludf.DUMMYFUNCTION("""COMPUTED_VALUE"""),45742.86758071759)</f>
        <v>45742.86758</v>
      </c>
      <c r="D181" s="15" t="str">
        <f>IFERROR(__xludf.DUMMYFUNCTION("""COMPUTED_VALUE"""),"Kapasitor FCU view Gallery")</f>
        <v>Kapasitor FCU view Gallery</v>
      </c>
      <c r="E181" s="15" t="str">
        <f>IFERROR(__xludf.DUMMYFUNCTION("""COMPUTED_VALUE"""),"EJO/2025/030153")</f>
        <v>EJO/2025/030153</v>
      </c>
      <c r="F181" s="15" t="str">
        <f>IFERROR(__xludf.DUMMYFUNCTION("""COMPUTED_VALUE"""),"Kapasitor  FCU View Gallery 40+2uF")</f>
        <v>Kapasitor  FCU View Gallery 40+2uF</v>
      </c>
      <c r="G181" s="15">
        <f>IFERROR(__xludf.DUMMYFUNCTION("""COMPUTED_VALUE"""),4.0)</f>
        <v>4</v>
      </c>
      <c r="H181" s="15" t="str">
        <f>IFERROR(__xludf.DUMMYFUNCTION("""COMPUTED_VALUE"""),"Pcs")</f>
        <v>Pcs</v>
      </c>
      <c r="I181" s="15" t="str">
        <f>IFERROR(__xludf.DUMMYFUNCTION("""COMPUTED_VALUE"""),"Deliver")</f>
        <v>Deliver</v>
      </c>
      <c r="J181" s="15" t="str">
        <f>IFERROR(__xludf.DUMMYFUNCTION("""COMPUTED_VALUE"""),"-")</f>
        <v>-</v>
      </c>
      <c r="K181" s="15" t="str">
        <f>IFERROR(__xludf.DUMMYFUNCTION("""COMPUTED_VALUE"""),"-")</f>
        <v>-</v>
      </c>
      <c r="L181" s="15" t="str">
        <f>IFERROR(__xludf.DUMMYFUNCTION("""COMPUTED_VALUE"""),"Normal")</f>
        <v>Normal</v>
      </c>
      <c r="M181" s="18" t="s">
        <v>52</v>
      </c>
      <c r="N181" s="18" t="s">
        <v>28</v>
      </c>
    </row>
    <row r="182" hidden="1">
      <c r="A182" s="15" t="str">
        <f>IFERROR(__xludf.DUMMYFUNCTION("""COMPUTED_VALUE"""),"RIABR0027")</f>
        <v>RIABR0027</v>
      </c>
      <c r="B182" s="16">
        <f>IFERROR(__xludf.DUMMYFUNCTION("""COMPUTED_VALUE"""),45745.66352459491)</f>
        <v>45745.66352</v>
      </c>
      <c r="C182" s="17">
        <f>IFERROR(__xludf.DUMMYFUNCTION("""COMPUTED_VALUE"""),45755.369693437504)</f>
        <v>45755.36969</v>
      </c>
      <c r="D182" s="15" t="str">
        <f>IFERROR(__xludf.DUMMYFUNCTION("""COMPUTED_VALUE"""),"CC API")</f>
        <v>CC API</v>
      </c>
      <c r="E182" s="15" t="str">
        <f>IFERROR(__xludf.DUMMYFUNCTION("""COMPUTED_VALUE"""),"-")</f>
        <v>-</v>
      </c>
      <c r="F182" s="15" t="str">
        <f>IFERROR(__xludf.DUMMYFUNCTION("""COMPUTED_VALUE"""),"Relay")</f>
        <v>Relay</v>
      </c>
      <c r="G182" s="15">
        <f>IFERROR(__xludf.DUMMYFUNCTION("""COMPUTED_VALUE"""),1.0)</f>
        <v>1</v>
      </c>
      <c r="H182" s="15" t="str">
        <f>IFERROR(__xludf.DUMMYFUNCTION("""COMPUTED_VALUE"""),"Set")</f>
        <v>Set</v>
      </c>
      <c r="I182" s="15" t="str">
        <f>IFERROR(__xludf.DUMMYFUNCTION("""COMPUTED_VALUE"""),"Deliver")</f>
        <v>Deliver</v>
      </c>
      <c r="J182" s="15" t="str">
        <f>IFERROR(__xludf.DUMMYFUNCTION("""COMPUTED_VALUE"""),"-")</f>
        <v>-</v>
      </c>
      <c r="K182" s="15" t="str">
        <f>IFERROR(__xludf.DUMMYFUNCTION("""COMPUTED_VALUE"""),"-")</f>
        <v>-</v>
      </c>
      <c r="L182" s="15" t="str">
        <f>IFERROR(__xludf.DUMMYFUNCTION("""COMPUTED_VALUE"""),"Normal")</f>
        <v>Normal</v>
      </c>
      <c r="M182" s="18" t="s">
        <v>32</v>
      </c>
      <c r="N182" s="18" t="s">
        <v>28</v>
      </c>
    </row>
    <row r="183" hidden="1">
      <c r="A183" s="15" t="str">
        <f>IFERROR(__xludf.DUMMYFUNCTION("""COMPUTED_VALUE"""),"MFHRO0001")</f>
        <v>MFHRO0001</v>
      </c>
      <c r="B183" s="16">
        <f>IFERROR(__xludf.DUMMYFUNCTION("""COMPUTED_VALUE"""),45755.25170274305)</f>
        <v>45755.2517</v>
      </c>
      <c r="C183" s="17">
        <f>IFERROR(__xludf.DUMMYFUNCTION("""COMPUTED_VALUE"""),45756.23811707176)</f>
        <v>45756.23812</v>
      </c>
      <c r="D183" s="15" t="str">
        <f>IFERROR(__xludf.DUMMYFUNCTION("""COMPUTED_VALUE"""),"General")</f>
        <v>General</v>
      </c>
      <c r="E183" s="15" t="str">
        <f>IFERROR(__xludf.DUMMYFUNCTION("""COMPUTED_VALUE"""),"-")</f>
        <v>-</v>
      </c>
      <c r="F183" s="15" t="str">
        <f>IFERROR(__xludf.DUMMYFUNCTION("""COMPUTED_VALUE"""),"Silicone Sealant;Silglaze;Type N10 White;pack size per pcs")</f>
        <v>Silicone Sealant;Silglaze;Type N10 White;pack size per pcs</v>
      </c>
      <c r="G183" s="15">
        <f>IFERROR(__xludf.DUMMYFUNCTION("""COMPUTED_VALUE"""),30.0)</f>
        <v>30</v>
      </c>
      <c r="H183" s="15" t="str">
        <f>IFERROR(__xludf.DUMMYFUNCTION("""COMPUTED_VALUE"""),"Pc")</f>
        <v>Pc</v>
      </c>
      <c r="I183" s="15" t="str">
        <f>IFERROR(__xludf.DUMMYFUNCTION("""COMPUTED_VALUE"""),"Deliver")</f>
        <v>Deliver</v>
      </c>
      <c r="J183" s="15" t="str">
        <f>IFERROR(__xludf.DUMMYFUNCTION("""COMPUTED_VALUE"""),"-")</f>
        <v>-</v>
      </c>
      <c r="K183" s="15" t="str">
        <f>IFERROR(__xludf.DUMMYFUNCTION("""COMPUTED_VALUE"""),"-")</f>
        <v>-</v>
      </c>
      <c r="L183" s="15" t="str">
        <f>IFERROR(__xludf.DUMMYFUNCTION("""COMPUTED_VALUE"""),"Normal")</f>
        <v>Normal</v>
      </c>
      <c r="M183" s="18" t="s">
        <v>53</v>
      </c>
      <c r="N183" s="18" t="s">
        <v>54</v>
      </c>
    </row>
    <row r="184" hidden="1">
      <c r="A184" s="15" t="str">
        <f>IFERROR(__xludf.DUMMYFUNCTION("""COMPUTED_VALUE"""),"MFHRO0002")</f>
        <v>MFHRO0002</v>
      </c>
      <c r="B184" s="16">
        <f>IFERROR(__xludf.DUMMYFUNCTION("""COMPUTED_VALUE"""),45755.25272611112)</f>
        <v>45755.25273</v>
      </c>
      <c r="C184" s="17">
        <f>IFERROR(__xludf.DUMMYFUNCTION("""COMPUTED_VALUE"""),45756.238212662036)</f>
        <v>45756.23821</v>
      </c>
      <c r="D184" s="15" t="str">
        <f>IFERROR(__xludf.DUMMYFUNCTION("""COMPUTED_VALUE"""),"General")</f>
        <v>General</v>
      </c>
      <c r="E184" s="15" t="str">
        <f>IFERROR(__xludf.DUMMYFUNCTION("""COMPUTED_VALUE"""),"-")</f>
        <v>-</v>
      </c>
      <c r="F184" s="15" t="str">
        <f>IFERROR(__xludf.DUMMYFUNCTION("""COMPUTED_VALUE"""),"STEKER 1 PHASE, BROCO")</f>
        <v>STEKER 1 PHASE, BROCO</v>
      </c>
      <c r="G184" s="15">
        <f>IFERROR(__xludf.DUMMYFUNCTION("""COMPUTED_VALUE"""),50.0)</f>
        <v>50</v>
      </c>
      <c r="H184" s="15" t="str">
        <f>IFERROR(__xludf.DUMMYFUNCTION("""COMPUTED_VALUE"""),"Pc")</f>
        <v>Pc</v>
      </c>
      <c r="I184" s="15" t="str">
        <f>IFERROR(__xludf.DUMMYFUNCTION("""COMPUTED_VALUE"""),"Deliver")</f>
        <v>Deliver</v>
      </c>
      <c r="J184" s="15" t="str">
        <f>IFERROR(__xludf.DUMMYFUNCTION("""COMPUTED_VALUE"""),"-")</f>
        <v>-</v>
      </c>
      <c r="K184" s="15" t="str">
        <f>IFERROR(__xludf.DUMMYFUNCTION("""COMPUTED_VALUE"""),"-")</f>
        <v>-</v>
      </c>
      <c r="L184" s="15" t="str">
        <f>IFERROR(__xludf.DUMMYFUNCTION("""COMPUTED_VALUE"""),"Normal")</f>
        <v>Normal</v>
      </c>
      <c r="M184" s="18" t="s">
        <v>53</v>
      </c>
      <c r="N184" s="18" t="s">
        <v>54</v>
      </c>
    </row>
    <row r="185" hidden="1">
      <c r="A185" s="15" t="str">
        <f>IFERROR(__xludf.DUMMYFUNCTION("""COMPUTED_VALUE"""),"MFHRO0003")</f>
        <v>MFHRO0003</v>
      </c>
      <c r="B185" s="16">
        <f>IFERROR(__xludf.DUMMYFUNCTION("""COMPUTED_VALUE"""),45755.253356273155)</f>
        <v>45755.25336</v>
      </c>
      <c r="C185" s="17">
        <f>IFERROR(__xludf.DUMMYFUNCTION("""COMPUTED_VALUE"""),45756.23835168982)</f>
        <v>45756.23835</v>
      </c>
      <c r="D185" s="15" t="str">
        <f>IFERROR(__xludf.DUMMYFUNCTION("""COMPUTED_VALUE"""),"General")</f>
        <v>General</v>
      </c>
      <c r="E185" s="15" t="str">
        <f>IFERROR(__xludf.DUMMYFUNCTION("""COMPUTED_VALUE"""),"-")</f>
        <v>-</v>
      </c>
      <c r="F185" s="15" t="str">
        <f>IFERROR(__xludf.DUMMYFUNCTION("""COMPUTED_VALUE"""),"Thinner Super End/Impala @ 1 Liter")</f>
        <v>Thinner Super End/Impala @ 1 Liter</v>
      </c>
      <c r="G185" s="15">
        <f>IFERROR(__xludf.DUMMYFUNCTION("""COMPUTED_VALUE"""),10.0)</f>
        <v>10</v>
      </c>
      <c r="H185" s="15" t="str">
        <f>IFERROR(__xludf.DUMMYFUNCTION("""COMPUTED_VALUE"""),"Pc")</f>
        <v>Pc</v>
      </c>
      <c r="I185" s="15" t="str">
        <f>IFERROR(__xludf.DUMMYFUNCTION("""COMPUTED_VALUE"""),"Deliver")</f>
        <v>Deliver</v>
      </c>
      <c r="J185" s="15" t="str">
        <f>IFERROR(__xludf.DUMMYFUNCTION("""COMPUTED_VALUE"""),"-")</f>
        <v>-</v>
      </c>
      <c r="K185" s="15" t="str">
        <f>IFERROR(__xludf.DUMMYFUNCTION("""COMPUTED_VALUE"""),"-")</f>
        <v>-</v>
      </c>
      <c r="L185" s="15" t="str">
        <f>IFERROR(__xludf.DUMMYFUNCTION("""COMPUTED_VALUE"""),"Normal")</f>
        <v>Normal</v>
      </c>
      <c r="M185" s="18" t="s">
        <v>53</v>
      </c>
      <c r="N185" s="18" t="s">
        <v>54</v>
      </c>
    </row>
    <row r="186" hidden="1">
      <c r="A186" s="15" t="str">
        <f>IFERROR(__xludf.DUMMYFUNCTION("""COMPUTED_VALUE"""),"MFHRO0004")</f>
        <v>MFHRO0004</v>
      </c>
      <c r="B186" s="16">
        <f>IFERROR(__xludf.DUMMYFUNCTION("""COMPUTED_VALUE"""),45755.25370533565)</f>
        <v>45755.25371</v>
      </c>
      <c r="C186" s="17">
        <f>IFERROR(__xludf.DUMMYFUNCTION("""COMPUTED_VALUE"""),45756.238474791666)</f>
        <v>45756.23847</v>
      </c>
      <c r="D186" s="15" t="str">
        <f>IFERROR(__xludf.DUMMYFUNCTION("""COMPUTED_VALUE"""),"General")</f>
        <v>General</v>
      </c>
      <c r="E186" s="15" t="str">
        <f>IFERROR(__xludf.DUMMYFUNCTION("""COMPUTED_VALUE"""),"-")</f>
        <v>-</v>
      </c>
      <c r="F186" s="15" t="str">
        <f>IFERROR(__xludf.DUMMYFUNCTION("""COMPUTED_VALUE"""),"Silicone Sealant, Silglaze, Type N10 Clear, pack size per pcs")</f>
        <v>Silicone Sealant, Silglaze, Type N10 Clear, pack size per pcs</v>
      </c>
      <c r="G186" s="15">
        <f>IFERROR(__xludf.DUMMYFUNCTION("""COMPUTED_VALUE"""),40.0)</f>
        <v>40</v>
      </c>
      <c r="H186" s="15" t="str">
        <f>IFERROR(__xludf.DUMMYFUNCTION("""COMPUTED_VALUE"""),"Pc")</f>
        <v>Pc</v>
      </c>
      <c r="I186" s="15" t="str">
        <f>IFERROR(__xludf.DUMMYFUNCTION("""COMPUTED_VALUE"""),"Deliver")</f>
        <v>Deliver</v>
      </c>
      <c r="J186" s="15" t="str">
        <f>IFERROR(__xludf.DUMMYFUNCTION("""COMPUTED_VALUE"""),"-")</f>
        <v>-</v>
      </c>
      <c r="K186" s="15" t="str">
        <f>IFERROR(__xludf.DUMMYFUNCTION("""COMPUTED_VALUE"""),"-")</f>
        <v>-</v>
      </c>
      <c r="L186" s="15" t="str">
        <f>IFERROR(__xludf.DUMMYFUNCTION("""COMPUTED_VALUE"""),"Normal")</f>
        <v>Normal</v>
      </c>
      <c r="M186" s="18" t="s">
        <v>53</v>
      </c>
      <c r="N186" s="18" t="s">
        <v>54</v>
      </c>
    </row>
    <row r="187" hidden="1">
      <c r="A187" s="15" t="str">
        <f>IFERROR(__xludf.DUMMYFUNCTION("""COMPUTED_VALUE"""),"MFHRO0005")</f>
        <v>MFHRO0005</v>
      </c>
      <c r="B187" s="16">
        <f>IFERROR(__xludf.DUMMYFUNCTION("""COMPUTED_VALUE"""),45755.254206631944)</f>
        <v>45755.25421</v>
      </c>
      <c r="C187" s="17">
        <f>IFERROR(__xludf.DUMMYFUNCTION("""COMPUTED_VALUE"""),45756.23857725695)</f>
        <v>45756.23858</v>
      </c>
      <c r="D187" s="15" t="str">
        <f>IFERROR(__xludf.DUMMYFUNCTION("""COMPUTED_VALUE"""),"General")</f>
        <v>General</v>
      </c>
      <c r="E187" s="15" t="str">
        <f>IFERROR(__xludf.DUMMYFUNCTION("""COMPUTED_VALUE"""),"-")</f>
        <v>-</v>
      </c>
      <c r="F187" s="15" t="str">
        <f>IFERROR(__xludf.DUMMYFUNCTION("""COMPUTED_VALUE"""),"General - IsoLasi Kabel Hitam 33 (19mm x 20mm x 0.177mm); Scotch; -; 1 Pcs")</f>
        <v>General - IsoLasi Kabel Hitam 33 (19mm x 20mm x 0.177mm); Scotch; -; 1 Pcs</v>
      </c>
      <c r="G187" s="15">
        <f>IFERROR(__xludf.DUMMYFUNCTION("""COMPUTED_VALUE"""),10.0)</f>
        <v>10</v>
      </c>
      <c r="H187" s="15" t="str">
        <f>IFERROR(__xludf.DUMMYFUNCTION("""COMPUTED_VALUE"""),"Pc")</f>
        <v>Pc</v>
      </c>
      <c r="I187" s="15" t="str">
        <f>IFERROR(__xludf.DUMMYFUNCTION("""COMPUTED_VALUE"""),"Deliver")</f>
        <v>Deliver</v>
      </c>
      <c r="J187" s="15" t="str">
        <f>IFERROR(__xludf.DUMMYFUNCTION("""COMPUTED_VALUE"""),"-")</f>
        <v>-</v>
      </c>
      <c r="K187" s="15" t="str">
        <f>IFERROR(__xludf.DUMMYFUNCTION("""COMPUTED_VALUE"""),"-")</f>
        <v>-</v>
      </c>
      <c r="L187" s="15" t="str">
        <f>IFERROR(__xludf.DUMMYFUNCTION("""COMPUTED_VALUE"""),"Normal")</f>
        <v>Normal</v>
      </c>
      <c r="M187" s="18" t="s">
        <v>53</v>
      </c>
      <c r="N187" s="18" t="s">
        <v>54</v>
      </c>
    </row>
    <row r="188" hidden="1">
      <c r="A188" s="15" t="str">
        <f>IFERROR(__xludf.DUMMYFUNCTION("""COMPUTED_VALUE"""),"MFHRO0006")</f>
        <v>MFHRO0006</v>
      </c>
      <c r="B188" s="16">
        <f>IFERROR(__xludf.DUMMYFUNCTION("""COMPUTED_VALUE"""),45755.254629745374)</f>
        <v>45755.25463</v>
      </c>
      <c r="C188" s="17">
        <f>IFERROR(__xludf.DUMMYFUNCTION("""COMPUTED_VALUE"""),45756.23868001157)</f>
        <v>45756.23868</v>
      </c>
      <c r="D188" s="15" t="str">
        <f>IFERROR(__xludf.DUMMYFUNCTION("""COMPUTED_VALUE"""),"General")</f>
        <v>General</v>
      </c>
      <c r="E188" s="15" t="str">
        <f>IFERROR(__xludf.DUMMYFUNCTION("""COMPUTED_VALUE"""),"-")</f>
        <v>-</v>
      </c>
      <c r="F188" s="15" t="str">
        <f>IFERROR(__xludf.DUMMYFUNCTION("""COMPUTED_VALUE"""),"Cable Ties, 200 x 4.8 mm; SIGMA; CS 200L; Putih;100 pcs/pack")</f>
        <v>Cable Ties, 200 x 4.8 mm; SIGMA; CS 200L; Putih;100 pcs/pack</v>
      </c>
      <c r="G188" s="15">
        <f>IFERROR(__xludf.DUMMYFUNCTION("""COMPUTED_VALUE"""),10.0)</f>
        <v>10</v>
      </c>
      <c r="H188" s="15" t="str">
        <f>IFERROR(__xludf.DUMMYFUNCTION("""COMPUTED_VALUE"""),"pc")</f>
        <v>pc</v>
      </c>
      <c r="I188" s="15" t="str">
        <f>IFERROR(__xludf.DUMMYFUNCTION("""COMPUTED_VALUE"""),"Deliver")</f>
        <v>Deliver</v>
      </c>
      <c r="J188" s="15" t="str">
        <f>IFERROR(__xludf.DUMMYFUNCTION("""COMPUTED_VALUE"""),"-")</f>
        <v>-</v>
      </c>
      <c r="K188" s="15" t="str">
        <f>IFERROR(__xludf.DUMMYFUNCTION("""COMPUTED_VALUE"""),"-")</f>
        <v>-</v>
      </c>
      <c r="L188" s="15" t="str">
        <f>IFERROR(__xludf.DUMMYFUNCTION("""COMPUTED_VALUE"""),"Normal")</f>
        <v>Normal</v>
      </c>
      <c r="M188" s="18" t="s">
        <v>53</v>
      </c>
      <c r="N188" s="18" t="s">
        <v>54</v>
      </c>
    </row>
    <row r="189" hidden="1">
      <c r="A189" s="15" t="str">
        <f>IFERROR(__xludf.DUMMYFUNCTION("""COMPUTED_VALUE"""),"MFHRO0007")</f>
        <v>MFHRO0007</v>
      </c>
      <c r="B189" s="16">
        <f>IFERROR(__xludf.DUMMYFUNCTION("""COMPUTED_VALUE"""),45755.25746793982)</f>
        <v>45755.25747</v>
      </c>
      <c r="C189" s="17">
        <f>IFERROR(__xludf.DUMMYFUNCTION("""COMPUTED_VALUE"""),45756.23877582175)</f>
        <v>45756.23878</v>
      </c>
      <c r="D189" s="15" t="str">
        <f>IFERROR(__xludf.DUMMYFUNCTION("""COMPUTED_VALUE"""),"General")</f>
        <v>General</v>
      </c>
      <c r="E189" s="15" t="str">
        <f>IFERROR(__xludf.DUMMYFUNCTION("""COMPUTED_VALUE"""),"-")</f>
        <v>-</v>
      </c>
      <c r="F189" s="15" t="str">
        <f>IFERROR(__xludf.DUMMYFUNCTION("""COMPUTED_VALUE"""),"Robot Casepacker - Suction cup; VB17. single below; diameter Cup 17 mm; Vmeca; -; 1 Pc")</f>
        <v>Robot Casepacker - Suction cup; VB17. single below; diameter Cup 17 mm; Vmeca; -; 1 Pc</v>
      </c>
      <c r="G189" s="15">
        <f>IFERROR(__xludf.DUMMYFUNCTION("""COMPUTED_VALUE"""),20.0)</f>
        <v>20</v>
      </c>
      <c r="H189" s="15" t="str">
        <f>IFERROR(__xludf.DUMMYFUNCTION("""COMPUTED_VALUE"""),"pc")</f>
        <v>pc</v>
      </c>
      <c r="I189" s="15" t="str">
        <f>IFERROR(__xludf.DUMMYFUNCTION("""COMPUTED_VALUE"""),"Deliver")</f>
        <v>Deliver</v>
      </c>
      <c r="J189" s="15" t="str">
        <f>IFERROR(__xludf.DUMMYFUNCTION("""COMPUTED_VALUE"""),"-")</f>
        <v>-</v>
      </c>
      <c r="K189" s="15" t="str">
        <f>IFERROR(__xludf.DUMMYFUNCTION("""COMPUTED_VALUE"""),"-")</f>
        <v>-</v>
      </c>
      <c r="L189" s="15" t="str">
        <f>IFERROR(__xludf.DUMMYFUNCTION("""COMPUTED_VALUE"""),"Normal")</f>
        <v>Normal</v>
      </c>
      <c r="M189" s="18" t="s">
        <v>53</v>
      </c>
      <c r="N189" s="18" t="s">
        <v>54</v>
      </c>
    </row>
    <row r="190" hidden="1">
      <c r="A190" s="15" t="str">
        <f>IFERROR(__xludf.DUMMYFUNCTION("""COMPUTED_VALUE"""),"MFHRO0008")</f>
        <v>MFHRO0008</v>
      </c>
      <c r="B190" s="16">
        <f>IFERROR(__xludf.DUMMYFUNCTION("""COMPUTED_VALUE"""),45755.25936387731)</f>
        <v>45755.25936</v>
      </c>
      <c r="C190" s="17">
        <f>IFERROR(__xludf.DUMMYFUNCTION("""COMPUTED_VALUE"""),45756.23889209491)</f>
        <v>45756.23889</v>
      </c>
      <c r="D190" s="15" t="str">
        <f>IFERROR(__xludf.DUMMYFUNCTION("""COMPUTED_VALUE"""),"General")</f>
        <v>General</v>
      </c>
      <c r="E190" s="15" t="str">
        <f>IFERROR(__xludf.DUMMYFUNCTION("""COMPUTED_VALUE"""),"-")</f>
        <v>-</v>
      </c>
      <c r="F190" s="15" t="str">
        <f>IFERROR(__xludf.DUMMYFUNCTION("""COMPUTED_VALUE"""),"Majun AA, No Brand, Budhi Supplies, pack size per kg")</f>
        <v>Majun AA, No Brand, Budhi Supplies, pack size per kg</v>
      </c>
      <c r="G190" s="15">
        <f>IFERROR(__xludf.DUMMYFUNCTION("""COMPUTED_VALUE"""),80.0)</f>
        <v>80</v>
      </c>
      <c r="H190" s="15" t="str">
        <f>IFERROR(__xludf.DUMMYFUNCTION("""COMPUTED_VALUE"""),"Kg")</f>
        <v>Kg</v>
      </c>
      <c r="I190" s="15" t="str">
        <f>IFERROR(__xludf.DUMMYFUNCTION("""COMPUTED_VALUE"""),"Deliver")</f>
        <v>Deliver</v>
      </c>
      <c r="J190" s="15" t="str">
        <f>IFERROR(__xludf.DUMMYFUNCTION("""COMPUTED_VALUE"""),"-")</f>
        <v>-</v>
      </c>
      <c r="K190" s="15" t="str">
        <f>IFERROR(__xludf.DUMMYFUNCTION("""COMPUTED_VALUE"""),"-")</f>
        <v>-</v>
      </c>
      <c r="L190" s="15" t="str">
        <f>IFERROR(__xludf.DUMMYFUNCTION("""COMPUTED_VALUE"""),"Normal")</f>
        <v>Normal</v>
      </c>
      <c r="M190" s="18" t="s">
        <v>53</v>
      </c>
      <c r="N190" s="18" t="s">
        <v>54</v>
      </c>
    </row>
    <row r="191" hidden="1">
      <c r="A191" s="15" t="str">
        <f>IFERROR(__xludf.DUMMYFUNCTION("""COMPUTED_VALUE"""),"MFHRO0009")</f>
        <v>MFHRO0009</v>
      </c>
      <c r="B191" s="16">
        <f>IFERROR(__xludf.DUMMYFUNCTION("""COMPUTED_VALUE"""),45755.26163431713)</f>
        <v>45755.26163</v>
      </c>
      <c r="C191" s="17">
        <f>IFERROR(__xludf.DUMMYFUNCTION("""COMPUTED_VALUE"""),45756.23906778935)</f>
        <v>45756.23907</v>
      </c>
      <c r="D191" s="15" t="str">
        <f>IFERROR(__xludf.DUMMYFUNCTION("""COMPUTED_VALUE"""),"General")</f>
        <v>General</v>
      </c>
      <c r="E191" s="15" t="str">
        <f>IFERROR(__xludf.DUMMYFUNCTION("""COMPUTED_VALUE"""),"-")</f>
        <v>-</v>
      </c>
      <c r="F191" s="15" t="str">
        <f>IFERROR(__xludf.DUMMYFUNCTION("""COMPUTED_VALUE"""),"General - Pre Filter G4 2m x 20m x 2mm; No Brand; -; 1 Pc")</f>
        <v>General - Pre Filter G4 2m x 20m x 2mm; No Brand; -; 1 Pc</v>
      </c>
      <c r="G191" s="15">
        <f>IFERROR(__xludf.DUMMYFUNCTION("""COMPUTED_VALUE"""),1.0)</f>
        <v>1</v>
      </c>
      <c r="H191" s="15" t="str">
        <f>IFERROR(__xludf.DUMMYFUNCTION("""COMPUTED_VALUE"""),"Pc")</f>
        <v>Pc</v>
      </c>
      <c r="I191" s="15" t="str">
        <f>IFERROR(__xludf.DUMMYFUNCTION("""COMPUTED_VALUE"""),"Deliver")</f>
        <v>Deliver</v>
      </c>
      <c r="J191" s="15" t="str">
        <f>IFERROR(__xludf.DUMMYFUNCTION("""COMPUTED_VALUE"""),"-")</f>
        <v>-</v>
      </c>
      <c r="K191" s="15" t="str">
        <f>IFERROR(__xludf.DUMMYFUNCTION("""COMPUTED_VALUE"""),"-")</f>
        <v>-</v>
      </c>
      <c r="L191" s="15" t="str">
        <f>IFERROR(__xludf.DUMMYFUNCTION("""COMPUTED_VALUE"""),"Normal")</f>
        <v>Normal</v>
      </c>
      <c r="M191" s="18" t="s">
        <v>53</v>
      </c>
      <c r="N191" s="18" t="s">
        <v>54</v>
      </c>
    </row>
    <row r="192" hidden="1">
      <c r="A192" s="15" t="str">
        <f>IFERROR(__xludf.DUMMYFUNCTION("""COMPUTED_VALUE"""),"MFHRO0010")</f>
        <v>MFHRO0010</v>
      </c>
      <c r="B192" s="16">
        <f>IFERROR(__xludf.DUMMYFUNCTION("""COMPUTED_VALUE"""),45755.262467581015)</f>
        <v>45755.26247</v>
      </c>
      <c r="C192" s="17">
        <f>IFERROR(__xludf.DUMMYFUNCTION("""COMPUTED_VALUE"""),45756.23918106481)</f>
        <v>45756.23918</v>
      </c>
      <c r="D192" s="15" t="str">
        <f>IFERROR(__xludf.DUMMYFUNCTION("""COMPUTED_VALUE"""),"General")</f>
        <v>General</v>
      </c>
      <c r="E192" s="15" t="str">
        <f>IFERROR(__xludf.DUMMYFUNCTION("""COMPUTED_VALUE"""),"-")</f>
        <v>-</v>
      </c>
      <c r="F192" s="15" t="str">
        <f>IFERROR(__xludf.DUMMYFUNCTION("""COMPUTED_VALUE"""),"Gas Argon (Ar); 6 M3; Refill; High Purity (HP); Purity ? 99.995%")</f>
        <v>Gas Argon (Ar); 6 M3; Refill; High Purity (HP); Purity ? 99.995%</v>
      </c>
      <c r="G192" s="15">
        <f>IFERROR(__xludf.DUMMYFUNCTION("""COMPUTED_VALUE"""),1.0)</f>
        <v>1</v>
      </c>
      <c r="H192" s="15" t="str">
        <f>IFERROR(__xludf.DUMMYFUNCTION("""COMPUTED_VALUE"""),"Tube")</f>
        <v>Tube</v>
      </c>
      <c r="I192" s="15" t="str">
        <f>IFERROR(__xludf.DUMMYFUNCTION("""COMPUTED_VALUE"""),"Deliver")</f>
        <v>Deliver</v>
      </c>
      <c r="J192" s="15" t="str">
        <f>IFERROR(__xludf.DUMMYFUNCTION("""COMPUTED_VALUE"""),"-")</f>
        <v>-</v>
      </c>
      <c r="K192" s="15" t="str">
        <f>IFERROR(__xludf.DUMMYFUNCTION("""COMPUTED_VALUE"""),"-")</f>
        <v>-</v>
      </c>
      <c r="L192" s="15" t="str">
        <f>IFERROR(__xludf.DUMMYFUNCTION("""COMPUTED_VALUE"""),"Normal")</f>
        <v>Normal</v>
      </c>
      <c r="M192" s="18" t="s">
        <v>53</v>
      </c>
      <c r="N192" s="18" t="s">
        <v>54</v>
      </c>
    </row>
    <row r="193" hidden="1">
      <c r="A193" s="15" t="str">
        <f>IFERROR(__xludf.DUMMYFUNCTION("""COMPUTED_VALUE"""),"MFHRO0011")</f>
        <v>MFHRO0011</v>
      </c>
      <c r="B193" s="16">
        <f>IFERROR(__xludf.DUMMYFUNCTION("""COMPUTED_VALUE"""),45755.33000243056)</f>
        <v>45755.33</v>
      </c>
      <c r="C193" s="17">
        <f>IFERROR(__xludf.DUMMYFUNCTION("""COMPUTED_VALUE"""),45756.239278078705)</f>
        <v>45756.23928</v>
      </c>
      <c r="D193" s="15" t="str">
        <f>IFERROR(__xludf.DUMMYFUNCTION("""COMPUTED_VALUE"""),"Tunnel")</f>
        <v>Tunnel</v>
      </c>
      <c r="E193" s="15" t="str">
        <f>IFERROR(__xludf.DUMMYFUNCTION("""COMPUTED_VALUE"""),"-")</f>
        <v>-</v>
      </c>
      <c r="F193" s="15" t="str">
        <f>IFERROR(__xludf.DUMMYFUNCTION("""COMPUTED_VALUE"""),"Tunnel ST1L - Silicone Inflatable Gasket AIRMATIC AIR 1055 MVQ Centre length:1312 mm; ; ;")</f>
        <v>Tunnel ST1L - Silicone Inflatable Gasket AIRMATIC AIR 1055 MVQ Centre length:1312 mm; ; ;</v>
      </c>
      <c r="G193" s="15">
        <f>IFERROR(__xludf.DUMMYFUNCTION("""COMPUTED_VALUE"""),2.0)</f>
        <v>2</v>
      </c>
      <c r="H193" s="15" t="str">
        <f>IFERROR(__xludf.DUMMYFUNCTION("""COMPUTED_VALUE"""),"Pc")</f>
        <v>Pc</v>
      </c>
      <c r="I193" s="15" t="str">
        <f>IFERROR(__xludf.DUMMYFUNCTION("""COMPUTED_VALUE"""),"Deliver")</f>
        <v>Deliver</v>
      </c>
      <c r="J193" s="15" t="str">
        <f>IFERROR(__xludf.DUMMYFUNCTION("""COMPUTED_VALUE"""),"-")</f>
        <v>-</v>
      </c>
      <c r="K193" s="15" t="str">
        <f>IFERROR(__xludf.DUMMYFUNCTION("""COMPUTED_VALUE"""),"-")</f>
        <v>-</v>
      </c>
      <c r="L193" s="15" t="str">
        <f>IFERROR(__xludf.DUMMYFUNCTION("""COMPUTED_VALUE"""),"Normal")</f>
        <v>Normal</v>
      </c>
      <c r="M193" s="18" t="s">
        <v>53</v>
      </c>
      <c r="N193" s="18" t="s">
        <v>54</v>
      </c>
    </row>
    <row r="194" hidden="1">
      <c r="A194" s="15" t="str">
        <f>IFERROR(__xludf.DUMMYFUNCTION("""COMPUTED_VALUE"""),"MFHRO0012")</f>
        <v>MFHRO0012</v>
      </c>
      <c r="B194" s="16">
        <f>IFERROR(__xludf.DUMMYFUNCTION("""COMPUTED_VALUE"""),45755.33160991898)</f>
        <v>45755.33161</v>
      </c>
      <c r="C194" s="17">
        <f>IFERROR(__xludf.DUMMYFUNCTION("""COMPUTED_VALUE"""),45756.239419513884)</f>
        <v>45756.23942</v>
      </c>
      <c r="D194" s="15" t="str">
        <f>IFERROR(__xludf.DUMMYFUNCTION("""COMPUTED_VALUE"""),"cRABS")</f>
        <v>cRABS</v>
      </c>
      <c r="E194" s="15" t="str">
        <f>IFERROR(__xludf.DUMMYFUNCTION("""COMPUTED_VALUE"""),"-")</f>
        <v>-</v>
      </c>
      <c r="F194" s="15" t="str">
        <f>IFERROR(__xludf.DUMMYFUNCTION("""COMPUTED_VALUE"""),"cRABS z064CR - Pressure Transmitter 0-500 Pa P-Sensor/PIZ (2 wires); Steriline; 20075; 1 pc")</f>
        <v>cRABS z064CR - Pressure Transmitter 0-500 Pa P-Sensor/PIZ (2 wires); Steriline; 20075; 1 pc</v>
      </c>
      <c r="G194" s="15">
        <f>IFERROR(__xludf.DUMMYFUNCTION("""COMPUTED_VALUE"""),1.0)</f>
        <v>1</v>
      </c>
      <c r="H194" s="15" t="str">
        <f>IFERROR(__xludf.DUMMYFUNCTION("""COMPUTED_VALUE"""),"Pc")</f>
        <v>Pc</v>
      </c>
      <c r="I194" s="15" t="str">
        <f>IFERROR(__xludf.DUMMYFUNCTION("""COMPUTED_VALUE"""),"Deliver")</f>
        <v>Deliver</v>
      </c>
      <c r="J194" s="15" t="str">
        <f>IFERROR(__xludf.DUMMYFUNCTION("""COMPUTED_VALUE"""),"-")</f>
        <v>-</v>
      </c>
      <c r="K194" s="15" t="str">
        <f>IFERROR(__xludf.DUMMYFUNCTION("""COMPUTED_VALUE"""),"-")</f>
        <v>-</v>
      </c>
      <c r="L194" s="15" t="str">
        <f>IFERROR(__xludf.DUMMYFUNCTION("""COMPUTED_VALUE"""),"Normal")</f>
        <v>Normal</v>
      </c>
      <c r="M194" s="18" t="s">
        <v>53</v>
      </c>
      <c r="N194" s="18" t="s">
        <v>54</v>
      </c>
    </row>
    <row r="195" hidden="1">
      <c r="A195" s="15" t="str">
        <f>IFERROR(__xludf.DUMMYFUNCTION("""COMPUTED_VALUE"""),"MFHRO0013")</f>
        <v>MFHRO0013</v>
      </c>
      <c r="B195" s="16">
        <f>IFERROR(__xludf.DUMMYFUNCTION("""COMPUTED_VALUE"""),45755.33226079861)</f>
        <v>45755.33226</v>
      </c>
      <c r="C195" s="17">
        <f>IFERROR(__xludf.DUMMYFUNCTION("""COMPUTED_VALUE"""),45756.23951836806)</f>
        <v>45756.23952</v>
      </c>
      <c r="D195" s="15" t="str">
        <f>IFERROR(__xludf.DUMMYFUNCTION("""COMPUTED_VALUE"""),"Tunnel")</f>
        <v>Tunnel</v>
      </c>
      <c r="E195" s="15" t="str">
        <f>IFERROR(__xludf.DUMMYFUNCTION("""COMPUTED_VALUE"""),"-")</f>
        <v>-</v>
      </c>
      <c r="F195" s="15" t="str">
        <f>IFERROR(__xludf.DUMMYFUNCTION("""COMPUTED_VALUE"""),"Tunnel ST1L - Heating Element 75W-230Vac D 10mm L 120mm Gkass Fiber Cable 400C 2.5m; Steriline; 4462; 1 pc")</f>
        <v>Tunnel ST1L - Heating Element 75W-230Vac D 10mm L 120mm Gkass Fiber Cable 400C 2.5m; Steriline; 4462; 1 pc</v>
      </c>
      <c r="G195" s="15">
        <f>IFERROR(__xludf.DUMMYFUNCTION("""COMPUTED_VALUE"""),1.0)</f>
        <v>1</v>
      </c>
      <c r="H195" s="15" t="str">
        <f>IFERROR(__xludf.DUMMYFUNCTION("""COMPUTED_VALUE"""),"Pc")</f>
        <v>Pc</v>
      </c>
      <c r="I195" s="15" t="str">
        <f>IFERROR(__xludf.DUMMYFUNCTION("""COMPUTED_VALUE"""),"Deliver")</f>
        <v>Deliver</v>
      </c>
      <c r="J195" s="15" t="str">
        <f>IFERROR(__xludf.DUMMYFUNCTION("""COMPUTED_VALUE"""),"-")</f>
        <v>-</v>
      </c>
      <c r="K195" s="15" t="str">
        <f>IFERROR(__xludf.DUMMYFUNCTION("""COMPUTED_VALUE"""),"-")</f>
        <v>-</v>
      </c>
      <c r="L195" s="15" t="str">
        <f>IFERROR(__xludf.DUMMYFUNCTION("""COMPUTED_VALUE"""),"Normal")</f>
        <v>Normal</v>
      </c>
      <c r="M195" s="18" t="s">
        <v>53</v>
      </c>
      <c r="N195" s="18" t="s">
        <v>54</v>
      </c>
    </row>
    <row r="196" hidden="1">
      <c r="A196" s="15" t="str">
        <f>IFERROR(__xludf.DUMMYFUNCTION("""COMPUTED_VALUE"""),"MFHRO0014")</f>
        <v>MFHRO0014</v>
      </c>
      <c r="B196" s="16">
        <f>IFERROR(__xludf.DUMMYFUNCTION("""COMPUTED_VALUE"""),45755.333980474534)</f>
        <v>45755.33398</v>
      </c>
      <c r="C196" s="17">
        <f>IFERROR(__xludf.DUMMYFUNCTION("""COMPUTED_VALUE"""),45756.239624710644)</f>
        <v>45756.23962</v>
      </c>
      <c r="D196" s="15" t="str">
        <f>IFERROR(__xludf.DUMMYFUNCTION("""COMPUTED_VALUE"""),"Tunnel")</f>
        <v>Tunnel</v>
      </c>
      <c r="E196" s="15" t="str">
        <f>IFERROR(__xludf.DUMMYFUNCTION("""COMPUTED_VALUE"""),"-")</f>
        <v>-</v>
      </c>
      <c r="F196" s="15" t="str">
        <f>IFERROR(__xludf.DUMMYFUNCTION("""COMPUTED_VALUE"""),"Tunnel ST1L - Heater for Tight Door 500W-230V Stainless H 60mm L 455mm T 5mm Cable L 2m; Steriline; 6763; 1 pc")</f>
        <v>Tunnel ST1L - Heater for Tight Door 500W-230V Stainless H 60mm L 455mm T 5mm Cable L 2m; Steriline; 6763; 1 pc</v>
      </c>
      <c r="G196" s="15">
        <f>IFERROR(__xludf.DUMMYFUNCTION("""COMPUTED_VALUE"""),1.0)</f>
        <v>1</v>
      </c>
      <c r="H196" s="15" t="str">
        <f>IFERROR(__xludf.DUMMYFUNCTION("""COMPUTED_VALUE"""),"Pc")</f>
        <v>Pc</v>
      </c>
      <c r="I196" s="15" t="str">
        <f>IFERROR(__xludf.DUMMYFUNCTION("""COMPUTED_VALUE"""),"Deliver")</f>
        <v>Deliver</v>
      </c>
      <c r="J196" s="15" t="str">
        <f>IFERROR(__xludf.DUMMYFUNCTION("""COMPUTED_VALUE"""),"-")</f>
        <v>-</v>
      </c>
      <c r="K196" s="15" t="str">
        <f>IFERROR(__xludf.DUMMYFUNCTION("""COMPUTED_VALUE"""),"-")</f>
        <v>-</v>
      </c>
      <c r="L196" s="15" t="str">
        <f>IFERROR(__xludf.DUMMYFUNCTION("""COMPUTED_VALUE"""),"Normal")</f>
        <v>Normal</v>
      </c>
      <c r="M196" s="18" t="s">
        <v>53</v>
      </c>
      <c r="N196" s="18" t="s">
        <v>54</v>
      </c>
    </row>
    <row r="197" hidden="1">
      <c r="A197" s="15" t="str">
        <f>IFERROR(__xludf.DUMMYFUNCTION("""COMPUTED_VALUE"""),"MFHRO0015")</f>
        <v>MFHRO0015</v>
      </c>
      <c r="B197" s="16">
        <f>IFERROR(__xludf.DUMMYFUNCTION("""COMPUTED_VALUE"""),45755.376629907405)</f>
        <v>45755.37663</v>
      </c>
      <c r="C197" s="17">
        <f>IFERROR(__xludf.DUMMYFUNCTION("""COMPUTED_VALUE"""),45756.240397986105)</f>
        <v>45756.2404</v>
      </c>
      <c r="D197" s="15" t="str">
        <f>IFERROR(__xludf.DUMMYFUNCTION("""COMPUTED_VALUE"""),"Tunnel")</f>
        <v>Tunnel</v>
      </c>
      <c r="E197" s="15" t="str">
        <f>IFERROR(__xludf.DUMMYFUNCTION("""COMPUTED_VALUE"""),"-")</f>
        <v>-</v>
      </c>
      <c r="F197" s="15" t="str">
        <f>IFERROR(__xludf.DUMMYFUNCTION("""COMPUTED_VALUE"""),"Tunnel ST1L - Pressure Transmitter 0-250Pa output 4-20 P-Sensor/PIZ (2 Wires); Steriline; 12320; 1 pc")</f>
        <v>Tunnel ST1L - Pressure Transmitter 0-250Pa output 4-20 P-Sensor/PIZ (2 Wires); Steriline; 12320; 1 pc</v>
      </c>
      <c r="G197" s="15">
        <f>IFERROR(__xludf.DUMMYFUNCTION("""COMPUTED_VALUE"""),1.0)</f>
        <v>1</v>
      </c>
      <c r="H197" s="15" t="str">
        <f>IFERROR(__xludf.DUMMYFUNCTION("""COMPUTED_VALUE"""),"Pc")</f>
        <v>Pc</v>
      </c>
      <c r="I197" s="15" t="str">
        <f>IFERROR(__xludf.DUMMYFUNCTION("""COMPUTED_VALUE"""),"Deliver")</f>
        <v>Deliver</v>
      </c>
      <c r="J197" s="15" t="str">
        <f>IFERROR(__xludf.DUMMYFUNCTION("""COMPUTED_VALUE"""),"-")</f>
        <v>-</v>
      </c>
      <c r="K197" s="15" t="str">
        <f>IFERROR(__xludf.DUMMYFUNCTION("""COMPUTED_VALUE"""),"-")</f>
        <v>-</v>
      </c>
      <c r="L197" s="15" t="str">
        <f>IFERROR(__xludf.DUMMYFUNCTION("""COMPUTED_VALUE"""),"Normal")</f>
        <v>Normal</v>
      </c>
      <c r="M197" s="18" t="s">
        <v>53</v>
      </c>
      <c r="N197" s="18" t="s">
        <v>54</v>
      </c>
    </row>
    <row r="198" hidden="1">
      <c r="A198" s="15" t="str">
        <f>IFERROR(__xludf.DUMMYFUNCTION("""COMPUTED_VALUE"""),"MFHRO0016")</f>
        <v>MFHRO0016</v>
      </c>
      <c r="B198" s="16">
        <f>IFERROR(__xludf.DUMMYFUNCTION("""COMPUTED_VALUE"""),45755.378147881944)</f>
        <v>45755.37815</v>
      </c>
      <c r="C198" s="17">
        <f>IFERROR(__xludf.DUMMYFUNCTION("""COMPUTED_VALUE"""),45756.240485381946)</f>
        <v>45756.24049</v>
      </c>
      <c r="D198" s="15" t="str">
        <f>IFERROR(__xludf.DUMMYFUNCTION("""COMPUTED_VALUE"""),"Tunnel")</f>
        <v>Tunnel</v>
      </c>
      <c r="E198" s="15" t="str">
        <f>IFERROR(__xludf.DUMMYFUNCTION("""COMPUTED_VALUE"""),"-")</f>
        <v>-</v>
      </c>
      <c r="F198" s="15" t="str">
        <f>IFERROR(__xludf.DUMMYFUNCTION("""COMPUTED_VALUE"""),"Tunnel ST1L - Pressure Transmitter 0-100Pa output 4-20 P-Sensor-PIZ (2 Wires); Steriline; 1667; 1 pc")</f>
        <v>Tunnel ST1L - Pressure Transmitter 0-100Pa output 4-20 P-Sensor-PIZ (2 Wires); Steriline; 1667; 1 pc</v>
      </c>
      <c r="G198" s="15">
        <f>IFERROR(__xludf.DUMMYFUNCTION("""COMPUTED_VALUE"""),1.0)</f>
        <v>1</v>
      </c>
      <c r="H198" s="15" t="str">
        <f>IFERROR(__xludf.DUMMYFUNCTION("""COMPUTED_VALUE"""),"Pc")</f>
        <v>Pc</v>
      </c>
      <c r="I198" s="15" t="str">
        <f>IFERROR(__xludf.DUMMYFUNCTION("""COMPUTED_VALUE"""),"Deliver")</f>
        <v>Deliver</v>
      </c>
      <c r="J198" s="15" t="str">
        <f>IFERROR(__xludf.DUMMYFUNCTION("""COMPUTED_VALUE"""),"-")</f>
        <v>-</v>
      </c>
      <c r="K198" s="15" t="str">
        <f>IFERROR(__xludf.DUMMYFUNCTION("""COMPUTED_VALUE"""),"-")</f>
        <v>-</v>
      </c>
      <c r="L198" s="15" t="str">
        <f>IFERROR(__xludf.DUMMYFUNCTION("""COMPUTED_VALUE"""),"Normal")</f>
        <v>Normal</v>
      </c>
      <c r="M198" s="18" t="s">
        <v>53</v>
      </c>
      <c r="N198" s="18" t="s">
        <v>54</v>
      </c>
    </row>
    <row r="199" hidden="1">
      <c r="A199" s="15" t="str">
        <f>IFERROR(__xludf.DUMMYFUNCTION("""COMPUTED_VALUE"""),"MFHRO0017")</f>
        <v>MFHRO0017</v>
      </c>
      <c r="B199" s="16">
        <f>IFERROR(__xludf.DUMMYFUNCTION("""COMPUTED_VALUE"""),45755.3786365162)</f>
        <v>45755.37864</v>
      </c>
      <c r="C199" s="17">
        <f>IFERROR(__xludf.DUMMYFUNCTION("""COMPUTED_VALUE"""),45756.24069547454)</f>
        <v>45756.2407</v>
      </c>
      <c r="D199" s="15" t="str">
        <f>IFERROR(__xludf.DUMMYFUNCTION("""COMPUTED_VALUE"""),"Tunnel")</f>
        <v>Tunnel</v>
      </c>
      <c r="E199" s="15" t="str">
        <f>IFERROR(__xludf.DUMMYFUNCTION("""COMPUTED_VALUE"""),"-")</f>
        <v>-</v>
      </c>
      <c r="F199" s="15" t="str">
        <f>IFERROR(__xludf.DUMMYFUNCTION("""COMPUTED_VALUE"""),"Tunnel ST1L - Gear Motor N100/SO-UFR1 24VAC 50Hz Torque 4Nm Speed 2 U (R1:250; Steriline; 19474; 1 pc")</f>
        <v>Tunnel ST1L - Gear Motor N100/SO-UFR1 24VAC 50Hz Torque 4Nm Speed 2 U (R1:250; Steriline; 19474; 1 pc</v>
      </c>
      <c r="G199" s="15">
        <f>IFERROR(__xludf.DUMMYFUNCTION("""COMPUTED_VALUE"""),2.0)</f>
        <v>2</v>
      </c>
      <c r="H199" s="15" t="str">
        <f>IFERROR(__xludf.DUMMYFUNCTION("""COMPUTED_VALUE"""),"Pc")</f>
        <v>Pc</v>
      </c>
      <c r="I199" s="15" t="str">
        <f>IFERROR(__xludf.DUMMYFUNCTION("""COMPUTED_VALUE"""),"Deliver")</f>
        <v>Deliver</v>
      </c>
      <c r="J199" s="15" t="str">
        <f>IFERROR(__xludf.DUMMYFUNCTION("""COMPUTED_VALUE"""),"-")</f>
        <v>-</v>
      </c>
      <c r="K199" s="15" t="str">
        <f>IFERROR(__xludf.DUMMYFUNCTION("""COMPUTED_VALUE"""),"-")</f>
        <v>-</v>
      </c>
      <c r="L199" s="15" t="str">
        <f>IFERROR(__xludf.DUMMYFUNCTION("""COMPUTED_VALUE"""),"Normal")</f>
        <v>Normal</v>
      </c>
      <c r="M199" s="18" t="s">
        <v>53</v>
      </c>
      <c r="N199" s="18" t="s">
        <v>54</v>
      </c>
    </row>
    <row r="200" hidden="1">
      <c r="A200" s="15" t="str">
        <f>IFERROR(__xludf.DUMMYFUNCTION("""COMPUTED_VALUE"""),"MFHRO0018")</f>
        <v>MFHRO0018</v>
      </c>
      <c r="B200" s="16">
        <f>IFERROR(__xludf.DUMMYFUNCTION("""COMPUTED_VALUE"""),45755.38176986111)</f>
        <v>45755.38177</v>
      </c>
      <c r="C200" s="17">
        <f>IFERROR(__xludf.DUMMYFUNCTION("""COMPUTED_VALUE"""),45756.240824120374)</f>
        <v>45756.24082</v>
      </c>
      <c r="D200" s="15" t="str">
        <f>IFERROR(__xludf.DUMMYFUNCTION("""COMPUTED_VALUE"""),"Tunnel")</f>
        <v>Tunnel</v>
      </c>
      <c r="E200" s="15" t="str">
        <f>IFERROR(__xludf.DUMMYFUNCTION("""COMPUTED_VALUE"""),"-")</f>
        <v>-</v>
      </c>
      <c r="F200" s="15" t="str">
        <f>IFERROR(__xludf.DUMMYFUNCTION("""COMPUTED_VALUE"""),"Tunnel ST1L - Gear Motor N100/So-UFR1 24Vac 50Hz 15Nm 0.5U/min (R1:1000) Metal Cover; Steriline; 19475; 1 pc")</f>
        <v>Tunnel ST1L - Gear Motor N100/So-UFR1 24Vac 50Hz 15Nm 0.5U/min (R1:1000) Metal Cover; Steriline; 19475; 1 pc</v>
      </c>
      <c r="G200" s="15">
        <f>IFERROR(__xludf.DUMMYFUNCTION("""COMPUTED_VALUE"""),1.0)</f>
        <v>1</v>
      </c>
      <c r="H200" s="15" t="str">
        <f>IFERROR(__xludf.DUMMYFUNCTION("""COMPUTED_VALUE"""),"Pc")</f>
        <v>Pc</v>
      </c>
      <c r="I200" s="15" t="str">
        <f>IFERROR(__xludf.DUMMYFUNCTION("""COMPUTED_VALUE"""),"Deliver")</f>
        <v>Deliver</v>
      </c>
      <c r="J200" s="15" t="str">
        <f>IFERROR(__xludf.DUMMYFUNCTION("""COMPUTED_VALUE"""),"-")</f>
        <v>-</v>
      </c>
      <c r="K200" s="15" t="str">
        <f>IFERROR(__xludf.DUMMYFUNCTION("""COMPUTED_VALUE"""),"-")</f>
        <v>-</v>
      </c>
      <c r="L200" s="15" t="str">
        <f>IFERROR(__xludf.DUMMYFUNCTION("""COMPUTED_VALUE"""),"Normal")</f>
        <v>Normal</v>
      </c>
      <c r="M200" s="18" t="s">
        <v>53</v>
      </c>
      <c r="N200" s="18" t="s">
        <v>54</v>
      </c>
    </row>
    <row r="201" hidden="1">
      <c r="A201" s="15" t="str">
        <f>IFERROR(__xludf.DUMMYFUNCTION("""COMPUTED_VALUE"""),"MFHRO0019")</f>
        <v>MFHRO0019</v>
      </c>
      <c r="B201" s="16">
        <f>IFERROR(__xludf.DUMMYFUNCTION("""COMPUTED_VALUE"""),45755.38263226852)</f>
        <v>45755.38263</v>
      </c>
      <c r="C201" s="17">
        <f>IFERROR(__xludf.DUMMYFUNCTION("""COMPUTED_VALUE"""),45756.24101637732)</f>
        <v>45756.24102</v>
      </c>
      <c r="D201" s="15" t="str">
        <f>IFERROR(__xludf.DUMMYFUNCTION("""COMPUTED_VALUE"""),"General")</f>
        <v>General</v>
      </c>
      <c r="E201" s="15" t="str">
        <f>IFERROR(__xludf.DUMMYFUNCTION("""COMPUTED_VALUE"""),"-")</f>
        <v>-</v>
      </c>
      <c r="F201" s="15" t="str">
        <f>IFERROR(__xludf.DUMMYFUNCTION("""COMPUTED_VALUE"""),"EPDM Gasket for Ferrule dia. 1/2"" - P/N : -  pc")</f>
        <v>EPDM Gasket for Ferrule dia. 1/2" - P/N : -  pc</v>
      </c>
      <c r="G201" s="15">
        <f>IFERROR(__xludf.DUMMYFUNCTION("""COMPUTED_VALUE"""),50.0)</f>
        <v>50</v>
      </c>
      <c r="H201" s="15" t="str">
        <f>IFERROR(__xludf.DUMMYFUNCTION("""COMPUTED_VALUE"""),"Pc")</f>
        <v>Pc</v>
      </c>
      <c r="I201" s="15" t="str">
        <f>IFERROR(__xludf.DUMMYFUNCTION("""COMPUTED_VALUE"""),"Deliver")</f>
        <v>Deliver</v>
      </c>
      <c r="J201" s="15" t="str">
        <f>IFERROR(__xludf.DUMMYFUNCTION("""COMPUTED_VALUE"""),"-")</f>
        <v>-</v>
      </c>
      <c r="K201" s="15" t="str">
        <f>IFERROR(__xludf.DUMMYFUNCTION("""COMPUTED_VALUE"""),"-")</f>
        <v>-</v>
      </c>
      <c r="L201" s="15" t="str">
        <f>IFERROR(__xludf.DUMMYFUNCTION("""COMPUTED_VALUE"""),"Normal")</f>
        <v>Normal</v>
      </c>
      <c r="M201" s="18" t="s">
        <v>53</v>
      </c>
      <c r="N201" s="18" t="s">
        <v>54</v>
      </c>
    </row>
    <row r="202" hidden="1">
      <c r="A202" s="15" t="str">
        <f>IFERROR(__xludf.DUMMYFUNCTION("""COMPUTED_VALUE"""),"MFHRO0020")</f>
        <v>MFHRO0020</v>
      </c>
      <c r="B202" s="16">
        <f>IFERROR(__xludf.DUMMYFUNCTION("""COMPUTED_VALUE"""),45755.383381527776)</f>
        <v>45755.38338</v>
      </c>
      <c r="C202" s="17">
        <f>IFERROR(__xludf.DUMMYFUNCTION("""COMPUTED_VALUE"""),45756.24111385417)</f>
        <v>45756.24111</v>
      </c>
      <c r="D202" s="15" t="str">
        <f>IFERROR(__xludf.DUMMYFUNCTION("""COMPUTED_VALUE"""),"General")</f>
        <v>General</v>
      </c>
      <c r="E202" s="15" t="str">
        <f>IFERROR(__xludf.DUMMYFUNCTION("""COMPUTED_VALUE"""),"-")</f>
        <v>-</v>
      </c>
      <c r="F202" s="15" t="str">
        <f>IFERROR(__xludf.DUMMYFUNCTION("""COMPUTED_VALUE"""),"General - Silicone Gasket for Ferrule dia. 1""; -; -; 1 Pc")</f>
        <v>General - Silicone Gasket for Ferrule dia. 1"; -; -; 1 Pc</v>
      </c>
      <c r="G202" s="15">
        <f>IFERROR(__xludf.DUMMYFUNCTION("""COMPUTED_VALUE"""),30.0)</f>
        <v>30</v>
      </c>
      <c r="H202" s="15" t="str">
        <f>IFERROR(__xludf.DUMMYFUNCTION("""COMPUTED_VALUE"""),"Pc")</f>
        <v>Pc</v>
      </c>
      <c r="I202" s="15" t="str">
        <f>IFERROR(__xludf.DUMMYFUNCTION("""COMPUTED_VALUE"""),"Deliver")</f>
        <v>Deliver</v>
      </c>
      <c r="J202" s="15" t="str">
        <f>IFERROR(__xludf.DUMMYFUNCTION("""COMPUTED_VALUE"""),"-")</f>
        <v>-</v>
      </c>
      <c r="K202" s="15" t="str">
        <f>IFERROR(__xludf.DUMMYFUNCTION("""COMPUTED_VALUE"""),"-")</f>
        <v>-</v>
      </c>
      <c r="L202" s="15" t="str">
        <f>IFERROR(__xludf.DUMMYFUNCTION("""COMPUTED_VALUE"""),"Normal")</f>
        <v>Normal</v>
      </c>
      <c r="M202" s="18" t="s">
        <v>53</v>
      </c>
      <c r="N202" s="18" t="s">
        <v>54</v>
      </c>
    </row>
    <row r="203" hidden="1">
      <c r="A203" s="15" t="str">
        <f>IFERROR(__xludf.DUMMYFUNCTION("""COMPUTED_VALUE"""),"MFHRO0021")</f>
        <v>MFHRO0021</v>
      </c>
      <c r="B203" s="16">
        <f>IFERROR(__xludf.DUMMYFUNCTION("""COMPUTED_VALUE"""),45755.38571625)</f>
        <v>45755.38572</v>
      </c>
      <c r="C203" s="17">
        <f>IFERROR(__xludf.DUMMYFUNCTION("""COMPUTED_VALUE"""),45756.24121872685)</f>
        <v>45756.24122</v>
      </c>
      <c r="D203" s="15" t="str">
        <f>IFERROR(__xludf.DUMMYFUNCTION("""COMPUTED_VALUE"""),"General")</f>
        <v>General</v>
      </c>
      <c r="E203" s="15" t="str">
        <f>IFERROR(__xludf.DUMMYFUNCTION("""COMPUTED_VALUE"""),"-")</f>
        <v>-</v>
      </c>
      <c r="F203" s="15" t="str">
        <f>IFERROR(__xludf.DUMMYFUNCTION("""COMPUTED_VALUE"""),"Silicone gasket for ferrule dia 1 1/2inch Taiwan")</f>
        <v>Silicone gasket for ferrule dia 1 1/2inch Taiwan</v>
      </c>
      <c r="G203" s="15">
        <f>IFERROR(__xludf.DUMMYFUNCTION("""COMPUTED_VALUE"""),30.0)</f>
        <v>30</v>
      </c>
      <c r="H203" s="15" t="str">
        <f>IFERROR(__xludf.DUMMYFUNCTION("""COMPUTED_VALUE"""),"Pc")</f>
        <v>Pc</v>
      </c>
      <c r="I203" s="15" t="str">
        <f>IFERROR(__xludf.DUMMYFUNCTION("""COMPUTED_VALUE"""),"Deliver")</f>
        <v>Deliver</v>
      </c>
      <c r="J203" s="15" t="str">
        <f>IFERROR(__xludf.DUMMYFUNCTION("""COMPUTED_VALUE"""),"-")</f>
        <v>-</v>
      </c>
      <c r="K203" s="15" t="str">
        <f>IFERROR(__xludf.DUMMYFUNCTION("""COMPUTED_VALUE"""),"-")</f>
        <v>-</v>
      </c>
      <c r="L203" s="15" t="str">
        <f>IFERROR(__xludf.DUMMYFUNCTION("""COMPUTED_VALUE"""),"Normal")</f>
        <v>Normal</v>
      </c>
      <c r="M203" s="18" t="s">
        <v>53</v>
      </c>
      <c r="N203" s="18" t="s">
        <v>54</v>
      </c>
    </row>
    <row r="204" hidden="1">
      <c r="A204" s="15" t="str">
        <f>IFERROR(__xludf.DUMMYFUNCTION("""COMPUTED_VALUE"""),"MFHRO0022")</f>
        <v>MFHRO0022</v>
      </c>
      <c r="B204" s="16">
        <f>IFERROR(__xludf.DUMMYFUNCTION("""COMPUTED_VALUE"""),45755.386306203705)</f>
        <v>45755.38631</v>
      </c>
      <c r="C204" s="17">
        <f>IFERROR(__xludf.DUMMYFUNCTION("""COMPUTED_VALUE"""),45756.241335081024)</f>
        <v>45756.24134</v>
      </c>
      <c r="D204" s="15" t="str">
        <f>IFERROR(__xludf.DUMMYFUNCTION("""COMPUTED_VALUE"""),"General")</f>
        <v>General</v>
      </c>
      <c r="E204" s="15" t="str">
        <f>IFERROR(__xludf.DUMMYFUNCTION("""COMPUTED_VALUE"""),"-")</f>
        <v>-</v>
      </c>
      <c r="F204" s="15" t="str">
        <f>IFERROR(__xludf.DUMMYFUNCTION("""COMPUTED_VALUE"""),"Silicone gasket for ferrule dia 2inch Taiwan")</f>
        <v>Silicone gasket for ferrule dia 2inch Taiwan</v>
      </c>
      <c r="G204" s="15">
        <f>IFERROR(__xludf.DUMMYFUNCTION("""COMPUTED_VALUE"""),20.0)</f>
        <v>20</v>
      </c>
      <c r="H204" s="15" t="str">
        <f>IFERROR(__xludf.DUMMYFUNCTION("""COMPUTED_VALUE"""),"Pc")</f>
        <v>Pc</v>
      </c>
      <c r="I204" s="15" t="str">
        <f>IFERROR(__xludf.DUMMYFUNCTION("""COMPUTED_VALUE"""),"Deliver")</f>
        <v>Deliver</v>
      </c>
      <c r="J204" s="15" t="str">
        <f>IFERROR(__xludf.DUMMYFUNCTION("""COMPUTED_VALUE"""),"-")</f>
        <v>-</v>
      </c>
      <c r="K204" s="15" t="str">
        <f>IFERROR(__xludf.DUMMYFUNCTION("""COMPUTED_VALUE"""),"-")</f>
        <v>-</v>
      </c>
      <c r="L204" s="15" t="str">
        <f>IFERROR(__xludf.DUMMYFUNCTION("""COMPUTED_VALUE"""),"Normal")</f>
        <v>Normal</v>
      </c>
      <c r="M204" s="18" t="s">
        <v>53</v>
      </c>
      <c r="N204" s="18" t="s">
        <v>54</v>
      </c>
    </row>
    <row r="205" hidden="1">
      <c r="A205" s="15" t="str">
        <f>IFERROR(__xludf.DUMMYFUNCTION("""COMPUTED_VALUE"""),"MFHRO0023")</f>
        <v>MFHRO0023</v>
      </c>
      <c r="B205" s="16">
        <f>IFERROR(__xludf.DUMMYFUNCTION("""COMPUTED_VALUE"""),45755.38758525463)</f>
        <v>45755.38759</v>
      </c>
      <c r="C205" s="17">
        <f>IFERROR(__xludf.DUMMYFUNCTION("""COMPUTED_VALUE"""),45756.241442314815)</f>
        <v>45756.24144</v>
      </c>
      <c r="D205" s="15" t="str">
        <f>IFERROR(__xludf.DUMMYFUNCTION("""COMPUTED_VALUE"""),"General")</f>
        <v>General</v>
      </c>
      <c r="E205" s="15" t="str">
        <f>IFERROR(__xludf.DUMMYFUNCTION("""COMPUTED_VALUE"""),"-")</f>
        <v>-</v>
      </c>
      <c r="F205" s="15" t="str">
        <f>IFERROR(__xludf.DUMMYFUNCTION("""COMPUTED_VALUE"""),"General - Silicone Gasket for Ferrule dia. 2,5""; -; -; 1 Pc")</f>
        <v>General - Silicone Gasket for Ferrule dia. 2,5"; -; -; 1 Pc</v>
      </c>
      <c r="G205" s="15">
        <f>IFERROR(__xludf.DUMMYFUNCTION("""COMPUTED_VALUE"""),25.0)</f>
        <v>25</v>
      </c>
      <c r="H205" s="15" t="str">
        <f>IFERROR(__xludf.DUMMYFUNCTION("""COMPUTED_VALUE"""),"pc")</f>
        <v>pc</v>
      </c>
      <c r="I205" s="15" t="str">
        <f>IFERROR(__xludf.DUMMYFUNCTION("""COMPUTED_VALUE"""),"Deliver")</f>
        <v>Deliver</v>
      </c>
      <c r="J205" s="15" t="str">
        <f>IFERROR(__xludf.DUMMYFUNCTION("""COMPUTED_VALUE"""),"-")</f>
        <v>-</v>
      </c>
      <c r="K205" s="15" t="str">
        <f>IFERROR(__xludf.DUMMYFUNCTION("""COMPUTED_VALUE"""),"-")</f>
        <v>-</v>
      </c>
      <c r="L205" s="15" t="str">
        <f>IFERROR(__xludf.DUMMYFUNCTION("""COMPUTED_VALUE"""),"Normal")</f>
        <v>Normal</v>
      </c>
      <c r="M205" s="18" t="s">
        <v>53</v>
      </c>
      <c r="N205" s="18" t="s">
        <v>54</v>
      </c>
    </row>
    <row r="206" hidden="1">
      <c r="A206" s="15" t="str">
        <f>IFERROR(__xludf.DUMMYFUNCTION("""COMPUTED_VALUE"""),"MFHRO0024")</f>
        <v>MFHRO0024</v>
      </c>
      <c r="B206" s="16">
        <f>IFERROR(__xludf.DUMMYFUNCTION("""COMPUTED_VALUE"""),45755.389249432876)</f>
        <v>45755.38925</v>
      </c>
      <c r="C206" s="17">
        <f>IFERROR(__xludf.DUMMYFUNCTION("""COMPUTED_VALUE"""),45756.241941643515)</f>
        <v>45756.24194</v>
      </c>
      <c r="D206" s="15" t="str">
        <f>IFERROR(__xludf.DUMMYFUNCTION("""COMPUTED_VALUE"""),"General")</f>
        <v>General</v>
      </c>
      <c r="E206" s="15" t="str">
        <f>IFERROR(__xludf.DUMMYFUNCTION("""COMPUTED_VALUE"""),"-")</f>
        <v>-</v>
      </c>
      <c r="F206" s="15" t="str">
        <f>IFERROR(__xludf.DUMMYFUNCTION("""COMPUTED_VALUE"""),"General - Silicone Gasket for Ferrule dia. 4""; -; -; 1 Pc")</f>
        <v>General - Silicone Gasket for Ferrule dia. 4"; -; -; 1 Pc</v>
      </c>
      <c r="G206" s="15">
        <f>IFERROR(__xludf.DUMMYFUNCTION("""COMPUTED_VALUE"""),10.0)</f>
        <v>10</v>
      </c>
      <c r="H206" s="15" t="str">
        <f>IFERROR(__xludf.DUMMYFUNCTION("""COMPUTED_VALUE"""),"pc")</f>
        <v>pc</v>
      </c>
      <c r="I206" s="15" t="str">
        <f>IFERROR(__xludf.DUMMYFUNCTION("""COMPUTED_VALUE"""),"Deliver")</f>
        <v>Deliver</v>
      </c>
      <c r="J206" s="15" t="str">
        <f>IFERROR(__xludf.DUMMYFUNCTION("""COMPUTED_VALUE"""),"-")</f>
        <v>-</v>
      </c>
      <c r="K206" s="15" t="str">
        <f>IFERROR(__xludf.DUMMYFUNCTION("""COMPUTED_VALUE"""),"-")</f>
        <v>-</v>
      </c>
      <c r="L206" s="15" t="str">
        <f>IFERROR(__xludf.DUMMYFUNCTION("""COMPUTED_VALUE"""),"Normal")</f>
        <v>Normal</v>
      </c>
      <c r="M206" s="18" t="s">
        <v>53</v>
      </c>
      <c r="N206" s="18" t="s">
        <v>54</v>
      </c>
    </row>
    <row r="207" hidden="1">
      <c r="A207" s="15" t="str">
        <f>IFERROR(__xludf.DUMMYFUNCTION("""COMPUTED_VALUE"""),"MFHRO0025")</f>
        <v>MFHRO0025</v>
      </c>
      <c r="B207" s="16">
        <f>IFERROR(__xludf.DUMMYFUNCTION("""COMPUTED_VALUE"""),45755.39053237268)</f>
        <v>45755.39053</v>
      </c>
      <c r="C207" s="17">
        <f>IFERROR(__xludf.DUMMYFUNCTION("""COMPUTED_VALUE"""),45756.2423137963)</f>
        <v>45756.24231</v>
      </c>
      <c r="D207" s="15" t="str">
        <f>IFERROR(__xludf.DUMMYFUNCTION("""COMPUTED_VALUE"""),"General")</f>
        <v>General</v>
      </c>
      <c r="E207" s="15" t="str">
        <f>IFERROR(__xludf.DUMMYFUNCTION("""COMPUTED_VALUE"""),"-")</f>
        <v>-</v>
      </c>
      <c r="F207" s="15" t="str">
        <f>IFERROR(__xludf.DUMMYFUNCTION("""COMPUTED_VALUE"""),"EPDM Gasket for Ferrule dia. 3""; ; ;")</f>
        <v>EPDM Gasket for Ferrule dia. 3"; ; ;</v>
      </c>
      <c r="G207" s="15">
        <f>IFERROR(__xludf.DUMMYFUNCTION("""COMPUTED_VALUE"""),10.0)</f>
        <v>10</v>
      </c>
      <c r="H207" s="15" t="str">
        <f>IFERROR(__xludf.DUMMYFUNCTION("""COMPUTED_VALUE"""),"Pc")</f>
        <v>Pc</v>
      </c>
      <c r="I207" s="15" t="str">
        <f>IFERROR(__xludf.DUMMYFUNCTION("""COMPUTED_VALUE"""),"Deliver")</f>
        <v>Deliver</v>
      </c>
      <c r="J207" s="15" t="str">
        <f>IFERROR(__xludf.DUMMYFUNCTION("""COMPUTED_VALUE"""),"-")</f>
        <v>-</v>
      </c>
      <c r="K207" s="15" t="str">
        <f>IFERROR(__xludf.DUMMYFUNCTION("""COMPUTED_VALUE"""),"-")</f>
        <v>-</v>
      </c>
      <c r="L207" s="15" t="str">
        <f>IFERROR(__xludf.DUMMYFUNCTION("""COMPUTED_VALUE"""),"Normal")</f>
        <v>Normal</v>
      </c>
      <c r="M207" s="18" t="s">
        <v>53</v>
      </c>
      <c r="N207" s="18" t="s">
        <v>54</v>
      </c>
    </row>
    <row r="208" hidden="1">
      <c r="A208" s="15" t="str">
        <f>IFERROR(__xludf.DUMMYFUNCTION("""COMPUTED_VALUE"""),"MFHRO0026")</f>
        <v>MFHRO0026</v>
      </c>
      <c r="B208" s="16">
        <f>IFERROR(__xludf.DUMMYFUNCTION("""COMPUTED_VALUE"""),45755.39287927083)</f>
        <v>45755.39288</v>
      </c>
      <c r="C208" s="17">
        <f>IFERROR(__xludf.DUMMYFUNCTION("""COMPUTED_VALUE"""),45756.24240833333)</f>
        <v>45756.24241</v>
      </c>
      <c r="D208" s="15" t="str">
        <f>IFERROR(__xludf.DUMMYFUNCTION("""COMPUTED_VALUE"""),"FD")</f>
        <v>FD</v>
      </c>
      <c r="E208" s="15" t="str">
        <f>IFERROR(__xludf.DUMMYFUNCTION("""COMPUTED_VALUE"""),"-")</f>
        <v>-</v>
      </c>
      <c r="F208" s="15" t="str">
        <f>IFERROR(__xludf.DUMMYFUNCTION("""COMPUTED_VALUE"""),"Freeze Dryer MBE1207 -  Orifice No. 03 068-2006; Danfoss; ;")</f>
        <v>Freeze Dryer MBE1207 -  Orifice No. 03 068-2006; Danfoss; ;</v>
      </c>
      <c r="G208" s="15">
        <f>IFERROR(__xludf.DUMMYFUNCTION("""COMPUTED_VALUE"""),4.0)</f>
        <v>4</v>
      </c>
      <c r="H208" s="15" t="str">
        <f>IFERROR(__xludf.DUMMYFUNCTION("""COMPUTED_VALUE"""),"Pc")</f>
        <v>Pc</v>
      </c>
      <c r="I208" s="15" t="str">
        <f>IFERROR(__xludf.DUMMYFUNCTION("""COMPUTED_VALUE"""),"Deliver")</f>
        <v>Deliver</v>
      </c>
      <c r="J208" s="15" t="str">
        <f>IFERROR(__xludf.DUMMYFUNCTION("""COMPUTED_VALUE"""),"-")</f>
        <v>-</v>
      </c>
      <c r="K208" s="15" t="str">
        <f>IFERROR(__xludf.DUMMYFUNCTION("""COMPUTED_VALUE"""),"-")</f>
        <v>-</v>
      </c>
      <c r="L208" s="15" t="str">
        <f>IFERROR(__xludf.DUMMYFUNCTION("""COMPUTED_VALUE"""),"Normal")</f>
        <v>Normal</v>
      </c>
      <c r="M208" s="18" t="s">
        <v>53</v>
      </c>
      <c r="N208" s="18" t="s">
        <v>54</v>
      </c>
    </row>
    <row r="209" hidden="1">
      <c r="A209" s="15" t="str">
        <f>IFERROR(__xludf.DUMMYFUNCTION("""COMPUTED_VALUE"""),"MFHRO0027")</f>
        <v>MFHRO0027</v>
      </c>
      <c r="B209" s="16">
        <f>IFERROR(__xludf.DUMMYFUNCTION("""COMPUTED_VALUE"""),45755.39597195602)</f>
        <v>45755.39597</v>
      </c>
      <c r="C209" s="17">
        <f>IFERROR(__xludf.DUMMYFUNCTION("""COMPUTED_VALUE"""),45756.24257357638)</f>
        <v>45756.24257</v>
      </c>
      <c r="D209" s="15" t="str">
        <f>IFERROR(__xludf.DUMMYFUNCTION("""COMPUTED_VALUE"""),"FD")</f>
        <v>FD</v>
      </c>
      <c r="E209" s="15" t="str">
        <f>IFERROR(__xludf.DUMMYFUNCTION("""COMPUTED_VALUE"""),"-")</f>
        <v>-</v>
      </c>
      <c r="F209" s="15" t="str">
        <f>IFERROR(__xludf.DUMMYFUNCTION("""COMPUTED_VALUE"""),"FD Lyofast 10 - hydraulically Balanced Valve EB02-00595 Disused:CMB 20/T-N_FLUCOM Replaced by:M8596N; ; ;")</f>
        <v>FD Lyofast 10 - hydraulically Balanced Valve EB02-00595 Disused:CMB 20/T-N_FLUCOM Replaced by:M8596N; ; ;</v>
      </c>
      <c r="G209" s="15">
        <f>IFERROR(__xludf.DUMMYFUNCTION("""COMPUTED_VALUE"""),1.0)</f>
        <v>1</v>
      </c>
      <c r="H209" s="15" t="str">
        <f>IFERROR(__xludf.DUMMYFUNCTION("""COMPUTED_VALUE"""),"Pc")</f>
        <v>Pc</v>
      </c>
      <c r="I209" s="15" t="str">
        <f>IFERROR(__xludf.DUMMYFUNCTION("""COMPUTED_VALUE"""),"Deliver")</f>
        <v>Deliver</v>
      </c>
      <c r="J209" s="15" t="str">
        <f>IFERROR(__xludf.DUMMYFUNCTION("""COMPUTED_VALUE"""),"-")</f>
        <v>-</v>
      </c>
      <c r="K209" s="15" t="str">
        <f>IFERROR(__xludf.DUMMYFUNCTION("""COMPUTED_VALUE"""),"-")</f>
        <v>-</v>
      </c>
      <c r="L209" s="15" t="str">
        <f>IFERROR(__xludf.DUMMYFUNCTION("""COMPUTED_VALUE"""),"Normal")</f>
        <v>Normal</v>
      </c>
      <c r="M209" s="18" t="s">
        <v>53</v>
      </c>
      <c r="N209" s="18" t="s">
        <v>54</v>
      </c>
    </row>
    <row r="210" hidden="1">
      <c r="A210" s="15" t="str">
        <f>IFERROR(__xludf.DUMMYFUNCTION("""COMPUTED_VALUE"""),"MFHRO0028")</f>
        <v>MFHRO0028</v>
      </c>
      <c r="B210" s="16">
        <f>IFERROR(__xludf.DUMMYFUNCTION("""COMPUTED_VALUE"""),45755.39732106481)</f>
        <v>45755.39732</v>
      </c>
      <c r="C210" s="17">
        <f>IFERROR(__xludf.DUMMYFUNCTION("""COMPUTED_VALUE"""),45756.24270300926)</f>
        <v>45756.2427</v>
      </c>
      <c r="D210" s="15" t="str">
        <f>IFERROR(__xludf.DUMMYFUNCTION("""COMPUTED_VALUE"""),"FD")</f>
        <v>FD</v>
      </c>
      <c r="E210" s="15" t="str">
        <f>IFERROR(__xludf.DUMMYFUNCTION("""COMPUTED_VALUE"""),"-")</f>
        <v>-</v>
      </c>
      <c r="F210" s="15" t="str">
        <f>IFERROR(__xludf.DUMMYFUNCTION("""COMPUTED_VALUE"""),"Freeze Dryer MBE1207 - SV169 MYCOM COMPLETE SOLENOLD VALVE, XOF-240V1 include valve body and coil P/; MAYEKAWA; ;")</f>
        <v>Freeze Dryer MBE1207 - SV169 MYCOM COMPLETE SOLENOLD VALVE, XOF-240V1 include valve body and coil P/; MAYEKAWA; ;</v>
      </c>
      <c r="G210" s="15">
        <f>IFERROR(__xludf.DUMMYFUNCTION("""COMPUTED_VALUE"""),2.0)</f>
        <v>2</v>
      </c>
      <c r="H210" s="15" t="str">
        <f>IFERROR(__xludf.DUMMYFUNCTION("""COMPUTED_VALUE"""),"Pc")</f>
        <v>Pc</v>
      </c>
      <c r="I210" s="15" t="str">
        <f>IFERROR(__xludf.DUMMYFUNCTION("""COMPUTED_VALUE"""),"Deliver")</f>
        <v>Deliver</v>
      </c>
      <c r="J210" s="15" t="str">
        <f>IFERROR(__xludf.DUMMYFUNCTION("""COMPUTED_VALUE"""),"-")</f>
        <v>-</v>
      </c>
      <c r="K210" s="15" t="str">
        <f>IFERROR(__xludf.DUMMYFUNCTION("""COMPUTED_VALUE"""),"-")</f>
        <v>-</v>
      </c>
      <c r="L210" s="15" t="str">
        <f>IFERROR(__xludf.DUMMYFUNCTION("""COMPUTED_VALUE"""),"Normal")</f>
        <v>Normal</v>
      </c>
      <c r="M210" s="18" t="s">
        <v>53</v>
      </c>
      <c r="N210" s="18" t="s">
        <v>54</v>
      </c>
    </row>
    <row r="211" hidden="1">
      <c r="A211" s="15" t="str">
        <f>IFERROR(__xludf.DUMMYFUNCTION("""COMPUTED_VALUE"""),"MFHRO0029")</f>
        <v>MFHRO0029</v>
      </c>
      <c r="B211" s="16">
        <f>IFERROR(__xludf.DUMMYFUNCTION("""COMPUTED_VALUE"""),45755.39801503473)</f>
        <v>45755.39802</v>
      </c>
      <c r="C211" s="17">
        <f>IFERROR(__xludf.DUMMYFUNCTION("""COMPUTED_VALUE"""),45756.24290767361)</f>
        <v>45756.24291</v>
      </c>
      <c r="D211" s="15" t="str">
        <f>IFERROR(__xludf.DUMMYFUNCTION("""COMPUTED_VALUE"""),"FD")</f>
        <v>FD</v>
      </c>
      <c r="E211" s="15" t="str">
        <f>IFERROR(__xludf.DUMMYFUNCTION("""COMPUTED_VALUE"""),"-")</f>
        <v>-</v>
      </c>
      <c r="F211" s="15" t="str">
        <f>IFERROR(__xludf.DUMMYFUNCTION("""COMPUTED_VALUE"""),"Freeze Dryer MBE1207 - Valve Body S20 DN40 ANSI150 Flg BODY:CI DISC:316SS Mirror finish STEM 316SS P; ; ;")</f>
        <v>Freeze Dryer MBE1207 - Valve Body S20 DN40 ANSI150 Flg BODY:CI DISC:316SS Mirror finish STEM 316SS P; ; ;</v>
      </c>
      <c r="G211" s="15">
        <f>IFERROR(__xludf.DUMMYFUNCTION("""COMPUTED_VALUE"""),2.0)</f>
        <v>2</v>
      </c>
      <c r="H211" s="15" t="str">
        <f>IFERROR(__xludf.DUMMYFUNCTION("""COMPUTED_VALUE"""),"Pc")</f>
        <v>Pc</v>
      </c>
      <c r="I211" s="15" t="str">
        <f>IFERROR(__xludf.DUMMYFUNCTION("""COMPUTED_VALUE"""),"Deliver")</f>
        <v>Deliver</v>
      </c>
      <c r="J211" s="15" t="str">
        <f>IFERROR(__xludf.DUMMYFUNCTION("""COMPUTED_VALUE"""),"-")</f>
        <v>-</v>
      </c>
      <c r="K211" s="15" t="str">
        <f>IFERROR(__xludf.DUMMYFUNCTION("""COMPUTED_VALUE"""),"-")</f>
        <v>-</v>
      </c>
      <c r="L211" s="15" t="str">
        <f>IFERROR(__xludf.DUMMYFUNCTION("""COMPUTED_VALUE"""),"Normal")</f>
        <v>Normal</v>
      </c>
      <c r="M211" s="18" t="s">
        <v>53</v>
      </c>
      <c r="N211" s="18" t="s">
        <v>54</v>
      </c>
    </row>
    <row r="212" hidden="1">
      <c r="A212" s="15" t="str">
        <f>IFERROR(__xludf.DUMMYFUNCTION("""COMPUTED_VALUE"""),"MFHRO0030")</f>
        <v>MFHRO0030</v>
      </c>
      <c r="B212" s="16">
        <f>IFERROR(__xludf.DUMMYFUNCTION("""COMPUTED_VALUE"""),45755.3986628125)</f>
        <v>45755.39866</v>
      </c>
      <c r="C212" s="17">
        <f>IFERROR(__xludf.DUMMYFUNCTION("""COMPUTED_VALUE"""),45756.24300398148)</f>
        <v>45756.243</v>
      </c>
      <c r="D212" s="15" t="str">
        <f>IFERROR(__xludf.DUMMYFUNCTION("""COMPUTED_VALUE"""),"FD")</f>
        <v>FD</v>
      </c>
      <c r="E212" s="15" t="str">
        <f>IFERROR(__xludf.DUMMYFUNCTION("""COMPUTED_VALUE"""),"-")</f>
        <v>-</v>
      </c>
      <c r="F212" s="15" t="str">
        <f>IFERROR(__xludf.DUMMYFUNCTION("""COMPUTED_VALUE"""),"Clamp Vacuum KF16 Alumunium; ; ;")</f>
        <v>Clamp Vacuum KF16 Alumunium; ; ;</v>
      </c>
      <c r="G212" s="15">
        <f>IFERROR(__xludf.DUMMYFUNCTION("""COMPUTED_VALUE"""),10.0)</f>
        <v>10</v>
      </c>
      <c r="H212" s="15" t="str">
        <f>IFERROR(__xludf.DUMMYFUNCTION("""COMPUTED_VALUE"""),"Pc")</f>
        <v>Pc</v>
      </c>
      <c r="I212" s="15" t="str">
        <f>IFERROR(__xludf.DUMMYFUNCTION("""COMPUTED_VALUE"""),"Deliver")</f>
        <v>Deliver</v>
      </c>
      <c r="J212" s="15" t="str">
        <f>IFERROR(__xludf.DUMMYFUNCTION("""COMPUTED_VALUE"""),"-")</f>
        <v>-</v>
      </c>
      <c r="K212" s="15" t="str">
        <f>IFERROR(__xludf.DUMMYFUNCTION("""COMPUTED_VALUE"""),"-")</f>
        <v>-</v>
      </c>
      <c r="L212" s="15" t="str">
        <f>IFERROR(__xludf.DUMMYFUNCTION("""COMPUTED_VALUE"""),"Normal")</f>
        <v>Normal</v>
      </c>
      <c r="M212" s="18" t="s">
        <v>53</v>
      </c>
      <c r="N212" s="18" t="s">
        <v>54</v>
      </c>
    </row>
    <row r="213" hidden="1">
      <c r="A213" s="15" t="str">
        <f>IFERROR(__xludf.DUMMYFUNCTION("""COMPUTED_VALUE"""),"MFHRO0031")</f>
        <v>MFHRO0031</v>
      </c>
      <c r="B213" s="16">
        <f>IFERROR(__xludf.DUMMYFUNCTION("""COMPUTED_VALUE"""),45755.39978251157)</f>
        <v>45755.39978</v>
      </c>
      <c r="C213" s="17">
        <f>IFERROR(__xludf.DUMMYFUNCTION("""COMPUTED_VALUE"""),45756.24309292824)</f>
        <v>45756.24309</v>
      </c>
      <c r="D213" s="15" t="str">
        <f>IFERROR(__xludf.DUMMYFUNCTION("""COMPUTED_VALUE"""),"PWG")</f>
        <v>PWG</v>
      </c>
      <c r="E213" s="15" t="str">
        <f>IFERROR(__xludf.DUMMYFUNCTION("""COMPUTED_VALUE"""),"-")</f>
        <v>-</v>
      </c>
      <c r="F213" s="15" t="str">
        <f>IFERROR(__xludf.DUMMYFUNCTION("""COMPUTED_VALUE"""),"Garam Kutreat RGN-9800F; ; ; 25Kg/zak")</f>
        <v>Garam Kutreat RGN-9800F; ; ; 25Kg/zak</v>
      </c>
      <c r="G213" s="15">
        <f>IFERROR(__xludf.DUMMYFUNCTION("""COMPUTED_VALUE"""),450.0)</f>
        <v>450</v>
      </c>
      <c r="H213" s="15" t="str">
        <f>IFERROR(__xludf.DUMMYFUNCTION("""COMPUTED_VALUE"""),"Kg")</f>
        <v>Kg</v>
      </c>
      <c r="I213" s="15" t="str">
        <f>IFERROR(__xludf.DUMMYFUNCTION("""COMPUTED_VALUE"""),"Deliver")</f>
        <v>Deliver</v>
      </c>
      <c r="J213" s="15" t="str">
        <f>IFERROR(__xludf.DUMMYFUNCTION("""COMPUTED_VALUE"""),"-")</f>
        <v>-</v>
      </c>
      <c r="K213" s="15" t="str">
        <f>IFERROR(__xludf.DUMMYFUNCTION("""COMPUTED_VALUE"""),"-")</f>
        <v>-</v>
      </c>
      <c r="L213" s="15" t="str">
        <f>IFERROR(__xludf.DUMMYFUNCTION("""COMPUTED_VALUE"""),"Normal")</f>
        <v>Normal</v>
      </c>
      <c r="M213" s="18" t="s">
        <v>53</v>
      </c>
      <c r="N213" s="18" t="s">
        <v>54</v>
      </c>
    </row>
    <row r="214" hidden="1">
      <c r="A214" s="15" t="str">
        <f>IFERROR(__xludf.DUMMYFUNCTION("""COMPUTED_VALUE"""),"MFHRO0032")</f>
        <v>MFHRO0032</v>
      </c>
      <c r="B214" s="16">
        <f>IFERROR(__xludf.DUMMYFUNCTION("""COMPUTED_VALUE"""),45755.40140925926)</f>
        <v>45755.40141</v>
      </c>
      <c r="C214" s="17">
        <f>IFERROR(__xludf.DUMMYFUNCTION("""COMPUTED_VALUE"""),45756.243300625)</f>
        <v>45756.2433</v>
      </c>
      <c r="D214" s="15" t="str">
        <f>IFERROR(__xludf.DUMMYFUNCTION("""COMPUTED_VALUE"""),"HPLC")</f>
        <v>HPLC</v>
      </c>
      <c r="E214" s="15" t="str">
        <f>IFERROR(__xludf.DUMMYFUNCTION("""COMPUTED_VALUE"""),"-")</f>
        <v>-</v>
      </c>
      <c r="F214" s="15" t="str">
        <f>IFERROR(__xludf.DUMMYFUNCTION("""COMPUTED_VALUE"""),"Acquity PDA/TUV 2489/2998 Perf Main Kit (lampu HPLC); Waters; P/N 201000281; 1 pc")</f>
        <v>Acquity PDA/TUV 2489/2998 Perf Main Kit (lampu HPLC); Waters; P/N 201000281; 1 pc</v>
      </c>
      <c r="G214" s="15">
        <f>IFERROR(__xludf.DUMMYFUNCTION("""COMPUTED_VALUE"""),6.0)</f>
        <v>6</v>
      </c>
      <c r="H214" s="15" t="str">
        <f>IFERROR(__xludf.DUMMYFUNCTION("""COMPUTED_VALUE"""),"Pc")</f>
        <v>Pc</v>
      </c>
      <c r="I214" s="15" t="str">
        <f>IFERROR(__xludf.DUMMYFUNCTION("""COMPUTED_VALUE"""),"Deliver")</f>
        <v>Deliver</v>
      </c>
      <c r="J214" s="15" t="str">
        <f>IFERROR(__xludf.DUMMYFUNCTION("""COMPUTED_VALUE"""),"-")</f>
        <v>-</v>
      </c>
      <c r="K214" s="15" t="str">
        <f>IFERROR(__xludf.DUMMYFUNCTION("""COMPUTED_VALUE"""),"-")</f>
        <v>-</v>
      </c>
      <c r="L214" s="15" t="str">
        <f>IFERROR(__xludf.DUMMYFUNCTION("""COMPUTED_VALUE"""),"Normal")</f>
        <v>Normal</v>
      </c>
      <c r="M214" s="18" t="s">
        <v>53</v>
      </c>
      <c r="N214" s="18" t="s">
        <v>54</v>
      </c>
    </row>
    <row r="215" hidden="1">
      <c r="A215" s="15" t="str">
        <f>IFERROR(__xludf.DUMMYFUNCTION("""COMPUTED_VALUE"""),"MFHRO0033")</f>
        <v>MFHRO0033</v>
      </c>
      <c r="B215" s="16">
        <f>IFERROR(__xludf.DUMMYFUNCTION("""COMPUTED_VALUE"""),45755.40190237269)</f>
        <v>45755.4019</v>
      </c>
      <c r="C215" s="17">
        <f>IFERROR(__xludf.DUMMYFUNCTION("""COMPUTED_VALUE"""),45756.24339799769)</f>
        <v>45756.2434</v>
      </c>
      <c r="D215" s="15" t="str">
        <f>IFERROR(__xludf.DUMMYFUNCTION("""COMPUTED_VALUE"""),"Mixing")</f>
        <v>Mixing</v>
      </c>
      <c r="E215" s="15" t="str">
        <f>IFERROR(__xludf.DUMMYFUNCTION("""COMPUTED_VALUE"""),"-")</f>
        <v>-</v>
      </c>
      <c r="F215" s="15" t="str">
        <f>IFERROR(__xludf.DUMMYFUNCTION("""COMPUTED_VALUE"""),"Mixing Tank - Sensor RTD 2X 100 Ohm (Duplex) with Transmitter Dia 6x81mm Mat SUS316 Class A; Custom/Lokal; -; 1 Pc")</f>
        <v>Mixing Tank - Sensor RTD 2X 100 Ohm (Duplex) with Transmitter Dia 6x81mm Mat SUS316 Class A; Custom/Lokal; -; 1 Pc</v>
      </c>
      <c r="G215" s="15">
        <f>IFERROR(__xludf.DUMMYFUNCTION("""COMPUTED_VALUE"""),1.0)</f>
        <v>1</v>
      </c>
      <c r="H215" s="15" t="str">
        <f>IFERROR(__xludf.DUMMYFUNCTION("""COMPUTED_VALUE"""),"Pc")</f>
        <v>Pc</v>
      </c>
      <c r="I215" s="15" t="str">
        <f>IFERROR(__xludf.DUMMYFUNCTION("""COMPUTED_VALUE"""),"Deliver")</f>
        <v>Deliver</v>
      </c>
      <c r="J215" s="15" t="str">
        <f>IFERROR(__xludf.DUMMYFUNCTION("""COMPUTED_VALUE"""),"-")</f>
        <v>-</v>
      </c>
      <c r="K215" s="15" t="str">
        <f>IFERROR(__xludf.DUMMYFUNCTION("""COMPUTED_VALUE"""),"-")</f>
        <v>-</v>
      </c>
      <c r="L215" s="15" t="str">
        <f>IFERROR(__xludf.DUMMYFUNCTION("""COMPUTED_VALUE"""),"Normal")</f>
        <v>Normal</v>
      </c>
      <c r="M215" s="18" t="s">
        <v>53</v>
      </c>
      <c r="N215" s="18" t="s">
        <v>54</v>
      </c>
    </row>
    <row r="216" hidden="1">
      <c r="A216" s="15" t="str">
        <f>IFERROR(__xludf.DUMMYFUNCTION("""COMPUTED_VALUE"""),"MFHRO0034")</f>
        <v>MFHRO0034</v>
      </c>
      <c r="B216" s="16">
        <f>IFERROR(__xludf.DUMMYFUNCTION("""COMPUTED_VALUE"""),45755.445092685186)</f>
        <v>45755.44509</v>
      </c>
      <c r="C216" s="17">
        <f>IFERROR(__xludf.DUMMYFUNCTION("""COMPUTED_VALUE"""),45756.243506493054)</f>
        <v>45756.24351</v>
      </c>
      <c r="D216" s="15" t="str">
        <f>IFERROR(__xludf.DUMMYFUNCTION("""COMPUTED_VALUE"""),"Building")</f>
        <v>Building</v>
      </c>
      <c r="E216" s="15" t="str">
        <f>IFERROR(__xludf.DUMMYFUNCTION("""COMPUTED_VALUE"""),"-")</f>
        <v>-</v>
      </c>
      <c r="F216" s="15" t="str">
        <f>IFERROR(__xludf.DUMMYFUNCTION("""COMPUTED_VALUE"""),"Magnetic door stopper; Dekson; Part No. MDS 889 SN;")</f>
        <v>Magnetic door stopper; Dekson; Part No. MDS 889 SN;</v>
      </c>
      <c r="G216" s="15">
        <f>IFERROR(__xludf.DUMMYFUNCTION("""COMPUTED_VALUE"""),35.0)</f>
        <v>35</v>
      </c>
      <c r="H216" s="15" t="str">
        <f>IFERROR(__xludf.DUMMYFUNCTION("""COMPUTED_VALUE"""),"Pc")</f>
        <v>Pc</v>
      </c>
      <c r="I216" s="15" t="str">
        <f>IFERROR(__xludf.DUMMYFUNCTION("""COMPUTED_VALUE"""),"Deliver")</f>
        <v>Deliver</v>
      </c>
      <c r="J216" s="15" t="str">
        <f>IFERROR(__xludf.DUMMYFUNCTION("""COMPUTED_VALUE"""),"-")</f>
        <v>-</v>
      </c>
      <c r="K216" s="15" t="str">
        <f>IFERROR(__xludf.DUMMYFUNCTION("""COMPUTED_VALUE"""),"-")</f>
        <v>-</v>
      </c>
      <c r="L216" s="15" t="str">
        <f>IFERROR(__xludf.DUMMYFUNCTION("""COMPUTED_VALUE"""),"Normal")</f>
        <v>Normal</v>
      </c>
      <c r="M216" s="18" t="s">
        <v>53</v>
      </c>
      <c r="N216" s="18" t="s">
        <v>54</v>
      </c>
    </row>
    <row r="217" hidden="1">
      <c r="A217" s="15" t="str">
        <f>IFERROR(__xludf.DUMMYFUNCTION("""COMPUTED_VALUE"""),"MFHRO0035")</f>
        <v>MFHRO0035</v>
      </c>
      <c r="B217" s="16">
        <f>IFERROR(__xludf.DUMMYFUNCTION("""COMPUTED_VALUE"""),45755.445092685186)</f>
        <v>45755.44509</v>
      </c>
      <c r="C217" s="17">
        <f>IFERROR(__xludf.DUMMYFUNCTION("""COMPUTED_VALUE"""),45756.24361745371)</f>
        <v>45756.24362</v>
      </c>
      <c r="D217" s="15" t="str">
        <f>IFERROR(__xludf.DUMMYFUNCTION("""COMPUTED_VALUE"""),"Tabletting")</f>
        <v>Tabletting</v>
      </c>
      <c r="E217" s="15" t="str">
        <f>IFERROR(__xludf.DUMMYFUNCTION("""COMPUTED_VALUE"""),"-")</f>
        <v>-</v>
      </c>
      <c r="F217" s="15" t="str">
        <f>IFERROR(__xludf.DUMMYFUNCTION("""COMPUTED_VALUE"""),"Lubricant ? Food grade oil Viscolab 150 - Pc=Liter")</f>
        <v>Lubricant ? Food grade oil Viscolab 150 - Pc=Liter</v>
      </c>
      <c r="G217" s="15">
        <f>IFERROR(__xludf.DUMMYFUNCTION("""COMPUTED_VALUE"""),40.0)</f>
        <v>40</v>
      </c>
      <c r="H217" s="15" t="str">
        <f>IFERROR(__xludf.DUMMYFUNCTION("""COMPUTED_VALUE"""),"Pc")</f>
        <v>Pc</v>
      </c>
      <c r="I217" s="15" t="str">
        <f>IFERROR(__xludf.DUMMYFUNCTION("""COMPUTED_VALUE"""),"Deliver")</f>
        <v>Deliver</v>
      </c>
      <c r="J217" s="15" t="str">
        <f>IFERROR(__xludf.DUMMYFUNCTION("""COMPUTED_VALUE"""),"-")</f>
        <v>-</v>
      </c>
      <c r="K217" s="15" t="str">
        <f>IFERROR(__xludf.DUMMYFUNCTION("""COMPUTED_VALUE"""),"-")</f>
        <v>-</v>
      </c>
      <c r="L217" s="15" t="str">
        <f>IFERROR(__xludf.DUMMYFUNCTION("""COMPUTED_VALUE"""),"Normal")</f>
        <v>Normal</v>
      </c>
      <c r="M217" s="18" t="s">
        <v>53</v>
      </c>
      <c r="N217" s="18" t="s">
        <v>54</v>
      </c>
    </row>
    <row r="218" hidden="1">
      <c r="A218" s="15" t="str">
        <f>IFERROR(__xludf.DUMMYFUNCTION("""COMPUTED_VALUE"""),"MFHRO0036")</f>
        <v>MFHRO0036</v>
      </c>
      <c r="B218" s="16">
        <f>IFERROR(__xludf.DUMMYFUNCTION("""COMPUTED_VALUE"""),45755.445092685186)</f>
        <v>45755.44509</v>
      </c>
      <c r="C218" s="17">
        <f>IFERROR(__xludf.DUMMYFUNCTION("""COMPUTED_VALUE"""),45756.24373015047)</f>
        <v>45756.24373</v>
      </c>
      <c r="D218" s="15" t="str">
        <f>IFERROR(__xludf.DUMMYFUNCTION("""COMPUTED_VALUE"""),"Tools")</f>
        <v>Tools</v>
      </c>
      <c r="E218" s="15" t="str">
        <f>IFERROR(__xludf.DUMMYFUNCTION("""COMPUTED_VALUE"""),"-")</f>
        <v>-</v>
      </c>
      <c r="F218" s="15" t="str">
        <f>IFERROR(__xludf.DUMMYFUNCTION("""COMPUTED_VALUE"""),"Bor Impact Drill GSB 600; Bosch; 06011A03K2; set")</f>
        <v>Bor Impact Drill GSB 600; Bosch; 06011A03K2; set</v>
      </c>
      <c r="G218" s="15">
        <f>IFERROR(__xludf.DUMMYFUNCTION("""COMPUTED_VALUE"""),1.0)</f>
        <v>1</v>
      </c>
      <c r="H218" s="15" t="str">
        <f>IFERROR(__xludf.DUMMYFUNCTION("""COMPUTED_VALUE"""),"Pc")</f>
        <v>Pc</v>
      </c>
      <c r="I218" s="15" t="str">
        <f>IFERROR(__xludf.DUMMYFUNCTION("""COMPUTED_VALUE"""),"Deliver")</f>
        <v>Deliver</v>
      </c>
      <c r="J218" s="15" t="str">
        <f>IFERROR(__xludf.DUMMYFUNCTION("""COMPUTED_VALUE"""),"-")</f>
        <v>-</v>
      </c>
      <c r="K218" s="15" t="str">
        <f>IFERROR(__xludf.DUMMYFUNCTION("""COMPUTED_VALUE"""),"-")</f>
        <v>-</v>
      </c>
      <c r="L218" s="15" t="str">
        <f>IFERROR(__xludf.DUMMYFUNCTION("""COMPUTED_VALUE"""),"Normal")</f>
        <v>Normal</v>
      </c>
      <c r="M218" s="18" t="s">
        <v>53</v>
      </c>
      <c r="N218" s="18" t="s">
        <v>54</v>
      </c>
    </row>
    <row r="219" hidden="1">
      <c r="A219" s="15" t="str">
        <f>IFERROR(__xludf.DUMMYFUNCTION("""COMPUTED_VALUE"""),"MFHRO0037")</f>
        <v>MFHRO0037</v>
      </c>
      <c r="B219" s="16">
        <f>IFERROR(__xludf.DUMMYFUNCTION("""COMPUTED_VALUE"""),45755.445092685186)</f>
        <v>45755.44509</v>
      </c>
      <c r="C219" s="17">
        <f>IFERROR(__xludf.DUMMYFUNCTION("""COMPUTED_VALUE"""),45756.24383457176)</f>
        <v>45756.24383</v>
      </c>
      <c r="D219" s="15" t="str">
        <f>IFERROR(__xludf.DUMMYFUNCTION("""COMPUTED_VALUE"""),"cRABS")</f>
        <v>cRABS</v>
      </c>
      <c r="E219" s="15" t="str">
        <f>IFERROR(__xludf.DUMMYFUNCTION("""COMPUTED_VALUE"""),"-")</f>
        <v>-</v>
      </c>
      <c r="F219" s="15" t="str">
        <f>IFERROR(__xludf.DUMMYFUNCTION("""COMPUTED_VALUE"""),"Isolator Gloves E10330 Y 7 E4 4; 000156; Material : CSM; Shape : E10; Size : 7; Thickness (mm) : 4/1; ; ;")</f>
        <v>Isolator Gloves E10330 Y 7 E4 4; 000156; Material : CSM; Shape : E10; Size : 7; Thickness (mm) : 4/1; ; ;</v>
      </c>
      <c r="G219" s="15">
        <f>IFERROR(__xludf.DUMMYFUNCTION("""COMPUTED_VALUE"""),20.0)</f>
        <v>20</v>
      </c>
      <c r="H219" s="15" t="str">
        <f>IFERROR(__xludf.DUMMYFUNCTION("""COMPUTED_VALUE"""),"Pc")</f>
        <v>Pc</v>
      </c>
      <c r="I219" s="15" t="str">
        <f>IFERROR(__xludf.DUMMYFUNCTION("""COMPUTED_VALUE"""),"Deliver")</f>
        <v>Deliver</v>
      </c>
      <c r="J219" s="15" t="str">
        <f>IFERROR(__xludf.DUMMYFUNCTION("""COMPUTED_VALUE"""),"-")</f>
        <v>-</v>
      </c>
      <c r="K219" s="15" t="str">
        <f>IFERROR(__xludf.DUMMYFUNCTION("""COMPUTED_VALUE"""),"-")</f>
        <v>-</v>
      </c>
      <c r="L219" s="15" t="str">
        <f>IFERROR(__xludf.DUMMYFUNCTION("""COMPUTED_VALUE"""),"Normal")</f>
        <v>Normal</v>
      </c>
      <c r="M219" s="18" t="s">
        <v>53</v>
      </c>
      <c r="N219" s="18" t="s">
        <v>54</v>
      </c>
    </row>
    <row r="220" hidden="1">
      <c r="A220" s="15" t="str">
        <f>IFERROR(__xludf.DUMMYFUNCTION("""COMPUTED_VALUE"""),"MFHRO0038")</f>
        <v>MFHRO0038</v>
      </c>
      <c r="B220" s="16">
        <f>IFERROR(__xludf.DUMMYFUNCTION("""COMPUTED_VALUE"""),45755.44785783565)</f>
        <v>45755.44786</v>
      </c>
      <c r="C220" s="17">
        <f>IFERROR(__xludf.DUMMYFUNCTION("""COMPUTED_VALUE"""),45756.24394388889)</f>
        <v>45756.24394</v>
      </c>
      <c r="D220" s="15" t="str">
        <f>IFERROR(__xludf.DUMMYFUNCTION("""COMPUTED_VALUE"""),"General")</f>
        <v>General</v>
      </c>
      <c r="E220" s="15" t="str">
        <f>IFERROR(__xludf.DUMMYFUNCTION("""COMPUTED_VALUE"""),"-")</f>
        <v>-</v>
      </c>
      <c r="F220" s="15" t="str">
        <f>IFERROR(__xludf.DUMMYFUNCTION("""COMPUTED_VALUE"""),"Container Box; Claris; ; - Container/Box Plastik claris 70 liter (77x42x32) Type 1022")</f>
        <v>Container Box; Claris; ; - Container/Box Plastik claris 70 liter (77x42x32) Type 1022</v>
      </c>
      <c r="G220" s="15">
        <f>IFERROR(__xludf.DUMMYFUNCTION("""COMPUTED_VALUE"""),5.0)</f>
        <v>5</v>
      </c>
      <c r="H220" s="15" t="str">
        <f>IFERROR(__xludf.DUMMYFUNCTION("""COMPUTED_VALUE"""),"Pc")</f>
        <v>Pc</v>
      </c>
      <c r="I220" s="15" t="str">
        <f>IFERROR(__xludf.DUMMYFUNCTION("""COMPUTED_VALUE"""),"Deliver")</f>
        <v>Deliver</v>
      </c>
      <c r="J220" s="15" t="str">
        <f>IFERROR(__xludf.DUMMYFUNCTION("""COMPUTED_VALUE"""),"-")</f>
        <v>-</v>
      </c>
      <c r="K220" s="15" t="str">
        <f>IFERROR(__xludf.DUMMYFUNCTION("""COMPUTED_VALUE"""),"-")</f>
        <v>-</v>
      </c>
      <c r="L220" s="15" t="str">
        <f>IFERROR(__xludf.DUMMYFUNCTION("""COMPUTED_VALUE"""),"Normal")</f>
        <v>Normal</v>
      </c>
      <c r="M220" s="18" t="s">
        <v>53</v>
      </c>
      <c r="N220" s="18" t="s">
        <v>54</v>
      </c>
    </row>
    <row r="221" hidden="1">
      <c r="A221" s="15" t="str">
        <f>IFERROR(__xludf.DUMMYFUNCTION("""COMPUTED_VALUE"""),"MFHBR0002")</f>
        <v>MFHBR0002</v>
      </c>
      <c r="B221" s="16">
        <f>IFERROR(__xludf.DUMMYFUNCTION("""COMPUTED_VALUE"""),45756.227532453704)</f>
        <v>45756.22753</v>
      </c>
      <c r="C221" s="17">
        <f>IFERROR(__xludf.DUMMYFUNCTION("""COMPUTED_VALUE"""),45756.24416932871)</f>
        <v>45756.24417</v>
      </c>
      <c r="D221" s="15" t="str">
        <f>IFERROR(__xludf.DUMMYFUNCTION("""COMPUTED_VALUE"""),"N2 Gen")</f>
        <v>N2 Gen</v>
      </c>
      <c r="E221" s="15" t="str">
        <f>IFERROR(__xludf.DUMMYFUNCTION("""COMPUTED_VALUE"""),"-")</f>
        <v>-</v>
      </c>
      <c r="F221" s="15" t="str">
        <f>IFERROR(__xludf.DUMMYFUNCTION("""COMPUTED_VALUE"""),"Booster Regulator")</f>
        <v>Booster Regulator</v>
      </c>
      <c r="G221" s="15">
        <f>IFERROR(__xludf.DUMMYFUNCTION("""COMPUTED_VALUE"""),1.0)</f>
        <v>1</v>
      </c>
      <c r="H221" s="15" t="str">
        <f>IFERROR(__xludf.DUMMYFUNCTION("""COMPUTED_VALUE"""),"Unt")</f>
        <v>Unt</v>
      </c>
      <c r="I221" s="15" t="str">
        <f>IFERROR(__xludf.DUMMYFUNCTION("""COMPUTED_VALUE"""),"Deliver")</f>
        <v>Deliver</v>
      </c>
      <c r="J221" s="15" t="str">
        <f>IFERROR(__xludf.DUMMYFUNCTION("""COMPUTED_VALUE"""),"-")</f>
        <v>-</v>
      </c>
      <c r="K221" s="15" t="str">
        <f>IFERROR(__xludf.DUMMYFUNCTION("""COMPUTED_VALUE"""),"-")</f>
        <v>-</v>
      </c>
      <c r="L221" s="15" t="str">
        <f>IFERROR(__xludf.DUMMYFUNCTION("""COMPUTED_VALUE"""),"Normal")</f>
        <v>Normal</v>
      </c>
      <c r="M221" s="18" t="s">
        <v>53</v>
      </c>
      <c r="N221" s="18" t="s">
        <v>54</v>
      </c>
    </row>
    <row r="222" hidden="1">
      <c r="A222" s="15" t="str">
        <f>IFERROR(__xludf.DUMMYFUNCTION("""COMPUTED_VALUE"""),"MFHBR0003")</f>
        <v>MFHBR0003</v>
      </c>
      <c r="B222" s="16">
        <f>IFERROR(__xludf.DUMMYFUNCTION("""COMPUTED_VALUE"""),45756.2289671412)</f>
        <v>45756.22897</v>
      </c>
      <c r="C222" s="17">
        <f>IFERROR(__xludf.DUMMYFUNCTION("""COMPUTED_VALUE"""),45756.24427163194)</f>
        <v>45756.24427</v>
      </c>
      <c r="D222" s="15" t="str">
        <f>IFERROR(__xludf.DUMMYFUNCTION("""COMPUTED_VALUE"""),"N2 Gen")</f>
        <v>N2 Gen</v>
      </c>
      <c r="E222" s="15" t="str">
        <f>IFERROR(__xludf.DUMMYFUNCTION("""COMPUTED_VALUE"""),"-")</f>
        <v>-</v>
      </c>
      <c r="F222" s="15" t="str">
        <f>IFERROR(__xludf.DUMMYFUNCTION("""COMPUTED_VALUE"""),"Air Tank")</f>
        <v>Air Tank</v>
      </c>
      <c r="G222" s="15">
        <f>IFERROR(__xludf.DUMMYFUNCTION("""COMPUTED_VALUE"""),1.0)</f>
        <v>1</v>
      </c>
      <c r="H222" s="15" t="str">
        <f>IFERROR(__xludf.DUMMYFUNCTION("""COMPUTED_VALUE"""),"Unt")</f>
        <v>Unt</v>
      </c>
      <c r="I222" s="15" t="str">
        <f>IFERROR(__xludf.DUMMYFUNCTION("""COMPUTED_VALUE"""),"Deliver")</f>
        <v>Deliver</v>
      </c>
      <c r="J222" s="15" t="str">
        <f>IFERROR(__xludf.DUMMYFUNCTION("""COMPUTED_VALUE"""),"-")</f>
        <v>-</v>
      </c>
      <c r="K222" s="15" t="str">
        <f>IFERROR(__xludf.DUMMYFUNCTION("""COMPUTED_VALUE"""),"-")</f>
        <v>-</v>
      </c>
      <c r="L222" s="15" t="str">
        <f>IFERROR(__xludf.DUMMYFUNCTION("""COMPUTED_VALUE"""),"Normal")</f>
        <v>Normal</v>
      </c>
      <c r="M222" s="18" t="s">
        <v>53</v>
      </c>
      <c r="N222" s="18" t="s">
        <v>54</v>
      </c>
    </row>
    <row r="223" hidden="1">
      <c r="A223" s="15" t="str">
        <f>IFERROR(__xludf.DUMMYFUNCTION("""COMPUTED_VALUE"""),"MFHBR0004")</f>
        <v>MFHBR0004</v>
      </c>
      <c r="B223" s="16">
        <f>IFERROR(__xludf.DUMMYFUNCTION("""COMPUTED_VALUE"""),45756.22941479166)</f>
        <v>45756.22941</v>
      </c>
      <c r="C223" s="17">
        <f>IFERROR(__xludf.DUMMYFUNCTION("""COMPUTED_VALUE"""),45756.24436212963)</f>
        <v>45756.24436</v>
      </c>
      <c r="D223" s="15" t="str">
        <f>IFERROR(__xludf.DUMMYFUNCTION("""COMPUTED_VALUE"""),"N2 Gen")</f>
        <v>N2 Gen</v>
      </c>
      <c r="E223" s="15" t="str">
        <f>IFERROR(__xludf.DUMMYFUNCTION("""COMPUTED_VALUE"""),"-")</f>
        <v>-</v>
      </c>
      <c r="F223" s="15" t="str">
        <f>IFERROR(__xludf.DUMMYFUNCTION("""COMPUTED_VALUE"""),"Air Filter")</f>
        <v>Air Filter</v>
      </c>
      <c r="G223" s="15">
        <f>IFERROR(__xludf.DUMMYFUNCTION("""COMPUTED_VALUE"""),1.0)</f>
        <v>1</v>
      </c>
      <c r="H223" s="15" t="str">
        <f>IFERROR(__xludf.DUMMYFUNCTION("""COMPUTED_VALUE"""),"Unt")</f>
        <v>Unt</v>
      </c>
      <c r="I223" s="15" t="str">
        <f>IFERROR(__xludf.DUMMYFUNCTION("""COMPUTED_VALUE"""),"Deliver")</f>
        <v>Deliver</v>
      </c>
      <c r="J223" s="15" t="str">
        <f>IFERROR(__xludf.DUMMYFUNCTION("""COMPUTED_VALUE"""),"-")</f>
        <v>-</v>
      </c>
      <c r="K223" s="15" t="str">
        <f>IFERROR(__xludf.DUMMYFUNCTION("""COMPUTED_VALUE"""),"-")</f>
        <v>-</v>
      </c>
      <c r="L223" s="15" t="str">
        <f>IFERROR(__xludf.DUMMYFUNCTION("""COMPUTED_VALUE"""),"Normal")</f>
        <v>Normal</v>
      </c>
      <c r="M223" s="18" t="s">
        <v>53</v>
      </c>
      <c r="N223" s="18" t="s">
        <v>54</v>
      </c>
    </row>
    <row r="224" hidden="1">
      <c r="A224" s="15" t="str">
        <f>IFERROR(__xludf.DUMMYFUNCTION("""COMPUTED_VALUE"""),"MFHBR0005")</f>
        <v>MFHBR0005</v>
      </c>
      <c r="B224" s="16">
        <f>IFERROR(__xludf.DUMMYFUNCTION("""COMPUTED_VALUE"""),45756.233581215274)</f>
        <v>45756.23358</v>
      </c>
      <c r="C224" s="17">
        <f>IFERROR(__xludf.DUMMYFUNCTION("""COMPUTED_VALUE"""),45756.24445508102)</f>
        <v>45756.24446</v>
      </c>
      <c r="D224" s="15" t="str">
        <f>IFERROR(__xludf.DUMMYFUNCTION("""COMPUTED_VALUE"""),"Mixer SMBS")</f>
        <v>Mixer SMBS</v>
      </c>
      <c r="E224" s="15" t="str">
        <f>IFERROR(__xludf.DUMMYFUNCTION("""COMPUTED_VALUE"""),"-")</f>
        <v>-</v>
      </c>
      <c r="F224" s="15" t="str">
        <f>IFERROR(__xludf.DUMMYFUNCTION("""COMPUTED_VALUE"""),"Kopling Adapter")</f>
        <v>Kopling Adapter</v>
      </c>
      <c r="G224" s="15">
        <f>IFERROR(__xludf.DUMMYFUNCTION("""COMPUTED_VALUE"""),1.0)</f>
        <v>1</v>
      </c>
      <c r="H224" s="15" t="str">
        <f>IFERROR(__xludf.DUMMYFUNCTION("""COMPUTED_VALUE"""),"Pc")</f>
        <v>Pc</v>
      </c>
      <c r="I224" s="15" t="str">
        <f>IFERROR(__xludf.DUMMYFUNCTION("""COMPUTED_VALUE"""),"Deliver")</f>
        <v>Deliver</v>
      </c>
      <c r="J224" s="15" t="str">
        <f>IFERROR(__xludf.DUMMYFUNCTION("""COMPUTED_VALUE"""),"-")</f>
        <v>-</v>
      </c>
      <c r="K224" s="15" t="str">
        <f>IFERROR(__xludf.DUMMYFUNCTION("""COMPUTED_VALUE"""),"-")</f>
        <v>-</v>
      </c>
      <c r="L224" s="15" t="str">
        <f>IFERROR(__xludf.DUMMYFUNCTION("""COMPUTED_VALUE"""),"Normal")</f>
        <v>Normal</v>
      </c>
      <c r="M224" s="18" t="s">
        <v>53</v>
      </c>
      <c r="N224" s="18" t="s">
        <v>54</v>
      </c>
    </row>
    <row r="225" hidden="1">
      <c r="A225" s="15" t="str">
        <f>IFERROR(__xludf.DUMMYFUNCTION("""COMPUTED_VALUE"""),"MFHJA0001")</f>
        <v>MFHJA0001</v>
      </c>
      <c r="B225" s="16">
        <f>IFERROR(__xludf.DUMMYFUNCTION("""COMPUTED_VALUE"""),45755.25540655093)</f>
        <v>45755.25541</v>
      </c>
      <c r="C225" s="17">
        <f>IFERROR(__xludf.DUMMYFUNCTION("""COMPUTED_VALUE"""),45756.245849768515)</f>
        <v>45756.24585</v>
      </c>
      <c r="D225" s="15" t="str">
        <f>IFERROR(__xludf.DUMMYFUNCTION("""COMPUTED_VALUE"""),"Tunnel")</f>
        <v>Tunnel</v>
      </c>
      <c r="E225" s="15" t="str">
        <f>IFERROR(__xludf.DUMMYFUNCTION("""COMPUTED_VALUE"""),"-")</f>
        <v>-</v>
      </c>
      <c r="F225" s="15" t="str">
        <f>IFERROR(__xludf.DUMMYFUNCTION("""COMPUTED_VALUE"""),"Rewinding Motor dan Fan")</f>
        <v>Rewinding Motor dan Fan</v>
      </c>
      <c r="G225" s="15">
        <f>IFERROR(__xludf.DUMMYFUNCTION("""COMPUTED_VALUE"""),1.0)</f>
        <v>1</v>
      </c>
      <c r="H225" s="15" t="str">
        <f>IFERROR(__xludf.DUMMYFUNCTION("""COMPUTED_VALUE"""),"Lot")</f>
        <v>Lot</v>
      </c>
      <c r="I225" s="15" t="str">
        <f>IFERROR(__xludf.DUMMYFUNCTION("""COMPUTED_VALUE"""),"Deliver")</f>
        <v>Deliver</v>
      </c>
      <c r="J225" s="15" t="str">
        <f>IFERROR(__xludf.DUMMYFUNCTION("""COMPUTED_VALUE"""),"-")</f>
        <v>-</v>
      </c>
      <c r="K225" s="15" t="str">
        <f>IFERROR(__xludf.DUMMYFUNCTION("""COMPUTED_VALUE"""),"-")</f>
        <v>-</v>
      </c>
      <c r="L225" s="15" t="str">
        <f>IFERROR(__xludf.DUMMYFUNCTION("""COMPUTED_VALUE"""),"Normal")</f>
        <v>Normal</v>
      </c>
      <c r="M225" s="18" t="s">
        <v>53</v>
      </c>
      <c r="N225" s="18" t="s">
        <v>54</v>
      </c>
    </row>
    <row r="226" hidden="1">
      <c r="A226" s="15" t="str">
        <f>IFERROR(__xludf.DUMMYFUNCTION("""COMPUTED_VALUE"""),"MFHJA0002")</f>
        <v>MFHJA0002</v>
      </c>
      <c r="B226" s="16">
        <f>IFERROR(__xludf.DUMMYFUNCTION("""COMPUTED_VALUE"""),45755.32267778935)</f>
        <v>45755.32268</v>
      </c>
      <c r="C226" s="17">
        <f>IFERROR(__xludf.DUMMYFUNCTION("""COMPUTED_VALUE"""),45756.24596726852)</f>
        <v>45756.24597</v>
      </c>
      <c r="D226" s="15" t="str">
        <f>IFERROR(__xludf.DUMMYFUNCTION("""COMPUTED_VALUE"""),"Chamber")</f>
        <v>Chamber</v>
      </c>
      <c r="E226" s="15" t="str">
        <f>IFERROR(__xludf.DUMMYFUNCTION("""COMPUTED_VALUE"""),"-")</f>
        <v>-</v>
      </c>
      <c r="F226" s="15" t="str">
        <f>IFERROR(__xludf.DUMMYFUNCTION("""COMPUTED_VALUE"""),"Bobok dinding akses chamber masuk")</f>
        <v>Bobok dinding akses chamber masuk</v>
      </c>
      <c r="G226" s="15">
        <f>IFERROR(__xludf.DUMMYFUNCTION("""COMPUTED_VALUE"""),1.0)</f>
        <v>1</v>
      </c>
      <c r="H226" s="15" t="str">
        <f>IFERROR(__xludf.DUMMYFUNCTION("""COMPUTED_VALUE"""),"Lot")</f>
        <v>Lot</v>
      </c>
      <c r="I226" s="15" t="str">
        <f>IFERROR(__xludf.DUMMYFUNCTION("""COMPUTED_VALUE"""),"Deliver")</f>
        <v>Deliver</v>
      </c>
      <c r="J226" s="15" t="str">
        <f>IFERROR(__xludf.DUMMYFUNCTION("""COMPUTED_VALUE"""),"-")</f>
        <v>-</v>
      </c>
      <c r="K226" s="15" t="str">
        <f>IFERROR(__xludf.DUMMYFUNCTION("""COMPUTED_VALUE"""),"-")</f>
        <v>-</v>
      </c>
      <c r="L226" s="15" t="str">
        <f>IFERROR(__xludf.DUMMYFUNCTION("""COMPUTED_VALUE"""),"Normal")</f>
        <v>Normal</v>
      </c>
      <c r="M226" s="18" t="s">
        <v>53</v>
      </c>
      <c r="N226" s="18" t="s">
        <v>54</v>
      </c>
    </row>
    <row r="227" hidden="1">
      <c r="A227" s="15" t="str">
        <f>IFERROR(__xludf.DUMMYFUNCTION("""COMPUTED_VALUE"""),"MFHJA0003")</f>
        <v>MFHJA0003</v>
      </c>
      <c r="B227" s="16">
        <f>IFERROR(__xludf.DUMMYFUNCTION("""COMPUTED_VALUE"""),45755.329314421295)</f>
        <v>45755.32931</v>
      </c>
      <c r="C227" s="17">
        <f>IFERROR(__xludf.DUMMYFUNCTION("""COMPUTED_VALUE"""),45756.246135416666)</f>
        <v>45756.24614</v>
      </c>
      <c r="D227" s="15" t="str">
        <f>IFERROR(__xludf.DUMMYFUNCTION("""COMPUTED_VALUE"""),"Kulkas GEA")</f>
        <v>Kulkas GEA</v>
      </c>
      <c r="E227" s="15" t="str">
        <f>IFERROR(__xludf.DUMMYFUNCTION("""COMPUTED_VALUE"""),"-")</f>
        <v>-</v>
      </c>
      <c r="F227" s="15" t="str">
        <f>IFERROR(__xludf.DUMMYFUNCTION("""COMPUTED_VALUE"""),"Repair Kulkas GEA")</f>
        <v>Repair Kulkas GEA</v>
      </c>
      <c r="G227" s="15">
        <f>IFERROR(__xludf.DUMMYFUNCTION("""COMPUTED_VALUE"""),1.0)</f>
        <v>1</v>
      </c>
      <c r="H227" s="15" t="str">
        <f>IFERROR(__xludf.DUMMYFUNCTION("""COMPUTED_VALUE"""),"Lot")</f>
        <v>Lot</v>
      </c>
      <c r="I227" s="15" t="str">
        <f>IFERROR(__xludf.DUMMYFUNCTION("""COMPUTED_VALUE"""),"Deliver")</f>
        <v>Deliver</v>
      </c>
      <c r="J227" s="15" t="str">
        <f>IFERROR(__xludf.DUMMYFUNCTION("""COMPUTED_VALUE"""),"-")</f>
        <v>-</v>
      </c>
      <c r="K227" s="15" t="str">
        <f>IFERROR(__xludf.DUMMYFUNCTION("""COMPUTED_VALUE"""),"-")</f>
        <v>-</v>
      </c>
      <c r="L227" s="15" t="str">
        <f>IFERROR(__xludf.DUMMYFUNCTION("""COMPUTED_VALUE"""),"Normal")</f>
        <v>Normal</v>
      </c>
      <c r="M227" s="18" t="s">
        <v>53</v>
      </c>
      <c r="N227" s="18" t="s">
        <v>54</v>
      </c>
    </row>
    <row r="228" hidden="1">
      <c r="A228" s="15" t="str">
        <f>IFERROR(__xludf.DUMMYFUNCTION("""COMPUTED_VALUE"""),"MFHJA0004")</f>
        <v>MFHJA0004</v>
      </c>
      <c r="B228" s="16">
        <f>IFERROR(__xludf.DUMMYFUNCTION("""COMPUTED_VALUE"""),45755.39125409722)</f>
        <v>45755.39125</v>
      </c>
      <c r="C228" s="17">
        <f>IFERROR(__xludf.DUMMYFUNCTION("""COMPUTED_VALUE"""),45756.24622922453)</f>
        <v>45756.24623</v>
      </c>
      <c r="D228" s="15" t="str">
        <f>IFERROR(__xludf.DUMMYFUNCTION("""COMPUTED_VALUE"""),"Velo")</f>
        <v>Velo</v>
      </c>
      <c r="E228" s="15" t="str">
        <f>IFERROR(__xludf.DUMMYFUNCTION("""COMPUTED_VALUE"""),"-")</f>
        <v>-</v>
      </c>
      <c r="F228" s="15" t="str">
        <f>IFERROR(__xludf.DUMMYFUNCTION("""COMPUTED_VALUE"""),"Perbaikan dan repair Velo")</f>
        <v>Perbaikan dan repair Velo</v>
      </c>
      <c r="G228" s="15">
        <f>IFERROR(__xludf.DUMMYFUNCTION("""COMPUTED_VALUE"""),1.0)</f>
        <v>1</v>
      </c>
      <c r="H228" s="15" t="str">
        <f>IFERROR(__xludf.DUMMYFUNCTION("""COMPUTED_VALUE"""),"Lot")</f>
        <v>Lot</v>
      </c>
      <c r="I228" s="15" t="str">
        <f>IFERROR(__xludf.DUMMYFUNCTION("""COMPUTED_VALUE"""),"Deliver")</f>
        <v>Deliver</v>
      </c>
      <c r="J228" s="15" t="str">
        <f>IFERROR(__xludf.DUMMYFUNCTION("""COMPUTED_VALUE"""),"-")</f>
        <v>-</v>
      </c>
      <c r="K228" s="15" t="str">
        <f>IFERROR(__xludf.DUMMYFUNCTION("""COMPUTED_VALUE"""),"-")</f>
        <v>-</v>
      </c>
      <c r="L228" s="15" t="str">
        <f>IFERROR(__xludf.DUMMYFUNCTION("""COMPUTED_VALUE"""),"Normal")</f>
        <v>Normal</v>
      </c>
      <c r="M228" s="18" t="s">
        <v>53</v>
      </c>
      <c r="N228" s="18" t="s">
        <v>54</v>
      </c>
    </row>
    <row r="229" hidden="1">
      <c r="A229" s="15" t="str">
        <f>IFERROR(__xludf.DUMMYFUNCTION("""COMPUTED_VALUE"""),"MFHJA0005")</f>
        <v>MFHJA0005</v>
      </c>
      <c r="B229" s="16">
        <f>IFERROR(__xludf.DUMMYFUNCTION("""COMPUTED_VALUE"""),45755.40082490741)</f>
        <v>45755.40082</v>
      </c>
      <c r="C229" s="17">
        <f>IFERROR(__xludf.DUMMYFUNCTION("""COMPUTED_VALUE"""),45756.24633184028)</f>
        <v>45756.24633</v>
      </c>
      <c r="D229" s="15" t="str">
        <f>IFERROR(__xludf.DUMMYFUNCTION("""COMPUTED_VALUE"""),"FD")</f>
        <v>FD</v>
      </c>
      <c r="E229" s="15" t="str">
        <f>IFERROR(__xludf.DUMMYFUNCTION("""COMPUTED_VALUE"""),"-")</f>
        <v>-</v>
      </c>
      <c r="F229" s="15" t="str">
        <f>IFERROR(__xludf.DUMMYFUNCTION("""COMPUTED_VALUE"""),"Pembuatan Tee Reducer untuk Sampling")</f>
        <v>Pembuatan Tee Reducer untuk Sampling</v>
      </c>
      <c r="G229" s="15">
        <f>IFERROR(__xludf.DUMMYFUNCTION("""COMPUTED_VALUE"""),1.0)</f>
        <v>1</v>
      </c>
      <c r="H229" s="15" t="str">
        <f>IFERROR(__xludf.DUMMYFUNCTION("""COMPUTED_VALUE"""),"Lot")</f>
        <v>Lot</v>
      </c>
      <c r="I229" s="15" t="str">
        <f>IFERROR(__xludf.DUMMYFUNCTION("""COMPUTED_VALUE"""),"Deliver")</f>
        <v>Deliver</v>
      </c>
      <c r="J229" s="15" t="str">
        <f>IFERROR(__xludf.DUMMYFUNCTION("""COMPUTED_VALUE"""),"-")</f>
        <v>-</v>
      </c>
      <c r="K229" s="15" t="str">
        <f>IFERROR(__xludf.DUMMYFUNCTION("""COMPUTED_VALUE"""),"-")</f>
        <v>-</v>
      </c>
      <c r="L229" s="15" t="str">
        <f>IFERROR(__xludf.DUMMYFUNCTION("""COMPUTED_VALUE"""),"Normal")</f>
        <v>Normal</v>
      </c>
      <c r="M229" s="18" t="s">
        <v>53</v>
      </c>
      <c r="N229" s="18" t="s">
        <v>54</v>
      </c>
    </row>
    <row r="230" hidden="1">
      <c r="A230" s="15" t="str">
        <f>IFERROR(__xludf.DUMMYFUNCTION("""COMPUTED_VALUE"""),"MFHJA0006")</f>
        <v>MFHJA0006</v>
      </c>
      <c r="B230" s="16">
        <f>IFERROR(__xludf.DUMMYFUNCTION("""COMPUTED_VALUE"""),45755.44509273148)</f>
        <v>45755.44509</v>
      </c>
      <c r="C230" s="17">
        <f>IFERROR(__xludf.DUMMYFUNCTION("""COMPUTED_VALUE"""),45756.24642502315)</f>
        <v>45756.24643</v>
      </c>
      <c r="D230" s="15" t="str">
        <f>IFERROR(__xludf.DUMMYFUNCTION("""COMPUTED_VALUE"""),"BoD")</f>
        <v>BoD</v>
      </c>
      <c r="E230" s="15" t="str">
        <f>IFERROR(__xludf.DUMMYFUNCTION("""COMPUTED_VALUE"""),"-")</f>
        <v>-</v>
      </c>
      <c r="F230" s="15" t="str">
        <f>IFERROR(__xludf.DUMMYFUNCTION("""COMPUTED_VALUE"""),"Perbaikan Kompresor BoD")</f>
        <v>Perbaikan Kompresor BoD</v>
      </c>
      <c r="G230" s="15">
        <f>IFERROR(__xludf.DUMMYFUNCTION("""COMPUTED_VALUE"""),1.0)</f>
        <v>1</v>
      </c>
      <c r="H230" s="15" t="str">
        <f>IFERROR(__xludf.DUMMYFUNCTION("""COMPUTED_VALUE"""),"Lot")</f>
        <v>Lot</v>
      </c>
      <c r="I230" s="15" t="str">
        <f>IFERROR(__xludf.DUMMYFUNCTION("""COMPUTED_VALUE"""),"Deliver")</f>
        <v>Deliver</v>
      </c>
      <c r="J230" s="15" t="str">
        <f>IFERROR(__xludf.DUMMYFUNCTION("""COMPUTED_VALUE"""),"-")</f>
        <v>-</v>
      </c>
      <c r="K230" s="15" t="str">
        <f>IFERROR(__xludf.DUMMYFUNCTION("""COMPUTED_VALUE"""),"-")</f>
        <v>-</v>
      </c>
      <c r="L230" s="15" t="str">
        <f>IFERROR(__xludf.DUMMYFUNCTION("""COMPUTED_VALUE"""),"Normal")</f>
        <v>Normal</v>
      </c>
      <c r="M230" s="18" t="s">
        <v>53</v>
      </c>
      <c r="N230" s="18" t="s">
        <v>54</v>
      </c>
    </row>
    <row r="231" hidden="1">
      <c r="A231" s="15" t="str">
        <f>IFERROR(__xludf.DUMMYFUNCTION("""COMPUTED_VALUE"""),"MFHJA0007")</f>
        <v>MFHJA0007</v>
      </c>
      <c r="B231" s="16">
        <f>IFERROR(__xludf.DUMMYFUNCTION("""COMPUTED_VALUE"""),45755.44680806713)</f>
        <v>45755.44681</v>
      </c>
      <c r="C231" s="17">
        <f>IFERROR(__xludf.DUMMYFUNCTION("""COMPUTED_VALUE"""),45756.24654129629)</f>
        <v>45756.24654</v>
      </c>
      <c r="D231" s="15" t="str">
        <f>IFERROR(__xludf.DUMMYFUNCTION("""COMPUTED_VALUE"""),"Capping")</f>
        <v>Capping</v>
      </c>
      <c r="E231" s="15" t="str">
        <f>IFERROR(__xludf.DUMMYFUNCTION("""COMPUTED_VALUE"""),"-")</f>
        <v>-</v>
      </c>
      <c r="F231" s="15" t="str">
        <f>IFERROR(__xludf.DUMMYFUNCTION("""COMPUTED_VALUE"""),"Modiufikasi Caps Chute")</f>
        <v>Modiufikasi Caps Chute</v>
      </c>
      <c r="G231" s="15">
        <f>IFERROR(__xludf.DUMMYFUNCTION("""COMPUTED_VALUE"""),1.0)</f>
        <v>1</v>
      </c>
      <c r="H231" s="15" t="str">
        <f>IFERROR(__xludf.DUMMYFUNCTION("""COMPUTED_VALUE"""),"Lot")</f>
        <v>Lot</v>
      </c>
      <c r="I231" s="15" t="str">
        <f>IFERROR(__xludf.DUMMYFUNCTION("""COMPUTED_VALUE"""),"Deliver")</f>
        <v>Deliver</v>
      </c>
      <c r="J231" s="15" t="str">
        <f>IFERROR(__xludf.DUMMYFUNCTION("""COMPUTED_VALUE"""),"-")</f>
        <v>-</v>
      </c>
      <c r="K231" s="15" t="str">
        <f>IFERROR(__xludf.DUMMYFUNCTION("""COMPUTED_VALUE"""),"-")</f>
        <v>-</v>
      </c>
      <c r="L231" s="15" t="str">
        <f>IFERROR(__xludf.DUMMYFUNCTION("""COMPUTED_VALUE"""),"Normal")</f>
        <v>Normal</v>
      </c>
      <c r="M231" s="18" t="s">
        <v>53</v>
      </c>
      <c r="N231" s="18" t="s">
        <v>54</v>
      </c>
    </row>
    <row r="232" hidden="1">
      <c r="A232" s="15" t="str">
        <f>IFERROR(__xludf.DUMMYFUNCTION("""COMPUTED_VALUE"""),"MFHJA0008")</f>
        <v>MFHJA0008</v>
      </c>
      <c r="B232" s="16">
        <f>IFERROR(__xludf.DUMMYFUNCTION("""COMPUTED_VALUE"""),45756.230366331016)</f>
        <v>45756.23037</v>
      </c>
      <c r="C232" s="17">
        <f>IFERROR(__xludf.DUMMYFUNCTION("""COMPUTED_VALUE"""),45756.246648541666)</f>
        <v>45756.24665</v>
      </c>
      <c r="D232" s="15" t="str">
        <f>IFERROR(__xludf.DUMMYFUNCTION("""COMPUTED_VALUE"""),"FD")</f>
        <v>FD</v>
      </c>
      <c r="E232" s="15" t="str">
        <f>IFERROR(__xludf.DUMMYFUNCTION("""COMPUTED_VALUE"""),"-")</f>
        <v>-</v>
      </c>
      <c r="F232" s="15" t="str">
        <f>IFERROR(__xludf.DUMMYFUNCTION("""COMPUTED_VALUE"""),"Remote Vacuum FD")</f>
        <v>Remote Vacuum FD</v>
      </c>
      <c r="G232" s="15">
        <f>IFERROR(__xludf.DUMMYFUNCTION("""COMPUTED_VALUE"""),1.0)</f>
        <v>1</v>
      </c>
      <c r="H232" s="15" t="str">
        <f>IFERROR(__xludf.DUMMYFUNCTION("""COMPUTED_VALUE"""),"Lot")</f>
        <v>Lot</v>
      </c>
      <c r="I232" s="15" t="str">
        <f>IFERROR(__xludf.DUMMYFUNCTION("""COMPUTED_VALUE"""),"Deliver")</f>
        <v>Deliver</v>
      </c>
      <c r="J232" s="15" t="str">
        <f>IFERROR(__xludf.DUMMYFUNCTION("""COMPUTED_VALUE"""),"-")</f>
        <v>-</v>
      </c>
      <c r="K232" s="15" t="str">
        <f>IFERROR(__xludf.DUMMYFUNCTION("""COMPUTED_VALUE"""),"-")</f>
        <v>-</v>
      </c>
      <c r="L232" s="15" t="str">
        <f>IFERROR(__xludf.DUMMYFUNCTION("""COMPUTED_VALUE"""),"Normal")</f>
        <v>Normal</v>
      </c>
      <c r="M232" s="18" t="s">
        <v>53</v>
      </c>
      <c r="N232" s="18" t="s">
        <v>54</v>
      </c>
    </row>
    <row r="233" hidden="1">
      <c r="A233" s="15" t="str">
        <f>IFERROR(__xludf.DUMMYFUNCTION("""COMPUTED_VALUE"""),"MFHJA0009")</f>
        <v>MFHJA0009</v>
      </c>
      <c r="B233" s="16">
        <f>IFERROR(__xludf.DUMMYFUNCTION("""COMPUTED_VALUE"""),45756.23275263889)</f>
        <v>45756.23275</v>
      </c>
      <c r="C233" s="17">
        <f>IFERROR(__xludf.DUMMYFUNCTION("""COMPUTED_VALUE"""),45756.24674576389)</f>
        <v>45756.24675</v>
      </c>
      <c r="D233" s="15" t="str">
        <f>IFERROR(__xludf.DUMMYFUNCTION("""COMPUTED_VALUE"""),"Building")</f>
        <v>Building</v>
      </c>
      <c r="E233" s="15" t="str">
        <f>IFERROR(__xludf.DUMMYFUNCTION("""COMPUTED_VALUE"""),"EJO/2025/04/133")</f>
        <v>EJO/2025/04/133</v>
      </c>
      <c r="F233" s="15" t="str">
        <f>IFERROR(__xludf.DUMMYFUNCTION("""COMPUTED_VALUE"""),"Pengecekan Panel BAS")</f>
        <v>Pengecekan Panel BAS</v>
      </c>
      <c r="G233" s="15">
        <f>IFERROR(__xludf.DUMMYFUNCTION("""COMPUTED_VALUE"""),1.0)</f>
        <v>1</v>
      </c>
      <c r="H233" s="15" t="str">
        <f>IFERROR(__xludf.DUMMYFUNCTION("""COMPUTED_VALUE"""),"Lot")</f>
        <v>Lot</v>
      </c>
      <c r="I233" s="15" t="str">
        <f>IFERROR(__xludf.DUMMYFUNCTION("""COMPUTED_VALUE"""),"Deliver")</f>
        <v>Deliver</v>
      </c>
      <c r="J233" s="15" t="str">
        <f>IFERROR(__xludf.DUMMYFUNCTION("""COMPUTED_VALUE"""),"-")</f>
        <v>-</v>
      </c>
      <c r="K233" s="15" t="str">
        <f>IFERROR(__xludf.DUMMYFUNCTION("""COMPUTED_VALUE"""),"-")</f>
        <v>-</v>
      </c>
      <c r="L233" s="15" t="str">
        <f>IFERROR(__xludf.DUMMYFUNCTION("""COMPUTED_VALUE"""),"Normal")</f>
        <v>Normal</v>
      </c>
      <c r="M233" s="18" t="s">
        <v>53</v>
      </c>
      <c r="N233" s="18" t="s">
        <v>54</v>
      </c>
    </row>
    <row r="234" hidden="1">
      <c r="A234" s="15" t="str">
        <f>IFERROR(__xludf.DUMMYFUNCTION("""COMPUTED_VALUE"""),"MFHRO0039")</f>
        <v>MFHRO0039</v>
      </c>
      <c r="B234" s="16">
        <f>IFERROR(__xludf.DUMMYFUNCTION("""COMPUTED_VALUE"""),45756.247224074075)</f>
        <v>45756.24722</v>
      </c>
      <c r="C234" s="17">
        <f>IFERROR(__xludf.DUMMYFUNCTION("""COMPUTED_VALUE"""),45756.255035902774)</f>
        <v>45756.25504</v>
      </c>
      <c r="D234" s="15" t="str">
        <f>IFERROR(__xludf.DUMMYFUNCTION("""COMPUTED_VALUE"""),"cRABS")</f>
        <v>cRABS</v>
      </c>
      <c r="E234" s="15" t="str">
        <f>IFERROR(__xludf.DUMMYFUNCTION("""COMPUTED_VALUE"""),"-")</f>
        <v>-</v>
      </c>
      <c r="F234" s="15" t="str">
        <f>IFERROR(__xludf.DUMMYFUNCTION("""COMPUTED_VALUE"""),"General - Isolator Glove Smaller glove CSM  (AS : E10330 Y 7 E4); Austar; ; 1 Pc")</f>
        <v>General - Isolator Glove Smaller glove CSM  (AS : E10330 Y 7 E4); Austar; ; 1 Pc</v>
      </c>
      <c r="G234" s="15">
        <f>IFERROR(__xludf.DUMMYFUNCTION("""COMPUTED_VALUE"""),20.0)</f>
        <v>20</v>
      </c>
      <c r="H234" s="15" t="str">
        <f>IFERROR(__xludf.DUMMYFUNCTION("""COMPUTED_VALUE"""),"Pc")</f>
        <v>Pc</v>
      </c>
      <c r="I234" s="15" t="str">
        <f>IFERROR(__xludf.DUMMYFUNCTION("""COMPUTED_VALUE"""),"Deliver")</f>
        <v>Deliver</v>
      </c>
      <c r="J234" s="15" t="str">
        <f>IFERROR(__xludf.DUMMYFUNCTION("""COMPUTED_VALUE"""),"-")</f>
        <v>-</v>
      </c>
      <c r="K234" s="15" t="str">
        <f>IFERROR(__xludf.DUMMYFUNCTION("""COMPUTED_VALUE"""),"-")</f>
        <v>-</v>
      </c>
      <c r="L234" s="15" t="str">
        <f>IFERROR(__xludf.DUMMYFUNCTION("""COMPUTED_VALUE"""),"Normal")</f>
        <v>Normal</v>
      </c>
      <c r="M234" s="18" t="s">
        <v>53</v>
      </c>
      <c r="N234" s="18" t="s">
        <v>54</v>
      </c>
    </row>
    <row r="235" hidden="1">
      <c r="A235" s="15" t="str">
        <f>IFERROR(__xludf.DUMMYFUNCTION("""COMPUTED_VALUE"""),"MFHRO0040")</f>
        <v>MFHRO0040</v>
      </c>
      <c r="B235" s="16">
        <f>IFERROR(__xludf.DUMMYFUNCTION("""COMPUTED_VALUE"""),45756.24822056713)</f>
        <v>45756.24822</v>
      </c>
      <c r="C235" s="17">
        <f>IFERROR(__xludf.DUMMYFUNCTION("""COMPUTED_VALUE"""),45756.25513659722)</f>
        <v>45756.25514</v>
      </c>
      <c r="D235" s="15" t="str">
        <f>IFERROR(__xludf.DUMMYFUNCTION("""COMPUTED_VALUE"""),"Workshop")</f>
        <v>Workshop</v>
      </c>
      <c r="E235" s="15" t="str">
        <f>IFERROR(__xludf.DUMMYFUNCTION("""COMPUTED_VALUE"""),"-")</f>
        <v>-</v>
      </c>
      <c r="F235" s="15" t="str">
        <f>IFERROR(__xludf.DUMMYFUNCTION("""COMPUTED_VALUE"""),"General - Tungsten Electrodes dia 1.6 mm; No Brand; -; 1 pc")</f>
        <v>General - Tungsten Electrodes dia 1.6 mm; No Brand; -; 1 pc</v>
      </c>
      <c r="G235" s="15">
        <f>IFERROR(__xludf.DUMMYFUNCTION("""COMPUTED_VALUE"""),2.0)</f>
        <v>2</v>
      </c>
      <c r="H235" s="15" t="str">
        <f>IFERROR(__xludf.DUMMYFUNCTION("""COMPUTED_VALUE"""),"Pc")</f>
        <v>Pc</v>
      </c>
      <c r="I235" s="15" t="str">
        <f>IFERROR(__xludf.DUMMYFUNCTION("""COMPUTED_VALUE"""),"Deliver")</f>
        <v>Deliver</v>
      </c>
      <c r="J235" s="15" t="str">
        <f>IFERROR(__xludf.DUMMYFUNCTION("""COMPUTED_VALUE"""),"-")</f>
        <v>-</v>
      </c>
      <c r="K235" s="15" t="str">
        <f>IFERROR(__xludf.DUMMYFUNCTION("""COMPUTED_VALUE"""),"-")</f>
        <v>-</v>
      </c>
      <c r="L235" s="15" t="str">
        <f>IFERROR(__xludf.DUMMYFUNCTION("""COMPUTED_VALUE"""),"Normal")</f>
        <v>Normal</v>
      </c>
      <c r="M235" s="18" t="s">
        <v>53</v>
      </c>
      <c r="N235" s="18" t="s">
        <v>54</v>
      </c>
    </row>
    <row r="236" hidden="1">
      <c r="A236" s="15" t="str">
        <f>IFERROR(__xludf.DUMMYFUNCTION("""COMPUTED_VALUE"""),"MFHRO0041")</f>
        <v>MFHRO0041</v>
      </c>
      <c r="B236" s="16">
        <f>IFERROR(__xludf.DUMMYFUNCTION("""COMPUTED_VALUE"""),45756.24866356482)</f>
        <v>45756.24866</v>
      </c>
      <c r="C236" s="17">
        <f>IFERROR(__xludf.DUMMYFUNCTION("""COMPUTED_VALUE"""),45756.25522831019)</f>
        <v>45756.25523</v>
      </c>
      <c r="D236" s="15" t="str">
        <f>IFERROR(__xludf.DUMMYFUNCTION("""COMPUTED_VALUE"""),"Capping")</f>
        <v>Capping</v>
      </c>
      <c r="E236" s="15" t="str">
        <f>IFERROR(__xludf.DUMMYFUNCTION("""COMPUTED_VALUE"""),"-")</f>
        <v>-</v>
      </c>
      <c r="F236" s="15" t="str">
        <f>IFERROR(__xludf.DUMMYFUNCTION("""COMPUTED_VALUE"""),"General - Oring Silicone Merah 23x18x2.5 mm; -; -; 1 Pc")</f>
        <v>General - Oring Silicone Merah 23x18x2.5 mm; -; -; 1 Pc</v>
      </c>
      <c r="G236" s="15">
        <f>IFERROR(__xludf.DUMMYFUNCTION("""COMPUTED_VALUE"""),300.0)</f>
        <v>300</v>
      </c>
      <c r="H236" s="15" t="str">
        <f>IFERROR(__xludf.DUMMYFUNCTION("""COMPUTED_VALUE"""),"Pc")</f>
        <v>Pc</v>
      </c>
      <c r="I236" s="15" t="str">
        <f>IFERROR(__xludf.DUMMYFUNCTION("""COMPUTED_VALUE"""),"Deliver")</f>
        <v>Deliver</v>
      </c>
      <c r="J236" s="15" t="str">
        <f>IFERROR(__xludf.DUMMYFUNCTION("""COMPUTED_VALUE"""),"-")</f>
        <v>-</v>
      </c>
      <c r="K236" s="15" t="str">
        <f>IFERROR(__xludf.DUMMYFUNCTION("""COMPUTED_VALUE"""),"-")</f>
        <v>-</v>
      </c>
      <c r="L236" s="15" t="str">
        <f>IFERROR(__xludf.DUMMYFUNCTION("""COMPUTED_VALUE"""),"Normal")</f>
        <v>Normal</v>
      </c>
      <c r="M236" s="18" t="s">
        <v>53</v>
      </c>
      <c r="N236" s="18" t="s">
        <v>54</v>
      </c>
    </row>
    <row r="237" hidden="1">
      <c r="A237" s="15" t="str">
        <f>IFERROR(__xludf.DUMMYFUNCTION("""COMPUTED_VALUE"""),"MFHRO0042")</f>
        <v>MFHRO0042</v>
      </c>
      <c r="B237" s="16">
        <f>IFERROR(__xludf.DUMMYFUNCTION("""COMPUTED_VALUE"""),45756.25163817129)</f>
        <v>45756.25164</v>
      </c>
      <c r="C237" s="17">
        <f>IFERROR(__xludf.DUMMYFUNCTION("""COMPUTED_VALUE"""),45756.25531284722)</f>
        <v>45756.25531</v>
      </c>
      <c r="D237" s="15" t="str">
        <f>IFERROR(__xludf.DUMMYFUNCTION("""COMPUTED_VALUE"""),"WWTP")</f>
        <v>WWTP</v>
      </c>
      <c r="E237" s="15" t="str">
        <f>IFERROR(__xludf.DUMMYFUNCTION("""COMPUTED_VALUE"""),"-")</f>
        <v>-</v>
      </c>
      <c r="F237" s="15" t="str">
        <f>IFERROR(__xludf.DUMMYFUNCTION("""COMPUTED_VALUE"""),"General - Gearbox, Ratio I=14.3x, Frame 071, DIM.25x50, Flange Mounted, Helical Gear; Motovario; HA42 F; 1 unit")</f>
        <v>General - Gearbox, Ratio I=14.3x, Frame 071, DIM.25x50, Flange Mounted, Helical Gear; Motovario; HA42 F; 1 unit</v>
      </c>
      <c r="G237" s="15">
        <f>IFERROR(__xludf.DUMMYFUNCTION("""COMPUTED_VALUE"""),1.0)</f>
        <v>1</v>
      </c>
      <c r="H237" s="15" t="str">
        <f>IFERROR(__xludf.DUMMYFUNCTION("""COMPUTED_VALUE"""),"Pc")</f>
        <v>Pc</v>
      </c>
      <c r="I237" s="15" t="str">
        <f>IFERROR(__xludf.DUMMYFUNCTION("""COMPUTED_VALUE"""),"Deliver")</f>
        <v>Deliver</v>
      </c>
      <c r="J237" s="15" t="str">
        <f>IFERROR(__xludf.DUMMYFUNCTION("""COMPUTED_VALUE"""),"-")</f>
        <v>-</v>
      </c>
      <c r="K237" s="15" t="str">
        <f>IFERROR(__xludf.DUMMYFUNCTION("""COMPUTED_VALUE"""),"-")</f>
        <v>-</v>
      </c>
      <c r="L237" s="15" t="str">
        <f>IFERROR(__xludf.DUMMYFUNCTION("""COMPUTED_VALUE"""),"Normal")</f>
        <v>Normal</v>
      </c>
      <c r="M237" s="18" t="s">
        <v>53</v>
      </c>
      <c r="N237" s="18" t="s">
        <v>54</v>
      </c>
    </row>
    <row r="238" hidden="1">
      <c r="A238" s="15" t="str">
        <f>IFERROR(__xludf.DUMMYFUNCTION("""COMPUTED_VALUE"""),"MFHRO0043")</f>
        <v>MFHRO0043</v>
      </c>
      <c r="B238" s="16">
        <f>IFERROR(__xludf.DUMMYFUNCTION("""COMPUTED_VALUE"""),45756.252202291675)</f>
        <v>45756.2522</v>
      </c>
      <c r="C238" s="17">
        <f>IFERROR(__xludf.DUMMYFUNCTION("""COMPUTED_VALUE"""),45756.255398923604)</f>
        <v>45756.2554</v>
      </c>
      <c r="D238" s="15" t="str">
        <f>IFERROR(__xludf.DUMMYFUNCTION("""COMPUTED_VALUE"""),"WWTP")</f>
        <v>WWTP</v>
      </c>
      <c r="E238" s="15" t="str">
        <f>IFERROR(__xludf.DUMMYFUNCTION("""COMPUTED_VALUE"""),"-")</f>
        <v>-</v>
      </c>
      <c r="F238" s="15" t="str">
        <f>IFERROR(__xludf.DUMMYFUNCTION("""COMPUTED_VALUE"""),"General - Electric motor, 0.37 Kw, S1, 230-400V, 50 Hz, B5, ISOL.Class F, IP55 IE2; Motovario; TH 71B4; 1 unit")</f>
        <v>General - Electric motor, 0.37 Kw, S1, 230-400V, 50 Hz, B5, ISOL.Class F, IP55 IE2; Motovario; TH 71B4; 1 unit</v>
      </c>
      <c r="G238" s="15">
        <f>IFERROR(__xludf.DUMMYFUNCTION("""COMPUTED_VALUE"""),1.0)</f>
        <v>1</v>
      </c>
      <c r="H238" s="15" t="str">
        <f>IFERROR(__xludf.DUMMYFUNCTION("""COMPUTED_VALUE"""),"Pc")</f>
        <v>Pc</v>
      </c>
      <c r="I238" s="15" t="str">
        <f>IFERROR(__xludf.DUMMYFUNCTION("""COMPUTED_VALUE"""),"Deliver")</f>
        <v>Deliver</v>
      </c>
      <c r="J238" s="15" t="str">
        <f>IFERROR(__xludf.DUMMYFUNCTION("""COMPUTED_VALUE"""),"-")</f>
        <v>-</v>
      </c>
      <c r="K238" s="15" t="str">
        <f>IFERROR(__xludf.DUMMYFUNCTION("""COMPUTED_VALUE"""),"-")</f>
        <v>-</v>
      </c>
      <c r="L238" s="15" t="str">
        <f>IFERROR(__xludf.DUMMYFUNCTION("""COMPUTED_VALUE"""),"Normal")</f>
        <v>Normal</v>
      </c>
      <c r="M238" s="18" t="s">
        <v>53</v>
      </c>
      <c r="N238" s="18" t="s">
        <v>54</v>
      </c>
    </row>
    <row r="239" hidden="1">
      <c r="A239" s="15" t="str">
        <f>IFERROR(__xludf.DUMMYFUNCTION("""COMPUTED_VALUE"""),"MFHRO0044")</f>
        <v>MFHRO0044</v>
      </c>
      <c r="B239" s="16">
        <f>IFERROR(__xludf.DUMMYFUNCTION("""COMPUTED_VALUE"""),45756.25264371528)</f>
        <v>45756.25264</v>
      </c>
      <c r="C239" s="17">
        <f>IFERROR(__xludf.DUMMYFUNCTION("""COMPUTED_VALUE"""),45756.25547818287)</f>
        <v>45756.25548</v>
      </c>
      <c r="D239" s="15" t="str">
        <f>IFERROR(__xludf.DUMMYFUNCTION("""COMPUTED_VALUE"""),"WWTP")</f>
        <v>WWTP</v>
      </c>
      <c r="E239" s="15" t="str">
        <f>IFERROR(__xludf.DUMMYFUNCTION("""COMPUTED_VALUE"""),"-")</f>
        <v>-</v>
      </c>
      <c r="F239" s="15" t="str">
        <f>IFERROR(__xludf.DUMMYFUNCTION("""COMPUTED_VALUE"""),"General - Gearbox, Ratio I=14.5, Frame 090, DIM. 30x60, Flange Mounted, Helical Gear; Motovario; HA52; 1 unit")</f>
        <v>General - Gearbox, Ratio I=14.5, Frame 090, DIM. 30x60, Flange Mounted, Helical Gear; Motovario; HA52; 1 unit</v>
      </c>
      <c r="G239" s="15">
        <f>IFERROR(__xludf.DUMMYFUNCTION("""COMPUTED_VALUE"""),2.0)</f>
        <v>2</v>
      </c>
      <c r="H239" s="15" t="str">
        <f>IFERROR(__xludf.DUMMYFUNCTION("""COMPUTED_VALUE"""),"Pc")</f>
        <v>Pc</v>
      </c>
      <c r="I239" s="15" t="str">
        <f>IFERROR(__xludf.DUMMYFUNCTION("""COMPUTED_VALUE"""),"Deliver")</f>
        <v>Deliver</v>
      </c>
      <c r="J239" s="15" t="str">
        <f>IFERROR(__xludf.DUMMYFUNCTION("""COMPUTED_VALUE"""),"-")</f>
        <v>-</v>
      </c>
      <c r="K239" s="15" t="str">
        <f>IFERROR(__xludf.DUMMYFUNCTION("""COMPUTED_VALUE"""),"-")</f>
        <v>-</v>
      </c>
      <c r="L239" s="15" t="str">
        <f>IFERROR(__xludf.DUMMYFUNCTION("""COMPUTED_VALUE"""),"Normal")</f>
        <v>Normal</v>
      </c>
      <c r="M239" s="18" t="s">
        <v>53</v>
      </c>
      <c r="N239" s="18" t="s">
        <v>54</v>
      </c>
    </row>
    <row r="240" hidden="1">
      <c r="A240" s="15" t="str">
        <f>IFERROR(__xludf.DUMMYFUNCTION("""COMPUTED_VALUE"""),"MFHRO0045")</f>
        <v>MFHRO0045</v>
      </c>
      <c r="B240" s="16">
        <f>IFERROR(__xludf.DUMMYFUNCTION("""COMPUTED_VALUE"""),45756.2529860301)</f>
        <v>45756.25299</v>
      </c>
      <c r="C240" s="17">
        <f>IFERROR(__xludf.DUMMYFUNCTION("""COMPUTED_VALUE"""),45756.2555907176)</f>
        <v>45756.25559</v>
      </c>
      <c r="D240" s="15" t="str">
        <f>IFERROR(__xludf.DUMMYFUNCTION("""COMPUTED_VALUE"""),"WWTP")</f>
        <v>WWTP</v>
      </c>
      <c r="E240" s="15" t="str">
        <f>IFERROR(__xludf.DUMMYFUNCTION("""COMPUTED_VALUE"""),"-")</f>
        <v>-</v>
      </c>
      <c r="F240" s="15" t="str">
        <f>IFERROR(__xludf.DUMMYFUNCTION("""COMPUTED_VALUE"""),"General - Electric Motor, 1.5 KW, 230-400V, 50Hz, B5, ISOL.Class F, IP55, IE3; Motovario; TP 90L4; 1 unit")</f>
        <v>General - Electric Motor, 1.5 KW, 230-400V, 50Hz, B5, ISOL.Class F, IP55, IE3; Motovario; TP 90L4; 1 unit</v>
      </c>
      <c r="G240" s="15">
        <f>IFERROR(__xludf.DUMMYFUNCTION("""COMPUTED_VALUE"""),2.0)</f>
        <v>2</v>
      </c>
      <c r="H240" s="15" t="str">
        <f>IFERROR(__xludf.DUMMYFUNCTION("""COMPUTED_VALUE"""),"Pc")</f>
        <v>Pc</v>
      </c>
      <c r="I240" s="15" t="str">
        <f>IFERROR(__xludf.DUMMYFUNCTION("""COMPUTED_VALUE"""),"Deliver")</f>
        <v>Deliver</v>
      </c>
      <c r="J240" s="15" t="str">
        <f>IFERROR(__xludf.DUMMYFUNCTION("""COMPUTED_VALUE"""),"-")</f>
        <v>-</v>
      </c>
      <c r="K240" s="15" t="str">
        <f>IFERROR(__xludf.DUMMYFUNCTION("""COMPUTED_VALUE"""),"-")</f>
        <v>-</v>
      </c>
      <c r="L240" s="15" t="str">
        <f>IFERROR(__xludf.DUMMYFUNCTION("""COMPUTED_VALUE"""),"Normal")</f>
        <v>Normal</v>
      </c>
      <c r="M240" s="18" t="s">
        <v>53</v>
      </c>
      <c r="N240" s="18" t="s">
        <v>54</v>
      </c>
    </row>
    <row r="241" hidden="1">
      <c r="A241" s="15" t="str">
        <f>IFERROR(__xludf.DUMMYFUNCTION("""COMPUTED_VALUE"""),"NDSBR0009")</f>
        <v>NDSBR0009</v>
      </c>
      <c r="B241" s="16">
        <f>IFERROR(__xludf.DUMMYFUNCTION("""COMPUTED_VALUE"""),45756.62530702546)</f>
        <v>45756.62531</v>
      </c>
      <c r="C241" s="17">
        <f>IFERROR(__xludf.DUMMYFUNCTION("""COMPUTED_VALUE"""),45758.39603800926)</f>
        <v>45758.39604</v>
      </c>
      <c r="D241" s="15" t="str">
        <f>IFERROR(__xludf.DUMMYFUNCTION("""COMPUTED_VALUE"""),"PC Newtronic")</f>
        <v>PC Newtronic</v>
      </c>
      <c r="E241" s="15" t="str">
        <f>IFERROR(__xludf.DUMMYFUNCTION("""COMPUTED_VALUE"""),"EJO/2025/04/02")</f>
        <v>EJO/2025/04/02</v>
      </c>
      <c r="F241" s="15" t="str">
        <f>IFERROR(__xludf.DUMMYFUNCTION("""COMPUTED_VALUE"""),"Hub Switch")</f>
        <v>Hub Switch</v>
      </c>
      <c r="G241" s="15">
        <f>IFERROR(__xludf.DUMMYFUNCTION("""COMPUTED_VALUE"""),1.0)</f>
        <v>1</v>
      </c>
      <c r="H241" s="15" t="str">
        <f>IFERROR(__xludf.DUMMYFUNCTION("""COMPUTED_VALUE"""),"Pcs")</f>
        <v>Pcs</v>
      </c>
      <c r="I241" s="15" t="str">
        <f>IFERROR(__xludf.DUMMYFUNCTION("""COMPUTED_VALUE"""),"Deliver")</f>
        <v>Deliver</v>
      </c>
      <c r="J241" s="15" t="str">
        <f>IFERROR(__xludf.DUMMYFUNCTION("""COMPUTED_VALUE"""),"-")</f>
        <v>-</v>
      </c>
      <c r="K241" s="15" t="str">
        <f>IFERROR(__xludf.DUMMYFUNCTION("""COMPUTED_VALUE"""),"-")</f>
        <v>-</v>
      </c>
      <c r="L241" s="15" t="str">
        <f>IFERROR(__xludf.DUMMYFUNCTION("""COMPUTED_VALUE"""),"Normal")</f>
        <v>Normal</v>
      </c>
      <c r="M241" s="18" t="s">
        <v>50</v>
      </c>
      <c r="N241" s="18" t="s">
        <v>30</v>
      </c>
    </row>
    <row r="242" hidden="1">
      <c r="A242" s="15" t="str">
        <f>IFERROR(__xludf.DUMMYFUNCTION("""COMPUTED_VALUE"""),"AAABR0002")</f>
        <v>AAABR0002</v>
      </c>
      <c r="B242" s="16">
        <f>IFERROR(__xludf.DUMMYFUNCTION("""COMPUTED_VALUE"""),45755.95656618055)</f>
        <v>45755.95657</v>
      </c>
      <c r="C242" s="17">
        <f>IFERROR(__xludf.DUMMYFUNCTION("""COMPUTED_VALUE"""),45758.39688677083)</f>
        <v>45758.39689</v>
      </c>
      <c r="D242" s="15" t="str">
        <f>IFERROR(__xludf.DUMMYFUNCTION("""COMPUTED_VALUE"""),"HPLC")</f>
        <v>HPLC</v>
      </c>
      <c r="E242" s="15" t="str">
        <f>IFERROR(__xludf.DUMMYFUNCTION("""COMPUTED_VALUE"""),"NA")</f>
        <v>NA</v>
      </c>
      <c r="F242" s="15" t="str">
        <f>IFERROR(__xludf.DUMMYFUNCTION("""COMPUTED_VALUE"""),"Filter Flag 2998")</f>
        <v>Filter Flag 2998</v>
      </c>
      <c r="G242" s="15">
        <f>IFERROR(__xludf.DUMMYFUNCTION("""COMPUTED_VALUE"""),2.0)</f>
        <v>2</v>
      </c>
      <c r="H242" s="15" t="str">
        <f>IFERROR(__xludf.DUMMYFUNCTION("""COMPUTED_VALUE"""),"Set")</f>
        <v>Set</v>
      </c>
      <c r="I242" s="15" t="str">
        <f>IFERROR(__xludf.DUMMYFUNCTION("""COMPUTED_VALUE"""),"Deliver")</f>
        <v>Deliver</v>
      </c>
      <c r="J242" s="15" t="str">
        <f>IFERROR(__xludf.DUMMYFUNCTION("""COMPUTED_VALUE"""),"-")</f>
        <v>-</v>
      </c>
      <c r="K242" s="15" t="str">
        <f>IFERROR(__xludf.DUMMYFUNCTION("""COMPUTED_VALUE"""),"-")</f>
        <v>-</v>
      </c>
      <c r="L242" s="15" t="str">
        <f>IFERROR(__xludf.DUMMYFUNCTION("""COMPUTED_VALUE"""),"Normal")</f>
        <v>Normal</v>
      </c>
      <c r="M242" s="18" t="s">
        <v>47</v>
      </c>
      <c r="N242" s="18" t="s">
        <v>30</v>
      </c>
    </row>
    <row r="243" hidden="1">
      <c r="A243" s="15" t="str">
        <f>IFERROR(__xludf.DUMMYFUNCTION("""COMPUTED_VALUE"""),"ROSBR0013")</f>
        <v>ROSBR0013</v>
      </c>
      <c r="B243" s="16">
        <f>IFERROR(__xludf.DUMMYFUNCTION("""COMPUTED_VALUE"""),45728.60810275463)</f>
        <v>45728.6081</v>
      </c>
      <c r="C243" s="17">
        <f>IFERROR(__xludf.DUMMYFUNCTION("""COMPUTED_VALUE"""),45758.40102326389)</f>
        <v>45758.40102</v>
      </c>
      <c r="D243" s="15" t="str">
        <f>IFERROR(__xludf.DUMMYFUNCTION("""COMPUTED_VALUE"""),"Humidity Chamber ")</f>
        <v>Humidity Chamber </v>
      </c>
      <c r="E243" s="15" t="str">
        <f>IFERROR(__xludf.DUMMYFUNCTION("""COMPUTED_VALUE"""),"EJO2025/03/91")</f>
        <v>EJO2025/03/91</v>
      </c>
      <c r="F243" s="15" t="str">
        <f>IFERROR(__xludf.DUMMYFUNCTION("""COMPUTED_VALUE"""),"Drain Pan ")</f>
        <v>Drain Pan </v>
      </c>
      <c r="G243" s="15">
        <f>IFERROR(__xludf.DUMMYFUNCTION("""COMPUTED_VALUE"""),1.0)</f>
        <v>1</v>
      </c>
      <c r="H243" s="15" t="str">
        <f>IFERROR(__xludf.DUMMYFUNCTION("""COMPUTED_VALUE"""),"unit")</f>
        <v>unit</v>
      </c>
      <c r="I243" s="15" t="str">
        <f>IFERROR(__xludf.DUMMYFUNCTION("""COMPUTED_VALUE"""),"Deliver")</f>
        <v>Deliver</v>
      </c>
      <c r="J243" s="15" t="str">
        <f>IFERROR(__xludf.DUMMYFUNCTION("""COMPUTED_VALUE"""),"-")</f>
        <v>-</v>
      </c>
      <c r="K243" s="15" t="str">
        <f>IFERROR(__xludf.DUMMYFUNCTION("""COMPUTED_VALUE"""),"-")</f>
        <v>-</v>
      </c>
      <c r="L243" s="15" t="str">
        <f>IFERROR(__xludf.DUMMYFUNCTION("""COMPUTED_VALUE"""),"Normal")</f>
        <v>Normal</v>
      </c>
      <c r="M243" s="18" t="s">
        <v>29</v>
      </c>
      <c r="N243" s="18" t="s">
        <v>30</v>
      </c>
    </row>
    <row r="244" hidden="1">
      <c r="A244" s="15" t="str">
        <f>IFERROR(__xludf.DUMMYFUNCTION("""COMPUTED_VALUE"""),"INNBR0017")</f>
        <v>INNBR0017</v>
      </c>
      <c r="B244" s="16">
        <f>IFERROR(__xludf.DUMMYFUNCTION("""COMPUTED_VALUE"""),45758.646417303244)</f>
        <v>45758.64642</v>
      </c>
      <c r="C244" s="17">
        <f>IFERROR(__xludf.DUMMYFUNCTION("""COMPUTED_VALUE"""),45759.67454094907)</f>
        <v>45759.67454</v>
      </c>
      <c r="D244" s="15" t="str">
        <f>IFERROR(__xludf.DUMMYFUNCTION("""COMPUTED_VALUE"""),"FD")</f>
        <v>FD</v>
      </c>
      <c r="E244" s="15" t="str">
        <f>IFERROR(__xludf.DUMMYFUNCTION("""COMPUTED_VALUE"""),"EJO/2025/03/123")</f>
        <v>EJO/2025/03/123</v>
      </c>
      <c r="F244" s="15" t="str">
        <f>IFERROR(__xludf.DUMMYFUNCTION("""COMPUTED_VALUE"""),"SIlica gel warna biru")</f>
        <v>SIlica gel warna biru</v>
      </c>
      <c r="G244" s="15">
        <f>IFERROR(__xludf.DUMMYFUNCTION("""COMPUTED_VALUE"""),5.0)</f>
        <v>5</v>
      </c>
      <c r="H244" s="15" t="str">
        <f>IFERROR(__xludf.DUMMYFUNCTION("""COMPUTED_VALUE"""),"Kg")</f>
        <v>Kg</v>
      </c>
      <c r="I244" s="15" t="str">
        <f>IFERROR(__xludf.DUMMYFUNCTION("""COMPUTED_VALUE"""),"Deliver")</f>
        <v>Deliver</v>
      </c>
      <c r="J244" s="15" t="str">
        <f>IFERROR(__xludf.DUMMYFUNCTION("""COMPUTED_VALUE"""),"-")</f>
        <v>-</v>
      </c>
      <c r="K244" s="15" t="str">
        <f>IFERROR(__xludf.DUMMYFUNCTION("""COMPUTED_VALUE"""),"-")</f>
        <v>-</v>
      </c>
      <c r="L244" s="15" t="str">
        <f>IFERROR(__xludf.DUMMYFUNCTION("""COMPUTED_VALUE"""),"Normal")</f>
        <v>Normal</v>
      </c>
      <c r="M244" s="18" t="s">
        <v>51</v>
      </c>
      <c r="N244" s="18" t="s">
        <v>30</v>
      </c>
    </row>
    <row r="245" hidden="1">
      <c r="A245" s="15" t="str">
        <f>IFERROR(__xludf.DUMMYFUNCTION("""COMPUTED_VALUE"""),"MOBRO0031")</f>
        <v>MOBRO0031</v>
      </c>
      <c r="B245" s="16">
        <f>IFERROR(__xludf.DUMMYFUNCTION("""COMPUTED_VALUE"""),45757.676482731484)</f>
        <v>45757.67648</v>
      </c>
      <c r="C245" s="17">
        <f>IFERROR(__xludf.DUMMYFUNCTION("""COMPUTED_VALUE"""),45761.60251945602)</f>
        <v>45761.60252</v>
      </c>
      <c r="D245" s="15" t="str">
        <f>IFERROR(__xludf.DUMMYFUNCTION("""COMPUTED_VALUE"""),"WWTP")</f>
        <v>WWTP</v>
      </c>
      <c r="E245" s="15" t="str">
        <f>IFERROR(__xludf.DUMMYFUNCTION("""COMPUTED_VALUE"""),"-")</f>
        <v>-</v>
      </c>
      <c r="F245" s="15" t="str">
        <f>IFERROR(__xludf.DUMMYFUNCTION("""COMPUTED_VALUE"""),"Gelas Ukur 1000 ml Class A ; Brand : Iwaki ; CN : 3022-1000-N")</f>
        <v>Gelas Ukur 1000 ml Class A ; Brand : Iwaki ; CN : 3022-1000-N</v>
      </c>
      <c r="G245" s="15">
        <f>IFERROR(__xludf.DUMMYFUNCTION("""COMPUTED_VALUE"""),1.0)</f>
        <v>1</v>
      </c>
      <c r="H245" s="15" t="str">
        <f>IFERROR(__xludf.DUMMYFUNCTION("""COMPUTED_VALUE"""),"Pcs")</f>
        <v>Pcs</v>
      </c>
      <c r="I245" s="15" t="str">
        <f>IFERROR(__xludf.DUMMYFUNCTION("""COMPUTED_VALUE"""),"Deliver")</f>
        <v>Deliver</v>
      </c>
      <c r="J245" s="15" t="str">
        <f>IFERROR(__xludf.DUMMYFUNCTION("""COMPUTED_VALUE"""),"-")</f>
        <v>-</v>
      </c>
      <c r="K245" s="15" t="str">
        <f>IFERROR(__xludf.DUMMYFUNCTION("""COMPUTED_VALUE"""),"-")</f>
        <v>-</v>
      </c>
      <c r="L245" s="15" t="str">
        <f>IFERROR(__xludf.DUMMYFUNCTION("""COMPUTED_VALUE"""),"Normal")</f>
        <v>Normal</v>
      </c>
      <c r="M245" s="18" t="s">
        <v>31</v>
      </c>
      <c r="N245" s="18" t="s">
        <v>28</v>
      </c>
    </row>
    <row r="246" hidden="1">
      <c r="A246" s="15" t="str">
        <f>IFERROR(__xludf.DUMMYFUNCTION("""COMPUTED_VALUE"""),"MOBRO0030")</f>
        <v>MOBRO0030</v>
      </c>
      <c r="B246" s="16">
        <f>IFERROR(__xludf.DUMMYFUNCTION("""COMPUTED_VALUE"""),45757.675373240745)</f>
        <v>45757.67537</v>
      </c>
      <c r="C246" s="17">
        <f>IFERROR(__xludf.DUMMYFUNCTION("""COMPUTED_VALUE"""),45761.602766828706)</f>
        <v>45761.60277</v>
      </c>
      <c r="D246" s="15" t="str">
        <f>IFERROR(__xludf.DUMMYFUNCTION("""COMPUTED_VALUE"""),"AHU")</f>
        <v>AHU</v>
      </c>
      <c r="E246" s="15" t="str">
        <f>IFERROR(__xludf.DUMMYFUNCTION("""COMPUTED_VALUE"""),"-")</f>
        <v>-</v>
      </c>
      <c r="F246" s="15" t="str">
        <f>IFERROR(__xludf.DUMMYFUNCTION("""COMPUTED_VALUE"""),"General - Pulser SCR Heater Controller Wall Mounted 0-10 VD DC; Regin; 240-X010; 1 unit")</f>
        <v>General - Pulser SCR Heater Controller Wall Mounted 0-10 VD DC; Regin; 240-X010; 1 unit</v>
      </c>
      <c r="G246" s="15">
        <f>IFERROR(__xludf.DUMMYFUNCTION("""COMPUTED_VALUE"""),4.0)</f>
        <v>4</v>
      </c>
      <c r="H246" s="15" t="str">
        <f>IFERROR(__xludf.DUMMYFUNCTION("""COMPUTED_VALUE"""),"Pcs")</f>
        <v>Pcs</v>
      </c>
      <c r="I246" s="15" t="str">
        <f>IFERROR(__xludf.DUMMYFUNCTION("""COMPUTED_VALUE"""),"Deliver")</f>
        <v>Deliver</v>
      </c>
      <c r="J246" s="15" t="str">
        <f>IFERROR(__xludf.DUMMYFUNCTION("""COMPUTED_VALUE"""),"-")</f>
        <v>-</v>
      </c>
      <c r="K246" s="15" t="str">
        <f>IFERROR(__xludf.DUMMYFUNCTION("""COMPUTED_VALUE"""),"-")</f>
        <v>-</v>
      </c>
      <c r="L246" s="15" t="str">
        <f>IFERROR(__xludf.DUMMYFUNCTION("""COMPUTED_VALUE"""),"Normal")</f>
        <v>Normal</v>
      </c>
      <c r="M246" s="18" t="s">
        <v>31</v>
      </c>
      <c r="N246" s="18" t="s">
        <v>28</v>
      </c>
    </row>
    <row r="247" hidden="1">
      <c r="A247" s="15" t="str">
        <f>IFERROR(__xludf.DUMMYFUNCTION("""COMPUTED_VALUE"""),"SFHBR0018")</f>
        <v>SFHBR0018</v>
      </c>
      <c r="B247" s="16">
        <f>IFERROR(__xludf.DUMMYFUNCTION("""COMPUTED_VALUE"""),45758.860312916666)</f>
        <v>45758.86031</v>
      </c>
      <c r="C247" s="17">
        <f>IFERROR(__xludf.DUMMYFUNCTION("""COMPUTED_VALUE"""),45761.603361458336)</f>
        <v>45761.60336</v>
      </c>
      <c r="D247" s="15" t="str">
        <f>IFERROR(__xludf.DUMMYFUNCTION("""COMPUTED_VALUE"""),"lantai 2")</f>
        <v>lantai 2</v>
      </c>
      <c r="E247" s="15" t="str">
        <f>IFERROR(__xludf.DUMMYFUNCTION("""COMPUTED_VALUE"""),"EJO/2025/04/20")</f>
        <v>EJO/2025/04/20</v>
      </c>
      <c r="F247" s="15" t="str">
        <f>IFERROR(__xludf.DUMMYFUNCTION("""COMPUTED_VALUE"""),"tangga portable lipat multifungsi")</f>
        <v>tangga portable lipat multifungsi</v>
      </c>
      <c r="G247" s="15">
        <f>IFERROR(__xludf.DUMMYFUNCTION("""COMPUTED_VALUE"""),2.0)</f>
        <v>2</v>
      </c>
      <c r="H247" s="15" t="str">
        <f>IFERROR(__xludf.DUMMYFUNCTION("""COMPUTED_VALUE"""),"pcs")</f>
        <v>pcs</v>
      </c>
      <c r="I247" s="15" t="str">
        <f>IFERROR(__xludf.DUMMYFUNCTION("""COMPUTED_VALUE"""),"Deliver")</f>
        <v>Deliver</v>
      </c>
      <c r="J247" s="15" t="str">
        <f>IFERROR(__xludf.DUMMYFUNCTION("""COMPUTED_VALUE"""),"-")</f>
        <v>-</v>
      </c>
      <c r="K247" s="15" t="str">
        <f>IFERROR(__xludf.DUMMYFUNCTION("""COMPUTED_VALUE"""),"-")</f>
        <v>-</v>
      </c>
      <c r="L247" s="15" t="str">
        <f>IFERROR(__xludf.DUMMYFUNCTION("""COMPUTED_VALUE"""),"Normal")</f>
        <v>Normal</v>
      </c>
      <c r="M247" s="18" t="s">
        <v>27</v>
      </c>
      <c r="N247" s="18" t="s">
        <v>28</v>
      </c>
    </row>
    <row r="248" hidden="1">
      <c r="A248" s="15" t="str">
        <f>IFERROR(__xludf.DUMMYFUNCTION("""COMPUTED_VALUE"""),"RIAJA0001")</f>
        <v>RIAJA0001</v>
      </c>
      <c r="B248" s="16">
        <f>IFERROR(__xludf.DUMMYFUNCTION("""COMPUTED_VALUE"""),45723.69347403935)</f>
        <v>45723.69347</v>
      </c>
      <c r="C248" s="17">
        <f>IFERROR(__xludf.DUMMYFUNCTION("""COMPUTED_VALUE"""),45762.50549293982)</f>
        <v>45762.50549</v>
      </c>
      <c r="D248" s="15" t="str">
        <f>IFERROR(__xludf.DUMMYFUNCTION("""COMPUTED_VALUE"""),"PSG")</f>
        <v>PSG</v>
      </c>
      <c r="E248" s="15" t="str">
        <f>IFERROR(__xludf.DUMMYFUNCTION("""COMPUTED_VALUE"""),"EJO/2025/03/86")</f>
        <v>EJO/2025/03/86</v>
      </c>
      <c r="F248" s="15" t="str">
        <f>IFERROR(__xludf.DUMMYFUNCTION("""COMPUTED_VALUE"""),"Scalling kolom PSG")</f>
        <v>Scalling kolom PSG</v>
      </c>
      <c r="G248" s="15">
        <f>IFERROR(__xludf.DUMMYFUNCTION("""COMPUTED_VALUE"""),1.0)</f>
        <v>1</v>
      </c>
      <c r="H248" s="15" t="str">
        <f>IFERROR(__xludf.DUMMYFUNCTION("""COMPUTED_VALUE"""),"Set")</f>
        <v>Set</v>
      </c>
      <c r="I248" s="15" t="str">
        <f>IFERROR(__xludf.DUMMYFUNCTION("""COMPUTED_VALUE"""),"Deliver")</f>
        <v>Deliver</v>
      </c>
      <c r="J248" s="15" t="str">
        <f>IFERROR(__xludf.DUMMYFUNCTION("""COMPUTED_VALUE"""),"-")</f>
        <v>-</v>
      </c>
      <c r="K248" s="15" t="str">
        <f>IFERROR(__xludf.DUMMYFUNCTION("""COMPUTED_VALUE"""),"-")</f>
        <v>-</v>
      </c>
      <c r="L248" s="15" t="str">
        <f>IFERROR(__xludf.DUMMYFUNCTION("""COMPUTED_VALUE"""),"Normal")</f>
        <v>Normal</v>
      </c>
      <c r="M248" s="18" t="s">
        <v>32</v>
      </c>
      <c r="N248" s="18" t="s">
        <v>28</v>
      </c>
    </row>
    <row r="249" hidden="1">
      <c r="A249" s="15" t="str">
        <f>IFERROR(__xludf.DUMMYFUNCTION("""COMPUTED_VALUE"""),"ROSBR0014")</f>
        <v>ROSBR0014</v>
      </c>
      <c r="B249" s="16">
        <f>IFERROR(__xludf.DUMMYFUNCTION("""COMPUTED_VALUE"""),45761.670253634264)</f>
        <v>45761.67025</v>
      </c>
      <c r="C249" s="17">
        <f>IFERROR(__xludf.DUMMYFUNCTION("""COMPUTED_VALUE"""),45762.57318890047)</f>
        <v>45762.57319</v>
      </c>
      <c r="D249" s="15" t="str">
        <f>IFERROR(__xludf.DUMMYFUNCTION("""COMPUTED_VALUE"""),"Dispensing OSD")</f>
        <v>Dispensing OSD</v>
      </c>
      <c r="E249" s="15" t="str">
        <f>IFERROR(__xludf.DUMMYFUNCTION("""COMPUTED_VALUE"""),"EJO2025/01/159")</f>
        <v>EJO2025/01/159</v>
      </c>
      <c r="F249" s="15" t="str">
        <f>IFERROR(__xludf.DUMMYFUNCTION("""COMPUTED_VALUE"""),"Tutup Lubang Transfer Isolator OSD Uk Ø110x 45 mm")</f>
        <v>Tutup Lubang Transfer Isolator OSD Uk Ø110x 45 mm</v>
      </c>
      <c r="G249" s="15">
        <f>IFERROR(__xludf.DUMMYFUNCTION("""COMPUTED_VALUE"""),1.0)</f>
        <v>1</v>
      </c>
      <c r="H249" s="15" t="str">
        <f>IFERROR(__xludf.DUMMYFUNCTION("""COMPUTED_VALUE"""),"unit")</f>
        <v>unit</v>
      </c>
      <c r="I249" s="15" t="str">
        <f>IFERROR(__xludf.DUMMYFUNCTION("""COMPUTED_VALUE"""),"Deliver")</f>
        <v>Deliver</v>
      </c>
      <c r="J249" s="15" t="str">
        <f>IFERROR(__xludf.DUMMYFUNCTION("""COMPUTED_VALUE"""),"-")</f>
        <v>-</v>
      </c>
      <c r="K249" s="15" t="str">
        <f>IFERROR(__xludf.DUMMYFUNCTION("""COMPUTED_VALUE"""),"-")</f>
        <v>-</v>
      </c>
      <c r="L249" s="15" t="str">
        <f>IFERROR(__xludf.DUMMYFUNCTION("""COMPUTED_VALUE"""),"Normal")</f>
        <v>Normal</v>
      </c>
      <c r="M249" s="18" t="s">
        <v>29</v>
      </c>
      <c r="N249" s="18" t="s">
        <v>30</v>
      </c>
    </row>
    <row r="250" hidden="1">
      <c r="A250" s="15" t="str">
        <f>IFERROR(__xludf.DUMMYFUNCTION("""COMPUTED_VALUE"""),"INNBR0021")</f>
        <v>INNBR0021</v>
      </c>
      <c r="B250" s="16">
        <f>IFERROR(__xludf.DUMMYFUNCTION("""COMPUTED_VALUE"""),45761.65786895834)</f>
        <v>45761.65787</v>
      </c>
      <c r="C250" s="17">
        <f>IFERROR(__xludf.DUMMYFUNCTION("""COMPUTED_VALUE"""),45764.33531983796)</f>
        <v>45764.33532</v>
      </c>
      <c r="D250" s="15" t="str">
        <f>IFERROR(__xludf.DUMMYFUNCTION("""COMPUTED_VALUE"""),"Cartoning")</f>
        <v>Cartoning</v>
      </c>
      <c r="E250" s="15" t="str">
        <f>IFERROR(__xludf.DUMMYFUNCTION("""COMPUTED_VALUE"""),"-")</f>
        <v>-</v>
      </c>
      <c r="F250" s="15" t="str">
        <f>IFERROR(__xludf.DUMMYFUNCTION("""COMPUTED_VALUE"""),"Roller Gripper Cartoning Uk dia. 13x 6x6")</f>
        <v>Roller Gripper Cartoning Uk dia. 13x 6x6</v>
      </c>
      <c r="G250" s="15">
        <f>IFERROR(__xludf.DUMMYFUNCTION("""COMPUTED_VALUE"""),30.0)</f>
        <v>30</v>
      </c>
      <c r="H250" s="15" t="str">
        <f>IFERROR(__xludf.DUMMYFUNCTION("""COMPUTED_VALUE"""),"pcs")</f>
        <v>pcs</v>
      </c>
      <c r="I250" s="15" t="str">
        <f>IFERROR(__xludf.DUMMYFUNCTION("""COMPUTED_VALUE"""),"Deliver")</f>
        <v>Deliver</v>
      </c>
      <c r="J250" s="15" t="str">
        <f>IFERROR(__xludf.DUMMYFUNCTION("""COMPUTED_VALUE"""),"-")</f>
        <v>-</v>
      </c>
      <c r="K250" s="15" t="str">
        <f>IFERROR(__xludf.DUMMYFUNCTION("""COMPUTED_VALUE"""),"-")</f>
        <v>-</v>
      </c>
      <c r="L250" s="15" t="str">
        <f>IFERROR(__xludf.DUMMYFUNCTION("""COMPUTED_VALUE"""),"Normal")</f>
        <v>Normal</v>
      </c>
      <c r="M250" s="18" t="s">
        <v>51</v>
      </c>
      <c r="N250" s="18" t="s">
        <v>30</v>
      </c>
    </row>
    <row r="251" hidden="1">
      <c r="A251" s="15" t="str">
        <f>IFERROR(__xludf.DUMMYFUNCTION("""COMPUTED_VALUE"""),"ROSBR0015")</f>
        <v>ROSBR0015</v>
      </c>
      <c r="B251" s="16">
        <f>IFERROR(__xludf.DUMMYFUNCTION("""COMPUTED_VALUE"""),45763.69852430555)</f>
        <v>45763.69852</v>
      </c>
      <c r="C251" s="17">
        <f>IFERROR(__xludf.DUMMYFUNCTION("""COMPUTED_VALUE"""),45767.80936196759)</f>
        <v>45767.80936</v>
      </c>
      <c r="D251" s="15" t="str">
        <f>IFERROR(__xludf.DUMMYFUNCTION("""COMPUTED_VALUE"""),"Coating")</f>
        <v>Coating</v>
      </c>
      <c r="E251" s="15" t="str">
        <f>IFERROR(__xludf.DUMMYFUNCTION("""COMPUTED_VALUE"""),"NA")</f>
        <v>NA</v>
      </c>
      <c r="F251" s="15" t="str">
        <f>IFERROR(__xludf.DUMMYFUNCTION("""COMPUTED_VALUE"""),"Oli Gear Box mesin Coating")</f>
        <v>Oli Gear Box mesin Coating</v>
      </c>
      <c r="G251" s="15">
        <f>IFERROR(__xludf.DUMMYFUNCTION("""COMPUTED_VALUE"""),1.0)</f>
        <v>1</v>
      </c>
      <c r="H251" s="15" t="str">
        <f>IFERROR(__xludf.DUMMYFUNCTION("""COMPUTED_VALUE"""),"drum")</f>
        <v>drum</v>
      </c>
      <c r="I251" s="15" t="str">
        <f>IFERROR(__xludf.DUMMYFUNCTION("""COMPUTED_VALUE"""),"Deliver")</f>
        <v>Deliver</v>
      </c>
      <c r="J251" s="15" t="str">
        <f>IFERROR(__xludf.DUMMYFUNCTION("""COMPUTED_VALUE"""),"-")</f>
        <v>-</v>
      </c>
      <c r="K251" s="15" t="str">
        <f>IFERROR(__xludf.DUMMYFUNCTION("""COMPUTED_VALUE"""),"-")</f>
        <v>-</v>
      </c>
      <c r="L251" s="15" t="str">
        <f>IFERROR(__xludf.DUMMYFUNCTION("""COMPUTED_VALUE"""),"Normal")</f>
        <v>Normal</v>
      </c>
      <c r="M251" s="18" t="s">
        <v>29</v>
      </c>
      <c r="N251" s="18" t="s">
        <v>30</v>
      </c>
    </row>
    <row r="252" hidden="1">
      <c r="A252" s="15" t="str">
        <f>IFERROR(__xludf.DUMMYFUNCTION("""COMPUTED_VALUE"""),"ROSRO0003")</f>
        <v>ROSRO0003</v>
      </c>
      <c r="B252" s="16">
        <f>IFERROR(__xludf.DUMMYFUNCTION("""COMPUTED_VALUE"""),45761.670253518525)</f>
        <v>45761.67025</v>
      </c>
      <c r="C252" s="17">
        <f>IFERROR(__xludf.DUMMYFUNCTION("""COMPUTED_VALUE"""),45767.80992883102)</f>
        <v>45767.80993</v>
      </c>
      <c r="D252" s="15" t="str">
        <f>IFERROR(__xludf.DUMMYFUNCTION("""COMPUTED_VALUE"""),"HPLC 1")</f>
        <v>HPLC 1</v>
      </c>
      <c r="E252" s="15" t="str">
        <f>IFERROR(__xludf.DUMMYFUNCTION("""COMPUTED_VALUE"""),"EJO/2025/04/57")</f>
        <v>EJO/2025/04/57</v>
      </c>
      <c r="F252" s="15" t="str">
        <f>IFERROR(__xludf.DUMMYFUNCTION("""COMPUTED_VALUE"""),"Heater/Cooler Engine 2690; Waters; 700001066;")</f>
        <v>Heater/Cooler Engine 2690; Waters; 700001066;</v>
      </c>
      <c r="G252" s="15">
        <f>IFERROR(__xludf.DUMMYFUNCTION("""COMPUTED_VALUE"""),1.0)</f>
        <v>1</v>
      </c>
      <c r="H252" s="15" t="str">
        <f>IFERROR(__xludf.DUMMYFUNCTION("""COMPUTED_VALUE"""),"Set")</f>
        <v>Set</v>
      </c>
      <c r="I252" s="15" t="str">
        <f>IFERROR(__xludf.DUMMYFUNCTION("""COMPUTED_VALUE"""),"Deliver")</f>
        <v>Deliver</v>
      </c>
      <c r="J252" s="15" t="str">
        <f>IFERROR(__xludf.DUMMYFUNCTION("""COMPUTED_VALUE"""),"-")</f>
        <v>-</v>
      </c>
      <c r="K252" s="15" t="str">
        <f>IFERROR(__xludf.DUMMYFUNCTION("""COMPUTED_VALUE"""),"-")</f>
        <v>-</v>
      </c>
      <c r="L252" s="15" t="str">
        <f>IFERROR(__xludf.DUMMYFUNCTION("""COMPUTED_VALUE"""),"Normal")</f>
        <v>Normal</v>
      </c>
      <c r="M252" s="18" t="s">
        <v>29</v>
      </c>
      <c r="N252" s="18" t="s">
        <v>30</v>
      </c>
    </row>
    <row r="253" hidden="1">
      <c r="A253" s="15" t="str">
        <f>IFERROR(__xludf.DUMMYFUNCTION("""COMPUTED_VALUE"""),"INNBR0022")</f>
        <v>INNBR0022</v>
      </c>
      <c r="B253" s="16">
        <f>IFERROR(__xludf.DUMMYFUNCTION("""COMPUTED_VALUE"""),45767.48714099538)</f>
        <v>45767.48714</v>
      </c>
      <c r="C253" s="17">
        <f>IFERROR(__xludf.DUMMYFUNCTION("""COMPUTED_VALUE"""),45767.814616006945)</f>
        <v>45767.81462</v>
      </c>
      <c r="D253" s="15" t="str">
        <f>IFERROR(__xludf.DUMMYFUNCTION("""COMPUTED_VALUE"""),"PC PMS")</f>
        <v>PC PMS</v>
      </c>
      <c r="E253" s="15" t="str">
        <f>IFERROR(__xludf.DUMMYFUNCTION("""COMPUTED_VALUE"""),"-")</f>
        <v>-</v>
      </c>
      <c r="F253" s="15" t="str">
        <f>IFERROR(__xludf.DUMMYFUNCTION("""COMPUTED_VALUE"""),"USB Extender")</f>
        <v>USB Extender</v>
      </c>
      <c r="G253" s="15">
        <f>IFERROR(__xludf.DUMMYFUNCTION("""COMPUTED_VALUE"""),2.0)</f>
        <v>2</v>
      </c>
      <c r="H253" s="15" t="str">
        <f>IFERROR(__xludf.DUMMYFUNCTION("""COMPUTED_VALUE"""),"Unit")</f>
        <v>Unit</v>
      </c>
      <c r="I253" s="15" t="str">
        <f>IFERROR(__xludf.DUMMYFUNCTION("""COMPUTED_VALUE"""),"Deliver")</f>
        <v>Deliver</v>
      </c>
      <c r="J253" s="15" t="str">
        <f>IFERROR(__xludf.DUMMYFUNCTION("""COMPUTED_VALUE"""),"-")</f>
        <v>-</v>
      </c>
      <c r="K253" s="15" t="str">
        <f>IFERROR(__xludf.DUMMYFUNCTION("""COMPUTED_VALUE"""),"-")</f>
        <v>-</v>
      </c>
      <c r="L253" s="15" t="str">
        <f>IFERROR(__xludf.DUMMYFUNCTION("""COMPUTED_VALUE"""),"Normal")</f>
        <v>Normal</v>
      </c>
      <c r="M253" s="18" t="s">
        <v>51</v>
      </c>
      <c r="N253" s="18" t="s">
        <v>30</v>
      </c>
    </row>
    <row r="254" hidden="1">
      <c r="A254" s="15" t="str">
        <f>IFERROR(__xludf.DUMMYFUNCTION("""COMPUTED_VALUE"""),"INNBR0018")</f>
        <v>INNBR0018</v>
      </c>
      <c r="B254" s="16">
        <f>IFERROR(__xludf.DUMMYFUNCTION("""COMPUTED_VALUE"""),45758.70000528935)</f>
        <v>45758.70001</v>
      </c>
      <c r="C254" s="17">
        <f>IFERROR(__xludf.DUMMYFUNCTION("""COMPUTED_VALUE"""),45767.8161687037)</f>
        <v>45767.81617</v>
      </c>
      <c r="D254" s="15" t="str">
        <f>IFERROR(__xludf.DUMMYFUNCTION("""COMPUTED_VALUE"""),"FD")</f>
        <v>FD</v>
      </c>
      <c r="E254" s="15" t="str">
        <f>IFERROR(__xludf.DUMMYFUNCTION("""COMPUTED_VALUE"""),"-")</f>
        <v>-</v>
      </c>
      <c r="F254" s="15" t="str">
        <f>IFERROR(__xludf.DUMMYFUNCTION("""COMPUTED_VALUE"""),"FV96 EB50-00667 SAUNDERS_1""BW,ER,S/FC,M-VUE_S1 SG025SY0404ERNLRNYN--M2E2010")</f>
        <v>FV96 EB50-00667 SAUNDERS_1"BW,ER,S/FC,M-VUE_S1 SG025SY0404ERNLRNYN--M2E2010</v>
      </c>
      <c r="G254" s="15">
        <f>IFERROR(__xludf.DUMMYFUNCTION("""COMPUTED_VALUE"""),3.0)</f>
        <v>3</v>
      </c>
      <c r="H254" s="15" t="str">
        <f>IFERROR(__xludf.DUMMYFUNCTION("""COMPUTED_VALUE"""),"unit")</f>
        <v>unit</v>
      </c>
      <c r="I254" s="15" t="str">
        <f>IFERROR(__xludf.DUMMYFUNCTION("""COMPUTED_VALUE"""),"Deliver")</f>
        <v>Deliver</v>
      </c>
      <c r="J254" s="15" t="str">
        <f>IFERROR(__xludf.DUMMYFUNCTION("""COMPUTED_VALUE"""),"-")</f>
        <v>-</v>
      </c>
      <c r="K254" s="15" t="str">
        <f>IFERROR(__xludf.DUMMYFUNCTION("""COMPUTED_VALUE"""),"-")</f>
        <v>-</v>
      </c>
      <c r="L254" s="15" t="str">
        <f>IFERROR(__xludf.DUMMYFUNCTION("""COMPUTED_VALUE"""),"Normal")</f>
        <v>Normal</v>
      </c>
      <c r="M254" s="18" t="s">
        <v>51</v>
      </c>
      <c r="N254" s="18" t="s">
        <v>30</v>
      </c>
    </row>
    <row r="255" hidden="1">
      <c r="A255" s="15" t="str">
        <f>IFERROR(__xludf.DUMMYFUNCTION("""COMPUTED_VALUE"""),"INNBR0019")</f>
        <v>INNBR0019</v>
      </c>
      <c r="B255" s="16">
        <f>IFERROR(__xludf.DUMMYFUNCTION("""COMPUTED_VALUE"""),45758.70003252315)</f>
        <v>45758.70003</v>
      </c>
      <c r="C255" s="17">
        <f>IFERROR(__xludf.DUMMYFUNCTION("""COMPUTED_VALUE"""),45767.816472199076)</f>
        <v>45767.81647</v>
      </c>
      <c r="D255" s="15" t="str">
        <f>IFERROR(__xludf.DUMMYFUNCTION("""COMPUTED_VALUE"""),"FD")</f>
        <v>FD</v>
      </c>
      <c r="E255" s="15" t="str">
        <f>IFERROR(__xludf.DUMMYFUNCTION("""COMPUTED_VALUE"""),"-")</f>
        <v>-</v>
      </c>
      <c r="F255" s="15" t="str">
        <f>IFERROR(__xludf.DUMMYFUNCTION("""COMPUTED_VALUE"""),"FV30 EB50-00668 SAUNDERS_1.5""BW,ER,S/FC,M-VUE_S1 SG040SY0606ERNLRNYN--M2E2010")</f>
        <v>FV30 EB50-00668 SAUNDERS_1.5"BW,ER,S/FC,M-VUE_S1 SG040SY0606ERNLRNYN--M2E2010</v>
      </c>
      <c r="G255" s="15">
        <f>IFERROR(__xludf.DUMMYFUNCTION("""COMPUTED_VALUE"""),1.0)</f>
        <v>1</v>
      </c>
      <c r="H255" s="15" t="str">
        <f>IFERROR(__xludf.DUMMYFUNCTION("""COMPUTED_VALUE"""),"unit")</f>
        <v>unit</v>
      </c>
      <c r="I255" s="15" t="str">
        <f>IFERROR(__xludf.DUMMYFUNCTION("""COMPUTED_VALUE"""),"Deliver")</f>
        <v>Deliver</v>
      </c>
      <c r="J255" s="15" t="str">
        <f>IFERROR(__xludf.DUMMYFUNCTION("""COMPUTED_VALUE"""),"-")</f>
        <v>-</v>
      </c>
      <c r="K255" s="15" t="str">
        <f>IFERROR(__xludf.DUMMYFUNCTION("""COMPUTED_VALUE"""),"-")</f>
        <v>-</v>
      </c>
      <c r="L255" s="15" t="str">
        <f>IFERROR(__xludf.DUMMYFUNCTION("""COMPUTED_VALUE"""),"Normal")</f>
        <v>Normal</v>
      </c>
      <c r="M255" s="18" t="s">
        <v>51</v>
      </c>
      <c r="N255" s="18" t="s">
        <v>30</v>
      </c>
    </row>
    <row r="256" hidden="1">
      <c r="A256" s="15" t="str">
        <f>IFERROR(__xludf.DUMMYFUNCTION("""COMPUTED_VALUE"""),"INNBR0020")</f>
        <v>INNBR0020</v>
      </c>
      <c r="B256" s="16">
        <f>IFERROR(__xludf.DUMMYFUNCTION("""COMPUTED_VALUE"""),45758.70003252315)</f>
        <v>45758.70003</v>
      </c>
      <c r="C256" s="17">
        <f>IFERROR(__xludf.DUMMYFUNCTION("""COMPUTED_VALUE"""),45767.81667936343)</f>
        <v>45767.81668</v>
      </c>
      <c r="D256" s="15" t="str">
        <f>IFERROR(__xludf.DUMMYFUNCTION("""COMPUTED_VALUE"""),"FD")</f>
        <v>FD</v>
      </c>
      <c r="E256" s="15" t="str">
        <f>IFERROR(__xludf.DUMMYFUNCTION("""COMPUTED_VALUE"""),"-")</f>
        <v>-</v>
      </c>
      <c r="F256" s="15" t="str">
        <f>IFERROR(__xludf.DUMMYFUNCTION("""COMPUTED_VALUE"""),"FV88 EB50-00678 SAUNDERS_0.5""BW/08,ER,S/FC,M-VUE_S1 SG008SY0202ERNLRNYN--M2E2010")</f>
        <v>FV88 EB50-00678 SAUNDERS_0.5"BW/08,ER,S/FC,M-VUE_S1 SG008SY0202ERNLRNYN--M2E2010</v>
      </c>
      <c r="G256" s="15">
        <f>IFERROR(__xludf.DUMMYFUNCTION("""COMPUTED_VALUE"""),1.0)</f>
        <v>1</v>
      </c>
      <c r="H256" s="15" t="str">
        <f>IFERROR(__xludf.DUMMYFUNCTION("""COMPUTED_VALUE"""),"unit")</f>
        <v>unit</v>
      </c>
      <c r="I256" s="15" t="str">
        <f>IFERROR(__xludf.DUMMYFUNCTION("""COMPUTED_VALUE"""),"Deliver")</f>
        <v>Deliver</v>
      </c>
      <c r="J256" s="15" t="str">
        <f>IFERROR(__xludf.DUMMYFUNCTION("""COMPUTED_VALUE"""),"-")</f>
        <v>-</v>
      </c>
      <c r="K256" s="15" t="str">
        <f>IFERROR(__xludf.DUMMYFUNCTION("""COMPUTED_VALUE"""),"-")</f>
        <v>-</v>
      </c>
      <c r="L256" s="15" t="str">
        <f>IFERROR(__xludf.DUMMYFUNCTION("""COMPUTED_VALUE"""),"Normal")</f>
        <v>Normal</v>
      </c>
      <c r="M256" s="18" t="s">
        <v>51</v>
      </c>
      <c r="N256" s="18" t="s">
        <v>30</v>
      </c>
    </row>
    <row r="257" hidden="1">
      <c r="A257" s="15" t="str">
        <f>IFERROR(__xludf.DUMMYFUNCTION("""COMPUTED_VALUE"""),"INNJA0001")</f>
        <v>INNJA0001</v>
      </c>
      <c r="B257" s="16">
        <f>IFERROR(__xludf.DUMMYFUNCTION("""COMPUTED_VALUE"""),45764.683287789354)</f>
        <v>45764.68329</v>
      </c>
      <c r="C257" s="17">
        <f>IFERROR(__xludf.DUMMYFUNCTION("""COMPUTED_VALUE"""),45767.81723872685)</f>
        <v>45767.81724</v>
      </c>
      <c r="D257" s="15" t="str">
        <f>IFERROR(__xludf.DUMMYFUNCTION("""COMPUTED_VALUE"""),"Capping")</f>
        <v>Capping</v>
      </c>
      <c r="E257" s="15" t="str">
        <f>IFERROR(__xludf.DUMMYFUNCTION("""COMPUTED_VALUE"""),"EJO/2025/04/65")</f>
        <v>EJO/2025/04/65</v>
      </c>
      <c r="F257" s="15" t="str">
        <f>IFERROR(__xludf.DUMMYFUNCTION("""COMPUTED_VALUE"""),"Service motor conveyor infeed capping ")</f>
        <v>Service motor conveyor infeed capping </v>
      </c>
      <c r="G257" s="15">
        <f>IFERROR(__xludf.DUMMYFUNCTION("""COMPUTED_VALUE"""),1.0)</f>
        <v>1</v>
      </c>
      <c r="H257" s="15" t="str">
        <f>IFERROR(__xludf.DUMMYFUNCTION("""COMPUTED_VALUE"""),"unit")</f>
        <v>unit</v>
      </c>
      <c r="I257" s="15" t="str">
        <f>IFERROR(__xludf.DUMMYFUNCTION("""COMPUTED_VALUE"""),"Deliver")</f>
        <v>Deliver</v>
      </c>
      <c r="J257" s="15" t="str">
        <f>IFERROR(__xludf.DUMMYFUNCTION("""COMPUTED_VALUE"""),"-")</f>
        <v>-</v>
      </c>
      <c r="K257" s="15" t="str">
        <f>IFERROR(__xludf.DUMMYFUNCTION("""COMPUTED_VALUE"""),"-")</f>
        <v>-</v>
      </c>
      <c r="L257" s="15" t="str">
        <f>IFERROR(__xludf.DUMMYFUNCTION("""COMPUTED_VALUE"""),"Normal")</f>
        <v>Normal</v>
      </c>
      <c r="M257" s="18" t="s">
        <v>51</v>
      </c>
      <c r="N257" s="18" t="s">
        <v>30</v>
      </c>
    </row>
    <row r="258" hidden="1">
      <c r="A258" s="15" t="str">
        <f>IFERROR(__xludf.DUMMYFUNCTION("""COMPUTED_VALUE"""),"INNRO0002")</f>
        <v>INNRO0002</v>
      </c>
      <c r="B258" s="16">
        <f>IFERROR(__xludf.DUMMYFUNCTION("""COMPUTED_VALUE"""),45762.96033415509)</f>
        <v>45762.96033</v>
      </c>
      <c r="C258" s="17">
        <f>IFERROR(__xludf.DUMMYFUNCTION("""COMPUTED_VALUE"""),45767.8177896875)</f>
        <v>45767.81779</v>
      </c>
      <c r="D258" s="15" t="str">
        <f>IFERROR(__xludf.DUMMYFUNCTION("""COMPUTED_VALUE"""),"Autoclave Decontam")</f>
        <v>Autoclave Decontam</v>
      </c>
      <c r="E258" s="15" t="str">
        <f>IFERROR(__xludf.DUMMYFUNCTION("""COMPUTED_VALUE"""),"EJO/2025/03/146")</f>
        <v>EJO/2025/03/146</v>
      </c>
      <c r="F258" s="15" t="str">
        <f>IFERROR(__xludf.DUMMYFUNCTION("""COMPUTED_VALUE"""),"Autoclave Fedegari FVA2/A1 - Vacuum Compressor  2BV3 151-0GW02-1E; ELMO RIETSCHLE; ;")</f>
        <v>Autoclave Fedegari FVA2/A1 - Vacuum Compressor  2BV3 151-0GW02-1E; ELMO RIETSCHLE; ;</v>
      </c>
      <c r="G258" s="15">
        <f>IFERROR(__xludf.DUMMYFUNCTION("""COMPUTED_VALUE"""),1.0)</f>
        <v>1</v>
      </c>
      <c r="H258" s="15" t="str">
        <f>IFERROR(__xludf.DUMMYFUNCTION("""COMPUTED_VALUE"""),"Unit")</f>
        <v>Unit</v>
      </c>
      <c r="I258" s="15" t="str">
        <f>IFERROR(__xludf.DUMMYFUNCTION("""COMPUTED_VALUE"""),"Deliver")</f>
        <v>Deliver</v>
      </c>
      <c r="J258" s="15" t="str">
        <f>IFERROR(__xludf.DUMMYFUNCTION("""COMPUTED_VALUE"""),"-")</f>
        <v>-</v>
      </c>
      <c r="K258" s="15" t="str">
        <f>IFERROR(__xludf.DUMMYFUNCTION("""COMPUTED_VALUE"""),"-")</f>
        <v>-</v>
      </c>
      <c r="L258" s="15" t="str">
        <f>IFERROR(__xludf.DUMMYFUNCTION("""COMPUTED_VALUE"""),"Normal")</f>
        <v>Normal</v>
      </c>
      <c r="M258" s="18" t="s">
        <v>51</v>
      </c>
      <c r="N258" s="18" t="s">
        <v>30</v>
      </c>
    </row>
    <row r="259" hidden="1">
      <c r="A259" s="15" t="str">
        <f>IFERROR(__xludf.DUMMYFUNCTION("""COMPUTED_VALUE"""),"ANORO0005")</f>
        <v>ANORO0005</v>
      </c>
      <c r="B259" s="16">
        <f>IFERROR(__xludf.DUMMYFUNCTION("""COMPUTED_VALUE"""),45764.894528379635)</f>
        <v>45764.89453</v>
      </c>
      <c r="C259" s="17">
        <f>IFERROR(__xludf.DUMMYFUNCTION("""COMPUTED_VALUE"""),45767.82035239584)</f>
        <v>45767.82035</v>
      </c>
      <c r="D259" s="15" t="str">
        <f>IFERROR(__xludf.DUMMYFUNCTION("""COMPUTED_VALUE"""),"BSC")</f>
        <v>BSC</v>
      </c>
      <c r="E259" s="15" t="str">
        <f>IFERROR(__xludf.DUMMYFUNCTION("""COMPUTED_VALUE"""),"EJO/2025/03/88")</f>
        <v>EJO/2025/03/88</v>
      </c>
      <c r="F259" s="15" t="str">
        <f>IFERROR(__xludf.DUMMYFUNCTION("""COMPUTED_VALUE"""),"FESTO - QS-3/8-8 Push-In fitting p/n 153006")</f>
        <v>FESTO - QS-3/8-8 Push-In fitting p/n 153006</v>
      </c>
      <c r="G259" s="15">
        <f>IFERROR(__xludf.DUMMYFUNCTION("""COMPUTED_VALUE"""),10.0)</f>
        <v>10</v>
      </c>
      <c r="H259" s="15" t="str">
        <f>IFERROR(__xludf.DUMMYFUNCTION("""COMPUTED_VALUE"""),"PCS")</f>
        <v>PCS</v>
      </c>
      <c r="I259" s="15" t="str">
        <f>IFERROR(__xludf.DUMMYFUNCTION("""COMPUTED_VALUE"""),"Deliver")</f>
        <v>Deliver</v>
      </c>
      <c r="J259" s="15" t="str">
        <f>IFERROR(__xludf.DUMMYFUNCTION("""COMPUTED_VALUE"""),"-")</f>
        <v>-</v>
      </c>
      <c r="K259" s="15" t="str">
        <f>IFERROR(__xludf.DUMMYFUNCTION("""COMPUTED_VALUE"""),"-")</f>
        <v>-</v>
      </c>
      <c r="L259" s="15" t="str">
        <f>IFERROR(__xludf.DUMMYFUNCTION("""COMPUTED_VALUE"""),"Normal")</f>
        <v>Normal</v>
      </c>
      <c r="M259" s="18" t="s">
        <v>49</v>
      </c>
      <c r="N259" s="18" t="s">
        <v>30</v>
      </c>
    </row>
    <row r="260" hidden="1">
      <c r="A260" s="15" t="str">
        <f>IFERROR(__xludf.DUMMYFUNCTION("""COMPUTED_VALUE"""),"ANOBR0017")</f>
        <v>ANOBR0017</v>
      </c>
      <c r="B260" s="16">
        <f>IFERROR(__xludf.DUMMYFUNCTION("""COMPUTED_VALUE"""),45764.90774019676)</f>
        <v>45764.90774</v>
      </c>
      <c r="C260" s="17">
        <f>IFERROR(__xludf.DUMMYFUNCTION("""COMPUTED_VALUE"""),45767.82124428241)</f>
        <v>45767.82124</v>
      </c>
      <c r="D260" s="15" t="str">
        <f>IFERROR(__xludf.DUMMYFUNCTION("""COMPUTED_VALUE"""),"BSC")</f>
        <v>BSC</v>
      </c>
      <c r="E260" s="15" t="str">
        <f>IFERROR(__xludf.DUMMYFUNCTION("""COMPUTED_VALUE"""),"EJO/2025/03/88")</f>
        <v>EJO/2025/03/88</v>
      </c>
      <c r="F260" s="15" t="str">
        <f>IFERROR(__xludf.DUMMYFUNCTION("""COMPUTED_VALUE"""),"shock konektor ")</f>
        <v>shock konektor </v>
      </c>
      <c r="G260" s="15">
        <f>IFERROR(__xludf.DUMMYFUNCTION("""COMPUTED_VALUE"""),10.0)</f>
        <v>10</v>
      </c>
      <c r="H260" s="15" t="str">
        <f>IFERROR(__xludf.DUMMYFUNCTION("""COMPUTED_VALUE"""),"pcs")</f>
        <v>pcs</v>
      </c>
      <c r="I260" s="15" t="str">
        <f>IFERROR(__xludf.DUMMYFUNCTION("""COMPUTED_VALUE"""),"Deliver")</f>
        <v>Deliver</v>
      </c>
      <c r="J260" s="15" t="str">
        <f>IFERROR(__xludf.DUMMYFUNCTION("""COMPUTED_VALUE"""),"-")</f>
        <v>-</v>
      </c>
      <c r="K260" s="15" t="str">
        <f>IFERROR(__xludf.DUMMYFUNCTION("""COMPUTED_VALUE"""),"-")</f>
        <v>-</v>
      </c>
      <c r="L260" s="15" t="str">
        <f>IFERROR(__xludf.DUMMYFUNCTION("""COMPUTED_VALUE"""),"Normal")</f>
        <v>Normal</v>
      </c>
      <c r="M260" s="18" t="s">
        <v>49</v>
      </c>
      <c r="N260" s="18" t="s">
        <v>30</v>
      </c>
    </row>
    <row r="261" hidden="1">
      <c r="A261" s="15" t="str">
        <f>IFERROR(__xludf.DUMMYFUNCTION("""COMPUTED_VALUE"""),"MOBBR0024")</f>
        <v>MOBBR0024</v>
      </c>
      <c r="B261" s="16">
        <f>IFERROR(__xludf.DUMMYFUNCTION("""COMPUTED_VALUE"""),45762.69746584491)</f>
        <v>45762.69747</v>
      </c>
      <c r="C261" s="17">
        <f>IFERROR(__xludf.DUMMYFUNCTION("""COMPUTED_VALUE"""),45768.63492677083)</f>
        <v>45768.63493</v>
      </c>
      <c r="D261" s="15" t="str">
        <f>IFERROR(__xludf.DUMMYFUNCTION("""COMPUTED_VALUE"""),"AHU B1-2")</f>
        <v>AHU B1-2</v>
      </c>
      <c r="E261" s="15" t="str">
        <f>IFERROR(__xludf.DUMMYFUNCTION("""COMPUTED_VALUE"""),"EJO/2024/12/155")</f>
        <v>EJO/2024/12/155</v>
      </c>
      <c r="F261" s="15" t="str">
        <f>IFERROR(__xludf.DUMMYFUNCTION("""COMPUTED_VALUE"""),"Valve Hot Water")</f>
        <v>Valve Hot Water</v>
      </c>
      <c r="G261" s="15">
        <f>IFERROR(__xludf.DUMMYFUNCTION("""COMPUTED_VALUE"""),2.0)</f>
        <v>2</v>
      </c>
      <c r="H261" s="15" t="str">
        <f>IFERROR(__xludf.DUMMYFUNCTION("""COMPUTED_VALUE"""),"Pcs")</f>
        <v>Pcs</v>
      </c>
      <c r="I261" s="15" t="str">
        <f>IFERROR(__xludf.DUMMYFUNCTION("""COMPUTED_VALUE"""),"Deliver")</f>
        <v>Deliver</v>
      </c>
      <c r="J261" s="15" t="str">
        <f>IFERROR(__xludf.DUMMYFUNCTION("""COMPUTED_VALUE"""),"-")</f>
        <v>-</v>
      </c>
      <c r="K261" s="15" t="str">
        <f>IFERROR(__xludf.DUMMYFUNCTION("""COMPUTED_VALUE"""),"-")</f>
        <v>-</v>
      </c>
      <c r="L261" s="15" t="str">
        <f>IFERROR(__xludf.DUMMYFUNCTION("""COMPUTED_VALUE"""),"Normal")</f>
        <v>Normal</v>
      </c>
      <c r="M261" s="18" t="s">
        <v>31</v>
      </c>
      <c r="N261" s="18" t="s">
        <v>28</v>
      </c>
    </row>
    <row r="262" hidden="1">
      <c r="A262" s="15" t="str">
        <f>IFERROR(__xludf.DUMMYFUNCTION("""COMPUTED_VALUE"""),"RIARO0025")</f>
        <v>RIARO0025</v>
      </c>
      <c r="B262" s="16">
        <f>IFERROR(__xludf.DUMMYFUNCTION("""COMPUTED_VALUE"""),45762.66750984953)</f>
        <v>45762.66751</v>
      </c>
      <c r="C262" s="17">
        <f>IFERROR(__xludf.DUMMYFUNCTION("""COMPUTED_VALUE"""),45768.63826605324)</f>
        <v>45768.63827</v>
      </c>
      <c r="D262" s="15" t="str">
        <f>IFERROR(__xludf.DUMMYFUNCTION("""COMPUTED_VALUE"""),"B12")</f>
        <v>B12</v>
      </c>
      <c r="E262" s="15" t="str">
        <f>IFERROR(__xludf.DUMMYFUNCTION("""COMPUTED_VALUE"""),"EJO/2025/04/75")</f>
        <v>EJO/2025/04/75</v>
      </c>
      <c r="F262" s="15" t="str">
        <f>IFERROR(__xludf.DUMMYFUNCTION("""COMPUTED_VALUE"""),"General - Pulser SCR Heater Controller Wall Mounted 0-10 VD DC; Regin; 240-X010; 1 unit")</f>
        <v>General - Pulser SCR Heater Controller Wall Mounted 0-10 VD DC; Regin; 240-X010; 1 unit</v>
      </c>
      <c r="G262" s="15">
        <f>IFERROR(__xludf.DUMMYFUNCTION("""COMPUTED_VALUE"""),2.0)</f>
        <v>2</v>
      </c>
      <c r="H262" s="15" t="str">
        <f>IFERROR(__xludf.DUMMYFUNCTION("""COMPUTED_VALUE"""),"Pcs")</f>
        <v>Pcs</v>
      </c>
      <c r="I262" s="15" t="str">
        <f>IFERROR(__xludf.DUMMYFUNCTION("""COMPUTED_VALUE"""),"Deliver")</f>
        <v>Deliver</v>
      </c>
      <c r="J262" s="15" t="str">
        <f>IFERROR(__xludf.DUMMYFUNCTION("""COMPUTED_VALUE"""),"-")</f>
        <v>-</v>
      </c>
      <c r="K262" s="15" t="str">
        <f>IFERROR(__xludf.DUMMYFUNCTION("""COMPUTED_VALUE"""),"-")</f>
        <v>-</v>
      </c>
      <c r="L262" s="15" t="str">
        <f>IFERROR(__xludf.DUMMYFUNCTION("""COMPUTED_VALUE"""),"Normal")</f>
        <v>Normal</v>
      </c>
      <c r="M262" s="18" t="s">
        <v>32</v>
      </c>
      <c r="N262" s="18" t="s">
        <v>28</v>
      </c>
    </row>
    <row r="263" hidden="1">
      <c r="A263" s="15" t="str">
        <f>IFERROR(__xludf.DUMMYFUNCTION("""COMPUTED_VALUE"""),"RIARO0026")</f>
        <v>RIARO0026</v>
      </c>
      <c r="B263" s="16">
        <f>IFERROR(__xludf.DUMMYFUNCTION("""COMPUTED_VALUE"""),45762.66919855324)</f>
        <v>45762.6692</v>
      </c>
      <c r="C263" s="17">
        <f>IFERROR(__xludf.DUMMYFUNCTION("""COMPUTED_VALUE"""),45768.63849297454)</f>
        <v>45768.63849</v>
      </c>
      <c r="D263" s="15" t="str">
        <f>IFERROR(__xludf.DUMMYFUNCTION("""COMPUTED_VALUE"""),"D13")</f>
        <v>D13</v>
      </c>
      <c r="E263" s="15" t="str">
        <f>IFERROR(__xludf.DUMMYFUNCTION("""COMPUTED_VALUE"""),"EJO/2025/04/76")</f>
        <v>EJO/2025/04/76</v>
      </c>
      <c r="F263" s="15" t="str">
        <f>IFERROR(__xludf.DUMMYFUNCTION("""COMPUTED_VALUE"""),"General - Pulser SCR Heater Controller Wall Mounted 0-10 VD DC; Regin; 240-X010; 1 unit")</f>
        <v>General - Pulser SCR Heater Controller Wall Mounted 0-10 VD DC; Regin; 240-X010; 1 unit</v>
      </c>
      <c r="G263" s="15">
        <f>IFERROR(__xludf.DUMMYFUNCTION("""COMPUTED_VALUE"""),2.0)</f>
        <v>2</v>
      </c>
      <c r="H263" s="15" t="str">
        <f>IFERROR(__xludf.DUMMYFUNCTION("""COMPUTED_VALUE"""),"Pcs")</f>
        <v>Pcs</v>
      </c>
      <c r="I263" s="15" t="str">
        <f>IFERROR(__xludf.DUMMYFUNCTION("""COMPUTED_VALUE"""),"Deliver")</f>
        <v>Deliver</v>
      </c>
      <c r="J263" s="15" t="str">
        <f>IFERROR(__xludf.DUMMYFUNCTION("""COMPUTED_VALUE"""),"-")</f>
        <v>-</v>
      </c>
      <c r="K263" s="15" t="str">
        <f>IFERROR(__xludf.DUMMYFUNCTION("""COMPUTED_VALUE"""),"-")</f>
        <v>-</v>
      </c>
      <c r="L263" s="15" t="str">
        <f>IFERROR(__xludf.DUMMYFUNCTION("""COMPUTED_VALUE"""),"Normal")</f>
        <v>Normal</v>
      </c>
      <c r="M263" s="18" t="s">
        <v>32</v>
      </c>
      <c r="N263" s="18" t="s">
        <v>28</v>
      </c>
    </row>
    <row r="264" hidden="1">
      <c r="A264" s="15" t="str">
        <f>IFERROR(__xludf.DUMMYFUNCTION("""COMPUTED_VALUE"""),"RIARO0027")</f>
        <v>RIARO0027</v>
      </c>
      <c r="B264" s="16">
        <f>IFERROR(__xludf.DUMMYFUNCTION("""COMPUTED_VALUE"""),45762.74859664352)</f>
        <v>45762.7486</v>
      </c>
      <c r="C264" s="17">
        <f>IFERROR(__xludf.DUMMYFUNCTION("""COMPUTED_VALUE"""),45768.63990171296)</f>
        <v>45768.6399</v>
      </c>
      <c r="D264" s="15" t="str">
        <f>IFERROR(__xludf.DUMMYFUNCTION("""COMPUTED_VALUE"""),"All Room New")</f>
        <v>All Room New</v>
      </c>
      <c r="E264" s="15" t="str">
        <f>IFERROR(__xludf.DUMMYFUNCTION("""COMPUTED_VALUE"""),"EJO/2025/04/18")</f>
        <v>EJO/2025/04/18</v>
      </c>
      <c r="F264" s="15" t="str">
        <f>IFERROR(__xludf.DUMMYFUNCTION("""COMPUTED_VALUE"""),"Cable Temperature Sensor Silicone 1,5m PT1000 QAP2012.150")</f>
        <v>Cable Temperature Sensor Silicone 1,5m PT1000 QAP2012.150</v>
      </c>
      <c r="G264" s="15">
        <f>IFERROR(__xludf.DUMMYFUNCTION("""COMPUTED_VALUE"""),4.0)</f>
        <v>4</v>
      </c>
      <c r="H264" s="15" t="str">
        <f>IFERROR(__xludf.DUMMYFUNCTION("""COMPUTED_VALUE"""),"Pcs")</f>
        <v>Pcs</v>
      </c>
      <c r="I264" s="15" t="str">
        <f>IFERROR(__xludf.DUMMYFUNCTION("""COMPUTED_VALUE"""),"Deliver")</f>
        <v>Deliver</v>
      </c>
      <c r="J264" s="15" t="str">
        <f>IFERROR(__xludf.DUMMYFUNCTION("""COMPUTED_VALUE"""),"-")</f>
        <v>-</v>
      </c>
      <c r="K264" s="15" t="str">
        <f>IFERROR(__xludf.DUMMYFUNCTION("""COMPUTED_VALUE"""),"-")</f>
        <v>-</v>
      </c>
      <c r="L264" s="15" t="str">
        <f>IFERROR(__xludf.DUMMYFUNCTION("""COMPUTED_VALUE"""),"Normal")</f>
        <v>Normal</v>
      </c>
      <c r="M264" s="18" t="s">
        <v>32</v>
      </c>
      <c r="N264" s="18" t="s">
        <v>28</v>
      </c>
    </row>
    <row r="265" hidden="1">
      <c r="A265" s="15" t="str">
        <f>IFERROR(__xludf.DUMMYFUNCTION("""COMPUTED_VALUE"""),"RIABR0028")</f>
        <v>RIABR0028</v>
      </c>
      <c r="B265" s="16">
        <f>IFERROR(__xludf.DUMMYFUNCTION("""COMPUTED_VALUE"""),45763.64667299769)</f>
        <v>45763.64667</v>
      </c>
      <c r="C265" s="17">
        <f>IFERROR(__xludf.DUMMYFUNCTION("""COMPUTED_VALUE"""),45768.64092104167)</f>
        <v>45768.64092</v>
      </c>
      <c r="D265" s="15" t="str">
        <f>IFERROR(__xludf.DUMMYFUNCTION("""COMPUTED_VALUE"""),"WWTP")</f>
        <v>WWTP</v>
      </c>
      <c r="E265" s="15" t="str">
        <f>IFERROR(__xludf.DUMMYFUNCTION("""COMPUTED_VALUE"""),"EJO/2025/03/150")</f>
        <v>EJO/2025/03/150</v>
      </c>
      <c r="F265" s="15" t="str">
        <f>IFERROR(__xludf.DUMMYFUNCTION("""COMPUTED_VALUE"""),"Pilot Lamp")</f>
        <v>Pilot Lamp</v>
      </c>
      <c r="G265" s="15">
        <f>IFERROR(__xludf.DUMMYFUNCTION("""COMPUTED_VALUE"""),7.0)</f>
        <v>7</v>
      </c>
      <c r="H265" s="15" t="str">
        <f>IFERROR(__xludf.DUMMYFUNCTION("""COMPUTED_VALUE"""),"Pcs")</f>
        <v>Pcs</v>
      </c>
      <c r="I265" s="15" t="str">
        <f>IFERROR(__xludf.DUMMYFUNCTION("""COMPUTED_VALUE"""),"Deliver")</f>
        <v>Deliver</v>
      </c>
      <c r="J265" s="15" t="str">
        <f>IFERROR(__xludf.DUMMYFUNCTION("""COMPUTED_VALUE"""),"-")</f>
        <v>-</v>
      </c>
      <c r="K265" s="15" t="str">
        <f>IFERROR(__xludf.DUMMYFUNCTION("""COMPUTED_VALUE"""),"-")</f>
        <v>-</v>
      </c>
      <c r="L265" s="15" t="str">
        <f>IFERROR(__xludf.DUMMYFUNCTION("""COMPUTED_VALUE"""),"Normal")</f>
        <v>Normal</v>
      </c>
      <c r="M265" s="18" t="s">
        <v>32</v>
      </c>
      <c r="N265" s="18" t="s">
        <v>28</v>
      </c>
    </row>
    <row r="266" hidden="1">
      <c r="A266" s="15" t="str">
        <f>IFERROR(__xludf.DUMMYFUNCTION("""COMPUTED_VALUE"""),"RIABR0031")</f>
        <v>RIABR0031</v>
      </c>
      <c r="B266" s="16">
        <f>IFERROR(__xludf.DUMMYFUNCTION("""COMPUTED_VALUE"""),45763.67696354167)</f>
        <v>45763.67696</v>
      </c>
      <c r="C266" s="17">
        <f>IFERROR(__xludf.DUMMYFUNCTION("""COMPUTED_VALUE"""),45768.64304427084)</f>
        <v>45768.64304</v>
      </c>
      <c r="D266" s="15" t="str">
        <f>IFERROR(__xludf.DUMMYFUNCTION("""COMPUTED_VALUE"""),"PSG")</f>
        <v>PSG</v>
      </c>
      <c r="E266" s="15" t="str">
        <f>IFERROR(__xludf.DUMMYFUNCTION("""COMPUTED_VALUE"""),"EJO/2025/01/15")</f>
        <v>EJO/2025/01/15</v>
      </c>
      <c r="F266" s="15" t="str">
        <f>IFERROR(__xludf.DUMMYFUNCTION("""COMPUTED_VALUE"""),"Strainer")</f>
        <v>Strainer</v>
      </c>
      <c r="G266" s="15">
        <f>IFERROR(__xludf.DUMMYFUNCTION("""COMPUTED_VALUE"""),1.0)</f>
        <v>1</v>
      </c>
      <c r="H266" s="15" t="str">
        <f>IFERROR(__xludf.DUMMYFUNCTION("""COMPUTED_VALUE"""),"Pcs")</f>
        <v>Pcs</v>
      </c>
      <c r="I266" s="15" t="str">
        <f>IFERROR(__xludf.DUMMYFUNCTION("""COMPUTED_VALUE"""),"Deliver")</f>
        <v>Deliver</v>
      </c>
      <c r="J266" s="15" t="str">
        <f>IFERROR(__xludf.DUMMYFUNCTION("""COMPUTED_VALUE"""),"-")</f>
        <v>-</v>
      </c>
      <c r="K266" s="15" t="str">
        <f>IFERROR(__xludf.DUMMYFUNCTION("""COMPUTED_VALUE"""),"-")</f>
        <v>-</v>
      </c>
      <c r="L266" s="15" t="str">
        <f>IFERROR(__xludf.DUMMYFUNCTION("""COMPUTED_VALUE"""),"Normal")</f>
        <v>Normal</v>
      </c>
      <c r="M266" s="18" t="s">
        <v>32</v>
      </c>
      <c r="N266" s="18" t="s">
        <v>28</v>
      </c>
    </row>
    <row r="267" hidden="1">
      <c r="A267" s="15" t="str">
        <f>IFERROR(__xludf.DUMMYFUNCTION("""COMPUTED_VALUE"""),"RIAJA0002")</f>
        <v>RIAJA0002</v>
      </c>
      <c r="B267" s="16">
        <f>IFERROR(__xludf.DUMMYFUNCTION("""COMPUTED_VALUE"""),45763.68544725695)</f>
        <v>45763.68545</v>
      </c>
      <c r="C267" s="17">
        <f>IFERROR(__xludf.DUMMYFUNCTION("""COMPUTED_VALUE"""),45768.64324135417)</f>
        <v>45768.64324</v>
      </c>
      <c r="D267" s="15" t="str">
        <f>IFERROR(__xludf.DUMMYFUNCTION("""COMPUTED_VALUE"""),"TOC PW SKID")</f>
        <v>TOC PW SKID</v>
      </c>
      <c r="E267" s="15" t="str">
        <f>IFERROR(__xludf.DUMMYFUNCTION("""COMPUTED_VALUE"""),"EJO/2025/03/45")</f>
        <v>EJO/2025/03/45</v>
      </c>
      <c r="F267" s="15" t="str">
        <f>IFERROR(__xludf.DUMMYFUNCTION("""COMPUTED_VALUE"""),"Repair Pompa TOC PW SKID")</f>
        <v>Repair Pompa TOC PW SKID</v>
      </c>
      <c r="G267" s="15">
        <f>IFERROR(__xludf.DUMMYFUNCTION("""COMPUTED_VALUE"""),1.0)</f>
        <v>1</v>
      </c>
      <c r="H267" s="15" t="str">
        <f>IFERROR(__xludf.DUMMYFUNCTION("""COMPUTED_VALUE"""),"Set")</f>
        <v>Set</v>
      </c>
      <c r="I267" s="15" t="str">
        <f>IFERROR(__xludf.DUMMYFUNCTION("""COMPUTED_VALUE"""),"Deliver")</f>
        <v>Deliver</v>
      </c>
      <c r="J267" s="15" t="str">
        <f>IFERROR(__xludf.DUMMYFUNCTION("""COMPUTED_VALUE"""),"-")</f>
        <v>-</v>
      </c>
      <c r="K267" s="15" t="str">
        <f>IFERROR(__xludf.DUMMYFUNCTION("""COMPUTED_VALUE"""),"-")</f>
        <v>-</v>
      </c>
      <c r="L267" s="15" t="str">
        <f>IFERROR(__xludf.DUMMYFUNCTION("""COMPUTED_VALUE"""),"Normal")</f>
        <v>Normal</v>
      </c>
      <c r="M267" s="18" t="s">
        <v>32</v>
      </c>
      <c r="N267" s="18" t="s">
        <v>28</v>
      </c>
    </row>
    <row r="268" hidden="1">
      <c r="A268" s="15" t="str">
        <f>IFERROR(__xludf.DUMMYFUNCTION("""COMPUTED_VALUE"""),"MRNRO0012")</f>
        <v>MRNRO0012</v>
      </c>
      <c r="B268" s="16">
        <f>IFERROR(__xludf.DUMMYFUNCTION("""COMPUTED_VALUE"""),45763.88987730324)</f>
        <v>45763.88988</v>
      </c>
      <c r="C268" s="17">
        <f>IFERROR(__xludf.DUMMYFUNCTION("""COMPUTED_VALUE"""),45768.64381171296)</f>
        <v>45768.64381</v>
      </c>
      <c r="D268" s="15" t="str">
        <f>IFERROR(__xludf.DUMMYFUNCTION("""COMPUTED_VALUE"""),"Utility")</f>
        <v>Utility</v>
      </c>
      <c r="E268" s="15" t="str">
        <f>IFERROR(__xludf.DUMMYFUNCTION("""COMPUTED_VALUE"""),"-")</f>
        <v>-</v>
      </c>
      <c r="F268" s="15" t="str">
        <f>IFERROR(__xludf.DUMMYFUNCTION("""COMPUTED_VALUE"""),"General - Washable G4 Avg arrestance : 94%. Rec. Final resistance: 250 Pa. Size: 24"" x 24"" x 2""; IAF; ; pcs")</f>
        <v>General - Washable G4 Avg arrestance : 94%. Rec. Final resistance: 250 Pa. Size: 24" x 24" x 2"; IAF; ; pcs</v>
      </c>
      <c r="G268" s="15">
        <f>IFERROR(__xludf.DUMMYFUNCTION("""COMPUTED_VALUE"""),20.0)</f>
        <v>20</v>
      </c>
      <c r="H268" s="15" t="str">
        <f>IFERROR(__xludf.DUMMYFUNCTION("""COMPUTED_VALUE"""),"pcs")</f>
        <v>pcs</v>
      </c>
      <c r="I268" s="15" t="str">
        <f>IFERROR(__xludf.DUMMYFUNCTION("""COMPUTED_VALUE"""),"Deliver")</f>
        <v>Deliver</v>
      </c>
      <c r="J268" s="15" t="str">
        <f>IFERROR(__xludf.DUMMYFUNCTION("""COMPUTED_VALUE"""),"-")</f>
        <v>-</v>
      </c>
      <c r="K268" s="15" t="str">
        <f>IFERROR(__xludf.DUMMYFUNCTION("""COMPUTED_VALUE"""),"-")</f>
        <v>-</v>
      </c>
      <c r="L268" s="15" t="str">
        <f>IFERROR(__xludf.DUMMYFUNCTION("""COMPUTED_VALUE"""),"Normal")</f>
        <v>Normal</v>
      </c>
      <c r="M268" s="18" t="s">
        <v>48</v>
      </c>
      <c r="N268" s="18" t="s">
        <v>28</v>
      </c>
    </row>
    <row r="269" hidden="1">
      <c r="A269" s="15" t="str">
        <f>IFERROR(__xludf.DUMMYFUNCTION("""COMPUTED_VALUE"""),"MRNRO0013")</f>
        <v>MRNRO0013</v>
      </c>
      <c r="B269" s="16">
        <f>IFERROR(__xludf.DUMMYFUNCTION("""COMPUTED_VALUE"""),45763.88989003473)</f>
        <v>45763.88989</v>
      </c>
      <c r="C269" s="17">
        <f>IFERROR(__xludf.DUMMYFUNCTION("""COMPUTED_VALUE"""),45768.64404792825)</f>
        <v>45768.64405</v>
      </c>
      <c r="D269" s="15" t="str">
        <f>IFERROR(__xludf.DUMMYFUNCTION("""COMPUTED_VALUE"""),"Utility")</f>
        <v>Utility</v>
      </c>
      <c r="E269" s="15" t="str">
        <f>IFERROR(__xludf.DUMMYFUNCTION("""COMPUTED_VALUE"""),"-")</f>
        <v>-</v>
      </c>
      <c r="F269" s="15" t="str">
        <f>IFERROR(__xludf.DUMMYFUNCTION("""COMPUTED_VALUE"""),"General - Washable G4 Avg arrestance : 94%. Rec. Final resistance: 250 Pa. Size: 12"" x 24"" x 2""; IAF; ; pcs")</f>
        <v>General - Washable G4 Avg arrestance : 94%. Rec. Final resistance: 250 Pa. Size: 12" x 24" x 2"; IAF; ; pcs</v>
      </c>
      <c r="G269" s="15">
        <f>IFERROR(__xludf.DUMMYFUNCTION("""COMPUTED_VALUE"""),10.0)</f>
        <v>10</v>
      </c>
      <c r="H269" s="15" t="str">
        <f>IFERROR(__xludf.DUMMYFUNCTION("""COMPUTED_VALUE"""),"pcs")</f>
        <v>pcs</v>
      </c>
      <c r="I269" s="15" t="str">
        <f>IFERROR(__xludf.DUMMYFUNCTION("""COMPUTED_VALUE"""),"Deliver")</f>
        <v>Deliver</v>
      </c>
      <c r="J269" s="15" t="str">
        <f>IFERROR(__xludf.DUMMYFUNCTION("""COMPUTED_VALUE"""),"-")</f>
        <v>-</v>
      </c>
      <c r="K269" s="15" t="str">
        <f>IFERROR(__xludf.DUMMYFUNCTION("""COMPUTED_VALUE"""),"-")</f>
        <v>-</v>
      </c>
      <c r="L269" s="15" t="str">
        <f>IFERROR(__xludf.DUMMYFUNCTION("""COMPUTED_VALUE"""),"Normal")</f>
        <v>Normal</v>
      </c>
      <c r="M269" s="18" t="s">
        <v>48</v>
      </c>
      <c r="N269" s="18" t="s">
        <v>28</v>
      </c>
    </row>
    <row r="270" hidden="1">
      <c r="A270" s="15" t="str">
        <f>IFERROR(__xludf.DUMMYFUNCTION("""COMPUTED_VALUE"""),"SFHBR0019")</f>
        <v>SFHBR0019</v>
      </c>
      <c r="B270" s="16">
        <f>IFERROR(__xludf.DUMMYFUNCTION("""COMPUTED_VALUE"""),45764.47120278935)</f>
        <v>45764.4712</v>
      </c>
      <c r="C270" s="17">
        <f>IFERROR(__xludf.DUMMYFUNCTION("""COMPUTED_VALUE"""),45768.64438978009)</f>
        <v>45768.64439</v>
      </c>
      <c r="D270" s="15" t="str">
        <f>IFERROR(__xludf.DUMMYFUNCTION("""COMPUTED_VALUE"""),"lantai 2")</f>
        <v>lantai 2</v>
      </c>
      <c r="E270" s="15" t="str">
        <f>IFERROR(__xludf.DUMMYFUNCTION("""COMPUTED_VALUE"""),"-")</f>
        <v>-</v>
      </c>
      <c r="F270" s="15" t="str">
        <f>IFERROR(__xludf.DUMMYFUNCTION("""COMPUTED_VALUE"""),"cat dulux ambiance ")</f>
        <v>cat dulux ambiance </v>
      </c>
      <c r="G270" s="15">
        <f>IFERROR(__xludf.DUMMYFUNCTION("""COMPUTED_VALUE"""),2.0)</f>
        <v>2</v>
      </c>
      <c r="H270" s="15" t="str">
        <f>IFERROR(__xludf.DUMMYFUNCTION("""COMPUTED_VALUE"""),"PEL")</f>
        <v>PEL</v>
      </c>
      <c r="I270" s="15" t="str">
        <f>IFERROR(__xludf.DUMMYFUNCTION("""COMPUTED_VALUE"""),"Deliver")</f>
        <v>Deliver</v>
      </c>
      <c r="J270" s="15" t="str">
        <f>IFERROR(__xludf.DUMMYFUNCTION("""COMPUTED_VALUE"""),"-")</f>
        <v>-</v>
      </c>
      <c r="K270" s="15" t="str">
        <f>IFERROR(__xludf.DUMMYFUNCTION("""COMPUTED_VALUE"""),"-")</f>
        <v>-</v>
      </c>
      <c r="L270" s="15" t="str">
        <f>IFERROR(__xludf.DUMMYFUNCTION("""COMPUTED_VALUE"""),"Normal")</f>
        <v>Normal</v>
      </c>
      <c r="M270" s="18" t="s">
        <v>27</v>
      </c>
      <c r="N270" s="18" t="s">
        <v>28</v>
      </c>
    </row>
    <row r="271" hidden="1">
      <c r="A271" s="15" t="str">
        <f>IFERROR(__xludf.DUMMYFUNCTION("""COMPUTED_VALUE"""),"SFHBR0020")</f>
        <v>SFHBR0020</v>
      </c>
      <c r="B271" s="16">
        <f>IFERROR(__xludf.DUMMYFUNCTION("""COMPUTED_VALUE"""),45764.480452800926)</f>
        <v>45764.48045</v>
      </c>
      <c r="C271" s="17">
        <f>IFERROR(__xludf.DUMMYFUNCTION("""COMPUTED_VALUE"""),45768.644616273144)</f>
        <v>45768.64462</v>
      </c>
      <c r="D271" s="15" t="str">
        <f>IFERROR(__xludf.DUMMYFUNCTION("""COMPUTED_VALUE"""),"lantai 2")</f>
        <v>lantai 2</v>
      </c>
      <c r="E271" s="15" t="str">
        <f>IFERROR(__xludf.DUMMYFUNCTION("""COMPUTED_VALUE"""),"-")</f>
        <v>-</v>
      </c>
      <c r="F271" s="15" t="str">
        <f>IFERROR(__xludf.DUMMYFUNCTION("""COMPUTED_VALUE"""),"cat ftalit")</f>
        <v>cat ftalit</v>
      </c>
      <c r="G271" s="15">
        <f>IFERROR(__xludf.DUMMYFUNCTION("""COMPUTED_VALUE"""),2.0)</f>
        <v>2</v>
      </c>
      <c r="H271" s="15" t="str">
        <f>IFERROR(__xludf.DUMMYFUNCTION("""COMPUTED_VALUE"""),"PEL")</f>
        <v>PEL</v>
      </c>
      <c r="I271" s="15" t="str">
        <f>IFERROR(__xludf.DUMMYFUNCTION("""COMPUTED_VALUE"""),"Deliver")</f>
        <v>Deliver</v>
      </c>
      <c r="J271" s="15" t="str">
        <f>IFERROR(__xludf.DUMMYFUNCTION("""COMPUTED_VALUE"""),"-")</f>
        <v>-</v>
      </c>
      <c r="K271" s="15" t="str">
        <f>IFERROR(__xludf.DUMMYFUNCTION("""COMPUTED_VALUE"""),"-")</f>
        <v>-</v>
      </c>
      <c r="L271" s="15" t="str">
        <f>IFERROR(__xludf.DUMMYFUNCTION("""COMPUTED_VALUE"""),"Normal")</f>
        <v>Normal</v>
      </c>
      <c r="M271" s="18" t="s">
        <v>27</v>
      </c>
      <c r="N271" s="18" t="s">
        <v>28</v>
      </c>
    </row>
    <row r="272" hidden="1">
      <c r="A272" s="15" t="str">
        <f>IFERROR(__xludf.DUMMYFUNCTION("""COMPUTED_VALUE"""),"RIABR0032")</f>
        <v>RIABR0032</v>
      </c>
      <c r="B272" s="16">
        <f>IFERROR(__xludf.DUMMYFUNCTION("""COMPUTED_VALUE"""),45766.413044097215)</f>
        <v>45766.41304</v>
      </c>
      <c r="C272" s="17">
        <f>IFERROR(__xludf.DUMMYFUNCTION("""COMPUTED_VALUE"""),45768.64480206018)</f>
        <v>45768.6448</v>
      </c>
      <c r="D272" s="15" t="str">
        <f>IFERROR(__xludf.DUMMYFUNCTION("""COMPUTED_VALUE"""),"Grinda Bosch")</f>
        <v>Grinda Bosch</v>
      </c>
      <c r="E272" s="15" t="str">
        <f>IFERROR(__xludf.DUMMYFUNCTION("""COMPUTED_VALUE"""),"-")</f>
        <v>-</v>
      </c>
      <c r="F272" s="15" t="str">
        <f>IFERROR(__xludf.DUMMYFUNCTION("""COMPUTED_VALUE"""),"Carbon Brush")</f>
        <v>Carbon Brush</v>
      </c>
      <c r="G272" s="15">
        <f>IFERROR(__xludf.DUMMYFUNCTION("""COMPUTED_VALUE"""),2.0)</f>
        <v>2</v>
      </c>
      <c r="H272" s="15" t="str">
        <f>IFERROR(__xludf.DUMMYFUNCTION("""COMPUTED_VALUE"""),"Set")</f>
        <v>Set</v>
      </c>
      <c r="I272" s="15" t="str">
        <f>IFERROR(__xludf.DUMMYFUNCTION("""COMPUTED_VALUE"""),"Deliver")</f>
        <v>Deliver</v>
      </c>
      <c r="J272" s="15" t="str">
        <f>IFERROR(__xludf.DUMMYFUNCTION("""COMPUTED_VALUE"""),"-")</f>
        <v>-</v>
      </c>
      <c r="K272" s="15" t="str">
        <f>IFERROR(__xludf.DUMMYFUNCTION("""COMPUTED_VALUE"""),"-")</f>
        <v>-</v>
      </c>
      <c r="L272" s="15" t="str">
        <f>IFERROR(__xludf.DUMMYFUNCTION("""COMPUTED_VALUE"""),"Normal")</f>
        <v>Normal</v>
      </c>
      <c r="M272" s="18" t="s">
        <v>32</v>
      </c>
      <c r="N272" s="18" t="s">
        <v>28</v>
      </c>
    </row>
    <row r="273" hidden="1">
      <c r="A273" s="15" t="str">
        <f>IFERROR(__xludf.DUMMYFUNCTION("""COMPUTED_VALUE"""),"RIARO0029")</f>
        <v>RIARO0029</v>
      </c>
      <c r="B273" s="16">
        <f>IFERROR(__xludf.DUMMYFUNCTION("""COMPUTED_VALUE"""),45768.59221689814)</f>
        <v>45768.59222</v>
      </c>
      <c r="C273" s="17">
        <f>IFERROR(__xludf.DUMMYFUNCTION("""COMPUTED_VALUE"""),45768.6452759375)</f>
        <v>45768.64528</v>
      </c>
      <c r="D273" s="15" t="str">
        <f>IFERROR(__xludf.DUMMYFUNCTION("""COMPUTED_VALUE"""),"PW SKID")</f>
        <v>PW SKID</v>
      </c>
      <c r="E273" s="15" t="str">
        <f>IFERROR(__xludf.DUMMYFUNCTION("""COMPUTED_VALUE"""),"-")</f>
        <v>-</v>
      </c>
      <c r="F273" s="15" t="str">
        <f>IFERROR(__xludf.DUMMYFUNCTION("""COMPUTED_VALUE"""),"Kit, membrane ozone 6510 METTLER TOLEDO INDONESIA, PT P/N : -  pc")</f>
        <v>Kit, membrane ozone 6510 METTLER TOLEDO INDONESIA, PT P/N : -  pc</v>
      </c>
      <c r="G273" s="15">
        <f>IFERROR(__xludf.DUMMYFUNCTION("""COMPUTED_VALUE"""),1.0)</f>
        <v>1</v>
      </c>
      <c r="H273" s="15" t="str">
        <f>IFERROR(__xludf.DUMMYFUNCTION("""COMPUTED_VALUE"""),"Set")</f>
        <v>Set</v>
      </c>
      <c r="I273" s="15" t="str">
        <f>IFERROR(__xludf.DUMMYFUNCTION("""COMPUTED_VALUE"""),"Deliver")</f>
        <v>Deliver</v>
      </c>
      <c r="J273" s="15" t="str">
        <f>IFERROR(__xludf.DUMMYFUNCTION("""COMPUTED_VALUE"""),"-")</f>
        <v>-</v>
      </c>
      <c r="K273" s="15" t="str">
        <f>IFERROR(__xludf.DUMMYFUNCTION("""COMPUTED_VALUE"""),"-")</f>
        <v>-</v>
      </c>
      <c r="L273" s="15" t="str">
        <f>IFERROR(__xludf.DUMMYFUNCTION("""COMPUTED_VALUE"""),"Normal")</f>
        <v>Normal</v>
      </c>
      <c r="M273" s="18" t="s">
        <v>32</v>
      </c>
      <c r="N273" s="18" t="s">
        <v>28</v>
      </c>
    </row>
    <row r="274" hidden="1">
      <c r="A274" s="15" t="str">
        <f>IFERROR(__xludf.DUMMYFUNCTION("""COMPUTED_VALUE"""),"INNRO0003")</f>
        <v>INNRO0003</v>
      </c>
      <c r="B274" s="16">
        <f>IFERROR(__xludf.DUMMYFUNCTION("""COMPUTED_VALUE"""),45771.33905258102)</f>
        <v>45771.33905</v>
      </c>
      <c r="C274" s="17">
        <f>IFERROR(__xludf.DUMMYFUNCTION("""COMPUTED_VALUE"""),45772.64253064815)</f>
        <v>45772.64253</v>
      </c>
      <c r="D274" s="15" t="str">
        <f>IFERROR(__xludf.DUMMYFUNCTION("""COMPUTED_VALUE"""),"PMS")</f>
        <v>PMS</v>
      </c>
      <c r="E274" s="15" t="str">
        <f>IFERROR(__xludf.DUMMYFUNCTION("""COMPUTED_VALUE"""),"-")</f>
        <v>-</v>
      </c>
      <c r="F274" s="15" t="str">
        <f>IFERROR(__xludf.DUMMYFUNCTION("""COMPUTED_VALUE"""),"FESTO - Plastic tubing PUN-10x1,5-BL (Blue) p/n 159668; ; ;")</f>
        <v>FESTO - Plastic tubing PUN-10x1,5-BL (Blue) p/n 159668; ; ;</v>
      </c>
      <c r="G274" s="15">
        <f>IFERROR(__xludf.DUMMYFUNCTION("""COMPUTED_VALUE"""),150.0)</f>
        <v>150</v>
      </c>
      <c r="H274" s="15" t="str">
        <f>IFERROR(__xludf.DUMMYFUNCTION("""COMPUTED_VALUE"""),"meter")</f>
        <v>meter</v>
      </c>
      <c r="I274" s="15" t="str">
        <f>IFERROR(__xludf.DUMMYFUNCTION("""COMPUTED_VALUE"""),"Deliver")</f>
        <v>Deliver</v>
      </c>
      <c r="J274" s="15" t="str">
        <f>IFERROR(__xludf.DUMMYFUNCTION("""COMPUTED_VALUE"""),"-")</f>
        <v>-</v>
      </c>
      <c r="K274" s="15" t="str">
        <f>IFERROR(__xludf.DUMMYFUNCTION("""COMPUTED_VALUE"""),"-")</f>
        <v>-</v>
      </c>
      <c r="L274" s="15" t="str">
        <f>IFERROR(__xludf.DUMMYFUNCTION("""COMPUTED_VALUE"""),"Normal")</f>
        <v>Normal</v>
      </c>
      <c r="M274" s="18" t="s">
        <v>51</v>
      </c>
      <c r="N274" s="18" t="s">
        <v>30</v>
      </c>
    </row>
    <row r="275" hidden="1">
      <c r="A275" s="15" t="str">
        <f>IFERROR(__xludf.DUMMYFUNCTION("""COMPUTED_VALUE"""),"INNRO0004")</f>
        <v>INNRO0004</v>
      </c>
      <c r="B275" s="16">
        <f>IFERROR(__xludf.DUMMYFUNCTION("""COMPUTED_VALUE"""),45771.33991049769)</f>
        <v>45771.33991</v>
      </c>
      <c r="C275" s="17">
        <f>IFERROR(__xludf.DUMMYFUNCTION("""COMPUTED_VALUE"""),45772.64368855324)</f>
        <v>45772.64369</v>
      </c>
      <c r="D275" s="15" t="str">
        <f>IFERROR(__xludf.DUMMYFUNCTION("""COMPUTED_VALUE"""),"Isolator Mixing")</f>
        <v>Isolator Mixing</v>
      </c>
      <c r="E275" s="15" t="str">
        <f>IFERROR(__xludf.DUMMYFUNCTION("""COMPUTED_VALUE"""),"-")</f>
        <v>-</v>
      </c>
      <c r="F275" s="15" t="str">
        <f>IFERROR(__xludf.DUMMYFUNCTION("""COMPUTED_VALUE"""),"General - Plastic Tubing, PUN-H-8X1,25-BL; Festo; 197385; 1 m")</f>
        <v>General - Plastic Tubing, PUN-H-8X1,25-BL; Festo; 197385; 1 m</v>
      </c>
      <c r="G275" s="15">
        <f>IFERROR(__xludf.DUMMYFUNCTION("""COMPUTED_VALUE"""),100.0)</f>
        <v>100</v>
      </c>
      <c r="H275" s="15" t="str">
        <f>IFERROR(__xludf.DUMMYFUNCTION("""COMPUTED_VALUE"""),"meter")</f>
        <v>meter</v>
      </c>
      <c r="I275" s="15" t="str">
        <f>IFERROR(__xludf.DUMMYFUNCTION("""COMPUTED_VALUE"""),"Deliver")</f>
        <v>Deliver</v>
      </c>
      <c r="J275" s="15" t="str">
        <f>IFERROR(__xludf.DUMMYFUNCTION("""COMPUTED_VALUE"""),"-")</f>
        <v>-</v>
      </c>
      <c r="K275" s="15" t="str">
        <f>IFERROR(__xludf.DUMMYFUNCTION("""COMPUTED_VALUE"""),"-")</f>
        <v>-</v>
      </c>
      <c r="L275" s="15" t="str">
        <f>IFERROR(__xludf.DUMMYFUNCTION("""COMPUTED_VALUE"""),"Normal")</f>
        <v>Normal</v>
      </c>
      <c r="M275" s="18" t="s">
        <v>51</v>
      </c>
      <c r="N275" s="18" t="s">
        <v>30</v>
      </c>
    </row>
    <row r="276" hidden="1">
      <c r="A276" s="15" t="str">
        <f>IFERROR(__xludf.DUMMYFUNCTION("""COMPUTED_VALUE"""),"INNBR0024")</f>
        <v>INNBR0024</v>
      </c>
      <c r="B276" s="16">
        <f>IFERROR(__xludf.DUMMYFUNCTION("""COMPUTED_VALUE"""),45771.34415167825)</f>
        <v>45771.34415</v>
      </c>
      <c r="C276" s="17">
        <f>IFERROR(__xludf.DUMMYFUNCTION("""COMPUTED_VALUE"""),45772.64522224537)</f>
        <v>45772.64522</v>
      </c>
      <c r="D276" s="15" t="str">
        <f>IFERROR(__xludf.DUMMYFUNCTION("""COMPUTED_VALUE"""),"HE Washbay")</f>
        <v>HE Washbay</v>
      </c>
      <c r="E276" s="15" t="str">
        <f>IFERROR(__xludf.DUMMYFUNCTION("""COMPUTED_VALUE"""),"-")</f>
        <v>-</v>
      </c>
      <c r="F276" s="15" t="str">
        <f>IFERROR(__xludf.DUMMYFUNCTION("""COMPUTED_VALUE"""),"Tubing M6 Blue Festo")</f>
        <v>Tubing M6 Blue Festo</v>
      </c>
      <c r="G276" s="15">
        <f>IFERROR(__xludf.DUMMYFUNCTION("""COMPUTED_VALUE"""),30.0)</f>
        <v>30</v>
      </c>
      <c r="H276" s="15" t="str">
        <f>IFERROR(__xludf.DUMMYFUNCTION("""COMPUTED_VALUE"""),"meter")</f>
        <v>meter</v>
      </c>
      <c r="I276" s="15" t="str">
        <f>IFERROR(__xludf.DUMMYFUNCTION("""COMPUTED_VALUE"""),"Deliver")</f>
        <v>Deliver</v>
      </c>
      <c r="J276" s="15" t="str">
        <f>IFERROR(__xludf.DUMMYFUNCTION("""COMPUTED_VALUE"""),"-")</f>
        <v>-</v>
      </c>
      <c r="K276" s="15" t="str">
        <f>IFERROR(__xludf.DUMMYFUNCTION("""COMPUTED_VALUE"""),"-")</f>
        <v>-</v>
      </c>
      <c r="L276" s="15" t="str">
        <f>IFERROR(__xludf.DUMMYFUNCTION("""COMPUTED_VALUE"""),"Normal")</f>
        <v>Normal</v>
      </c>
      <c r="M276" s="18" t="s">
        <v>51</v>
      </c>
      <c r="N276" s="18" t="s">
        <v>30</v>
      </c>
    </row>
    <row r="277" hidden="1">
      <c r="A277" s="15" t="str">
        <f>IFERROR(__xludf.DUMMYFUNCTION("""COMPUTED_VALUE"""),"INNJA0002")</f>
        <v>INNJA0002</v>
      </c>
      <c r="B277" s="16">
        <f>IFERROR(__xludf.DUMMYFUNCTION("""COMPUTED_VALUE"""),45771.367909305554)</f>
        <v>45771.36791</v>
      </c>
      <c r="C277" s="17">
        <f>IFERROR(__xludf.DUMMYFUNCTION("""COMPUTED_VALUE"""),45772.64836769676)</f>
        <v>45772.64837</v>
      </c>
      <c r="D277" s="15" t="str">
        <f>IFERROR(__xludf.DUMMYFUNCTION("""COMPUTED_VALUE"""),"Sartocheck")</f>
        <v>Sartocheck</v>
      </c>
      <c r="E277" s="15" t="str">
        <f>IFERROR(__xludf.DUMMYFUNCTION("""COMPUTED_VALUE"""),"EJO/2025/03/151")</f>
        <v>EJO/2025/03/151</v>
      </c>
      <c r="F277" s="15" t="str">
        <f>IFERROR(__xludf.DUMMYFUNCTION("""COMPUTED_VALUE"""),"Service power Supply")</f>
        <v>Service power Supply</v>
      </c>
      <c r="G277" s="15">
        <f>IFERROR(__xludf.DUMMYFUNCTION("""COMPUTED_VALUE"""),1.0)</f>
        <v>1</v>
      </c>
      <c r="H277" s="15" t="str">
        <f>IFERROR(__xludf.DUMMYFUNCTION("""COMPUTED_VALUE"""),"unit")</f>
        <v>unit</v>
      </c>
      <c r="I277" s="15" t="str">
        <f>IFERROR(__xludf.DUMMYFUNCTION("""COMPUTED_VALUE"""),"Deliver")</f>
        <v>Deliver</v>
      </c>
      <c r="J277" s="15" t="str">
        <f>IFERROR(__xludf.DUMMYFUNCTION("""COMPUTED_VALUE"""),"-")</f>
        <v>-</v>
      </c>
      <c r="K277" s="15" t="str">
        <f>IFERROR(__xludf.DUMMYFUNCTION("""COMPUTED_VALUE"""),"-")</f>
        <v>-</v>
      </c>
      <c r="L277" s="15" t="str">
        <f>IFERROR(__xludf.DUMMYFUNCTION("""COMPUTED_VALUE"""),"Normal")</f>
        <v>Normal</v>
      </c>
      <c r="M277" s="18" t="s">
        <v>51</v>
      </c>
      <c r="N277" s="18" t="s">
        <v>30</v>
      </c>
    </row>
    <row r="278" hidden="1">
      <c r="A278" s="15" t="str">
        <f>IFERROR(__xludf.DUMMYFUNCTION("""COMPUTED_VALUE"""),"MOBRO0032")</f>
        <v>MOBRO0032</v>
      </c>
      <c r="B278" s="16">
        <f>IFERROR(__xludf.DUMMYFUNCTION("""COMPUTED_VALUE"""),45764.70053857639)</f>
        <v>45764.70054</v>
      </c>
      <c r="C278" s="17">
        <f>IFERROR(__xludf.DUMMYFUNCTION("""COMPUTED_VALUE"""),45775.60855950232)</f>
        <v>45775.60856</v>
      </c>
      <c r="D278" s="15" t="str">
        <f>IFERROR(__xludf.DUMMYFUNCTION("""COMPUTED_VALUE"""),"AHU F3-6")</f>
        <v>AHU F3-6</v>
      </c>
      <c r="E278" s="15" t="str">
        <f>IFERROR(__xludf.DUMMYFUNCTION("""COMPUTED_VALUE"""),"EJO2025/04/86")</f>
        <v>EJO2025/04/86</v>
      </c>
      <c r="F278" s="15" t="str">
        <f>IFERROR(__xludf.DUMMYFUNCTION("""COMPUTED_VALUE"""),"HVAC - Pressure Flow Control MF PFC Ver.3 24 VAC/VDC 0 - 100 Pa Micatrone; ; ;")</f>
        <v>HVAC - Pressure Flow Control MF PFC Ver.3 24 VAC/VDC 0 - 100 Pa Micatrone; ; ;</v>
      </c>
      <c r="G278" s="15">
        <f>IFERROR(__xludf.DUMMYFUNCTION("""COMPUTED_VALUE"""),2.0)</f>
        <v>2</v>
      </c>
      <c r="H278" s="15" t="str">
        <f>IFERROR(__xludf.DUMMYFUNCTION("""COMPUTED_VALUE"""),"Pcs")</f>
        <v>Pcs</v>
      </c>
      <c r="I278" s="15" t="str">
        <f>IFERROR(__xludf.DUMMYFUNCTION("""COMPUTED_VALUE"""),"Deliver")</f>
        <v>Deliver</v>
      </c>
      <c r="J278" s="15" t="str">
        <f>IFERROR(__xludf.DUMMYFUNCTION("""COMPUTED_VALUE"""),"-")</f>
        <v>-</v>
      </c>
      <c r="K278" s="15" t="str">
        <f>IFERROR(__xludf.DUMMYFUNCTION("""COMPUTED_VALUE"""),"-")</f>
        <v>-</v>
      </c>
      <c r="L278" s="15" t="str">
        <f>IFERROR(__xludf.DUMMYFUNCTION("""COMPUTED_VALUE"""),"Normal")</f>
        <v>Normal</v>
      </c>
      <c r="M278" s="18" t="s">
        <v>31</v>
      </c>
      <c r="N278" s="18" t="s">
        <v>28</v>
      </c>
    </row>
    <row r="279" hidden="1">
      <c r="A279" s="15" t="str">
        <f>IFERROR(__xludf.DUMMYFUNCTION("""COMPUTED_VALUE"""),"SFHRO0004")</f>
        <v>SFHRO0004</v>
      </c>
      <c r="B279" s="16">
        <f>IFERROR(__xludf.DUMMYFUNCTION("""COMPUTED_VALUE"""),45771.65996020833)</f>
        <v>45771.65996</v>
      </c>
      <c r="C279" s="17">
        <f>IFERROR(__xludf.DUMMYFUNCTION("""COMPUTED_VALUE"""),45775.612043946756)</f>
        <v>45775.61204</v>
      </c>
      <c r="D279" s="15" t="str">
        <f>IFERROR(__xludf.DUMMYFUNCTION("""COMPUTED_VALUE"""),"lantai 2")</f>
        <v>lantai 2</v>
      </c>
      <c r="E279" s="15" t="str">
        <f>IFERROR(__xludf.DUMMYFUNCTION("""COMPUTED_VALUE"""),"-")</f>
        <v>-</v>
      </c>
      <c r="F279" s="15" t="str">
        <f>IFERROR(__xludf.DUMMYFUNCTION("""COMPUTED_VALUE"""),"Kuas Cat Roller uk. 230 mm;No Brand;;pack size per set")</f>
        <v>Kuas Cat Roller uk. 230 mm;No Brand;;pack size per set</v>
      </c>
      <c r="G279" s="15">
        <f>IFERROR(__xludf.DUMMYFUNCTION("""COMPUTED_VALUE"""),20.0)</f>
        <v>20</v>
      </c>
      <c r="H279" s="15" t="str">
        <f>IFERROR(__xludf.DUMMYFUNCTION("""COMPUTED_VALUE"""),"pcs")</f>
        <v>pcs</v>
      </c>
      <c r="I279" s="15" t="str">
        <f>IFERROR(__xludf.DUMMYFUNCTION("""COMPUTED_VALUE"""),"Deliver")</f>
        <v>Deliver</v>
      </c>
      <c r="J279" s="15" t="str">
        <f>IFERROR(__xludf.DUMMYFUNCTION("""COMPUTED_VALUE"""),"-")</f>
        <v>-</v>
      </c>
      <c r="K279" s="15" t="str">
        <f>IFERROR(__xludf.DUMMYFUNCTION("""COMPUTED_VALUE"""),"-")</f>
        <v>-</v>
      </c>
      <c r="L279" s="15" t="str">
        <f>IFERROR(__xludf.DUMMYFUNCTION("""COMPUTED_VALUE"""),"Normal")</f>
        <v>Normal</v>
      </c>
      <c r="M279" s="18" t="s">
        <v>27</v>
      </c>
      <c r="N279" s="18" t="s">
        <v>28</v>
      </c>
    </row>
    <row r="280" hidden="1">
      <c r="A280" s="15" t="str">
        <f>IFERROR(__xludf.DUMMYFUNCTION("""COMPUTED_VALUE"""),"SFHRO0005")</f>
        <v>SFHRO0005</v>
      </c>
      <c r="B280" s="16">
        <f>IFERROR(__xludf.DUMMYFUNCTION("""COMPUTED_VALUE"""),45771.66250979166)</f>
        <v>45771.66251</v>
      </c>
      <c r="C280" s="17">
        <f>IFERROR(__xludf.DUMMYFUNCTION("""COMPUTED_VALUE"""),45775.61225239583)</f>
        <v>45775.61225</v>
      </c>
      <c r="D280" s="15" t="str">
        <f>IFERROR(__xludf.DUMMYFUNCTION("""COMPUTED_VALUE"""),"lantai 2")</f>
        <v>lantai 2</v>
      </c>
      <c r="E280" s="15" t="str">
        <f>IFERROR(__xludf.DUMMYFUNCTION("""COMPUTED_VALUE"""),"-")</f>
        <v>-</v>
      </c>
      <c r="F280" s="15" t="str">
        <f>IFERROR(__xludf.DUMMYFUNCTION("""COMPUTED_VALUE"""),"Kuas 3 inch")</f>
        <v>Kuas 3 inch</v>
      </c>
      <c r="G280" s="15">
        <f>IFERROR(__xludf.DUMMYFUNCTION("""COMPUTED_VALUE"""),15.0)</f>
        <v>15</v>
      </c>
      <c r="H280" s="15" t="str">
        <f>IFERROR(__xludf.DUMMYFUNCTION("""COMPUTED_VALUE"""),"pcs")</f>
        <v>pcs</v>
      </c>
      <c r="I280" s="15" t="str">
        <f>IFERROR(__xludf.DUMMYFUNCTION("""COMPUTED_VALUE"""),"Deliver")</f>
        <v>Deliver</v>
      </c>
      <c r="J280" s="15" t="str">
        <f>IFERROR(__xludf.DUMMYFUNCTION("""COMPUTED_VALUE"""),"-")</f>
        <v>-</v>
      </c>
      <c r="K280" s="15" t="str">
        <f>IFERROR(__xludf.DUMMYFUNCTION("""COMPUTED_VALUE"""),"-")</f>
        <v>-</v>
      </c>
      <c r="L280" s="15" t="str">
        <f>IFERROR(__xludf.DUMMYFUNCTION("""COMPUTED_VALUE"""),"Normal")</f>
        <v>Normal</v>
      </c>
      <c r="M280" s="18" t="s">
        <v>27</v>
      </c>
      <c r="N280" s="18" t="s">
        <v>28</v>
      </c>
    </row>
    <row r="281" hidden="1">
      <c r="A281" s="15" t="str">
        <f>IFERROR(__xludf.DUMMYFUNCTION("""COMPUTED_VALUE"""),"INNBR0025")</f>
        <v>INNBR0025</v>
      </c>
      <c r="B281" s="16">
        <f>IFERROR(__xludf.DUMMYFUNCTION("""COMPUTED_VALUE"""),45775.81077163194)</f>
        <v>45775.81077</v>
      </c>
      <c r="C281" s="17">
        <f>IFERROR(__xludf.DUMMYFUNCTION("""COMPUTED_VALUE"""),45783.44004829861)</f>
        <v>45783.44005</v>
      </c>
      <c r="D281" s="15" t="str">
        <f>IFERROR(__xludf.DUMMYFUNCTION("""COMPUTED_VALUE"""),"Capping")</f>
        <v>Capping</v>
      </c>
      <c r="E281" s="15" t="str">
        <f>IFERROR(__xludf.DUMMYFUNCTION("""COMPUTED_VALUE"""),"-")</f>
        <v>-</v>
      </c>
      <c r="F281" s="15" t="str">
        <f>IFERROR(__xludf.DUMMYFUNCTION("""COMPUTED_VALUE"""),"Spring Tekan Steel Dia. 2.5mm, OD 15.5mm, Panjang 71.3mm")</f>
        <v>Spring Tekan Steel Dia. 2.5mm, OD 15.5mm, Panjang 71.3mm</v>
      </c>
      <c r="G281" s="15">
        <f>IFERROR(__xludf.DUMMYFUNCTION("""COMPUTED_VALUE"""),10.0)</f>
        <v>10</v>
      </c>
      <c r="H281" s="15" t="str">
        <f>IFERROR(__xludf.DUMMYFUNCTION("""COMPUTED_VALUE"""),"pcs")</f>
        <v>pcs</v>
      </c>
      <c r="I281" s="15" t="str">
        <f>IFERROR(__xludf.DUMMYFUNCTION("""COMPUTED_VALUE"""),"Deliver")</f>
        <v>Deliver</v>
      </c>
      <c r="J281" s="15" t="str">
        <f>IFERROR(__xludf.DUMMYFUNCTION("""COMPUTED_VALUE"""),"-")</f>
        <v>-</v>
      </c>
      <c r="K281" s="15" t="str">
        <f>IFERROR(__xludf.DUMMYFUNCTION("""COMPUTED_VALUE"""),"-")</f>
        <v>-</v>
      </c>
      <c r="L281" s="15" t="str">
        <f>IFERROR(__xludf.DUMMYFUNCTION("""COMPUTED_VALUE"""),"Normal")</f>
        <v>Normal</v>
      </c>
      <c r="M281" s="18" t="s">
        <v>51</v>
      </c>
      <c r="N281" s="18" t="s">
        <v>30</v>
      </c>
    </row>
    <row r="282" hidden="1">
      <c r="A282" s="15" t="str">
        <f>IFERROR(__xludf.DUMMYFUNCTION("""COMPUTED_VALUE"""),"INNBR0026")</f>
        <v>INNBR0026</v>
      </c>
      <c r="B282" s="16">
        <f>IFERROR(__xludf.DUMMYFUNCTION("""COMPUTED_VALUE"""),45776.64317130787)</f>
        <v>45776.64317</v>
      </c>
      <c r="C282" s="17">
        <f>IFERROR(__xludf.DUMMYFUNCTION("""COMPUTED_VALUE"""),45783.44339021991)</f>
        <v>45783.44339</v>
      </c>
      <c r="D282" s="15" t="str">
        <f>IFERROR(__xludf.DUMMYFUNCTION("""COMPUTED_VALUE"""),"Melting Point")</f>
        <v>Melting Point</v>
      </c>
      <c r="E282" s="15" t="str">
        <f>IFERROR(__xludf.DUMMYFUNCTION("""COMPUTED_VALUE"""),"EJO/2025/04/91")</f>
        <v>EJO/2025/04/91</v>
      </c>
      <c r="F282" s="15" t="str">
        <f>IFERROR(__xludf.DUMMYFUNCTION("""COMPUTED_VALUE"""),"051974/Membrane keyboard M-565")</f>
        <v>051974/Membrane keyboard M-565</v>
      </c>
      <c r="G282" s="15">
        <f>IFERROR(__xludf.DUMMYFUNCTION("""COMPUTED_VALUE"""),1.0)</f>
        <v>1</v>
      </c>
      <c r="H282" s="15" t="str">
        <f>IFERROR(__xludf.DUMMYFUNCTION("""COMPUTED_VALUE"""),"pcs")</f>
        <v>pcs</v>
      </c>
      <c r="I282" s="15" t="str">
        <f>IFERROR(__xludf.DUMMYFUNCTION("""COMPUTED_VALUE"""),"Deliver")</f>
        <v>Deliver</v>
      </c>
      <c r="J282" s="15" t="str">
        <f>IFERROR(__xludf.DUMMYFUNCTION("""COMPUTED_VALUE"""),"-")</f>
        <v>-</v>
      </c>
      <c r="K282" s="15" t="str">
        <f>IFERROR(__xludf.DUMMYFUNCTION("""COMPUTED_VALUE"""),"-")</f>
        <v>-</v>
      </c>
      <c r="L282" s="15" t="str">
        <f>IFERROR(__xludf.DUMMYFUNCTION("""COMPUTED_VALUE"""),"Normal")</f>
        <v>Normal</v>
      </c>
      <c r="M282" s="18" t="s">
        <v>51</v>
      </c>
      <c r="N282" s="18" t="s">
        <v>30</v>
      </c>
    </row>
    <row r="283" hidden="1">
      <c r="A283" s="15" t="str">
        <f>IFERROR(__xludf.DUMMYFUNCTION("""COMPUTED_VALUE"""),"INNBR0027")</f>
        <v>INNBR0027</v>
      </c>
      <c r="B283" s="16">
        <f>IFERROR(__xludf.DUMMYFUNCTION("""COMPUTED_VALUE"""),45776.644754270834)</f>
        <v>45776.64475</v>
      </c>
      <c r="C283" s="17">
        <f>IFERROR(__xludf.DUMMYFUNCTION("""COMPUTED_VALUE"""),45783.44615675926)</f>
        <v>45783.44616</v>
      </c>
      <c r="D283" s="15" t="str">
        <f>IFERROR(__xludf.DUMMYFUNCTION("""COMPUTED_VALUE"""),"Melting Point")</f>
        <v>Melting Point</v>
      </c>
      <c r="E283" s="15" t="str">
        <f>IFERROR(__xludf.DUMMYFUNCTION("""COMPUTED_VALUE"""),"EJO/2025/04/91")</f>
        <v>EJO/2025/04/91</v>
      </c>
      <c r="F283" s="15" t="str">
        <f>IFERROR(__xludf.DUMMYFUNCTION("""COMPUTED_VALUE"""),"11CSN12331/CARE Repair M-565")</f>
        <v>11CSN12331/CARE Repair M-565</v>
      </c>
      <c r="G283" s="15">
        <f>IFERROR(__xludf.DUMMYFUNCTION("""COMPUTED_VALUE"""),1.0)</f>
        <v>1</v>
      </c>
      <c r="H283" s="15" t="str">
        <f>IFERROR(__xludf.DUMMYFUNCTION("""COMPUTED_VALUE"""),"pcs")</f>
        <v>pcs</v>
      </c>
      <c r="I283" s="15" t="str">
        <f>IFERROR(__xludf.DUMMYFUNCTION("""COMPUTED_VALUE"""),"Deliver")</f>
        <v>Deliver</v>
      </c>
      <c r="J283" s="15" t="str">
        <f>IFERROR(__xludf.DUMMYFUNCTION("""COMPUTED_VALUE"""),"-")</f>
        <v>-</v>
      </c>
      <c r="K283" s="15" t="str">
        <f>IFERROR(__xludf.DUMMYFUNCTION("""COMPUTED_VALUE"""),"-")</f>
        <v>-</v>
      </c>
      <c r="L283" s="15" t="str">
        <f>IFERROR(__xludf.DUMMYFUNCTION("""COMPUTED_VALUE"""),"Normal")</f>
        <v>Normal</v>
      </c>
      <c r="M283" s="18" t="s">
        <v>51</v>
      </c>
      <c r="N283" s="18" t="s">
        <v>30</v>
      </c>
    </row>
    <row r="284" hidden="1">
      <c r="A284" s="15" t="str">
        <f>IFERROR(__xludf.DUMMYFUNCTION("""COMPUTED_VALUE"""),"ROSBR0016")</f>
        <v>ROSBR0016</v>
      </c>
      <c r="B284" s="16">
        <f>IFERROR(__xludf.DUMMYFUNCTION("""COMPUTED_VALUE"""),45768.411197951384)</f>
        <v>45768.4112</v>
      </c>
      <c r="C284" s="17">
        <f>IFERROR(__xludf.DUMMYFUNCTION("""COMPUTED_VALUE"""),45783.46629136574)</f>
        <v>45783.46629</v>
      </c>
      <c r="D284" s="15" t="str">
        <f>IFERROR(__xludf.DUMMYFUNCTION("""COMPUTED_VALUE"""),"WIHC ")</f>
        <v>WIHC </v>
      </c>
      <c r="E284" s="15" t="str">
        <f>IFERROR(__xludf.DUMMYFUNCTION("""COMPUTED_VALUE"""),"EJO/2025/04/77")</f>
        <v>EJO/2025/04/77</v>
      </c>
      <c r="F284" s="15" t="str">
        <f>IFERROR(__xludf.DUMMYFUNCTION("""COMPUTED_VALUE"""),"Drain Pan WIHC ")</f>
        <v>Drain Pan WIHC </v>
      </c>
      <c r="G284" s="15">
        <f>IFERROR(__xludf.DUMMYFUNCTION("""COMPUTED_VALUE"""),2.0)</f>
        <v>2</v>
      </c>
      <c r="H284" s="15" t="str">
        <f>IFERROR(__xludf.DUMMYFUNCTION("""COMPUTED_VALUE"""),"unit")</f>
        <v>unit</v>
      </c>
      <c r="I284" s="15" t="str">
        <f>IFERROR(__xludf.DUMMYFUNCTION("""COMPUTED_VALUE"""),"Deliver")</f>
        <v>Deliver</v>
      </c>
      <c r="J284" s="15" t="str">
        <f>IFERROR(__xludf.DUMMYFUNCTION("""COMPUTED_VALUE"""),"-")</f>
        <v>-</v>
      </c>
      <c r="K284" s="15" t="str">
        <f>IFERROR(__xludf.DUMMYFUNCTION("""COMPUTED_VALUE"""),"-")</f>
        <v>-</v>
      </c>
      <c r="L284" s="15" t="str">
        <f>IFERROR(__xludf.DUMMYFUNCTION("""COMPUTED_VALUE"""),"Normal")</f>
        <v>Normal</v>
      </c>
      <c r="M284" s="18" t="s">
        <v>29</v>
      </c>
      <c r="N284" s="18" t="s">
        <v>30</v>
      </c>
    </row>
    <row r="285" hidden="1">
      <c r="A285" s="15" t="str">
        <f>IFERROR(__xludf.DUMMYFUNCTION("""COMPUTED_VALUE"""),"NDSBR0011")</f>
        <v>NDSBR0011</v>
      </c>
      <c r="B285" s="16">
        <f>IFERROR(__xludf.DUMMYFUNCTION("""COMPUTED_VALUE"""),45772.73327802083)</f>
        <v>45772.73328</v>
      </c>
      <c r="C285" s="17">
        <f>IFERROR(__xludf.DUMMYFUNCTION("""COMPUTED_VALUE"""),45783.497857696755)</f>
        <v>45783.49786</v>
      </c>
      <c r="D285" s="15" t="str">
        <f>IFERROR(__xludf.DUMMYFUNCTION("""COMPUTED_VALUE"""),"Toolbox Hijau")</f>
        <v>Toolbox Hijau</v>
      </c>
      <c r="E285" s="15" t="str">
        <f>IFERROR(__xludf.DUMMYFUNCTION("""COMPUTED_VALUE"""),"-")</f>
        <v>-</v>
      </c>
      <c r="F285" s="15" t="str">
        <f>IFERROR(__xludf.DUMMYFUNCTION("""COMPUTED_VALUE"""),"Screw Driver ")</f>
        <v>Screw Driver </v>
      </c>
      <c r="G285" s="15">
        <f>IFERROR(__xludf.DUMMYFUNCTION("""COMPUTED_VALUE"""),1.0)</f>
        <v>1</v>
      </c>
      <c r="H285" s="15" t="str">
        <f>IFERROR(__xludf.DUMMYFUNCTION("""COMPUTED_VALUE"""),"Pcs")</f>
        <v>Pcs</v>
      </c>
      <c r="I285" s="15" t="str">
        <f>IFERROR(__xludf.DUMMYFUNCTION("""COMPUTED_VALUE"""),"Deliver")</f>
        <v>Deliver</v>
      </c>
      <c r="J285" s="15" t="str">
        <f>IFERROR(__xludf.DUMMYFUNCTION("""COMPUTED_VALUE"""),"-")</f>
        <v>-</v>
      </c>
      <c r="K285" s="15" t="str">
        <f>IFERROR(__xludf.DUMMYFUNCTION("""COMPUTED_VALUE"""),"-")</f>
        <v>-</v>
      </c>
      <c r="L285" s="15" t="str">
        <f>IFERROR(__xludf.DUMMYFUNCTION("""COMPUTED_VALUE"""),"Normal")</f>
        <v>Normal</v>
      </c>
      <c r="M285" s="18" t="s">
        <v>50</v>
      </c>
      <c r="N285" s="18" t="s">
        <v>30</v>
      </c>
    </row>
    <row r="286" hidden="1">
      <c r="A286" s="15" t="str">
        <f>IFERROR(__xludf.DUMMYFUNCTION("""COMPUTED_VALUE"""),"NDSBR0012")</f>
        <v>NDSBR0012</v>
      </c>
      <c r="B286" s="16">
        <f>IFERROR(__xludf.DUMMYFUNCTION("""COMPUTED_VALUE"""),45783.449764398145)</f>
        <v>45783.44976</v>
      </c>
      <c r="C286" s="17">
        <f>IFERROR(__xludf.DUMMYFUNCTION("""COMPUTED_VALUE"""),45783.4984759375)</f>
        <v>45783.49848</v>
      </c>
      <c r="D286" s="15" t="str">
        <f>IFERROR(__xludf.DUMMYFUNCTION("""COMPUTED_VALUE"""),"Washing Lance")</f>
        <v>Washing Lance</v>
      </c>
      <c r="E286" s="15" t="str">
        <f>IFERROR(__xludf.DUMMYFUNCTION("""COMPUTED_VALUE"""),"EJO/2025/03/121")</f>
        <v>EJO/2025/03/121</v>
      </c>
      <c r="F286" s="15" t="str">
        <f>IFERROR(__xludf.DUMMYFUNCTION("""COMPUTED_VALUE"""),"As Washing Lance")</f>
        <v>As Washing Lance</v>
      </c>
      <c r="G286" s="15">
        <f>IFERROR(__xludf.DUMMYFUNCTION("""COMPUTED_VALUE"""),1.0)</f>
        <v>1</v>
      </c>
      <c r="H286" s="15" t="str">
        <f>IFERROR(__xludf.DUMMYFUNCTION("""COMPUTED_VALUE"""),"PCS")</f>
        <v>PCS</v>
      </c>
      <c r="I286" s="15" t="str">
        <f>IFERROR(__xludf.DUMMYFUNCTION("""COMPUTED_VALUE"""),"Deliver")</f>
        <v>Deliver</v>
      </c>
      <c r="J286" s="15" t="str">
        <f>IFERROR(__xludf.DUMMYFUNCTION("""COMPUTED_VALUE"""),"-")</f>
        <v>-</v>
      </c>
      <c r="K286" s="15" t="str">
        <f>IFERROR(__xludf.DUMMYFUNCTION("""COMPUTED_VALUE"""),"-")</f>
        <v>-</v>
      </c>
      <c r="L286" s="15" t="str">
        <f>IFERROR(__xludf.DUMMYFUNCTION("""COMPUTED_VALUE"""),"Normal")</f>
        <v>Normal</v>
      </c>
      <c r="M286" s="18" t="s">
        <v>50</v>
      </c>
      <c r="N286" s="18" t="s">
        <v>30</v>
      </c>
    </row>
    <row r="287" hidden="1">
      <c r="A287" s="15" t="str">
        <f>IFERROR(__xludf.DUMMYFUNCTION("""COMPUTED_VALUE"""),"MOBBR0026")</f>
        <v>MOBBR0026</v>
      </c>
      <c r="B287" s="16">
        <f>IFERROR(__xludf.DUMMYFUNCTION("""COMPUTED_VALUE"""),45777.39889085648)</f>
        <v>45777.39889</v>
      </c>
      <c r="C287" s="17">
        <f>IFERROR(__xludf.DUMMYFUNCTION("""COMPUTED_VALUE"""),45783.66874803241)</f>
        <v>45783.66875</v>
      </c>
      <c r="D287" s="15" t="str">
        <f>IFERROR(__xludf.DUMMYFUNCTION("""COMPUTED_VALUE"""),"Pintu FGRM")</f>
        <v>Pintu FGRM</v>
      </c>
      <c r="E287" s="15" t="str">
        <f>IFERROR(__xludf.DUMMYFUNCTION("""COMPUTED_VALUE"""),"-")</f>
        <v>-</v>
      </c>
      <c r="F287" s="15" t="str">
        <f>IFERROR(__xludf.DUMMYFUNCTION("""COMPUTED_VALUE"""),"Bearing ")</f>
        <v>Bearing </v>
      </c>
      <c r="G287" s="15">
        <f>IFERROR(__xludf.DUMMYFUNCTION("""COMPUTED_VALUE"""),10.0)</f>
        <v>10</v>
      </c>
      <c r="H287" s="15" t="str">
        <f>IFERROR(__xludf.DUMMYFUNCTION("""COMPUTED_VALUE"""),"Pcs")</f>
        <v>Pcs</v>
      </c>
      <c r="I287" s="15" t="str">
        <f>IFERROR(__xludf.DUMMYFUNCTION("""COMPUTED_VALUE"""),"Deliver")</f>
        <v>Deliver</v>
      </c>
      <c r="J287" s="15" t="str">
        <f>IFERROR(__xludf.DUMMYFUNCTION("""COMPUTED_VALUE"""),"-")</f>
        <v>-</v>
      </c>
      <c r="K287" s="15" t="str">
        <f>IFERROR(__xludf.DUMMYFUNCTION("""COMPUTED_VALUE"""),"-")</f>
        <v>-</v>
      </c>
      <c r="L287" s="15" t="str">
        <f>IFERROR(__xludf.DUMMYFUNCTION("""COMPUTED_VALUE"""),"Normal")</f>
        <v>Normal</v>
      </c>
      <c r="M287" s="18" t="s">
        <v>31</v>
      </c>
      <c r="N287" s="18" t="s">
        <v>28</v>
      </c>
    </row>
    <row r="288" hidden="1">
      <c r="A288" s="15" t="str">
        <f>IFERROR(__xludf.DUMMYFUNCTION("""COMPUTED_VALUE"""),"MOBBR0027")</f>
        <v>MOBBR0027</v>
      </c>
      <c r="B288" s="16">
        <f>IFERROR(__xludf.DUMMYFUNCTION("""COMPUTED_VALUE"""),45782.41305237268)</f>
        <v>45782.41305</v>
      </c>
      <c r="C288" s="17">
        <f>IFERROR(__xludf.DUMMYFUNCTION("""COMPUTED_VALUE"""),45783.66897273148)</f>
        <v>45783.66897</v>
      </c>
      <c r="D288" s="15" t="str">
        <f>IFERROR(__xludf.DUMMYFUNCTION("""COMPUTED_VALUE"""),"Plumbing")</f>
        <v>Plumbing</v>
      </c>
      <c r="E288" s="15" t="str">
        <f>IFERROR(__xludf.DUMMYFUNCTION("""COMPUTED_VALUE"""),"-")</f>
        <v>-</v>
      </c>
      <c r="F288" s="15" t="str">
        <f>IFERROR(__xludf.DUMMYFUNCTION("""COMPUTED_VALUE"""),"Pipa PVC AW Abu")</f>
        <v>Pipa PVC AW Abu</v>
      </c>
      <c r="G288" s="15">
        <f>IFERROR(__xludf.DUMMYFUNCTION("""COMPUTED_VALUE"""),10.0)</f>
        <v>10</v>
      </c>
      <c r="H288" s="15" t="str">
        <f>IFERROR(__xludf.DUMMYFUNCTION("""COMPUTED_VALUE"""),"Pcs")</f>
        <v>Pcs</v>
      </c>
      <c r="I288" s="15" t="str">
        <f>IFERROR(__xludf.DUMMYFUNCTION("""COMPUTED_VALUE"""),"Deliver")</f>
        <v>Deliver</v>
      </c>
      <c r="J288" s="15" t="str">
        <f>IFERROR(__xludf.DUMMYFUNCTION("""COMPUTED_VALUE"""),"-")</f>
        <v>-</v>
      </c>
      <c r="K288" s="15" t="str">
        <f>IFERROR(__xludf.DUMMYFUNCTION("""COMPUTED_VALUE"""),"-")</f>
        <v>-</v>
      </c>
      <c r="L288" s="15" t="str">
        <f>IFERROR(__xludf.DUMMYFUNCTION("""COMPUTED_VALUE"""),"Normal")</f>
        <v>Normal</v>
      </c>
      <c r="M288" s="18" t="s">
        <v>31</v>
      </c>
      <c r="N288" s="18" t="s">
        <v>28</v>
      </c>
    </row>
    <row r="289" hidden="1">
      <c r="A289" s="15" t="str">
        <f>IFERROR(__xludf.DUMMYFUNCTION("""COMPUTED_VALUE"""),"RIARO0030")</f>
        <v>RIARO0030</v>
      </c>
      <c r="B289" s="16">
        <f>IFERROR(__xludf.DUMMYFUNCTION("""COMPUTED_VALUE"""),45776.65775798611)</f>
        <v>45776.65776</v>
      </c>
      <c r="C289" s="17">
        <f>IFERROR(__xludf.DUMMYFUNCTION("""COMPUTED_VALUE"""),45783.66916622685)</f>
        <v>45783.66917</v>
      </c>
      <c r="D289" s="15" t="str">
        <f>IFERROR(__xludf.DUMMYFUNCTION("""COMPUTED_VALUE"""),"Alarm System")</f>
        <v>Alarm System</v>
      </c>
      <c r="E289" s="15" t="str">
        <f>IFERROR(__xludf.DUMMYFUNCTION("""COMPUTED_VALUE"""),"EJO/2025/05/05")</f>
        <v>EJO/2025/05/05</v>
      </c>
      <c r="F289" s="15" t="str">
        <f>IFERROR(__xludf.DUMMYFUNCTION("""COMPUTED_VALUE"""),"General - Kabel Belden AWG 22 2 Pair; Belden; 8723; 305m/roll")</f>
        <v>General - Kabel Belden AWG 22 2 Pair; Belden; 8723; 305m/roll</v>
      </c>
      <c r="G289" s="15">
        <f>IFERROR(__xludf.DUMMYFUNCTION("""COMPUTED_VALUE"""),2.0)</f>
        <v>2</v>
      </c>
      <c r="H289" s="15" t="str">
        <f>IFERROR(__xludf.DUMMYFUNCTION("""COMPUTED_VALUE"""),"Roll")</f>
        <v>Roll</v>
      </c>
      <c r="I289" s="15" t="str">
        <f>IFERROR(__xludf.DUMMYFUNCTION("""COMPUTED_VALUE"""),"Deliver")</f>
        <v>Deliver</v>
      </c>
      <c r="J289" s="15" t="str">
        <f>IFERROR(__xludf.DUMMYFUNCTION("""COMPUTED_VALUE"""),"-")</f>
        <v>-</v>
      </c>
      <c r="K289" s="15" t="str">
        <f>IFERROR(__xludf.DUMMYFUNCTION("""COMPUTED_VALUE"""),"-")</f>
        <v>-</v>
      </c>
      <c r="L289" s="15" t="str">
        <f>IFERROR(__xludf.DUMMYFUNCTION("""COMPUTED_VALUE"""),"Normal")</f>
        <v>Normal</v>
      </c>
      <c r="M289" s="18" t="s">
        <v>32</v>
      </c>
      <c r="N289" s="18" t="s">
        <v>28</v>
      </c>
    </row>
    <row r="290" hidden="1">
      <c r="A290" s="15" t="str">
        <f>IFERROR(__xludf.DUMMYFUNCTION("""COMPUTED_VALUE"""),"RIARO0031")</f>
        <v>RIARO0031</v>
      </c>
      <c r="B290" s="16">
        <f>IFERROR(__xludf.DUMMYFUNCTION("""COMPUTED_VALUE"""),45776.65922327546)</f>
        <v>45776.65922</v>
      </c>
      <c r="C290" s="17">
        <f>IFERROR(__xludf.DUMMYFUNCTION("""COMPUTED_VALUE"""),45783.66943045139)</f>
        <v>45783.66943</v>
      </c>
      <c r="D290" s="15" t="str">
        <f>IFERROR(__xludf.DUMMYFUNCTION("""COMPUTED_VALUE"""),"Alarm System")</f>
        <v>Alarm System</v>
      </c>
      <c r="E290" s="15" t="str">
        <f>IFERROR(__xludf.DUMMYFUNCTION("""COMPUTED_VALUE"""),"EJO/2025/05/05")</f>
        <v>EJO/2025/05/05</v>
      </c>
      <c r="F290" s="15" t="str">
        <f>IFERROR(__xludf.DUMMYFUNCTION("""COMPUTED_VALUE"""),"OMRON - Relay MY4Z 24VDC; ; ;")</f>
        <v>OMRON - Relay MY4Z 24VDC; ; ;</v>
      </c>
      <c r="G290" s="15">
        <f>IFERROR(__xludf.DUMMYFUNCTION("""COMPUTED_VALUE"""),4.0)</f>
        <v>4</v>
      </c>
      <c r="H290" s="15" t="str">
        <f>IFERROR(__xludf.DUMMYFUNCTION("""COMPUTED_VALUE"""),"Pcs")</f>
        <v>Pcs</v>
      </c>
      <c r="I290" s="15" t="str">
        <f>IFERROR(__xludf.DUMMYFUNCTION("""COMPUTED_VALUE"""),"Deliver")</f>
        <v>Deliver</v>
      </c>
      <c r="J290" s="15" t="str">
        <f>IFERROR(__xludf.DUMMYFUNCTION("""COMPUTED_VALUE"""),"-")</f>
        <v>-</v>
      </c>
      <c r="K290" s="15" t="str">
        <f>IFERROR(__xludf.DUMMYFUNCTION("""COMPUTED_VALUE"""),"-")</f>
        <v>-</v>
      </c>
      <c r="L290" s="15" t="str">
        <f>IFERROR(__xludf.DUMMYFUNCTION("""COMPUTED_VALUE"""),"Normal")</f>
        <v>Normal</v>
      </c>
      <c r="M290" s="18" t="s">
        <v>32</v>
      </c>
      <c r="N290" s="18" t="s">
        <v>28</v>
      </c>
    </row>
    <row r="291" hidden="1">
      <c r="A291" s="15" t="str">
        <f>IFERROR(__xludf.DUMMYFUNCTION("""COMPUTED_VALUE"""),"RIARO0032")</f>
        <v>RIARO0032</v>
      </c>
      <c r="B291" s="16">
        <f>IFERROR(__xludf.DUMMYFUNCTION("""COMPUTED_VALUE"""),45776.66004902778)</f>
        <v>45776.66005</v>
      </c>
      <c r="C291" s="17">
        <f>IFERROR(__xludf.DUMMYFUNCTION("""COMPUTED_VALUE"""),45783.669655150465)</f>
        <v>45783.66966</v>
      </c>
      <c r="D291" s="15" t="str">
        <f>IFERROR(__xludf.DUMMYFUNCTION("""COMPUTED_VALUE"""),"Alarm System")</f>
        <v>Alarm System</v>
      </c>
      <c r="E291" s="15" t="str">
        <f>IFERROR(__xludf.DUMMYFUNCTION("""COMPUTED_VALUE"""),"EJO/2025/05/05")</f>
        <v>EJO/2025/05/05</v>
      </c>
      <c r="F291" s="15" t="str">
        <f>IFERROR(__xludf.DUMMYFUNCTION("""COMPUTED_VALUE"""),"General - Cable Ducting 25mm x 40mm; Lokal; -; 1 pcs")</f>
        <v>General - Cable Ducting 25mm x 40mm; Lokal; -; 1 pcs</v>
      </c>
      <c r="G291" s="15">
        <f>IFERROR(__xludf.DUMMYFUNCTION("""COMPUTED_VALUE"""),3.0)</f>
        <v>3</v>
      </c>
      <c r="H291" s="15" t="str">
        <f>IFERROR(__xludf.DUMMYFUNCTION("""COMPUTED_VALUE"""),"Btg")</f>
        <v>Btg</v>
      </c>
      <c r="I291" s="15" t="str">
        <f>IFERROR(__xludf.DUMMYFUNCTION("""COMPUTED_VALUE"""),"Deliver")</f>
        <v>Deliver</v>
      </c>
      <c r="J291" s="15" t="str">
        <f>IFERROR(__xludf.DUMMYFUNCTION("""COMPUTED_VALUE"""),"-")</f>
        <v>-</v>
      </c>
      <c r="K291" s="15" t="str">
        <f>IFERROR(__xludf.DUMMYFUNCTION("""COMPUTED_VALUE"""),"-")</f>
        <v>-</v>
      </c>
      <c r="L291" s="15" t="str">
        <f>IFERROR(__xludf.DUMMYFUNCTION("""COMPUTED_VALUE"""),"Normal")</f>
        <v>Normal</v>
      </c>
      <c r="M291" s="18" t="s">
        <v>32</v>
      </c>
      <c r="N291" s="18" t="s">
        <v>28</v>
      </c>
    </row>
    <row r="292" hidden="1">
      <c r="A292" s="15" t="str">
        <f>IFERROR(__xludf.DUMMYFUNCTION("""COMPUTED_VALUE"""),"RIABR0035")</f>
        <v>RIABR0035</v>
      </c>
      <c r="B292" s="16">
        <f>IFERROR(__xludf.DUMMYFUNCTION("""COMPUTED_VALUE"""),45776.66439168982)</f>
        <v>45776.66439</v>
      </c>
      <c r="C292" s="17">
        <f>IFERROR(__xludf.DUMMYFUNCTION("""COMPUTED_VALUE"""),45783.66992230324)</f>
        <v>45783.66992</v>
      </c>
      <c r="D292" s="15" t="str">
        <f>IFERROR(__xludf.DUMMYFUNCTION("""COMPUTED_VALUE"""),"Alarm System")</f>
        <v>Alarm System</v>
      </c>
      <c r="E292" s="15" t="str">
        <f>IFERROR(__xludf.DUMMYFUNCTION("""COMPUTED_VALUE"""),"EJO/2025/05/05")</f>
        <v>EJO/2025/05/05</v>
      </c>
      <c r="F292" s="15" t="str">
        <f>IFERROR(__xludf.DUMMYFUNCTION("""COMPUTED_VALUE"""),"Socket Relay")</f>
        <v>Socket Relay</v>
      </c>
      <c r="G292" s="15">
        <f>IFERROR(__xludf.DUMMYFUNCTION("""COMPUTED_VALUE"""),1.0)</f>
        <v>1</v>
      </c>
      <c r="H292" s="15" t="str">
        <f>IFERROR(__xludf.DUMMYFUNCTION("""COMPUTED_VALUE"""),"Pack")</f>
        <v>Pack</v>
      </c>
      <c r="I292" s="15" t="str">
        <f>IFERROR(__xludf.DUMMYFUNCTION("""COMPUTED_VALUE"""),"Deliver")</f>
        <v>Deliver</v>
      </c>
      <c r="J292" s="15" t="str">
        <f>IFERROR(__xludf.DUMMYFUNCTION("""COMPUTED_VALUE"""),"-")</f>
        <v>-</v>
      </c>
      <c r="K292" s="15" t="str">
        <f>IFERROR(__xludf.DUMMYFUNCTION("""COMPUTED_VALUE"""),"-")</f>
        <v>-</v>
      </c>
      <c r="L292" s="15" t="str">
        <f>IFERROR(__xludf.DUMMYFUNCTION("""COMPUTED_VALUE"""),"Normal")</f>
        <v>Normal</v>
      </c>
      <c r="M292" s="18" t="s">
        <v>32</v>
      </c>
      <c r="N292" s="18" t="s">
        <v>28</v>
      </c>
    </row>
    <row r="293" hidden="1">
      <c r="A293" s="15" t="str">
        <f>IFERROR(__xludf.DUMMYFUNCTION("""COMPUTED_VALUE"""),"MOBRO0033")</f>
        <v>MOBRO0033</v>
      </c>
      <c r="B293" s="16">
        <f>IFERROR(__xludf.DUMMYFUNCTION("""COMPUTED_VALUE"""),45779.6627975)</f>
        <v>45779.6628</v>
      </c>
      <c r="C293" s="17">
        <f>IFERROR(__xludf.DUMMYFUNCTION("""COMPUTED_VALUE"""),45785.48844634259)</f>
        <v>45785.48845</v>
      </c>
      <c r="D293" s="15" t="str">
        <f>IFERROR(__xludf.DUMMYFUNCTION("""COMPUTED_VALUE"""),"N2 Generator")</f>
        <v>N2 Generator</v>
      </c>
      <c r="E293" s="15" t="str">
        <f>IFERROR(__xludf.DUMMYFUNCTION("""COMPUTED_VALUE"""),"-")</f>
        <v>-</v>
      </c>
      <c r="F293" s="15" t="str">
        <f>IFERROR(__xludf.DUMMYFUNCTION("""COMPUTED_VALUE"""),"General - Element Filter 1 micron; NXE-400-Z; -; 1 pc")</f>
        <v>General - Element Filter 1 micron; NXE-400-Z; -; 1 pc</v>
      </c>
      <c r="G293" s="15">
        <f>IFERROR(__xludf.DUMMYFUNCTION("""COMPUTED_VALUE"""),2.0)</f>
        <v>2</v>
      </c>
      <c r="H293" s="15" t="str">
        <f>IFERROR(__xludf.DUMMYFUNCTION("""COMPUTED_VALUE"""),"Pcs")</f>
        <v>Pcs</v>
      </c>
      <c r="I293" s="15" t="str">
        <f>IFERROR(__xludf.DUMMYFUNCTION("""COMPUTED_VALUE"""),"Deliver")</f>
        <v>Deliver</v>
      </c>
      <c r="J293" s="15" t="str">
        <f>IFERROR(__xludf.DUMMYFUNCTION("""COMPUTED_VALUE"""),"-")</f>
        <v>-</v>
      </c>
      <c r="K293" s="15" t="str">
        <f>IFERROR(__xludf.DUMMYFUNCTION("""COMPUTED_VALUE"""),"-")</f>
        <v>-</v>
      </c>
      <c r="L293" s="15" t="str">
        <f>IFERROR(__xludf.DUMMYFUNCTION("""COMPUTED_VALUE"""),"Normal")</f>
        <v>Normal</v>
      </c>
      <c r="M293" s="18" t="s">
        <v>31</v>
      </c>
      <c r="N293" s="18" t="s">
        <v>28</v>
      </c>
    </row>
    <row r="294" hidden="1">
      <c r="A294" s="15" t="str">
        <f>IFERROR(__xludf.DUMMYFUNCTION("""COMPUTED_VALUE"""),"MOBRO0034")</f>
        <v>MOBRO0034</v>
      </c>
      <c r="B294" s="16">
        <f>IFERROR(__xludf.DUMMYFUNCTION("""COMPUTED_VALUE"""),45779.67142309028)</f>
        <v>45779.67142</v>
      </c>
      <c r="C294" s="17">
        <f>IFERROR(__xludf.DUMMYFUNCTION("""COMPUTED_VALUE"""),45785.48872814815)</f>
        <v>45785.48873</v>
      </c>
      <c r="D294" s="15" t="str">
        <f>IFERROR(__xludf.DUMMYFUNCTION("""COMPUTED_VALUE"""),"N2 Generator")</f>
        <v>N2 Generator</v>
      </c>
      <c r="E294" s="15" t="str">
        <f>IFERROR(__xludf.DUMMYFUNCTION("""COMPUTED_VALUE"""),"-")</f>
        <v>-</v>
      </c>
      <c r="F294" s="15" t="str">
        <f>IFERROR(__xludf.DUMMYFUNCTION("""COMPUTED_VALUE"""),"General - Element Filter 0.01 micron; NXE-400-X; -; 1 pc")</f>
        <v>General - Element Filter 0.01 micron; NXE-400-X; -; 1 pc</v>
      </c>
      <c r="G294" s="15">
        <f>IFERROR(__xludf.DUMMYFUNCTION("""COMPUTED_VALUE"""),2.0)</f>
        <v>2</v>
      </c>
      <c r="H294" s="15" t="str">
        <f>IFERROR(__xludf.DUMMYFUNCTION("""COMPUTED_VALUE"""),"Pcs")</f>
        <v>Pcs</v>
      </c>
      <c r="I294" s="15" t="str">
        <f>IFERROR(__xludf.DUMMYFUNCTION("""COMPUTED_VALUE"""),"Deliver")</f>
        <v>Deliver</v>
      </c>
      <c r="J294" s="15" t="str">
        <f>IFERROR(__xludf.DUMMYFUNCTION("""COMPUTED_VALUE"""),"-")</f>
        <v>-</v>
      </c>
      <c r="K294" s="15" t="str">
        <f>IFERROR(__xludf.DUMMYFUNCTION("""COMPUTED_VALUE"""),"-")</f>
        <v>-</v>
      </c>
      <c r="L294" s="15" t="str">
        <f>IFERROR(__xludf.DUMMYFUNCTION("""COMPUTED_VALUE"""),"Normal")</f>
        <v>Normal</v>
      </c>
      <c r="M294" s="18" t="s">
        <v>31</v>
      </c>
      <c r="N294" s="18" t="s">
        <v>28</v>
      </c>
    </row>
    <row r="295" hidden="1">
      <c r="A295" s="15" t="str">
        <f>IFERROR(__xludf.DUMMYFUNCTION("""COMPUTED_VALUE"""),"MOBRO0035")</f>
        <v>MOBRO0035</v>
      </c>
      <c r="B295" s="16">
        <f>IFERROR(__xludf.DUMMYFUNCTION("""COMPUTED_VALUE"""),45779.67310060185)</f>
        <v>45779.6731</v>
      </c>
      <c r="C295" s="17">
        <f>IFERROR(__xludf.DUMMYFUNCTION("""COMPUTED_VALUE"""),45785.48932648148)</f>
        <v>45785.48933</v>
      </c>
      <c r="D295" s="15" t="str">
        <f>IFERROR(__xludf.DUMMYFUNCTION("""COMPUTED_VALUE"""),"N2 Generator")</f>
        <v>N2 Generator</v>
      </c>
      <c r="E295" s="15" t="str">
        <f>IFERROR(__xludf.DUMMYFUNCTION("""COMPUTED_VALUE"""),"-")</f>
        <v>-</v>
      </c>
      <c r="F295" s="15" t="str">
        <f>IFERROR(__xludf.DUMMYFUNCTION("""COMPUTED_VALUE"""),"General - Element Filter for N2; NEXUS; NXE-90-Z; 1 pc")</f>
        <v>General - Element Filter for N2; NEXUS; NXE-90-Z; 1 pc</v>
      </c>
      <c r="G295" s="15">
        <f>IFERROR(__xludf.DUMMYFUNCTION("""COMPUTED_VALUE"""),2.0)</f>
        <v>2</v>
      </c>
      <c r="H295" s="15" t="str">
        <f>IFERROR(__xludf.DUMMYFUNCTION("""COMPUTED_VALUE"""),"Pcs")</f>
        <v>Pcs</v>
      </c>
      <c r="I295" s="15" t="str">
        <f>IFERROR(__xludf.DUMMYFUNCTION("""COMPUTED_VALUE"""),"Deliver")</f>
        <v>Deliver</v>
      </c>
      <c r="J295" s="15" t="str">
        <f>IFERROR(__xludf.DUMMYFUNCTION("""COMPUTED_VALUE"""),"-")</f>
        <v>-</v>
      </c>
      <c r="K295" s="15" t="str">
        <f>IFERROR(__xludf.DUMMYFUNCTION("""COMPUTED_VALUE"""),"-")</f>
        <v>-</v>
      </c>
      <c r="L295" s="15" t="str">
        <f>IFERROR(__xludf.DUMMYFUNCTION("""COMPUTED_VALUE"""),"Normal")</f>
        <v>Normal</v>
      </c>
      <c r="M295" s="18" t="s">
        <v>31</v>
      </c>
      <c r="N295" s="18" t="s">
        <v>28</v>
      </c>
    </row>
    <row r="296" hidden="1">
      <c r="A296" s="15" t="str">
        <f>IFERROR(__xludf.DUMMYFUNCTION("""COMPUTED_VALUE"""),"MOBRO0036")</f>
        <v>MOBRO0036</v>
      </c>
      <c r="B296" s="16">
        <f>IFERROR(__xludf.DUMMYFUNCTION("""COMPUTED_VALUE"""),45782.40795569444)</f>
        <v>45782.40796</v>
      </c>
      <c r="C296" s="17">
        <f>IFERROR(__xludf.DUMMYFUNCTION("""COMPUTED_VALUE"""),45785.489509074076)</f>
        <v>45785.48951</v>
      </c>
      <c r="D296" s="15" t="str">
        <f>IFERROR(__xludf.DUMMYFUNCTION("""COMPUTED_VALUE"""),"Transfer Pump B WWTP")</f>
        <v>Transfer Pump B WWTP</v>
      </c>
      <c r="E296" s="15" t="str">
        <f>IFERROR(__xludf.DUMMYFUNCTION("""COMPUTED_VALUE"""),"-")</f>
        <v>-</v>
      </c>
      <c r="F296" s="15" t="str">
        <f>IFERROR(__xludf.DUMMYFUNCTION("""COMPUTED_VALUE"""),"General - Clamp Selang, SS 1 1/4""; Tridon; -; 1 pcs")</f>
        <v>General - Clamp Selang, SS 1 1/4"; Tridon; -; 1 pcs</v>
      </c>
      <c r="G296" s="15">
        <f>IFERROR(__xludf.DUMMYFUNCTION("""COMPUTED_VALUE"""),20.0)</f>
        <v>20</v>
      </c>
      <c r="H296" s="15" t="str">
        <f>IFERROR(__xludf.DUMMYFUNCTION("""COMPUTED_VALUE"""),"Pcs")</f>
        <v>Pcs</v>
      </c>
      <c r="I296" s="15" t="str">
        <f>IFERROR(__xludf.DUMMYFUNCTION("""COMPUTED_VALUE"""),"Deliver")</f>
        <v>Deliver</v>
      </c>
      <c r="J296" s="15" t="str">
        <f>IFERROR(__xludf.DUMMYFUNCTION("""COMPUTED_VALUE"""),"-")</f>
        <v>-</v>
      </c>
      <c r="K296" s="15" t="str">
        <f>IFERROR(__xludf.DUMMYFUNCTION("""COMPUTED_VALUE"""),"-")</f>
        <v>-</v>
      </c>
      <c r="L296" s="15" t="str">
        <f>IFERROR(__xludf.DUMMYFUNCTION("""COMPUTED_VALUE"""),"Normal")</f>
        <v>Normal</v>
      </c>
      <c r="M296" s="18" t="s">
        <v>31</v>
      </c>
      <c r="N296" s="18" t="s">
        <v>28</v>
      </c>
    </row>
    <row r="297" hidden="1">
      <c r="A297" s="15" t="str">
        <f>IFERROR(__xludf.DUMMYFUNCTION("""COMPUTED_VALUE"""),"MOBRO0037")</f>
        <v>MOBRO0037</v>
      </c>
      <c r="B297" s="16">
        <f>IFERROR(__xludf.DUMMYFUNCTION("""COMPUTED_VALUE"""),45782.408972986115)</f>
        <v>45782.40897</v>
      </c>
      <c r="C297" s="17">
        <f>IFERROR(__xludf.DUMMYFUNCTION("""COMPUTED_VALUE"""),45785.48973460648)</f>
        <v>45785.48973</v>
      </c>
      <c r="D297" s="15" t="str">
        <f>IFERROR(__xludf.DUMMYFUNCTION("""COMPUTED_VALUE"""),"Universal")</f>
        <v>Universal</v>
      </c>
      <c r="E297" s="15" t="str">
        <f>IFERROR(__xludf.DUMMYFUNCTION("""COMPUTED_VALUE"""),"-")</f>
        <v>-</v>
      </c>
      <c r="F297" s="15" t="str">
        <f>IFERROR(__xludf.DUMMYFUNCTION("""COMPUTED_VALUE"""),"General - Clamp Selang, SS, 3/4""; Tridon; -; 1 pcs")</f>
        <v>General - Clamp Selang, SS, 3/4"; Tridon; -; 1 pcs</v>
      </c>
      <c r="G297" s="15">
        <f>IFERROR(__xludf.DUMMYFUNCTION("""COMPUTED_VALUE"""),10.0)</f>
        <v>10</v>
      </c>
      <c r="H297" s="15" t="str">
        <f>IFERROR(__xludf.DUMMYFUNCTION("""COMPUTED_VALUE"""),"PCS")</f>
        <v>PCS</v>
      </c>
      <c r="I297" s="15" t="str">
        <f>IFERROR(__xludf.DUMMYFUNCTION("""COMPUTED_VALUE"""),"Deliver")</f>
        <v>Deliver</v>
      </c>
      <c r="J297" s="15" t="str">
        <f>IFERROR(__xludf.DUMMYFUNCTION("""COMPUTED_VALUE"""),"-")</f>
        <v>-</v>
      </c>
      <c r="K297" s="15" t="str">
        <f>IFERROR(__xludf.DUMMYFUNCTION("""COMPUTED_VALUE"""),"-")</f>
        <v>-</v>
      </c>
      <c r="L297" s="15" t="str">
        <f>IFERROR(__xludf.DUMMYFUNCTION("""COMPUTED_VALUE"""),"Normal")</f>
        <v>Normal</v>
      </c>
      <c r="M297" s="18" t="s">
        <v>31</v>
      </c>
      <c r="N297" s="18" t="s">
        <v>28</v>
      </c>
    </row>
    <row r="298" hidden="1">
      <c r="A298" s="15" t="str">
        <f>IFERROR(__xludf.DUMMYFUNCTION("""COMPUTED_VALUE"""),"MOBRO0038")</f>
        <v>MOBRO0038</v>
      </c>
      <c r="B298" s="16">
        <f>IFERROR(__xludf.DUMMYFUNCTION("""COMPUTED_VALUE"""),45782.409378530094)</f>
        <v>45782.40938</v>
      </c>
      <c r="C298" s="17">
        <f>IFERROR(__xludf.DUMMYFUNCTION("""COMPUTED_VALUE"""),45785.4899047338)</f>
        <v>45785.4899</v>
      </c>
      <c r="D298" s="15" t="str">
        <f>IFERROR(__xludf.DUMMYFUNCTION("""COMPUTED_VALUE"""),"Universal")</f>
        <v>Universal</v>
      </c>
      <c r="E298" s="15" t="str">
        <f>IFERROR(__xludf.DUMMYFUNCTION("""COMPUTED_VALUE"""),"-")</f>
        <v>-</v>
      </c>
      <c r="F298" s="15" t="str">
        <f>IFERROR(__xludf.DUMMYFUNCTION("""COMPUTED_VALUE"""),"General - Clamp Selang, SS, 1/2""; Tridon; -; 1 pcs")</f>
        <v>General - Clamp Selang, SS, 1/2"; Tridon; -; 1 pcs</v>
      </c>
      <c r="G298" s="15">
        <f>IFERROR(__xludf.DUMMYFUNCTION("""COMPUTED_VALUE"""),10.0)</f>
        <v>10</v>
      </c>
      <c r="H298" s="15" t="str">
        <f>IFERROR(__xludf.DUMMYFUNCTION("""COMPUTED_VALUE"""),"Pcs")</f>
        <v>Pcs</v>
      </c>
      <c r="I298" s="15" t="str">
        <f>IFERROR(__xludf.DUMMYFUNCTION("""COMPUTED_VALUE"""),"Deliver")</f>
        <v>Deliver</v>
      </c>
      <c r="J298" s="15" t="str">
        <f>IFERROR(__xludf.DUMMYFUNCTION("""COMPUTED_VALUE"""),"-")</f>
        <v>-</v>
      </c>
      <c r="K298" s="15" t="str">
        <f>IFERROR(__xludf.DUMMYFUNCTION("""COMPUTED_VALUE"""),"-")</f>
        <v>-</v>
      </c>
      <c r="L298" s="15" t="str">
        <f>IFERROR(__xludf.DUMMYFUNCTION("""COMPUTED_VALUE"""),"Normal")</f>
        <v>Normal</v>
      </c>
      <c r="M298" s="18" t="s">
        <v>31</v>
      </c>
      <c r="N298" s="18" t="s">
        <v>28</v>
      </c>
    </row>
    <row r="299" hidden="1">
      <c r="A299" s="15" t="str">
        <f>IFERROR(__xludf.DUMMYFUNCTION("""COMPUTED_VALUE"""),"MOBRO0039")</f>
        <v>MOBRO0039</v>
      </c>
      <c r="B299" s="16">
        <f>IFERROR(__xludf.DUMMYFUNCTION("""COMPUTED_VALUE"""),45782.541633900466)</f>
        <v>45782.54163</v>
      </c>
      <c r="C299" s="17">
        <f>IFERROR(__xludf.DUMMYFUNCTION("""COMPUTED_VALUE"""),45785.49025206018)</f>
        <v>45785.49025</v>
      </c>
      <c r="D299" s="15" t="str">
        <f>IFERROR(__xludf.DUMMYFUNCTION("""COMPUTED_VALUE"""),"AHU")</f>
        <v>AHU</v>
      </c>
      <c r="E299" s="15" t="str">
        <f>IFERROR(__xludf.DUMMYFUNCTION("""COMPUTED_VALUE"""),"-")</f>
        <v>-</v>
      </c>
      <c r="F299" s="15" t="str">
        <f>IFERROR(__xludf.DUMMYFUNCTION("""COMPUTED_VALUE"""),"General - Filter IAF MBV Series (Medium Filter), efficiency : 90-95 %, Size: 24 x 24 x 12 inch; IAF; -; 1 pcs")</f>
        <v>General - Filter IAF MBV Series (Medium Filter), efficiency : 90-95 %, Size: 24 x 24 x 12 inch; IAF; -; 1 pcs</v>
      </c>
      <c r="G299" s="15">
        <f>IFERROR(__xludf.DUMMYFUNCTION("""COMPUTED_VALUE"""),10.0)</f>
        <v>10</v>
      </c>
      <c r="H299" s="15" t="str">
        <f>IFERROR(__xludf.DUMMYFUNCTION("""COMPUTED_VALUE"""),"Pcs")</f>
        <v>Pcs</v>
      </c>
      <c r="I299" s="15" t="str">
        <f>IFERROR(__xludf.DUMMYFUNCTION("""COMPUTED_VALUE"""),"Deliver")</f>
        <v>Deliver</v>
      </c>
      <c r="J299" s="15" t="str">
        <f>IFERROR(__xludf.DUMMYFUNCTION("""COMPUTED_VALUE"""),"-")</f>
        <v>-</v>
      </c>
      <c r="K299" s="15" t="str">
        <f>IFERROR(__xludf.DUMMYFUNCTION("""COMPUTED_VALUE"""),"-")</f>
        <v>-</v>
      </c>
      <c r="L299" s="15" t="str">
        <f>IFERROR(__xludf.DUMMYFUNCTION("""COMPUTED_VALUE"""),"Normal")</f>
        <v>Normal</v>
      </c>
      <c r="M299" s="18" t="s">
        <v>31</v>
      </c>
      <c r="N299" s="18" t="s">
        <v>28</v>
      </c>
    </row>
    <row r="300" hidden="1">
      <c r="A300" s="15" t="str">
        <f>IFERROR(__xludf.DUMMYFUNCTION("""COMPUTED_VALUE"""),"MOBRO0040")</f>
        <v>MOBRO0040</v>
      </c>
      <c r="B300" s="16">
        <f>IFERROR(__xludf.DUMMYFUNCTION("""COMPUTED_VALUE"""),45782.54224638888)</f>
        <v>45782.54225</v>
      </c>
      <c r="C300" s="17">
        <f>IFERROR(__xludf.DUMMYFUNCTION("""COMPUTED_VALUE"""),45785.49050247685)</f>
        <v>45785.4905</v>
      </c>
      <c r="D300" s="15" t="str">
        <f>IFERROR(__xludf.DUMMYFUNCTION("""COMPUTED_VALUE"""),"AHU")</f>
        <v>AHU</v>
      </c>
      <c r="E300" s="15" t="str">
        <f>IFERROR(__xludf.DUMMYFUNCTION("""COMPUTED_VALUE"""),"-")</f>
        <v>-</v>
      </c>
      <c r="F300" s="15" t="str">
        <f>IFERROR(__xludf.DUMMYFUNCTION("""COMPUTED_VALUE"""),"Filter IAF MBV Series (Medium Filter), efficiency : 90-95 %, Size: 12 x 24 x 12 inch; IAF; ;")</f>
        <v>Filter IAF MBV Series (Medium Filter), efficiency : 90-95 %, Size: 12 x 24 x 12 inch; IAF; ;</v>
      </c>
      <c r="G300" s="15">
        <f>IFERROR(__xludf.DUMMYFUNCTION("""COMPUTED_VALUE"""),10.0)</f>
        <v>10</v>
      </c>
      <c r="H300" s="15" t="str">
        <f>IFERROR(__xludf.DUMMYFUNCTION("""COMPUTED_VALUE"""),"Pcs")</f>
        <v>Pcs</v>
      </c>
      <c r="I300" s="15" t="str">
        <f>IFERROR(__xludf.DUMMYFUNCTION("""COMPUTED_VALUE"""),"Deliver")</f>
        <v>Deliver</v>
      </c>
      <c r="J300" s="15" t="str">
        <f>IFERROR(__xludf.DUMMYFUNCTION("""COMPUTED_VALUE"""),"-")</f>
        <v>-</v>
      </c>
      <c r="K300" s="15" t="str">
        <f>IFERROR(__xludf.DUMMYFUNCTION("""COMPUTED_VALUE"""),"-")</f>
        <v>-</v>
      </c>
      <c r="L300" s="15" t="str">
        <f>IFERROR(__xludf.DUMMYFUNCTION("""COMPUTED_VALUE"""),"Normal")</f>
        <v>Normal</v>
      </c>
      <c r="M300" s="18" t="s">
        <v>31</v>
      </c>
      <c r="N300" s="18" t="s">
        <v>28</v>
      </c>
    </row>
    <row r="301" hidden="1">
      <c r="A301" s="15" t="str">
        <f>IFERROR(__xludf.DUMMYFUNCTION("""COMPUTED_VALUE"""),"MOBRO0041")</f>
        <v>MOBRO0041</v>
      </c>
      <c r="B301" s="16">
        <f>IFERROR(__xludf.DUMMYFUNCTION("""COMPUTED_VALUE"""),45782.61139445602)</f>
        <v>45782.61139</v>
      </c>
      <c r="C301" s="17">
        <f>IFERROR(__xludf.DUMMYFUNCTION("""COMPUTED_VALUE"""),45785.49059681714)</f>
        <v>45785.4906</v>
      </c>
      <c r="D301" s="15" t="str">
        <f>IFERROR(__xludf.DUMMYFUNCTION("""COMPUTED_VALUE"""),"AHU")</f>
        <v>AHU</v>
      </c>
      <c r="E301" s="15" t="str">
        <f>IFERROR(__xludf.DUMMYFUNCTION("""COMPUTED_VALUE"""),"-")</f>
        <v>-</v>
      </c>
      <c r="F301" s="15" t="str">
        <f>IFERROR(__xludf.DUMMYFUNCTION("""COMPUTED_VALUE"""),"General - Washable G4 Avg arrestance : 94%. Rec. Final resistance: 250 Pa. Size: 24"" x 24"" x 2""; IAF; ; pcs")</f>
        <v>General - Washable G4 Avg arrestance : 94%. Rec. Final resistance: 250 Pa. Size: 24" x 24" x 2"; IAF; ; pcs</v>
      </c>
      <c r="G301" s="15">
        <f>IFERROR(__xludf.DUMMYFUNCTION("""COMPUTED_VALUE"""),10.0)</f>
        <v>10</v>
      </c>
      <c r="H301" s="15" t="str">
        <f>IFERROR(__xludf.DUMMYFUNCTION("""COMPUTED_VALUE"""),"Pcs")</f>
        <v>Pcs</v>
      </c>
      <c r="I301" s="15" t="str">
        <f>IFERROR(__xludf.DUMMYFUNCTION("""COMPUTED_VALUE"""),"Deliver")</f>
        <v>Deliver</v>
      </c>
      <c r="J301" s="15" t="str">
        <f>IFERROR(__xludf.DUMMYFUNCTION("""COMPUTED_VALUE"""),"-")</f>
        <v>-</v>
      </c>
      <c r="K301" s="15" t="str">
        <f>IFERROR(__xludf.DUMMYFUNCTION("""COMPUTED_VALUE"""),"-")</f>
        <v>-</v>
      </c>
      <c r="L301" s="15" t="str">
        <f>IFERROR(__xludf.DUMMYFUNCTION("""COMPUTED_VALUE"""),"Normal")</f>
        <v>Normal</v>
      </c>
      <c r="M301" s="18" t="s">
        <v>31</v>
      </c>
      <c r="N301" s="18" t="s">
        <v>28</v>
      </c>
    </row>
    <row r="302" hidden="1">
      <c r="A302" s="15" t="str">
        <f>IFERROR(__xludf.DUMMYFUNCTION("""COMPUTED_VALUE"""),"MOBRO0042")</f>
        <v>MOBRO0042</v>
      </c>
      <c r="B302" s="16">
        <f>IFERROR(__xludf.DUMMYFUNCTION("""COMPUTED_VALUE"""),45782.6116896875)</f>
        <v>45782.61169</v>
      </c>
      <c r="C302" s="17">
        <f>IFERROR(__xludf.DUMMYFUNCTION("""COMPUTED_VALUE"""),45785.490955810186)</f>
        <v>45785.49096</v>
      </c>
      <c r="D302" s="15" t="str">
        <f>IFERROR(__xludf.DUMMYFUNCTION("""COMPUTED_VALUE"""),"AHU")</f>
        <v>AHU</v>
      </c>
      <c r="E302" s="15" t="str">
        <f>IFERROR(__xludf.DUMMYFUNCTION("""COMPUTED_VALUE"""),"-")</f>
        <v>-</v>
      </c>
      <c r="F302" s="15" t="str">
        <f>IFERROR(__xludf.DUMMYFUNCTION("""COMPUTED_VALUE"""),"Pre Filter G4 size : 12X24X2")</f>
        <v>Pre Filter G4 size : 12X24X2</v>
      </c>
      <c r="G302" s="15">
        <f>IFERROR(__xludf.DUMMYFUNCTION("""COMPUTED_VALUE"""),10.0)</f>
        <v>10</v>
      </c>
      <c r="H302" s="15" t="str">
        <f>IFERROR(__xludf.DUMMYFUNCTION("""COMPUTED_VALUE"""),"Pcs")</f>
        <v>Pcs</v>
      </c>
      <c r="I302" s="15" t="str">
        <f>IFERROR(__xludf.DUMMYFUNCTION("""COMPUTED_VALUE"""),"Deliver")</f>
        <v>Deliver</v>
      </c>
      <c r="J302" s="15" t="str">
        <f>IFERROR(__xludf.DUMMYFUNCTION("""COMPUTED_VALUE"""),"-")</f>
        <v>-</v>
      </c>
      <c r="K302" s="15" t="str">
        <f>IFERROR(__xludf.DUMMYFUNCTION("""COMPUTED_VALUE"""),"-")</f>
        <v>-</v>
      </c>
      <c r="L302" s="15" t="str">
        <f>IFERROR(__xludf.DUMMYFUNCTION("""COMPUTED_VALUE"""),"Normal")</f>
        <v>Normal</v>
      </c>
      <c r="M302" s="18" t="s">
        <v>31</v>
      </c>
      <c r="N302" s="18" t="s">
        <v>28</v>
      </c>
    </row>
    <row r="303" hidden="1">
      <c r="A303" s="15" t="str">
        <f>IFERROR(__xludf.DUMMYFUNCTION("""COMPUTED_VALUE"""),"MOBRO0043")</f>
        <v>MOBRO0043</v>
      </c>
      <c r="B303" s="16">
        <f>IFERROR(__xludf.DUMMYFUNCTION("""COMPUTED_VALUE"""),45783.62674813657)</f>
        <v>45783.62675</v>
      </c>
      <c r="C303" s="17">
        <f>IFERROR(__xludf.DUMMYFUNCTION("""COMPUTED_VALUE"""),45785.4912202662)</f>
        <v>45785.49122</v>
      </c>
      <c r="D303" s="15" t="str">
        <f>IFERROR(__xludf.DUMMYFUNCTION("""COMPUTED_VALUE"""),"EF Lt.4,")</f>
        <v>EF Lt.4,</v>
      </c>
      <c r="E303" s="15" t="str">
        <f>IFERROR(__xludf.DUMMYFUNCTION("""COMPUTED_VALUE"""),"2025/05/45")</f>
        <v>2025/05/45</v>
      </c>
      <c r="F303" s="15" t="str">
        <f>IFERROR(__xludf.DUMMYFUNCTION("""COMPUTED_VALUE"""),"SPA 1120 Brand : Optibelt / Bando Merah; Optibelt; ;")</f>
        <v>SPA 1120 Brand : Optibelt / Bando Merah; Optibelt; ;</v>
      </c>
      <c r="G303" s="15">
        <f>IFERROR(__xludf.DUMMYFUNCTION("""COMPUTED_VALUE"""),6.0)</f>
        <v>6</v>
      </c>
      <c r="H303" s="15" t="str">
        <f>IFERROR(__xludf.DUMMYFUNCTION("""COMPUTED_VALUE"""),"Pcs")</f>
        <v>Pcs</v>
      </c>
      <c r="I303" s="15" t="str">
        <f>IFERROR(__xludf.DUMMYFUNCTION("""COMPUTED_VALUE"""),"Deliver")</f>
        <v>Deliver</v>
      </c>
      <c r="J303" s="15" t="str">
        <f>IFERROR(__xludf.DUMMYFUNCTION("""COMPUTED_VALUE"""),"-")</f>
        <v>-</v>
      </c>
      <c r="K303" s="15" t="str">
        <f>IFERROR(__xludf.DUMMYFUNCTION("""COMPUTED_VALUE"""),"-")</f>
        <v>-</v>
      </c>
      <c r="L303" s="15" t="str">
        <f>IFERROR(__xludf.DUMMYFUNCTION("""COMPUTED_VALUE"""),"Normal")</f>
        <v>Normal</v>
      </c>
      <c r="M303" s="18" t="s">
        <v>31</v>
      </c>
      <c r="N303" s="18" t="s">
        <v>28</v>
      </c>
    </row>
    <row r="304" hidden="1">
      <c r="A304" s="15" t="str">
        <f>IFERROR(__xludf.DUMMYFUNCTION("""COMPUTED_VALUE"""),"MFHRO0046")</f>
        <v>MFHRO0046</v>
      </c>
      <c r="B304" s="16">
        <f>IFERROR(__xludf.DUMMYFUNCTION("""COMPUTED_VALUE"""),45789.837983067126)</f>
        <v>45789.83798</v>
      </c>
      <c r="C304" s="17">
        <f>IFERROR(__xludf.DUMMYFUNCTION("""COMPUTED_VALUE"""),45789.87406674768)</f>
        <v>45789.87407</v>
      </c>
      <c r="D304" s="15" t="str">
        <f>IFERROR(__xludf.DUMMYFUNCTION("""COMPUTED_VALUE"""),"General")</f>
        <v>General</v>
      </c>
      <c r="E304" s="15" t="str">
        <f>IFERROR(__xludf.DUMMYFUNCTION("""COMPUTED_VALUE"""),"-")</f>
        <v>-</v>
      </c>
      <c r="F304" s="15" t="str">
        <f>IFERROR(__xludf.DUMMYFUNCTION("""COMPUTED_VALUE"""),"Plastik Wrap Roll,  Size 50 x 200 cm x 17 micron")</f>
        <v>Plastik Wrap Roll,  Size 50 x 200 cm x 17 micron</v>
      </c>
      <c r="G304" s="15">
        <f>IFERROR(__xludf.DUMMYFUNCTION("""COMPUTED_VALUE"""),5.0)</f>
        <v>5</v>
      </c>
      <c r="H304" s="15" t="str">
        <f>IFERROR(__xludf.DUMMYFUNCTION("""COMPUTED_VALUE"""),"Pcs")</f>
        <v>Pcs</v>
      </c>
      <c r="I304" s="15" t="str">
        <f>IFERROR(__xludf.DUMMYFUNCTION("""COMPUTED_VALUE"""),"Deliver")</f>
        <v>Deliver</v>
      </c>
      <c r="J304" s="15" t="str">
        <f>IFERROR(__xludf.DUMMYFUNCTION("""COMPUTED_VALUE"""),"-")</f>
        <v>-</v>
      </c>
      <c r="K304" s="15" t="str">
        <f>IFERROR(__xludf.DUMMYFUNCTION("""COMPUTED_VALUE"""),"-")</f>
        <v>-</v>
      </c>
      <c r="L304" s="15" t="str">
        <f>IFERROR(__xludf.DUMMYFUNCTION("""COMPUTED_VALUE"""),"Normal")</f>
        <v>Normal</v>
      </c>
      <c r="M304" s="18" t="s">
        <v>53</v>
      </c>
      <c r="N304" s="18" t="s">
        <v>54</v>
      </c>
    </row>
    <row r="305" hidden="1">
      <c r="A305" s="15" t="str">
        <f>IFERROR(__xludf.DUMMYFUNCTION("""COMPUTED_VALUE"""),"MFHRO0047")</f>
        <v>MFHRO0047</v>
      </c>
      <c r="B305" s="16">
        <f>IFERROR(__xludf.DUMMYFUNCTION("""COMPUTED_VALUE"""),45789.837983067126)</f>
        <v>45789.83798</v>
      </c>
      <c r="C305" s="17">
        <f>IFERROR(__xludf.DUMMYFUNCTION("""COMPUTED_VALUE"""),45789.874573865745)</f>
        <v>45789.87457</v>
      </c>
      <c r="D305" s="15" t="str">
        <f>IFERROR(__xludf.DUMMYFUNCTION("""COMPUTED_VALUE"""),"WWTP")</f>
        <v>WWTP</v>
      </c>
      <c r="E305" s="15" t="str">
        <f>IFERROR(__xludf.DUMMYFUNCTION("""COMPUTED_VALUE"""),"-")</f>
        <v>-</v>
      </c>
      <c r="F305" s="15" t="str">
        <f>IFERROR(__xludf.DUMMYFUNCTION("""COMPUTED_VALUE"""),"General - Set Gearbox Helical G3FS + Dinamo 0,5 HP Ratio 1:15 4 Pole, B5, 1 Phase; Yuema; -; 1 set")</f>
        <v>General - Set Gearbox Helical G3FS + Dinamo 0,5 HP Ratio 1:15 4 Pole, B5, 1 Phase; Yuema; -; 1 set</v>
      </c>
      <c r="G305" s="15">
        <f>IFERROR(__xludf.DUMMYFUNCTION("""COMPUTED_VALUE"""),1.0)</f>
        <v>1</v>
      </c>
      <c r="H305" s="15" t="str">
        <f>IFERROR(__xludf.DUMMYFUNCTION("""COMPUTED_VALUE"""),"Set")</f>
        <v>Set</v>
      </c>
      <c r="I305" s="15" t="str">
        <f>IFERROR(__xludf.DUMMYFUNCTION("""COMPUTED_VALUE"""),"Deliver")</f>
        <v>Deliver</v>
      </c>
      <c r="J305" s="15" t="str">
        <f>IFERROR(__xludf.DUMMYFUNCTION("""COMPUTED_VALUE"""),"-")</f>
        <v>-</v>
      </c>
      <c r="K305" s="15" t="str">
        <f>IFERROR(__xludf.DUMMYFUNCTION("""COMPUTED_VALUE"""),"-")</f>
        <v>-</v>
      </c>
      <c r="L305" s="15" t="str">
        <f>IFERROR(__xludf.DUMMYFUNCTION("""COMPUTED_VALUE"""),"Normal")</f>
        <v>Normal</v>
      </c>
      <c r="M305" s="18" t="s">
        <v>53</v>
      </c>
      <c r="N305" s="18" t="s">
        <v>54</v>
      </c>
    </row>
    <row r="306" hidden="1">
      <c r="A306" s="15" t="str">
        <f>IFERROR(__xludf.DUMMYFUNCTION("""COMPUTED_VALUE"""),"MFHRO0048")</f>
        <v>MFHRO0048</v>
      </c>
      <c r="B306" s="16">
        <f>IFERROR(__xludf.DUMMYFUNCTION("""COMPUTED_VALUE"""),45789.837983067126)</f>
        <v>45789.83798</v>
      </c>
      <c r="C306" s="17">
        <f>IFERROR(__xludf.DUMMYFUNCTION("""COMPUTED_VALUE"""),45789.87562708333)</f>
        <v>45789.87563</v>
      </c>
      <c r="D306" s="15" t="str">
        <f>IFERROR(__xludf.DUMMYFUNCTION("""COMPUTED_VALUE"""),"Autoclave")</f>
        <v>Autoclave</v>
      </c>
      <c r="E306" s="15" t="str">
        <f>IFERROR(__xludf.DUMMYFUNCTION("""COMPUTED_VALUE"""),"-")</f>
        <v>-</v>
      </c>
      <c r="F306" s="15" t="str">
        <f>IFERROR(__xludf.DUMMYFUNCTION("""COMPUTED_VALUE"""),"Autoclave Fedegari Fva/A1 - Oring Viton OD. 15 mm, ID. 15 mm, Tebal 2 mm Custom/Lokal  -")</f>
        <v>Autoclave Fedegari Fva/A1 - Oring Viton OD. 15 mm, ID. 15 mm, Tebal 2 mm Custom/Lokal  -</v>
      </c>
      <c r="G306" s="15">
        <f>IFERROR(__xludf.DUMMYFUNCTION("""COMPUTED_VALUE"""),50.0)</f>
        <v>50</v>
      </c>
      <c r="H306" s="15" t="str">
        <f>IFERROR(__xludf.DUMMYFUNCTION("""COMPUTED_VALUE"""),"Pc")</f>
        <v>Pc</v>
      </c>
      <c r="I306" s="15" t="str">
        <f>IFERROR(__xludf.DUMMYFUNCTION("""COMPUTED_VALUE"""),"Deliver")</f>
        <v>Deliver</v>
      </c>
      <c r="J306" s="15" t="str">
        <f>IFERROR(__xludf.DUMMYFUNCTION("""COMPUTED_VALUE"""),"-")</f>
        <v>-</v>
      </c>
      <c r="K306" s="15" t="str">
        <f>IFERROR(__xludf.DUMMYFUNCTION("""COMPUTED_VALUE"""),"-")</f>
        <v>-</v>
      </c>
      <c r="L306" s="15" t="str">
        <f>IFERROR(__xludf.DUMMYFUNCTION("""COMPUTED_VALUE"""),"Normal")</f>
        <v>Normal</v>
      </c>
      <c r="M306" s="18" t="s">
        <v>53</v>
      </c>
      <c r="N306" s="18" t="s">
        <v>54</v>
      </c>
    </row>
    <row r="307" hidden="1">
      <c r="A307" s="15" t="str">
        <f>IFERROR(__xludf.DUMMYFUNCTION("""COMPUTED_VALUE"""),"MFHRO0049")</f>
        <v>MFHRO0049</v>
      </c>
      <c r="B307" s="16">
        <f>IFERROR(__xludf.DUMMYFUNCTION("""COMPUTED_VALUE"""),45789.837983067126)</f>
        <v>45789.83798</v>
      </c>
      <c r="C307" s="17">
        <f>IFERROR(__xludf.DUMMYFUNCTION("""COMPUTED_VALUE"""),45789.8757672338)</f>
        <v>45789.87577</v>
      </c>
      <c r="D307" s="15" t="str">
        <f>IFERROR(__xludf.DUMMYFUNCTION("""COMPUTED_VALUE"""),"Mixing")</f>
        <v>Mixing</v>
      </c>
      <c r="E307" s="15" t="str">
        <f>IFERROR(__xludf.DUMMYFUNCTION("""COMPUTED_VALUE"""),"-")</f>
        <v>-</v>
      </c>
      <c r="F307" s="15" t="str">
        <f>IFERROR(__xludf.DUMMYFUNCTION("""COMPUTED_VALUE"""),"OMRON - Relay MY4Z 24VDC; ; ;")</f>
        <v>OMRON - Relay MY4Z 24VDC; ; ;</v>
      </c>
      <c r="G307" s="15">
        <f>IFERROR(__xludf.DUMMYFUNCTION("""COMPUTED_VALUE"""),15.0)</f>
        <v>15</v>
      </c>
      <c r="H307" s="15" t="str">
        <f>IFERROR(__xludf.DUMMYFUNCTION("""COMPUTED_VALUE"""),"Pcs")</f>
        <v>Pcs</v>
      </c>
      <c r="I307" s="15" t="str">
        <f>IFERROR(__xludf.DUMMYFUNCTION("""COMPUTED_VALUE"""),"Deliver")</f>
        <v>Deliver</v>
      </c>
      <c r="J307" s="15" t="str">
        <f>IFERROR(__xludf.DUMMYFUNCTION("""COMPUTED_VALUE"""),"-")</f>
        <v>-</v>
      </c>
      <c r="K307" s="15" t="str">
        <f>IFERROR(__xludf.DUMMYFUNCTION("""COMPUTED_VALUE"""),"-")</f>
        <v>-</v>
      </c>
      <c r="L307" s="15" t="str">
        <f>IFERROR(__xludf.DUMMYFUNCTION("""COMPUTED_VALUE"""),"Normal")</f>
        <v>Normal</v>
      </c>
      <c r="M307" s="18" t="s">
        <v>53</v>
      </c>
      <c r="N307" s="18" t="s">
        <v>54</v>
      </c>
    </row>
    <row r="308" hidden="1">
      <c r="A308" s="15" t="str">
        <f>IFERROR(__xludf.DUMMYFUNCTION("""COMPUTED_VALUE"""),"MFHRO0050")</f>
        <v>MFHRO0050</v>
      </c>
      <c r="B308" s="16">
        <f>IFERROR(__xludf.DUMMYFUNCTION("""COMPUTED_VALUE"""),45789.837983067126)</f>
        <v>45789.83798</v>
      </c>
      <c r="C308" s="17">
        <f>IFERROR(__xludf.DUMMYFUNCTION("""COMPUTED_VALUE"""),45789.875888912036)</f>
        <v>45789.87589</v>
      </c>
      <c r="D308" s="15" t="str">
        <f>IFERROR(__xludf.DUMMYFUNCTION("""COMPUTED_VALUE"""),"Autoclave")</f>
        <v>Autoclave</v>
      </c>
      <c r="E308" s="15" t="str">
        <f>IFERROR(__xludf.DUMMYFUNCTION("""COMPUTED_VALUE"""),"-")</f>
        <v>-</v>
      </c>
      <c r="F308" s="15" t="str">
        <f>IFERROR(__xludf.DUMMYFUNCTION("""COMPUTED_VALUE"""),"Autoclave Fedegari FVA2/A1 NB2963AT - KIT Ricambi Valv. DN10 ON-OFF FEDEGARI ASIA PTE LTD P/N : KK000301 pc")</f>
        <v>Autoclave Fedegari FVA2/A1 NB2963AT - KIT Ricambi Valv. DN10 ON-OFF FEDEGARI ASIA PTE LTD P/N : KK000301 pc</v>
      </c>
      <c r="G308" s="15">
        <f>IFERROR(__xludf.DUMMYFUNCTION("""COMPUTED_VALUE"""),14.0)</f>
        <v>14</v>
      </c>
      <c r="H308" s="15" t="str">
        <f>IFERROR(__xludf.DUMMYFUNCTION("""COMPUTED_VALUE"""),"Pcs")</f>
        <v>Pcs</v>
      </c>
      <c r="I308" s="15" t="str">
        <f>IFERROR(__xludf.DUMMYFUNCTION("""COMPUTED_VALUE"""),"Deliver")</f>
        <v>Deliver</v>
      </c>
      <c r="J308" s="15" t="str">
        <f>IFERROR(__xludf.DUMMYFUNCTION("""COMPUTED_VALUE"""),"-")</f>
        <v>-</v>
      </c>
      <c r="K308" s="15" t="str">
        <f>IFERROR(__xludf.DUMMYFUNCTION("""COMPUTED_VALUE"""),"-")</f>
        <v>-</v>
      </c>
      <c r="L308" s="15" t="str">
        <f>IFERROR(__xludf.DUMMYFUNCTION("""COMPUTED_VALUE"""),"Normal")</f>
        <v>Normal</v>
      </c>
      <c r="M308" s="18" t="s">
        <v>53</v>
      </c>
      <c r="N308" s="18" t="s">
        <v>54</v>
      </c>
    </row>
    <row r="309" hidden="1">
      <c r="A309" s="15" t="str">
        <f>IFERROR(__xludf.DUMMYFUNCTION("""COMPUTED_VALUE"""),"MFHRO0051")</f>
        <v>MFHRO0051</v>
      </c>
      <c r="B309" s="16">
        <f>IFERROR(__xludf.DUMMYFUNCTION("""COMPUTED_VALUE"""),45789.837983067126)</f>
        <v>45789.83798</v>
      </c>
      <c r="C309" s="17">
        <f>IFERROR(__xludf.DUMMYFUNCTION("""COMPUTED_VALUE"""),45789.875994733804)</f>
        <v>45789.87599</v>
      </c>
      <c r="D309" s="15" t="str">
        <f>IFERROR(__xludf.DUMMYFUNCTION("""COMPUTED_VALUE"""),"Autoclave")</f>
        <v>Autoclave</v>
      </c>
      <c r="E309" s="15" t="str">
        <f>IFERROR(__xludf.DUMMYFUNCTION("""COMPUTED_VALUE"""),"-")</f>
        <v>-</v>
      </c>
      <c r="F309" s="15" t="str">
        <f>IFERROR(__xludf.DUMMYFUNCTION("""COMPUTED_VALUE"""),"Fedegari FVA2/A1 - CLAMP DN34-DN35 (MICROCASTED); Code : GM100094; ; ;")</f>
        <v>Fedegari FVA2/A1 - CLAMP DN34-DN35 (MICROCASTED); Code : GM100094; ; ;</v>
      </c>
      <c r="G309" s="15">
        <f>IFERROR(__xludf.DUMMYFUNCTION("""COMPUTED_VALUE"""),1.0)</f>
        <v>1</v>
      </c>
      <c r="H309" s="15" t="str">
        <f>IFERROR(__xludf.DUMMYFUNCTION("""COMPUTED_VALUE"""),"Pcs")</f>
        <v>Pcs</v>
      </c>
      <c r="I309" s="15" t="str">
        <f>IFERROR(__xludf.DUMMYFUNCTION("""COMPUTED_VALUE"""),"Deliver")</f>
        <v>Deliver</v>
      </c>
      <c r="J309" s="15" t="str">
        <f>IFERROR(__xludf.DUMMYFUNCTION("""COMPUTED_VALUE"""),"-")</f>
        <v>-</v>
      </c>
      <c r="K309" s="15" t="str">
        <f>IFERROR(__xludf.DUMMYFUNCTION("""COMPUTED_VALUE"""),"-")</f>
        <v>-</v>
      </c>
      <c r="L309" s="15" t="str">
        <f>IFERROR(__xludf.DUMMYFUNCTION("""COMPUTED_VALUE"""),"Normal")</f>
        <v>Normal</v>
      </c>
      <c r="M309" s="18" t="s">
        <v>53</v>
      </c>
      <c r="N309" s="18" t="s">
        <v>54</v>
      </c>
    </row>
    <row r="310" hidden="1">
      <c r="A310" s="15" t="str">
        <f>IFERROR(__xludf.DUMMYFUNCTION("""COMPUTED_VALUE"""),"MFHRO0052")</f>
        <v>MFHRO0052</v>
      </c>
      <c r="B310" s="16">
        <f>IFERROR(__xludf.DUMMYFUNCTION("""COMPUTED_VALUE"""),45789.837983067126)</f>
        <v>45789.83798</v>
      </c>
      <c r="C310" s="17">
        <f>IFERROR(__xludf.DUMMYFUNCTION("""COMPUTED_VALUE"""),45789.876125925926)</f>
        <v>45789.87613</v>
      </c>
      <c r="D310" s="15" t="str">
        <f>IFERROR(__xludf.DUMMYFUNCTION("""COMPUTED_VALUE"""),"Autoclave")</f>
        <v>Autoclave</v>
      </c>
      <c r="E310" s="15" t="str">
        <f>IFERROR(__xludf.DUMMYFUNCTION("""COMPUTED_VALUE"""),"-")</f>
        <v>-</v>
      </c>
      <c r="F310" s="15" t="str">
        <f>IFERROR(__xludf.DUMMYFUNCTION("""COMPUTED_VALUE"""),"Fedegari FVA2/A1 - DN16 ASTM CAP; Code : PM102747; ; ;")</f>
        <v>Fedegari FVA2/A1 - DN16 ASTM CAP; Code : PM102747; ; ;</v>
      </c>
      <c r="G310" s="15">
        <f>IFERROR(__xludf.DUMMYFUNCTION("""COMPUTED_VALUE"""),1.0)</f>
        <v>1</v>
      </c>
      <c r="H310" s="15" t="str">
        <f>IFERROR(__xludf.DUMMYFUNCTION("""COMPUTED_VALUE"""),"Unit")</f>
        <v>Unit</v>
      </c>
      <c r="I310" s="15" t="str">
        <f>IFERROR(__xludf.DUMMYFUNCTION("""COMPUTED_VALUE"""),"Deliver")</f>
        <v>Deliver</v>
      </c>
      <c r="J310" s="15" t="str">
        <f>IFERROR(__xludf.DUMMYFUNCTION("""COMPUTED_VALUE"""),"-")</f>
        <v>-</v>
      </c>
      <c r="K310" s="15" t="str">
        <f>IFERROR(__xludf.DUMMYFUNCTION("""COMPUTED_VALUE"""),"-")</f>
        <v>-</v>
      </c>
      <c r="L310" s="15" t="str">
        <f>IFERROR(__xludf.DUMMYFUNCTION("""COMPUTED_VALUE"""),"Normal")</f>
        <v>Normal</v>
      </c>
      <c r="M310" s="18" t="s">
        <v>53</v>
      </c>
      <c r="N310" s="18" t="s">
        <v>54</v>
      </c>
    </row>
    <row r="311" hidden="1">
      <c r="A311" s="15" t="str">
        <f>IFERROR(__xludf.DUMMYFUNCTION("""COMPUTED_VALUE"""),"MFHRO0053")</f>
        <v>MFHRO0053</v>
      </c>
      <c r="B311" s="16">
        <f>IFERROR(__xludf.DUMMYFUNCTION("""COMPUTED_VALUE"""),45789.837983067126)</f>
        <v>45789.83798</v>
      </c>
      <c r="C311" s="17">
        <f>IFERROR(__xludf.DUMMYFUNCTION("""COMPUTED_VALUE"""),45789.87626002315)</f>
        <v>45789.87626</v>
      </c>
      <c r="D311" s="15" t="str">
        <f>IFERROR(__xludf.DUMMYFUNCTION("""COMPUTED_VALUE"""),"Autoclave")</f>
        <v>Autoclave</v>
      </c>
      <c r="E311" s="15" t="str">
        <f>IFERROR(__xludf.DUMMYFUNCTION("""COMPUTED_VALUE"""),"-")</f>
        <v>-</v>
      </c>
      <c r="F311" s="15" t="str">
        <f>IFERROR(__xludf.DUMMYFUNCTION("""COMPUTED_VALUE"""),"Fedegari FVA2/A1 S/N : NB2964AT - Cover Seal FVM-A/2 FOB2 (Code: PP600265); ; ;")</f>
        <v>Fedegari FVA2/A1 S/N : NB2964AT - Cover Seal FVM-A/2 FOB2 (Code: PP600265); ; ;</v>
      </c>
      <c r="G311" s="15">
        <f>IFERROR(__xludf.DUMMYFUNCTION("""COMPUTED_VALUE"""),1.0)</f>
        <v>1</v>
      </c>
      <c r="H311" s="15" t="str">
        <f>IFERROR(__xludf.DUMMYFUNCTION("""COMPUTED_VALUE"""),"Unit")</f>
        <v>Unit</v>
      </c>
      <c r="I311" s="15" t="str">
        <f>IFERROR(__xludf.DUMMYFUNCTION("""COMPUTED_VALUE"""),"Deliver")</f>
        <v>Deliver</v>
      </c>
      <c r="J311" s="15" t="str">
        <f>IFERROR(__xludf.DUMMYFUNCTION("""COMPUTED_VALUE"""),"-")</f>
        <v>-</v>
      </c>
      <c r="K311" s="15" t="str">
        <f>IFERROR(__xludf.DUMMYFUNCTION("""COMPUTED_VALUE"""),"-")</f>
        <v>-</v>
      </c>
      <c r="L311" s="15" t="str">
        <f>IFERROR(__xludf.DUMMYFUNCTION("""COMPUTED_VALUE"""),"Normal")</f>
        <v>Normal</v>
      </c>
      <c r="M311" s="18" t="s">
        <v>53</v>
      </c>
      <c r="N311" s="18" t="s">
        <v>54</v>
      </c>
    </row>
    <row r="312" hidden="1">
      <c r="A312" s="15" t="str">
        <f>IFERROR(__xludf.DUMMYFUNCTION("""COMPUTED_VALUE"""),"MFHRO0054")</f>
        <v>MFHRO0054</v>
      </c>
      <c r="B312" s="16">
        <f>IFERROR(__xludf.DUMMYFUNCTION("""COMPUTED_VALUE"""),45789.837983067126)</f>
        <v>45789.83798</v>
      </c>
      <c r="C312" s="17">
        <f>IFERROR(__xludf.DUMMYFUNCTION("""COMPUTED_VALUE"""),45789.876403738424)</f>
        <v>45789.8764</v>
      </c>
      <c r="D312" s="15" t="str">
        <f>IFERROR(__xludf.DUMMYFUNCTION("""COMPUTED_VALUE"""),"Washing")</f>
        <v>Washing</v>
      </c>
      <c r="E312" s="15" t="str">
        <f>IFERROR(__xludf.DUMMYFUNCTION("""COMPUTED_VALUE"""),"-")</f>
        <v>-</v>
      </c>
      <c r="F312" s="15" t="str">
        <f>IFERROR(__xludf.DUMMYFUNCTION("""COMPUTED_VALUE"""),"Cylinder Compact ADNGF-16-15-P-A FESTO P/N : 554214 pc")</f>
        <v>Cylinder Compact ADNGF-16-15-P-A FESTO P/N : 554214 pc</v>
      </c>
      <c r="G312" s="15">
        <f>IFERROR(__xludf.DUMMYFUNCTION("""COMPUTED_VALUE"""),1.0)</f>
        <v>1</v>
      </c>
      <c r="H312" s="15" t="str">
        <f>IFERROR(__xludf.DUMMYFUNCTION("""COMPUTED_VALUE"""),"Unit")</f>
        <v>Unit</v>
      </c>
      <c r="I312" s="15" t="str">
        <f>IFERROR(__xludf.DUMMYFUNCTION("""COMPUTED_VALUE"""),"Deliver")</f>
        <v>Deliver</v>
      </c>
      <c r="J312" s="15" t="str">
        <f>IFERROR(__xludf.DUMMYFUNCTION("""COMPUTED_VALUE"""),"-")</f>
        <v>-</v>
      </c>
      <c r="K312" s="15" t="str">
        <f>IFERROR(__xludf.DUMMYFUNCTION("""COMPUTED_VALUE"""),"-")</f>
        <v>-</v>
      </c>
      <c r="L312" s="15" t="str">
        <f>IFERROR(__xludf.DUMMYFUNCTION("""COMPUTED_VALUE"""),"Normal")</f>
        <v>Normal</v>
      </c>
      <c r="M312" s="18" t="s">
        <v>53</v>
      </c>
      <c r="N312" s="18" t="s">
        <v>54</v>
      </c>
    </row>
    <row r="313" hidden="1">
      <c r="A313" s="15" t="str">
        <f>IFERROR(__xludf.DUMMYFUNCTION("""COMPUTED_VALUE"""),"MFHRO0055")</f>
        <v>MFHRO0055</v>
      </c>
      <c r="B313" s="16">
        <f>IFERROR(__xludf.DUMMYFUNCTION("""COMPUTED_VALUE"""),45789.837983067126)</f>
        <v>45789.83798</v>
      </c>
      <c r="C313" s="17">
        <f>IFERROR(__xludf.DUMMYFUNCTION("""COMPUTED_VALUE"""),45789.87655960648)</f>
        <v>45789.87656</v>
      </c>
      <c r="D313" s="15" t="str">
        <f>IFERROR(__xludf.DUMMYFUNCTION("""COMPUTED_VALUE"""),"Autoclave")</f>
        <v>Autoclave</v>
      </c>
      <c r="E313" s="15" t="str">
        <f>IFERROR(__xludf.DUMMYFUNCTION("""COMPUTED_VALUE"""),"-")</f>
        <v>-</v>
      </c>
      <c r="F313" s="15" t="str">
        <f>IFERROR(__xludf.DUMMYFUNCTION("""COMPUTED_VALUE"""),"Gear Door Autoclave, HARRISA CIPTARINDO ENGINEERING, CV P/N : -  pc")</f>
        <v>Gear Door Autoclave, HARRISA CIPTARINDO ENGINEERING, CV P/N : -  pc</v>
      </c>
      <c r="G313" s="15">
        <f>IFERROR(__xludf.DUMMYFUNCTION("""COMPUTED_VALUE"""),2.0)</f>
        <v>2</v>
      </c>
      <c r="H313" s="15" t="str">
        <f>IFERROR(__xludf.DUMMYFUNCTION("""COMPUTED_VALUE"""),"Unit")</f>
        <v>Unit</v>
      </c>
      <c r="I313" s="15" t="str">
        <f>IFERROR(__xludf.DUMMYFUNCTION("""COMPUTED_VALUE"""),"Deliver")</f>
        <v>Deliver</v>
      </c>
      <c r="J313" s="15" t="str">
        <f>IFERROR(__xludf.DUMMYFUNCTION("""COMPUTED_VALUE"""),"-")</f>
        <v>-</v>
      </c>
      <c r="K313" s="15" t="str">
        <f>IFERROR(__xludf.DUMMYFUNCTION("""COMPUTED_VALUE"""),"-")</f>
        <v>-</v>
      </c>
      <c r="L313" s="15" t="str">
        <f>IFERROR(__xludf.DUMMYFUNCTION("""COMPUTED_VALUE"""),"Normal")</f>
        <v>Normal</v>
      </c>
      <c r="M313" s="18" t="s">
        <v>53</v>
      </c>
      <c r="N313" s="18" t="s">
        <v>54</v>
      </c>
    </row>
    <row r="314" hidden="1">
      <c r="A314" s="15" t="str">
        <f>IFERROR(__xludf.DUMMYFUNCTION("""COMPUTED_VALUE"""),"MFHRO0056")</f>
        <v>MFHRO0056</v>
      </c>
      <c r="B314" s="16">
        <f>IFERROR(__xludf.DUMMYFUNCTION("""COMPUTED_VALUE"""),45789.83834662037)</f>
        <v>45789.83835</v>
      </c>
      <c r="C314" s="17">
        <f>IFERROR(__xludf.DUMMYFUNCTION("""COMPUTED_VALUE"""),45789.87669866898)</f>
        <v>45789.8767</v>
      </c>
      <c r="D314" s="15" t="str">
        <f>IFERROR(__xludf.DUMMYFUNCTION("""COMPUTED_VALUE"""),"Washing")</f>
        <v>Washing</v>
      </c>
      <c r="E314" s="15" t="str">
        <f>IFERROR(__xludf.DUMMYFUNCTION("""COMPUTED_VALUE"""),"-")</f>
        <v>-</v>
      </c>
      <c r="F314" s="15" t="str">
        <f>IFERROR(__xludf.DUMMYFUNCTION("""COMPUTED_VALUE"""),"Washing RAR4 - Pincers Jaws for Vial 20mL &amp; 25mL HARRISA CIPTARINDO ENGINEERING, CV. P/N : -  pc")</f>
        <v>Washing RAR4 - Pincers Jaws for Vial 20mL &amp; 25mL HARRISA CIPTARINDO ENGINEERING, CV. P/N : -  pc</v>
      </c>
      <c r="G314" s="15">
        <f>IFERROR(__xludf.DUMMYFUNCTION("""COMPUTED_VALUE"""),20.0)</f>
        <v>20</v>
      </c>
      <c r="H314" s="15" t="str">
        <f>IFERROR(__xludf.DUMMYFUNCTION("""COMPUTED_VALUE"""),"Pcs")</f>
        <v>Pcs</v>
      </c>
      <c r="I314" s="15" t="str">
        <f>IFERROR(__xludf.DUMMYFUNCTION("""COMPUTED_VALUE"""),"Deliver")</f>
        <v>Deliver</v>
      </c>
      <c r="J314" s="15" t="str">
        <f>IFERROR(__xludf.DUMMYFUNCTION("""COMPUTED_VALUE"""),"-")</f>
        <v>-</v>
      </c>
      <c r="K314" s="15" t="str">
        <f>IFERROR(__xludf.DUMMYFUNCTION("""COMPUTED_VALUE"""),"-")</f>
        <v>-</v>
      </c>
      <c r="L314" s="15" t="str">
        <f>IFERROR(__xludf.DUMMYFUNCTION("""COMPUTED_VALUE"""),"Normal")</f>
        <v>Normal</v>
      </c>
      <c r="M314" s="18" t="s">
        <v>53</v>
      </c>
      <c r="N314" s="18" t="s">
        <v>54</v>
      </c>
    </row>
    <row r="315" hidden="1">
      <c r="A315" s="15" t="str">
        <f>IFERROR(__xludf.DUMMYFUNCTION("""COMPUTED_VALUE"""),"MFHRO0057")</f>
        <v>MFHRO0057</v>
      </c>
      <c r="B315" s="16">
        <f>IFERROR(__xludf.DUMMYFUNCTION("""COMPUTED_VALUE"""),45789.840184733795)</f>
        <v>45789.84018</v>
      </c>
      <c r="C315" s="17">
        <f>IFERROR(__xludf.DUMMYFUNCTION("""COMPUTED_VALUE"""),45789.877328622686)</f>
        <v>45789.87733</v>
      </c>
      <c r="D315" s="15" t="str">
        <f>IFERROR(__xludf.DUMMYFUNCTION("""COMPUTED_VALUE"""),"Mixing")</f>
        <v>Mixing</v>
      </c>
      <c r="E315" s="15" t="str">
        <f>IFERROR(__xludf.DUMMYFUNCTION("""COMPUTED_VALUE"""),"-")</f>
        <v>-</v>
      </c>
      <c r="F315" s="15" t="str">
        <f>IFERROR(__xludf.DUMMYFUNCTION("""COMPUTED_VALUE"""),"Mixer Male Bearing, GMP, pH Range: pH1  pH14, 1/pack; NovAseptic; ;")</f>
        <v>Mixer Male Bearing, GMP, pH Range: pH1  pH14, 1/pack; NovAseptic; ;</v>
      </c>
      <c r="G315" s="15">
        <f>IFERROR(__xludf.DUMMYFUNCTION("""COMPUTED_VALUE"""),1.0)</f>
        <v>1</v>
      </c>
      <c r="H315" s="15" t="str">
        <f>IFERROR(__xludf.DUMMYFUNCTION("""COMPUTED_VALUE"""),"Pcs")</f>
        <v>Pcs</v>
      </c>
      <c r="I315" s="15" t="str">
        <f>IFERROR(__xludf.DUMMYFUNCTION("""COMPUTED_VALUE"""),"Deliver")</f>
        <v>Deliver</v>
      </c>
      <c r="J315" s="15" t="str">
        <f>IFERROR(__xludf.DUMMYFUNCTION("""COMPUTED_VALUE"""),"-")</f>
        <v>-</v>
      </c>
      <c r="K315" s="15" t="str">
        <f>IFERROR(__xludf.DUMMYFUNCTION("""COMPUTED_VALUE"""),"-")</f>
        <v>-</v>
      </c>
      <c r="L315" s="15" t="str">
        <f>IFERROR(__xludf.DUMMYFUNCTION("""COMPUTED_VALUE"""),"Normal")</f>
        <v>Normal</v>
      </c>
      <c r="M315" s="18" t="s">
        <v>53</v>
      </c>
      <c r="N315" s="18" t="s">
        <v>54</v>
      </c>
    </row>
    <row r="316" hidden="1">
      <c r="A316" s="15" t="str">
        <f>IFERROR(__xludf.DUMMYFUNCTION("""COMPUTED_VALUE"""),"MFHRO0059")</f>
        <v>MFHRO0059</v>
      </c>
      <c r="B316" s="16">
        <f>IFERROR(__xludf.DUMMYFUNCTION("""COMPUTED_VALUE"""),45789.84154332176)</f>
        <v>45789.84154</v>
      </c>
      <c r="C316" s="17">
        <f>IFERROR(__xludf.DUMMYFUNCTION("""COMPUTED_VALUE"""),45789.87758673611)</f>
        <v>45789.87759</v>
      </c>
      <c r="D316" s="15" t="str">
        <f>IFERROR(__xludf.DUMMYFUNCTION("""COMPUTED_VALUE"""),"FD")</f>
        <v>FD</v>
      </c>
      <c r="E316" s="15" t="str">
        <f>IFERROR(__xludf.DUMMYFUNCTION("""COMPUTED_VALUE"""),"-")</f>
        <v>-</v>
      </c>
      <c r="F316" s="15" t="str">
        <f>IFERROR(__xludf.DUMMYFUNCTION("""COMPUTED_VALUE"""),"Freeze Dryer MBE1207 - Mechanical Positioner Switch 50-0406-12610-532 P/n: EB14-00072; BRAY; ;")</f>
        <v>Freeze Dryer MBE1207 - Mechanical Positioner Switch 50-0406-12610-532 P/n: EB14-00072; BRAY; ;</v>
      </c>
      <c r="G316" s="15">
        <f>IFERROR(__xludf.DUMMYFUNCTION("""COMPUTED_VALUE"""),1.0)</f>
        <v>1</v>
      </c>
      <c r="H316" s="15" t="str">
        <f>IFERROR(__xludf.DUMMYFUNCTION("""COMPUTED_VALUE"""),"Pcs")</f>
        <v>Pcs</v>
      </c>
      <c r="I316" s="15" t="str">
        <f>IFERROR(__xludf.DUMMYFUNCTION("""COMPUTED_VALUE"""),"Deliver")</f>
        <v>Deliver</v>
      </c>
      <c r="J316" s="15" t="str">
        <f>IFERROR(__xludf.DUMMYFUNCTION("""COMPUTED_VALUE"""),"-")</f>
        <v>-</v>
      </c>
      <c r="K316" s="15" t="str">
        <f>IFERROR(__xludf.DUMMYFUNCTION("""COMPUTED_VALUE"""),"-")</f>
        <v>-</v>
      </c>
      <c r="L316" s="15" t="str">
        <f>IFERROR(__xludf.DUMMYFUNCTION("""COMPUTED_VALUE"""),"Normal")</f>
        <v>Normal</v>
      </c>
      <c r="M316" s="18" t="s">
        <v>53</v>
      </c>
      <c r="N316" s="18" t="s">
        <v>54</v>
      </c>
    </row>
    <row r="317" hidden="1">
      <c r="A317" s="15" t="str">
        <f>IFERROR(__xludf.DUMMYFUNCTION("""COMPUTED_VALUE"""),"MFHRO0061")</f>
        <v>MFHRO0061</v>
      </c>
      <c r="B317" s="16">
        <f>IFERROR(__xludf.DUMMYFUNCTION("""COMPUTED_VALUE"""),45789.84256149306)</f>
        <v>45789.84256</v>
      </c>
      <c r="C317" s="17">
        <f>IFERROR(__xludf.DUMMYFUNCTION("""COMPUTED_VALUE"""),45789.87791210649)</f>
        <v>45789.87791</v>
      </c>
      <c r="D317" s="15" t="str">
        <f>IFERROR(__xludf.DUMMYFUNCTION("""COMPUTED_VALUE"""),"FD")</f>
        <v>FD</v>
      </c>
      <c r="E317" s="15" t="str">
        <f>IFERROR(__xludf.DUMMYFUNCTION("""COMPUTED_VALUE"""),"-")</f>
        <v>-</v>
      </c>
      <c r="F317" s="15" t="str">
        <f>IFERROR(__xludf.DUMMYFUNCTION("""COMPUTED_VALUE"""),"Freeze Dryer MBE1207 -  Orifice 04 for Expansi Valve TE5 067B2792; Danfoss; ;")</f>
        <v>Freeze Dryer MBE1207 -  Orifice 04 for Expansi Valve TE5 067B2792; Danfoss; ;</v>
      </c>
      <c r="G317" s="15">
        <f>IFERROR(__xludf.DUMMYFUNCTION("""COMPUTED_VALUE"""),1.0)</f>
        <v>1</v>
      </c>
      <c r="H317" s="15" t="str">
        <f>IFERROR(__xludf.DUMMYFUNCTION("""COMPUTED_VALUE"""),"Pcs")</f>
        <v>Pcs</v>
      </c>
      <c r="I317" s="15" t="str">
        <f>IFERROR(__xludf.DUMMYFUNCTION("""COMPUTED_VALUE"""),"Deliver")</f>
        <v>Deliver</v>
      </c>
      <c r="J317" s="15" t="str">
        <f>IFERROR(__xludf.DUMMYFUNCTION("""COMPUTED_VALUE"""),"-")</f>
        <v>-</v>
      </c>
      <c r="K317" s="15" t="str">
        <f>IFERROR(__xludf.DUMMYFUNCTION("""COMPUTED_VALUE"""),"-")</f>
        <v>-</v>
      </c>
      <c r="L317" s="15" t="str">
        <f>IFERROR(__xludf.DUMMYFUNCTION("""COMPUTED_VALUE"""),"Normal")</f>
        <v>Normal</v>
      </c>
      <c r="M317" s="18" t="s">
        <v>53</v>
      </c>
      <c r="N317" s="18" t="s">
        <v>54</v>
      </c>
    </row>
    <row r="318" hidden="1">
      <c r="A318" s="15" t="str">
        <f>IFERROR(__xludf.DUMMYFUNCTION("""COMPUTED_VALUE"""),"MFHRO0062")</f>
        <v>MFHRO0062</v>
      </c>
      <c r="B318" s="16">
        <f>IFERROR(__xludf.DUMMYFUNCTION("""COMPUTED_VALUE"""),45789.84305809028)</f>
        <v>45789.84306</v>
      </c>
      <c r="C318" s="17">
        <f>IFERROR(__xludf.DUMMYFUNCTION("""COMPUTED_VALUE"""),45789.878045578705)</f>
        <v>45789.87805</v>
      </c>
      <c r="D318" s="15" t="str">
        <f>IFERROR(__xludf.DUMMYFUNCTION("""COMPUTED_VALUE"""),"FD")</f>
        <v>FD</v>
      </c>
      <c r="E318" s="15" t="str">
        <f>IFERROR(__xludf.DUMMYFUNCTION("""COMPUTED_VALUE"""),"-")</f>
        <v>-</v>
      </c>
      <c r="F318" s="15" t="str">
        <f>IFERROR(__xludf.DUMMYFUNCTION("""COMPUTED_VALUE"""),"Freeze Dryer MBE1207 - Expansi Valve TE 5 067B3343 R404A/R507; Danfoss; ;")</f>
        <v>Freeze Dryer MBE1207 - Expansi Valve TE 5 067B3343 R404A/R507; Danfoss; ;</v>
      </c>
      <c r="G318" s="15">
        <f>IFERROR(__xludf.DUMMYFUNCTION("""COMPUTED_VALUE"""),1.0)</f>
        <v>1</v>
      </c>
      <c r="H318" s="15" t="str">
        <f>IFERROR(__xludf.DUMMYFUNCTION("""COMPUTED_VALUE"""),"Pcs")</f>
        <v>Pcs</v>
      </c>
      <c r="I318" s="15" t="str">
        <f>IFERROR(__xludf.DUMMYFUNCTION("""COMPUTED_VALUE"""),"Deliver")</f>
        <v>Deliver</v>
      </c>
      <c r="J318" s="15" t="str">
        <f>IFERROR(__xludf.DUMMYFUNCTION("""COMPUTED_VALUE"""),"-")</f>
        <v>-</v>
      </c>
      <c r="K318" s="15" t="str">
        <f>IFERROR(__xludf.DUMMYFUNCTION("""COMPUTED_VALUE"""),"-")</f>
        <v>-</v>
      </c>
      <c r="L318" s="15" t="str">
        <f>IFERROR(__xludf.DUMMYFUNCTION("""COMPUTED_VALUE"""),"Normal")</f>
        <v>Normal</v>
      </c>
      <c r="M318" s="18" t="s">
        <v>53</v>
      </c>
      <c r="N318" s="18" t="s">
        <v>54</v>
      </c>
    </row>
    <row r="319" hidden="1">
      <c r="A319" s="15" t="str">
        <f>IFERROR(__xludf.DUMMYFUNCTION("""COMPUTED_VALUE"""),"MFHRO0063")</f>
        <v>MFHRO0063</v>
      </c>
      <c r="B319" s="16">
        <f>IFERROR(__xludf.DUMMYFUNCTION("""COMPUTED_VALUE"""),45789.843738773154)</f>
        <v>45789.84374</v>
      </c>
      <c r="C319" s="17">
        <f>IFERROR(__xludf.DUMMYFUNCTION("""COMPUTED_VALUE"""),45789.87817332176)</f>
        <v>45789.87817</v>
      </c>
      <c r="D319" s="15" t="str">
        <f>IFERROR(__xludf.DUMMYFUNCTION("""COMPUTED_VALUE"""),"FD")</f>
        <v>FD</v>
      </c>
      <c r="E319" s="15" t="str">
        <f>IFERROR(__xludf.DUMMYFUNCTION("""COMPUTED_VALUE"""),"-")</f>
        <v>-</v>
      </c>
      <c r="F319" s="15" t="str">
        <f>IFERROR(__xludf.DUMMYFUNCTION("""COMPUTED_VALUE"""),"Freeze Dryer MBE1207 - Main Valve Bellow SUS316L ST105*75; ; ;")</f>
        <v>Freeze Dryer MBE1207 - Main Valve Bellow SUS316L ST105*75; ; ;</v>
      </c>
      <c r="G319" s="15">
        <f>IFERROR(__xludf.DUMMYFUNCTION("""COMPUTED_VALUE"""),1.0)</f>
        <v>1</v>
      </c>
      <c r="H319" s="15" t="str">
        <f>IFERROR(__xludf.DUMMYFUNCTION("""COMPUTED_VALUE"""),"Pcs")</f>
        <v>Pcs</v>
      </c>
      <c r="I319" s="15" t="str">
        <f>IFERROR(__xludf.DUMMYFUNCTION("""COMPUTED_VALUE"""),"Deliver")</f>
        <v>Deliver</v>
      </c>
      <c r="J319" s="15" t="str">
        <f>IFERROR(__xludf.DUMMYFUNCTION("""COMPUTED_VALUE"""),"-")</f>
        <v>-</v>
      </c>
      <c r="K319" s="15" t="str">
        <f>IFERROR(__xludf.DUMMYFUNCTION("""COMPUTED_VALUE"""),"-")</f>
        <v>-</v>
      </c>
      <c r="L319" s="15" t="str">
        <f>IFERROR(__xludf.DUMMYFUNCTION("""COMPUTED_VALUE"""),"Normal")</f>
        <v>Normal</v>
      </c>
      <c r="M319" s="18" t="s">
        <v>53</v>
      </c>
      <c r="N319" s="18" t="s">
        <v>54</v>
      </c>
    </row>
    <row r="320" hidden="1">
      <c r="A320" s="15" t="str">
        <f>IFERROR(__xludf.DUMMYFUNCTION("""COMPUTED_VALUE"""),"MFHRO0064")</f>
        <v>MFHRO0064</v>
      </c>
      <c r="B320" s="16">
        <f>IFERROR(__xludf.DUMMYFUNCTION("""COMPUTED_VALUE"""),45789.84422550926)</f>
        <v>45789.84423</v>
      </c>
      <c r="C320" s="17">
        <f>IFERROR(__xludf.DUMMYFUNCTION("""COMPUTED_VALUE"""),45789.87831783565)</f>
        <v>45789.87832</v>
      </c>
      <c r="D320" s="15" t="str">
        <f>IFERROR(__xludf.DUMMYFUNCTION("""COMPUTED_VALUE"""),"FD")</f>
        <v>FD</v>
      </c>
      <c r="E320" s="15" t="str">
        <f>IFERROR(__xludf.DUMMYFUNCTION("""COMPUTED_VALUE"""),"-")</f>
        <v>-</v>
      </c>
      <c r="F320" s="15" t="str">
        <f>IFERROR(__xludf.DUMMYFUNCTION("""COMPUTED_VALUE"""),"Seal Ferrule EPDM 1.5"" (35 x 53 x 9)")</f>
        <v>Seal Ferrule EPDM 1.5" (35 x 53 x 9)</v>
      </c>
      <c r="G320" s="15">
        <f>IFERROR(__xludf.DUMMYFUNCTION("""COMPUTED_VALUE"""),40.0)</f>
        <v>40</v>
      </c>
      <c r="H320" s="15" t="str">
        <f>IFERROR(__xludf.DUMMYFUNCTION("""COMPUTED_VALUE"""),"Pcs")</f>
        <v>Pcs</v>
      </c>
      <c r="I320" s="15" t="str">
        <f>IFERROR(__xludf.DUMMYFUNCTION("""COMPUTED_VALUE"""),"Deliver")</f>
        <v>Deliver</v>
      </c>
      <c r="J320" s="15" t="str">
        <f>IFERROR(__xludf.DUMMYFUNCTION("""COMPUTED_VALUE"""),"-")</f>
        <v>-</v>
      </c>
      <c r="K320" s="15" t="str">
        <f>IFERROR(__xludf.DUMMYFUNCTION("""COMPUTED_VALUE"""),"-")</f>
        <v>-</v>
      </c>
      <c r="L320" s="15" t="str">
        <f>IFERROR(__xludf.DUMMYFUNCTION("""COMPUTED_VALUE"""),"Normal")</f>
        <v>Normal</v>
      </c>
      <c r="M320" s="18" t="s">
        <v>53</v>
      </c>
      <c r="N320" s="18" t="s">
        <v>54</v>
      </c>
    </row>
    <row r="321" hidden="1">
      <c r="A321" s="15" t="str">
        <f>IFERROR(__xludf.DUMMYFUNCTION("""COMPUTED_VALUE"""),"MFHRO0065")</f>
        <v>MFHRO0065</v>
      </c>
      <c r="B321" s="16">
        <f>IFERROR(__xludf.DUMMYFUNCTION("""COMPUTED_VALUE"""),45789.85141081018)</f>
        <v>45789.85141</v>
      </c>
      <c r="C321" s="17">
        <f>IFERROR(__xludf.DUMMYFUNCTION("""COMPUTED_VALUE"""),45789.878443379625)</f>
        <v>45789.87844</v>
      </c>
      <c r="D321" s="15" t="str">
        <f>IFERROR(__xludf.DUMMYFUNCTION("""COMPUTED_VALUE"""),"FD")</f>
        <v>FD</v>
      </c>
      <c r="E321" s="15" t="str">
        <f>IFERROR(__xludf.DUMMYFUNCTION("""COMPUTED_VALUE"""),"-")</f>
        <v>-</v>
      </c>
      <c r="F321" s="15" t="str">
        <f>IFERROR(__xludf.DUMMYFUNCTION("""COMPUTED_VALUE"""),"Seal Ferrule EPDM 3""")</f>
        <v>Seal Ferrule EPDM 3"</v>
      </c>
      <c r="G321" s="15">
        <f>IFERROR(__xludf.DUMMYFUNCTION("""COMPUTED_VALUE"""),20.0)</f>
        <v>20</v>
      </c>
      <c r="H321" s="15" t="str">
        <f>IFERROR(__xludf.DUMMYFUNCTION("""COMPUTED_VALUE"""),"Pcs")</f>
        <v>Pcs</v>
      </c>
      <c r="I321" s="15" t="str">
        <f>IFERROR(__xludf.DUMMYFUNCTION("""COMPUTED_VALUE"""),"Deliver")</f>
        <v>Deliver</v>
      </c>
      <c r="J321" s="15" t="str">
        <f>IFERROR(__xludf.DUMMYFUNCTION("""COMPUTED_VALUE"""),"-")</f>
        <v>-</v>
      </c>
      <c r="K321" s="15" t="str">
        <f>IFERROR(__xludf.DUMMYFUNCTION("""COMPUTED_VALUE"""),"-")</f>
        <v>-</v>
      </c>
      <c r="L321" s="15" t="str">
        <f>IFERROR(__xludf.DUMMYFUNCTION("""COMPUTED_VALUE"""),"Normal")</f>
        <v>Normal</v>
      </c>
      <c r="M321" s="18" t="s">
        <v>53</v>
      </c>
      <c r="N321" s="18" t="s">
        <v>54</v>
      </c>
    </row>
    <row r="322" hidden="1">
      <c r="A322" s="15" t="str">
        <f>IFERROR(__xludf.DUMMYFUNCTION("""COMPUTED_VALUE"""),"MFHRO0066")</f>
        <v>MFHRO0066</v>
      </c>
      <c r="B322" s="16">
        <f>IFERROR(__xludf.DUMMYFUNCTION("""COMPUTED_VALUE"""),45789.85171077547)</f>
        <v>45789.85171</v>
      </c>
      <c r="C322" s="17">
        <f>IFERROR(__xludf.DUMMYFUNCTION("""COMPUTED_VALUE"""),45789.87858556713)</f>
        <v>45789.87859</v>
      </c>
      <c r="D322" s="15" t="str">
        <f>IFERROR(__xludf.DUMMYFUNCTION("""COMPUTED_VALUE"""),"FD")</f>
        <v>FD</v>
      </c>
      <c r="E322" s="15" t="str">
        <f>IFERROR(__xludf.DUMMYFUNCTION("""COMPUTED_VALUE"""),"-")</f>
        <v>-</v>
      </c>
      <c r="F322" s="15" t="str">
        <f>IFERROR(__xludf.DUMMYFUNCTION("""COMPUTED_VALUE"""),"Heavy clamp ferrule 1 - 1 1/2 inch; SS304L;; ; ;")</f>
        <v>Heavy clamp ferrule 1 - 1 1/2 inch; SS304L;; ; ;</v>
      </c>
      <c r="G322" s="15">
        <f>IFERROR(__xludf.DUMMYFUNCTION("""COMPUTED_VALUE"""),10.0)</f>
        <v>10</v>
      </c>
      <c r="H322" s="15" t="str">
        <f>IFERROR(__xludf.DUMMYFUNCTION("""COMPUTED_VALUE"""),"Pcs")</f>
        <v>Pcs</v>
      </c>
      <c r="I322" s="15" t="str">
        <f>IFERROR(__xludf.DUMMYFUNCTION("""COMPUTED_VALUE"""),"Deliver")</f>
        <v>Deliver</v>
      </c>
      <c r="J322" s="15" t="str">
        <f>IFERROR(__xludf.DUMMYFUNCTION("""COMPUTED_VALUE"""),"-")</f>
        <v>-</v>
      </c>
      <c r="K322" s="15" t="str">
        <f>IFERROR(__xludf.DUMMYFUNCTION("""COMPUTED_VALUE"""),"-")</f>
        <v>-</v>
      </c>
      <c r="L322" s="15" t="str">
        <f>IFERROR(__xludf.DUMMYFUNCTION("""COMPUTED_VALUE"""),"Normal")</f>
        <v>Normal</v>
      </c>
      <c r="M322" s="18" t="s">
        <v>53</v>
      </c>
      <c r="N322" s="18" t="s">
        <v>54</v>
      </c>
    </row>
    <row r="323" hidden="1">
      <c r="A323" s="15" t="str">
        <f>IFERROR(__xludf.DUMMYFUNCTION("""COMPUTED_VALUE"""),"MFHRO0067")</f>
        <v>MFHRO0067</v>
      </c>
      <c r="B323" s="16">
        <f>IFERROR(__xludf.DUMMYFUNCTION("""COMPUTED_VALUE"""),45789.85941064815)</f>
        <v>45789.85941</v>
      </c>
      <c r="C323" s="17">
        <f>IFERROR(__xludf.DUMMYFUNCTION("""COMPUTED_VALUE"""),45789.87875333334)</f>
        <v>45789.87875</v>
      </c>
      <c r="D323" s="15" t="str">
        <f>IFERROR(__xludf.DUMMYFUNCTION("""COMPUTED_VALUE"""),"Autoclave")</f>
        <v>Autoclave</v>
      </c>
      <c r="E323" s="15" t="str">
        <f>IFERROR(__xludf.DUMMYFUNCTION("""COMPUTED_VALUE"""),"-")</f>
        <v>-</v>
      </c>
      <c r="F323" s="15" t="str">
        <f>IFERROR(__xludf.DUMMYFUNCTION("""COMPUTED_VALUE"""),"Oring 2,5x6x11 mm, Material EPDM; ; ;")</f>
        <v>Oring 2,5x6x11 mm, Material EPDM; ; ;</v>
      </c>
      <c r="G323" s="15">
        <f>IFERROR(__xludf.DUMMYFUNCTION("""COMPUTED_VALUE"""),20.0)</f>
        <v>20</v>
      </c>
      <c r="H323" s="15" t="str">
        <f>IFERROR(__xludf.DUMMYFUNCTION("""COMPUTED_VALUE"""),"Pcs")</f>
        <v>Pcs</v>
      </c>
      <c r="I323" s="15" t="str">
        <f>IFERROR(__xludf.DUMMYFUNCTION("""COMPUTED_VALUE"""),"Deliver")</f>
        <v>Deliver</v>
      </c>
      <c r="J323" s="15" t="str">
        <f>IFERROR(__xludf.DUMMYFUNCTION("""COMPUTED_VALUE"""),"-")</f>
        <v>-</v>
      </c>
      <c r="K323" s="15" t="str">
        <f>IFERROR(__xludf.DUMMYFUNCTION("""COMPUTED_VALUE"""),"-")</f>
        <v>-</v>
      </c>
      <c r="L323" s="15" t="str">
        <f>IFERROR(__xludf.DUMMYFUNCTION("""COMPUTED_VALUE"""),"Normal")</f>
        <v>Normal</v>
      </c>
      <c r="M323" s="18" t="s">
        <v>53</v>
      </c>
      <c r="N323" s="18" t="s">
        <v>54</v>
      </c>
    </row>
    <row r="324" hidden="1">
      <c r="A324" s="15" t="str">
        <f>IFERROR(__xludf.DUMMYFUNCTION("""COMPUTED_VALUE"""),"MFHRO0068")</f>
        <v>MFHRO0068</v>
      </c>
      <c r="B324" s="16">
        <f>IFERROR(__xludf.DUMMYFUNCTION("""COMPUTED_VALUE"""),45789.86337534722)</f>
        <v>45789.86338</v>
      </c>
      <c r="C324" s="17">
        <f>IFERROR(__xludf.DUMMYFUNCTION("""COMPUTED_VALUE"""),45789.87888437499)</f>
        <v>45789.87888</v>
      </c>
      <c r="D324" s="15" t="str">
        <f>IFERROR(__xludf.DUMMYFUNCTION("""COMPUTED_VALUE"""),"Autoclave")</f>
        <v>Autoclave</v>
      </c>
      <c r="E324" s="15" t="str">
        <f>IFERROR(__xludf.DUMMYFUNCTION("""COMPUTED_VALUE"""),"-")</f>
        <v>-</v>
      </c>
      <c r="F324" s="15" t="str">
        <f>IFERROR(__xludf.DUMMYFUNCTION("""COMPUTED_VALUE"""),"O-ring Epdm 9 x 4 x 2,5 mm ; Brand : - ; P/N : - ; Pack Size : pcs")</f>
        <v>O-ring Epdm 9 x 4 x 2,5 mm ; Brand : - ; P/N : - ; Pack Size : pcs</v>
      </c>
      <c r="G324" s="15">
        <f>IFERROR(__xludf.DUMMYFUNCTION("""COMPUTED_VALUE"""),20.0)</f>
        <v>20</v>
      </c>
      <c r="H324" s="15" t="str">
        <f>IFERROR(__xludf.DUMMYFUNCTION("""COMPUTED_VALUE"""),"Pcs")</f>
        <v>Pcs</v>
      </c>
      <c r="I324" s="15" t="str">
        <f>IFERROR(__xludf.DUMMYFUNCTION("""COMPUTED_VALUE"""),"Deliver")</f>
        <v>Deliver</v>
      </c>
      <c r="J324" s="15" t="str">
        <f>IFERROR(__xludf.DUMMYFUNCTION("""COMPUTED_VALUE"""),"-")</f>
        <v>-</v>
      </c>
      <c r="K324" s="15" t="str">
        <f>IFERROR(__xludf.DUMMYFUNCTION("""COMPUTED_VALUE"""),"-")</f>
        <v>-</v>
      </c>
      <c r="L324" s="15" t="str">
        <f>IFERROR(__xludf.DUMMYFUNCTION("""COMPUTED_VALUE"""),"Normal")</f>
        <v>Normal</v>
      </c>
      <c r="M324" s="18" t="s">
        <v>53</v>
      </c>
      <c r="N324" s="18" t="s">
        <v>54</v>
      </c>
    </row>
    <row r="325" hidden="1">
      <c r="A325" s="15" t="str">
        <f>IFERROR(__xludf.DUMMYFUNCTION("""COMPUTED_VALUE"""),"MFHRO0069")</f>
        <v>MFHRO0069</v>
      </c>
      <c r="B325" s="16">
        <f>IFERROR(__xludf.DUMMYFUNCTION("""COMPUTED_VALUE"""),45789.86337534722)</f>
        <v>45789.86338</v>
      </c>
      <c r="C325" s="17">
        <f>IFERROR(__xludf.DUMMYFUNCTION("""COMPUTED_VALUE"""),45789.87900774306)</f>
        <v>45789.87901</v>
      </c>
      <c r="D325" s="15" t="str">
        <f>IFERROR(__xludf.DUMMYFUNCTION("""COMPUTED_VALUE"""),"Autoclave")</f>
        <v>Autoclave</v>
      </c>
      <c r="E325" s="15" t="str">
        <f>IFERROR(__xludf.DUMMYFUNCTION("""COMPUTED_VALUE"""),"-")</f>
        <v>-</v>
      </c>
      <c r="F325" s="15" t="str">
        <f>IFERROR(__xludf.DUMMYFUNCTION("""COMPUTED_VALUE"""),"O-ring Epdm 9 x 5 x 2 mm ; Brand : - ; P/N : - ; Pack Size : pcs")</f>
        <v>O-ring Epdm 9 x 5 x 2 mm ; Brand : - ; P/N : - ; Pack Size : pcs</v>
      </c>
      <c r="G325" s="15">
        <f>IFERROR(__xludf.DUMMYFUNCTION("""COMPUTED_VALUE"""),20.0)</f>
        <v>20</v>
      </c>
      <c r="H325" s="15" t="str">
        <f>IFERROR(__xludf.DUMMYFUNCTION("""COMPUTED_VALUE"""),"Pcs")</f>
        <v>Pcs</v>
      </c>
      <c r="I325" s="15" t="str">
        <f>IFERROR(__xludf.DUMMYFUNCTION("""COMPUTED_VALUE"""),"Deliver")</f>
        <v>Deliver</v>
      </c>
      <c r="J325" s="15" t="str">
        <f>IFERROR(__xludf.DUMMYFUNCTION("""COMPUTED_VALUE"""),"-")</f>
        <v>-</v>
      </c>
      <c r="K325" s="15" t="str">
        <f>IFERROR(__xludf.DUMMYFUNCTION("""COMPUTED_VALUE"""),"-")</f>
        <v>-</v>
      </c>
      <c r="L325" s="15" t="str">
        <f>IFERROR(__xludf.DUMMYFUNCTION("""COMPUTED_VALUE"""),"Normal")</f>
        <v>Normal</v>
      </c>
      <c r="M325" s="18" t="s">
        <v>53</v>
      </c>
      <c r="N325" s="18" t="s">
        <v>54</v>
      </c>
    </row>
    <row r="326" hidden="1">
      <c r="A326" s="15" t="str">
        <f>IFERROR(__xludf.DUMMYFUNCTION("""COMPUTED_VALUE"""),"MFHRO0070")</f>
        <v>MFHRO0070</v>
      </c>
      <c r="B326" s="16">
        <f>IFERROR(__xludf.DUMMYFUNCTION("""COMPUTED_VALUE"""),45789.86337534722)</f>
        <v>45789.86338</v>
      </c>
      <c r="C326" s="17">
        <f>IFERROR(__xludf.DUMMYFUNCTION("""COMPUTED_VALUE"""),45789.879140219906)</f>
        <v>45789.87914</v>
      </c>
      <c r="D326" s="15" t="str">
        <f>IFERROR(__xludf.DUMMYFUNCTION("""COMPUTED_VALUE"""),"Autoclave")</f>
        <v>Autoclave</v>
      </c>
      <c r="E326" s="15" t="str">
        <f>IFERROR(__xludf.DUMMYFUNCTION("""COMPUTED_VALUE"""),"-")</f>
        <v>-</v>
      </c>
      <c r="F326" s="15" t="str">
        <f>IFERROR(__xludf.DUMMYFUNCTION("""COMPUTED_VALUE"""),"O-ring EPDM 41.5 x 35 x 3.5 mm ; Brand : - ; P/N : - ; Pack Size : pcs")</f>
        <v>O-ring EPDM 41.5 x 35 x 3.5 mm ; Brand : - ; P/N : - ; Pack Size : pcs</v>
      </c>
      <c r="G326" s="15">
        <f>IFERROR(__xludf.DUMMYFUNCTION("""COMPUTED_VALUE"""),20.0)</f>
        <v>20</v>
      </c>
      <c r="H326" s="15" t="str">
        <f>IFERROR(__xludf.DUMMYFUNCTION("""COMPUTED_VALUE"""),"Pcs")</f>
        <v>Pcs</v>
      </c>
      <c r="I326" s="15" t="str">
        <f>IFERROR(__xludf.DUMMYFUNCTION("""COMPUTED_VALUE"""),"Deliver")</f>
        <v>Deliver</v>
      </c>
      <c r="J326" s="15" t="str">
        <f>IFERROR(__xludf.DUMMYFUNCTION("""COMPUTED_VALUE"""),"-")</f>
        <v>-</v>
      </c>
      <c r="K326" s="15" t="str">
        <f>IFERROR(__xludf.DUMMYFUNCTION("""COMPUTED_VALUE"""),"-")</f>
        <v>-</v>
      </c>
      <c r="L326" s="15" t="str">
        <f>IFERROR(__xludf.DUMMYFUNCTION("""COMPUTED_VALUE"""),"Normal")</f>
        <v>Normal</v>
      </c>
      <c r="M326" s="18" t="s">
        <v>53</v>
      </c>
      <c r="N326" s="18" t="s">
        <v>54</v>
      </c>
    </row>
    <row r="327" hidden="1">
      <c r="A327" s="15" t="str">
        <f>IFERROR(__xludf.DUMMYFUNCTION("""COMPUTED_VALUE"""),"MFHRO0071")</f>
        <v>MFHRO0071</v>
      </c>
      <c r="B327" s="16">
        <f>IFERROR(__xludf.DUMMYFUNCTION("""COMPUTED_VALUE"""),45789.86394336806)</f>
        <v>45789.86394</v>
      </c>
      <c r="C327" s="17">
        <f>IFERROR(__xludf.DUMMYFUNCTION("""COMPUTED_VALUE"""),45789.879264166666)</f>
        <v>45789.87926</v>
      </c>
      <c r="D327" s="15" t="str">
        <f>IFERROR(__xludf.DUMMYFUNCTION("""COMPUTED_VALUE"""),"Autoclave")</f>
        <v>Autoclave</v>
      </c>
      <c r="E327" s="15" t="str">
        <f>IFERROR(__xludf.DUMMYFUNCTION("""COMPUTED_VALUE"""),"-")</f>
        <v>-</v>
      </c>
      <c r="F327" s="15" t="str">
        <f>IFERROR(__xludf.DUMMYFUNCTION("""COMPUTED_VALUE"""),"General - O-ring EPDM 15 x 9 x 3 mm; No Brand; -; 1 pc")</f>
        <v>General - O-ring EPDM 15 x 9 x 3 mm; No Brand; -; 1 pc</v>
      </c>
      <c r="G327" s="15">
        <f>IFERROR(__xludf.DUMMYFUNCTION("""COMPUTED_VALUE"""),20.0)</f>
        <v>20</v>
      </c>
      <c r="H327" s="15" t="str">
        <f>IFERROR(__xludf.DUMMYFUNCTION("""COMPUTED_VALUE"""),"Pcs")</f>
        <v>Pcs</v>
      </c>
      <c r="I327" s="15" t="str">
        <f>IFERROR(__xludf.DUMMYFUNCTION("""COMPUTED_VALUE"""),"Deliver")</f>
        <v>Deliver</v>
      </c>
      <c r="J327" s="15" t="str">
        <f>IFERROR(__xludf.DUMMYFUNCTION("""COMPUTED_VALUE"""),"-")</f>
        <v>-</v>
      </c>
      <c r="K327" s="15" t="str">
        <f>IFERROR(__xludf.DUMMYFUNCTION("""COMPUTED_VALUE"""),"-")</f>
        <v>-</v>
      </c>
      <c r="L327" s="15" t="str">
        <f>IFERROR(__xludf.DUMMYFUNCTION("""COMPUTED_VALUE"""),"Normal")</f>
        <v>Normal</v>
      </c>
      <c r="M327" s="18" t="s">
        <v>53</v>
      </c>
      <c r="N327" s="18" t="s">
        <v>54</v>
      </c>
    </row>
    <row r="328" hidden="1">
      <c r="A328" s="15" t="str">
        <f>IFERROR(__xludf.DUMMYFUNCTION("""COMPUTED_VALUE"""),"MFHRO0072")</f>
        <v>MFHRO0072</v>
      </c>
      <c r="B328" s="16">
        <f>IFERROR(__xludf.DUMMYFUNCTION("""COMPUTED_VALUE"""),45789.863949074075)</f>
        <v>45789.86395</v>
      </c>
      <c r="C328" s="17">
        <f>IFERROR(__xludf.DUMMYFUNCTION("""COMPUTED_VALUE"""),45789.87942158565)</f>
        <v>45789.87942</v>
      </c>
      <c r="D328" s="15" t="str">
        <f>IFERROR(__xludf.DUMMYFUNCTION("""COMPUTED_VALUE"""),"Helium Leak Detector")</f>
        <v>Helium Leak Detector</v>
      </c>
      <c r="E328" s="15" t="str">
        <f>IFERROR(__xludf.DUMMYFUNCTION("""COMPUTED_VALUE"""),"-")</f>
        <v>-</v>
      </c>
      <c r="F328" s="15" t="str">
        <f>IFERROR(__xludf.DUMMYFUNCTION("""COMPUTED_VALUE"""),"General - PVC Hose cpl., DN25 ISO-KF, 2000 mm; Inficon; 211-412; 1 pc")</f>
        <v>General - PVC Hose cpl., DN25 ISO-KF, 2000 mm; Inficon; 211-412; 1 pc</v>
      </c>
      <c r="G328" s="15">
        <f>IFERROR(__xludf.DUMMYFUNCTION("""COMPUTED_VALUE"""),1.0)</f>
        <v>1</v>
      </c>
      <c r="H328" s="15" t="str">
        <f>IFERROR(__xludf.DUMMYFUNCTION("""COMPUTED_VALUE"""),"Pcs")</f>
        <v>Pcs</v>
      </c>
      <c r="I328" s="15" t="str">
        <f>IFERROR(__xludf.DUMMYFUNCTION("""COMPUTED_VALUE"""),"Deliver")</f>
        <v>Deliver</v>
      </c>
      <c r="J328" s="15" t="str">
        <f>IFERROR(__xludf.DUMMYFUNCTION("""COMPUTED_VALUE"""),"-")</f>
        <v>-</v>
      </c>
      <c r="K328" s="15" t="str">
        <f>IFERROR(__xludf.DUMMYFUNCTION("""COMPUTED_VALUE"""),"-")</f>
        <v>-</v>
      </c>
      <c r="L328" s="15" t="str">
        <f>IFERROR(__xludf.DUMMYFUNCTION("""COMPUTED_VALUE"""),"Normal")</f>
        <v>Normal</v>
      </c>
      <c r="M328" s="18" t="s">
        <v>53</v>
      </c>
      <c r="N328" s="18" t="s">
        <v>54</v>
      </c>
    </row>
    <row r="329" hidden="1">
      <c r="A329" s="15" t="str">
        <f>IFERROR(__xludf.DUMMYFUNCTION("""COMPUTED_VALUE"""),"MFHRO0073")</f>
        <v>MFHRO0073</v>
      </c>
      <c r="B329" s="16">
        <f>IFERROR(__xludf.DUMMYFUNCTION("""COMPUTED_VALUE"""),45789.86544498843)</f>
        <v>45789.86544</v>
      </c>
      <c r="C329" s="17">
        <f>IFERROR(__xludf.DUMMYFUNCTION("""COMPUTED_VALUE"""),45789.87955648148)</f>
        <v>45789.87956</v>
      </c>
      <c r="D329" s="15" t="str">
        <f>IFERROR(__xludf.DUMMYFUNCTION("""COMPUTED_VALUE"""),"Mixing")</f>
        <v>Mixing</v>
      </c>
      <c r="E329" s="15" t="str">
        <f>IFERROR(__xludf.DUMMYFUNCTION("""COMPUTED_VALUE"""),"-")</f>
        <v>-</v>
      </c>
      <c r="F329" s="15" t="str">
        <f>IFERROR(__xludf.DUMMYFUNCTION("""COMPUTED_VALUE"""),"Mixing Tank Adam - Corong Mesin 10x1.5 inch Mat. SS 316; Custom/Lokal; -; 1 Pc")</f>
        <v>Mixing Tank Adam - Corong Mesin 10x1.5 inch Mat. SS 316; Custom/Lokal; -; 1 Pc</v>
      </c>
      <c r="G329" s="15">
        <f>IFERROR(__xludf.DUMMYFUNCTION("""COMPUTED_VALUE"""),1.0)</f>
        <v>1</v>
      </c>
      <c r="H329" s="15" t="str">
        <f>IFERROR(__xludf.DUMMYFUNCTION("""COMPUTED_VALUE"""),"Pcs")</f>
        <v>Pcs</v>
      </c>
      <c r="I329" s="15" t="str">
        <f>IFERROR(__xludf.DUMMYFUNCTION("""COMPUTED_VALUE"""),"Deliver")</f>
        <v>Deliver</v>
      </c>
      <c r="J329" s="15" t="str">
        <f>IFERROR(__xludf.DUMMYFUNCTION("""COMPUTED_VALUE"""),"-")</f>
        <v>-</v>
      </c>
      <c r="K329" s="15" t="str">
        <f>IFERROR(__xludf.DUMMYFUNCTION("""COMPUTED_VALUE"""),"-")</f>
        <v>-</v>
      </c>
      <c r="L329" s="15" t="str">
        <f>IFERROR(__xludf.DUMMYFUNCTION("""COMPUTED_VALUE"""),"Normal")</f>
        <v>Normal</v>
      </c>
      <c r="M329" s="18" t="s">
        <v>53</v>
      </c>
      <c r="N329" s="18" t="s">
        <v>54</v>
      </c>
    </row>
    <row r="330" hidden="1">
      <c r="A330" s="15" t="str">
        <f>IFERROR(__xludf.DUMMYFUNCTION("""COMPUTED_VALUE"""),"MFHRO0074")</f>
        <v>MFHRO0074</v>
      </c>
      <c r="B330" s="16">
        <f>IFERROR(__xludf.DUMMYFUNCTION("""COMPUTED_VALUE"""),45789.86848793981)</f>
        <v>45789.86849</v>
      </c>
      <c r="C330" s="17">
        <f>IFERROR(__xludf.DUMMYFUNCTION("""COMPUTED_VALUE"""),45789.879678020836)</f>
        <v>45789.87968</v>
      </c>
      <c r="D330" s="15" t="str">
        <f>IFERROR(__xludf.DUMMYFUNCTION("""COMPUTED_VALUE"""),"General")</f>
        <v>General</v>
      </c>
      <c r="E330" s="15" t="str">
        <f>IFERROR(__xludf.DUMMYFUNCTION("""COMPUTED_VALUE"""),"-")</f>
        <v>-</v>
      </c>
      <c r="F330" s="15" t="str">
        <f>IFERROR(__xludf.DUMMYFUNCTION("""COMPUTED_VALUE"""),"Cellotape / Lakban Kertas 1 inch warna Putih ; No Brand ; pack size per pcs")</f>
        <v>Cellotape / Lakban Kertas 1 inch warna Putih ; No Brand ; pack size per pcs</v>
      </c>
      <c r="G330" s="15">
        <f>IFERROR(__xludf.DUMMYFUNCTION("""COMPUTED_VALUE"""),80.0)</f>
        <v>80</v>
      </c>
      <c r="H330" s="15" t="str">
        <f>IFERROR(__xludf.DUMMYFUNCTION("""COMPUTED_VALUE"""),"Pcs")</f>
        <v>Pcs</v>
      </c>
      <c r="I330" s="15" t="str">
        <f>IFERROR(__xludf.DUMMYFUNCTION("""COMPUTED_VALUE"""),"Deliver")</f>
        <v>Deliver</v>
      </c>
      <c r="J330" s="15" t="str">
        <f>IFERROR(__xludf.DUMMYFUNCTION("""COMPUTED_VALUE"""),"-")</f>
        <v>-</v>
      </c>
      <c r="K330" s="15" t="str">
        <f>IFERROR(__xludf.DUMMYFUNCTION("""COMPUTED_VALUE"""),"-")</f>
        <v>-</v>
      </c>
      <c r="L330" s="15" t="str">
        <f>IFERROR(__xludf.DUMMYFUNCTION("""COMPUTED_VALUE"""),"Normal")</f>
        <v>Normal</v>
      </c>
      <c r="M330" s="18" t="s">
        <v>53</v>
      </c>
      <c r="N330" s="18" t="s">
        <v>54</v>
      </c>
    </row>
    <row r="331" hidden="1">
      <c r="A331" s="15" t="str">
        <f>IFERROR(__xludf.DUMMYFUNCTION("""COMPUTED_VALUE"""),"MFHJA0010")</f>
        <v>MFHJA0010</v>
      </c>
      <c r="B331" s="16">
        <f>IFERROR(__xludf.DUMMYFUNCTION("""COMPUTED_VALUE"""),45789.866367291674)</f>
        <v>45789.86637</v>
      </c>
      <c r="C331" s="17">
        <f>IFERROR(__xludf.DUMMYFUNCTION("""COMPUTED_VALUE"""),45789.879837974535)</f>
        <v>45789.87984</v>
      </c>
      <c r="D331" s="15" t="str">
        <f>IFERROR(__xludf.DUMMYFUNCTION("""COMPUTED_VALUE"""),"Building")</f>
        <v>Building</v>
      </c>
      <c r="E331" s="15" t="str">
        <f>IFERROR(__xludf.DUMMYFUNCTION("""COMPUTED_VALUE"""),"-")</f>
        <v>-</v>
      </c>
      <c r="F331" s="15" t="str">
        <f>IFERROR(__xludf.DUMMYFUNCTION("""COMPUTED_VALUE"""),"Perapihan kabel di ruangh server")</f>
        <v>Perapihan kabel di ruangh server</v>
      </c>
      <c r="G331" s="15">
        <f>IFERROR(__xludf.DUMMYFUNCTION("""COMPUTED_VALUE"""),1.0)</f>
        <v>1</v>
      </c>
      <c r="H331" s="15" t="str">
        <f>IFERROR(__xludf.DUMMYFUNCTION("""COMPUTED_VALUE"""),"Lot")</f>
        <v>Lot</v>
      </c>
      <c r="I331" s="15" t="str">
        <f>IFERROR(__xludf.DUMMYFUNCTION("""COMPUTED_VALUE"""),"Deliver")</f>
        <v>Deliver</v>
      </c>
      <c r="J331" s="15" t="str">
        <f>IFERROR(__xludf.DUMMYFUNCTION("""COMPUTED_VALUE"""),"-")</f>
        <v>-</v>
      </c>
      <c r="K331" s="15" t="str">
        <f>IFERROR(__xludf.DUMMYFUNCTION("""COMPUTED_VALUE"""),"-")</f>
        <v>-</v>
      </c>
      <c r="L331" s="15" t="str">
        <f>IFERROR(__xludf.DUMMYFUNCTION("""COMPUTED_VALUE"""),"Normal")</f>
        <v>Normal</v>
      </c>
      <c r="M331" s="18" t="s">
        <v>53</v>
      </c>
      <c r="N331" s="18" t="s">
        <v>54</v>
      </c>
    </row>
    <row r="332" hidden="1">
      <c r="A332" s="15" t="str">
        <f>IFERROR(__xludf.DUMMYFUNCTION("""COMPUTED_VALUE"""),"RIABR0036")</f>
        <v>RIABR0036</v>
      </c>
      <c r="B332" s="16">
        <f>IFERROR(__xludf.DUMMYFUNCTION("""COMPUTED_VALUE"""),45783.82176195602)</f>
        <v>45783.82176</v>
      </c>
      <c r="C332" s="17">
        <f>IFERROR(__xludf.DUMMYFUNCTION("""COMPUTED_VALUE"""),45790.42971976852)</f>
        <v>45790.42972</v>
      </c>
      <c r="D332" s="15" t="str">
        <f>IFERROR(__xludf.DUMMYFUNCTION("""COMPUTED_VALUE"""),"PWG")</f>
        <v>PWG</v>
      </c>
      <c r="E332" s="15" t="str">
        <f>IFERROR(__xludf.DUMMYFUNCTION("""COMPUTED_VALUE"""),"-")</f>
        <v>-</v>
      </c>
      <c r="F332" s="15" t="str">
        <f>IFERROR(__xludf.DUMMYFUNCTION("""COMPUTED_VALUE"""),"Chlorine Test")</f>
        <v>Chlorine Test</v>
      </c>
      <c r="G332" s="15">
        <f>IFERROR(__xludf.DUMMYFUNCTION("""COMPUTED_VALUE"""),1.0)</f>
        <v>1</v>
      </c>
      <c r="H332" s="15" t="str">
        <f>IFERROR(__xludf.DUMMYFUNCTION("""COMPUTED_VALUE"""),"Set")</f>
        <v>Set</v>
      </c>
      <c r="I332" s="15" t="str">
        <f>IFERROR(__xludf.DUMMYFUNCTION("""COMPUTED_VALUE"""),"Deliver")</f>
        <v>Deliver</v>
      </c>
      <c r="J332" s="15" t="str">
        <f>IFERROR(__xludf.DUMMYFUNCTION("""COMPUTED_VALUE"""),"-")</f>
        <v>-</v>
      </c>
      <c r="K332" s="15" t="str">
        <f>IFERROR(__xludf.DUMMYFUNCTION("""COMPUTED_VALUE"""),"-")</f>
        <v>-</v>
      </c>
      <c r="L332" s="15" t="str">
        <f>IFERROR(__xludf.DUMMYFUNCTION("""COMPUTED_VALUE"""),"Normal")</f>
        <v>Normal</v>
      </c>
      <c r="M332" s="18" t="s">
        <v>32</v>
      </c>
      <c r="N332" s="18" t="s">
        <v>28</v>
      </c>
    </row>
    <row r="333" hidden="1">
      <c r="A333" s="15" t="str">
        <f>IFERROR(__xludf.DUMMYFUNCTION("""COMPUTED_VALUE"""),"RIABR0037")</f>
        <v>RIABR0037</v>
      </c>
      <c r="B333" s="16">
        <f>IFERROR(__xludf.DUMMYFUNCTION("""COMPUTED_VALUE"""),45784.93199204861)</f>
        <v>45784.93199</v>
      </c>
      <c r="C333" s="17">
        <f>IFERROR(__xludf.DUMMYFUNCTION("""COMPUTED_VALUE"""),45790.429960277776)</f>
        <v>45790.42996</v>
      </c>
      <c r="D333" s="15" t="str">
        <f>IFERROR(__xludf.DUMMYFUNCTION("""COMPUTED_VALUE"""),"PSG")</f>
        <v>PSG</v>
      </c>
      <c r="E333" s="15" t="str">
        <f>IFERROR(__xludf.DUMMYFUNCTION("""COMPUTED_VALUE"""),"EJO/2025/05/08")</f>
        <v>EJO/2025/05/08</v>
      </c>
      <c r="F333" s="15" t="str">
        <f>IFERROR(__xludf.DUMMYFUNCTION("""COMPUTED_VALUE"""),"Level Switch")</f>
        <v>Level Switch</v>
      </c>
      <c r="G333" s="15">
        <f>IFERROR(__xludf.DUMMYFUNCTION("""COMPUTED_VALUE"""),1.0)</f>
        <v>1</v>
      </c>
      <c r="H333" s="15" t="str">
        <f>IFERROR(__xludf.DUMMYFUNCTION("""COMPUTED_VALUE"""),"Pcs")</f>
        <v>Pcs</v>
      </c>
      <c r="I333" s="15" t="str">
        <f>IFERROR(__xludf.DUMMYFUNCTION("""COMPUTED_VALUE"""),"Deliver")</f>
        <v>Deliver</v>
      </c>
      <c r="J333" s="15" t="str">
        <f>IFERROR(__xludf.DUMMYFUNCTION("""COMPUTED_VALUE"""),"-")</f>
        <v>-</v>
      </c>
      <c r="K333" s="15" t="str">
        <f>IFERROR(__xludf.DUMMYFUNCTION("""COMPUTED_VALUE"""),"-")</f>
        <v>-</v>
      </c>
      <c r="L333" s="15" t="str">
        <f>IFERROR(__xludf.DUMMYFUNCTION("""COMPUTED_VALUE"""),"Normal")</f>
        <v>Normal</v>
      </c>
      <c r="M333" s="18" t="s">
        <v>32</v>
      </c>
      <c r="N333" s="18" t="s">
        <v>28</v>
      </c>
    </row>
    <row r="334" hidden="1">
      <c r="A334" s="15" t="str">
        <f>IFERROR(__xludf.DUMMYFUNCTION("""COMPUTED_VALUE"""),"RIABR0038")</f>
        <v>RIABR0038</v>
      </c>
      <c r="B334" s="16">
        <f>IFERROR(__xludf.DUMMYFUNCTION("""COMPUTED_VALUE"""),45784.93544966435)</f>
        <v>45784.93545</v>
      </c>
      <c r="C334" s="17">
        <f>IFERROR(__xludf.DUMMYFUNCTION("""COMPUTED_VALUE"""),45790.43097876158)</f>
        <v>45790.43098</v>
      </c>
      <c r="D334" s="15" t="str">
        <f>IFERROR(__xludf.DUMMYFUNCTION("""COMPUTED_VALUE"""),"Alarm System")</f>
        <v>Alarm System</v>
      </c>
      <c r="E334" s="15" t="str">
        <f>IFERROR(__xludf.DUMMYFUNCTION("""COMPUTED_VALUE"""),"EJO/2025/04/90")</f>
        <v>EJO/2025/04/90</v>
      </c>
      <c r="F334" s="15" t="str">
        <f>IFERROR(__xludf.DUMMYFUNCTION("""COMPUTED_VALUE"""),"Kunci Panel")</f>
        <v>Kunci Panel</v>
      </c>
      <c r="G334" s="15">
        <f>IFERROR(__xludf.DUMMYFUNCTION("""COMPUTED_VALUE"""),5.0)</f>
        <v>5</v>
      </c>
      <c r="H334" s="15" t="str">
        <f>IFERROR(__xludf.DUMMYFUNCTION("""COMPUTED_VALUE"""),"Pcs")</f>
        <v>Pcs</v>
      </c>
      <c r="I334" s="15" t="str">
        <f>IFERROR(__xludf.DUMMYFUNCTION("""COMPUTED_VALUE"""),"Deliver")</f>
        <v>Deliver</v>
      </c>
      <c r="J334" s="15" t="str">
        <f>IFERROR(__xludf.DUMMYFUNCTION("""COMPUTED_VALUE"""),"-")</f>
        <v>-</v>
      </c>
      <c r="K334" s="15" t="str">
        <f>IFERROR(__xludf.DUMMYFUNCTION("""COMPUTED_VALUE"""),"-")</f>
        <v>-</v>
      </c>
      <c r="L334" s="15" t="str">
        <f>IFERROR(__xludf.DUMMYFUNCTION("""COMPUTED_VALUE"""),"Normal")</f>
        <v>Normal</v>
      </c>
      <c r="M334" s="18" t="s">
        <v>32</v>
      </c>
      <c r="N334" s="18" t="s">
        <v>28</v>
      </c>
    </row>
    <row r="335" hidden="1">
      <c r="A335" s="15" t="str">
        <f>IFERROR(__xludf.DUMMYFUNCTION("""COMPUTED_VALUE"""),"SFHRO0006")</f>
        <v>SFHRO0006</v>
      </c>
      <c r="B335" s="16">
        <f>IFERROR(__xludf.DUMMYFUNCTION("""COMPUTED_VALUE"""),45784.02340074074)</f>
        <v>45784.0234</v>
      </c>
      <c r="C335" s="17">
        <f>IFERROR(__xludf.DUMMYFUNCTION("""COMPUTED_VALUE"""),45790.43123518519)</f>
        <v>45790.43124</v>
      </c>
      <c r="D335" s="15" t="str">
        <f>IFERROR(__xludf.DUMMYFUNCTION("""COMPUTED_VALUE"""),"lantai 2")</f>
        <v>lantai 2</v>
      </c>
      <c r="E335" s="15" t="str">
        <f>IFERROR(__xludf.DUMMYFUNCTION("""COMPUTED_VALUE"""),"-")</f>
        <v>-</v>
      </c>
      <c r="F335" s="15" t="str">
        <f>IFERROR(__xludf.DUMMYFUNCTION("""COMPUTED_VALUE"""),"Thinner Super End/Impala @ 1 Liter")</f>
        <v>Thinner Super End/Impala @ 1 Liter</v>
      </c>
      <c r="G335" s="15">
        <f>IFERROR(__xludf.DUMMYFUNCTION("""COMPUTED_VALUE"""),10.0)</f>
        <v>10</v>
      </c>
      <c r="H335" s="15" t="str">
        <f>IFERROR(__xludf.DUMMYFUNCTION("""COMPUTED_VALUE"""),"liter")</f>
        <v>liter</v>
      </c>
      <c r="I335" s="15" t="str">
        <f>IFERROR(__xludf.DUMMYFUNCTION("""COMPUTED_VALUE"""),"Deliver")</f>
        <v>Deliver</v>
      </c>
      <c r="J335" s="15" t="str">
        <f>IFERROR(__xludf.DUMMYFUNCTION("""COMPUTED_VALUE"""),"-")</f>
        <v>-</v>
      </c>
      <c r="K335" s="15" t="str">
        <f>IFERROR(__xludf.DUMMYFUNCTION("""COMPUTED_VALUE"""),"-")</f>
        <v>-</v>
      </c>
      <c r="L335" s="15" t="str">
        <f>IFERROR(__xludf.DUMMYFUNCTION("""COMPUTED_VALUE"""),"Normal")</f>
        <v>Normal</v>
      </c>
      <c r="M335" s="18" t="s">
        <v>27</v>
      </c>
      <c r="N335" s="18" t="s">
        <v>28</v>
      </c>
    </row>
    <row r="336" hidden="1">
      <c r="A336" s="15" t="str">
        <f>IFERROR(__xludf.DUMMYFUNCTION("""COMPUTED_VALUE"""),"SFHBR0021")</f>
        <v>SFHBR0021</v>
      </c>
      <c r="B336" s="16">
        <f>IFERROR(__xludf.DUMMYFUNCTION("""COMPUTED_VALUE"""),45784.04874211805)</f>
        <v>45784.04874</v>
      </c>
      <c r="C336" s="17">
        <f>IFERROR(__xludf.DUMMYFUNCTION("""COMPUTED_VALUE"""),45790.431431018515)</f>
        <v>45790.43143</v>
      </c>
      <c r="D336" s="15" t="str">
        <f>IFERROR(__xludf.DUMMYFUNCTION("""COMPUTED_VALUE"""),"lantai 1")</f>
        <v>lantai 1</v>
      </c>
      <c r="E336" s="15" t="str">
        <f>IFERROR(__xludf.DUMMYFUNCTION("""COMPUTED_VALUE"""),"EJO/2025/04/105")</f>
        <v>EJO/2025/04/105</v>
      </c>
      <c r="F336" s="15" t="str">
        <f>IFERROR(__xludf.DUMMYFUNCTION("""COMPUTED_VALUE"""),"flowcrete PU finishing lantai")</f>
        <v>flowcrete PU finishing lantai</v>
      </c>
      <c r="G336" s="15">
        <f>IFERROR(__xludf.DUMMYFUNCTION("""COMPUTED_VALUE"""),2.0)</f>
        <v>2</v>
      </c>
      <c r="H336" s="15" t="str">
        <f>IFERROR(__xludf.DUMMYFUNCTION("""COMPUTED_VALUE"""),"PEL")</f>
        <v>PEL</v>
      </c>
      <c r="I336" s="15" t="str">
        <f>IFERROR(__xludf.DUMMYFUNCTION("""COMPUTED_VALUE"""),"Deliver")</f>
        <v>Deliver</v>
      </c>
      <c r="J336" s="15" t="str">
        <f>IFERROR(__xludf.DUMMYFUNCTION("""COMPUTED_VALUE"""),"121703881 - APPROVED")</f>
        <v>121703881 - APPROVED</v>
      </c>
      <c r="K336" s="15" t="str">
        <f>IFERROR(__xludf.DUMMYFUNCTION("""COMPUTED_VALUE"""),"GL2603053")</f>
        <v>GL2603053</v>
      </c>
      <c r="L336" s="15" t="str">
        <f>IFERROR(__xludf.DUMMYFUNCTION("""COMPUTED_VALUE"""),"Normal")</f>
        <v>Normal</v>
      </c>
      <c r="M336" s="18" t="s">
        <v>27</v>
      </c>
      <c r="N336" s="18" t="s">
        <v>28</v>
      </c>
    </row>
    <row r="337" hidden="1">
      <c r="A337" s="15" t="str">
        <f>IFERROR(__xludf.DUMMYFUNCTION("""COMPUTED_VALUE"""),"SFHBR0022")</f>
        <v>SFHBR0022</v>
      </c>
      <c r="B337" s="16">
        <f>IFERROR(__xludf.DUMMYFUNCTION("""COMPUTED_VALUE"""),45786.650359768515)</f>
        <v>45786.65036</v>
      </c>
      <c r="C337" s="17">
        <f>IFERROR(__xludf.DUMMYFUNCTION("""COMPUTED_VALUE"""),45790.43159771991)</f>
        <v>45790.4316</v>
      </c>
      <c r="D337" s="15" t="str">
        <f>IFERROR(__xludf.DUMMYFUNCTION("""COMPUTED_VALUE"""),"lantai 2")</f>
        <v>lantai 2</v>
      </c>
      <c r="E337" s="15" t="str">
        <f>IFERROR(__xludf.DUMMYFUNCTION("""COMPUTED_VALUE"""),"EJO/2025/05/64")</f>
        <v>EJO/2025/05/64</v>
      </c>
      <c r="F337" s="15" t="str">
        <f>IFERROR(__xludf.DUMMYFUNCTION("""COMPUTED_VALUE"""),"Paint remover / perontok cat")</f>
        <v>Paint remover / perontok cat</v>
      </c>
      <c r="G337" s="15">
        <f>IFERROR(__xludf.DUMMYFUNCTION("""COMPUTED_VALUE"""),60.0)</f>
        <v>60</v>
      </c>
      <c r="H337" s="15" t="str">
        <f>IFERROR(__xludf.DUMMYFUNCTION("""COMPUTED_VALUE"""),"kg")</f>
        <v>kg</v>
      </c>
      <c r="I337" s="15" t="str">
        <f>IFERROR(__xludf.DUMMYFUNCTION("""COMPUTED_VALUE"""),"Deliver")</f>
        <v>Deliver</v>
      </c>
      <c r="J337" s="15" t="str">
        <f>IFERROR(__xludf.DUMMYFUNCTION("""COMPUTED_VALUE"""),"-")</f>
        <v>-</v>
      </c>
      <c r="K337" s="15" t="str">
        <f>IFERROR(__xludf.DUMMYFUNCTION("""COMPUTED_VALUE"""),"-")</f>
        <v>-</v>
      </c>
      <c r="L337" s="15" t="str">
        <f>IFERROR(__xludf.DUMMYFUNCTION("""COMPUTED_VALUE"""),"Normal")</f>
        <v>Normal</v>
      </c>
      <c r="M337" s="18" t="s">
        <v>27</v>
      </c>
      <c r="N337" s="18" t="s">
        <v>28</v>
      </c>
    </row>
    <row r="338" hidden="1">
      <c r="A338" s="15" t="str">
        <f>IFERROR(__xludf.DUMMYFUNCTION("""COMPUTED_VALUE"""),"ROSRO0004")</f>
        <v>ROSRO0004</v>
      </c>
      <c r="B338" s="16">
        <f>IFERROR(__xludf.DUMMYFUNCTION("""COMPUTED_VALUE"""),45787.48358777777)</f>
        <v>45787.48359</v>
      </c>
      <c r="C338" s="17">
        <f>IFERROR(__xludf.DUMMYFUNCTION("""COMPUTED_VALUE"""),45790.49238351852)</f>
        <v>45790.49238</v>
      </c>
      <c r="D338" s="15" t="str">
        <f>IFERROR(__xludf.DUMMYFUNCTION("""COMPUTED_VALUE"""),"isolator Mixing")</f>
        <v>isolator Mixing</v>
      </c>
      <c r="E338" s="15" t="str">
        <f>IFERROR(__xludf.DUMMYFUNCTION("""COMPUTED_VALUE"""),"-")</f>
        <v>-</v>
      </c>
      <c r="F338" s="15" t="str">
        <f>IFERROR(__xludf.DUMMYFUNCTION("""COMPUTED_VALUE"""),"LAMPU SL 24 W  / 220-240 V / SPIRAL, PHILIPS")</f>
        <v>LAMPU SL 24 W  / 220-240 V / SPIRAL, PHILIPS</v>
      </c>
      <c r="G338" s="15">
        <f>IFERROR(__xludf.DUMMYFUNCTION("""COMPUTED_VALUE"""),10.0)</f>
        <v>10</v>
      </c>
      <c r="H338" s="15" t="str">
        <f>IFERROR(__xludf.DUMMYFUNCTION("""COMPUTED_VALUE"""),"set")</f>
        <v>set</v>
      </c>
      <c r="I338" s="15" t="str">
        <f>IFERROR(__xludf.DUMMYFUNCTION("""COMPUTED_VALUE"""),"Deliver")</f>
        <v>Deliver</v>
      </c>
      <c r="J338" s="15" t="str">
        <f>IFERROR(__xludf.DUMMYFUNCTION("""COMPUTED_VALUE"""),"-")</f>
        <v>-</v>
      </c>
      <c r="K338" s="15" t="str">
        <f>IFERROR(__xludf.DUMMYFUNCTION("""COMPUTED_VALUE"""),"-")</f>
        <v>-</v>
      </c>
      <c r="L338" s="15" t="str">
        <f>IFERROR(__xludf.DUMMYFUNCTION("""COMPUTED_VALUE"""),"Normal")</f>
        <v>Normal</v>
      </c>
      <c r="M338" s="18" t="s">
        <v>29</v>
      </c>
      <c r="N338" s="18" t="s">
        <v>30</v>
      </c>
    </row>
    <row r="339" hidden="1">
      <c r="A339" s="15" t="str">
        <f>IFERROR(__xludf.DUMMYFUNCTION("""COMPUTED_VALUE"""),"ROSBR0017")</f>
        <v>ROSBR0017</v>
      </c>
      <c r="B339" s="16">
        <f>IFERROR(__xludf.DUMMYFUNCTION("""COMPUTED_VALUE"""),45783.69197359953)</f>
        <v>45783.69197</v>
      </c>
      <c r="C339" s="17">
        <f>IFERROR(__xludf.DUMMYFUNCTION("""COMPUTED_VALUE"""),45790.49407353009)</f>
        <v>45790.49407</v>
      </c>
      <c r="D339" s="15" t="str">
        <f>IFERROR(__xludf.DUMMYFUNCTION("""COMPUTED_VALUE"""),"EDM")</f>
        <v>EDM</v>
      </c>
      <c r="E339" s="15" t="str">
        <f>IFERROR(__xludf.DUMMYFUNCTION("""COMPUTED_VALUE"""),"EJO/2025/05/61")</f>
        <v>EJO/2025/05/61</v>
      </c>
      <c r="F339" s="15" t="str">
        <f>IFERROR(__xludf.DUMMYFUNCTION("""COMPUTED_VALUE"""),"Exhaust Fan EDM")</f>
        <v>Exhaust Fan EDM</v>
      </c>
      <c r="G339" s="15">
        <f>IFERROR(__xludf.DUMMYFUNCTION("""COMPUTED_VALUE"""),1.0)</f>
        <v>1</v>
      </c>
      <c r="H339" s="15" t="str">
        <f>IFERROR(__xludf.DUMMYFUNCTION("""COMPUTED_VALUE"""),"unit")</f>
        <v>unit</v>
      </c>
      <c r="I339" s="15" t="str">
        <f>IFERROR(__xludf.DUMMYFUNCTION("""COMPUTED_VALUE"""),"Deliver")</f>
        <v>Deliver</v>
      </c>
      <c r="J339" s="15" t="str">
        <f>IFERROR(__xludf.DUMMYFUNCTION("""COMPUTED_VALUE"""),"-")</f>
        <v>-</v>
      </c>
      <c r="K339" s="15" t="str">
        <f>IFERROR(__xludf.DUMMYFUNCTION("""COMPUTED_VALUE"""),"-")</f>
        <v>-</v>
      </c>
      <c r="L339" s="15" t="str">
        <f>IFERROR(__xludf.DUMMYFUNCTION("""COMPUTED_VALUE"""),"Normal")</f>
        <v>Normal</v>
      </c>
      <c r="M339" s="18" t="s">
        <v>29</v>
      </c>
      <c r="N339" s="18" t="s">
        <v>30</v>
      </c>
    </row>
    <row r="340" hidden="1">
      <c r="A340" s="15" t="str">
        <f>IFERROR(__xludf.DUMMYFUNCTION("""COMPUTED_VALUE"""),"ANOBR0019")</f>
        <v>ANOBR0019</v>
      </c>
      <c r="B340" s="16">
        <f>IFERROR(__xludf.DUMMYFUNCTION("""COMPUTED_VALUE"""),45792.39749200231)</f>
        <v>45792.39749</v>
      </c>
      <c r="C340" s="17">
        <f>IFERROR(__xludf.DUMMYFUNCTION("""COMPUTED_VALUE"""),45790.494627175925)</f>
        <v>45790.49463</v>
      </c>
      <c r="D340" s="15" t="str">
        <f>IFERROR(__xludf.DUMMYFUNCTION("""COMPUTED_VALUE"""),"Conveyor system B packhall")</f>
        <v>Conveyor system B packhall</v>
      </c>
      <c r="E340" s="15" t="str">
        <f>IFERROR(__xludf.DUMMYFUNCTION("""COMPUTED_VALUE"""),"EJO/2025/05/89")</f>
        <v>EJO/2025/05/89</v>
      </c>
      <c r="F340" s="15" t="str">
        <f>IFERROR(__xludf.DUMMYFUNCTION("""COMPUTED_VALUE"""),"speed control")</f>
        <v>speed control</v>
      </c>
      <c r="G340" s="15">
        <f>IFERROR(__xludf.DUMMYFUNCTION("""COMPUTED_VALUE"""),2.0)</f>
        <v>2</v>
      </c>
      <c r="H340" s="15" t="str">
        <f>IFERROR(__xludf.DUMMYFUNCTION("""COMPUTED_VALUE"""),"unit")</f>
        <v>unit</v>
      </c>
      <c r="I340" s="15" t="str">
        <f>IFERROR(__xludf.DUMMYFUNCTION("""COMPUTED_VALUE"""),"Deliver")</f>
        <v>Deliver</v>
      </c>
      <c r="J340" s="15" t="str">
        <f>IFERROR(__xludf.DUMMYFUNCTION("""COMPUTED_VALUE"""),"-")</f>
        <v>-</v>
      </c>
      <c r="K340" s="15" t="str">
        <f>IFERROR(__xludf.DUMMYFUNCTION("""COMPUTED_VALUE"""),"-")</f>
        <v>-</v>
      </c>
      <c r="L340" s="15" t="str">
        <f>IFERROR(__xludf.DUMMYFUNCTION("""COMPUTED_VALUE"""),"Normal")</f>
        <v>Normal</v>
      </c>
      <c r="M340" s="18" t="s">
        <v>49</v>
      </c>
      <c r="N340" s="18" t="s">
        <v>30</v>
      </c>
    </row>
    <row r="341" hidden="1">
      <c r="A341" s="15" t="str">
        <f>IFERROR(__xludf.DUMMYFUNCTION("""COMPUTED_VALUE"""),"RIARO0033")</f>
        <v>RIARO0033</v>
      </c>
      <c r="B341" s="16">
        <f>IFERROR(__xludf.DUMMYFUNCTION("""COMPUTED_VALUE"""),45790.30020331018)</f>
        <v>45790.3002</v>
      </c>
      <c r="C341" s="17">
        <f>IFERROR(__xludf.DUMMYFUNCTION("""COMPUTED_VALUE"""),45790.59027462963)</f>
        <v>45790.59027</v>
      </c>
      <c r="D341" s="15" t="str">
        <f>IFERROR(__xludf.DUMMYFUNCTION("""COMPUTED_VALUE"""),"Alarm WWTP")</f>
        <v>Alarm WWTP</v>
      </c>
      <c r="E341" s="15" t="str">
        <f>IFERROR(__xludf.DUMMYFUNCTION("""COMPUTED_VALUE"""),"-")</f>
        <v>-</v>
      </c>
      <c r="F341" s="15" t="str">
        <f>IFERROR(__xludf.DUMMYFUNCTION("""COMPUTED_VALUE"""),"Buzzer Electronic Siren PW-235; TAB; ;")</f>
        <v>Buzzer Electronic Siren PW-235; TAB; ;</v>
      </c>
      <c r="G341" s="15">
        <f>IFERROR(__xludf.DUMMYFUNCTION("""COMPUTED_VALUE"""),2.0)</f>
        <v>2</v>
      </c>
      <c r="H341" s="15" t="str">
        <f>IFERROR(__xludf.DUMMYFUNCTION("""COMPUTED_VALUE"""),"Pcs")</f>
        <v>Pcs</v>
      </c>
      <c r="I341" s="15" t="str">
        <f>IFERROR(__xludf.DUMMYFUNCTION("""COMPUTED_VALUE"""),"Deliver")</f>
        <v>Deliver</v>
      </c>
      <c r="J341" s="15" t="str">
        <f>IFERROR(__xludf.DUMMYFUNCTION("""COMPUTED_VALUE"""),"-")</f>
        <v>-</v>
      </c>
      <c r="K341" s="15" t="str">
        <f>IFERROR(__xludf.DUMMYFUNCTION("""COMPUTED_VALUE"""),"-")</f>
        <v>-</v>
      </c>
      <c r="L341" s="15" t="str">
        <f>IFERROR(__xludf.DUMMYFUNCTION("""COMPUTED_VALUE"""),"Normal")</f>
        <v>Normal</v>
      </c>
      <c r="M341" s="18" t="s">
        <v>32</v>
      </c>
      <c r="N341" s="18" t="s">
        <v>28</v>
      </c>
    </row>
    <row r="342" hidden="1">
      <c r="A342" s="15" t="str">
        <f>IFERROR(__xludf.DUMMYFUNCTION("""COMPUTED_VALUE"""),"MFHRO0075")</f>
        <v>MFHRO0075</v>
      </c>
      <c r="B342" s="16">
        <f>IFERROR(__xludf.DUMMYFUNCTION("""COMPUTED_VALUE"""),45790.831966944446)</f>
        <v>45790.83197</v>
      </c>
      <c r="C342" s="17">
        <f>IFERROR(__xludf.DUMMYFUNCTION("""COMPUTED_VALUE"""),45790.87271931713)</f>
        <v>45790.87272</v>
      </c>
      <c r="D342" s="15" t="str">
        <f>IFERROR(__xludf.DUMMYFUNCTION("""COMPUTED_VALUE"""),"WWTP")</f>
        <v>WWTP</v>
      </c>
      <c r="E342" s="15" t="str">
        <f>IFERROR(__xludf.DUMMYFUNCTION("""COMPUTED_VALUE"""),"-")</f>
        <v>-</v>
      </c>
      <c r="F342" s="15" t="str">
        <f>IFERROR(__xludf.DUMMYFUNCTION("""COMPUTED_VALUE"""),"Chemical - Sodium Hiphoclorite; No Brand; -; 1 Liter")</f>
        <v>Chemical - Sodium Hiphoclorite; No Brand; -; 1 Liter</v>
      </c>
      <c r="G342" s="15">
        <f>IFERROR(__xludf.DUMMYFUNCTION("""COMPUTED_VALUE"""),1260.0)</f>
        <v>1260</v>
      </c>
      <c r="H342" s="15" t="str">
        <f>IFERROR(__xludf.DUMMYFUNCTION("""COMPUTED_VALUE"""),"Liter")</f>
        <v>Liter</v>
      </c>
      <c r="I342" s="15" t="str">
        <f>IFERROR(__xludf.DUMMYFUNCTION("""COMPUTED_VALUE"""),"Deliver")</f>
        <v>Deliver</v>
      </c>
      <c r="J342" s="15" t="str">
        <f>IFERROR(__xludf.DUMMYFUNCTION("""COMPUTED_VALUE"""),"-")</f>
        <v>-</v>
      </c>
      <c r="K342" s="15" t="str">
        <f>IFERROR(__xludf.DUMMYFUNCTION("""COMPUTED_VALUE"""),"-")</f>
        <v>-</v>
      </c>
      <c r="L342" s="15" t="str">
        <f>IFERROR(__xludf.DUMMYFUNCTION("""COMPUTED_VALUE"""),"Normal")</f>
        <v>Normal</v>
      </c>
      <c r="M342" s="18" t="s">
        <v>53</v>
      </c>
      <c r="N342" s="18" t="s">
        <v>54</v>
      </c>
    </row>
    <row r="343" hidden="1">
      <c r="A343" s="15" t="str">
        <f>IFERROR(__xludf.DUMMYFUNCTION("""COMPUTED_VALUE"""),"MFHRO0076")</f>
        <v>MFHRO0076</v>
      </c>
      <c r="B343" s="16">
        <f>IFERROR(__xludf.DUMMYFUNCTION("""COMPUTED_VALUE"""),45790.83309118056)</f>
        <v>45790.83309</v>
      </c>
      <c r="C343" s="17">
        <f>IFERROR(__xludf.DUMMYFUNCTION("""COMPUTED_VALUE"""),45790.872861655094)</f>
        <v>45790.87286</v>
      </c>
      <c r="D343" s="15" t="str">
        <f>IFERROR(__xludf.DUMMYFUNCTION("""COMPUTED_VALUE"""),"General")</f>
        <v>General</v>
      </c>
      <c r="E343" s="15" t="str">
        <f>IFERROR(__xludf.DUMMYFUNCTION("""COMPUTED_VALUE"""),"-")</f>
        <v>-</v>
      </c>
      <c r="F343" s="15" t="str">
        <f>IFERROR(__xludf.DUMMYFUNCTION("""COMPUTED_VALUE"""),"Pneumatic  Fitting - QS 10-8 / PN : 153039 / Festo")</f>
        <v>Pneumatic  Fitting - QS 10-8 / PN : 153039 / Festo</v>
      </c>
      <c r="G343" s="15">
        <f>IFERROR(__xludf.DUMMYFUNCTION("""COMPUTED_VALUE"""),8.0)</f>
        <v>8</v>
      </c>
      <c r="H343" s="15" t="str">
        <f>IFERROR(__xludf.DUMMYFUNCTION("""COMPUTED_VALUE"""),"Pcs")</f>
        <v>Pcs</v>
      </c>
      <c r="I343" s="15" t="str">
        <f>IFERROR(__xludf.DUMMYFUNCTION("""COMPUTED_VALUE"""),"Deliver")</f>
        <v>Deliver</v>
      </c>
      <c r="J343" s="15" t="str">
        <f>IFERROR(__xludf.DUMMYFUNCTION("""COMPUTED_VALUE"""),"-")</f>
        <v>-</v>
      </c>
      <c r="K343" s="15" t="str">
        <f>IFERROR(__xludf.DUMMYFUNCTION("""COMPUTED_VALUE"""),"-")</f>
        <v>-</v>
      </c>
      <c r="L343" s="15" t="str">
        <f>IFERROR(__xludf.DUMMYFUNCTION("""COMPUTED_VALUE"""),"Normal")</f>
        <v>Normal</v>
      </c>
      <c r="M343" s="18" t="s">
        <v>53</v>
      </c>
      <c r="N343" s="18" t="s">
        <v>54</v>
      </c>
    </row>
    <row r="344" hidden="1">
      <c r="A344" s="15" t="str">
        <f>IFERROR(__xludf.DUMMYFUNCTION("""COMPUTED_VALUE"""),"MFHRO0077")</f>
        <v>MFHRO0077</v>
      </c>
      <c r="B344" s="16">
        <f>IFERROR(__xludf.DUMMYFUNCTION("""COMPUTED_VALUE"""),45790.84259637731)</f>
        <v>45790.8426</v>
      </c>
      <c r="C344" s="17">
        <f>IFERROR(__xludf.DUMMYFUNCTION("""COMPUTED_VALUE"""),45790.87300270834)</f>
        <v>45790.873</v>
      </c>
      <c r="D344" s="15" t="str">
        <f>IFERROR(__xludf.DUMMYFUNCTION("""COMPUTED_VALUE"""),"General")</f>
        <v>General</v>
      </c>
      <c r="E344" s="15" t="str">
        <f>IFERROR(__xludf.DUMMYFUNCTION("""COMPUTED_VALUE"""),"-")</f>
        <v>-</v>
      </c>
      <c r="F344" s="15" t="str">
        <f>IFERROR(__xludf.DUMMYFUNCTION("""COMPUTED_VALUE"""),"General - Capacitor, 5 uF, 500 V, 50/60 Hz; No Brand; -; 1 pcs")</f>
        <v>General - Capacitor, 5 uF, 500 V, 50/60 Hz; No Brand; -; 1 pcs</v>
      </c>
      <c r="G344" s="15">
        <f>IFERROR(__xludf.DUMMYFUNCTION("""COMPUTED_VALUE"""),5.0)</f>
        <v>5</v>
      </c>
      <c r="H344" s="15" t="str">
        <f>IFERROR(__xludf.DUMMYFUNCTION("""COMPUTED_VALUE"""),"Pcs")</f>
        <v>Pcs</v>
      </c>
      <c r="I344" s="15" t="str">
        <f>IFERROR(__xludf.DUMMYFUNCTION("""COMPUTED_VALUE"""),"Deliver")</f>
        <v>Deliver</v>
      </c>
      <c r="J344" s="15" t="str">
        <f>IFERROR(__xludf.DUMMYFUNCTION("""COMPUTED_VALUE"""),"-")</f>
        <v>-</v>
      </c>
      <c r="K344" s="15" t="str">
        <f>IFERROR(__xludf.DUMMYFUNCTION("""COMPUTED_VALUE"""),"-")</f>
        <v>-</v>
      </c>
      <c r="L344" s="15" t="str">
        <f>IFERROR(__xludf.DUMMYFUNCTION("""COMPUTED_VALUE"""),"Normal")</f>
        <v>Normal</v>
      </c>
      <c r="M344" s="18" t="s">
        <v>53</v>
      </c>
      <c r="N344" s="18" t="s">
        <v>54</v>
      </c>
    </row>
    <row r="345" hidden="1">
      <c r="A345" s="15" t="str">
        <f>IFERROR(__xludf.DUMMYFUNCTION("""COMPUTED_VALUE"""),"MFHRO0078")</f>
        <v>MFHRO0078</v>
      </c>
      <c r="B345" s="16">
        <f>IFERROR(__xludf.DUMMYFUNCTION("""COMPUTED_VALUE"""),45790.84392987269)</f>
        <v>45790.84393</v>
      </c>
      <c r="C345" s="17">
        <f>IFERROR(__xludf.DUMMYFUNCTION("""COMPUTED_VALUE"""),45790.873360439815)</f>
        <v>45790.87336</v>
      </c>
      <c r="D345" s="15" t="str">
        <f>IFERROR(__xludf.DUMMYFUNCTION("""COMPUTED_VALUE"""),"ATK")</f>
        <v>ATK</v>
      </c>
      <c r="E345" s="15" t="str">
        <f>IFERROR(__xludf.DUMMYFUNCTION("""COMPUTED_VALUE"""),"-")</f>
        <v>-</v>
      </c>
      <c r="F345" s="15" t="str">
        <f>IFERROR(__xludf.DUMMYFUNCTION("""COMPUTED_VALUE"""),"Tinta HP 955 Black; HP; N9H85A;")</f>
        <v>Tinta HP 955 Black; HP; N9H85A;</v>
      </c>
      <c r="G345" s="15">
        <f>IFERROR(__xludf.DUMMYFUNCTION("""COMPUTED_VALUE"""),2.0)</f>
        <v>2</v>
      </c>
      <c r="H345" s="15" t="str">
        <f>IFERROR(__xludf.DUMMYFUNCTION("""COMPUTED_VALUE"""),"Pcs")</f>
        <v>Pcs</v>
      </c>
      <c r="I345" s="15" t="str">
        <f>IFERROR(__xludf.DUMMYFUNCTION("""COMPUTED_VALUE"""),"Deliver")</f>
        <v>Deliver</v>
      </c>
      <c r="J345" s="15" t="str">
        <f>IFERROR(__xludf.DUMMYFUNCTION("""COMPUTED_VALUE"""),"-")</f>
        <v>-</v>
      </c>
      <c r="K345" s="15" t="str">
        <f>IFERROR(__xludf.DUMMYFUNCTION("""COMPUTED_VALUE"""),"-")</f>
        <v>-</v>
      </c>
      <c r="L345" s="15" t="str">
        <f>IFERROR(__xludf.DUMMYFUNCTION("""COMPUTED_VALUE"""),"Normal")</f>
        <v>Normal</v>
      </c>
      <c r="M345" s="18" t="s">
        <v>53</v>
      </c>
      <c r="N345" s="18" t="s">
        <v>54</v>
      </c>
    </row>
    <row r="346" hidden="1">
      <c r="A346" s="15" t="str">
        <f>IFERROR(__xludf.DUMMYFUNCTION("""COMPUTED_VALUE"""),"MFHRO0079")</f>
        <v>MFHRO0079</v>
      </c>
      <c r="B346" s="16">
        <f>IFERROR(__xludf.DUMMYFUNCTION("""COMPUTED_VALUE"""),45790.84500601852)</f>
        <v>45790.84501</v>
      </c>
      <c r="C346" s="17">
        <f>IFERROR(__xludf.DUMMYFUNCTION("""COMPUTED_VALUE"""),45790.87349868055)</f>
        <v>45790.8735</v>
      </c>
      <c r="D346" s="15" t="str">
        <f>IFERROR(__xludf.DUMMYFUNCTION("""COMPUTED_VALUE"""),"ATK")</f>
        <v>ATK</v>
      </c>
      <c r="E346" s="15" t="str">
        <f>IFERROR(__xludf.DUMMYFUNCTION("""COMPUTED_VALUE"""),"-")</f>
        <v>-</v>
      </c>
      <c r="F346" s="15" t="str">
        <f>IFERROR(__xludf.DUMMYFUNCTION("""COMPUTED_VALUE"""),"Tinta HP 955 Cyan; HP; H9H73A;")</f>
        <v>Tinta HP 955 Cyan; HP; H9H73A;</v>
      </c>
      <c r="G346" s="15">
        <f>IFERROR(__xludf.DUMMYFUNCTION("""COMPUTED_VALUE"""),1.0)</f>
        <v>1</v>
      </c>
      <c r="H346" s="15" t="str">
        <f>IFERROR(__xludf.DUMMYFUNCTION("""COMPUTED_VALUE"""),"Pcs")</f>
        <v>Pcs</v>
      </c>
      <c r="I346" s="15" t="str">
        <f>IFERROR(__xludf.DUMMYFUNCTION("""COMPUTED_VALUE"""),"Deliver")</f>
        <v>Deliver</v>
      </c>
      <c r="J346" s="15" t="str">
        <f>IFERROR(__xludf.DUMMYFUNCTION("""COMPUTED_VALUE"""),"-")</f>
        <v>-</v>
      </c>
      <c r="K346" s="15" t="str">
        <f>IFERROR(__xludf.DUMMYFUNCTION("""COMPUTED_VALUE"""),"-")</f>
        <v>-</v>
      </c>
      <c r="L346" s="15" t="str">
        <f>IFERROR(__xludf.DUMMYFUNCTION("""COMPUTED_VALUE"""),"Normal")</f>
        <v>Normal</v>
      </c>
      <c r="M346" s="18" t="s">
        <v>53</v>
      </c>
      <c r="N346" s="18" t="s">
        <v>54</v>
      </c>
    </row>
    <row r="347" hidden="1">
      <c r="A347" s="15" t="str">
        <f>IFERROR(__xludf.DUMMYFUNCTION("""COMPUTED_VALUE"""),"MFHRO0080")</f>
        <v>MFHRO0080</v>
      </c>
      <c r="B347" s="16">
        <f>IFERROR(__xludf.DUMMYFUNCTION("""COMPUTED_VALUE"""),45790.84538503472)</f>
        <v>45790.84539</v>
      </c>
      <c r="C347" s="17">
        <f>IFERROR(__xludf.DUMMYFUNCTION("""COMPUTED_VALUE"""),45790.873629768525)</f>
        <v>45790.87363</v>
      </c>
      <c r="D347" s="15" t="str">
        <f>IFERROR(__xludf.DUMMYFUNCTION("""COMPUTED_VALUE"""),"ATK")</f>
        <v>ATK</v>
      </c>
      <c r="E347" s="15" t="str">
        <f>IFERROR(__xludf.DUMMYFUNCTION("""COMPUTED_VALUE"""),"-")</f>
        <v>-</v>
      </c>
      <c r="F347" s="15" t="str">
        <f>IFERROR(__xludf.DUMMYFUNCTION("""COMPUTED_VALUE"""),"Tinta HP 955 Magenta; HP; N9H77A;")</f>
        <v>Tinta HP 955 Magenta; HP; N9H77A;</v>
      </c>
      <c r="G347" s="15">
        <f>IFERROR(__xludf.DUMMYFUNCTION("""COMPUTED_VALUE"""),1.0)</f>
        <v>1</v>
      </c>
      <c r="H347" s="15" t="str">
        <f>IFERROR(__xludf.DUMMYFUNCTION("""COMPUTED_VALUE"""),"Pcs")</f>
        <v>Pcs</v>
      </c>
      <c r="I347" s="15" t="str">
        <f>IFERROR(__xludf.DUMMYFUNCTION("""COMPUTED_VALUE"""),"Deliver")</f>
        <v>Deliver</v>
      </c>
      <c r="J347" s="15" t="str">
        <f>IFERROR(__xludf.DUMMYFUNCTION("""COMPUTED_VALUE"""),"-")</f>
        <v>-</v>
      </c>
      <c r="K347" s="15" t="str">
        <f>IFERROR(__xludf.DUMMYFUNCTION("""COMPUTED_VALUE"""),"-")</f>
        <v>-</v>
      </c>
      <c r="L347" s="15" t="str">
        <f>IFERROR(__xludf.DUMMYFUNCTION("""COMPUTED_VALUE"""),"Normal")</f>
        <v>Normal</v>
      </c>
      <c r="M347" s="18" t="s">
        <v>53</v>
      </c>
      <c r="N347" s="18" t="s">
        <v>54</v>
      </c>
    </row>
    <row r="348" hidden="1">
      <c r="A348" s="15" t="str">
        <f>IFERROR(__xludf.DUMMYFUNCTION("""COMPUTED_VALUE"""),"MFHRO0081")</f>
        <v>MFHRO0081</v>
      </c>
      <c r="B348" s="16">
        <f>IFERROR(__xludf.DUMMYFUNCTION("""COMPUTED_VALUE"""),45790.8469003125)</f>
        <v>45790.8469</v>
      </c>
      <c r="C348" s="17">
        <f>IFERROR(__xludf.DUMMYFUNCTION("""COMPUTED_VALUE"""),45790.873793136576)</f>
        <v>45790.87379</v>
      </c>
      <c r="D348" s="15" t="str">
        <f>IFERROR(__xludf.DUMMYFUNCTION("""COMPUTED_VALUE"""),"ATK")</f>
        <v>ATK</v>
      </c>
      <c r="E348" s="15" t="str">
        <f>IFERROR(__xludf.DUMMYFUNCTION("""COMPUTED_VALUE"""),"-")</f>
        <v>-</v>
      </c>
      <c r="F348" s="15" t="str">
        <f>IFERROR(__xludf.DUMMYFUNCTION("""COMPUTED_VALUE"""),"Tinta HP 955 Yellow; HP; N9H81A;")</f>
        <v>Tinta HP 955 Yellow; HP; N9H81A;</v>
      </c>
      <c r="G348" s="15">
        <f>IFERROR(__xludf.DUMMYFUNCTION("""COMPUTED_VALUE"""),1.0)</f>
        <v>1</v>
      </c>
      <c r="H348" s="15" t="str">
        <f>IFERROR(__xludf.DUMMYFUNCTION("""COMPUTED_VALUE"""),"Pcs")</f>
        <v>Pcs</v>
      </c>
      <c r="I348" s="15" t="str">
        <f>IFERROR(__xludf.DUMMYFUNCTION("""COMPUTED_VALUE"""),"Deliver")</f>
        <v>Deliver</v>
      </c>
      <c r="J348" s="15" t="str">
        <f>IFERROR(__xludf.DUMMYFUNCTION("""COMPUTED_VALUE"""),"-")</f>
        <v>-</v>
      </c>
      <c r="K348" s="15" t="str">
        <f>IFERROR(__xludf.DUMMYFUNCTION("""COMPUTED_VALUE"""),"-")</f>
        <v>-</v>
      </c>
      <c r="L348" s="15" t="str">
        <f>IFERROR(__xludf.DUMMYFUNCTION("""COMPUTED_VALUE"""),"Normal")</f>
        <v>Normal</v>
      </c>
      <c r="M348" s="18" t="s">
        <v>53</v>
      </c>
      <c r="N348" s="18" t="s">
        <v>54</v>
      </c>
    </row>
    <row r="349" hidden="1">
      <c r="A349" s="15" t="str">
        <f>IFERROR(__xludf.DUMMYFUNCTION("""COMPUTED_VALUE"""),"MFHRO0082")</f>
        <v>MFHRO0082</v>
      </c>
      <c r="B349" s="16">
        <f>IFERROR(__xludf.DUMMYFUNCTION("""COMPUTED_VALUE"""),45790.84723920139)</f>
        <v>45790.84724</v>
      </c>
      <c r="C349" s="17">
        <f>IFERROR(__xludf.DUMMYFUNCTION("""COMPUTED_VALUE"""),45790.87392795139)</f>
        <v>45790.87393</v>
      </c>
      <c r="D349" s="15" t="str">
        <f>IFERROR(__xludf.DUMMYFUNCTION("""COMPUTED_VALUE"""),"ATK")</f>
        <v>ATK</v>
      </c>
      <c r="E349" s="15" t="str">
        <f>IFERROR(__xludf.DUMMYFUNCTION("""COMPUTED_VALUE"""),"-")</f>
        <v>-</v>
      </c>
      <c r="F349" s="15" t="str">
        <f>IFERROR(__xludf.DUMMYFUNCTION("""COMPUTED_VALUE"""),"Kertas HVS Putih A4 70 gram;")</f>
        <v>Kertas HVS Putih A4 70 gram;</v>
      </c>
      <c r="G349" s="15">
        <f>IFERROR(__xludf.DUMMYFUNCTION("""COMPUTED_VALUE"""),10.0)</f>
        <v>10</v>
      </c>
      <c r="H349" s="15" t="str">
        <f>IFERROR(__xludf.DUMMYFUNCTION("""COMPUTED_VALUE"""),"Rim")</f>
        <v>Rim</v>
      </c>
      <c r="I349" s="15" t="str">
        <f>IFERROR(__xludf.DUMMYFUNCTION("""COMPUTED_VALUE"""),"Deliver")</f>
        <v>Deliver</v>
      </c>
      <c r="J349" s="15" t="str">
        <f>IFERROR(__xludf.DUMMYFUNCTION("""COMPUTED_VALUE"""),"-")</f>
        <v>-</v>
      </c>
      <c r="K349" s="15" t="str">
        <f>IFERROR(__xludf.DUMMYFUNCTION("""COMPUTED_VALUE"""),"-")</f>
        <v>-</v>
      </c>
      <c r="L349" s="15" t="str">
        <f>IFERROR(__xludf.DUMMYFUNCTION("""COMPUTED_VALUE"""),"Normal")</f>
        <v>Normal</v>
      </c>
      <c r="M349" s="18" t="s">
        <v>53</v>
      </c>
      <c r="N349" s="18" t="s">
        <v>54</v>
      </c>
    </row>
    <row r="350" hidden="1">
      <c r="A350" s="15" t="str">
        <f>IFERROR(__xludf.DUMMYFUNCTION("""COMPUTED_VALUE"""),"MFHRO0083")</f>
        <v>MFHRO0083</v>
      </c>
      <c r="B350" s="16">
        <f>IFERROR(__xludf.DUMMYFUNCTION("""COMPUTED_VALUE"""),45790.866575706015)</f>
        <v>45790.86658</v>
      </c>
      <c r="C350" s="17">
        <f>IFERROR(__xludf.DUMMYFUNCTION("""COMPUTED_VALUE"""),45790.874175173616)</f>
        <v>45790.87418</v>
      </c>
      <c r="D350" s="15" t="str">
        <f>IFERROR(__xludf.DUMMYFUNCTION("""COMPUTED_VALUE"""),"Hot Water")</f>
        <v>Hot Water</v>
      </c>
      <c r="E350" s="15" t="str">
        <f>IFERROR(__xludf.DUMMYFUNCTION("""COMPUTED_VALUE"""),"-")</f>
        <v>-</v>
      </c>
      <c r="F350" s="15" t="str">
        <f>IFERROR(__xludf.DUMMYFUNCTION("""COMPUTED_VALUE"""),"General - Fuse Keramik Double 160A 690VAC Bussman FEE160")</f>
        <v>General - Fuse Keramik Double 160A 690VAC Bussman FEE160</v>
      </c>
      <c r="G350" s="15">
        <f>IFERROR(__xludf.DUMMYFUNCTION("""COMPUTED_VALUE"""),6.0)</f>
        <v>6</v>
      </c>
      <c r="H350" s="15" t="str">
        <f>IFERROR(__xludf.DUMMYFUNCTION("""COMPUTED_VALUE"""),"Pcs")</f>
        <v>Pcs</v>
      </c>
      <c r="I350" s="15" t="str">
        <f>IFERROR(__xludf.DUMMYFUNCTION("""COMPUTED_VALUE"""),"Deliver")</f>
        <v>Deliver</v>
      </c>
      <c r="J350" s="15" t="str">
        <f>IFERROR(__xludf.DUMMYFUNCTION("""COMPUTED_VALUE"""),"-")</f>
        <v>-</v>
      </c>
      <c r="K350" s="15" t="str">
        <f>IFERROR(__xludf.DUMMYFUNCTION("""COMPUTED_VALUE"""),"-")</f>
        <v>-</v>
      </c>
      <c r="L350" s="15" t="str">
        <f>IFERROR(__xludf.DUMMYFUNCTION("""COMPUTED_VALUE"""),"Normal")</f>
        <v>Normal</v>
      </c>
      <c r="M350" s="18" t="s">
        <v>53</v>
      </c>
      <c r="N350" s="18" t="s">
        <v>54</v>
      </c>
    </row>
    <row r="351" hidden="1">
      <c r="A351" s="15" t="str">
        <f>IFERROR(__xludf.DUMMYFUNCTION("""COMPUTED_VALUE"""),"MFHJA0011")</f>
        <v>MFHJA0011</v>
      </c>
      <c r="B351" s="16">
        <f>IFERROR(__xludf.DUMMYFUNCTION("""COMPUTED_VALUE"""),45790.868463391205)</f>
        <v>45790.86846</v>
      </c>
      <c r="C351" s="17">
        <f>IFERROR(__xludf.DUMMYFUNCTION("""COMPUTED_VALUE"""),45790.875012708326)</f>
        <v>45790.87501</v>
      </c>
      <c r="D351" s="15" t="str">
        <f>IFERROR(__xludf.DUMMYFUNCTION("""COMPUTED_VALUE"""),"Building")</f>
        <v>Building</v>
      </c>
      <c r="E351" s="15" t="str">
        <f>IFERROR(__xludf.DUMMYFUNCTION("""COMPUTED_VALUE"""),"-")</f>
        <v>-</v>
      </c>
      <c r="F351" s="15" t="str">
        <f>IFERROR(__xludf.DUMMYFUNCTION("""COMPUTED_VALUE"""),"Perbaikan Board Control Dump Waiter")</f>
        <v>Perbaikan Board Control Dump Waiter</v>
      </c>
      <c r="G351" s="15">
        <f>IFERROR(__xludf.DUMMYFUNCTION("""COMPUTED_VALUE"""),1.0)</f>
        <v>1</v>
      </c>
      <c r="H351" s="15" t="str">
        <f>IFERROR(__xludf.DUMMYFUNCTION("""COMPUTED_VALUE"""),"Lot")</f>
        <v>Lot</v>
      </c>
      <c r="I351" s="15" t="str">
        <f>IFERROR(__xludf.DUMMYFUNCTION("""COMPUTED_VALUE"""),"Deliver")</f>
        <v>Deliver</v>
      </c>
      <c r="J351" s="15" t="str">
        <f>IFERROR(__xludf.DUMMYFUNCTION("""COMPUTED_VALUE"""),"-")</f>
        <v>-</v>
      </c>
      <c r="K351" s="15" t="str">
        <f>IFERROR(__xludf.DUMMYFUNCTION("""COMPUTED_VALUE"""),"-")</f>
        <v>-</v>
      </c>
      <c r="L351" s="15" t="str">
        <f>IFERROR(__xludf.DUMMYFUNCTION("""COMPUTED_VALUE"""),"Normal")</f>
        <v>Normal</v>
      </c>
      <c r="M351" s="18" t="s">
        <v>53</v>
      </c>
      <c r="N351" s="18" t="s">
        <v>54</v>
      </c>
    </row>
    <row r="352" hidden="1">
      <c r="A352" s="15" t="str">
        <f>IFERROR(__xludf.DUMMYFUNCTION("""COMPUTED_VALUE"""),"MFHJA0012")</f>
        <v>MFHJA0012</v>
      </c>
      <c r="B352" s="16">
        <f>IFERROR(__xludf.DUMMYFUNCTION("""COMPUTED_VALUE"""),45790.87151596064)</f>
        <v>45790.87152</v>
      </c>
      <c r="C352" s="17">
        <f>IFERROR(__xludf.DUMMYFUNCTION("""COMPUTED_VALUE"""),45790.8751490625)</f>
        <v>45790.87515</v>
      </c>
      <c r="D352" s="15" t="str">
        <f>IFERROR(__xludf.DUMMYFUNCTION("""COMPUTED_VALUE"""),"Building")</f>
        <v>Building</v>
      </c>
      <c r="E352" s="15" t="str">
        <f>IFERROR(__xludf.DUMMYFUNCTION("""COMPUTED_VALUE"""),"-")</f>
        <v>-</v>
      </c>
      <c r="F352" s="15" t="str">
        <f>IFERROR(__xludf.DUMMYFUNCTION("""COMPUTED_VALUE"""),"Perkuatan Pondasi N2")</f>
        <v>Perkuatan Pondasi N2</v>
      </c>
      <c r="G352" s="15">
        <f>IFERROR(__xludf.DUMMYFUNCTION("""COMPUTED_VALUE"""),1.0)</f>
        <v>1</v>
      </c>
      <c r="H352" s="15" t="str">
        <f>IFERROR(__xludf.DUMMYFUNCTION("""COMPUTED_VALUE"""),"Lot")</f>
        <v>Lot</v>
      </c>
      <c r="I352" s="15" t="str">
        <f>IFERROR(__xludf.DUMMYFUNCTION("""COMPUTED_VALUE"""),"Deliver")</f>
        <v>Deliver</v>
      </c>
      <c r="J352" s="15" t="str">
        <f>IFERROR(__xludf.DUMMYFUNCTION("""COMPUTED_VALUE"""),"-")</f>
        <v>-</v>
      </c>
      <c r="K352" s="15" t="str">
        <f>IFERROR(__xludf.DUMMYFUNCTION("""COMPUTED_VALUE"""),"-")</f>
        <v>-</v>
      </c>
      <c r="L352" s="15" t="str">
        <f>IFERROR(__xludf.DUMMYFUNCTION("""COMPUTED_VALUE"""),"Normal")</f>
        <v>Normal</v>
      </c>
      <c r="M352" s="18" t="s">
        <v>53</v>
      </c>
      <c r="N352" s="18" t="s">
        <v>54</v>
      </c>
    </row>
    <row r="353" hidden="1">
      <c r="A353" s="15" t="str">
        <f>IFERROR(__xludf.DUMMYFUNCTION("""COMPUTED_VALUE"""),"RIARO0034")</f>
        <v>RIARO0034</v>
      </c>
      <c r="B353" s="16">
        <f>IFERROR(__xludf.DUMMYFUNCTION("""COMPUTED_VALUE"""),45790.64214047454)</f>
        <v>45790.64214</v>
      </c>
      <c r="C353" s="17">
        <f>IFERROR(__xludf.DUMMYFUNCTION("""COMPUTED_VALUE"""),45793.47298590279)</f>
        <v>45793.47299</v>
      </c>
      <c r="D353" s="15" t="str">
        <f>IFERROR(__xludf.DUMMYFUNCTION("""COMPUTED_VALUE"""),"EF C1-41")</f>
        <v>EF C1-41</v>
      </c>
      <c r="E353" s="15" t="str">
        <f>IFERROR(__xludf.DUMMYFUNCTION("""COMPUTED_VALUE"""),"EJO/2025/05/44")</f>
        <v>EJO/2025/05/44</v>
      </c>
      <c r="F353" s="15" t="str">
        <f>IFERROR(__xludf.DUMMYFUNCTION("""COMPUTED_VALUE"""),"Inverter - HVAC Drives FC-102P4K0T4E20H3XGXXXXSXXXXAXBXCXXXXDX; 4 kw 3x380 Vac;; Danfoss; ;")</f>
        <v>Inverter - HVAC Drives FC-102P4K0T4E20H3XGXXXXSXXXXAXBXCXXXXDX; 4 kw 3x380 Vac;; Danfoss; ;</v>
      </c>
      <c r="G353" s="15">
        <f>IFERROR(__xludf.DUMMYFUNCTION("""COMPUTED_VALUE"""),2.0)</f>
        <v>2</v>
      </c>
      <c r="H353" s="15" t="str">
        <f>IFERROR(__xludf.DUMMYFUNCTION("""COMPUTED_VALUE"""),"Pcs")</f>
        <v>Pcs</v>
      </c>
      <c r="I353" s="15" t="str">
        <f>IFERROR(__xludf.DUMMYFUNCTION("""COMPUTED_VALUE"""),"Deliver")</f>
        <v>Deliver</v>
      </c>
      <c r="J353" s="15" t="str">
        <f>IFERROR(__xludf.DUMMYFUNCTION("""COMPUTED_VALUE"""),"-")</f>
        <v>-</v>
      </c>
      <c r="K353" s="15" t="str">
        <f>IFERROR(__xludf.DUMMYFUNCTION("""COMPUTED_VALUE"""),"-")</f>
        <v>-</v>
      </c>
      <c r="L353" s="15" t="str">
        <f>IFERROR(__xludf.DUMMYFUNCTION("""COMPUTED_VALUE"""),"Normal")</f>
        <v>Normal</v>
      </c>
      <c r="M353" s="18" t="s">
        <v>32</v>
      </c>
      <c r="N353" s="18" t="s">
        <v>28</v>
      </c>
    </row>
    <row r="354" hidden="1">
      <c r="A354" s="15" t="str">
        <f>IFERROR(__xludf.DUMMYFUNCTION("""COMPUTED_VALUE"""),"RIABR0040")</f>
        <v>RIABR0040</v>
      </c>
      <c r="B354" s="16">
        <f>IFERROR(__xludf.DUMMYFUNCTION("""COMPUTED_VALUE"""),45793.61515288195)</f>
        <v>45793.61515</v>
      </c>
      <c r="C354" s="17">
        <f>IFERROR(__xludf.DUMMYFUNCTION("""COMPUTED_VALUE"""),45798.476873402775)</f>
        <v>45798.47687</v>
      </c>
      <c r="D354" s="15" t="str">
        <f>IFERROR(__xludf.DUMMYFUNCTION("""COMPUTED_VALUE"""),"PWG")</f>
        <v>PWG</v>
      </c>
      <c r="E354" s="15" t="str">
        <f>IFERROR(__xludf.DUMMYFUNCTION("""COMPUTED_VALUE"""),"-")</f>
        <v>-</v>
      </c>
      <c r="F354" s="15" t="str">
        <f>IFERROR(__xludf.DUMMYFUNCTION("""COMPUTED_VALUE"""),"Counter")</f>
        <v>Counter</v>
      </c>
      <c r="G354" s="15">
        <f>IFERROR(__xludf.DUMMYFUNCTION("""COMPUTED_VALUE"""),1.0)</f>
        <v>1</v>
      </c>
      <c r="H354" s="15" t="str">
        <f>IFERROR(__xludf.DUMMYFUNCTION("""COMPUTED_VALUE"""),"Pcs")</f>
        <v>Pcs</v>
      </c>
      <c r="I354" s="15" t="str">
        <f>IFERROR(__xludf.DUMMYFUNCTION("""COMPUTED_VALUE"""),"Deliver")</f>
        <v>Deliver</v>
      </c>
      <c r="J354" s="15" t="str">
        <f>IFERROR(__xludf.DUMMYFUNCTION("""COMPUTED_VALUE"""),"-")</f>
        <v>-</v>
      </c>
      <c r="K354" s="15" t="str">
        <f>IFERROR(__xludf.DUMMYFUNCTION("""COMPUTED_VALUE"""),"-")</f>
        <v>-</v>
      </c>
      <c r="L354" s="15" t="str">
        <f>IFERROR(__xludf.DUMMYFUNCTION("""COMPUTED_VALUE"""),"Normal")</f>
        <v>Normal</v>
      </c>
      <c r="M354" s="18" t="s">
        <v>32</v>
      </c>
      <c r="N354" s="18" t="s">
        <v>28</v>
      </c>
    </row>
    <row r="355" hidden="1">
      <c r="A355" s="15" t="str">
        <f>IFERROR(__xludf.DUMMYFUNCTION("""COMPUTED_VALUE"""),"MRNRO0019")</f>
        <v>MRNRO0019</v>
      </c>
      <c r="B355" s="16">
        <f>IFERROR(__xludf.DUMMYFUNCTION("""COMPUTED_VALUE"""),45790.9826665162)</f>
        <v>45790.98267</v>
      </c>
      <c r="C355" s="17">
        <f>IFERROR(__xludf.DUMMYFUNCTION("""COMPUTED_VALUE"""),45798.480556041664)</f>
        <v>45798.48056</v>
      </c>
      <c r="D355" s="15" t="str">
        <f>IFERROR(__xludf.DUMMYFUNCTION("""COMPUTED_VALUE"""),"Flange")</f>
        <v>Flange</v>
      </c>
      <c r="E355" s="15" t="str">
        <f>IFERROR(__xludf.DUMMYFUNCTION("""COMPUTED_VALUE"""),"-")</f>
        <v>-</v>
      </c>
      <c r="F355" s="15" t="str">
        <f>IFERROR(__xludf.DUMMYFUNCTION("""COMPUTED_VALUE"""),"LIQUID GASKET, THREE BOND")</f>
        <v>LIQUID GASKET, THREE BOND</v>
      </c>
      <c r="G355" s="15">
        <f>IFERROR(__xludf.DUMMYFUNCTION("""COMPUTED_VALUE"""),2.0)</f>
        <v>2</v>
      </c>
      <c r="H355" s="15" t="str">
        <f>IFERROR(__xludf.DUMMYFUNCTION("""COMPUTED_VALUE"""),"pcs")</f>
        <v>pcs</v>
      </c>
      <c r="I355" s="15" t="str">
        <f>IFERROR(__xludf.DUMMYFUNCTION("""COMPUTED_VALUE"""),"Deliver")</f>
        <v>Deliver</v>
      </c>
      <c r="J355" s="15" t="str">
        <f>IFERROR(__xludf.DUMMYFUNCTION("""COMPUTED_VALUE"""),"-")</f>
        <v>-</v>
      </c>
      <c r="K355" s="15" t="str">
        <f>IFERROR(__xludf.DUMMYFUNCTION("""COMPUTED_VALUE"""),"-")</f>
        <v>-</v>
      </c>
      <c r="L355" s="15" t="str">
        <f>IFERROR(__xludf.DUMMYFUNCTION("""COMPUTED_VALUE"""),"Normal")</f>
        <v>Normal</v>
      </c>
      <c r="M355" s="18" t="s">
        <v>48</v>
      </c>
      <c r="N355" s="18" t="s">
        <v>28</v>
      </c>
    </row>
    <row r="356" hidden="1">
      <c r="A356" s="15" t="str">
        <f>IFERROR(__xludf.DUMMYFUNCTION("""COMPUTED_VALUE"""),"MRNRO0018")</f>
        <v>MRNRO0018</v>
      </c>
      <c r="B356" s="16">
        <f>IFERROR(__xludf.DUMMYFUNCTION("""COMPUTED_VALUE"""),45790.972168576394)</f>
        <v>45790.97217</v>
      </c>
      <c r="C356" s="17">
        <f>IFERROR(__xludf.DUMMYFUNCTION("""COMPUTED_VALUE"""),45798.480753125004)</f>
        <v>45798.48075</v>
      </c>
      <c r="D356" s="15" t="str">
        <f>IFERROR(__xludf.DUMMYFUNCTION("""COMPUTED_VALUE"""),"WWTP")</f>
        <v>WWTP</v>
      </c>
      <c r="E356" s="15" t="str">
        <f>IFERROR(__xludf.DUMMYFUNCTION("""COMPUTED_VALUE"""),"EJO/2025/04/56")</f>
        <v>EJO/2025/04/56</v>
      </c>
      <c r="F356" s="15" t="str">
        <f>IFERROR(__xludf.DUMMYFUNCTION("""COMPUTED_VALUE"""),"Ball Valve PVC 1""")</f>
        <v>Ball Valve PVC 1"</v>
      </c>
      <c r="G356" s="15">
        <f>IFERROR(__xludf.DUMMYFUNCTION("""COMPUTED_VALUE"""),2.0)</f>
        <v>2</v>
      </c>
      <c r="H356" s="15" t="str">
        <f>IFERROR(__xludf.DUMMYFUNCTION("""COMPUTED_VALUE"""),"pcs")</f>
        <v>pcs</v>
      </c>
      <c r="I356" s="15" t="str">
        <f>IFERROR(__xludf.DUMMYFUNCTION("""COMPUTED_VALUE"""),"Deliver")</f>
        <v>Deliver</v>
      </c>
      <c r="J356" s="15" t="str">
        <f>IFERROR(__xludf.DUMMYFUNCTION("""COMPUTED_VALUE"""),"-")</f>
        <v>-</v>
      </c>
      <c r="K356" s="15" t="str">
        <f>IFERROR(__xludf.DUMMYFUNCTION("""COMPUTED_VALUE"""),"-")</f>
        <v>-</v>
      </c>
      <c r="L356" s="15" t="str">
        <f>IFERROR(__xludf.DUMMYFUNCTION("""COMPUTED_VALUE"""),"Normal")</f>
        <v>Normal</v>
      </c>
      <c r="M356" s="18" t="s">
        <v>48</v>
      </c>
      <c r="N356" s="18" t="s">
        <v>28</v>
      </c>
    </row>
    <row r="357" hidden="1">
      <c r="A357" s="15" t="str">
        <f>IFERROR(__xludf.DUMMYFUNCTION("""COMPUTED_VALUE"""),"MRNRO0017")</f>
        <v>MRNRO0017</v>
      </c>
      <c r="B357" s="16">
        <f>IFERROR(__xludf.DUMMYFUNCTION("""COMPUTED_VALUE"""),45790.95895934027)</f>
        <v>45790.95896</v>
      </c>
      <c r="C357" s="17">
        <f>IFERROR(__xludf.DUMMYFUNCTION("""COMPUTED_VALUE"""),45798.48096782407)</f>
        <v>45798.48097</v>
      </c>
      <c r="D357" s="15" t="str">
        <f>IFERROR(__xludf.DUMMYFUNCTION("""COMPUTED_VALUE"""),"AHU")</f>
        <v>AHU</v>
      </c>
      <c r="E357" s="15" t="str">
        <f>IFERROR(__xludf.DUMMYFUNCTION("""COMPUTED_VALUE"""),"-")</f>
        <v>-</v>
      </c>
      <c r="F357" s="15" t="str">
        <f>IFERROR(__xludf.DUMMYFUNCTION("""COMPUTED_VALUE"""),"LEM ISOLASI, ARMAFLEX, 1 CAN")</f>
        <v>LEM ISOLASI, ARMAFLEX, 1 CAN</v>
      </c>
      <c r="G357" s="15">
        <f>IFERROR(__xludf.DUMMYFUNCTION("""COMPUTED_VALUE"""),3.0)</f>
        <v>3</v>
      </c>
      <c r="H357" s="15" t="str">
        <f>IFERROR(__xludf.DUMMYFUNCTION("""COMPUTED_VALUE"""),"klg")</f>
        <v>klg</v>
      </c>
      <c r="I357" s="15" t="str">
        <f>IFERROR(__xludf.DUMMYFUNCTION("""COMPUTED_VALUE"""),"Deliver")</f>
        <v>Deliver</v>
      </c>
      <c r="J357" s="15" t="str">
        <f>IFERROR(__xludf.DUMMYFUNCTION("""COMPUTED_VALUE"""),"-")</f>
        <v>-</v>
      </c>
      <c r="K357" s="15" t="str">
        <f>IFERROR(__xludf.DUMMYFUNCTION("""COMPUTED_VALUE"""),"-")</f>
        <v>-</v>
      </c>
      <c r="L357" s="15" t="str">
        <f>IFERROR(__xludf.DUMMYFUNCTION("""COMPUTED_VALUE"""),"Normal")</f>
        <v>Normal</v>
      </c>
      <c r="M357" s="18" t="s">
        <v>48</v>
      </c>
      <c r="N357" s="18" t="s">
        <v>28</v>
      </c>
    </row>
    <row r="358" hidden="1">
      <c r="A358" s="15" t="str">
        <f>IFERROR(__xludf.DUMMYFUNCTION("""COMPUTED_VALUE"""),"MRNRO0016")</f>
        <v>MRNRO0016</v>
      </c>
      <c r="B358" s="16">
        <f>IFERROR(__xludf.DUMMYFUNCTION("""COMPUTED_VALUE"""),45790.9537302199)</f>
        <v>45790.95373</v>
      </c>
      <c r="C358" s="17">
        <f>IFERROR(__xludf.DUMMYFUNCTION("""COMPUTED_VALUE"""),45798.48128476852)</f>
        <v>45798.48128</v>
      </c>
      <c r="D358" s="15" t="str">
        <f>IFERROR(__xludf.DUMMYFUNCTION("""COMPUTED_VALUE"""),"workshop")</f>
        <v>workshop</v>
      </c>
      <c r="E358" s="15" t="str">
        <f>IFERROR(__xludf.DUMMYFUNCTION("""COMPUTED_VALUE"""),"-")</f>
        <v>-</v>
      </c>
      <c r="F358" s="15" t="str">
        <f>IFERROR(__xludf.DUMMYFUNCTION("""COMPUTED_VALUE"""),"General - Tungsten Electrodes dia 1.6 mm; No Brand; -; 1 pc")</f>
        <v>General - Tungsten Electrodes dia 1.6 mm; No Brand; -; 1 pc</v>
      </c>
      <c r="G358" s="15">
        <f>IFERROR(__xludf.DUMMYFUNCTION("""COMPUTED_VALUE"""),1.0)</f>
        <v>1</v>
      </c>
      <c r="H358" s="15" t="str">
        <f>IFERROR(__xludf.DUMMYFUNCTION("""COMPUTED_VALUE"""),"pack")</f>
        <v>pack</v>
      </c>
      <c r="I358" s="15" t="str">
        <f>IFERROR(__xludf.DUMMYFUNCTION("""COMPUTED_VALUE"""),"Deliver")</f>
        <v>Deliver</v>
      </c>
      <c r="J358" s="15" t="str">
        <f>IFERROR(__xludf.DUMMYFUNCTION("""COMPUTED_VALUE"""),"-")</f>
        <v>-</v>
      </c>
      <c r="K358" s="15" t="str">
        <f>IFERROR(__xludf.DUMMYFUNCTION("""COMPUTED_VALUE"""),"-")</f>
        <v>-</v>
      </c>
      <c r="L358" s="15" t="str">
        <f>IFERROR(__xludf.DUMMYFUNCTION("""COMPUTED_VALUE"""),"Normal")</f>
        <v>Normal</v>
      </c>
      <c r="M358" s="18" t="s">
        <v>48</v>
      </c>
      <c r="N358" s="18" t="s">
        <v>28</v>
      </c>
    </row>
    <row r="359" hidden="1">
      <c r="A359" s="15" t="str">
        <f>IFERROR(__xludf.DUMMYFUNCTION("""COMPUTED_VALUE"""),"MRNRO0015")</f>
        <v>MRNRO0015</v>
      </c>
      <c r="B359" s="16">
        <f>IFERROR(__xludf.DUMMYFUNCTION("""COMPUTED_VALUE"""),45790.95244760417)</f>
        <v>45790.95245</v>
      </c>
      <c r="C359" s="17">
        <f>IFERROR(__xludf.DUMMYFUNCTION("""COMPUTED_VALUE"""),45798.48149297454)</f>
        <v>45798.48149</v>
      </c>
      <c r="D359" s="15" t="str">
        <f>IFERROR(__xludf.DUMMYFUNCTION("""COMPUTED_VALUE"""),"Building")</f>
        <v>Building</v>
      </c>
      <c r="E359" s="15" t="str">
        <f>IFERROR(__xludf.DUMMYFUNCTION("""COMPUTED_VALUE"""),"-")</f>
        <v>-</v>
      </c>
      <c r="F359" s="15" t="str">
        <f>IFERROR(__xludf.DUMMYFUNCTION("""COMPUTED_VALUE"""),"Cat Weathershield Day Break;Dulux;Type 40544M Day Break;pack size per 20L pail")</f>
        <v>Cat Weathershield Day Break;Dulux;Type 40544M Day Break;pack size per 20L pail</v>
      </c>
      <c r="G359" s="15">
        <f>IFERROR(__xludf.DUMMYFUNCTION("""COMPUTED_VALUE"""),2.0)</f>
        <v>2</v>
      </c>
      <c r="H359" s="15" t="str">
        <f>IFERROR(__xludf.DUMMYFUNCTION("""COMPUTED_VALUE"""),"Pail")</f>
        <v>Pail</v>
      </c>
      <c r="I359" s="15" t="str">
        <f>IFERROR(__xludf.DUMMYFUNCTION("""COMPUTED_VALUE"""),"Deliver")</f>
        <v>Deliver</v>
      </c>
      <c r="J359" s="15" t="str">
        <f>IFERROR(__xludf.DUMMYFUNCTION("""COMPUTED_VALUE"""),"-")</f>
        <v>-</v>
      </c>
      <c r="K359" s="15" t="str">
        <f>IFERROR(__xludf.DUMMYFUNCTION("""COMPUTED_VALUE"""),"-")</f>
        <v>-</v>
      </c>
      <c r="L359" s="15" t="str">
        <f>IFERROR(__xludf.DUMMYFUNCTION("""COMPUTED_VALUE"""),"Normal")</f>
        <v>Normal</v>
      </c>
      <c r="M359" s="18" t="s">
        <v>48</v>
      </c>
      <c r="N359" s="18" t="s">
        <v>28</v>
      </c>
    </row>
    <row r="360" hidden="1">
      <c r="A360" s="15" t="str">
        <f>IFERROR(__xludf.DUMMYFUNCTION("""COMPUTED_VALUE"""),"MRNBR0016")</f>
        <v>MRNBR0016</v>
      </c>
      <c r="B360" s="16">
        <f>IFERROR(__xludf.DUMMYFUNCTION("""COMPUTED_VALUE"""),45791.808722118054)</f>
        <v>45791.80872</v>
      </c>
      <c r="C360" s="17">
        <f>IFERROR(__xludf.DUMMYFUNCTION("""COMPUTED_VALUE"""),45798.48394266204)</f>
        <v>45798.48394</v>
      </c>
      <c r="D360" s="15" t="str">
        <f>IFERROR(__xludf.DUMMYFUNCTION("""COMPUTED_VALUE"""),"Loker sepatu")</f>
        <v>Loker sepatu</v>
      </c>
      <c r="E360" s="15" t="str">
        <f>IFERROR(__xludf.DUMMYFUNCTION("""COMPUTED_VALUE"""),"EJO/2024/12/150")</f>
        <v>EJO/2024/12/150</v>
      </c>
      <c r="F360" s="15" t="str">
        <f>IFERROR(__xludf.DUMMYFUNCTION("""COMPUTED_VALUE"""),"louver 4 inch")</f>
        <v>louver 4 inch</v>
      </c>
      <c r="G360" s="15">
        <f>IFERROR(__xludf.DUMMYFUNCTION("""COMPUTED_VALUE"""),3.0)</f>
        <v>3</v>
      </c>
      <c r="H360" s="15" t="str">
        <f>IFERROR(__xludf.DUMMYFUNCTION("""COMPUTED_VALUE"""),"pcs")</f>
        <v>pcs</v>
      </c>
      <c r="I360" s="15" t="str">
        <f>IFERROR(__xludf.DUMMYFUNCTION("""COMPUTED_VALUE"""),"Deliver")</f>
        <v>Deliver</v>
      </c>
      <c r="J360" s="15" t="str">
        <f>IFERROR(__xludf.DUMMYFUNCTION("""COMPUTED_VALUE"""),"-")</f>
        <v>-</v>
      </c>
      <c r="K360" s="15" t="str">
        <f>IFERROR(__xludf.DUMMYFUNCTION("""COMPUTED_VALUE"""),"-")</f>
        <v>-</v>
      </c>
      <c r="L360" s="15" t="str">
        <f>IFERROR(__xludf.DUMMYFUNCTION("""COMPUTED_VALUE"""),"Normal")</f>
        <v>Normal</v>
      </c>
      <c r="M360" s="18" t="s">
        <v>48</v>
      </c>
      <c r="N360" s="18" t="s">
        <v>28</v>
      </c>
    </row>
    <row r="361" hidden="1">
      <c r="A361" s="15" t="str">
        <f>IFERROR(__xludf.DUMMYFUNCTION("""COMPUTED_VALUE"""),"MRNBR0015")</f>
        <v>MRNBR0015</v>
      </c>
      <c r="B361" s="16">
        <f>IFERROR(__xludf.DUMMYFUNCTION("""COMPUTED_VALUE"""),45791.80735679398)</f>
        <v>45791.80736</v>
      </c>
      <c r="C361" s="17">
        <f>IFERROR(__xludf.DUMMYFUNCTION("""COMPUTED_VALUE"""),45798.484167627306)</f>
        <v>45798.48417</v>
      </c>
      <c r="D361" s="15" t="str">
        <f>IFERROR(__xludf.DUMMYFUNCTION("""COMPUTED_VALUE"""),"Loker sepatu")</f>
        <v>Loker sepatu</v>
      </c>
      <c r="E361" s="15" t="str">
        <f>IFERROR(__xludf.DUMMYFUNCTION("""COMPUTED_VALUE"""),"EJO/2024/12/150")</f>
        <v>EJO/2024/12/150</v>
      </c>
      <c r="F361" s="15" t="str">
        <f>IFERROR(__xludf.DUMMYFUNCTION("""COMPUTED_VALUE"""),"Flexuble duct")</f>
        <v>Flexuble duct</v>
      </c>
      <c r="G361" s="15">
        <f>IFERROR(__xludf.DUMMYFUNCTION("""COMPUTED_VALUE"""),3.0)</f>
        <v>3</v>
      </c>
      <c r="H361" s="15" t="str">
        <f>IFERROR(__xludf.DUMMYFUNCTION("""COMPUTED_VALUE"""),"pcs")</f>
        <v>pcs</v>
      </c>
      <c r="I361" s="15" t="str">
        <f>IFERROR(__xludf.DUMMYFUNCTION("""COMPUTED_VALUE"""),"Deliver")</f>
        <v>Deliver</v>
      </c>
      <c r="J361" s="15" t="str">
        <f>IFERROR(__xludf.DUMMYFUNCTION("""COMPUTED_VALUE"""),"-")</f>
        <v>-</v>
      </c>
      <c r="K361" s="15" t="str">
        <f>IFERROR(__xludf.DUMMYFUNCTION("""COMPUTED_VALUE"""),"-")</f>
        <v>-</v>
      </c>
      <c r="L361" s="15" t="str">
        <f>IFERROR(__xludf.DUMMYFUNCTION("""COMPUTED_VALUE"""),"Normal")</f>
        <v>Normal</v>
      </c>
      <c r="M361" s="18" t="s">
        <v>48</v>
      </c>
      <c r="N361" s="18" t="s">
        <v>28</v>
      </c>
    </row>
    <row r="362" hidden="1">
      <c r="A362" s="15" t="str">
        <f>IFERROR(__xludf.DUMMYFUNCTION("""COMPUTED_VALUE"""),"MRNRO0020")</f>
        <v>MRNRO0020</v>
      </c>
      <c r="B362" s="16">
        <f>IFERROR(__xludf.DUMMYFUNCTION("""COMPUTED_VALUE"""),45790.984676249995)</f>
        <v>45790.98468</v>
      </c>
      <c r="C362" s="17">
        <f>IFERROR(__xludf.DUMMYFUNCTION("""COMPUTED_VALUE"""),45798.49195420139)</f>
        <v>45798.49195</v>
      </c>
      <c r="D362" s="15" t="str">
        <f>IFERROR(__xludf.DUMMYFUNCTION("""COMPUTED_VALUE"""),"Dinding")</f>
        <v>Dinding</v>
      </c>
      <c r="E362" s="15" t="str">
        <f>IFERROR(__xludf.DUMMYFUNCTION("""COMPUTED_VALUE"""),"-")</f>
        <v>-</v>
      </c>
      <c r="F362" s="15" t="str">
        <f>IFERROR(__xludf.DUMMYFUNCTION("""COMPUTED_VALUE"""),"Fisher S 8 (1 box : 100 pcs)")</f>
        <v>Fisher S 8 (1 box : 100 pcs)</v>
      </c>
      <c r="G362" s="15">
        <f>IFERROR(__xludf.DUMMYFUNCTION("""COMPUTED_VALUE"""),2.0)</f>
        <v>2</v>
      </c>
      <c r="H362" s="15" t="str">
        <f>IFERROR(__xludf.DUMMYFUNCTION("""COMPUTED_VALUE"""),"box")</f>
        <v>box</v>
      </c>
      <c r="I362" s="15" t="str">
        <f>IFERROR(__xludf.DUMMYFUNCTION("""COMPUTED_VALUE"""),"Deliver")</f>
        <v>Deliver</v>
      </c>
      <c r="J362" s="15" t="str">
        <f>IFERROR(__xludf.DUMMYFUNCTION("""COMPUTED_VALUE"""),"-")</f>
        <v>-</v>
      </c>
      <c r="K362" s="15" t="str">
        <f>IFERROR(__xludf.DUMMYFUNCTION("""COMPUTED_VALUE"""),"-")</f>
        <v>-</v>
      </c>
      <c r="L362" s="15" t="str">
        <f>IFERROR(__xludf.DUMMYFUNCTION("""COMPUTED_VALUE"""),"Normal")</f>
        <v>Normal</v>
      </c>
      <c r="M362" s="18" t="s">
        <v>48</v>
      </c>
      <c r="N362" s="18" t="s">
        <v>28</v>
      </c>
    </row>
    <row r="363" hidden="1">
      <c r="A363" s="15" t="str">
        <f>IFERROR(__xludf.DUMMYFUNCTION("""COMPUTED_VALUE"""),"RIARO0036")</f>
        <v>RIARO0036</v>
      </c>
      <c r="B363" s="16">
        <f>IFERROR(__xludf.DUMMYFUNCTION("""COMPUTED_VALUE"""),45798.48967328704)</f>
        <v>45798.48967</v>
      </c>
      <c r="C363" s="17">
        <f>IFERROR(__xludf.DUMMYFUNCTION("""COMPUTED_VALUE"""),45798.49798318287)</f>
        <v>45798.49798</v>
      </c>
      <c r="D363" s="15" t="str">
        <f>IFERROR(__xludf.DUMMYFUNCTION("""COMPUTED_VALUE"""),"Alarm System")</f>
        <v>Alarm System</v>
      </c>
      <c r="E363" s="15" t="str">
        <f>IFERROR(__xludf.DUMMYFUNCTION("""COMPUTED_VALUE"""),"-")</f>
        <v>-</v>
      </c>
      <c r="F363" s="15" t="str">
        <f>IFERROR(__xludf.DUMMYFUNCTION("""COMPUTED_VALUE"""),"Temperature Controller - TK4S- 24RN 100-240 VAC AUTONICS; ; ;")</f>
        <v>Temperature Controller - TK4S- 24RN 100-240 VAC AUTONICS; ; ;</v>
      </c>
      <c r="G363" s="15">
        <f>IFERROR(__xludf.DUMMYFUNCTION("""COMPUTED_VALUE"""),3.0)</f>
        <v>3</v>
      </c>
      <c r="H363" s="15" t="str">
        <f>IFERROR(__xludf.DUMMYFUNCTION("""COMPUTED_VALUE"""),"Pcs")</f>
        <v>Pcs</v>
      </c>
      <c r="I363" s="15" t="str">
        <f>IFERROR(__xludf.DUMMYFUNCTION("""COMPUTED_VALUE"""),"Deliver")</f>
        <v>Deliver</v>
      </c>
      <c r="J363" s="15" t="str">
        <f>IFERROR(__xludf.DUMMYFUNCTION("""COMPUTED_VALUE"""),"-")</f>
        <v>-</v>
      </c>
      <c r="K363" s="15" t="str">
        <f>IFERROR(__xludf.DUMMYFUNCTION("""COMPUTED_VALUE"""),"-")</f>
        <v>-</v>
      </c>
      <c r="L363" s="15" t="str">
        <f>IFERROR(__xludf.DUMMYFUNCTION("""COMPUTED_VALUE"""),"Normal")</f>
        <v>Normal</v>
      </c>
      <c r="M363" s="18" t="s">
        <v>32</v>
      </c>
      <c r="N363" s="18" t="s">
        <v>28</v>
      </c>
    </row>
    <row r="364" hidden="1">
      <c r="A364" s="15" t="str">
        <f>IFERROR(__xludf.DUMMYFUNCTION("""COMPUTED_VALUE"""),"MFHRO0084")</f>
        <v>MFHRO0084</v>
      </c>
      <c r="B364" s="16">
        <f>IFERROR(__xludf.DUMMYFUNCTION("""COMPUTED_VALUE"""),45802.55794943286)</f>
        <v>45802.55795</v>
      </c>
      <c r="C364" s="17">
        <f>IFERROR(__xludf.DUMMYFUNCTION("""COMPUTED_VALUE"""),45802.66978880787)</f>
        <v>45802.66979</v>
      </c>
      <c r="D364" s="15" t="str">
        <f>IFERROR(__xludf.DUMMYFUNCTION("""COMPUTED_VALUE"""),"Tools")</f>
        <v>Tools</v>
      </c>
      <c r="E364" s="15" t="str">
        <f>IFERROR(__xludf.DUMMYFUNCTION("""COMPUTED_VALUE"""),"-")</f>
        <v>-</v>
      </c>
      <c r="F364" s="15" t="str">
        <f>IFERROR(__xludf.DUMMYFUNCTION("""COMPUTED_VALUE"""),"Driver / Bor Cordless Impact Drill Baterai 18V; Bosch; GSB183-LI; per set (Bor dan 1 x baterai GBA 18V 2.0Ah)")</f>
        <v>Driver / Bor Cordless Impact Drill Baterai 18V; Bosch; GSB183-LI; per set (Bor dan 1 x baterai GBA 18V 2.0Ah)</v>
      </c>
      <c r="G364" s="15">
        <f>IFERROR(__xludf.DUMMYFUNCTION("""COMPUTED_VALUE"""),1.0)</f>
        <v>1</v>
      </c>
      <c r="H364" s="15" t="str">
        <f>IFERROR(__xludf.DUMMYFUNCTION("""COMPUTED_VALUE"""),"Unt")</f>
        <v>Unt</v>
      </c>
      <c r="I364" s="15" t="str">
        <f>IFERROR(__xludf.DUMMYFUNCTION("""COMPUTED_VALUE"""),"Deliver")</f>
        <v>Deliver</v>
      </c>
      <c r="J364" s="15" t="str">
        <f>IFERROR(__xludf.DUMMYFUNCTION("""COMPUTED_VALUE"""),"-")</f>
        <v>-</v>
      </c>
      <c r="K364" s="15" t="str">
        <f>IFERROR(__xludf.DUMMYFUNCTION("""COMPUTED_VALUE"""),"-")</f>
        <v>-</v>
      </c>
      <c r="L364" s="15" t="str">
        <f>IFERROR(__xludf.DUMMYFUNCTION("""COMPUTED_VALUE"""),"Normal")</f>
        <v>Normal</v>
      </c>
      <c r="M364" s="18" t="s">
        <v>53</v>
      </c>
      <c r="N364" s="18" t="s">
        <v>54</v>
      </c>
    </row>
    <row r="365" hidden="1">
      <c r="A365" s="15" t="str">
        <f>IFERROR(__xludf.DUMMYFUNCTION("""COMPUTED_VALUE"""),"MFHRO0085")</f>
        <v>MFHRO0085</v>
      </c>
      <c r="B365" s="16">
        <f>IFERROR(__xludf.DUMMYFUNCTION("""COMPUTED_VALUE"""),45802.56100476852)</f>
        <v>45802.561</v>
      </c>
      <c r="C365" s="17">
        <f>IFERROR(__xludf.DUMMYFUNCTION("""COMPUTED_VALUE"""),45802.66992072917)</f>
        <v>45802.66992</v>
      </c>
      <c r="D365" s="15" t="str">
        <f>IFERROR(__xludf.DUMMYFUNCTION("""COMPUTED_VALUE"""),"General")</f>
        <v>General</v>
      </c>
      <c r="E365" s="15" t="str">
        <f>IFERROR(__xludf.DUMMYFUNCTION("""COMPUTED_VALUE"""),"-")</f>
        <v>-</v>
      </c>
      <c r="F365" s="15" t="str">
        <f>IFERROR(__xludf.DUMMYFUNCTION("""COMPUTED_VALUE"""),"Silicone Sealant High Temp Red; ; ;")</f>
        <v>Silicone Sealant High Temp Red; ; ;</v>
      </c>
      <c r="G365" s="15">
        <f>IFERROR(__xludf.DUMMYFUNCTION("""COMPUTED_VALUE"""),5.0)</f>
        <v>5</v>
      </c>
      <c r="H365" s="15" t="str">
        <f>IFERROR(__xludf.DUMMYFUNCTION("""COMPUTED_VALUE"""),"Pcs")</f>
        <v>Pcs</v>
      </c>
      <c r="I365" s="15" t="str">
        <f>IFERROR(__xludf.DUMMYFUNCTION("""COMPUTED_VALUE"""),"Deliver")</f>
        <v>Deliver</v>
      </c>
      <c r="J365" s="15" t="str">
        <f>IFERROR(__xludf.DUMMYFUNCTION("""COMPUTED_VALUE"""),"-")</f>
        <v>-</v>
      </c>
      <c r="K365" s="15" t="str">
        <f>IFERROR(__xludf.DUMMYFUNCTION("""COMPUTED_VALUE"""),"-")</f>
        <v>-</v>
      </c>
      <c r="L365" s="15" t="str">
        <f>IFERROR(__xludf.DUMMYFUNCTION("""COMPUTED_VALUE"""),"Normal")</f>
        <v>Normal</v>
      </c>
      <c r="M365" s="18" t="s">
        <v>53</v>
      </c>
      <c r="N365" s="18" t="s">
        <v>54</v>
      </c>
    </row>
    <row r="366" hidden="1">
      <c r="A366" s="15" t="str">
        <f>IFERROR(__xludf.DUMMYFUNCTION("""COMPUTED_VALUE"""),"MFHRO0086")</f>
        <v>MFHRO0086</v>
      </c>
      <c r="B366" s="16">
        <f>IFERROR(__xludf.DUMMYFUNCTION("""COMPUTED_VALUE"""),45802.56372157407)</f>
        <v>45802.56372</v>
      </c>
      <c r="C366" s="17">
        <f>IFERROR(__xludf.DUMMYFUNCTION("""COMPUTED_VALUE"""),45802.67013875)</f>
        <v>45802.67014</v>
      </c>
      <c r="D366" s="15" t="str">
        <f>IFERROR(__xludf.DUMMYFUNCTION("""COMPUTED_VALUE"""),"General")</f>
        <v>General</v>
      </c>
      <c r="E366" s="15" t="str">
        <f>IFERROR(__xludf.DUMMYFUNCTION("""COMPUTED_VALUE"""),"-")</f>
        <v>-</v>
      </c>
      <c r="F366" s="15" t="str">
        <f>IFERROR(__xludf.DUMMYFUNCTION("""COMPUTED_VALUE"""),"Cleaner - Contact Cleaner CRC CO 2016; No Brand; -; 500ml/Botol")</f>
        <v>Cleaner - Contact Cleaner CRC CO 2016; No Brand; -; 500ml/Botol</v>
      </c>
      <c r="G366" s="15">
        <f>IFERROR(__xludf.DUMMYFUNCTION("""COMPUTED_VALUE"""),3.0)</f>
        <v>3</v>
      </c>
      <c r="H366" s="15" t="str">
        <f>IFERROR(__xludf.DUMMYFUNCTION("""COMPUTED_VALUE"""),"pcs")</f>
        <v>pcs</v>
      </c>
      <c r="I366" s="15" t="str">
        <f>IFERROR(__xludf.DUMMYFUNCTION("""COMPUTED_VALUE"""),"Deliver")</f>
        <v>Deliver</v>
      </c>
      <c r="J366" s="15" t="str">
        <f>IFERROR(__xludf.DUMMYFUNCTION("""COMPUTED_VALUE"""),"-")</f>
        <v>-</v>
      </c>
      <c r="K366" s="15" t="str">
        <f>IFERROR(__xludf.DUMMYFUNCTION("""COMPUTED_VALUE"""),"-")</f>
        <v>-</v>
      </c>
      <c r="L366" s="15" t="str">
        <f>IFERROR(__xludf.DUMMYFUNCTION("""COMPUTED_VALUE"""),"Normal")</f>
        <v>Normal</v>
      </c>
      <c r="M366" s="18" t="s">
        <v>53</v>
      </c>
      <c r="N366" s="18" t="s">
        <v>54</v>
      </c>
    </row>
    <row r="367" hidden="1">
      <c r="A367" s="15" t="str">
        <f>IFERROR(__xludf.DUMMYFUNCTION("""COMPUTED_VALUE"""),"MFHRO0087")</f>
        <v>MFHRO0087</v>
      </c>
      <c r="B367" s="16">
        <f>IFERROR(__xludf.DUMMYFUNCTION("""COMPUTED_VALUE"""),45802.57701783565)</f>
        <v>45802.57702</v>
      </c>
      <c r="C367" s="17">
        <f>IFERROR(__xludf.DUMMYFUNCTION("""COMPUTED_VALUE"""),45802.670303287035)</f>
        <v>45802.6703</v>
      </c>
      <c r="D367" s="15" t="str">
        <f>IFERROR(__xludf.DUMMYFUNCTION("""COMPUTED_VALUE"""),"General")</f>
        <v>General</v>
      </c>
      <c r="E367" s="15" t="str">
        <f>IFERROR(__xludf.DUMMYFUNCTION("""COMPUTED_VALUE"""),"-")</f>
        <v>-</v>
      </c>
      <c r="F367" s="15" t="str">
        <f>IFERROR(__xludf.DUMMYFUNCTION("""COMPUTED_VALUE"""),"General - Seal Ferrule Teflon 1 1/2inch; No Brand; -; 1 pcs")</f>
        <v>General - Seal Ferrule Teflon 1 1/2inch; No Brand; -; 1 pcs</v>
      </c>
      <c r="G367" s="15">
        <f>IFERROR(__xludf.DUMMYFUNCTION("""COMPUTED_VALUE"""),5.0)</f>
        <v>5</v>
      </c>
      <c r="H367" s="15" t="str">
        <f>IFERROR(__xludf.DUMMYFUNCTION("""COMPUTED_VALUE"""),"Pcs")</f>
        <v>Pcs</v>
      </c>
      <c r="I367" s="15" t="str">
        <f>IFERROR(__xludf.DUMMYFUNCTION("""COMPUTED_VALUE"""),"Deliver")</f>
        <v>Deliver</v>
      </c>
      <c r="J367" s="15" t="str">
        <f>IFERROR(__xludf.DUMMYFUNCTION("""COMPUTED_VALUE"""),"-")</f>
        <v>-</v>
      </c>
      <c r="K367" s="15" t="str">
        <f>IFERROR(__xludf.DUMMYFUNCTION("""COMPUTED_VALUE"""),"-")</f>
        <v>-</v>
      </c>
      <c r="L367" s="15" t="str">
        <f>IFERROR(__xludf.DUMMYFUNCTION("""COMPUTED_VALUE"""),"Normal")</f>
        <v>Normal</v>
      </c>
      <c r="M367" s="18" t="s">
        <v>53</v>
      </c>
      <c r="N367" s="18" t="s">
        <v>54</v>
      </c>
    </row>
    <row r="368" hidden="1">
      <c r="A368" s="15" t="str">
        <f>IFERROR(__xludf.DUMMYFUNCTION("""COMPUTED_VALUE"""),"MFHRO0088")</f>
        <v>MFHRO0088</v>
      </c>
      <c r="B368" s="16">
        <f>IFERROR(__xludf.DUMMYFUNCTION("""COMPUTED_VALUE"""),45802.57812733796)</f>
        <v>45802.57813</v>
      </c>
      <c r="C368" s="17">
        <f>IFERROR(__xludf.DUMMYFUNCTION("""COMPUTED_VALUE"""),45802.67044800926)</f>
        <v>45802.67045</v>
      </c>
      <c r="D368" s="15" t="str">
        <f>IFERROR(__xludf.DUMMYFUNCTION("""COMPUTED_VALUE"""),"General")</f>
        <v>General</v>
      </c>
      <c r="E368" s="15" t="str">
        <f>IFERROR(__xludf.DUMMYFUNCTION("""COMPUTED_VALUE"""),"-")</f>
        <v>-</v>
      </c>
      <c r="F368" s="15" t="str">
        <f>IFERROR(__xludf.DUMMYFUNCTION("""COMPUTED_VALUE"""),"General - Seal Ferrule Teflon 1inch; No Brand; -; 1 pcs")</f>
        <v>General - Seal Ferrule Teflon 1inch; No Brand; -; 1 pcs</v>
      </c>
      <c r="G368" s="15">
        <f>IFERROR(__xludf.DUMMYFUNCTION("""COMPUTED_VALUE"""),5.0)</f>
        <v>5</v>
      </c>
      <c r="H368" s="15" t="str">
        <f>IFERROR(__xludf.DUMMYFUNCTION("""COMPUTED_VALUE"""),"Pcs")</f>
        <v>Pcs</v>
      </c>
      <c r="I368" s="15" t="str">
        <f>IFERROR(__xludf.DUMMYFUNCTION("""COMPUTED_VALUE"""),"Deliver")</f>
        <v>Deliver</v>
      </c>
      <c r="J368" s="15" t="str">
        <f>IFERROR(__xludf.DUMMYFUNCTION("""COMPUTED_VALUE"""),"-")</f>
        <v>-</v>
      </c>
      <c r="K368" s="15" t="str">
        <f>IFERROR(__xludf.DUMMYFUNCTION("""COMPUTED_VALUE"""),"-")</f>
        <v>-</v>
      </c>
      <c r="L368" s="15" t="str">
        <f>IFERROR(__xludf.DUMMYFUNCTION("""COMPUTED_VALUE"""),"Normal")</f>
        <v>Normal</v>
      </c>
      <c r="M368" s="18" t="s">
        <v>53</v>
      </c>
      <c r="N368" s="18" t="s">
        <v>54</v>
      </c>
    </row>
    <row r="369" hidden="1">
      <c r="A369" s="15" t="str">
        <f>IFERROR(__xludf.DUMMYFUNCTION("""COMPUTED_VALUE"""),"MFHRO0089")</f>
        <v>MFHRO0089</v>
      </c>
      <c r="B369" s="16">
        <f>IFERROR(__xludf.DUMMYFUNCTION("""COMPUTED_VALUE"""),45802.57867606482)</f>
        <v>45802.57868</v>
      </c>
      <c r="C369" s="17">
        <f>IFERROR(__xludf.DUMMYFUNCTION("""COMPUTED_VALUE"""),45802.67058664352)</f>
        <v>45802.67059</v>
      </c>
      <c r="D369" s="15" t="str">
        <f>IFERROR(__xludf.DUMMYFUNCTION("""COMPUTED_VALUE"""),"General")</f>
        <v>General</v>
      </c>
      <c r="E369" s="15" t="str">
        <f>IFERROR(__xludf.DUMMYFUNCTION("""COMPUTED_VALUE"""),"-")</f>
        <v>-</v>
      </c>
      <c r="F369" s="15" t="str">
        <f>IFERROR(__xludf.DUMMYFUNCTION("""COMPUTED_VALUE"""),"General - Seal Ferrule Teflon 3/4inch; No Brand; -; 1 pcs")</f>
        <v>General - Seal Ferrule Teflon 3/4inch; No Brand; -; 1 pcs</v>
      </c>
      <c r="G369" s="15">
        <f>IFERROR(__xludf.DUMMYFUNCTION("""COMPUTED_VALUE"""),10.0)</f>
        <v>10</v>
      </c>
      <c r="H369" s="15" t="str">
        <f>IFERROR(__xludf.DUMMYFUNCTION("""COMPUTED_VALUE"""),"Pcs")</f>
        <v>Pcs</v>
      </c>
      <c r="I369" s="15" t="str">
        <f>IFERROR(__xludf.DUMMYFUNCTION("""COMPUTED_VALUE"""),"Deliver")</f>
        <v>Deliver</v>
      </c>
      <c r="J369" s="15" t="str">
        <f>IFERROR(__xludf.DUMMYFUNCTION("""COMPUTED_VALUE"""),"-")</f>
        <v>-</v>
      </c>
      <c r="K369" s="15" t="str">
        <f>IFERROR(__xludf.DUMMYFUNCTION("""COMPUTED_VALUE"""),"-")</f>
        <v>-</v>
      </c>
      <c r="L369" s="15" t="str">
        <f>IFERROR(__xludf.DUMMYFUNCTION("""COMPUTED_VALUE"""),"Normal")</f>
        <v>Normal</v>
      </c>
      <c r="M369" s="18" t="s">
        <v>53</v>
      </c>
      <c r="N369" s="18" t="s">
        <v>54</v>
      </c>
    </row>
    <row r="370" hidden="1">
      <c r="A370" s="15" t="str">
        <f>IFERROR(__xludf.DUMMYFUNCTION("""COMPUTED_VALUE"""),"MFHRO0090")</f>
        <v>MFHRO0090</v>
      </c>
      <c r="B370" s="16">
        <f>IFERROR(__xludf.DUMMYFUNCTION("""COMPUTED_VALUE"""),45802.57990893518)</f>
        <v>45802.57991</v>
      </c>
      <c r="C370" s="17">
        <f>IFERROR(__xludf.DUMMYFUNCTION("""COMPUTED_VALUE"""),45802.67072167824)</f>
        <v>45802.67072</v>
      </c>
      <c r="D370" s="15" t="str">
        <f>IFERROR(__xludf.DUMMYFUNCTION("""COMPUTED_VALUE"""),"Helium Leak Detector")</f>
        <v>Helium Leak Detector</v>
      </c>
      <c r="E370" s="15" t="str">
        <f>IFERROR(__xludf.DUMMYFUNCTION("""COMPUTED_VALUE"""),"-")</f>
        <v>-</v>
      </c>
      <c r="F370" s="15" t="str">
        <f>IFERROR(__xludf.DUMMYFUNCTION("""COMPUTED_VALUE"""),"General - Air Gun 10 Inch; Tekiro; -; 1 pc")</f>
        <v>General - Air Gun 10 Inch; Tekiro; -; 1 pc</v>
      </c>
      <c r="G370" s="15">
        <f>IFERROR(__xludf.DUMMYFUNCTION("""COMPUTED_VALUE"""),1.0)</f>
        <v>1</v>
      </c>
      <c r="H370" s="15" t="str">
        <f>IFERROR(__xludf.DUMMYFUNCTION("""COMPUTED_VALUE"""),"Pcs")</f>
        <v>Pcs</v>
      </c>
      <c r="I370" s="15" t="str">
        <f>IFERROR(__xludf.DUMMYFUNCTION("""COMPUTED_VALUE"""),"Deliver")</f>
        <v>Deliver</v>
      </c>
      <c r="J370" s="15" t="str">
        <f>IFERROR(__xludf.DUMMYFUNCTION("""COMPUTED_VALUE"""),"-")</f>
        <v>-</v>
      </c>
      <c r="K370" s="15" t="str">
        <f>IFERROR(__xludf.DUMMYFUNCTION("""COMPUTED_VALUE"""),"-")</f>
        <v>-</v>
      </c>
      <c r="L370" s="15" t="str">
        <f>IFERROR(__xludf.DUMMYFUNCTION("""COMPUTED_VALUE"""),"Normal")</f>
        <v>Normal</v>
      </c>
      <c r="M370" s="18" t="s">
        <v>53</v>
      </c>
      <c r="N370" s="18" t="s">
        <v>54</v>
      </c>
    </row>
    <row r="371" hidden="1">
      <c r="A371" s="15" t="str">
        <f>IFERROR(__xludf.DUMMYFUNCTION("""COMPUTED_VALUE"""),"MFHRO0091")</f>
        <v>MFHRO0091</v>
      </c>
      <c r="B371" s="16">
        <f>IFERROR(__xludf.DUMMYFUNCTION("""COMPUTED_VALUE"""),45802.58307324074)</f>
        <v>45802.58307</v>
      </c>
      <c r="C371" s="17">
        <f>IFERROR(__xludf.DUMMYFUNCTION("""COMPUTED_VALUE"""),45802.670847395835)</f>
        <v>45802.67085</v>
      </c>
      <c r="D371" s="15" t="str">
        <f>IFERROR(__xludf.DUMMYFUNCTION("""COMPUTED_VALUE"""),"Helium Leak Detector")</f>
        <v>Helium Leak Detector</v>
      </c>
      <c r="E371" s="15" t="str">
        <f>IFERROR(__xludf.DUMMYFUNCTION("""COMPUTED_VALUE"""),"-")</f>
        <v>-</v>
      </c>
      <c r="F371" s="15" t="str">
        <f>IFERROR(__xludf.DUMMYFUNCTION("""COMPUTED_VALUE"""),"General - Recoil Spiral Hose dia. 5 x 8mm x 12 meter; No Brand; -; 1 pc")</f>
        <v>General - Recoil Spiral Hose dia. 5 x 8mm x 12 meter; No Brand; -; 1 pc</v>
      </c>
      <c r="G371" s="15">
        <f>IFERROR(__xludf.DUMMYFUNCTION("""COMPUTED_VALUE"""),1.0)</f>
        <v>1</v>
      </c>
      <c r="H371" s="15" t="str">
        <f>IFERROR(__xludf.DUMMYFUNCTION("""COMPUTED_VALUE"""),"Pcs")</f>
        <v>Pcs</v>
      </c>
      <c r="I371" s="15" t="str">
        <f>IFERROR(__xludf.DUMMYFUNCTION("""COMPUTED_VALUE"""),"Deliver")</f>
        <v>Deliver</v>
      </c>
      <c r="J371" s="15" t="str">
        <f>IFERROR(__xludf.DUMMYFUNCTION("""COMPUTED_VALUE"""),"-")</f>
        <v>-</v>
      </c>
      <c r="K371" s="15" t="str">
        <f>IFERROR(__xludf.DUMMYFUNCTION("""COMPUTED_VALUE"""),"-")</f>
        <v>-</v>
      </c>
      <c r="L371" s="15" t="str">
        <f>IFERROR(__xludf.DUMMYFUNCTION("""COMPUTED_VALUE"""),"Normal")</f>
        <v>Normal</v>
      </c>
      <c r="M371" s="18" t="s">
        <v>53</v>
      </c>
      <c r="N371" s="18" t="s">
        <v>54</v>
      </c>
    </row>
    <row r="372" hidden="1">
      <c r="A372" s="15" t="str">
        <f>IFERROR(__xludf.DUMMYFUNCTION("""COMPUTED_VALUE"""),"MFHRO0092")</f>
        <v>MFHRO0092</v>
      </c>
      <c r="B372" s="16">
        <f>IFERROR(__xludf.DUMMYFUNCTION("""COMPUTED_VALUE"""),45802.59393755787)</f>
        <v>45802.59394</v>
      </c>
      <c r="C372" s="17">
        <f>IFERROR(__xludf.DUMMYFUNCTION("""COMPUTED_VALUE"""),45802.67099232639)</f>
        <v>45802.67099</v>
      </c>
      <c r="D372" s="15" t="str">
        <f>IFERROR(__xludf.DUMMYFUNCTION("""COMPUTED_VALUE"""),"Sparepart")</f>
        <v>Sparepart</v>
      </c>
      <c r="E372" s="15" t="str">
        <f>IFERROR(__xludf.DUMMYFUNCTION("""COMPUTED_VALUE"""),"-")</f>
        <v>-</v>
      </c>
      <c r="F372" s="15" t="str">
        <f>IFERROR(__xludf.DUMMYFUNCTION("""COMPUTED_VALUE"""),"Racking")</f>
        <v>Racking</v>
      </c>
      <c r="G372" s="15">
        <f>IFERROR(__xludf.DUMMYFUNCTION("""COMPUTED_VALUE"""),1.0)</f>
        <v>1</v>
      </c>
      <c r="H372" s="15" t="str">
        <f>IFERROR(__xludf.DUMMYFUNCTION("""COMPUTED_VALUE"""),"Set")</f>
        <v>Set</v>
      </c>
      <c r="I372" s="15" t="str">
        <f>IFERROR(__xludf.DUMMYFUNCTION("""COMPUTED_VALUE"""),"Deliver")</f>
        <v>Deliver</v>
      </c>
      <c r="J372" s="15" t="str">
        <f>IFERROR(__xludf.DUMMYFUNCTION("""COMPUTED_VALUE"""),"-")</f>
        <v>-</v>
      </c>
      <c r="K372" s="15" t="str">
        <f>IFERROR(__xludf.DUMMYFUNCTION("""COMPUTED_VALUE"""),"-")</f>
        <v>-</v>
      </c>
      <c r="L372" s="15" t="str">
        <f>IFERROR(__xludf.DUMMYFUNCTION("""COMPUTED_VALUE"""),"Normal")</f>
        <v>Normal</v>
      </c>
      <c r="M372" s="18" t="s">
        <v>53</v>
      </c>
      <c r="N372" s="18" t="s">
        <v>54</v>
      </c>
    </row>
    <row r="373" hidden="1">
      <c r="A373" s="15" t="str">
        <f>IFERROR(__xludf.DUMMYFUNCTION("""COMPUTED_VALUE"""),"MFHRO0093")</f>
        <v>MFHRO0093</v>
      </c>
      <c r="B373" s="16">
        <f>IFERROR(__xludf.DUMMYFUNCTION("""COMPUTED_VALUE"""),45802.60101275463)</f>
        <v>45802.60101</v>
      </c>
      <c r="C373" s="17">
        <f>IFERROR(__xludf.DUMMYFUNCTION("""COMPUTED_VALUE"""),45802.67136478009)</f>
        <v>45802.67136</v>
      </c>
      <c r="D373" s="15" t="str">
        <f>IFERROR(__xludf.DUMMYFUNCTION("""COMPUTED_VALUE"""),"General")</f>
        <v>General</v>
      </c>
      <c r="E373" s="15" t="str">
        <f>IFERROR(__xludf.DUMMYFUNCTION("""COMPUTED_VALUE"""),"-")</f>
        <v>-</v>
      </c>
      <c r="F373" s="15" t="str">
        <f>IFERROR(__xludf.DUMMYFUNCTION("""COMPUTED_VALUE"""),"General - Power Supply SPA-050-24VDC; Autonics; -; 1 pc")</f>
        <v>General - Power Supply SPA-050-24VDC; Autonics; -; 1 pc</v>
      </c>
      <c r="G373" s="15">
        <f>IFERROR(__xludf.DUMMYFUNCTION("""COMPUTED_VALUE"""),3.0)</f>
        <v>3</v>
      </c>
      <c r="H373" s="15" t="str">
        <f>IFERROR(__xludf.DUMMYFUNCTION("""COMPUTED_VALUE"""),"Pcs")</f>
        <v>Pcs</v>
      </c>
      <c r="I373" s="15" t="str">
        <f>IFERROR(__xludf.DUMMYFUNCTION("""COMPUTED_VALUE"""),"Deliver")</f>
        <v>Deliver</v>
      </c>
      <c r="J373" s="15" t="str">
        <f>IFERROR(__xludf.DUMMYFUNCTION("""COMPUTED_VALUE"""),"-")</f>
        <v>-</v>
      </c>
      <c r="K373" s="15" t="str">
        <f>IFERROR(__xludf.DUMMYFUNCTION("""COMPUTED_VALUE"""),"-")</f>
        <v>-</v>
      </c>
      <c r="L373" s="15" t="str">
        <f>IFERROR(__xludf.DUMMYFUNCTION("""COMPUTED_VALUE"""),"Normal")</f>
        <v>Normal</v>
      </c>
      <c r="M373" s="18" t="s">
        <v>53</v>
      </c>
      <c r="N373" s="18" t="s">
        <v>54</v>
      </c>
    </row>
    <row r="374" hidden="1">
      <c r="A374" s="15" t="str">
        <f>IFERROR(__xludf.DUMMYFUNCTION("""COMPUTED_VALUE"""),"MFHRO0094")</f>
        <v>MFHRO0094</v>
      </c>
      <c r="B374" s="16">
        <f>IFERROR(__xludf.DUMMYFUNCTION("""COMPUTED_VALUE"""),45802.605427546296)</f>
        <v>45802.60543</v>
      </c>
      <c r="C374" s="17">
        <f>IFERROR(__xludf.DUMMYFUNCTION("""COMPUTED_VALUE"""),45802.67151083334)</f>
        <v>45802.67151</v>
      </c>
      <c r="D374" s="15" t="str">
        <f>IFERROR(__xludf.DUMMYFUNCTION("""COMPUTED_VALUE"""),"General")</f>
        <v>General</v>
      </c>
      <c r="E374" s="15" t="str">
        <f>IFERROR(__xludf.DUMMYFUNCTION("""COMPUTED_VALUE"""),"-")</f>
        <v>-</v>
      </c>
      <c r="F374" s="15" t="str">
        <f>IFERROR(__xludf.DUMMYFUNCTION("""COMPUTED_VALUE"""),"General - Lem PLastic Steel Epoxy + Hardener 5 menit; Dextone; -; 1 set")</f>
        <v>General - Lem PLastic Steel Epoxy + Hardener 5 menit; Dextone; -; 1 set</v>
      </c>
      <c r="G374" s="15">
        <f>IFERROR(__xludf.DUMMYFUNCTION("""COMPUTED_VALUE"""),6.0)</f>
        <v>6</v>
      </c>
      <c r="H374" s="15" t="str">
        <f>IFERROR(__xludf.DUMMYFUNCTION("""COMPUTED_VALUE"""),"Pcs")</f>
        <v>Pcs</v>
      </c>
      <c r="I374" s="15" t="str">
        <f>IFERROR(__xludf.DUMMYFUNCTION("""COMPUTED_VALUE"""),"Deliver")</f>
        <v>Deliver</v>
      </c>
      <c r="J374" s="15" t="str">
        <f>IFERROR(__xludf.DUMMYFUNCTION("""COMPUTED_VALUE"""),"-")</f>
        <v>-</v>
      </c>
      <c r="K374" s="15" t="str">
        <f>IFERROR(__xludf.DUMMYFUNCTION("""COMPUTED_VALUE"""),"-")</f>
        <v>-</v>
      </c>
      <c r="L374" s="15" t="str">
        <f>IFERROR(__xludf.DUMMYFUNCTION("""COMPUTED_VALUE"""),"Normal")</f>
        <v>Normal</v>
      </c>
      <c r="M374" s="18" t="s">
        <v>53</v>
      </c>
      <c r="N374" s="18" t="s">
        <v>54</v>
      </c>
    </row>
    <row r="375" hidden="1">
      <c r="A375" s="15" t="str">
        <f>IFERROR(__xludf.DUMMYFUNCTION("""COMPUTED_VALUE"""),"MFHRO0095")</f>
        <v>MFHRO0095</v>
      </c>
      <c r="B375" s="16">
        <f>IFERROR(__xludf.DUMMYFUNCTION("""COMPUTED_VALUE"""),45802.60699534722)</f>
        <v>45802.607</v>
      </c>
      <c r="C375" s="17">
        <f>IFERROR(__xludf.DUMMYFUNCTION("""COMPUTED_VALUE"""),45802.671633171296)</f>
        <v>45802.67163</v>
      </c>
      <c r="D375" s="15" t="str">
        <f>IFERROR(__xludf.DUMMYFUNCTION("""COMPUTED_VALUE"""),"Hot Water")</f>
        <v>Hot Water</v>
      </c>
      <c r="E375" s="15" t="str">
        <f>IFERROR(__xludf.DUMMYFUNCTION("""COMPUTED_VALUE"""),"-")</f>
        <v>-</v>
      </c>
      <c r="F375" s="15" t="str">
        <f>IFERROR(__xludf.DUMMYFUNCTION("""COMPUTED_VALUE"""),"General - Water Heater Immersion 9 Element Dia 11,2 x 1800 mm, 60 KW 380V, SUS316; Custom; -; 1 pc")</f>
        <v>General - Water Heater Immersion 9 Element Dia 11,2 x 1800 mm, 60 KW 380V, SUS316; Custom; -; 1 pc</v>
      </c>
      <c r="G375" s="15">
        <f>IFERROR(__xludf.DUMMYFUNCTION("""COMPUTED_VALUE"""),1.0)</f>
        <v>1</v>
      </c>
      <c r="H375" s="15" t="str">
        <f>IFERROR(__xludf.DUMMYFUNCTION("""COMPUTED_VALUE"""),"Unt")</f>
        <v>Unt</v>
      </c>
      <c r="I375" s="15" t="str">
        <f>IFERROR(__xludf.DUMMYFUNCTION("""COMPUTED_VALUE"""),"Deliver")</f>
        <v>Deliver</v>
      </c>
      <c r="J375" s="15" t="str">
        <f>IFERROR(__xludf.DUMMYFUNCTION("""COMPUTED_VALUE"""),"-")</f>
        <v>-</v>
      </c>
      <c r="K375" s="15" t="str">
        <f>IFERROR(__xludf.DUMMYFUNCTION("""COMPUTED_VALUE"""),"-")</f>
        <v>-</v>
      </c>
      <c r="L375" s="15" t="str">
        <f>IFERROR(__xludf.DUMMYFUNCTION("""COMPUTED_VALUE"""),"Normal")</f>
        <v>Normal</v>
      </c>
      <c r="M375" s="18" t="s">
        <v>53</v>
      </c>
      <c r="N375" s="18" t="s">
        <v>54</v>
      </c>
    </row>
    <row r="376" hidden="1">
      <c r="A376" s="15" t="str">
        <f>IFERROR(__xludf.DUMMYFUNCTION("""COMPUTED_VALUE"""),"MFHRO0096")</f>
        <v>MFHRO0096</v>
      </c>
      <c r="B376" s="16">
        <f>IFERROR(__xludf.DUMMYFUNCTION("""COMPUTED_VALUE"""),45802.60812542824)</f>
        <v>45802.60813</v>
      </c>
      <c r="C376" s="17">
        <f>IFERROR(__xludf.DUMMYFUNCTION("""COMPUTED_VALUE"""),45802.671766597225)</f>
        <v>45802.67177</v>
      </c>
      <c r="D376" s="15" t="str">
        <f>IFERROR(__xludf.DUMMYFUNCTION("""COMPUTED_VALUE"""),"Mixing")</f>
        <v>Mixing</v>
      </c>
      <c r="E376" s="15" t="str">
        <f>IFERROR(__xludf.DUMMYFUNCTION("""COMPUTED_VALUE"""),"-")</f>
        <v>-</v>
      </c>
      <c r="F376" s="15" t="str">
        <f>IFERROR(__xludf.DUMMYFUNCTION("""COMPUTED_VALUE"""),"General - Sensor PH Meter Type : InPro3250/120/PT1000; Mettler Toledo; 52002548; 1 Pc")</f>
        <v>General - Sensor PH Meter Type : InPro3250/120/PT1000; Mettler Toledo; 52002548; 1 Pc</v>
      </c>
      <c r="G376" s="15">
        <f>IFERROR(__xludf.DUMMYFUNCTION("""COMPUTED_VALUE"""),1.0)</f>
        <v>1</v>
      </c>
      <c r="H376" s="15" t="str">
        <f>IFERROR(__xludf.DUMMYFUNCTION("""COMPUTED_VALUE"""),"Pcs")</f>
        <v>Pcs</v>
      </c>
      <c r="I376" s="15" t="str">
        <f>IFERROR(__xludf.DUMMYFUNCTION("""COMPUTED_VALUE"""),"Deliver")</f>
        <v>Deliver</v>
      </c>
      <c r="J376" s="15" t="str">
        <f>IFERROR(__xludf.DUMMYFUNCTION("""COMPUTED_VALUE"""),"-")</f>
        <v>-</v>
      </c>
      <c r="K376" s="15" t="str">
        <f>IFERROR(__xludf.DUMMYFUNCTION("""COMPUTED_VALUE"""),"-")</f>
        <v>-</v>
      </c>
      <c r="L376" s="15" t="str">
        <f>IFERROR(__xludf.DUMMYFUNCTION("""COMPUTED_VALUE"""),"Normal")</f>
        <v>Normal</v>
      </c>
      <c r="M376" s="18" t="s">
        <v>53</v>
      </c>
      <c r="N376" s="18" t="s">
        <v>54</v>
      </c>
    </row>
    <row r="377" hidden="1">
      <c r="A377" s="15" t="str">
        <f>IFERROR(__xludf.DUMMYFUNCTION("""COMPUTED_VALUE"""),"MFHRO0097")</f>
        <v>MFHRO0097</v>
      </c>
      <c r="B377" s="16">
        <f>IFERROR(__xludf.DUMMYFUNCTION("""COMPUTED_VALUE"""),45802.60982866898)</f>
        <v>45802.60983</v>
      </c>
      <c r="C377" s="17">
        <f>IFERROR(__xludf.DUMMYFUNCTION("""COMPUTED_VALUE"""),45802.67191667824)</f>
        <v>45802.67192</v>
      </c>
      <c r="D377" s="15" t="str">
        <f>IFERROR(__xludf.DUMMYFUNCTION("""COMPUTED_VALUE"""),"General")</f>
        <v>General</v>
      </c>
      <c r="E377" s="15" t="str">
        <f>IFERROR(__xludf.DUMMYFUNCTION("""COMPUTED_VALUE"""),"-")</f>
        <v>-</v>
      </c>
      <c r="F377" s="15" t="str">
        <f>IFERROR(__xludf.DUMMYFUNCTION("""COMPUTED_VALUE"""),"General - Contact cleaner WD 40; No Brand; -; 382gr/can")</f>
        <v>General - Contact cleaner WD 40; No Brand; -; 382gr/can</v>
      </c>
      <c r="G377" s="15">
        <f>IFERROR(__xludf.DUMMYFUNCTION("""COMPUTED_VALUE"""),5.0)</f>
        <v>5</v>
      </c>
      <c r="H377" s="15" t="str">
        <f>IFERROR(__xludf.DUMMYFUNCTION("""COMPUTED_VALUE"""),"Pcs")</f>
        <v>Pcs</v>
      </c>
      <c r="I377" s="15" t="str">
        <f>IFERROR(__xludf.DUMMYFUNCTION("""COMPUTED_VALUE"""),"Deliver")</f>
        <v>Deliver</v>
      </c>
      <c r="J377" s="15" t="str">
        <f>IFERROR(__xludf.DUMMYFUNCTION("""COMPUTED_VALUE"""),"-")</f>
        <v>-</v>
      </c>
      <c r="K377" s="15" t="str">
        <f>IFERROR(__xludf.DUMMYFUNCTION("""COMPUTED_VALUE"""),"-")</f>
        <v>-</v>
      </c>
      <c r="L377" s="15" t="str">
        <f>IFERROR(__xludf.DUMMYFUNCTION("""COMPUTED_VALUE"""),"Normal")</f>
        <v>Normal</v>
      </c>
      <c r="M377" s="18" t="s">
        <v>53</v>
      </c>
      <c r="N377" s="18" t="s">
        <v>54</v>
      </c>
    </row>
    <row r="378" hidden="1">
      <c r="A378" s="15" t="str">
        <f>IFERROR(__xludf.DUMMYFUNCTION("""COMPUTED_VALUE"""),"MFHRO0098")</f>
        <v>MFHRO0098</v>
      </c>
      <c r="B378" s="16">
        <f>IFERROR(__xludf.DUMMYFUNCTION("""COMPUTED_VALUE"""),45802.61179489584)</f>
        <v>45802.61179</v>
      </c>
      <c r="C378" s="17">
        <f>IFERROR(__xludf.DUMMYFUNCTION("""COMPUTED_VALUE"""),45802.67204150463)</f>
        <v>45802.67204</v>
      </c>
      <c r="D378" s="15" t="str">
        <f>IFERROR(__xludf.DUMMYFUNCTION("""COMPUTED_VALUE"""),"Office")</f>
        <v>Office</v>
      </c>
      <c r="E378" s="15" t="str">
        <f>IFERROR(__xludf.DUMMYFUNCTION("""COMPUTED_VALUE"""),"-")</f>
        <v>-</v>
      </c>
      <c r="F378" s="15" t="str">
        <f>IFERROR(__xludf.DUMMYFUNCTION("""COMPUTED_VALUE"""),"Ladder with Cushion Foam 4 Step BLKYS2462P; Krisbow; 294499;")</f>
        <v>Ladder with Cushion Foam 4 Step BLKYS2462P; Krisbow; 294499;</v>
      </c>
      <c r="G378" s="15">
        <f>IFERROR(__xludf.DUMMYFUNCTION("""COMPUTED_VALUE"""),1.0)</f>
        <v>1</v>
      </c>
      <c r="H378" s="15" t="str">
        <f>IFERROR(__xludf.DUMMYFUNCTION("""COMPUTED_VALUE"""),"pcs")</f>
        <v>pcs</v>
      </c>
      <c r="I378" s="15" t="str">
        <f>IFERROR(__xludf.DUMMYFUNCTION("""COMPUTED_VALUE"""),"Deliver")</f>
        <v>Deliver</v>
      </c>
      <c r="J378" s="15" t="str">
        <f>IFERROR(__xludf.DUMMYFUNCTION("""COMPUTED_VALUE"""),"-")</f>
        <v>-</v>
      </c>
      <c r="K378" s="15" t="str">
        <f>IFERROR(__xludf.DUMMYFUNCTION("""COMPUTED_VALUE"""),"-")</f>
        <v>-</v>
      </c>
      <c r="L378" s="15" t="str">
        <f>IFERROR(__xludf.DUMMYFUNCTION("""COMPUTED_VALUE"""),"Normal")</f>
        <v>Normal</v>
      </c>
      <c r="M378" s="18" t="s">
        <v>53</v>
      </c>
      <c r="N378" s="18" t="s">
        <v>54</v>
      </c>
    </row>
    <row r="379" hidden="1">
      <c r="A379" s="15" t="str">
        <f>IFERROR(__xludf.DUMMYFUNCTION("""COMPUTED_VALUE"""),"MFHRO0099")</f>
        <v>MFHRO0099</v>
      </c>
      <c r="B379" s="16">
        <f>IFERROR(__xludf.DUMMYFUNCTION("""COMPUTED_VALUE"""),45802.61272883102)</f>
        <v>45802.61273</v>
      </c>
      <c r="C379" s="17">
        <f>IFERROR(__xludf.DUMMYFUNCTION("""COMPUTED_VALUE"""),45802.67216043981)</f>
        <v>45802.67216</v>
      </c>
      <c r="D379" s="15" t="str">
        <f>IFERROR(__xludf.DUMMYFUNCTION("""COMPUTED_VALUE"""),"HPLC")</f>
        <v>HPLC</v>
      </c>
      <c r="E379" s="15" t="str">
        <f>IFERROR(__xludf.DUMMYFUNCTION("""COMPUTED_VALUE"""),"-")</f>
        <v>-</v>
      </c>
      <c r="F379" s="15" t="str">
        <f>IFERROR(__xludf.DUMMYFUNCTION("""COMPUTED_VALUE"""),"Kit, Performance PLUS seal pack rebuild; Waters; 700011783; 1 pieces / pack")</f>
        <v>Kit, Performance PLUS seal pack rebuild; Waters; 700011783; 1 pieces / pack</v>
      </c>
      <c r="G379" s="15">
        <f>IFERROR(__xludf.DUMMYFUNCTION("""COMPUTED_VALUE"""),1.0)</f>
        <v>1</v>
      </c>
      <c r="H379" s="15" t="str">
        <f>IFERROR(__xludf.DUMMYFUNCTION("""COMPUTED_VALUE"""),"Pcs")</f>
        <v>Pcs</v>
      </c>
      <c r="I379" s="15" t="str">
        <f>IFERROR(__xludf.DUMMYFUNCTION("""COMPUTED_VALUE"""),"Deliver")</f>
        <v>Deliver</v>
      </c>
      <c r="J379" s="15" t="str">
        <f>IFERROR(__xludf.DUMMYFUNCTION("""COMPUTED_VALUE"""),"-")</f>
        <v>-</v>
      </c>
      <c r="K379" s="15" t="str">
        <f>IFERROR(__xludf.DUMMYFUNCTION("""COMPUTED_VALUE"""),"-")</f>
        <v>-</v>
      </c>
      <c r="L379" s="15" t="str">
        <f>IFERROR(__xludf.DUMMYFUNCTION("""COMPUTED_VALUE"""),"Normal")</f>
        <v>Normal</v>
      </c>
      <c r="M379" s="18" t="s">
        <v>53</v>
      </c>
      <c r="N379" s="18" t="s">
        <v>54</v>
      </c>
    </row>
    <row r="380" hidden="1">
      <c r="A380" s="15" t="str">
        <f>IFERROR(__xludf.DUMMYFUNCTION("""COMPUTED_VALUE"""),"MFHBR0006")</f>
        <v>MFHBR0006</v>
      </c>
      <c r="B380" s="16">
        <f>IFERROR(__xludf.DUMMYFUNCTION("""COMPUTED_VALUE"""),45802.54709849537)</f>
        <v>45802.5471</v>
      </c>
      <c r="C380" s="17">
        <f>IFERROR(__xludf.DUMMYFUNCTION("""COMPUTED_VALUE"""),45802.67232645833)</f>
        <v>45802.67233</v>
      </c>
      <c r="D380" s="15" t="str">
        <f>IFERROR(__xludf.DUMMYFUNCTION("""COMPUTED_VALUE"""),"Pompa")</f>
        <v>Pompa</v>
      </c>
      <c r="E380" s="15" t="str">
        <f>IFERROR(__xludf.DUMMYFUNCTION("""COMPUTED_VALUE"""),"-")</f>
        <v>-</v>
      </c>
      <c r="F380" s="15" t="str">
        <f>IFERROR(__xludf.DUMMYFUNCTION("""COMPUTED_VALUE"""),"Pompa Grundfoss")</f>
        <v>Pompa Grundfoss</v>
      </c>
      <c r="G380" s="15">
        <f>IFERROR(__xludf.DUMMYFUNCTION("""COMPUTED_VALUE"""),1.0)</f>
        <v>1</v>
      </c>
      <c r="H380" s="15" t="str">
        <f>IFERROR(__xludf.DUMMYFUNCTION("""COMPUTED_VALUE"""),"Unt")</f>
        <v>Unt</v>
      </c>
      <c r="I380" s="15" t="str">
        <f>IFERROR(__xludf.DUMMYFUNCTION("""COMPUTED_VALUE"""),"Deliver")</f>
        <v>Deliver</v>
      </c>
      <c r="J380" s="15" t="str">
        <f>IFERROR(__xludf.DUMMYFUNCTION("""COMPUTED_VALUE"""),"-")</f>
        <v>-</v>
      </c>
      <c r="K380" s="15" t="str">
        <f>IFERROR(__xludf.DUMMYFUNCTION("""COMPUTED_VALUE"""),"-")</f>
        <v>-</v>
      </c>
      <c r="L380" s="15" t="str">
        <f>IFERROR(__xludf.DUMMYFUNCTION("""COMPUTED_VALUE"""),"Normal")</f>
        <v>Normal</v>
      </c>
      <c r="M380" s="18" t="s">
        <v>53</v>
      </c>
      <c r="N380" s="18" t="s">
        <v>54</v>
      </c>
    </row>
    <row r="381" hidden="1">
      <c r="A381" s="15" t="str">
        <f>IFERROR(__xludf.DUMMYFUNCTION("""COMPUTED_VALUE"""),"MFHJA0014")</f>
        <v>MFHJA0014</v>
      </c>
      <c r="B381" s="16">
        <f>IFERROR(__xludf.DUMMYFUNCTION("""COMPUTED_VALUE"""),45802.56572881944)</f>
        <v>45802.56573</v>
      </c>
      <c r="C381" s="17">
        <f>IFERROR(__xludf.DUMMYFUNCTION("""COMPUTED_VALUE"""),45802.67255756944)</f>
        <v>45802.67256</v>
      </c>
      <c r="D381" s="15" t="str">
        <f>IFERROR(__xludf.DUMMYFUNCTION("""COMPUTED_VALUE"""),"Lab")</f>
        <v>Lab</v>
      </c>
      <c r="E381" s="15" t="str">
        <f>IFERROR(__xludf.DUMMYFUNCTION("""COMPUTED_VALUE"""),"-")</f>
        <v>-</v>
      </c>
      <c r="F381" s="15" t="str">
        <f>IFERROR(__xludf.DUMMYFUNCTION("""COMPUTED_VALUE"""),"Rewinding Exhaust")</f>
        <v>Rewinding Exhaust</v>
      </c>
      <c r="G381" s="15">
        <f>IFERROR(__xludf.DUMMYFUNCTION("""COMPUTED_VALUE"""),1.0)</f>
        <v>1</v>
      </c>
      <c r="H381" s="15" t="str">
        <f>IFERROR(__xludf.DUMMYFUNCTION("""COMPUTED_VALUE"""),"Lot")</f>
        <v>Lot</v>
      </c>
      <c r="I381" s="15" t="str">
        <f>IFERROR(__xludf.DUMMYFUNCTION("""COMPUTED_VALUE"""),"Deliver")</f>
        <v>Deliver</v>
      </c>
      <c r="J381" s="15" t="str">
        <f>IFERROR(__xludf.DUMMYFUNCTION("""COMPUTED_VALUE"""),"-")</f>
        <v>-</v>
      </c>
      <c r="K381" s="15" t="str">
        <f>IFERROR(__xludf.DUMMYFUNCTION("""COMPUTED_VALUE"""),"-")</f>
        <v>-</v>
      </c>
      <c r="L381" s="15" t="str">
        <f>IFERROR(__xludf.DUMMYFUNCTION("""COMPUTED_VALUE"""),"Normal")</f>
        <v>Normal</v>
      </c>
      <c r="M381" s="18" t="s">
        <v>53</v>
      </c>
      <c r="N381" s="18" t="s">
        <v>54</v>
      </c>
    </row>
    <row r="382" hidden="1">
      <c r="A382" s="15" t="str">
        <f>IFERROR(__xludf.DUMMYFUNCTION("""COMPUTED_VALUE"""),"MFHJA0015")</f>
        <v>MFHJA0015</v>
      </c>
      <c r="B382" s="16">
        <f>IFERROR(__xludf.DUMMYFUNCTION("""COMPUTED_VALUE"""),45802.59963862268)</f>
        <v>45802.59964</v>
      </c>
      <c r="C382" s="17">
        <f>IFERROR(__xludf.DUMMYFUNCTION("""COMPUTED_VALUE"""),45802.67268100695)</f>
        <v>45802.67268</v>
      </c>
      <c r="D382" s="15" t="str">
        <f>IFERROR(__xludf.DUMMYFUNCTION("""COMPUTED_VALUE"""),"Building")</f>
        <v>Building</v>
      </c>
      <c r="E382" s="15" t="str">
        <f>IFERROR(__xludf.DUMMYFUNCTION("""COMPUTED_VALUE"""),"-")</f>
        <v>-</v>
      </c>
      <c r="F382" s="15" t="str">
        <f>IFERROR(__xludf.DUMMYFUNCTION("""COMPUTED_VALUE"""),"Jendela Anti Embun")</f>
        <v>Jendela Anti Embun</v>
      </c>
      <c r="G382" s="15">
        <f>IFERROR(__xludf.DUMMYFUNCTION("""COMPUTED_VALUE"""),1.0)</f>
        <v>1</v>
      </c>
      <c r="H382" s="15" t="str">
        <f>IFERROR(__xludf.DUMMYFUNCTION("""COMPUTED_VALUE"""),"Lot")</f>
        <v>Lot</v>
      </c>
      <c r="I382" s="15" t="str">
        <f>IFERROR(__xludf.DUMMYFUNCTION("""COMPUTED_VALUE"""),"Deliver")</f>
        <v>Deliver</v>
      </c>
      <c r="J382" s="15" t="str">
        <f>IFERROR(__xludf.DUMMYFUNCTION("""COMPUTED_VALUE"""),"-")</f>
        <v>-</v>
      </c>
      <c r="K382" s="15" t="str">
        <f>IFERROR(__xludf.DUMMYFUNCTION("""COMPUTED_VALUE"""),"-")</f>
        <v>-</v>
      </c>
      <c r="L382" s="15" t="str">
        <f>IFERROR(__xludf.DUMMYFUNCTION("""COMPUTED_VALUE"""),"Normal")</f>
        <v>Normal</v>
      </c>
      <c r="M382" s="18" t="s">
        <v>53</v>
      </c>
      <c r="N382" s="18" t="s">
        <v>54</v>
      </c>
    </row>
    <row r="383" hidden="1">
      <c r="A383" s="15" t="str">
        <f>IFERROR(__xludf.DUMMYFUNCTION("""COMPUTED_VALUE"""),"MFHJA0016")</f>
        <v>MFHJA0016</v>
      </c>
      <c r="B383" s="16">
        <f>IFERROR(__xludf.DUMMYFUNCTION("""COMPUTED_VALUE"""),45802.603660671295)</f>
        <v>45802.60366</v>
      </c>
      <c r="C383" s="17">
        <f>IFERROR(__xludf.DUMMYFUNCTION("""COMPUTED_VALUE"""),45802.6728112037)</f>
        <v>45802.67281</v>
      </c>
      <c r="D383" s="15" t="str">
        <f>IFERROR(__xludf.DUMMYFUNCTION("""COMPUTED_VALUE"""),"BAS")</f>
        <v>BAS</v>
      </c>
      <c r="E383" s="15" t="str">
        <f>IFERROR(__xludf.DUMMYFUNCTION("""COMPUTED_VALUE"""),"-")</f>
        <v>-</v>
      </c>
      <c r="F383" s="15" t="str">
        <f>IFERROR(__xludf.DUMMYFUNCTION("""COMPUTED_VALUE"""),"Re Termination dan Re Program BAS")</f>
        <v>Re Termination dan Re Program BAS</v>
      </c>
      <c r="G383" s="15">
        <f>IFERROR(__xludf.DUMMYFUNCTION("""COMPUTED_VALUE"""),1.0)</f>
        <v>1</v>
      </c>
      <c r="H383" s="15" t="str">
        <f>IFERROR(__xludf.DUMMYFUNCTION("""COMPUTED_VALUE"""),"Lot")</f>
        <v>Lot</v>
      </c>
      <c r="I383" s="15" t="str">
        <f>IFERROR(__xludf.DUMMYFUNCTION("""COMPUTED_VALUE"""),"Deliver")</f>
        <v>Deliver</v>
      </c>
      <c r="J383" s="15" t="str">
        <f>IFERROR(__xludf.DUMMYFUNCTION("""COMPUTED_VALUE"""),"-")</f>
        <v>-</v>
      </c>
      <c r="K383" s="15" t="str">
        <f>IFERROR(__xludf.DUMMYFUNCTION("""COMPUTED_VALUE"""),"-")</f>
        <v>-</v>
      </c>
      <c r="L383" s="15" t="str">
        <f>IFERROR(__xludf.DUMMYFUNCTION("""COMPUTED_VALUE"""),"Normal")</f>
        <v>Normal</v>
      </c>
      <c r="M383" s="18" t="s">
        <v>53</v>
      </c>
      <c r="N383" s="18" t="s">
        <v>54</v>
      </c>
    </row>
    <row r="384" hidden="1">
      <c r="A384" s="15" t="str">
        <f>IFERROR(__xludf.DUMMYFUNCTION("""COMPUTED_VALUE"""),"RIARO0037")</f>
        <v>RIARO0037</v>
      </c>
      <c r="B384" s="16">
        <f>IFERROR(__xludf.DUMMYFUNCTION("""COMPUTED_VALUE"""),45800.69458466435)</f>
        <v>45800.69458</v>
      </c>
      <c r="C384" s="17">
        <f>IFERROR(__xludf.DUMMYFUNCTION("""COMPUTED_VALUE"""),45803.357128587966)</f>
        <v>45803.35713</v>
      </c>
      <c r="D384" s="15" t="str">
        <f>IFERROR(__xludf.DUMMYFUNCTION("""COMPUTED_VALUE"""),"Alarm System")</f>
        <v>Alarm System</v>
      </c>
      <c r="E384" s="15" t="str">
        <f>IFERROR(__xludf.DUMMYFUNCTION("""COMPUTED_VALUE"""),"-")</f>
        <v>-</v>
      </c>
      <c r="F384" s="15" t="str">
        <f>IFERROR(__xludf.DUMMYFUNCTION("""COMPUTED_VALUE"""),"Timer + Socket Omron 43BA-A8 220 VAC; ; ;")</f>
        <v>Timer + Socket Omron 43BA-A8 220 VAC; ; ;</v>
      </c>
      <c r="G384" s="15">
        <f>IFERROR(__xludf.DUMMYFUNCTION("""COMPUTED_VALUE"""),5.0)</f>
        <v>5</v>
      </c>
      <c r="H384" s="15" t="str">
        <f>IFERROR(__xludf.DUMMYFUNCTION("""COMPUTED_VALUE"""),"Set")</f>
        <v>Set</v>
      </c>
      <c r="I384" s="15" t="str">
        <f>IFERROR(__xludf.DUMMYFUNCTION("""COMPUTED_VALUE"""),"Deliver")</f>
        <v>Deliver</v>
      </c>
      <c r="J384" s="15" t="str">
        <f>IFERROR(__xludf.DUMMYFUNCTION("""COMPUTED_VALUE"""),"-")</f>
        <v>-</v>
      </c>
      <c r="K384" s="15" t="str">
        <f>IFERROR(__xludf.DUMMYFUNCTION("""COMPUTED_VALUE"""),"-")</f>
        <v>-</v>
      </c>
      <c r="L384" s="15" t="str">
        <f>IFERROR(__xludf.DUMMYFUNCTION("""COMPUTED_VALUE"""),"Normal")</f>
        <v>Normal</v>
      </c>
      <c r="M384" s="18" t="s">
        <v>32</v>
      </c>
      <c r="N384" s="18" t="s">
        <v>28</v>
      </c>
    </row>
    <row r="385" hidden="1">
      <c r="A385" s="15" t="str">
        <f>IFERROR(__xludf.DUMMYFUNCTION("""COMPUTED_VALUE"""),"MOBRO0044")</f>
        <v>MOBRO0044</v>
      </c>
      <c r="B385" s="16">
        <f>IFERROR(__xludf.DUMMYFUNCTION("""COMPUTED_VALUE"""),45803.68384538195)</f>
        <v>45803.68385</v>
      </c>
      <c r="C385" s="17">
        <f>IFERROR(__xludf.DUMMYFUNCTION("""COMPUTED_VALUE"""),45804.66052142361)</f>
        <v>45804.66052</v>
      </c>
      <c r="D385" s="15" t="str">
        <f>IFERROR(__xludf.DUMMYFUNCTION("""COMPUTED_VALUE"""),"PSG")</f>
        <v>PSG</v>
      </c>
      <c r="E385" s="15" t="str">
        <f>IFERROR(__xludf.DUMMYFUNCTION("""COMPUTED_VALUE"""),"EJO/2025/02/57")</f>
        <v>EJO/2025/02/57</v>
      </c>
      <c r="F385" s="15" t="str">
        <f>IFERROR(__xludf.DUMMYFUNCTION("""COMPUTED_VALUE"""),"Gland Packing Teflon PTFE 6x6; ; ;")</f>
        <v>Gland Packing Teflon PTFE 6x6; ; ;</v>
      </c>
      <c r="G385" s="15">
        <f>IFERROR(__xludf.DUMMYFUNCTION("""COMPUTED_VALUE"""),5.0)</f>
        <v>5</v>
      </c>
      <c r="H385" s="15" t="str">
        <f>IFERROR(__xludf.DUMMYFUNCTION("""COMPUTED_VALUE"""),"Meter")</f>
        <v>Meter</v>
      </c>
      <c r="I385" s="15" t="str">
        <f>IFERROR(__xludf.DUMMYFUNCTION("""COMPUTED_VALUE"""),"Deliver")</f>
        <v>Deliver</v>
      </c>
      <c r="J385" s="15" t="str">
        <f>IFERROR(__xludf.DUMMYFUNCTION("""COMPUTED_VALUE"""),"-")</f>
        <v>-</v>
      </c>
      <c r="K385" s="15" t="str">
        <f>IFERROR(__xludf.DUMMYFUNCTION("""COMPUTED_VALUE"""),"-")</f>
        <v>-</v>
      </c>
      <c r="L385" s="15" t="str">
        <f>IFERROR(__xludf.DUMMYFUNCTION("""COMPUTED_VALUE"""),"Normal")</f>
        <v>Normal</v>
      </c>
      <c r="M385" s="18" t="s">
        <v>31</v>
      </c>
      <c r="N385" s="18" t="s">
        <v>28</v>
      </c>
    </row>
    <row r="386" hidden="1">
      <c r="A386" s="15" t="str">
        <f>IFERROR(__xludf.DUMMYFUNCTION("""COMPUTED_VALUE"""),"SFHRO0007")</f>
        <v>SFHRO0007</v>
      </c>
      <c r="B386" s="16">
        <f>IFERROR(__xludf.DUMMYFUNCTION("""COMPUTED_VALUE"""),45803.68504069444)</f>
        <v>45803.68504</v>
      </c>
      <c r="C386" s="17">
        <f>IFERROR(__xludf.DUMMYFUNCTION("""COMPUTED_VALUE"""),45804.66281483796)</f>
        <v>45804.66281</v>
      </c>
      <c r="D386" s="15" t="str">
        <f>IFERROR(__xludf.DUMMYFUNCTION("""COMPUTED_VALUE"""),"lantai 2")</f>
        <v>lantai 2</v>
      </c>
      <c r="E386" s="15" t="str">
        <f>IFERROR(__xludf.DUMMYFUNCTION("""COMPUTED_VALUE"""),"EJO/2025/05/64")</f>
        <v>EJO/2025/05/64</v>
      </c>
      <c r="F386" s="15" t="str">
        <f>IFERROR(__xludf.DUMMYFUNCTION("""COMPUTED_VALUE"""),"Cat Dustproof Propan Decor DAE 550 Peacock Blue; ; ; - TEAL-5412")</f>
        <v>Cat Dustproof Propan Decor DAE 550 Peacock Blue; ; ; - TEAL-5412</v>
      </c>
      <c r="G386" s="15">
        <f>IFERROR(__xludf.DUMMYFUNCTION("""COMPUTED_VALUE"""),4.0)</f>
        <v>4</v>
      </c>
      <c r="H386" s="15" t="str">
        <f>IFERROR(__xludf.DUMMYFUNCTION("""COMPUTED_VALUE"""),"pel")</f>
        <v>pel</v>
      </c>
      <c r="I386" s="15" t="str">
        <f>IFERROR(__xludf.DUMMYFUNCTION("""COMPUTED_VALUE"""),"Deliver")</f>
        <v>Deliver</v>
      </c>
      <c r="J386" s="15" t="str">
        <f>IFERROR(__xludf.DUMMYFUNCTION("""COMPUTED_VALUE"""),"-")</f>
        <v>-</v>
      </c>
      <c r="K386" s="15" t="str">
        <f>IFERROR(__xludf.DUMMYFUNCTION("""COMPUTED_VALUE"""),"-")</f>
        <v>-</v>
      </c>
      <c r="L386" s="15" t="str">
        <f>IFERROR(__xludf.DUMMYFUNCTION("""COMPUTED_VALUE"""),"Normal")</f>
        <v>Normal</v>
      </c>
      <c r="M386" s="18" t="s">
        <v>27</v>
      </c>
      <c r="N386" s="18" t="s">
        <v>28</v>
      </c>
    </row>
    <row r="387" hidden="1">
      <c r="A387" s="15" t="str">
        <f>IFERROR(__xludf.DUMMYFUNCTION("""COMPUTED_VALUE"""),"AAABR0003")</f>
        <v>AAABR0003</v>
      </c>
      <c r="B387" s="16">
        <f>IFERROR(__xludf.DUMMYFUNCTION("""COMPUTED_VALUE"""),45791.40675410879)</f>
        <v>45791.40675</v>
      </c>
      <c r="C387" s="17">
        <f>IFERROR(__xludf.DUMMYFUNCTION("""COMPUTED_VALUE"""),45810.71426321759)</f>
        <v>45810.71426</v>
      </c>
      <c r="D387" s="15" t="str">
        <f>IFERROR(__xludf.DUMMYFUNCTION("""COMPUTED_VALUE"""),"General")</f>
        <v>General</v>
      </c>
      <c r="E387" s="15" t="str">
        <f>IFERROR(__xludf.DUMMYFUNCTION("""COMPUTED_VALUE"""),"NA")</f>
        <v>NA</v>
      </c>
      <c r="F387" s="15" t="str">
        <f>IFERROR(__xludf.DUMMYFUNCTION("""COMPUTED_VALUE"""),"Kunci Inggris ")</f>
        <v>Kunci Inggris </v>
      </c>
      <c r="G387" s="15">
        <f>IFERROR(__xludf.DUMMYFUNCTION("""COMPUTED_VALUE"""),1.0)</f>
        <v>1</v>
      </c>
      <c r="H387" s="15" t="str">
        <f>IFERROR(__xludf.DUMMYFUNCTION("""COMPUTED_VALUE"""),"Unit")</f>
        <v>Unit</v>
      </c>
      <c r="I387" s="15" t="str">
        <f>IFERROR(__xludf.DUMMYFUNCTION("""COMPUTED_VALUE"""),"Deliver")</f>
        <v>Deliver</v>
      </c>
      <c r="J387" s="15" t="str">
        <f>IFERROR(__xludf.DUMMYFUNCTION("""COMPUTED_VALUE"""),"-")</f>
        <v>-</v>
      </c>
      <c r="K387" s="15" t="str">
        <f>IFERROR(__xludf.DUMMYFUNCTION("""COMPUTED_VALUE"""),"-")</f>
        <v>-</v>
      </c>
      <c r="L387" s="15" t="str">
        <f>IFERROR(__xludf.DUMMYFUNCTION("""COMPUTED_VALUE"""),"Normal")</f>
        <v>Normal</v>
      </c>
      <c r="M387" s="18" t="s">
        <v>47</v>
      </c>
      <c r="N387" s="18" t="s">
        <v>30</v>
      </c>
    </row>
    <row r="388" hidden="1">
      <c r="A388" s="15" t="str">
        <f>IFERROR(__xludf.DUMMYFUNCTION("""COMPUTED_VALUE"""),"AAABR0004")</f>
        <v>AAABR0004</v>
      </c>
      <c r="B388" s="16">
        <f>IFERROR(__xludf.DUMMYFUNCTION("""COMPUTED_VALUE"""),45791.40853461806)</f>
        <v>45791.40853</v>
      </c>
      <c r="C388" s="17">
        <f>IFERROR(__xludf.DUMMYFUNCTION("""COMPUTED_VALUE"""),45810.7145059838)</f>
        <v>45810.71451</v>
      </c>
      <c r="D388" s="15" t="str">
        <f>IFERROR(__xludf.DUMMYFUNCTION("""COMPUTED_VALUE"""),"General")</f>
        <v>General</v>
      </c>
      <c r="E388" s="15" t="str">
        <f>IFERROR(__xludf.DUMMYFUNCTION("""COMPUTED_VALUE"""),"NA")</f>
        <v>NA</v>
      </c>
      <c r="F388" s="15" t="str">
        <f>IFERROR(__xludf.DUMMYFUNCTION("""COMPUTED_VALUE"""),"Kunci Pipa")</f>
        <v>Kunci Pipa</v>
      </c>
      <c r="G388" s="15">
        <f>IFERROR(__xludf.DUMMYFUNCTION("""COMPUTED_VALUE"""),1.0)</f>
        <v>1</v>
      </c>
      <c r="H388" s="15" t="str">
        <f>IFERROR(__xludf.DUMMYFUNCTION("""COMPUTED_VALUE"""),"Unit")</f>
        <v>Unit</v>
      </c>
      <c r="I388" s="15" t="str">
        <f>IFERROR(__xludf.DUMMYFUNCTION("""COMPUTED_VALUE"""),"Deliver")</f>
        <v>Deliver</v>
      </c>
      <c r="J388" s="15" t="str">
        <f>IFERROR(__xludf.DUMMYFUNCTION("""COMPUTED_VALUE"""),"-")</f>
        <v>-</v>
      </c>
      <c r="K388" s="15" t="str">
        <f>IFERROR(__xludf.DUMMYFUNCTION("""COMPUTED_VALUE"""),"-")</f>
        <v>-</v>
      </c>
      <c r="L388" s="15" t="str">
        <f>IFERROR(__xludf.DUMMYFUNCTION("""COMPUTED_VALUE"""),"Normal")</f>
        <v>Normal</v>
      </c>
      <c r="M388" s="18" t="s">
        <v>47</v>
      </c>
      <c r="N388" s="18" t="s">
        <v>30</v>
      </c>
    </row>
    <row r="389" hidden="1">
      <c r="A389" s="15" t="str">
        <f>IFERROR(__xludf.DUMMYFUNCTION("""COMPUTED_VALUE"""),"AAABR0005")</f>
        <v>AAABR0005</v>
      </c>
      <c r="B389" s="16">
        <f>IFERROR(__xludf.DUMMYFUNCTION("""COMPUTED_VALUE"""),45801.68770369212)</f>
        <v>45801.6877</v>
      </c>
      <c r="C389" s="17">
        <f>IFERROR(__xludf.DUMMYFUNCTION("""COMPUTED_VALUE"""),45810.71553498843)</f>
        <v>45810.71553</v>
      </c>
      <c r="D389" s="15" t="str">
        <f>IFERROR(__xludf.DUMMYFUNCTION("""COMPUTED_VALUE"""),"Meja Goodman")</f>
        <v>Meja Goodman</v>
      </c>
      <c r="E389" s="15" t="str">
        <f>IFERROR(__xludf.DUMMYFUNCTION("""COMPUTED_VALUE"""),"NA")</f>
        <v>NA</v>
      </c>
      <c r="F389" s="15" t="str">
        <f>IFERROR(__xludf.DUMMYFUNCTION("""COMPUTED_VALUE"""),"mini connector (Stecker)")</f>
        <v>mini connector (Stecker)</v>
      </c>
      <c r="G389" s="15">
        <f>IFERROR(__xludf.DUMMYFUNCTION("""COMPUTED_VALUE"""),5.0)</f>
        <v>5</v>
      </c>
      <c r="H389" s="15" t="str">
        <f>IFERROR(__xludf.DUMMYFUNCTION("""COMPUTED_VALUE"""),"Set")</f>
        <v>Set</v>
      </c>
      <c r="I389" s="15" t="str">
        <f>IFERROR(__xludf.DUMMYFUNCTION("""COMPUTED_VALUE"""),"Deliver")</f>
        <v>Deliver</v>
      </c>
      <c r="J389" s="15" t="str">
        <f>IFERROR(__xludf.DUMMYFUNCTION("""COMPUTED_VALUE"""),"-")</f>
        <v>-</v>
      </c>
      <c r="K389" s="15" t="str">
        <f>IFERROR(__xludf.DUMMYFUNCTION("""COMPUTED_VALUE"""),"-")</f>
        <v>-</v>
      </c>
      <c r="L389" s="15" t="str">
        <f>IFERROR(__xludf.DUMMYFUNCTION("""COMPUTED_VALUE"""),"Normal")</f>
        <v>Normal</v>
      </c>
      <c r="M389" s="18" t="s">
        <v>47</v>
      </c>
      <c r="N389" s="18" t="s">
        <v>30</v>
      </c>
    </row>
    <row r="390" hidden="1">
      <c r="A390" s="15" t="str">
        <f>IFERROR(__xludf.DUMMYFUNCTION("""COMPUTED_VALUE"""),"INNBR0029")</f>
        <v>INNBR0029</v>
      </c>
      <c r="B390" s="16">
        <f>IFERROR(__xludf.DUMMYFUNCTION("""COMPUTED_VALUE"""),45804.027452222224)</f>
        <v>45804.02745</v>
      </c>
      <c r="C390" s="17">
        <f>IFERROR(__xludf.DUMMYFUNCTION("""COMPUTED_VALUE"""),45810.71872621528)</f>
        <v>45810.71873</v>
      </c>
      <c r="D390" s="15" t="str">
        <f>IFERROR(__xludf.DUMMYFUNCTION("""COMPUTED_VALUE"""),"FD")</f>
        <v>FD</v>
      </c>
      <c r="E390" s="15" t="str">
        <f>IFERROR(__xludf.DUMMYFUNCTION("""COMPUTED_VALUE"""),"-")</f>
        <v>-</v>
      </c>
      <c r="F390" s="15" t="str">
        <f>IFERROR(__xludf.DUMMYFUNCTION("""COMPUTED_VALUE"""),"PNOZ X2.1 24VAC/DC 2n/o")</f>
        <v>PNOZ X2.1 24VAC/DC 2n/o</v>
      </c>
      <c r="G390" s="15">
        <f>IFERROR(__xludf.DUMMYFUNCTION("""COMPUTED_VALUE"""),2.0)</f>
        <v>2</v>
      </c>
      <c r="H390" s="15" t="str">
        <f>IFERROR(__xludf.DUMMYFUNCTION("""COMPUTED_VALUE"""),"pcs")</f>
        <v>pcs</v>
      </c>
      <c r="I390" s="15" t="str">
        <f>IFERROR(__xludf.DUMMYFUNCTION("""COMPUTED_VALUE"""),"Deliver")</f>
        <v>Deliver</v>
      </c>
      <c r="J390" s="15" t="str">
        <f>IFERROR(__xludf.DUMMYFUNCTION("""COMPUTED_VALUE"""),"-")</f>
        <v>-</v>
      </c>
      <c r="K390" s="15" t="str">
        <f>IFERROR(__xludf.DUMMYFUNCTION("""COMPUTED_VALUE"""),"-")</f>
        <v>-</v>
      </c>
      <c r="L390" s="15" t="str">
        <f>IFERROR(__xludf.DUMMYFUNCTION("""COMPUTED_VALUE"""),"Normal")</f>
        <v>Normal</v>
      </c>
      <c r="M390" s="18" t="s">
        <v>51</v>
      </c>
      <c r="N390" s="18" t="s">
        <v>30</v>
      </c>
    </row>
    <row r="391" hidden="1">
      <c r="A391" s="15" t="str">
        <f>IFERROR(__xludf.DUMMYFUNCTION("""COMPUTED_VALUE"""),"AAABR0006")</f>
        <v>AAABR0006</v>
      </c>
      <c r="B391" s="16">
        <f>IFERROR(__xludf.DUMMYFUNCTION("""COMPUTED_VALUE"""),45804.48412032408)</f>
        <v>45804.48412</v>
      </c>
      <c r="C391" s="17">
        <f>IFERROR(__xludf.DUMMYFUNCTION("""COMPUTED_VALUE"""),45810.71957075231)</f>
        <v>45810.71957</v>
      </c>
      <c r="D391" s="15" t="str">
        <f>IFERROR(__xludf.DUMMYFUNCTION("""COMPUTED_VALUE"""),"Freeze dryer")</f>
        <v>Freeze dryer</v>
      </c>
      <c r="E391" s="15" t="str">
        <f>IFERROR(__xludf.DUMMYFUNCTION("""COMPUTED_VALUE"""),"NA")</f>
        <v>NA</v>
      </c>
      <c r="F391" s="15" t="str">
        <f>IFERROR(__xludf.DUMMYFUNCTION("""COMPUTED_VALUE"""),"Compressor frequency converter 2")</f>
        <v>Compressor frequency converter 2</v>
      </c>
      <c r="G391" s="15">
        <f>IFERROR(__xludf.DUMMYFUNCTION("""COMPUTED_VALUE"""),1.0)</f>
        <v>1</v>
      </c>
      <c r="H391" s="15" t="str">
        <f>IFERROR(__xludf.DUMMYFUNCTION("""COMPUTED_VALUE"""),"Unit")</f>
        <v>Unit</v>
      </c>
      <c r="I391" s="15" t="str">
        <f>IFERROR(__xludf.DUMMYFUNCTION("""COMPUTED_VALUE"""),"Deliver")</f>
        <v>Deliver</v>
      </c>
      <c r="J391" s="15" t="str">
        <f>IFERROR(__xludf.DUMMYFUNCTION("""COMPUTED_VALUE"""),"-")</f>
        <v>-</v>
      </c>
      <c r="K391" s="15" t="str">
        <f>IFERROR(__xludf.DUMMYFUNCTION("""COMPUTED_VALUE"""),"-")</f>
        <v>-</v>
      </c>
      <c r="L391" s="15" t="str">
        <f>IFERROR(__xludf.DUMMYFUNCTION("""COMPUTED_VALUE"""),"Normal")</f>
        <v>Normal</v>
      </c>
      <c r="M391" s="18" t="s">
        <v>47</v>
      </c>
      <c r="N391" s="18" t="s">
        <v>30</v>
      </c>
    </row>
    <row r="392" hidden="1">
      <c r="A392" s="15" t="str">
        <f>IFERROR(__xludf.DUMMYFUNCTION("""COMPUTED_VALUE"""),"AAABR0007")</f>
        <v>AAABR0007</v>
      </c>
      <c r="B392" s="16">
        <f>IFERROR(__xludf.DUMMYFUNCTION("""COMPUTED_VALUE"""),45804.48683061342)</f>
        <v>45804.48683</v>
      </c>
      <c r="C392" s="17">
        <f>IFERROR(__xludf.DUMMYFUNCTION("""COMPUTED_VALUE"""),45810.72004814815)</f>
        <v>45810.72005</v>
      </c>
      <c r="D392" s="15" t="str">
        <f>IFERROR(__xludf.DUMMYFUNCTION("""COMPUTED_VALUE"""),"Freeze dryer")</f>
        <v>Freeze dryer</v>
      </c>
      <c r="E392" s="15" t="str">
        <f>IFERROR(__xludf.DUMMYFUNCTION("""COMPUTED_VALUE"""),"NA")</f>
        <v>NA</v>
      </c>
      <c r="F392" s="15" t="str">
        <f>IFERROR(__xludf.DUMMYFUNCTION("""COMPUTED_VALUE"""),"Main valve closed pressure switch")</f>
        <v>Main valve closed pressure switch</v>
      </c>
      <c r="G392" s="15">
        <f>IFERROR(__xludf.DUMMYFUNCTION("""COMPUTED_VALUE"""),1.0)</f>
        <v>1</v>
      </c>
      <c r="H392" s="15" t="str">
        <f>IFERROR(__xludf.DUMMYFUNCTION("""COMPUTED_VALUE"""),"Pcs")</f>
        <v>Pcs</v>
      </c>
      <c r="I392" s="15" t="str">
        <f>IFERROR(__xludf.DUMMYFUNCTION("""COMPUTED_VALUE"""),"Deliver")</f>
        <v>Deliver</v>
      </c>
      <c r="J392" s="15" t="str">
        <f>IFERROR(__xludf.DUMMYFUNCTION("""COMPUTED_VALUE"""),"-")</f>
        <v>-</v>
      </c>
      <c r="K392" s="15" t="str">
        <f>IFERROR(__xludf.DUMMYFUNCTION("""COMPUTED_VALUE"""),"-")</f>
        <v>-</v>
      </c>
      <c r="L392" s="15" t="str">
        <f>IFERROR(__xludf.DUMMYFUNCTION("""COMPUTED_VALUE"""),"Normal")</f>
        <v>Normal</v>
      </c>
      <c r="M392" s="18" t="s">
        <v>47</v>
      </c>
      <c r="N392" s="18" t="s">
        <v>30</v>
      </c>
    </row>
    <row r="393" hidden="1">
      <c r="A393" s="15" t="str">
        <f>IFERROR(__xludf.DUMMYFUNCTION("""COMPUTED_VALUE"""),"RIARO0038")</f>
        <v>RIARO0038</v>
      </c>
      <c r="B393" s="16">
        <f>IFERROR(__xludf.DUMMYFUNCTION("""COMPUTED_VALUE"""),45805.977569641196)</f>
        <v>45805.97757</v>
      </c>
      <c r="C393" s="17">
        <f>IFERROR(__xludf.DUMMYFUNCTION("""COMPUTED_VALUE"""),45810.96087390046)</f>
        <v>45810.96087</v>
      </c>
      <c r="D393" s="15" t="str">
        <f>IFERROR(__xludf.DUMMYFUNCTION("""COMPUTED_VALUE"""),"WWTP")</f>
        <v>WWTP</v>
      </c>
      <c r="E393" s="15" t="str">
        <f>IFERROR(__xludf.DUMMYFUNCTION("""COMPUTED_VALUE"""),"-")</f>
        <v>-</v>
      </c>
      <c r="F393" s="15" t="str">
        <f>IFERROR(__xludf.DUMMYFUNCTION("""COMPUTED_VALUE"""),"General - Pelampung Air Radar Float Switch 2m; No Brand; -; 1 Pc")</f>
        <v>General - Pelampung Air Radar Float Switch 2m; No Brand; -; 1 Pc</v>
      </c>
      <c r="G393" s="15">
        <f>IFERROR(__xludf.DUMMYFUNCTION("""COMPUTED_VALUE"""),3.0)</f>
        <v>3</v>
      </c>
      <c r="H393" s="15" t="str">
        <f>IFERROR(__xludf.DUMMYFUNCTION("""COMPUTED_VALUE"""),"Pcs")</f>
        <v>Pcs</v>
      </c>
      <c r="I393" s="15" t="str">
        <f>IFERROR(__xludf.DUMMYFUNCTION("""COMPUTED_VALUE"""),"Deliver")</f>
        <v>Deliver</v>
      </c>
      <c r="J393" s="15" t="str">
        <f>IFERROR(__xludf.DUMMYFUNCTION("""COMPUTED_VALUE"""),"-")</f>
        <v>-</v>
      </c>
      <c r="K393" s="15" t="str">
        <f>IFERROR(__xludf.DUMMYFUNCTION("""COMPUTED_VALUE"""),"-")</f>
        <v>-</v>
      </c>
      <c r="L393" s="15" t="str">
        <f>IFERROR(__xludf.DUMMYFUNCTION("""COMPUTED_VALUE"""),"Normal")</f>
        <v>Normal</v>
      </c>
      <c r="M393" s="18" t="s">
        <v>32</v>
      </c>
      <c r="N393" s="18" t="s">
        <v>28</v>
      </c>
    </row>
    <row r="394" hidden="1">
      <c r="A394" s="15" t="str">
        <f>IFERROR(__xludf.DUMMYFUNCTION("""COMPUTED_VALUE"""),"MOBBR0028")</f>
        <v>MOBBR0028</v>
      </c>
      <c r="B394" s="16">
        <f>IFERROR(__xludf.DUMMYFUNCTION("""COMPUTED_VALUE"""),45783.450214930555)</f>
        <v>45783.45021</v>
      </c>
      <c r="C394" s="17">
        <f>IFERROR(__xludf.DUMMYFUNCTION("""COMPUTED_VALUE"""),45811.77692429398)</f>
        <v>45811.77692</v>
      </c>
      <c r="D394" s="15" t="str">
        <f>IFERROR(__xludf.DUMMYFUNCTION("""COMPUTED_VALUE"""),"AHU")</f>
        <v>AHU</v>
      </c>
      <c r="E394" s="15" t="str">
        <f>IFERROR(__xludf.DUMMYFUNCTION("""COMPUTED_VALUE"""),"-")</f>
        <v>-</v>
      </c>
      <c r="F394" s="15" t="str">
        <f>IFERROR(__xludf.DUMMYFUNCTION("""COMPUTED_VALUE"""),"Bushing VAV AHU")</f>
        <v>Bushing VAV AHU</v>
      </c>
      <c r="G394" s="15">
        <f>IFERROR(__xludf.DUMMYFUNCTION("""COMPUTED_VALUE"""),5.0)</f>
        <v>5</v>
      </c>
      <c r="H394" s="15" t="str">
        <f>IFERROR(__xludf.DUMMYFUNCTION("""COMPUTED_VALUE"""),"Pcs")</f>
        <v>Pcs</v>
      </c>
      <c r="I394" s="15" t="str">
        <f>IFERROR(__xludf.DUMMYFUNCTION("""COMPUTED_VALUE"""),"Deliver")</f>
        <v>Deliver</v>
      </c>
      <c r="J394" s="15" t="str">
        <f>IFERROR(__xludf.DUMMYFUNCTION("""COMPUTED_VALUE"""),"-")</f>
        <v>-</v>
      </c>
      <c r="K394" s="15" t="str">
        <f>IFERROR(__xludf.DUMMYFUNCTION("""COMPUTED_VALUE"""),"-")</f>
        <v>-</v>
      </c>
      <c r="L394" s="15" t="str">
        <f>IFERROR(__xludf.DUMMYFUNCTION("""COMPUTED_VALUE"""),"Normal")</f>
        <v>Normal</v>
      </c>
      <c r="M394" s="18" t="s">
        <v>31</v>
      </c>
      <c r="N394" s="18" t="s">
        <v>28</v>
      </c>
    </row>
    <row r="395" hidden="1">
      <c r="A395" s="15" t="str">
        <f>IFERROR(__xludf.DUMMYFUNCTION("""COMPUTED_VALUE"""),"AAABR0009")</f>
        <v>AAABR0009</v>
      </c>
      <c r="B395" s="16">
        <f>IFERROR(__xludf.DUMMYFUNCTION("""COMPUTED_VALUE"""),45804.49090712963)</f>
        <v>45804.49091</v>
      </c>
      <c r="C395" s="17">
        <f>IFERROR(__xludf.DUMMYFUNCTION("""COMPUTED_VALUE"""),45812.55646804398)</f>
        <v>45812.55647</v>
      </c>
      <c r="D395" s="15" t="str">
        <f>IFERROR(__xludf.DUMMYFUNCTION("""COMPUTED_VALUE"""),"Freeze dryer")</f>
        <v>Freeze dryer</v>
      </c>
      <c r="E395" s="15" t="str">
        <f>IFERROR(__xludf.DUMMYFUNCTION("""COMPUTED_VALUE"""),"NA")</f>
        <v>NA</v>
      </c>
      <c r="F395" s="15" t="str">
        <f>IFERROR(__xludf.DUMMYFUNCTION("""COMPUTED_VALUE"""),"Shelf ram position sensor")</f>
        <v>Shelf ram position sensor</v>
      </c>
      <c r="G395" s="15">
        <f>IFERROR(__xludf.DUMMYFUNCTION("""COMPUTED_VALUE"""),1.0)</f>
        <v>1</v>
      </c>
      <c r="H395" s="15" t="str">
        <f>IFERROR(__xludf.DUMMYFUNCTION("""COMPUTED_VALUE"""),"Unit")</f>
        <v>Unit</v>
      </c>
      <c r="I395" s="15" t="str">
        <f>IFERROR(__xludf.DUMMYFUNCTION("""COMPUTED_VALUE"""),"Deliver")</f>
        <v>Deliver</v>
      </c>
      <c r="J395" s="15" t="str">
        <f>IFERROR(__xludf.DUMMYFUNCTION("""COMPUTED_VALUE"""),"-")</f>
        <v>-</v>
      </c>
      <c r="K395" s="15" t="str">
        <f>IFERROR(__xludf.DUMMYFUNCTION("""COMPUTED_VALUE"""),"-")</f>
        <v>-</v>
      </c>
      <c r="L395" s="15" t="str">
        <f>IFERROR(__xludf.DUMMYFUNCTION("""COMPUTED_VALUE"""),"Normal")</f>
        <v>Normal</v>
      </c>
      <c r="M395" s="18" t="s">
        <v>47</v>
      </c>
      <c r="N395" s="18" t="s">
        <v>30</v>
      </c>
    </row>
    <row r="396" hidden="1">
      <c r="A396" s="15" t="str">
        <f>IFERROR(__xludf.DUMMYFUNCTION("""COMPUTED_VALUE"""),"AAABR0010")</f>
        <v>AAABR0010</v>
      </c>
      <c r="B396" s="16">
        <f>IFERROR(__xludf.DUMMYFUNCTION("""COMPUTED_VALUE"""),45804.492898495366)</f>
        <v>45804.4929</v>
      </c>
      <c r="C396" s="17">
        <f>IFERROR(__xludf.DUMMYFUNCTION("""COMPUTED_VALUE"""),45812.55717461805)</f>
        <v>45812.55717</v>
      </c>
      <c r="D396" s="15" t="str">
        <f>IFERROR(__xludf.DUMMYFUNCTION("""COMPUTED_VALUE"""),"Freeze dryer")</f>
        <v>Freeze dryer</v>
      </c>
      <c r="E396" s="15" t="str">
        <f>IFERROR(__xludf.DUMMYFUNCTION("""COMPUTED_VALUE"""),"NA")</f>
        <v>NA</v>
      </c>
      <c r="F396" s="15" t="str">
        <f>IFERROR(__xludf.DUMMYFUNCTION("""COMPUTED_VALUE"""),"EDV 1 + SV 204")</f>
        <v>EDV 1 + SV 204</v>
      </c>
      <c r="G396" s="15">
        <f>IFERROR(__xludf.DUMMYFUNCTION("""COMPUTED_VALUE"""),2.0)</f>
        <v>2</v>
      </c>
      <c r="H396" s="15" t="str">
        <f>IFERROR(__xludf.DUMMYFUNCTION("""COMPUTED_VALUE"""),"Set")</f>
        <v>Set</v>
      </c>
      <c r="I396" s="15" t="str">
        <f>IFERROR(__xludf.DUMMYFUNCTION("""COMPUTED_VALUE"""),"Deliver")</f>
        <v>Deliver</v>
      </c>
      <c r="J396" s="15" t="str">
        <f>IFERROR(__xludf.DUMMYFUNCTION("""COMPUTED_VALUE"""),"-")</f>
        <v>-</v>
      </c>
      <c r="K396" s="15" t="str">
        <f>IFERROR(__xludf.DUMMYFUNCTION("""COMPUTED_VALUE"""),"-")</f>
        <v>-</v>
      </c>
      <c r="L396" s="15" t="str">
        <f>IFERROR(__xludf.DUMMYFUNCTION("""COMPUTED_VALUE"""),"Normal")</f>
        <v>Normal</v>
      </c>
      <c r="M396" s="18" t="s">
        <v>47</v>
      </c>
      <c r="N396" s="18" t="s">
        <v>30</v>
      </c>
    </row>
    <row r="397" hidden="1">
      <c r="A397" s="15" t="str">
        <f>IFERROR(__xludf.DUMMYFUNCTION("""COMPUTED_VALUE"""),"AAABR0011")</f>
        <v>AAABR0011</v>
      </c>
      <c r="B397" s="16">
        <f>IFERROR(__xludf.DUMMYFUNCTION("""COMPUTED_VALUE"""),45804.49534081019)</f>
        <v>45804.49534</v>
      </c>
      <c r="C397" s="17">
        <f>IFERROR(__xludf.DUMMYFUNCTION("""COMPUTED_VALUE"""),45812.55777142361)</f>
        <v>45812.55777</v>
      </c>
      <c r="D397" s="15" t="str">
        <f>IFERROR(__xludf.DUMMYFUNCTION("""COMPUTED_VALUE"""),"Freeze dryer")</f>
        <v>Freeze dryer</v>
      </c>
      <c r="E397" s="15" t="str">
        <f>IFERROR(__xludf.DUMMYFUNCTION("""COMPUTED_VALUE"""),"NA")</f>
        <v>NA</v>
      </c>
      <c r="F397" s="15" t="str">
        <f>IFERROR(__xludf.DUMMYFUNCTION("""COMPUTED_VALUE"""),"EDV 2 + SV 205")</f>
        <v>EDV 2 + SV 205</v>
      </c>
      <c r="G397" s="15">
        <f>IFERROR(__xludf.DUMMYFUNCTION("""COMPUTED_VALUE"""),2.0)</f>
        <v>2</v>
      </c>
      <c r="H397" s="15" t="str">
        <f>IFERROR(__xludf.DUMMYFUNCTION("""COMPUTED_VALUE"""),"Set")</f>
        <v>Set</v>
      </c>
      <c r="I397" s="15" t="str">
        <f>IFERROR(__xludf.DUMMYFUNCTION("""COMPUTED_VALUE"""),"Deliver")</f>
        <v>Deliver</v>
      </c>
      <c r="J397" s="15" t="str">
        <f>IFERROR(__xludf.DUMMYFUNCTION("""COMPUTED_VALUE"""),"-")</f>
        <v>-</v>
      </c>
      <c r="K397" s="15" t="str">
        <f>IFERROR(__xludf.DUMMYFUNCTION("""COMPUTED_VALUE"""),"-")</f>
        <v>-</v>
      </c>
      <c r="L397" s="15" t="str">
        <f>IFERROR(__xludf.DUMMYFUNCTION("""COMPUTED_VALUE"""),"Normal")</f>
        <v>Normal</v>
      </c>
      <c r="M397" s="18" t="s">
        <v>47</v>
      </c>
      <c r="N397" s="18" t="s">
        <v>30</v>
      </c>
    </row>
    <row r="398" hidden="1">
      <c r="A398" s="15" t="str">
        <f>IFERROR(__xludf.DUMMYFUNCTION("""COMPUTED_VALUE"""),"INNBR0028")</f>
        <v>INNBR0028</v>
      </c>
      <c r="B398" s="16">
        <f>IFERROR(__xludf.DUMMYFUNCTION("""COMPUTED_VALUE"""),45797.66488145833)</f>
        <v>45797.66488</v>
      </c>
      <c r="C398" s="17">
        <f>IFERROR(__xludf.DUMMYFUNCTION("""COMPUTED_VALUE"""),45812.560652395834)</f>
        <v>45812.56065</v>
      </c>
      <c r="D398" s="15" t="str">
        <f>IFERROR(__xludf.DUMMYFUNCTION("""COMPUTED_VALUE"""),"Part Filling")</f>
        <v>Part Filling</v>
      </c>
      <c r="E398" s="15" t="str">
        <f>IFERROR(__xludf.DUMMYFUNCTION("""COMPUTED_VALUE"""),"EJO/2025/05/99")</f>
        <v>EJO/2025/05/99</v>
      </c>
      <c r="F398" s="15" t="str">
        <f>IFERROR(__xludf.DUMMYFUNCTION("""COMPUTED_VALUE"""),"Spare Actuator For type 654 size DN10- DN20 seat size MG10")</f>
        <v>Spare Actuator For type 654 size DN10- DN20 seat size MG10</v>
      </c>
      <c r="G398" s="15">
        <f>IFERROR(__xludf.DUMMYFUNCTION("""COMPUTED_VALUE"""),2.0)</f>
        <v>2</v>
      </c>
      <c r="H398" s="15" t="str">
        <f>IFERROR(__xludf.DUMMYFUNCTION("""COMPUTED_VALUE"""),"pcs")</f>
        <v>pcs</v>
      </c>
      <c r="I398" s="15" t="str">
        <f>IFERROR(__xludf.DUMMYFUNCTION("""COMPUTED_VALUE"""),"Deliver")</f>
        <v>Deliver</v>
      </c>
      <c r="J398" s="15" t="str">
        <f>IFERROR(__xludf.DUMMYFUNCTION("""COMPUTED_VALUE"""),"-")</f>
        <v>-</v>
      </c>
      <c r="K398" s="15" t="str">
        <f>IFERROR(__xludf.DUMMYFUNCTION("""COMPUTED_VALUE"""),"-")</f>
        <v>-</v>
      </c>
      <c r="L398" s="15" t="str">
        <f>IFERROR(__xludf.DUMMYFUNCTION("""COMPUTED_VALUE"""),"Normal")</f>
        <v>Normal</v>
      </c>
      <c r="M398" s="18" t="s">
        <v>51</v>
      </c>
      <c r="N398" s="18" t="s">
        <v>30</v>
      </c>
    </row>
    <row r="399" hidden="1">
      <c r="A399" s="15" t="str">
        <f>IFERROR(__xludf.DUMMYFUNCTION("""COMPUTED_VALUE"""),"INNRO0005")</f>
        <v>INNRO0005</v>
      </c>
      <c r="B399" s="16">
        <f>IFERROR(__xludf.DUMMYFUNCTION("""COMPUTED_VALUE"""),45804.027452222224)</f>
        <v>45804.02745</v>
      </c>
      <c r="C399" s="17">
        <f>IFERROR(__xludf.DUMMYFUNCTION("""COMPUTED_VALUE"""),45812.561071041666)</f>
        <v>45812.56107</v>
      </c>
      <c r="D399" s="15" t="str">
        <f>IFERROR(__xludf.DUMMYFUNCTION("""COMPUTED_VALUE"""),"Autoclave Terminal")</f>
        <v>Autoclave Terminal</v>
      </c>
      <c r="E399" s="15" t="str">
        <f>IFERROR(__xludf.DUMMYFUNCTION("""COMPUTED_VALUE"""),"-")</f>
        <v>-</v>
      </c>
      <c r="F399" s="15" t="str">
        <f>IFERROR(__xludf.DUMMYFUNCTION("""COMPUTED_VALUE"""),"Safety Sensor GG505S GIGA-4015-US; IFM; ;")</f>
        <v>Safety Sensor GG505S GIGA-4015-US; IFM; ;</v>
      </c>
      <c r="G399" s="15">
        <f>IFERROR(__xludf.DUMMYFUNCTION("""COMPUTED_VALUE"""),2.0)</f>
        <v>2</v>
      </c>
      <c r="H399" s="15" t="str">
        <f>IFERROR(__xludf.DUMMYFUNCTION("""COMPUTED_VALUE"""),"pcs")</f>
        <v>pcs</v>
      </c>
      <c r="I399" s="15" t="str">
        <f>IFERROR(__xludf.DUMMYFUNCTION("""COMPUTED_VALUE"""),"Deliver")</f>
        <v>Deliver</v>
      </c>
      <c r="J399" s="15" t="str">
        <f>IFERROR(__xludf.DUMMYFUNCTION("""COMPUTED_VALUE"""),"-")</f>
        <v>-</v>
      </c>
      <c r="K399" s="15" t="str">
        <f>IFERROR(__xludf.DUMMYFUNCTION("""COMPUTED_VALUE"""),"-")</f>
        <v>-</v>
      </c>
      <c r="L399" s="15" t="str">
        <f>IFERROR(__xludf.DUMMYFUNCTION("""COMPUTED_VALUE"""),"Normal")</f>
        <v>Normal</v>
      </c>
      <c r="M399" s="18" t="s">
        <v>51</v>
      </c>
      <c r="N399" s="18" t="s">
        <v>30</v>
      </c>
    </row>
    <row r="400" hidden="1">
      <c r="A400" s="15" t="str">
        <f>IFERROR(__xludf.DUMMYFUNCTION("""COMPUTED_VALUE"""),"INNRO0006")</f>
        <v>INNRO0006</v>
      </c>
      <c r="B400" s="16">
        <f>IFERROR(__xludf.DUMMYFUNCTION("""COMPUTED_VALUE"""),45810.6580507176)</f>
        <v>45810.65805</v>
      </c>
      <c r="C400" s="17">
        <f>IFERROR(__xludf.DUMMYFUNCTION("""COMPUTED_VALUE"""),45812.56143090278)</f>
        <v>45812.56143</v>
      </c>
      <c r="D400" s="15" t="str">
        <f>IFERROR(__xludf.DUMMYFUNCTION("""COMPUTED_VALUE"""),"FD IMA")</f>
        <v>FD IMA</v>
      </c>
      <c r="E400" s="15" t="str">
        <f>IFERROR(__xludf.DUMMYFUNCTION("""COMPUTED_VALUE"""),"EJO/2025/06/29")</f>
        <v>EJO/2025/06/29</v>
      </c>
      <c r="F400" s="15" t="str">
        <f>IFERROR(__xludf.DUMMYFUNCTION("""COMPUTED_VALUE"""),"Shelf Bellows; Freeze Dryer MBE1207; P/N FB1207-05-70-0 R0.0; pack size per unit")</f>
        <v>Shelf Bellows; Freeze Dryer MBE1207; P/N FB1207-05-70-0 R0.0; pack size per unit</v>
      </c>
      <c r="G400" s="15">
        <f>IFERROR(__xludf.DUMMYFUNCTION("""COMPUTED_VALUE"""),1.0)</f>
        <v>1</v>
      </c>
      <c r="H400" s="15" t="str">
        <f>IFERROR(__xludf.DUMMYFUNCTION("""COMPUTED_VALUE"""),"Unit")</f>
        <v>Unit</v>
      </c>
      <c r="I400" s="15" t="str">
        <f>IFERROR(__xludf.DUMMYFUNCTION("""COMPUTED_VALUE"""),"Deliver")</f>
        <v>Deliver</v>
      </c>
      <c r="J400" s="15" t="str">
        <f>IFERROR(__xludf.DUMMYFUNCTION("""COMPUTED_VALUE"""),"-")</f>
        <v>-</v>
      </c>
      <c r="K400" s="15" t="str">
        <f>IFERROR(__xludf.DUMMYFUNCTION("""COMPUTED_VALUE"""),"-")</f>
        <v>-</v>
      </c>
      <c r="L400" s="15" t="str">
        <f>IFERROR(__xludf.DUMMYFUNCTION("""COMPUTED_VALUE"""),"Normal")</f>
        <v>Normal</v>
      </c>
      <c r="M400" s="18" t="s">
        <v>51</v>
      </c>
      <c r="N400" s="18" t="s">
        <v>30</v>
      </c>
    </row>
    <row r="401" hidden="1">
      <c r="A401" s="15" t="str">
        <f>IFERROR(__xludf.DUMMYFUNCTION("""COMPUTED_VALUE"""),"INNJA0003")</f>
        <v>INNJA0003</v>
      </c>
      <c r="B401" s="16">
        <f>IFERROR(__xludf.DUMMYFUNCTION("""COMPUTED_VALUE"""),45797.51181383101)</f>
        <v>45797.51181</v>
      </c>
      <c r="C401" s="17">
        <f>IFERROR(__xludf.DUMMYFUNCTION("""COMPUTED_VALUE"""),45812.56311368056)</f>
        <v>45812.56311</v>
      </c>
      <c r="D401" s="15" t="str">
        <f>IFERROR(__xludf.DUMMYFUNCTION("""COMPUTED_VALUE"""),"Newtronic")</f>
        <v>Newtronic</v>
      </c>
      <c r="E401" s="15" t="str">
        <f>IFERROR(__xludf.DUMMYFUNCTION("""COMPUTED_VALUE"""),"EJO/2025/04/137")</f>
        <v>EJO/2025/04/137</v>
      </c>
      <c r="F401" s="15" t="str">
        <f>IFERROR(__xludf.DUMMYFUNCTION("""COMPUTED_VALUE"""),"Perbaikan data base newtronic ( report tidak bisa di ambil dan comunication fail)")</f>
        <v>Perbaikan data base newtronic ( report tidak bisa di ambil dan comunication fail)</v>
      </c>
      <c r="G401" s="15">
        <f>IFERROR(__xludf.DUMMYFUNCTION("""COMPUTED_VALUE"""),1.0)</f>
        <v>1</v>
      </c>
      <c r="H401" s="15" t="str">
        <f>IFERROR(__xludf.DUMMYFUNCTION("""COMPUTED_VALUE"""),"Lot")</f>
        <v>Lot</v>
      </c>
      <c r="I401" s="15" t="str">
        <f>IFERROR(__xludf.DUMMYFUNCTION("""COMPUTED_VALUE"""),"Deliver")</f>
        <v>Deliver</v>
      </c>
      <c r="J401" s="15" t="str">
        <f>IFERROR(__xludf.DUMMYFUNCTION("""COMPUTED_VALUE"""),"-")</f>
        <v>-</v>
      </c>
      <c r="K401" s="15" t="str">
        <f>IFERROR(__xludf.DUMMYFUNCTION("""COMPUTED_VALUE"""),"-")</f>
        <v>-</v>
      </c>
      <c r="L401" s="15" t="str">
        <f>IFERROR(__xludf.DUMMYFUNCTION("""COMPUTED_VALUE"""),"Normal")</f>
        <v>Normal</v>
      </c>
      <c r="M401" s="18" t="s">
        <v>51</v>
      </c>
      <c r="N401" s="18" t="s">
        <v>30</v>
      </c>
    </row>
    <row r="402" hidden="1">
      <c r="A402" s="15" t="str">
        <f>IFERROR(__xludf.DUMMYFUNCTION("""COMPUTED_VALUE"""),"ANOBR0020")</f>
        <v>ANOBR0020</v>
      </c>
      <c r="B402" s="16">
        <f>IFERROR(__xludf.DUMMYFUNCTION("""COMPUTED_VALUE"""),45792.37696704861)</f>
        <v>45792.37697</v>
      </c>
      <c r="C402" s="17">
        <f>IFERROR(__xludf.DUMMYFUNCTION("""COMPUTED_VALUE"""),45812.568157291666)</f>
        <v>45812.56816</v>
      </c>
      <c r="D402" s="15" t="str">
        <f>IFERROR(__xludf.DUMMYFUNCTION("""COMPUTED_VALUE"""),"Panel Crabs")</f>
        <v>Panel Crabs</v>
      </c>
      <c r="E402" s="15" t="str">
        <f>IFERROR(__xludf.DUMMYFUNCTION("""COMPUTED_VALUE"""),"EJO/2025/02/64")</f>
        <v>EJO/2025/02/64</v>
      </c>
      <c r="F402" s="15" t="str">
        <f>IFERROR(__xludf.DUMMYFUNCTION("""COMPUTED_VALUE"""),"Handle pintu panel")</f>
        <v>Handle pintu panel</v>
      </c>
      <c r="G402" s="15">
        <f>IFERROR(__xludf.DUMMYFUNCTION("""COMPUTED_VALUE"""),5.0)</f>
        <v>5</v>
      </c>
      <c r="H402" s="15" t="str">
        <f>IFERROR(__xludf.DUMMYFUNCTION("""COMPUTED_VALUE"""),"Pcs")</f>
        <v>Pcs</v>
      </c>
      <c r="I402" s="15" t="str">
        <f>IFERROR(__xludf.DUMMYFUNCTION("""COMPUTED_VALUE"""),"Deliver")</f>
        <v>Deliver</v>
      </c>
      <c r="J402" s="15" t="str">
        <f>IFERROR(__xludf.DUMMYFUNCTION("""COMPUTED_VALUE"""),"-")</f>
        <v>-</v>
      </c>
      <c r="K402" s="15" t="str">
        <f>IFERROR(__xludf.DUMMYFUNCTION("""COMPUTED_VALUE"""),"-")</f>
        <v>-</v>
      </c>
      <c r="L402" s="15" t="str">
        <f>IFERROR(__xludf.DUMMYFUNCTION("""COMPUTED_VALUE"""),"Normal")</f>
        <v>Normal</v>
      </c>
      <c r="M402" s="18" t="s">
        <v>49</v>
      </c>
      <c r="N402" s="18" t="s">
        <v>30</v>
      </c>
    </row>
    <row r="403" hidden="1">
      <c r="A403" s="15" t="str">
        <f>IFERROR(__xludf.DUMMYFUNCTION("""COMPUTED_VALUE"""),"NDSBR0013")</f>
        <v>NDSBR0013</v>
      </c>
      <c r="B403" s="16">
        <f>IFERROR(__xludf.DUMMYFUNCTION("""COMPUTED_VALUE"""),45792.89215216435)</f>
        <v>45792.89215</v>
      </c>
      <c r="C403" s="17">
        <f>IFERROR(__xludf.DUMMYFUNCTION("""COMPUTED_VALUE"""),45812.569452476855)</f>
        <v>45812.56945</v>
      </c>
      <c r="D403" s="15" t="str">
        <f>IFERROR(__xludf.DUMMYFUNCTION("""COMPUTED_VALUE"""),"Filling")</f>
        <v>Filling</v>
      </c>
      <c r="E403" s="15" t="str">
        <f>IFERROR(__xludf.DUMMYFUNCTION("""COMPUTED_VALUE"""),"-")</f>
        <v>-</v>
      </c>
      <c r="F403" s="15" t="str">
        <f>IFERROR(__xludf.DUMMYFUNCTION("""COMPUTED_VALUE"""),"Stop Kontak")</f>
        <v>Stop Kontak</v>
      </c>
      <c r="G403" s="15">
        <f>IFERROR(__xludf.DUMMYFUNCTION("""COMPUTED_VALUE"""),5.0)</f>
        <v>5</v>
      </c>
      <c r="H403" s="15" t="str">
        <f>IFERROR(__xludf.DUMMYFUNCTION("""COMPUTED_VALUE"""),"PCS")</f>
        <v>PCS</v>
      </c>
      <c r="I403" s="15" t="str">
        <f>IFERROR(__xludf.DUMMYFUNCTION("""COMPUTED_VALUE"""),"Deliver")</f>
        <v>Deliver</v>
      </c>
      <c r="J403" s="15" t="str">
        <f>IFERROR(__xludf.DUMMYFUNCTION("""COMPUTED_VALUE"""),"-")</f>
        <v>-</v>
      </c>
      <c r="K403" s="15" t="str">
        <f>IFERROR(__xludf.DUMMYFUNCTION("""COMPUTED_VALUE"""),"-")</f>
        <v>-</v>
      </c>
      <c r="L403" s="15" t="str">
        <f>IFERROR(__xludf.DUMMYFUNCTION("""COMPUTED_VALUE"""),"Normal")</f>
        <v>Normal</v>
      </c>
      <c r="M403" s="18" t="s">
        <v>50</v>
      </c>
      <c r="N403" s="18" t="s">
        <v>30</v>
      </c>
    </row>
    <row r="404" hidden="1">
      <c r="A404" s="15" t="str">
        <f>IFERROR(__xludf.DUMMYFUNCTION("""COMPUTED_VALUE"""),"NDSBR0014")</f>
        <v>NDSBR0014</v>
      </c>
      <c r="B404" s="16">
        <f>IFERROR(__xludf.DUMMYFUNCTION("""COMPUTED_VALUE"""),45810.97351447916)</f>
        <v>45810.97351</v>
      </c>
      <c r="C404" s="17">
        <f>IFERROR(__xludf.DUMMYFUNCTION("""COMPUTED_VALUE"""),45812.56986137732)</f>
        <v>45812.56986</v>
      </c>
      <c r="D404" s="15" t="str">
        <f>IFERROR(__xludf.DUMMYFUNCTION("""COMPUTED_VALUE"""),"S&amp;D")</f>
        <v>S&amp;D</v>
      </c>
      <c r="E404" s="15" t="str">
        <f>IFERROR(__xludf.DUMMYFUNCTION("""COMPUTED_VALUE"""),"EJO/2025/05/130")</f>
        <v>EJO/2025/05/130</v>
      </c>
      <c r="F404" s="15" t="str">
        <f>IFERROR(__xludf.DUMMYFUNCTION("""COMPUTED_VALUE"""),"Magnehelic Dwyer")</f>
        <v>Magnehelic Dwyer</v>
      </c>
      <c r="G404" s="15">
        <f>IFERROR(__xludf.DUMMYFUNCTION("""COMPUTED_VALUE"""),3.0)</f>
        <v>3</v>
      </c>
      <c r="H404" s="15" t="str">
        <f>IFERROR(__xludf.DUMMYFUNCTION("""COMPUTED_VALUE"""),"PCS")</f>
        <v>PCS</v>
      </c>
      <c r="I404" s="15" t="str">
        <f>IFERROR(__xludf.DUMMYFUNCTION("""COMPUTED_VALUE"""),"Deliver")</f>
        <v>Deliver</v>
      </c>
      <c r="J404" s="15" t="str">
        <f>IFERROR(__xludf.DUMMYFUNCTION("""COMPUTED_VALUE"""),"-")</f>
        <v>-</v>
      </c>
      <c r="K404" s="15" t="str">
        <f>IFERROR(__xludf.DUMMYFUNCTION("""COMPUTED_VALUE"""),"-")</f>
        <v>-</v>
      </c>
      <c r="L404" s="15" t="str">
        <f>IFERROR(__xludf.DUMMYFUNCTION("""COMPUTED_VALUE"""),"Normal")</f>
        <v>Normal</v>
      </c>
      <c r="M404" s="18" t="s">
        <v>50</v>
      </c>
      <c r="N404" s="18" t="s">
        <v>30</v>
      </c>
    </row>
    <row r="405" hidden="1">
      <c r="A405" s="15" t="str">
        <f>IFERROR(__xludf.DUMMYFUNCTION("""COMPUTED_VALUE"""),"ROSRO0006")</f>
        <v>ROSRO0006</v>
      </c>
      <c r="B405" s="16">
        <f>IFERROR(__xludf.DUMMYFUNCTION("""COMPUTED_VALUE"""),45791.396829548605)</f>
        <v>45791.39683</v>
      </c>
      <c r="C405" s="17">
        <f>IFERROR(__xludf.DUMMYFUNCTION("""COMPUTED_VALUE"""),45812.57078181713)</f>
        <v>45812.57078</v>
      </c>
      <c r="D405" s="15" t="str">
        <f>IFERROR(__xludf.DUMMYFUNCTION("""COMPUTED_VALUE"""),"Washing")</f>
        <v>Washing</v>
      </c>
      <c r="E405" s="15" t="str">
        <f>IFERROR(__xludf.DUMMYFUNCTION("""COMPUTED_VALUE"""),"-")</f>
        <v>-</v>
      </c>
      <c r="F405" s="15" t="str">
        <f>IFERROR(__xludf.DUMMYFUNCTION("""COMPUTED_VALUE"""),"General - Pneumatic pincher silicone cover sleeve c/n 15927; SMC; MHZJ2-J20S; 1 Pc")</f>
        <v>General - Pneumatic pincher silicone cover sleeve c/n 15927; SMC; MHZJ2-J20S; 1 Pc</v>
      </c>
      <c r="G405" s="15">
        <f>IFERROR(__xludf.DUMMYFUNCTION("""COMPUTED_VALUE"""),20.0)</f>
        <v>20</v>
      </c>
      <c r="H405" s="15" t="str">
        <f>IFERROR(__xludf.DUMMYFUNCTION("""COMPUTED_VALUE"""),"pcs")</f>
        <v>pcs</v>
      </c>
      <c r="I405" s="15" t="str">
        <f>IFERROR(__xludf.DUMMYFUNCTION("""COMPUTED_VALUE"""),"Deliver")</f>
        <v>Deliver</v>
      </c>
      <c r="J405" s="15" t="str">
        <f>IFERROR(__xludf.DUMMYFUNCTION("""COMPUTED_VALUE"""),"-")</f>
        <v>-</v>
      </c>
      <c r="K405" s="15" t="str">
        <f>IFERROR(__xludf.DUMMYFUNCTION("""COMPUTED_VALUE"""),"-")</f>
        <v>-</v>
      </c>
      <c r="L405" s="15" t="str">
        <f>IFERROR(__xludf.DUMMYFUNCTION("""COMPUTED_VALUE"""),"Normal")</f>
        <v>Normal</v>
      </c>
      <c r="M405" s="18" t="s">
        <v>29</v>
      </c>
      <c r="N405" s="18" t="s">
        <v>30</v>
      </c>
    </row>
    <row r="406" hidden="1">
      <c r="A406" s="15" t="str">
        <f>IFERROR(__xludf.DUMMYFUNCTION("""COMPUTED_VALUE"""),"ROSRO0007")</f>
        <v>ROSRO0007</v>
      </c>
      <c r="B406" s="16">
        <f>IFERROR(__xludf.DUMMYFUNCTION("""COMPUTED_VALUE"""),45810.59131561343)</f>
        <v>45810.59132</v>
      </c>
      <c r="C406" s="17">
        <f>IFERROR(__xludf.DUMMYFUNCTION("""COMPUTED_VALUE"""),45812.57128791667)</f>
        <v>45812.57129</v>
      </c>
      <c r="D406" s="15" t="str">
        <f>IFERROR(__xludf.DUMMYFUNCTION("""COMPUTED_VALUE"""),"Sensor DO mixning")</f>
        <v>Sensor DO mixning</v>
      </c>
      <c r="E406" s="15" t="str">
        <f>IFERROR(__xludf.DUMMYFUNCTION("""COMPUTED_VALUE"""),"-")</f>
        <v>-</v>
      </c>
      <c r="F406" s="15" t="str">
        <f>IFERROR(__xludf.DUMMYFUNCTION("""COMPUTED_VALUE"""),"General - Opto CapBT02T Operating Range 8 ppb - 60% O2 Sat P/N 30018857, Measured Pressure Resistance : 0-6 bar; Mettler Toledo; 30018857; 1 Pc")</f>
        <v>General - Opto CapBT02T Operating Range 8 ppb - 60% O2 Sat P/N 30018857, Measured Pressure Resistance : 0-6 bar; Mettler Toledo; 30018857; 1 Pc</v>
      </c>
      <c r="G406" s="15">
        <f>IFERROR(__xludf.DUMMYFUNCTION("""COMPUTED_VALUE"""),1.0)</f>
        <v>1</v>
      </c>
      <c r="H406" s="15" t="str">
        <f>IFERROR(__xludf.DUMMYFUNCTION("""COMPUTED_VALUE"""),"pcs")</f>
        <v>pcs</v>
      </c>
      <c r="I406" s="15" t="str">
        <f>IFERROR(__xludf.DUMMYFUNCTION("""COMPUTED_VALUE"""),"Deliver")</f>
        <v>Deliver</v>
      </c>
      <c r="J406" s="15" t="str">
        <f>IFERROR(__xludf.DUMMYFUNCTION("""COMPUTED_VALUE"""),"-")</f>
        <v>-</v>
      </c>
      <c r="K406" s="15" t="str">
        <f>IFERROR(__xludf.DUMMYFUNCTION("""COMPUTED_VALUE"""),"-")</f>
        <v>-</v>
      </c>
      <c r="L406" s="15" t="str">
        <f>IFERROR(__xludf.DUMMYFUNCTION("""COMPUTED_VALUE"""),"Normal")</f>
        <v>Normal</v>
      </c>
      <c r="M406" s="18" t="s">
        <v>29</v>
      </c>
      <c r="N406" s="18" t="s">
        <v>30</v>
      </c>
    </row>
    <row r="407" hidden="1">
      <c r="A407" s="15" t="str">
        <f>IFERROR(__xludf.DUMMYFUNCTION("""COMPUTED_VALUE"""),"MOBRO0045")</f>
        <v>MOBRO0045</v>
      </c>
      <c r="B407" s="16">
        <f>IFERROR(__xludf.DUMMYFUNCTION("""COMPUTED_VALUE"""),45812.659267581024)</f>
        <v>45812.65927</v>
      </c>
      <c r="C407" s="17">
        <f>IFERROR(__xludf.DUMMYFUNCTION("""COMPUTED_VALUE"""),45818.36025079861)</f>
        <v>45818.36025</v>
      </c>
      <c r="D407" s="15" t="str">
        <f>IFERROR(__xludf.DUMMYFUNCTION("""COMPUTED_VALUE"""),"Pneumatic Fitting")</f>
        <v>Pneumatic Fitting</v>
      </c>
      <c r="E407" s="15" t="str">
        <f>IFERROR(__xludf.DUMMYFUNCTION("""COMPUTED_VALUE"""),"-")</f>
        <v>-</v>
      </c>
      <c r="F407" s="15" t="str">
        <f>IFERROR(__xludf.DUMMYFUNCTION("""COMPUTED_VALUE"""),"General - Push-in Connector, QS-8-6; Festo; 153038; 1 pcs")</f>
        <v>General - Push-in Connector, QS-8-6; Festo; 153038; 1 pcs</v>
      </c>
      <c r="G407" s="15">
        <f>IFERROR(__xludf.DUMMYFUNCTION("""COMPUTED_VALUE"""),10.0)</f>
        <v>10</v>
      </c>
      <c r="H407" s="15" t="str">
        <f>IFERROR(__xludf.DUMMYFUNCTION("""COMPUTED_VALUE"""),"Pcs")</f>
        <v>Pcs</v>
      </c>
      <c r="I407" s="15" t="str">
        <f>IFERROR(__xludf.DUMMYFUNCTION("""COMPUTED_VALUE"""),"Deliver")</f>
        <v>Deliver</v>
      </c>
      <c r="J407" s="15" t="str">
        <f>IFERROR(__xludf.DUMMYFUNCTION("""COMPUTED_VALUE"""),"-")</f>
        <v>-</v>
      </c>
      <c r="K407" s="15" t="str">
        <f>IFERROR(__xludf.DUMMYFUNCTION("""COMPUTED_VALUE"""),"-")</f>
        <v>-</v>
      </c>
      <c r="L407" s="15" t="str">
        <f>IFERROR(__xludf.DUMMYFUNCTION("""COMPUTED_VALUE"""),"Normal")</f>
        <v>Normal</v>
      </c>
      <c r="M407" s="18" t="s">
        <v>31</v>
      </c>
      <c r="N407" s="18" t="s">
        <v>28</v>
      </c>
    </row>
    <row r="408" hidden="1">
      <c r="A408" s="15" t="str">
        <f>IFERROR(__xludf.DUMMYFUNCTION("""COMPUTED_VALUE"""),"MOBRO0046")</f>
        <v>MOBRO0046</v>
      </c>
      <c r="B408" s="16">
        <f>IFERROR(__xludf.DUMMYFUNCTION("""COMPUTED_VALUE"""),45812.66128638889)</f>
        <v>45812.66129</v>
      </c>
      <c r="C408" s="17">
        <f>IFERROR(__xludf.DUMMYFUNCTION("""COMPUTED_VALUE"""),45818.3606984838)</f>
        <v>45818.3607</v>
      </c>
      <c r="D408" s="15" t="str">
        <f>IFERROR(__xludf.DUMMYFUNCTION("""COMPUTED_VALUE"""),"Pneumatic Fitting")</f>
        <v>Pneumatic Fitting</v>
      </c>
      <c r="E408" s="15" t="str">
        <f>IFERROR(__xludf.DUMMYFUNCTION("""COMPUTED_VALUE"""),"-")</f>
        <v>-</v>
      </c>
      <c r="F408" s="15" t="str">
        <f>IFERROR(__xludf.DUMMYFUNCTION("""COMPUTED_VALUE"""),"Pneumatic  Fitting - QS 10-8 / PN : 153039 / Festo")</f>
        <v>Pneumatic  Fitting - QS 10-8 / PN : 153039 / Festo</v>
      </c>
      <c r="G408" s="15">
        <f>IFERROR(__xludf.DUMMYFUNCTION("""COMPUTED_VALUE"""),10.0)</f>
        <v>10</v>
      </c>
      <c r="H408" s="15" t="str">
        <f>IFERROR(__xludf.DUMMYFUNCTION("""COMPUTED_VALUE"""),"Pcs")</f>
        <v>Pcs</v>
      </c>
      <c r="I408" s="15" t="str">
        <f>IFERROR(__xludf.DUMMYFUNCTION("""COMPUTED_VALUE"""),"Deliver")</f>
        <v>Deliver</v>
      </c>
      <c r="J408" s="15" t="str">
        <f>IFERROR(__xludf.DUMMYFUNCTION("""COMPUTED_VALUE"""),"-")</f>
        <v>-</v>
      </c>
      <c r="K408" s="15" t="str">
        <f>IFERROR(__xludf.DUMMYFUNCTION("""COMPUTED_VALUE"""),"-")</f>
        <v>-</v>
      </c>
      <c r="L408" s="15" t="str">
        <f>IFERROR(__xludf.DUMMYFUNCTION("""COMPUTED_VALUE"""),"Normal")</f>
        <v>Normal</v>
      </c>
      <c r="M408" s="18" t="s">
        <v>31</v>
      </c>
      <c r="N408" s="18" t="s">
        <v>28</v>
      </c>
    </row>
    <row r="409" hidden="1">
      <c r="A409" s="15" t="str">
        <f>IFERROR(__xludf.DUMMYFUNCTION("""COMPUTED_VALUE"""),"MOBRO0047")</f>
        <v>MOBRO0047</v>
      </c>
      <c r="B409" s="16">
        <f>IFERROR(__xludf.DUMMYFUNCTION("""COMPUTED_VALUE"""),45812.66136907408)</f>
        <v>45812.66137</v>
      </c>
      <c r="C409" s="17">
        <f>IFERROR(__xludf.DUMMYFUNCTION("""COMPUTED_VALUE"""),45818.36099121528)</f>
        <v>45818.36099</v>
      </c>
      <c r="D409" s="15" t="str">
        <f>IFERROR(__xludf.DUMMYFUNCTION("""COMPUTED_VALUE"""),"Pneumatic Fitting")</f>
        <v>Pneumatic Fitting</v>
      </c>
      <c r="E409" s="15" t="str">
        <f>IFERROR(__xludf.DUMMYFUNCTION("""COMPUTED_VALUE"""),"-")</f>
        <v>-</v>
      </c>
      <c r="F409" s="15" t="str">
        <f>IFERROR(__xludf.DUMMYFUNCTION("""COMPUTED_VALUE"""),"FESTO - QS-12-10 Push in Connector p/n: 153040")</f>
        <v>FESTO - QS-12-10 Push in Connector p/n: 153040</v>
      </c>
      <c r="G409" s="15">
        <f>IFERROR(__xludf.DUMMYFUNCTION("""COMPUTED_VALUE"""),6.0)</f>
        <v>6</v>
      </c>
      <c r="H409" s="15" t="str">
        <f>IFERROR(__xludf.DUMMYFUNCTION("""COMPUTED_VALUE"""),"Pcs")</f>
        <v>Pcs</v>
      </c>
      <c r="I409" s="15" t="str">
        <f>IFERROR(__xludf.DUMMYFUNCTION("""COMPUTED_VALUE"""),"Deliver")</f>
        <v>Deliver</v>
      </c>
      <c r="J409" s="15" t="str">
        <f>IFERROR(__xludf.DUMMYFUNCTION("""COMPUTED_VALUE"""),"-")</f>
        <v>-</v>
      </c>
      <c r="K409" s="15" t="str">
        <f>IFERROR(__xludf.DUMMYFUNCTION("""COMPUTED_VALUE"""),"-")</f>
        <v>-</v>
      </c>
      <c r="L409" s="15" t="str">
        <f>IFERROR(__xludf.DUMMYFUNCTION("""COMPUTED_VALUE"""),"Normal")</f>
        <v>Normal</v>
      </c>
      <c r="M409" s="18" t="s">
        <v>31</v>
      </c>
      <c r="N409" s="18" t="s">
        <v>28</v>
      </c>
    </row>
    <row r="410" hidden="1">
      <c r="A410" s="15" t="str">
        <f>IFERROR(__xludf.DUMMYFUNCTION("""COMPUTED_VALUE"""),"MOBRO0048")</f>
        <v>MOBRO0048</v>
      </c>
      <c r="B410" s="16">
        <f>IFERROR(__xludf.DUMMYFUNCTION("""COMPUTED_VALUE"""),45812.66628575231)</f>
        <v>45812.66629</v>
      </c>
      <c r="C410" s="17">
        <f>IFERROR(__xludf.DUMMYFUNCTION("""COMPUTED_VALUE"""),45818.36162940972)</f>
        <v>45818.36163</v>
      </c>
      <c r="D410" s="15" t="str">
        <f>IFERROR(__xludf.DUMMYFUNCTION("""COMPUTED_VALUE"""),"Fitting PVC")</f>
        <v>Fitting PVC</v>
      </c>
      <c r="E410" s="15" t="str">
        <f>IFERROR(__xludf.DUMMYFUNCTION("""COMPUTED_VALUE"""),"-")</f>
        <v>-</v>
      </c>
      <c r="F410" s="15" t="str">
        <f>IFERROR(__xludf.DUMMYFUNCTION("""COMPUTED_VALUE"""),"General - Reducer, PVC, 1"" x 1/2""; Rucika; -; 1 pcs")</f>
        <v>General - Reducer, PVC, 1" x 1/2"; Rucika; -; 1 pcs</v>
      </c>
      <c r="G410" s="15">
        <f>IFERROR(__xludf.DUMMYFUNCTION("""COMPUTED_VALUE"""),6.0)</f>
        <v>6</v>
      </c>
      <c r="H410" s="15" t="str">
        <f>IFERROR(__xludf.DUMMYFUNCTION("""COMPUTED_VALUE"""),"Pcs")</f>
        <v>Pcs</v>
      </c>
      <c r="I410" s="15" t="str">
        <f>IFERROR(__xludf.DUMMYFUNCTION("""COMPUTED_VALUE"""),"Deliver")</f>
        <v>Deliver</v>
      </c>
      <c r="J410" s="15" t="str">
        <f>IFERROR(__xludf.DUMMYFUNCTION("""COMPUTED_VALUE"""),"-")</f>
        <v>-</v>
      </c>
      <c r="K410" s="15" t="str">
        <f>IFERROR(__xludf.DUMMYFUNCTION("""COMPUTED_VALUE"""),"-")</f>
        <v>-</v>
      </c>
      <c r="L410" s="15" t="str">
        <f>IFERROR(__xludf.DUMMYFUNCTION("""COMPUTED_VALUE"""),"Normal")</f>
        <v>Normal</v>
      </c>
      <c r="M410" s="18" t="s">
        <v>31</v>
      </c>
      <c r="N410" s="18" t="s">
        <v>28</v>
      </c>
    </row>
    <row r="411" hidden="1">
      <c r="A411" s="15" t="str">
        <f>IFERROR(__xludf.DUMMYFUNCTION("""COMPUTED_VALUE"""),"MOBRO0049")</f>
        <v>MOBRO0049</v>
      </c>
      <c r="B411" s="16">
        <f>IFERROR(__xludf.DUMMYFUNCTION("""COMPUTED_VALUE"""),45812.667465590275)</f>
        <v>45812.66747</v>
      </c>
      <c r="C411" s="17">
        <f>IFERROR(__xludf.DUMMYFUNCTION("""COMPUTED_VALUE"""),45818.36195636574)</f>
        <v>45818.36196</v>
      </c>
      <c r="D411" s="15" t="str">
        <f>IFERROR(__xludf.DUMMYFUNCTION("""COMPUTED_VALUE"""),"Fitting PVC")</f>
        <v>Fitting PVC</v>
      </c>
      <c r="E411" s="15" t="str">
        <f>IFERROR(__xludf.DUMMYFUNCTION("""COMPUTED_VALUE"""),"-")</f>
        <v>-</v>
      </c>
      <c r="F411" s="15" t="str">
        <f>IFERROR(__xludf.DUMMYFUNCTION("""COMPUTED_VALUE"""),"RUCIKA - Pipa PVC aw dia 1/2 inch Warna Abu-Abu")</f>
        <v>RUCIKA - Pipa PVC aw dia 1/2 inch Warna Abu-Abu</v>
      </c>
      <c r="G411" s="15">
        <f>IFERROR(__xludf.DUMMYFUNCTION("""COMPUTED_VALUE"""),6.0)</f>
        <v>6</v>
      </c>
      <c r="H411" s="15" t="str">
        <f>IFERROR(__xludf.DUMMYFUNCTION("""COMPUTED_VALUE"""),"Pcs")</f>
        <v>Pcs</v>
      </c>
      <c r="I411" s="15" t="str">
        <f>IFERROR(__xludf.DUMMYFUNCTION("""COMPUTED_VALUE"""),"Deliver")</f>
        <v>Deliver</v>
      </c>
      <c r="J411" s="15" t="str">
        <f>IFERROR(__xludf.DUMMYFUNCTION("""COMPUTED_VALUE"""),"-")</f>
        <v>-</v>
      </c>
      <c r="K411" s="15" t="str">
        <f>IFERROR(__xludf.DUMMYFUNCTION("""COMPUTED_VALUE"""),"-")</f>
        <v>-</v>
      </c>
      <c r="L411" s="15" t="str">
        <f>IFERROR(__xludf.DUMMYFUNCTION("""COMPUTED_VALUE"""),"Normal")</f>
        <v>Normal</v>
      </c>
      <c r="M411" s="18" t="s">
        <v>31</v>
      </c>
      <c r="N411" s="18" t="s">
        <v>28</v>
      </c>
    </row>
    <row r="412" hidden="1">
      <c r="A412" s="15" t="str">
        <f>IFERROR(__xludf.DUMMYFUNCTION("""COMPUTED_VALUE"""),"MOBRO0050")</f>
        <v>MOBRO0050</v>
      </c>
      <c r="B412" s="16">
        <f>IFERROR(__xludf.DUMMYFUNCTION("""COMPUTED_VALUE"""),45817.69481939815)</f>
        <v>45817.69482</v>
      </c>
      <c r="C412" s="17">
        <f>IFERROR(__xludf.DUMMYFUNCTION("""COMPUTED_VALUE"""),45818.362645416666)</f>
        <v>45818.36265</v>
      </c>
      <c r="D412" s="15" t="str">
        <f>IFERROR(__xludf.DUMMYFUNCTION("""COMPUTED_VALUE"""),"PSG")</f>
        <v>PSG</v>
      </c>
      <c r="E412" s="15" t="str">
        <f>IFERROR(__xludf.DUMMYFUNCTION("""COMPUTED_VALUE"""),"-")</f>
        <v>-</v>
      </c>
      <c r="F412" s="15" t="str">
        <f>IFERROR(__xludf.DUMMYFUNCTION("""COMPUTED_VALUE"""),"PRESSURE SWITCH DANFOSS, DANFOSS, KP35")</f>
        <v>PRESSURE SWITCH DANFOSS, DANFOSS, KP35</v>
      </c>
      <c r="G412" s="15">
        <f>IFERROR(__xludf.DUMMYFUNCTION("""COMPUTED_VALUE"""),2.0)</f>
        <v>2</v>
      </c>
      <c r="H412" s="15" t="str">
        <f>IFERROR(__xludf.DUMMYFUNCTION("""COMPUTED_VALUE"""),"Pcs")</f>
        <v>Pcs</v>
      </c>
      <c r="I412" s="15" t="str">
        <f>IFERROR(__xludf.DUMMYFUNCTION("""COMPUTED_VALUE"""),"Deliver")</f>
        <v>Deliver</v>
      </c>
      <c r="J412" s="15" t="str">
        <f>IFERROR(__xludf.DUMMYFUNCTION("""COMPUTED_VALUE"""),"-")</f>
        <v>-</v>
      </c>
      <c r="K412" s="15" t="str">
        <f>IFERROR(__xludf.DUMMYFUNCTION("""COMPUTED_VALUE"""),"-")</f>
        <v>-</v>
      </c>
      <c r="L412" s="15" t="str">
        <f>IFERROR(__xludf.DUMMYFUNCTION("""COMPUTED_VALUE"""),"Normal")</f>
        <v>Normal</v>
      </c>
      <c r="M412" s="18" t="s">
        <v>31</v>
      </c>
      <c r="N412" s="18" t="s">
        <v>28</v>
      </c>
    </row>
    <row r="413" hidden="1">
      <c r="A413" s="15" t="str">
        <f>IFERROR(__xludf.DUMMYFUNCTION("""COMPUTED_VALUE"""),"MRNBR0018")</f>
        <v>MRNBR0018</v>
      </c>
      <c r="B413" s="16">
        <f>IFERROR(__xludf.DUMMYFUNCTION("""COMPUTED_VALUE"""),45816.04569962963)</f>
        <v>45816.0457</v>
      </c>
      <c r="C413" s="17">
        <f>IFERROR(__xludf.DUMMYFUNCTION("""COMPUTED_VALUE"""),45818.36825929398)</f>
        <v>45818.36826</v>
      </c>
      <c r="D413" s="15" t="str">
        <f>IFERROR(__xludf.DUMMYFUNCTION("""COMPUTED_VALUE"""),"Deep frezzer API")</f>
        <v>Deep frezzer API</v>
      </c>
      <c r="E413" s="15" t="str">
        <f>IFERROR(__xludf.DUMMYFUNCTION("""COMPUTED_VALUE"""),"EJO/2025/06/53")</f>
        <v>EJO/2025/06/53</v>
      </c>
      <c r="F413" s="15" t="str">
        <f>IFERROR(__xludf.DUMMYFUNCTION("""COMPUTED_VALUE"""),"Dimmer heater")</f>
        <v>Dimmer heater</v>
      </c>
      <c r="G413" s="15">
        <f>IFERROR(__xludf.DUMMYFUNCTION("""COMPUTED_VALUE"""),2.0)</f>
        <v>2</v>
      </c>
      <c r="H413" s="15" t="str">
        <f>IFERROR(__xludf.DUMMYFUNCTION("""COMPUTED_VALUE"""),"pcs")</f>
        <v>pcs</v>
      </c>
      <c r="I413" s="15" t="str">
        <f>IFERROR(__xludf.DUMMYFUNCTION("""COMPUTED_VALUE"""),"Deliver")</f>
        <v>Deliver</v>
      </c>
      <c r="J413" s="15" t="str">
        <f>IFERROR(__xludf.DUMMYFUNCTION("""COMPUTED_VALUE"""),"-")</f>
        <v>-</v>
      </c>
      <c r="K413" s="15" t="str">
        <f>IFERROR(__xludf.DUMMYFUNCTION("""COMPUTED_VALUE"""),"-")</f>
        <v>-</v>
      </c>
      <c r="L413" s="15" t="str">
        <f>IFERROR(__xludf.DUMMYFUNCTION("""COMPUTED_VALUE"""),"Normal")</f>
        <v>Normal</v>
      </c>
      <c r="M413" s="18" t="s">
        <v>48</v>
      </c>
      <c r="N413" s="18" t="s">
        <v>28</v>
      </c>
    </row>
    <row r="414" hidden="1">
      <c r="A414" s="15" t="str">
        <f>IFERROR(__xludf.DUMMYFUNCTION("""COMPUTED_VALUE"""),"RIABR0041")</f>
        <v>RIABR0041</v>
      </c>
      <c r="B414" s="16">
        <f>IFERROR(__xludf.DUMMYFUNCTION("""COMPUTED_VALUE"""),45813.44401478009)</f>
        <v>45813.44401</v>
      </c>
      <c r="C414" s="17">
        <f>IFERROR(__xludf.DUMMYFUNCTION("""COMPUTED_VALUE"""),45818.36859510417)</f>
        <v>45818.3686</v>
      </c>
      <c r="D414" s="15" t="str">
        <f>IFERROR(__xludf.DUMMYFUNCTION("""COMPUTED_VALUE"""),"PSG")</f>
        <v>PSG</v>
      </c>
      <c r="E414" s="15" t="str">
        <f>IFERROR(__xludf.DUMMYFUNCTION("""COMPUTED_VALUE"""),"EJO/2025/05/03")</f>
        <v>EJO/2025/05/03</v>
      </c>
      <c r="F414" s="15" t="str">
        <f>IFERROR(__xludf.DUMMYFUNCTION("""COMPUTED_VALUE"""),"Wheel Sensor")</f>
        <v>Wheel Sensor</v>
      </c>
      <c r="G414" s="15">
        <f>IFERROR(__xludf.DUMMYFUNCTION("""COMPUTED_VALUE"""),1.0)</f>
        <v>1</v>
      </c>
      <c r="H414" s="15" t="str">
        <f>IFERROR(__xludf.DUMMYFUNCTION("""COMPUTED_VALUE"""),"Pcs")</f>
        <v>Pcs</v>
      </c>
      <c r="I414" s="15" t="str">
        <f>IFERROR(__xludf.DUMMYFUNCTION("""COMPUTED_VALUE"""),"Deliver")</f>
        <v>Deliver</v>
      </c>
      <c r="J414" s="15" t="str">
        <f>IFERROR(__xludf.DUMMYFUNCTION("""COMPUTED_VALUE"""),"-")</f>
        <v>-</v>
      </c>
      <c r="K414" s="15" t="str">
        <f>IFERROR(__xludf.DUMMYFUNCTION("""COMPUTED_VALUE"""),"-")</f>
        <v>-</v>
      </c>
      <c r="L414" s="15" t="str">
        <f>IFERROR(__xludf.DUMMYFUNCTION("""COMPUTED_VALUE"""),"Normal")</f>
        <v>Normal</v>
      </c>
      <c r="M414" s="18" t="s">
        <v>32</v>
      </c>
      <c r="N414" s="18" t="s">
        <v>28</v>
      </c>
    </row>
    <row r="415" hidden="1">
      <c r="A415" s="15" t="str">
        <f>IFERROR(__xludf.DUMMYFUNCTION("""COMPUTED_VALUE"""),"MOBBR0029")</f>
        <v>MOBBR0029</v>
      </c>
      <c r="B415" s="16">
        <f>IFERROR(__xludf.DUMMYFUNCTION("""COMPUTED_VALUE"""),45817.416896932875)</f>
        <v>45817.4169</v>
      </c>
      <c r="C415" s="17">
        <f>IFERROR(__xludf.DUMMYFUNCTION("""COMPUTED_VALUE"""),45818.370401354165)</f>
        <v>45818.3704</v>
      </c>
      <c r="D415" s="15" t="str">
        <f>IFERROR(__xludf.DUMMYFUNCTION("""COMPUTED_VALUE"""),"HE Mixing")</f>
        <v>HE Mixing</v>
      </c>
      <c r="E415" s="15" t="str">
        <f>IFERROR(__xludf.DUMMYFUNCTION("""COMPUTED_VALUE"""),"-")</f>
        <v>-</v>
      </c>
      <c r="F415" s="15" t="str">
        <f>IFERROR(__xludf.DUMMYFUNCTION("""COMPUTED_VALUE"""),"Pressure Gauge")</f>
        <v>Pressure Gauge</v>
      </c>
      <c r="G415" s="15">
        <f>IFERROR(__xludf.DUMMYFUNCTION("""COMPUTED_VALUE"""),2.0)</f>
        <v>2</v>
      </c>
      <c r="H415" s="15" t="str">
        <f>IFERROR(__xludf.DUMMYFUNCTION("""COMPUTED_VALUE"""),"Pcs")</f>
        <v>Pcs</v>
      </c>
      <c r="I415" s="15" t="str">
        <f>IFERROR(__xludf.DUMMYFUNCTION("""COMPUTED_VALUE"""),"Deliver")</f>
        <v>Deliver</v>
      </c>
      <c r="J415" s="15" t="str">
        <f>IFERROR(__xludf.DUMMYFUNCTION("""COMPUTED_VALUE"""),"-")</f>
        <v>-</v>
      </c>
      <c r="K415" s="15" t="str">
        <f>IFERROR(__xludf.DUMMYFUNCTION("""COMPUTED_VALUE"""),"-")</f>
        <v>-</v>
      </c>
      <c r="L415" s="15" t="str">
        <f>IFERROR(__xludf.DUMMYFUNCTION("""COMPUTED_VALUE"""),"Normal")</f>
        <v>Normal</v>
      </c>
      <c r="M415" s="18" t="s">
        <v>31</v>
      </c>
      <c r="N415" s="18" t="s">
        <v>28</v>
      </c>
    </row>
    <row r="416" hidden="1">
      <c r="A416" s="15" t="str">
        <f>IFERROR(__xludf.DUMMYFUNCTION("""COMPUTED_VALUE"""),"RIABR0042")</f>
        <v>RIABR0042</v>
      </c>
      <c r="B416" s="16">
        <f>IFERROR(__xludf.DUMMYFUNCTION("""COMPUTED_VALUE"""),45816.68609575232)</f>
        <v>45816.6861</v>
      </c>
      <c r="C416" s="17">
        <f>IFERROR(__xludf.DUMMYFUNCTION("""COMPUTED_VALUE"""),45818.375536307874)</f>
        <v>45818.37554</v>
      </c>
      <c r="D416" s="15" t="str">
        <f>IFERROR(__xludf.DUMMYFUNCTION("""COMPUTED_VALUE"""),"Equipmon")</f>
        <v>Equipmon</v>
      </c>
      <c r="E416" s="15" t="str">
        <f>IFERROR(__xludf.DUMMYFUNCTION("""COMPUTED_VALUE"""),"-")</f>
        <v>-</v>
      </c>
      <c r="F416" s="15" t="str">
        <f>IFERROR(__xludf.DUMMYFUNCTION("""COMPUTED_VALUE"""),"Thermal Paste")</f>
        <v>Thermal Paste</v>
      </c>
      <c r="G416" s="15">
        <f>IFERROR(__xludf.DUMMYFUNCTION("""COMPUTED_VALUE"""),5.0)</f>
        <v>5</v>
      </c>
      <c r="H416" s="15" t="str">
        <f>IFERROR(__xludf.DUMMYFUNCTION("""COMPUTED_VALUE"""),"Pcs")</f>
        <v>Pcs</v>
      </c>
      <c r="I416" s="15" t="str">
        <f>IFERROR(__xludf.DUMMYFUNCTION("""COMPUTED_VALUE"""),"Deliver")</f>
        <v>Deliver</v>
      </c>
      <c r="J416" s="15" t="str">
        <f>IFERROR(__xludf.DUMMYFUNCTION("""COMPUTED_VALUE"""),"121703996 - APPROVED")</f>
        <v>121703996 - APPROVED</v>
      </c>
      <c r="K416" s="15" t="str">
        <f>IFERROR(__xludf.DUMMYFUNCTION("""COMPUTED_VALUE"""),"GL2604017")</f>
        <v>GL2604017</v>
      </c>
      <c r="L416" s="15" t="str">
        <f>IFERROR(__xludf.DUMMYFUNCTION("""COMPUTED_VALUE"""),"Normal")</f>
        <v>Normal</v>
      </c>
      <c r="M416" s="18" t="s">
        <v>32</v>
      </c>
      <c r="N416" s="18" t="s">
        <v>28</v>
      </c>
    </row>
    <row r="417" hidden="1">
      <c r="A417" s="15" t="str">
        <f>IFERROR(__xludf.DUMMYFUNCTION("""COMPUTED_VALUE"""),"SFHRO0008")</f>
        <v>SFHRO0008</v>
      </c>
      <c r="B417" s="16">
        <f>IFERROR(__xludf.DUMMYFUNCTION("""COMPUTED_VALUE"""),45812.63591305556)</f>
        <v>45812.63591</v>
      </c>
      <c r="C417" s="17">
        <f>IFERROR(__xludf.DUMMYFUNCTION("""COMPUTED_VALUE"""),45818.39951811342)</f>
        <v>45818.39952</v>
      </c>
      <c r="D417" s="15" t="str">
        <f>IFERROR(__xludf.DUMMYFUNCTION("""COMPUTED_VALUE"""),"lantai 2")</f>
        <v>lantai 2</v>
      </c>
      <c r="E417" s="15" t="str">
        <f>IFERROR(__xludf.DUMMYFUNCTION("""COMPUTED_VALUE"""),"-")</f>
        <v>-</v>
      </c>
      <c r="F417" s="15" t="str">
        <f>IFERROR(__xludf.DUMMYFUNCTION("""COMPUTED_VALUE"""),"Lem PVC Isarplas 300 gr/kaleng")</f>
        <v>Lem PVC Isarplas 300 gr/kaleng</v>
      </c>
      <c r="G417" s="15">
        <f>IFERROR(__xludf.DUMMYFUNCTION("""COMPUTED_VALUE"""),3.0)</f>
        <v>3</v>
      </c>
      <c r="H417" s="15" t="str">
        <f>IFERROR(__xludf.DUMMYFUNCTION("""COMPUTED_VALUE"""),"kaleng")</f>
        <v>kaleng</v>
      </c>
      <c r="I417" s="15" t="str">
        <f>IFERROR(__xludf.DUMMYFUNCTION("""COMPUTED_VALUE"""),"Deliver")</f>
        <v>Deliver</v>
      </c>
      <c r="J417" s="15" t="str">
        <f>IFERROR(__xludf.DUMMYFUNCTION("""COMPUTED_VALUE"""),"-")</f>
        <v>-</v>
      </c>
      <c r="K417" s="15" t="str">
        <f>IFERROR(__xludf.DUMMYFUNCTION("""COMPUTED_VALUE"""),"-")</f>
        <v>-</v>
      </c>
      <c r="L417" s="15" t="str">
        <f>IFERROR(__xludf.DUMMYFUNCTION("""COMPUTED_VALUE"""),"Normal")</f>
        <v>Normal</v>
      </c>
      <c r="M417" s="18" t="s">
        <v>27</v>
      </c>
      <c r="N417" s="18" t="s">
        <v>28</v>
      </c>
    </row>
    <row r="418" hidden="1">
      <c r="A418" s="15" t="str">
        <f>IFERROR(__xludf.DUMMYFUNCTION("""COMPUTED_VALUE"""),"SFHRO0009")</f>
        <v>SFHRO0009</v>
      </c>
      <c r="B418" s="16">
        <f>IFERROR(__xludf.DUMMYFUNCTION("""COMPUTED_VALUE"""),45812.637380775464)</f>
        <v>45812.63738</v>
      </c>
      <c r="C418" s="17">
        <f>IFERROR(__xludf.DUMMYFUNCTION("""COMPUTED_VALUE"""),45818.399669652776)</f>
        <v>45818.39967</v>
      </c>
      <c r="D418" s="15" t="str">
        <f>IFERROR(__xludf.DUMMYFUNCTION("""COMPUTED_VALUE"""),"lantai 2")</f>
        <v>lantai 2</v>
      </c>
      <c r="E418" s="15" t="str">
        <f>IFERROR(__xludf.DUMMYFUNCTION("""COMPUTED_VALUE"""),"-")</f>
        <v>-</v>
      </c>
      <c r="F418" s="15" t="str">
        <f>IFERROR(__xludf.DUMMYFUNCTION("""COMPUTED_VALUE"""),"General - Ampelas P500; EAGLE; -; 1 pcs")</f>
        <v>General - Ampelas P500; EAGLE; -; 1 pcs</v>
      </c>
      <c r="G418" s="15">
        <f>IFERROR(__xludf.DUMMYFUNCTION("""COMPUTED_VALUE"""),20.0)</f>
        <v>20</v>
      </c>
      <c r="H418" s="15" t="str">
        <f>IFERROR(__xludf.DUMMYFUNCTION("""COMPUTED_VALUE"""),"lembar")</f>
        <v>lembar</v>
      </c>
      <c r="I418" s="15" t="str">
        <f>IFERROR(__xludf.DUMMYFUNCTION("""COMPUTED_VALUE"""),"Deliver")</f>
        <v>Deliver</v>
      </c>
      <c r="J418" s="15" t="str">
        <f>IFERROR(__xludf.DUMMYFUNCTION("""COMPUTED_VALUE"""),"-")</f>
        <v>-</v>
      </c>
      <c r="K418" s="15" t="str">
        <f>IFERROR(__xludf.DUMMYFUNCTION("""COMPUTED_VALUE"""),"-")</f>
        <v>-</v>
      </c>
      <c r="L418" s="15" t="str">
        <f>IFERROR(__xludf.DUMMYFUNCTION("""COMPUTED_VALUE"""),"Normal")</f>
        <v>Normal</v>
      </c>
      <c r="M418" s="18" t="s">
        <v>27</v>
      </c>
      <c r="N418" s="18" t="s">
        <v>28</v>
      </c>
    </row>
    <row r="419" hidden="1">
      <c r="A419" s="15" t="str">
        <f>IFERROR(__xludf.DUMMYFUNCTION("""COMPUTED_VALUE"""),"ROSRO0008")</f>
        <v>ROSRO0008</v>
      </c>
      <c r="B419" s="16">
        <f>IFERROR(__xludf.DUMMYFUNCTION("""COMPUTED_VALUE"""),45819.63492790509)</f>
        <v>45819.63493</v>
      </c>
      <c r="C419" s="17">
        <f>IFERROR(__xludf.DUMMYFUNCTION("""COMPUTED_VALUE"""),45825.37510420139)</f>
        <v>45825.3751</v>
      </c>
      <c r="D419" s="15" t="str">
        <f>IFERROR(__xludf.DUMMYFUNCTION("""COMPUTED_VALUE"""),"Las Asetilin ")</f>
        <v>Las Asetilin </v>
      </c>
      <c r="E419" s="15" t="str">
        <f>IFERROR(__xludf.DUMMYFUNCTION("""COMPUTED_VALUE"""),"-")</f>
        <v>-</v>
      </c>
      <c r="F419" s="15" t="str">
        <f>IFERROR(__xludf.DUMMYFUNCTION("""COMPUTED_VALUE"""),"General - Kawat Las Tembaga Dia  = 3,2  X 450 mm; Harris; -; 1 Pc")</f>
        <v>General - Kawat Las Tembaga Dia  = 3,2  X 450 mm; Harris; -; 1 Pc</v>
      </c>
      <c r="G419" s="15">
        <f>IFERROR(__xludf.DUMMYFUNCTION("""COMPUTED_VALUE"""),50.0)</f>
        <v>50</v>
      </c>
      <c r="H419" s="15" t="str">
        <f>IFERROR(__xludf.DUMMYFUNCTION("""COMPUTED_VALUE"""),"pcs")</f>
        <v>pcs</v>
      </c>
      <c r="I419" s="15" t="str">
        <f>IFERROR(__xludf.DUMMYFUNCTION("""COMPUTED_VALUE"""),"Deliver")</f>
        <v>Deliver</v>
      </c>
      <c r="J419" s="15" t="str">
        <f>IFERROR(__xludf.DUMMYFUNCTION("""COMPUTED_VALUE"""),"-")</f>
        <v>-</v>
      </c>
      <c r="K419" s="15" t="str">
        <f>IFERROR(__xludf.DUMMYFUNCTION("""COMPUTED_VALUE"""),"-")</f>
        <v>-</v>
      </c>
      <c r="L419" s="15" t="str">
        <f>IFERROR(__xludf.DUMMYFUNCTION("""COMPUTED_VALUE"""),"Normal")</f>
        <v>Normal</v>
      </c>
      <c r="M419" s="18" t="s">
        <v>29</v>
      </c>
      <c r="N419" s="18" t="s">
        <v>30</v>
      </c>
    </row>
    <row r="420" hidden="1">
      <c r="A420" s="15" t="str">
        <f>IFERROR(__xludf.DUMMYFUNCTION("""COMPUTED_VALUE"""),"ROSBR0018")</f>
        <v>ROSBR0018</v>
      </c>
      <c r="B420" s="16">
        <f>IFERROR(__xludf.DUMMYFUNCTION("""COMPUTED_VALUE"""),45800.70543971065)</f>
        <v>45800.70544</v>
      </c>
      <c r="C420" s="17">
        <f>IFERROR(__xludf.DUMMYFUNCTION("""COMPUTED_VALUE"""),45825.377764201396)</f>
        <v>45825.37776</v>
      </c>
      <c r="D420" s="15" t="str">
        <f>IFERROR(__xludf.DUMMYFUNCTION("""COMPUTED_VALUE"""),"Sartocheck")</f>
        <v>Sartocheck</v>
      </c>
      <c r="E420" s="15" t="str">
        <f>IFERROR(__xludf.DUMMYFUNCTION("""COMPUTED_VALUE"""),"NA")</f>
        <v>NA</v>
      </c>
      <c r="F420" s="15" t="str">
        <f>IFERROR(__xludf.DUMMYFUNCTION("""COMPUTED_VALUE"""),"Fuse Kaca")</f>
        <v>Fuse Kaca</v>
      </c>
      <c r="G420" s="15">
        <f>IFERROR(__xludf.DUMMYFUNCTION("""COMPUTED_VALUE"""),20.0)</f>
        <v>20</v>
      </c>
      <c r="H420" s="15" t="str">
        <f>IFERROR(__xludf.DUMMYFUNCTION("""COMPUTED_VALUE"""),"Pcs")</f>
        <v>Pcs</v>
      </c>
      <c r="I420" s="15" t="str">
        <f>IFERROR(__xludf.DUMMYFUNCTION("""COMPUTED_VALUE"""),"Deliver")</f>
        <v>Deliver</v>
      </c>
      <c r="J420" s="15" t="str">
        <f>IFERROR(__xludf.DUMMYFUNCTION("""COMPUTED_VALUE"""),"-")</f>
        <v>-</v>
      </c>
      <c r="K420" s="15" t="str">
        <f>IFERROR(__xludf.DUMMYFUNCTION("""COMPUTED_VALUE"""),"-")</f>
        <v>-</v>
      </c>
      <c r="L420" s="15" t="str">
        <f>IFERROR(__xludf.DUMMYFUNCTION("""COMPUTED_VALUE"""),"Normal")</f>
        <v>Normal</v>
      </c>
      <c r="M420" s="18" t="s">
        <v>29</v>
      </c>
      <c r="N420" s="18" t="s">
        <v>30</v>
      </c>
    </row>
    <row r="421" hidden="1">
      <c r="A421" s="15" t="str">
        <f>IFERROR(__xludf.DUMMYFUNCTION("""COMPUTED_VALUE"""),"ROSBR0019")</f>
        <v>ROSBR0019</v>
      </c>
      <c r="B421" s="16">
        <f>IFERROR(__xludf.DUMMYFUNCTION("""COMPUTED_VALUE"""),45800.884606562504)</f>
        <v>45800.88461</v>
      </c>
      <c r="C421" s="17">
        <f>IFERROR(__xludf.DUMMYFUNCTION("""COMPUTED_VALUE"""),45825.40835431713)</f>
        <v>45825.40835</v>
      </c>
      <c r="D421" s="15" t="str">
        <f>IFERROR(__xludf.DUMMYFUNCTION("""COMPUTED_VALUE"""),"Dustcollector Coating")</f>
        <v>Dustcollector Coating</v>
      </c>
      <c r="E421" s="15" t="str">
        <f>IFERROR(__xludf.DUMMYFUNCTION("""COMPUTED_VALUE"""),"NA")</f>
        <v>NA</v>
      </c>
      <c r="F421" s="15" t="str">
        <f>IFERROR(__xludf.DUMMYFUNCTION("""COMPUTED_VALUE"""),"Cover filter masker 3M")</f>
        <v>Cover filter masker 3M</v>
      </c>
      <c r="G421" s="15">
        <f>IFERROR(__xludf.DUMMYFUNCTION("""COMPUTED_VALUE"""),10.0)</f>
        <v>10</v>
      </c>
      <c r="H421" s="15" t="str">
        <f>IFERROR(__xludf.DUMMYFUNCTION("""COMPUTED_VALUE"""),"pcs")</f>
        <v>pcs</v>
      </c>
      <c r="I421" s="15" t="str">
        <f>IFERROR(__xludf.DUMMYFUNCTION("""COMPUTED_VALUE"""),"Deliver")</f>
        <v>Deliver</v>
      </c>
      <c r="J421" s="15" t="str">
        <f>IFERROR(__xludf.DUMMYFUNCTION("""COMPUTED_VALUE"""),"-")</f>
        <v>-</v>
      </c>
      <c r="K421" s="15" t="str">
        <f>IFERROR(__xludf.DUMMYFUNCTION("""COMPUTED_VALUE"""),"-")</f>
        <v>-</v>
      </c>
      <c r="L421" s="15" t="str">
        <f>IFERROR(__xludf.DUMMYFUNCTION("""COMPUTED_VALUE"""),"Normal")</f>
        <v>Normal</v>
      </c>
      <c r="M421" s="18" t="s">
        <v>29</v>
      </c>
      <c r="N421" s="18" t="s">
        <v>30</v>
      </c>
    </row>
    <row r="422" hidden="1">
      <c r="A422" s="15" t="str">
        <f>IFERROR(__xludf.DUMMYFUNCTION("""COMPUTED_VALUE"""),"ROSBR0020")</f>
        <v>ROSBR0020</v>
      </c>
      <c r="B422" s="16">
        <f>IFERROR(__xludf.DUMMYFUNCTION("""COMPUTED_VALUE"""),45800.890040370374)</f>
        <v>45800.89004</v>
      </c>
      <c r="C422" s="17">
        <f>IFERROR(__xludf.DUMMYFUNCTION("""COMPUTED_VALUE"""),45825.40945291667)</f>
        <v>45825.40945</v>
      </c>
      <c r="D422" s="15" t="str">
        <f>IFERROR(__xludf.DUMMYFUNCTION("""COMPUTED_VALUE"""),"Duscollector Coating")</f>
        <v>Duscollector Coating</v>
      </c>
      <c r="E422" s="15" t="str">
        <f>IFERROR(__xludf.DUMMYFUNCTION("""COMPUTED_VALUE"""),"NA")</f>
        <v>NA</v>
      </c>
      <c r="F422" s="15" t="str">
        <f>IFERROR(__xludf.DUMMYFUNCTION("""COMPUTED_VALUE"""),"Prefilter 5N11 N95")</f>
        <v>Prefilter 5N11 N95</v>
      </c>
      <c r="G422" s="15">
        <f>IFERROR(__xludf.DUMMYFUNCTION("""COMPUTED_VALUE"""),2.0)</f>
        <v>2</v>
      </c>
      <c r="H422" s="15" t="str">
        <f>IFERROR(__xludf.DUMMYFUNCTION("""COMPUTED_VALUE"""),"Box")</f>
        <v>Box</v>
      </c>
      <c r="I422" s="15" t="str">
        <f>IFERROR(__xludf.DUMMYFUNCTION("""COMPUTED_VALUE"""),"Deliver")</f>
        <v>Deliver</v>
      </c>
      <c r="J422" s="15" t="str">
        <f>IFERROR(__xludf.DUMMYFUNCTION("""COMPUTED_VALUE"""),"-")</f>
        <v>-</v>
      </c>
      <c r="K422" s="15" t="str">
        <f>IFERROR(__xludf.DUMMYFUNCTION("""COMPUTED_VALUE"""),"-")</f>
        <v>-</v>
      </c>
      <c r="L422" s="15" t="str">
        <f>IFERROR(__xludf.DUMMYFUNCTION("""COMPUTED_VALUE"""),"Normal")</f>
        <v>Normal</v>
      </c>
      <c r="M422" s="18" t="s">
        <v>29</v>
      </c>
      <c r="N422" s="18" t="s">
        <v>30</v>
      </c>
    </row>
    <row r="423" hidden="1">
      <c r="A423" s="15" t="str">
        <f>IFERROR(__xludf.DUMMYFUNCTION("""COMPUTED_VALUE"""),"ROSBR0021")</f>
        <v>ROSBR0021</v>
      </c>
      <c r="B423" s="16">
        <f>IFERROR(__xludf.DUMMYFUNCTION("""COMPUTED_VALUE"""),45800.89524377314)</f>
        <v>45800.89524</v>
      </c>
      <c r="C423" s="17">
        <f>IFERROR(__xludf.DUMMYFUNCTION("""COMPUTED_VALUE"""),45825.41087251157)</f>
        <v>45825.41087</v>
      </c>
      <c r="D423" s="15" t="str">
        <f>IFERROR(__xludf.DUMMYFUNCTION("""COMPUTED_VALUE"""),"Duscollector Coating")</f>
        <v>Duscollector Coating</v>
      </c>
      <c r="E423" s="15" t="str">
        <f>IFERROR(__xludf.DUMMYFUNCTION("""COMPUTED_VALUE"""),"NA")</f>
        <v>NA</v>
      </c>
      <c r="F423" s="15" t="str">
        <f>IFERROR(__xludf.DUMMYFUNCTION("""COMPUTED_VALUE"""),"3M 6006 Catridge")</f>
        <v>3M 6006 Catridge</v>
      </c>
      <c r="G423" s="15">
        <f>IFERROR(__xludf.DUMMYFUNCTION("""COMPUTED_VALUE"""),6.0)</f>
        <v>6</v>
      </c>
      <c r="H423" s="15" t="str">
        <f>IFERROR(__xludf.DUMMYFUNCTION("""COMPUTED_VALUE"""),"set")</f>
        <v>set</v>
      </c>
      <c r="I423" s="15" t="str">
        <f>IFERROR(__xludf.DUMMYFUNCTION("""COMPUTED_VALUE"""),"Deliver")</f>
        <v>Deliver</v>
      </c>
      <c r="J423" s="15" t="str">
        <f>IFERROR(__xludf.DUMMYFUNCTION("""COMPUTED_VALUE"""),"-")</f>
        <v>-</v>
      </c>
      <c r="K423" s="15" t="str">
        <f>IFERROR(__xludf.DUMMYFUNCTION("""COMPUTED_VALUE"""),"-")</f>
        <v>-</v>
      </c>
      <c r="L423" s="15" t="str">
        <f>IFERROR(__xludf.DUMMYFUNCTION("""COMPUTED_VALUE"""),"Normal")</f>
        <v>Normal</v>
      </c>
      <c r="M423" s="18" t="s">
        <v>29</v>
      </c>
      <c r="N423" s="18" t="s">
        <v>30</v>
      </c>
    </row>
    <row r="424" hidden="1">
      <c r="A424" s="15" t="str">
        <f>IFERROR(__xludf.DUMMYFUNCTION("""COMPUTED_VALUE"""),"ROSBR0022")</f>
        <v>ROSBR0022</v>
      </c>
      <c r="B424" s="16">
        <f>IFERROR(__xludf.DUMMYFUNCTION("""COMPUTED_VALUE"""),45800.90225410879)</f>
        <v>45800.90225</v>
      </c>
      <c r="C424" s="17">
        <f>IFERROR(__xludf.DUMMYFUNCTION("""COMPUTED_VALUE"""),45825.41266175926)</f>
        <v>45825.41266</v>
      </c>
      <c r="D424" s="15" t="str">
        <f>IFERROR(__xludf.DUMMYFUNCTION("""COMPUTED_VALUE"""),"Duscollector Coating")</f>
        <v>Duscollector Coating</v>
      </c>
      <c r="E424" s="15" t="str">
        <f>IFERROR(__xludf.DUMMYFUNCTION("""COMPUTED_VALUE"""),"NA")</f>
        <v>NA</v>
      </c>
      <c r="F424" s="15" t="str">
        <f>IFERROR(__xludf.DUMMYFUNCTION("""COMPUTED_VALUE"""),"Masker 3M Full Facepiece")</f>
        <v>Masker 3M Full Facepiece</v>
      </c>
      <c r="G424" s="15">
        <f>IFERROR(__xludf.DUMMYFUNCTION("""COMPUTED_VALUE"""),2.0)</f>
        <v>2</v>
      </c>
      <c r="H424" s="15" t="str">
        <f>IFERROR(__xludf.DUMMYFUNCTION("""COMPUTED_VALUE"""),"set")</f>
        <v>set</v>
      </c>
      <c r="I424" s="15" t="str">
        <f>IFERROR(__xludf.DUMMYFUNCTION("""COMPUTED_VALUE"""),"Deliver")</f>
        <v>Deliver</v>
      </c>
      <c r="J424" s="15" t="str">
        <f>IFERROR(__xludf.DUMMYFUNCTION("""COMPUTED_VALUE"""),"-")</f>
        <v>-</v>
      </c>
      <c r="K424" s="15" t="str">
        <f>IFERROR(__xludf.DUMMYFUNCTION("""COMPUTED_VALUE"""),"-")</f>
        <v>-</v>
      </c>
      <c r="L424" s="15" t="str">
        <f>IFERROR(__xludf.DUMMYFUNCTION("""COMPUTED_VALUE"""),"Normal")</f>
        <v>Normal</v>
      </c>
      <c r="M424" s="18" t="s">
        <v>29</v>
      </c>
      <c r="N424" s="18" t="s">
        <v>30</v>
      </c>
    </row>
    <row r="425" hidden="1">
      <c r="A425" s="15" t="str">
        <f>IFERROR(__xludf.DUMMYFUNCTION("""COMPUTED_VALUE"""),"ROSBR0023")</f>
        <v>ROSBR0023</v>
      </c>
      <c r="B425" s="16">
        <f>IFERROR(__xludf.DUMMYFUNCTION("""COMPUTED_VALUE"""),45821.08799895833)</f>
        <v>45821.088</v>
      </c>
      <c r="C425" s="17">
        <f>IFERROR(__xludf.DUMMYFUNCTION("""COMPUTED_VALUE"""),45825.413049745366)</f>
        <v>45825.41305</v>
      </c>
      <c r="D425" s="15" t="str">
        <f>IFERROR(__xludf.DUMMYFUNCTION("""COMPUTED_VALUE"""),"Capping")</f>
        <v>Capping</v>
      </c>
      <c r="E425" s="15" t="str">
        <f>IFERROR(__xludf.DUMMYFUNCTION("""COMPUTED_VALUE"""),"EJO/2025/05/09")</f>
        <v>EJO/2025/05/09</v>
      </c>
      <c r="F425" s="15" t="str">
        <f>IFERROR(__xludf.DUMMYFUNCTION("""COMPUTED_VALUE"""),"Kunci rak lemari Capping ")</f>
        <v>Kunci rak lemari Capping </v>
      </c>
      <c r="G425" s="15">
        <f>IFERROR(__xludf.DUMMYFUNCTION("""COMPUTED_VALUE"""),1.0)</f>
        <v>1</v>
      </c>
      <c r="H425" s="15" t="str">
        <f>IFERROR(__xludf.DUMMYFUNCTION("""COMPUTED_VALUE"""),"Set")</f>
        <v>Set</v>
      </c>
      <c r="I425" s="15" t="str">
        <f>IFERROR(__xludf.DUMMYFUNCTION("""COMPUTED_VALUE"""),"Deliver")</f>
        <v>Deliver</v>
      </c>
      <c r="J425" s="15" t="str">
        <f>IFERROR(__xludf.DUMMYFUNCTION("""COMPUTED_VALUE"""),"-")</f>
        <v>-</v>
      </c>
      <c r="K425" s="15" t="str">
        <f>IFERROR(__xludf.DUMMYFUNCTION("""COMPUTED_VALUE"""),"-")</f>
        <v>-</v>
      </c>
      <c r="L425" s="15" t="str">
        <f>IFERROR(__xludf.DUMMYFUNCTION("""COMPUTED_VALUE"""),"Normal")</f>
        <v>Normal</v>
      </c>
      <c r="M425" s="18" t="s">
        <v>29</v>
      </c>
      <c r="N425" s="18" t="s">
        <v>30</v>
      </c>
    </row>
    <row r="426" hidden="1">
      <c r="A426" s="15" t="str">
        <f>IFERROR(__xludf.DUMMYFUNCTION("""COMPUTED_VALUE"""),"ROSBR0025")</f>
        <v>ROSBR0025</v>
      </c>
      <c r="B426" s="16">
        <f>IFERROR(__xludf.DUMMYFUNCTION("""COMPUTED_VALUE"""),45821.08799895833)</f>
        <v>45821.088</v>
      </c>
      <c r="C426" s="17">
        <f>IFERROR(__xludf.DUMMYFUNCTION("""COMPUTED_VALUE"""),45825.41430424768)</f>
        <v>45825.4143</v>
      </c>
      <c r="D426" s="15" t="str">
        <f>IFERROR(__xludf.DUMMYFUNCTION("""COMPUTED_VALUE"""),"Capping")</f>
        <v>Capping</v>
      </c>
      <c r="E426" s="15" t="str">
        <f>IFERROR(__xludf.DUMMYFUNCTION("""COMPUTED_VALUE"""),"NA")</f>
        <v>NA</v>
      </c>
      <c r="F426" s="15" t="str">
        <f>IFERROR(__xludf.DUMMYFUNCTION("""COMPUTED_VALUE"""),"Lock Nut Capping Uk M10x 0.75 x 15")</f>
        <v>Lock Nut Capping Uk M10x 0.75 x 15</v>
      </c>
      <c r="G426" s="15">
        <f>IFERROR(__xludf.DUMMYFUNCTION("""COMPUTED_VALUE"""),5.0)</f>
        <v>5</v>
      </c>
      <c r="H426" s="15" t="str">
        <f>IFERROR(__xludf.DUMMYFUNCTION("""COMPUTED_VALUE"""),"pcs")</f>
        <v>pcs</v>
      </c>
      <c r="I426" s="15" t="str">
        <f>IFERROR(__xludf.DUMMYFUNCTION("""COMPUTED_VALUE"""),"Deliver")</f>
        <v>Deliver</v>
      </c>
      <c r="J426" s="15" t="str">
        <f>IFERROR(__xludf.DUMMYFUNCTION("""COMPUTED_VALUE"""),"-")</f>
        <v>-</v>
      </c>
      <c r="K426" s="15" t="str">
        <f>IFERROR(__xludf.DUMMYFUNCTION("""COMPUTED_VALUE"""),"-")</f>
        <v>-</v>
      </c>
      <c r="L426" s="15" t="str">
        <f>IFERROR(__xludf.DUMMYFUNCTION("""COMPUTED_VALUE"""),"Normal")</f>
        <v>Normal</v>
      </c>
      <c r="M426" s="18" t="s">
        <v>29</v>
      </c>
      <c r="N426" s="18" t="s">
        <v>30</v>
      </c>
    </row>
    <row r="427" hidden="1">
      <c r="A427" s="15" t="str">
        <f>IFERROR(__xludf.DUMMYFUNCTION("""COMPUTED_VALUE"""),"SFHRO0010")</f>
        <v>SFHRO0010</v>
      </c>
      <c r="B427" s="16">
        <f>IFERROR(__xludf.DUMMYFUNCTION("""COMPUTED_VALUE"""),45824.713355023145)</f>
        <v>45824.71336</v>
      </c>
      <c r="C427" s="17">
        <f>IFERROR(__xludf.DUMMYFUNCTION("""COMPUTED_VALUE"""),45825.46792096065)</f>
        <v>45825.46792</v>
      </c>
      <c r="D427" s="15" t="str">
        <f>IFERROR(__xludf.DUMMYFUNCTION("""COMPUTED_VALUE"""),"lantai 2")</f>
        <v>lantai 2</v>
      </c>
      <c r="E427" s="15" t="str">
        <f>IFERROR(__xludf.DUMMYFUNCTION("""COMPUTED_VALUE"""),"-")</f>
        <v>-</v>
      </c>
      <c r="F427" s="15" t="str">
        <f>IFERROR(__xludf.DUMMYFUNCTION("""COMPUTED_VALUE"""),"General - Chemical Cleaning; Kuclean; AC 101; 1 PL = 25 Kg")</f>
        <v>General - Chemical Cleaning; Kuclean; AC 101; 1 PL = 25 Kg</v>
      </c>
      <c r="G427" s="15">
        <f>IFERROR(__xludf.DUMMYFUNCTION("""COMPUTED_VALUE"""),25.0)</f>
        <v>25</v>
      </c>
      <c r="H427" s="15" t="str">
        <f>IFERROR(__xludf.DUMMYFUNCTION("""COMPUTED_VALUE"""),"jerigen")</f>
        <v>jerigen</v>
      </c>
      <c r="I427" s="15" t="str">
        <f>IFERROR(__xludf.DUMMYFUNCTION("""COMPUTED_VALUE"""),"Deliver")</f>
        <v>Deliver</v>
      </c>
      <c r="J427" s="15" t="str">
        <f>IFERROR(__xludf.DUMMYFUNCTION("""COMPUTED_VALUE"""),"-")</f>
        <v>-</v>
      </c>
      <c r="K427" s="15" t="str">
        <f>IFERROR(__xludf.DUMMYFUNCTION("""COMPUTED_VALUE"""),"-")</f>
        <v>-</v>
      </c>
      <c r="L427" s="15" t="str">
        <f>IFERROR(__xludf.DUMMYFUNCTION("""COMPUTED_VALUE"""),"Normal")</f>
        <v>Normal</v>
      </c>
      <c r="M427" s="18" t="s">
        <v>27</v>
      </c>
      <c r="N427" s="18" t="s">
        <v>28</v>
      </c>
    </row>
    <row r="428" hidden="1">
      <c r="A428" s="15" t="str">
        <f>IFERROR(__xludf.DUMMYFUNCTION("""COMPUTED_VALUE"""),"MOBRO0051")</f>
        <v>MOBRO0051</v>
      </c>
      <c r="B428" s="16">
        <f>IFERROR(__xludf.DUMMYFUNCTION("""COMPUTED_VALUE"""),45824.678208240744)</f>
        <v>45824.67821</v>
      </c>
      <c r="C428" s="17">
        <f>IFERROR(__xludf.DUMMYFUNCTION("""COMPUTED_VALUE"""),45825.5606677662)</f>
        <v>45825.56067</v>
      </c>
      <c r="D428" s="15" t="str">
        <f>IFERROR(__xludf.DUMMYFUNCTION("""COMPUTED_VALUE"""),"Plumbing")</f>
        <v>Plumbing</v>
      </c>
      <c r="E428" s="15" t="str">
        <f>IFERROR(__xludf.DUMMYFUNCTION("""COMPUTED_VALUE"""),"-")</f>
        <v>-</v>
      </c>
      <c r="F428" s="15" t="str">
        <f>IFERROR(__xludf.DUMMYFUNCTION("""COMPUTED_VALUE"""),"Fitting PVC - Elbow PVC 1""")</f>
        <v>Fitting PVC - Elbow PVC 1"</v>
      </c>
      <c r="G428" s="15">
        <f>IFERROR(__xludf.DUMMYFUNCTION("""COMPUTED_VALUE"""),17.0)</f>
        <v>17</v>
      </c>
      <c r="H428" s="15" t="str">
        <f>IFERROR(__xludf.DUMMYFUNCTION("""COMPUTED_VALUE"""),"Pcs")</f>
        <v>Pcs</v>
      </c>
      <c r="I428" s="15" t="str">
        <f>IFERROR(__xludf.DUMMYFUNCTION("""COMPUTED_VALUE"""),"Deliver")</f>
        <v>Deliver</v>
      </c>
      <c r="J428" s="15" t="str">
        <f>IFERROR(__xludf.DUMMYFUNCTION("""COMPUTED_VALUE"""),"-")</f>
        <v>-</v>
      </c>
      <c r="K428" s="15" t="str">
        <f>IFERROR(__xludf.DUMMYFUNCTION("""COMPUTED_VALUE"""),"-")</f>
        <v>-</v>
      </c>
      <c r="L428" s="15" t="str">
        <f>IFERROR(__xludf.DUMMYFUNCTION("""COMPUTED_VALUE"""),"Normal")</f>
        <v>Normal</v>
      </c>
      <c r="M428" s="18" t="s">
        <v>31</v>
      </c>
      <c r="N428" s="18" t="s">
        <v>28</v>
      </c>
    </row>
    <row r="429" hidden="1">
      <c r="A429" s="15" t="str">
        <f>IFERROR(__xludf.DUMMYFUNCTION("""COMPUTED_VALUE"""),"MOBRO0052")</f>
        <v>MOBRO0052</v>
      </c>
      <c r="B429" s="16">
        <f>IFERROR(__xludf.DUMMYFUNCTION("""COMPUTED_VALUE"""),45824.679419583335)</f>
        <v>45824.67942</v>
      </c>
      <c r="C429" s="17">
        <f>IFERROR(__xludf.DUMMYFUNCTION("""COMPUTED_VALUE"""),45825.56085814815)</f>
        <v>45825.56086</v>
      </c>
      <c r="D429" s="15" t="str">
        <f>IFERROR(__xludf.DUMMYFUNCTION("""COMPUTED_VALUE"""),"Plumbing")</f>
        <v>Plumbing</v>
      </c>
      <c r="E429" s="15" t="str">
        <f>IFERROR(__xludf.DUMMYFUNCTION("""COMPUTED_VALUE"""),"-")</f>
        <v>-</v>
      </c>
      <c r="F429" s="15" t="str">
        <f>IFERROR(__xludf.DUMMYFUNCTION("""COMPUTED_VALUE"""),"Water Mur PVC dia 1inch")</f>
        <v>Water Mur PVC dia 1inch</v>
      </c>
      <c r="G429" s="15">
        <f>IFERROR(__xludf.DUMMYFUNCTION("""COMPUTED_VALUE"""),6.0)</f>
        <v>6</v>
      </c>
      <c r="H429" s="15" t="str">
        <f>IFERROR(__xludf.DUMMYFUNCTION("""COMPUTED_VALUE"""),"Pcs")</f>
        <v>Pcs</v>
      </c>
      <c r="I429" s="15" t="str">
        <f>IFERROR(__xludf.DUMMYFUNCTION("""COMPUTED_VALUE"""),"Deliver")</f>
        <v>Deliver</v>
      </c>
      <c r="J429" s="15" t="str">
        <f>IFERROR(__xludf.DUMMYFUNCTION("""COMPUTED_VALUE"""),"-")</f>
        <v>-</v>
      </c>
      <c r="K429" s="15" t="str">
        <f>IFERROR(__xludf.DUMMYFUNCTION("""COMPUTED_VALUE"""),"-")</f>
        <v>-</v>
      </c>
      <c r="L429" s="15" t="str">
        <f>IFERROR(__xludf.DUMMYFUNCTION("""COMPUTED_VALUE"""),"Normal")</f>
        <v>Normal</v>
      </c>
      <c r="M429" s="18" t="s">
        <v>31</v>
      </c>
      <c r="N429" s="18" t="s">
        <v>28</v>
      </c>
    </row>
    <row r="430" hidden="1">
      <c r="A430" s="15" t="str">
        <f>IFERROR(__xludf.DUMMYFUNCTION("""COMPUTED_VALUE"""),"MOBRO0053")</f>
        <v>MOBRO0053</v>
      </c>
      <c r="B430" s="16">
        <f>IFERROR(__xludf.DUMMYFUNCTION("""COMPUTED_VALUE"""),45824.67994685185)</f>
        <v>45824.67995</v>
      </c>
      <c r="C430" s="17">
        <f>IFERROR(__xludf.DUMMYFUNCTION("""COMPUTED_VALUE"""),45825.56103586806)</f>
        <v>45825.56104</v>
      </c>
      <c r="D430" s="15" t="str">
        <f>IFERROR(__xludf.DUMMYFUNCTION("""COMPUTED_VALUE"""),"Plumbing")</f>
        <v>Plumbing</v>
      </c>
      <c r="E430" s="15" t="str">
        <f>IFERROR(__xludf.DUMMYFUNCTION("""COMPUTED_VALUE"""),"-")</f>
        <v>-</v>
      </c>
      <c r="F430" s="15" t="str">
        <f>IFERROR(__xludf.DUMMYFUNCTION("""COMPUTED_VALUE"""),"RUCIKA - Pipa PVC AW dia 1 inch Warna Abu-Abu")</f>
        <v>RUCIKA - Pipa PVC AW dia 1 inch Warna Abu-Abu</v>
      </c>
      <c r="G430" s="15">
        <f>IFERROR(__xludf.DUMMYFUNCTION("""COMPUTED_VALUE"""),6.0)</f>
        <v>6</v>
      </c>
      <c r="H430" s="15" t="str">
        <f>IFERROR(__xludf.DUMMYFUNCTION("""COMPUTED_VALUE"""),"Pcs")</f>
        <v>Pcs</v>
      </c>
      <c r="I430" s="15" t="str">
        <f>IFERROR(__xludf.DUMMYFUNCTION("""COMPUTED_VALUE"""),"Deliver")</f>
        <v>Deliver</v>
      </c>
      <c r="J430" s="15" t="str">
        <f>IFERROR(__xludf.DUMMYFUNCTION("""COMPUTED_VALUE"""),"-")</f>
        <v>-</v>
      </c>
      <c r="K430" s="15" t="str">
        <f>IFERROR(__xludf.DUMMYFUNCTION("""COMPUTED_VALUE"""),"-")</f>
        <v>-</v>
      </c>
      <c r="L430" s="15" t="str">
        <f>IFERROR(__xludf.DUMMYFUNCTION("""COMPUTED_VALUE"""),"Normal")</f>
        <v>Normal</v>
      </c>
      <c r="M430" s="18" t="s">
        <v>31</v>
      </c>
      <c r="N430" s="18" t="s">
        <v>28</v>
      </c>
    </row>
    <row r="431" hidden="1">
      <c r="A431" s="15" t="str">
        <f>IFERROR(__xludf.DUMMYFUNCTION("""COMPUTED_VALUE"""),"MOBRO0054")</f>
        <v>MOBRO0054</v>
      </c>
      <c r="B431" s="16">
        <f>IFERROR(__xludf.DUMMYFUNCTION("""COMPUTED_VALUE"""),45824.68404150463)</f>
        <v>45824.68404</v>
      </c>
      <c r="C431" s="17">
        <f>IFERROR(__xludf.DUMMYFUNCTION("""COMPUTED_VALUE"""),45825.56148918981)</f>
        <v>45825.56149</v>
      </c>
      <c r="D431" s="15" t="str">
        <f>IFERROR(__xludf.DUMMYFUNCTION("""COMPUTED_VALUE"""),"Support Part")</f>
        <v>Support Part</v>
      </c>
      <c r="E431" s="15" t="str">
        <f>IFERROR(__xludf.DUMMYFUNCTION("""COMPUTED_VALUE"""),"-")</f>
        <v>-</v>
      </c>
      <c r="F431" s="15" t="str">
        <f>IFERROR(__xludf.DUMMYFUNCTION("""COMPUTED_VALUE"""),"Container Box; Claris; ;")</f>
        <v>Container Box; Claris; ;</v>
      </c>
      <c r="G431" s="15">
        <f>IFERROR(__xludf.DUMMYFUNCTION("""COMPUTED_VALUE"""),2.0)</f>
        <v>2</v>
      </c>
      <c r="H431" s="15" t="str">
        <f>IFERROR(__xludf.DUMMYFUNCTION("""COMPUTED_VALUE"""),"Pcs")</f>
        <v>Pcs</v>
      </c>
      <c r="I431" s="15" t="str">
        <f>IFERROR(__xludf.DUMMYFUNCTION("""COMPUTED_VALUE"""),"Deliver")</f>
        <v>Deliver</v>
      </c>
      <c r="J431" s="15" t="str">
        <f>IFERROR(__xludf.DUMMYFUNCTION("""COMPUTED_VALUE"""),"-")</f>
        <v>-</v>
      </c>
      <c r="K431" s="15" t="str">
        <f>IFERROR(__xludf.DUMMYFUNCTION("""COMPUTED_VALUE"""),"-")</f>
        <v>-</v>
      </c>
      <c r="L431" s="15" t="str">
        <f>IFERROR(__xludf.DUMMYFUNCTION("""COMPUTED_VALUE"""),"Normal")</f>
        <v>Normal</v>
      </c>
      <c r="M431" s="18" t="s">
        <v>31</v>
      </c>
      <c r="N431" s="18" t="s">
        <v>28</v>
      </c>
    </row>
    <row r="432" hidden="1">
      <c r="A432" s="15" t="str">
        <f>IFERROR(__xludf.DUMMYFUNCTION("""COMPUTED_VALUE"""),"RIARO0039")</f>
        <v>RIARO0039</v>
      </c>
      <c r="B432" s="16">
        <f>IFERROR(__xludf.DUMMYFUNCTION("""COMPUTED_VALUE"""),45825.50367079861)</f>
        <v>45825.50367</v>
      </c>
      <c r="C432" s="17">
        <f>IFERROR(__xludf.DUMMYFUNCTION("""COMPUTED_VALUE"""),45826.57673298611)</f>
        <v>45826.57673</v>
      </c>
      <c r="D432" s="15" t="str">
        <f>IFERROR(__xludf.DUMMYFUNCTION("""COMPUTED_VALUE"""),"Water System")</f>
        <v>Water System</v>
      </c>
      <c r="E432" s="15" t="str">
        <f>IFERROR(__xludf.DUMMYFUNCTION("""COMPUTED_VALUE"""),"-")</f>
        <v>-</v>
      </c>
      <c r="F432" s="15" t="str">
        <f>IFERROR(__xludf.DUMMYFUNCTION("""COMPUTED_VALUE"""),"General - Emflon PFR membrane filter cartridge, 0.2 um sterilizing grade, 5-inch length, double-o-ring (silicone) with bayonet lock and flat end; Pall; AB05PFR2PVH4; 1 pcs")</f>
        <v>General - Emflon PFR membrane filter cartridge, 0.2 um sterilizing grade, 5-inch length, double-o-ring (silicone) with bayonet lock and flat end; Pall; AB05PFR2PVH4; 1 pcs</v>
      </c>
      <c r="G432" s="15">
        <f>IFERROR(__xludf.DUMMYFUNCTION("""COMPUTED_VALUE"""),2.0)</f>
        <v>2</v>
      </c>
      <c r="H432" s="15" t="str">
        <f>IFERROR(__xludf.DUMMYFUNCTION("""COMPUTED_VALUE"""),"Pcs")</f>
        <v>Pcs</v>
      </c>
      <c r="I432" s="15" t="str">
        <f>IFERROR(__xludf.DUMMYFUNCTION("""COMPUTED_VALUE"""),"Deliver")</f>
        <v>Deliver</v>
      </c>
      <c r="J432" s="15" t="str">
        <f>IFERROR(__xludf.DUMMYFUNCTION("""COMPUTED_VALUE"""),"-")</f>
        <v>-</v>
      </c>
      <c r="K432" s="15" t="str">
        <f>IFERROR(__xludf.DUMMYFUNCTION("""COMPUTED_VALUE"""),"-")</f>
        <v>-</v>
      </c>
      <c r="L432" s="15" t="str">
        <f>IFERROR(__xludf.DUMMYFUNCTION("""COMPUTED_VALUE"""),"Normal")</f>
        <v>Normal</v>
      </c>
      <c r="M432" s="18" t="s">
        <v>32</v>
      </c>
      <c r="N432" s="18" t="s">
        <v>28</v>
      </c>
    </row>
    <row r="433" hidden="1">
      <c r="A433" s="15" t="str">
        <f>IFERROR(__xludf.DUMMYFUNCTION("""COMPUTED_VALUE"""),"RIARO0040")</f>
        <v>RIARO0040</v>
      </c>
      <c r="B433" s="16">
        <f>IFERROR(__xludf.DUMMYFUNCTION("""COMPUTED_VALUE"""),45825.504116909724)</f>
        <v>45825.50412</v>
      </c>
      <c r="C433" s="17">
        <f>IFERROR(__xludf.DUMMYFUNCTION("""COMPUTED_VALUE"""),45826.57694428241)</f>
        <v>45826.57694</v>
      </c>
      <c r="D433" s="15" t="str">
        <f>IFERROR(__xludf.DUMMYFUNCTION("""COMPUTED_VALUE"""),"Water System")</f>
        <v>Water System</v>
      </c>
      <c r="E433" s="15" t="str">
        <f>IFERROR(__xludf.DUMMYFUNCTION("""COMPUTED_VALUE"""),"-")</f>
        <v>-</v>
      </c>
      <c r="F433" s="15" t="str">
        <f>IFERROR(__xludf.DUMMYFUNCTION("""COMPUTED_VALUE"""),"PALL - AB1PFR7PVH4, 0.2 um; ; ;")</f>
        <v>PALL - AB1PFR7PVH4, 0.2 um; ; ;</v>
      </c>
      <c r="G433" s="15">
        <f>IFERROR(__xludf.DUMMYFUNCTION("""COMPUTED_VALUE"""),2.0)</f>
        <v>2</v>
      </c>
      <c r="H433" s="15" t="str">
        <f>IFERROR(__xludf.DUMMYFUNCTION("""COMPUTED_VALUE"""),"Pcs")</f>
        <v>Pcs</v>
      </c>
      <c r="I433" s="15" t="str">
        <f>IFERROR(__xludf.DUMMYFUNCTION("""COMPUTED_VALUE"""),"Deliver")</f>
        <v>Deliver</v>
      </c>
      <c r="J433" s="15" t="str">
        <f>IFERROR(__xludf.DUMMYFUNCTION("""COMPUTED_VALUE"""),"-")</f>
        <v>-</v>
      </c>
      <c r="K433" s="15" t="str">
        <f>IFERROR(__xludf.DUMMYFUNCTION("""COMPUTED_VALUE"""),"-")</f>
        <v>-</v>
      </c>
      <c r="L433" s="15" t="str">
        <f>IFERROR(__xludf.DUMMYFUNCTION("""COMPUTED_VALUE"""),"Normal")</f>
        <v>Normal</v>
      </c>
      <c r="M433" s="18" t="s">
        <v>32</v>
      </c>
      <c r="N433" s="18" t="s">
        <v>28</v>
      </c>
    </row>
    <row r="434" hidden="1">
      <c r="A434" s="15" t="str">
        <f>IFERROR(__xludf.DUMMYFUNCTION("""COMPUTED_VALUE"""),"RIARO0041")</f>
        <v>RIARO0041</v>
      </c>
      <c r="B434" s="16">
        <f>IFERROR(__xludf.DUMMYFUNCTION("""COMPUTED_VALUE"""),45825.51416234954)</f>
        <v>45825.51416</v>
      </c>
      <c r="C434" s="17">
        <f>IFERROR(__xludf.DUMMYFUNCTION("""COMPUTED_VALUE"""),45826.5771596412)</f>
        <v>45826.57716</v>
      </c>
      <c r="D434" s="15" t="str">
        <f>IFERROR(__xludf.DUMMYFUNCTION("""COMPUTED_VALUE"""),"Water System")</f>
        <v>Water System</v>
      </c>
      <c r="E434" s="15" t="str">
        <f>IFERROR(__xludf.DUMMYFUNCTION("""COMPUTED_VALUE"""),"-")</f>
        <v>-</v>
      </c>
      <c r="F434" s="15" t="str">
        <f>IFERROR(__xludf.DUMMYFUNCTION("""COMPUTED_VALUE"""),"IMA F200 Filling Machine - Pall Mini Kleenpak Capsules with Supor EKV Membrane, Filter Capsule 4,1""/0,2 um/0,02 m2/Hydrophilic PVDF/code2/0,25-0,5"" hose barb; Pall; KA02DFLP8G; 1 pcs")</f>
        <v>IMA F200 Filling Machine - Pall Mini Kleenpak Capsules with Supor EKV Membrane, Filter Capsule 4,1"/0,2 um/0,02 m2/Hydrophilic PVDF/code2/0,25-0,5" hose barb; Pall; KA02DFLP8G; 1 pcs</v>
      </c>
      <c r="G434" s="15">
        <f>IFERROR(__xludf.DUMMYFUNCTION("""COMPUTED_VALUE"""),2.0)</f>
        <v>2</v>
      </c>
      <c r="H434" s="15" t="str">
        <f>IFERROR(__xludf.DUMMYFUNCTION("""COMPUTED_VALUE"""),"Pcs")</f>
        <v>Pcs</v>
      </c>
      <c r="I434" s="15" t="str">
        <f>IFERROR(__xludf.DUMMYFUNCTION("""COMPUTED_VALUE"""),"Deliver")</f>
        <v>Deliver</v>
      </c>
      <c r="J434" s="15" t="str">
        <f>IFERROR(__xludf.DUMMYFUNCTION("""COMPUTED_VALUE"""),"-")</f>
        <v>-</v>
      </c>
      <c r="K434" s="15" t="str">
        <f>IFERROR(__xludf.DUMMYFUNCTION("""COMPUTED_VALUE"""),"-")</f>
        <v>-</v>
      </c>
      <c r="L434" s="15" t="str">
        <f>IFERROR(__xludf.DUMMYFUNCTION("""COMPUTED_VALUE"""),"Normal")</f>
        <v>Normal</v>
      </c>
      <c r="M434" s="18" t="s">
        <v>32</v>
      </c>
      <c r="N434" s="18" t="s">
        <v>28</v>
      </c>
    </row>
    <row r="435" hidden="1">
      <c r="A435" s="15" t="str">
        <f>IFERROR(__xludf.DUMMYFUNCTION("""COMPUTED_VALUE"""),"RIARO0042")</f>
        <v>RIARO0042</v>
      </c>
      <c r="B435" s="16">
        <f>IFERROR(__xludf.DUMMYFUNCTION("""COMPUTED_VALUE"""),45825.51444255788)</f>
        <v>45825.51444</v>
      </c>
      <c r="C435" s="17">
        <f>IFERROR(__xludf.DUMMYFUNCTION("""COMPUTED_VALUE"""),45826.577354120374)</f>
        <v>45826.57735</v>
      </c>
      <c r="D435" s="15" t="str">
        <f>IFERROR(__xludf.DUMMYFUNCTION("""COMPUTED_VALUE"""),"Water System")</f>
        <v>Water System</v>
      </c>
      <c r="E435" s="15" t="str">
        <f>IFERROR(__xludf.DUMMYFUNCTION("""COMPUTED_VALUE"""),"-")</f>
        <v>-</v>
      </c>
      <c r="F435" s="15" t="str">
        <f>IFERROR(__xludf.DUMMYFUNCTION("""COMPUTED_VALUE"""),"AUTOCLAVE Lab Mikro - PALL Emflon Filter 0,2um p/n C3PFRP1")</f>
        <v>AUTOCLAVE Lab Mikro - PALL Emflon Filter 0,2um p/n C3PFRP1</v>
      </c>
      <c r="G435" s="15">
        <f>IFERROR(__xludf.DUMMYFUNCTION("""COMPUTED_VALUE"""),2.0)</f>
        <v>2</v>
      </c>
      <c r="H435" s="15" t="str">
        <f>IFERROR(__xludf.DUMMYFUNCTION("""COMPUTED_VALUE"""),"Pcs")</f>
        <v>Pcs</v>
      </c>
      <c r="I435" s="15" t="str">
        <f>IFERROR(__xludf.DUMMYFUNCTION("""COMPUTED_VALUE"""),"Deliver")</f>
        <v>Deliver</v>
      </c>
      <c r="J435" s="15" t="str">
        <f>IFERROR(__xludf.DUMMYFUNCTION("""COMPUTED_VALUE"""),"-")</f>
        <v>-</v>
      </c>
      <c r="K435" s="15" t="str">
        <f>IFERROR(__xludf.DUMMYFUNCTION("""COMPUTED_VALUE"""),"-")</f>
        <v>-</v>
      </c>
      <c r="L435" s="15" t="str">
        <f>IFERROR(__xludf.DUMMYFUNCTION("""COMPUTED_VALUE"""),"Normal")</f>
        <v>Normal</v>
      </c>
      <c r="M435" s="18" t="s">
        <v>32</v>
      </c>
      <c r="N435" s="18" t="s">
        <v>28</v>
      </c>
    </row>
    <row r="436" hidden="1">
      <c r="A436" s="15" t="str">
        <f>IFERROR(__xludf.DUMMYFUNCTION("""COMPUTED_VALUE"""),"MFHRO0100")</f>
        <v>MFHRO0100</v>
      </c>
      <c r="B436" s="16">
        <f>IFERROR(__xludf.DUMMYFUNCTION("""COMPUTED_VALUE"""),45834.858387569446)</f>
        <v>45834.85839</v>
      </c>
      <c r="C436" s="17">
        <f>IFERROR(__xludf.DUMMYFUNCTION("""COMPUTED_VALUE"""),45838.62467946759)</f>
        <v>45838.62468</v>
      </c>
      <c r="D436" s="15" t="str">
        <f>IFERROR(__xludf.DUMMYFUNCTION("""COMPUTED_VALUE"""),"General")</f>
        <v>General</v>
      </c>
      <c r="E436" s="15" t="str">
        <f>IFERROR(__xludf.DUMMYFUNCTION("""COMPUTED_VALUE"""),"-")</f>
        <v>-</v>
      </c>
      <c r="F436" s="15" t="str">
        <f>IFERROR(__xludf.DUMMYFUNCTION("""COMPUTED_VALUE"""),"Cleaner Stainless Stell &amp; Polish; 3M; ;")</f>
        <v>Cleaner Stainless Stell &amp; Polish; 3M; ;</v>
      </c>
      <c r="G436" s="15">
        <f>IFERROR(__xludf.DUMMYFUNCTION("""COMPUTED_VALUE"""),2.0)</f>
        <v>2</v>
      </c>
      <c r="H436" s="15" t="str">
        <f>IFERROR(__xludf.DUMMYFUNCTION("""COMPUTED_VALUE"""),"Can")</f>
        <v>Can</v>
      </c>
      <c r="I436" s="15" t="str">
        <f>IFERROR(__xludf.DUMMYFUNCTION("""COMPUTED_VALUE"""),"Deliver")</f>
        <v>Deliver</v>
      </c>
      <c r="J436" s="15" t="str">
        <f>IFERROR(__xludf.DUMMYFUNCTION("""COMPUTED_VALUE"""),"-")</f>
        <v>-</v>
      </c>
      <c r="K436" s="15" t="str">
        <f>IFERROR(__xludf.DUMMYFUNCTION("""COMPUTED_VALUE"""),"-")</f>
        <v>-</v>
      </c>
      <c r="L436" s="15" t="str">
        <f>IFERROR(__xludf.DUMMYFUNCTION("""COMPUTED_VALUE"""),"Normal")</f>
        <v>Normal</v>
      </c>
      <c r="M436" s="18" t="s">
        <v>53</v>
      </c>
      <c r="N436" s="18" t="s">
        <v>54</v>
      </c>
    </row>
    <row r="437" hidden="1">
      <c r="A437" s="15" t="str">
        <f>IFERROR(__xludf.DUMMYFUNCTION("""COMPUTED_VALUE"""),"MFHRO0101")</f>
        <v>MFHRO0101</v>
      </c>
      <c r="B437" s="16">
        <f>IFERROR(__xludf.DUMMYFUNCTION("""COMPUTED_VALUE"""),45834.858387569446)</f>
        <v>45834.85839</v>
      </c>
      <c r="C437" s="17">
        <f>IFERROR(__xludf.DUMMYFUNCTION("""COMPUTED_VALUE"""),45838.6249025463)</f>
        <v>45838.6249</v>
      </c>
      <c r="D437" s="15" t="str">
        <f>IFERROR(__xludf.DUMMYFUNCTION("""COMPUTED_VALUE"""),"Building")</f>
        <v>Building</v>
      </c>
      <c r="E437" s="15" t="str">
        <f>IFERROR(__xludf.DUMMYFUNCTION("""COMPUTED_VALUE"""),"-")</f>
        <v>-</v>
      </c>
      <c r="F437" s="15" t="str">
        <f>IFERROR(__xludf.DUMMYFUNCTION("""COMPUTED_VALUE"""),"Lampu PLC 13watt/E27 Putih; Phillips; ;")</f>
        <v>Lampu PLC 13watt/E27 Putih; Phillips; ;</v>
      </c>
      <c r="G437" s="15">
        <f>IFERROR(__xludf.DUMMYFUNCTION("""COMPUTED_VALUE"""),15.0)</f>
        <v>15</v>
      </c>
      <c r="H437" s="15" t="str">
        <f>IFERROR(__xludf.DUMMYFUNCTION("""COMPUTED_VALUE"""),"Pieces")</f>
        <v>Pieces</v>
      </c>
      <c r="I437" s="15" t="str">
        <f>IFERROR(__xludf.DUMMYFUNCTION("""COMPUTED_VALUE"""),"Deliver")</f>
        <v>Deliver</v>
      </c>
      <c r="J437" s="15" t="str">
        <f>IFERROR(__xludf.DUMMYFUNCTION("""COMPUTED_VALUE"""),"-")</f>
        <v>-</v>
      </c>
      <c r="K437" s="15" t="str">
        <f>IFERROR(__xludf.DUMMYFUNCTION("""COMPUTED_VALUE"""),"-")</f>
        <v>-</v>
      </c>
      <c r="L437" s="15" t="str">
        <f>IFERROR(__xludf.DUMMYFUNCTION("""COMPUTED_VALUE"""),"Normal")</f>
        <v>Normal</v>
      </c>
      <c r="M437" s="18" t="s">
        <v>53</v>
      </c>
      <c r="N437" s="18" t="s">
        <v>54</v>
      </c>
    </row>
    <row r="438" hidden="1">
      <c r="A438" s="15" t="str">
        <f>IFERROR(__xludf.DUMMYFUNCTION("""COMPUTED_VALUE"""),"MFHRO0102")</f>
        <v>MFHRO0102</v>
      </c>
      <c r="B438" s="16">
        <f>IFERROR(__xludf.DUMMYFUNCTION("""COMPUTED_VALUE"""),45834.858387569446)</f>
        <v>45834.85839</v>
      </c>
      <c r="C438" s="17">
        <f>IFERROR(__xludf.DUMMYFUNCTION("""COMPUTED_VALUE"""),45838.625868888885)</f>
        <v>45838.62587</v>
      </c>
      <c r="D438" s="15" t="str">
        <f>IFERROR(__xludf.DUMMYFUNCTION("""COMPUTED_VALUE"""),"cRABS")</f>
        <v>cRABS</v>
      </c>
      <c r="E438" s="15" t="str">
        <f>IFERROR(__xludf.DUMMYFUNCTION("""COMPUTED_VALUE"""),"-")</f>
        <v>-</v>
      </c>
      <c r="F438" s="15" t="str">
        <f>IFERROR(__xludf.DUMMYFUNCTION("""COMPUTED_VALUE"""),"General - Isolator Glove Smaller glove CSM  (AS : E10330 Y 7 E4); Austar; ; 1 Pc")</f>
        <v>General - Isolator Glove Smaller glove CSM  (AS : E10330 Y 7 E4); Austar; ; 1 Pc</v>
      </c>
      <c r="G438" s="15">
        <f>IFERROR(__xludf.DUMMYFUNCTION("""COMPUTED_VALUE"""),20.0)</f>
        <v>20</v>
      </c>
      <c r="H438" s="15" t="str">
        <f>IFERROR(__xludf.DUMMYFUNCTION("""COMPUTED_VALUE"""),"Pieces")</f>
        <v>Pieces</v>
      </c>
      <c r="I438" s="15" t="str">
        <f>IFERROR(__xludf.DUMMYFUNCTION("""COMPUTED_VALUE"""),"Deliver")</f>
        <v>Deliver</v>
      </c>
      <c r="J438" s="15" t="str">
        <f>IFERROR(__xludf.DUMMYFUNCTION("""COMPUTED_VALUE"""),"-")</f>
        <v>-</v>
      </c>
      <c r="K438" s="15" t="str">
        <f>IFERROR(__xludf.DUMMYFUNCTION("""COMPUTED_VALUE"""),"-")</f>
        <v>-</v>
      </c>
      <c r="L438" s="15" t="str">
        <f>IFERROR(__xludf.DUMMYFUNCTION("""COMPUTED_VALUE"""),"Normal")</f>
        <v>Normal</v>
      </c>
      <c r="M438" s="18" t="s">
        <v>53</v>
      </c>
      <c r="N438" s="18" t="s">
        <v>54</v>
      </c>
    </row>
    <row r="439" hidden="1">
      <c r="A439" s="15" t="str">
        <f>IFERROR(__xludf.DUMMYFUNCTION("""COMPUTED_VALUE"""),"MFHRO0103")</f>
        <v>MFHRO0103</v>
      </c>
      <c r="B439" s="16">
        <f>IFERROR(__xludf.DUMMYFUNCTION("""COMPUTED_VALUE"""),45834.858387569446)</f>
        <v>45834.85839</v>
      </c>
      <c r="C439" s="17">
        <f>IFERROR(__xludf.DUMMYFUNCTION("""COMPUTED_VALUE"""),45838.62719043981)</f>
        <v>45838.62719</v>
      </c>
      <c r="D439" s="15" t="str">
        <f>IFERROR(__xludf.DUMMYFUNCTION("""COMPUTED_VALUE"""),"Capping")</f>
        <v>Capping</v>
      </c>
      <c r="E439" s="15" t="str">
        <f>IFERROR(__xludf.DUMMYFUNCTION("""COMPUTED_VALUE"""),"-")</f>
        <v>-</v>
      </c>
      <c r="F439" s="15" t="str">
        <f>IFERROR(__xludf.DUMMYFUNCTION("""COMPUTED_VALUE"""),"General - Oring Silicone Merah 23x18x2.5 mm; -; -; 1 Pc")</f>
        <v>General - Oring Silicone Merah 23x18x2.5 mm; -; -; 1 Pc</v>
      </c>
      <c r="G439" s="15">
        <f>IFERROR(__xludf.DUMMYFUNCTION("""COMPUTED_VALUE"""),150.0)</f>
        <v>150</v>
      </c>
      <c r="H439" s="15" t="str">
        <f>IFERROR(__xludf.DUMMYFUNCTION("""COMPUTED_VALUE"""),"Pieces")</f>
        <v>Pieces</v>
      </c>
      <c r="I439" s="15" t="str">
        <f>IFERROR(__xludf.DUMMYFUNCTION("""COMPUTED_VALUE"""),"Deliver")</f>
        <v>Deliver</v>
      </c>
      <c r="J439" s="15" t="str">
        <f>IFERROR(__xludf.DUMMYFUNCTION("""COMPUTED_VALUE"""),"-")</f>
        <v>-</v>
      </c>
      <c r="K439" s="15" t="str">
        <f>IFERROR(__xludf.DUMMYFUNCTION("""COMPUTED_VALUE"""),"-")</f>
        <v>-</v>
      </c>
      <c r="L439" s="15" t="str">
        <f>IFERROR(__xludf.DUMMYFUNCTION("""COMPUTED_VALUE"""),"Normal")</f>
        <v>Normal</v>
      </c>
      <c r="M439" s="18" t="s">
        <v>53</v>
      </c>
      <c r="N439" s="18" t="s">
        <v>54</v>
      </c>
    </row>
    <row r="440" hidden="1">
      <c r="A440" s="15" t="str">
        <f>IFERROR(__xludf.DUMMYFUNCTION("""COMPUTED_VALUE"""),"MFHRO0104")</f>
        <v>MFHRO0104</v>
      </c>
      <c r="B440" s="16">
        <f>IFERROR(__xludf.DUMMYFUNCTION("""COMPUTED_VALUE"""),45834.858387569446)</f>
        <v>45834.85839</v>
      </c>
      <c r="C440" s="17">
        <f>IFERROR(__xludf.DUMMYFUNCTION("""COMPUTED_VALUE"""),45838.627637604164)</f>
        <v>45838.62764</v>
      </c>
      <c r="D440" s="15" t="str">
        <f>IFERROR(__xludf.DUMMYFUNCTION("""COMPUTED_VALUE"""),"General")</f>
        <v>General</v>
      </c>
      <c r="E440" s="15" t="str">
        <f>IFERROR(__xludf.DUMMYFUNCTION("""COMPUTED_VALUE"""),"-")</f>
        <v>-</v>
      </c>
      <c r="F440" s="15" t="str">
        <f>IFERROR(__xludf.DUMMYFUNCTION("""COMPUTED_VALUE"""),"General - Push-in Connector, QS-8; Festo; 153033; 1 pcs")</f>
        <v>General - Push-in Connector, QS-8; Festo; 153033; 1 pcs</v>
      </c>
      <c r="G440" s="15">
        <f>IFERROR(__xludf.DUMMYFUNCTION("""COMPUTED_VALUE"""),10.0)</f>
        <v>10</v>
      </c>
      <c r="H440" s="15" t="str">
        <f>IFERROR(__xludf.DUMMYFUNCTION("""COMPUTED_VALUE"""),"Pieces")</f>
        <v>Pieces</v>
      </c>
      <c r="I440" s="15" t="str">
        <f>IFERROR(__xludf.DUMMYFUNCTION("""COMPUTED_VALUE"""),"Deliver")</f>
        <v>Deliver</v>
      </c>
      <c r="J440" s="15" t="str">
        <f>IFERROR(__xludf.DUMMYFUNCTION("""COMPUTED_VALUE"""),"-")</f>
        <v>-</v>
      </c>
      <c r="K440" s="15" t="str">
        <f>IFERROR(__xludf.DUMMYFUNCTION("""COMPUTED_VALUE"""),"-")</f>
        <v>-</v>
      </c>
      <c r="L440" s="15" t="str">
        <f>IFERROR(__xludf.DUMMYFUNCTION("""COMPUTED_VALUE"""),"Normal")</f>
        <v>Normal</v>
      </c>
      <c r="M440" s="18" t="s">
        <v>53</v>
      </c>
      <c r="N440" s="18" t="s">
        <v>54</v>
      </c>
    </row>
    <row r="441" hidden="1">
      <c r="A441" s="15" t="str">
        <f>IFERROR(__xludf.DUMMYFUNCTION("""COMPUTED_VALUE"""),"MFHRO0105")</f>
        <v>MFHRO0105</v>
      </c>
      <c r="B441" s="16">
        <f>IFERROR(__xludf.DUMMYFUNCTION("""COMPUTED_VALUE"""),45834.858387569446)</f>
        <v>45834.85839</v>
      </c>
      <c r="C441" s="17">
        <f>IFERROR(__xludf.DUMMYFUNCTION("""COMPUTED_VALUE"""),45838.62789685185)</f>
        <v>45838.6279</v>
      </c>
      <c r="D441" s="15" t="str">
        <f>IFERROR(__xludf.DUMMYFUNCTION("""COMPUTED_VALUE"""),"General")</f>
        <v>General</v>
      </c>
      <c r="E441" s="15" t="str">
        <f>IFERROR(__xludf.DUMMYFUNCTION("""COMPUTED_VALUE"""),"-")</f>
        <v>-</v>
      </c>
      <c r="F441" s="15" t="str">
        <f>IFERROR(__xludf.DUMMYFUNCTION("""COMPUTED_VALUE"""),"General - Push-in Connector, QS-8-6; Festo; 153038; 1 pcs")</f>
        <v>General - Push-in Connector, QS-8-6; Festo; 153038; 1 pcs</v>
      </c>
      <c r="G441" s="15">
        <f>IFERROR(__xludf.DUMMYFUNCTION("""COMPUTED_VALUE"""),4.0)</f>
        <v>4</v>
      </c>
      <c r="H441" s="15" t="str">
        <f>IFERROR(__xludf.DUMMYFUNCTION("""COMPUTED_VALUE"""),"Pieces")</f>
        <v>Pieces</v>
      </c>
      <c r="I441" s="15" t="str">
        <f>IFERROR(__xludf.DUMMYFUNCTION("""COMPUTED_VALUE"""),"Deliver")</f>
        <v>Deliver</v>
      </c>
      <c r="J441" s="15" t="str">
        <f>IFERROR(__xludf.DUMMYFUNCTION("""COMPUTED_VALUE"""),"-")</f>
        <v>-</v>
      </c>
      <c r="K441" s="15" t="str">
        <f>IFERROR(__xludf.DUMMYFUNCTION("""COMPUTED_VALUE"""),"-")</f>
        <v>-</v>
      </c>
      <c r="L441" s="15" t="str">
        <f>IFERROR(__xludf.DUMMYFUNCTION("""COMPUTED_VALUE"""),"Normal")</f>
        <v>Normal</v>
      </c>
      <c r="M441" s="18" t="s">
        <v>53</v>
      </c>
      <c r="N441" s="18" t="s">
        <v>54</v>
      </c>
    </row>
    <row r="442" hidden="1">
      <c r="A442" s="15" t="str">
        <f>IFERROR(__xludf.DUMMYFUNCTION("""COMPUTED_VALUE"""),"MFHRO0106")</f>
        <v>MFHRO0106</v>
      </c>
      <c r="B442" s="16">
        <f>IFERROR(__xludf.DUMMYFUNCTION("""COMPUTED_VALUE"""),45834.858387569446)</f>
        <v>45834.85839</v>
      </c>
      <c r="C442" s="17">
        <f>IFERROR(__xludf.DUMMYFUNCTION("""COMPUTED_VALUE"""),45838.62813509259)</f>
        <v>45838.62814</v>
      </c>
      <c r="D442" s="15" t="str">
        <f>IFERROR(__xludf.DUMMYFUNCTION("""COMPUTED_VALUE"""),"Building")</f>
        <v>Building</v>
      </c>
      <c r="E442" s="15" t="str">
        <f>IFERROR(__xludf.DUMMYFUNCTION("""COMPUTED_VALUE"""),"-")</f>
        <v>-</v>
      </c>
      <c r="F442" s="15" t="str">
        <f>IFERROR(__xludf.DUMMYFUNCTION("""COMPUTED_VALUE"""),"Handle Pintu Bulat, Elbow Press Lock; Meroni; N13NE TB127;")</f>
        <v>Handle Pintu Bulat, Elbow Press Lock; Meroni; N13NE TB127;</v>
      </c>
      <c r="G442" s="15">
        <f>IFERROR(__xludf.DUMMYFUNCTION("""COMPUTED_VALUE"""),5.0)</f>
        <v>5</v>
      </c>
      <c r="H442" s="15" t="str">
        <f>IFERROR(__xludf.DUMMYFUNCTION("""COMPUTED_VALUE"""),"Pieces")</f>
        <v>Pieces</v>
      </c>
      <c r="I442" s="15" t="str">
        <f>IFERROR(__xludf.DUMMYFUNCTION("""COMPUTED_VALUE"""),"Deliver")</f>
        <v>Deliver</v>
      </c>
      <c r="J442" s="15" t="str">
        <f>IFERROR(__xludf.DUMMYFUNCTION("""COMPUTED_VALUE"""),"-")</f>
        <v>-</v>
      </c>
      <c r="K442" s="15" t="str">
        <f>IFERROR(__xludf.DUMMYFUNCTION("""COMPUTED_VALUE"""),"-")</f>
        <v>-</v>
      </c>
      <c r="L442" s="15" t="str">
        <f>IFERROR(__xludf.DUMMYFUNCTION("""COMPUTED_VALUE"""),"Normal")</f>
        <v>Normal</v>
      </c>
      <c r="M442" s="18" t="s">
        <v>53</v>
      </c>
      <c r="N442" s="18" t="s">
        <v>54</v>
      </c>
    </row>
    <row r="443" hidden="1">
      <c r="A443" s="15" t="str">
        <f>IFERROR(__xludf.DUMMYFUNCTION("""COMPUTED_VALUE"""),"MFHRO0107")</f>
        <v>MFHRO0107</v>
      </c>
      <c r="B443" s="16">
        <f>IFERROR(__xludf.DUMMYFUNCTION("""COMPUTED_VALUE"""),45834.858387569446)</f>
        <v>45834.85839</v>
      </c>
      <c r="C443" s="17">
        <f>IFERROR(__xludf.DUMMYFUNCTION("""COMPUTED_VALUE"""),45838.62834844908)</f>
        <v>45838.62835</v>
      </c>
      <c r="D443" s="15" t="str">
        <f>IFERROR(__xludf.DUMMYFUNCTION("""COMPUTED_VALUE"""),"HPLC")</f>
        <v>HPLC</v>
      </c>
      <c r="E443" s="15" t="str">
        <f>IFERROR(__xludf.DUMMYFUNCTION("""COMPUTED_VALUE"""),"-")</f>
        <v>-</v>
      </c>
      <c r="F443" s="15" t="str">
        <f>IFERROR(__xludf.DUMMYFUNCTION("""COMPUTED_VALUE"""),"Acquity PDA/TUV 2489/2998 Perf Main Kit (lampu HPLC); Waters; P/N 201000281; 1 pc")</f>
        <v>Acquity PDA/TUV 2489/2998 Perf Main Kit (lampu HPLC); Waters; P/N 201000281; 1 pc</v>
      </c>
      <c r="G443" s="15">
        <f>IFERROR(__xludf.DUMMYFUNCTION("""COMPUTED_VALUE"""),2.0)</f>
        <v>2</v>
      </c>
      <c r="H443" s="15" t="str">
        <f>IFERROR(__xludf.DUMMYFUNCTION("""COMPUTED_VALUE"""),"Pieces")</f>
        <v>Pieces</v>
      </c>
      <c r="I443" s="15" t="str">
        <f>IFERROR(__xludf.DUMMYFUNCTION("""COMPUTED_VALUE"""),"Deliver")</f>
        <v>Deliver</v>
      </c>
      <c r="J443" s="15" t="str">
        <f>IFERROR(__xludf.DUMMYFUNCTION("""COMPUTED_VALUE"""),"-")</f>
        <v>-</v>
      </c>
      <c r="K443" s="15" t="str">
        <f>IFERROR(__xludf.DUMMYFUNCTION("""COMPUTED_VALUE"""),"-")</f>
        <v>-</v>
      </c>
      <c r="L443" s="15" t="str">
        <f>IFERROR(__xludf.DUMMYFUNCTION("""COMPUTED_VALUE"""),"Normal")</f>
        <v>Normal</v>
      </c>
      <c r="M443" s="18" t="s">
        <v>53</v>
      </c>
      <c r="N443" s="18" t="s">
        <v>54</v>
      </c>
    </row>
    <row r="444" hidden="1">
      <c r="A444" s="15" t="str">
        <f>IFERROR(__xludf.DUMMYFUNCTION("""COMPUTED_VALUE"""),"MFHRO0108")</f>
        <v>MFHRO0108</v>
      </c>
      <c r="B444" s="16">
        <f>IFERROR(__xludf.DUMMYFUNCTION("""COMPUTED_VALUE"""),45834.858387569446)</f>
        <v>45834.85839</v>
      </c>
      <c r="C444" s="17">
        <f>IFERROR(__xludf.DUMMYFUNCTION("""COMPUTED_VALUE"""),45838.62856553241)</f>
        <v>45838.62857</v>
      </c>
      <c r="D444" s="15" t="str">
        <f>IFERROR(__xludf.DUMMYFUNCTION("""COMPUTED_VALUE"""),"General")</f>
        <v>General</v>
      </c>
      <c r="E444" s="15" t="str">
        <f>IFERROR(__xludf.DUMMYFUNCTION("""COMPUTED_VALUE"""),"-")</f>
        <v>-</v>
      </c>
      <c r="F444" s="15" t="str">
        <f>IFERROR(__xludf.DUMMYFUNCTION("""COMPUTED_VALUE"""),"General - Silicone Gasket for Ferrule dia. 3/4""; -; -; 1 Pc")</f>
        <v>General - Silicone Gasket for Ferrule dia. 3/4"; -; -; 1 Pc</v>
      </c>
      <c r="G444" s="15">
        <f>IFERROR(__xludf.DUMMYFUNCTION("""COMPUTED_VALUE"""),20.0)</f>
        <v>20</v>
      </c>
      <c r="H444" s="15" t="str">
        <f>IFERROR(__xludf.DUMMYFUNCTION("""COMPUTED_VALUE"""),"Pieces")</f>
        <v>Pieces</v>
      </c>
      <c r="I444" s="15" t="str">
        <f>IFERROR(__xludf.DUMMYFUNCTION("""COMPUTED_VALUE"""),"Deliver")</f>
        <v>Deliver</v>
      </c>
      <c r="J444" s="15" t="str">
        <f>IFERROR(__xludf.DUMMYFUNCTION("""COMPUTED_VALUE"""),"-")</f>
        <v>-</v>
      </c>
      <c r="K444" s="15" t="str">
        <f>IFERROR(__xludf.DUMMYFUNCTION("""COMPUTED_VALUE"""),"-")</f>
        <v>-</v>
      </c>
      <c r="L444" s="15" t="str">
        <f>IFERROR(__xludf.DUMMYFUNCTION("""COMPUTED_VALUE"""),"Normal")</f>
        <v>Normal</v>
      </c>
      <c r="M444" s="18" t="s">
        <v>53</v>
      </c>
      <c r="N444" s="18" t="s">
        <v>54</v>
      </c>
    </row>
    <row r="445" hidden="1">
      <c r="A445" s="15" t="str">
        <f>IFERROR(__xludf.DUMMYFUNCTION("""COMPUTED_VALUE"""),"MFHRO0109")</f>
        <v>MFHRO0109</v>
      </c>
      <c r="B445" s="16">
        <f>IFERROR(__xludf.DUMMYFUNCTION("""COMPUTED_VALUE"""),45834.858387569446)</f>
        <v>45834.85839</v>
      </c>
      <c r="C445" s="17">
        <f>IFERROR(__xludf.DUMMYFUNCTION("""COMPUTED_VALUE"""),45838.63125219907)</f>
        <v>45838.63125</v>
      </c>
      <c r="D445" s="15" t="str">
        <f>IFERROR(__xludf.DUMMYFUNCTION("""COMPUTED_VALUE"""),"PWG")</f>
        <v>PWG</v>
      </c>
      <c r="E445" s="15" t="str">
        <f>IFERROR(__xludf.DUMMYFUNCTION("""COMPUTED_VALUE"""),"-")</f>
        <v>-</v>
      </c>
      <c r="F445" s="15" t="str">
        <f>IFERROR(__xludf.DUMMYFUNCTION("""COMPUTED_VALUE"""),"General - Water Hardness Test Kit; No Brand; -; 1 Pc")</f>
        <v>General - Water Hardness Test Kit; No Brand; -; 1 Pc</v>
      </c>
      <c r="G445" s="15">
        <f>IFERROR(__xludf.DUMMYFUNCTION("""COMPUTED_VALUE"""),3.0)</f>
        <v>3</v>
      </c>
      <c r="H445" s="15" t="str">
        <f>IFERROR(__xludf.DUMMYFUNCTION("""COMPUTED_VALUE"""),"Box")</f>
        <v>Box</v>
      </c>
      <c r="I445" s="15" t="str">
        <f>IFERROR(__xludf.DUMMYFUNCTION("""COMPUTED_VALUE"""),"Deliver")</f>
        <v>Deliver</v>
      </c>
      <c r="J445" s="15" t="str">
        <f>IFERROR(__xludf.DUMMYFUNCTION("""COMPUTED_VALUE"""),"-")</f>
        <v>-</v>
      </c>
      <c r="K445" s="15" t="str">
        <f>IFERROR(__xludf.DUMMYFUNCTION("""COMPUTED_VALUE"""),"-")</f>
        <v>-</v>
      </c>
      <c r="L445" s="15" t="str">
        <f>IFERROR(__xludf.DUMMYFUNCTION("""COMPUTED_VALUE"""),"Normal")</f>
        <v>Normal</v>
      </c>
      <c r="M445" s="18" t="s">
        <v>53</v>
      </c>
      <c r="N445" s="18" t="s">
        <v>54</v>
      </c>
    </row>
    <row r="446" hidden="1">
      <c r="A446" s="15" t="str">
        <f>IFERROR(__xludf.DUMMYFUNCTION("""COMPUTED_VALUE"""),"MFHRO0110")</f>
        <v>MFHRO0110</v>
      </c>
      <c r="B446" s="16">
        <f>IFERROR(__xludf.DUMMYFUNCTION("""COMPUTED_VALUE"""),45834.858387569446)</f>
        <v>45834.85839</v>
      </c>
      <c r="C446" s="17">
        <f>IFERROR(__xludf.DUMMYFUNCTION("""COMPUTED_VALUE"""),45838.63690751157)</f>
        <v>45838.63691</v>
      </c>
      <c r="D446" s="15" t="str">
        <f>IFERROR(__xludf.DUMMYFUNCTION("""COMPUTED_VALUE"""),"General")</f>
        <v>General</v>
      </c>
      <c r="E446" s="15" t="str">
        <f>IFERROR(__xludf.DUMMYFUNCTION("""COMPUTED_VALUE"""),"-")</f>
        <v>-</v>
      </c>
      <c r="F446" s="15" t="str">
        <f>IFERROR(__xludf.DUMMYFUNCTION("""COMPUTED_VALUE"""),"General - Ampelas P500; EAGLE; -; 1 pcs")</f>
        <v>General - Ampelas P500; EAGLE; -; 1 pcs</v>
      </c>
      <c r="G446" s="15">
        <f>IFERROR(__xludf.DUMMYFUNCTION("""COMPUTED_VALUE"""),30.0)</f>
        <v>30</v>
      </c>
      <c r="H446" s="15" t="str">
        <f>IFERROR(__xludf.DUMMYFUNCTION("""COMPUTED_VALUE"""),"Pieces")</f>
        <v>Pieces</v>
      </c>
      <c r="I446" s="15" t="str">
        <f>IFERROR(__xludf.DUMMYFUNCTION("""COMPUTED_VALUE"""),"Deliver")</f>
        <v>Deliver</v>
      </c>
      <c r="J446" s="15" t="str">
        <f>IFERROR(__xludf.DUMMYFUNCTION("""COMPUTED_VALUE"""),"-")</f>
        <v>-</v>
      </c>
      <c r="K446" s="15" t="str">
        <f>IFERROR(__xludf.DUMMYFUNCTION("""COMPUTED_VALUE"""),"-")</f>
        <v>-</v>
      </c>
      <c r="L446" s="15" t="str">
        <f>IFERROR(__xludf.DUMMYFUNCTION("""COMPUTED_VALUE"""),"Normal")</f>
        <v>Normal</v>
      </c>
      <c r="M446" s="18" t="s">
        <v>53</v>
      </c>
      <c r="N446" s="18" t="s">
        <v>54</v>
      </c>
    </row>
    <row r="447" hidden="1">
      <c r="A447" s="15" t="str">
        <f>IFERROR(__xludf.DUMMYFUNCTION("""COMPUTED_VALUE"""),"MFHRO0111")</f>
        <v>MFHRO0111</v>
      </c>
      <c r="B447" s="16">
        <f>IFERROR(__xludf.DUMMYFUNCTION("""COMPUTED_VALUE"""),45834.858387569446)</f>
        <v>45834.85839</v>
      </c>
      <c r="C447" s="17">
        <f>IFERROR(__xludf.DUMMYFUNCTION("""COMPUTED_VALUE"""),45838.637092233796)</f>
        <v>45838.63709</v>
      </c>
      <c r="D447" s="15" t="str">
        <f>IFERROR(__xludf.DUMMYFUNCTION("""COMPUTED_VALUE"""),"Lift")</f>
        <v>Lift</v>
      </c>
      <c r="E447" s="15" t="str">
        <f>IFERROR(__xludf.DUMMYFUNCTION("""COMPUTED_VALUE"""),"-")</f>
        <v>-</v>
      </c>
      <c r="F447" s="15" t="str">
        <f>IFERROR(__xludf.DUMMYFUNCTION("""COMPUTED_VALUE"""),"SCHINDLER ELEVATOR - Interphone; Schindler; -; 1 pc")</f>
        <v>SCHINDLER ELEVATOR - Interphone; Schindler; -; 1 pc</v>
      </c>
      <c r="G447" s="15">
        <f>IFERROR(__xludf.DUMMYFUNCTION("""COMPUTED_VALUE"""),1.0)</f>
        <v>1</v>
      </c>
      <c r="H447" s="15" t="str">
        <f>IFERROR(__xludf.DUMMYFUNCTION("""COMPUTED_VALUE"""),"Pieces")</f>
        <v>Pieces</v>
      </c>
      <c r="I447" s="15" t="str">
        <f>IFERROR(__xludf.DUMMYFUNCTION("""COMPUTED_VALUE"""),"Deliver")</f>
        <v>Deliver</v>
      </c>
      <c r="J447" s="15" t="str">
        <f>IFERROR(__xludf.DUMMYFUNCTION("""COMPUTED_VALUE"""),"-")</f>
        <v>-</v>
      </c>
      <c r="K447" s="15" t="str">
        <f>IFERROR(__xludf.DUMMYFUNCTION("""COMPUTED_VALUE"""),"-")</f>
        <v>-</v>
      </c>
      <c r="L447" s="15" t="str">
        <f>IFERROR(__xludf.DUMMYFUNCTION("""COMPUTED_VALUE"""),"Normal")</f>
        <v>Normal</v>
      </c>
      <c r="M447" s="18" t="s">
        <v>53</v>
      </c>
      <c r="N447" s="18" t="s">
        <v>54</v>
      </c>
    </row>
    <row r="448" hidden="1">
      <c r="A448" s="15" t="str">
        <f>IFERROR(__xludf.DUMMYFUNCTION("""COMPUTED_VALUE"""),"MFHRO0112")</f>
        <v>MFHRO0112</v>
      </c>
      <c r="B448" s="16">
        <f>IFERROR(__xludf.DUMMYFUNCTION("""COMPUTED_VALUE"""),45834.858387569446)</f>
        <v>45834.85839</v>
      </c>
      <c r="C448" s="17">
        <f>IFERROR(__xludf.DUMMYFUNCTION("""COMPUTED_VALUE"""),45838.637279166665)</f>
        <v>45838.63728</v>
      </c>
      <c r="D448" s="15" t="str">
        <f>IFERROR(__xludf.DUMMYFUNCTION("""COMPUTED_VALUE"""),"Lift")</f>
        <v>Lift</v>
      </c>
      <c r="E448" s="15" t="str">
        <f>IFERROR(__xludf.DUMMYFUNCTION("""COMPUTED_VALUE"""),"-")</f>
        <v>-</v>
      </c>
      <c r="F448" s="15" t="str">
        <f>IFERROR(__xludf.DUMMYFUNCTION("""COMPUTED_VALUE"""),"SCHINDLER ELEVATOR - Door Shoe; ; ;")</f>
        <v>SCHINDLER ELEVATOR - Door Shoe; ; ;</v>
      </c>
      <c r="G448" s="15">
        <f>IFERROR(__xludf.DUMMYFUNCTION("""COMPUTED_VALUE"""),4.0)</f>
        <v>4</v>
      </c>
      <c r="H448" s="15" t="str">
        <f>IFERROR(__xludf.DUMMYFUNCTION("""COMPUTED_VALUE"""),"Pieces")</f>
        <v>Pieces</v>
      </c>
      <c r="I448" s="15" t="str">
        <f>IFERROR(__xludf.DUMMYFUNCTION("""COMPUTED_VALUE"""),"Deliver")</f>
        <v>Deliver</v>
      </c>
      <c r="J448" s="15" t="str">
        <f>IFERROR(__xludf.DUMMYFUNCTION("""COMPUTED_VALUE"""),"-")</f>
        <v>-</v>
      </c>
      <c r="K448" s="15" t="str">
        <f>IFERROR(__xludf.DUMMYFUNCTION("""COMPUTED_VALUE"""),"-")</f>
        <v>-</v>
      </c>
      <c r="L448" s="15" t="str">
        <f>IFERROR(__xludf.DUMMYFUNCTION("""COMPUTED_VALUE"""),"Normal")</f>
        <v>Normal</v>
      </c>
      <c r="M448" s="18" t="s">
        <v>53</v>
      </c>
      <c r="N448" s="18" t="s">
        <v>54</v>
      </c>
    </row>
    <row r="449" hidden="1">
      <c r="A449" s="15" t="str">
        <f>IFERROR(__xludf.DUMMYFUNCTION("""COMPUTED_VALUE"""),"MFHRO0113")</f>
        <v>MFHRO0113</v>
      </c>
      <c r="B449" s="16">
        <f>IFERROR(__xludf.DUMMYFUNCTION("""COMPUTED_VALUE"""),45834.858387569446)</f>
        <v>45834.85839</v>
      </c>
      <c r="C449" s="17">
        <f>IFERROR(__xludf.DUMMYFUNCTION("""COMPUTED_VALUE"""),45838.63766340278)</f>
        <v>45838.63766</v>
      </c>
      <c r="D449" s="15" t="str">
        <f>IFERROR(__xludf.DUMMYFUNCTION("""COMPUTED_VALUE"""),"Lift")</f>
        <v>Lift</v>
      </c>
      <c r="E449" s="15" t="str">
        <f>IFERROR(__xludf.DUMMYFUNCTION("""COMPUTED_VALUE"""),"-")</f>
        <v>-</v>
      </c>
      <c r="F449" s="15" t="str">
        <f>IFERROR(__xludf.DUMMYFUNCTION("""COMPUTED_VALUE"""),"SCHINDLER ELEVATOR - Ceiling Lamp Cover; ; ;")</f>
        <v>SCHINDLER ELEVATOR - Ceiling Lamp Cover; ; ;</v>
      </c>
      <c r="G449" s="15">
        <f>IFERROR(__xludf.DUMMYFUNCTION("""COMPUTED_VALUE"""),1.0)</f>
        <v>1</v>
      </c>
      <c r="H449" s="15" t="str">
        <f>IFERROR(__xludf.DUMMYFUNCTION("""COMPUTED_VALUE"""),"Pieces")</f>
        <v>Pieces</v>
      </c>
      <c r="I449" s="15" t="str">
        <f>IFERROR(__xludf.DUMMYFUNCTION("""COMPUTED_VALUE"""),"Deliver")</f>
        <v>Deliver</v>
      </c>
      <c r="J449" s="15" t="str">
        <f>IFERROR(__xludf.DUMMYFUNCTION("""COMPUTED_VALUE"""),"-")</f>
        <v>-</v>
      </c>
      <c r="K449" s="15" t="str">
        <f>IFERROR(__xludf.DUMMYFUNCTION("""COMPUTED_VALUE"""),"-")</f>
        <v>-</v>
      </c>
      <c r="L449" s="15" t="str">
        <f>IFERROR(__xludf.DUMMYFUNCTION("""COMPUTED_VALUE"""),"Normal")</f>
        <v>Normal</v>
      </c>
      <c r="M449" s="18" t="s">
        <v>53</v>
      </c>
      <c r="N449" s="18" t="s">
        <v>54</v>
      </c>
    </row>
    <row r="450" hidden="1">
      <c r="A450" s="15" t="str">
        <f>IFERROR(__xludf.DUMMYFUNCTION("""COMPUTED_VALUE"""),"MFHRO0114")</f>
        <v>MFHRO0114</v>
      </c>
      <c r="B450" s="16">
        <f>IFERROR(__xludf.DUMMYFUNCTION("""COMPUTED_VALUE"""),45834.858387569446)</f>
        <v>45834.85839</v>
      </c>
      <c r="C450" s="17">
        <f>IFERROR(__xludf.DUMMYFUNCTION("""COMPUTED_VALUE"""),45838.637841840275)</f>
        <v>45838.63784</v>
      </c>
      <c r="D450" s="15" t="str">
        <f>IFERROR(__xludf.DUMMYFUNCTION("""COMPUTED_VALUE"""),"Lift")</f>
        <v>Lift</v>
      </c>
      <c r="E450" s="15" t="str">
        <f>IFERROR(__xludf.DUMMYFUNCTION("""COMPUTED_VALUE"""),"-")</f>
        <v>-</v>
      </c>
      <c r="F450" s="15" t="str">
        <f>IFERROR(__xludf.DUMMYFUNCTION("""COMPUTED_VALUE"""),"PCBA LIFT SCOPCA 5.Q;Schindler Elevator;;pack size per unit")</f>
        <v>PCBA LIFT SCOPCA 5.Q;Schindler Elevator;;pack size per unit</v>
      </c>
      <c r="G450" s="15">
        <f>IFERROR(__xludf.DUMMYFUNCTION("""COMPUTED_VALUE"""),1.0)</f>
        <v>1</v>
      </c>
      <c r="H450" s="15" t="str">
        <f>IFERROR(__xludf.DUMMYFUNCTION("""COMPUTED_VALUE"""),"Unit")</f>
        <v>Unit</v>
      </c>
      <c r="I450" s="15" t="str">
        <f>IFERROR(__xludf.DUMMYFUNCTION("""COMPUTED_VALUE"""),"Deliver")</f>
        <v>Deliver</v>
      </c>
      <c r="J450" s="15" t="str">
        <f>IFERROR(__xludf.DUMMYFUNCTION("""COMPUTED_VALUE"""),"-")</f>
        <v>-</v>
      </c>
      <c r="K450" s="15" t="str">
        <f>IFERROR(__xludf.DUMMYFUNCTION("""COMPUTED_VALUE"""),"-")</f>
        <v>-</v>
      </c>
      <c r="L450" s="15" t="str">
        <f>IFERROR(__xludf.DUMMYFUNCTION("""COMPUTED_VALUE"""),"Normal")</f>
        <v>Normal</v>
      </c>
      <c r="M450" s="18" t="s">
        <v>53</v>
      </c>
      <c r="N450" s="18" t="s">
        <v>54</v>
      </c>
    </row>
    <row r="451" hidden="1">
      <c r="A451" s="15" t="str">
        <f>IFERROR(__xludf.DUMMYFUNCTION("""COMPUTED_VALUE"""),"MFHRO0115")</f>
        <v>MFHRO0115</v>
      </c>
      <c r="B451" s="16">
        <f>IFERROR(__xludf.DUMMYFUNCTION("""COMPUTED_VALUE"""),45834.858387569446)</f>
        <v>45834.85839</v>
      </c>
      <c r="C451" s="17">
        <f>IFERROR(__xludf.DUMMYFUNCTION("""COMPUTED_VALUE"""),45838.638504999995)</f>
        <v>45838.63851</v>
      </c>
      <c r="D451" s="15" t="str">
        <f>IFERROR(__xludf.DUMMYFUNCTION("""COMPUTED_VALUE"""),"HPLC")</f>
        <v>HPLC</v>
      </c>
      <c r="E451" s="15" t="str">
        <f>IFERROR(__xludf.DUMMYFUNCTION("""COMPUTED_VALUE"""),"-")</f>
        <v>-</v>
      </c>
      <c r="F451" s="15" t="str">
        <f>IFERROR(__xludf.DUMMYFUNCTION("""COMPUTED_VALUE"""),"PerformancePlus Check Valve Cartridge; Waters; p/n 700002399;")</f>
        <v>PerformancePlus Check Valve Cartridge; Waters; p/n 700002399;</v>
      </c>
      <c r="G451" s="15">
        <f>IFERROR(__xludf.DUMMYFUNCTION("""COMPUTED_VALUE"""),7.0)</f>
        <v>7</v>
      </c>
      <c r="H451" s="15" t="str">
        <f>IFERROR(__xludf.DUMMYFUNCTION("""COMPUTED_VALUE"""),"Pieces")</f>
        <v>Pieces</v>
      </c>
      <c r="I451" s="15" t="str">
        <f>IFERROR(__xludf.DUMMYFUNCTION("""COMPUTED_VALUE"""),"Deliver")</f>
        <v>Deliver</v>
      </c>
      <c r="J451" s="15" t="str">
        <f>IFERROR(__xludf.DUMMYFUNCTION("""COMPUTED_VALUE"""),"-")</f>
        <v>-</v>
      </c>
      <c r="K451" s="15" t="str">
        <f>IFERROR(__xludf.DUMMYFUNCTION("""COMPUTED_VALUE"""),"-")</f>
        <v>-</v>
      </c>
      <c r="L451" s="15" t="str">
        <f>IFERROR(__xludf.DUMMYFUNCTION("""COMPUTED_VALUE"""),"Normal")</f>
        <v>Normal</v>
      </c>
      <c r="M451" s="18" t="s">
        <v>53</v>
      </c>
      <c r="N451" s="18" t="s">
        <v>54</v>
      </c>
    </row>
    <row r="452" hidden="1">
      <c r="A452" s="15" t="str">
        <f>IFERROR(__xludf.DUMMYFUNCTION("""COMPUTED_VALUE"""),"MFHRO0116")</f>
        <v>MFHRO0116</v>
      </c>
      <c r="B452" s="16">
        <f>IFERROR(__xludf.DUMMYFUNCTION("""COMPUTED_VALUE"""),45834.858387569446)</f>
        <v>45834.85839</v>
      </c>
      <c r="C452" s="17">
        <f>IFERROR(__xludf.DUMMYFUNCTION("""COMPUTED_VALUE"""),45838.6386625463)</f>
        <v>45838.63866</v>
      </c>
      <c r="D452" s="15" t="str">
        <f>IFERROR(__xludf.DUMMYFUNCTION("""COMPUTED_VALUE"""),"Capping")</f>
        <v>Capping</v>
      </c>
      <c r="E452" s="15" t="str">
        <f>IFERROR(__xludf.DUMMYFUNCTION("""COMPUTED_VALUE"""),"-")</f>
        <v>-</v>
      </c>
      <c r="F452" s="15" t="str">
        <f>IFERROR(__xludf.DUMMYFUNCTION("""COMPUTED_VALUE"""),"General - Main Motor Caping; Bonfiglioli; BE80B4; 1 Unit")</f>
        <v>General - Main Motor Caping; Bonfiglioli; BE80B4; 1 Unit</v>
      </c>
      <c r="G452" s="15">
        <f>IFERROR(__xludf.DUMMYFUNCTION("""COMPUTED_VALUE"""),1.0)</f>
        <v>1</v>
      </c>
      <c r="H452" s="15" t="str">
        <f>IFERROR(__xludf.DUMMYFUNCTION("""COMPUTED_VALUE"""),"Unit")</f>
        <v>Unit</v>
      </c>
      <c r="I452" s="15" t="str">
        <f>IFERROR(__xludf.DUMMYFUNCTION("""COMPUTED_VALUE"""),"Deliver")</f>
        <v>Deliver</v>
      </c>
      <c r="J452" s="15" t="str">
        <f>IFERROR(__xludf.DUMMYFUNCTION("""COMPUTED_VALUE"""),"121702834 - APPROVED")</f>
        <v>121702834 - APPROVED</v>
      </c>
      <c r="K452" s="15" t="str">
        <f>IFERROR(__xludf.DUMMYFUNCTION("""COMPUTED_VALUE"""),"GL2506399")</f>
        <v>GL2506399</v>
      </c>
      <c r="L452" s="15" t="str">
        <f>IFERROR(__xludf.DUMMYFUNCTION("""COMPUTED_VALUE"""),"Normal")</f>
        <v>Normal</v>
      </c>
      <c r="M452" s="18" t="s">
        <v>53</v>
      </c>
      <c r="N452" s="18" t="s">
        <v>54</v>
      </c>
    </row>
    <row r="453" hidden="1">
      <c r="A453" s="15" t="str">
        <f>IFERROR(__xludf.DUMMYFUNCTION("""COMPUTED_VALUE"""),"MFHRO0117")</f>
        <v>MFHRO0117</v>
      </c>
      <c r="B453" s="16">
        <f>IFERROR(__xludf.DUMMYFUNCTION("""COMPUTED_VALUE"""),45834.858387569446)</f>
        <v>45834.85839</v>
      </c>
      <c r="C453" s="17">
        <f>IFERROR(__xludf.DUMMYFUNCTION("""COMPUTED_VALUE"""),45838.638822939814)</f>
        <v>45838.63882</v>
      </c>
      <c r="D453" s="15" t="str">
        <f>IFERROR(__xludf.DUMMYFUNCTION("""COMPUTED_VALUE"""),"Washing")</f>
        <v>Washing</v>
      </c>
      <c r="E453" s="15" t="str">
        <f>IFERROR(__xludf.DUMMYFUNCTION("""COMPUTED_VALUE"""),"-")</f>
        <v>-</v>
      </c>
      <c r="F453" s="15" t="str">
        <f>IFERROR(__xludf.DUMMYFUNCTION("""COMPUTED_VALUE"""),"General - Gearbox Washing; Bonfiglioli; VF44 A 60 B5 B3; 1 Unit")</f>
        <v>General - Gearbox Washing; Bonfiglioli; VF44 A 60 B5 B3; 1 Unit</v>
      </c>
      <c r="G453" s="15">
        <f>IFERROR(__xludf.DUMMYFUNCTION("""COMPUTED_VALUE"""),1.0)</f>
        <v>1</v>
      </c>
      <c r="H453" s="15" t="str">
        <f>IFERROR(__xludf.DUMMYFUNCTION("""COMPUTED_VALUE"""),"Unit")</f>
        <v>Unit</v>
      </c>
      <c r="I453" s="15" t="str">
        <f>IFERROR(__xludf.DUMMYFUNCTION("""COMPUTED_VALUE"""),"Deliver")</f>
        <v>Deliver</v>
      </c>
      <c r="J453" s="15" t="str">
        <f>IFERROR(__xludf.DUMMYFUNCTION("""COMPUTED_VALUE"""),"121702834 - APPROVED")</f>
        <v>121702834 - APPROVED</v>
      </c>
      <c r="K453" s="15" t="str">
        <f>IFERROR(__xludf.DUMMYFUNCTION("""COMPUTED_VALUE"""),"GL2506399")</f>
        <v>GL2506399</v>
      </c>
      <c r="L453" s="15" t="str">
        <f>IFERROR(__xludf.DUMMYFUNCTION("""COMPUTED_VALUE"""),"Normal")</f>
        <v>Normal</v>
      </c>
      <c r="M453" s="18" t="s">
        <v>53</v>
      </c>
      <c r="N453" s="18" t="s">
        <v>54</v>
      </c>
    </row>
    <row r="454" hidden="1">
      <c r="A454" s="15" t="str">
        <f>IFERROR(__xludf.DUMMYFUNCTION("""COMPUTED_VALUE"""),"MFHRO0118")</f>
        <v>MFHRO0118</v>
      </c>
      <c r="B454" s="16">
        <f>IFERROR(__xludf.DUMMYFUNCTION("""COMPUTED_VALUE"""),45834.858387569446)</f>
        <v>45834.85839</v>
      </c>
      <c r="C454" s="17">
        <f>IFERROR(__xludf.DUMMYFUNCTION("""COMPUTED_VALUE"""),45838.63899737269)</f>
        <v>45838.639</v>
      </c>
      <c r="D454" s="15" t="str">
        <f>IFERROR(__xludf.DUMMYFUNCTION("""COMPUTED_VALUE"""),"Capping")</f>
        <v>Capping</v>
      </c>
      <c r="E454" s="15" t="str">
        <f>IFERROR(__xludf.DUMMYFUNCTION("""COMPUTED_VALUE"""),"-")</f>
        <v>-</v>
      </c>
      <c r="F454" s="15" t="str">
        <f>IFERROR(__xludf.DUMMYFUNCTION("""COMPUTED_VALUE"""),"General - Gearbox Naik Turun Turet; Bonfiglioli; VF30 P 7 B3; 1 Pc")</f>
        <v>General - Gearbox Naik Turun Turet; Bonfiglioli; VF30 P 7 B3; 1 Pc</v>
      </c>
      <c r="G454" s="15">
        <f>IFERROR(__xludf.DUMMYFUNCTION("""COMPUTED_VALUE"""),1.0)</f>
        <v>1</v>
      </c>
      <c r="H454" s="15" t="str">
        <f>IFERROR(__xludf.DUMMYFUNCTION("""COMPUTED_VALUE"""),"Pieces")</f>
        <v>Pieces</v>
      </c>
      <c r="I454" s="15" t="str">
        <f>IFERROR(__xludf.DUMMYFUNCTION("""COMPUTED_VALUE"""),"Deliver")</f>
        <v>Deliver</v>
      </c>
      <c r="J454" s="15" t="str">
        <f>IFERROR(__xludf.DUMMYFUNCTION("""COMPUTED_VALUE"""),"121702834 - APPROVED")</f>
        <v>121702834 - APPROVED</v>
      </c>
      <c r="K454" s="15" t="str">
        <f>IFERROR(__xludf.DUMMYFUNCTION("""COMPUTED_VALUE"""),"GL2506399")</f>
        <v>GL2506399</v>
      </c>
      <c r="L454" s="15" t="str">
        <f>IFERROR(__xludf.DUMMYFUNCTION("""COMPUTED_VALUE"""),"Normal")</f>
        <v>Normal</v>
      </c>
      <c r="M454" s="18" t="s">
        <v>53</v>
      </c>
      <c r="N454" s="18" t="s">
        <v>54</v>
      </c>
    </row>
    <row r="455" hidden="1">
      <c r="A455" s="15" t="str">
        <f>IFERROR(__xludf.DUMMYFUNCTION("""COMPUTED_VALUE"""),"MFHRO0119")</f>
        <v>MFHRO0119</v>
      </c>
      <c r="B455" s="16">
        <f>IFERROR(__xludf.DUMMYFUNCTION("""COMPUTED_VALUE"""),45834.858387569446)</f>
        <v>45834.85839</v>
      </c>
      <c r="C455" s="17">
        <f>IFERROR(__xludf.DUMMYFUNCTION("""COMPUTED_VALUE"""),45838.63915850694)</f>
        <v>45838.63916</v>
      </c>
      <c r="D455" s="15" t="str">
        <f>IFERROR(__xludf.DUMMYFUNCTION("""COMPUTED_VALUE"""),"Capping")</f>
        <v>Capping</v>
      </c>
      <c r="E455" s="15" t="str">
        <f>IFERROR(__xludf.DUMMYFUNCTION("""COMPUTED_VALUE"""),"-")</f>
        <v>-</v>
      </c>
      <c r="F455" s="15" t="str">
        <f>IFERROR(__xludf.DUMMYFUNCTION("""COMPUTED_VALUE"""),"General - Gearbox Caps Chute; Bonfiglioli; VF44 P 7 B3; 1 Pc")</f>
        <v>General - Gearbox Caps Chute; Bonfiglioli; VF44 P 7 B3; 1 Pc</v>
      </c>
      <c r="G455" s="15">
        <f>IFERROR(__xludf.DUMMYFUNCTION("""COMPUTED_VALUE"""),1.0)</f>
        <v>1</v>
      </c>
      <c r="H455" s="15" t="str">
        <f>IFERROR(__xludf.DUMMYFUNCTION("""COMPUTED_VALUE"""),"Pieces")</f>
        <v>Pieces</v>
      </c>
      <c r="I455" s="15" t="str">
        <f>IFERROR(__xludf.DUMMYFUNCTION("""COMPUTED_VALUE"""),"Deliver")</f>
        <v>Deliver</v>
      </c>
      <c r="J455" s="15" t="str">
        <f>IFERROR(__xludf.DUMMYFUNCTION("""COMPUTED_VALUE"""),"121702834 - APPROVED")</f>
        <v>121702834 - APPROVED</v>
      </c>
      <c r="K455" s="15" t="str">
        <f>IFERROR(__xludf.DUMMYFUNCTION("""COMPUTED_VALUE"""),"GL2506399")</f>
        <v>GL2506399</v>
      </c>
      <c r="L455" s="15" t="str">
        <f>IFERROR(__xludf.DUMMYFUNCTION("""COMPUTED_VALUE"""),"Normal")</f>
        <v>Normal</v>
      </c>
      <c r="M455" s="18" t="s">
        <v>53</v>
      </c>
      <c r="N455" s="18" t="s">
        <v>54</v>
      </c>
    </row>
    <row r="456" hidden="1">
      <c r="A456" s="15" t="str">
        <f>IFERROR(__xludf.DUMMYFUNCTION("""COMPUTED_VALUE"""),"MFHRO0120")</f>
        <v>MFHRO0120</v>
      </c>
      <c r="B456" s="16">
        <f>IFERROR(__xludf.DUMMYFUNCTION("""COMPUTED_VALUE"""),45834.858387569446)</f>
        <v>45834.85839</v>
      </c>
      <c r="C456" s="17">
        <f>IFERROR(__xludf.DUMMYFUNCTION("""COMPUTED_VALUE"""),45838.639456087956)</f>
        <v>45838.63946</v>
      </c>
      <c r="D456" s="15" t="str">
        <f>IFERROR(__xludf.DUMMYFUNCTION("""COMPUTED_VALUE"""),"Capping")</f>
        <v>Capping</v>
      </c>
      <c r="E456" s="15" t="str">
        <f>IFERROR(__xludf.DUMMYFUNCTION("""COMPUTED_VALUE"""),"-")</f>
        <v>-</v>
      </c>
      <c r="F456" s="15" t="str">
        <f>IFERROR(__xludf.DUMMYFUNCTION("""COMPUTED_VALUE"""),"General - Gear Motor Infeed Caping; Bonfiglioli; VF30 P 20 P63 + BN63B 4; 1 Unit")</f>
        <v>General - Gear Motor Infeed Caping; Bonfiglioli; VF30 P 20 P63 + BN63B 4; 1 Unit</v>
      </c>
      <c r="G456" s="15">
        <f>IFERROR(__xludf.DUMMYFUNCTION("""COMPUTED_VALUE"""),1.0)</f>
        <v>1</v>
      </c>
      <c r="H456" s="15" t="str">
        <f>IFERROR(__xludf.DUMMYFUNCTION("""COMPUTED_VALUE"""),"Unit")</f>
        <v>Unit</v>
      </c>
      <c r="I456" s="15" t="str">
        <f>IFERROR(__xludf.DUMMYFUNCTION("""COMPUTED_VALUE"""),"Deliver")</f>
        <v>Deliver</v>
      </c>
      <c r="J456" s="15" t="str">
        <f>IFERROR(__xludf.DUMMYFUNCTION("""COMPUTED_VALUE"""),"121702834 - APPROVED")</f>
        <v>121702834 - APPROVED</v>
      </c>
      <c r="K456" s="15" t="str">
        <f>IFERROR(__xludf.DUMMYFUNCTION("""COMPUTED_VALUE"""),"GL2506399")</f>
        <v>GL2506399</v>
      </c>
      <c r="L456" s="15" t="str">
        <f>IFERROR(__xludf.DUMMYFUNCTION("""COMPUTED_VALUE"""),"Normal")</f>
        <v>Normal</v>
      </c>
      <c r="M456" s="18" t="s">
        <v>53</v>
      </c>
      <c r="N456" s="18" t="s">
        <v>54</v>
      </c>
    </row>
    <row r="457" hidden="1">
      <c r="A457" s="15" t="str">
        <f>IFERROR(__xludf.DUMMYFUNCTION("""COMPUTED_VALUE"""),"MFHRO0121")</f>
        <v>MFHRO0121</v>
      </c>
      <c r="B457" s="16">
        <f>IFERROR(__xludf.DUMMYFUNCTION("""COMPUTED_VALUE"""),45834.858387569446)</f>
        <v>45834.85839</v>
      </c>
      <c r="C457" s="17">
        <f>IFERROR(__xludf.DUMMYFUNCTION("""COMPUTED_VALUE"""),45838.639644999996)</f>
        <v>45838.63965</v>
      </c>
      <c r="D457" s="15" t="str">
        <f>IFERROR(__xludf.DUMMYFUNCTION("""COMPUTED_VALUE"""),"Washing")</f>
        <v>Washing</v>
      </c>
      <c r="E457" s="15" t="str">
        <f>IFERROR(__xludf.DUMMYFUNCTION("""COMPUTED_VALUE"""),"-")</f>
        <v>-</v>
      </c>
      <c r="F457" s="15" t="str">
        <f>IFERROR(__xludf.DUMMYFUNCTION("""COMPUTED_VALUE"""),"General - Gear Motor Rotary Tabel Washing; Bonfiglioli; VFR44 P 230 S44 B3 + BN44B 4; 1 Unit")</f>
        <v>General - Gear Motor Rotary Tabel Washing; Bonfiglioli; VFR44 P 230 S44 B3 + BN44B 4; 1 Unit</v>
      </c>
      <c r="G457" s="15">
        <f>IFERROR(__xludf.DUMMYFUNCTION("""COMPUTED_VALUE"""),1.0)</f>
        <v>1</v>
      </c>
      <c r="H457" s="15" t="str">
        <f>IFERROR(__xludf.DUMMYFUNCTION("""COMPUTED_VALUE"""),"Unit")</f>
        <v>Unit</v>
      </c>
      <c r="I457" s="15" t="str">
        <f>IFERROR(__xludf.DUMMYFUNCTION("""COMPUTED_VALUE"""),"Deliver")</f>
        <v>Deliver</v>
      </c>
      <c r="J457" s="15" t="str">
        <f>IFERROR(__xludf.DUMMYFUNCTION("""COMPUTED_VALUE"""),"121702834 - APPROVED")</f>
        <v>121702834 - APPROVED</v>
      </c>
      <c r="K457" s="15" t="str">
        <f>IFERROR(__xludf.DUMMYFUNCTION("""COMPUTED_VALUE"""),"GL2506399")</f>
        <v>GL2506399</v>
      </c>
      <c r="L457" s="15" t="str">
        <f>IFERROR(__xludf.DUMMYFUNCTION("""COMPUTED_VALUE"""),"Normal")</f>
        <v>Normal</v>
      </c>
      <c r="M457" s="18" t="s">
        <v>53</v>
      </c>
      <c r="N457" s="18" t="s">
        <v>54</v>
      </c>
    </row>
    <row r="458" hidden="1">
      <c r="A458" s="15" t="str">
        <f>IFERROR(__xludf.DUMMYFUNCTION("""COMPUTED_VALUE"""),"MFHBR0007")</f>
        <v>MFHBR0007</v>
      </c>
      <c r="B458" s="16">
        <f>IFERROR(__xludf.DUMMYFUNCTION("""COMPUTED_VALUE"""),45834.89338793982)</f>
        <v>45834.89339</v>
      </c>
      <c r="C458" s="17">
        <f>IFERROR(__xludf.DUMMYFUNCTION("""COMPUTED_VALUE"""),45838.64436701389)</f>
        <v>45838.64437</v>
      </c>
      <c r="D458" s="15" t="str">
        <f>IFERROR(__xludf.DUMMYFUNCTION("""COMPUTED_VALUE"""),"PW")</f>
        <v>PW</v>
      </c>
      <c r="E458" s="15" t="str">
        <f>IFERROR(__xludf.DUMMYFUNCTION("""COMPUTED_VALUE"""),"-")</f>
        <v>-</v>
      </c>
      <c r="F458" s="15" t="str">
        <f>IFERROR(__xludf.DUMMYFUNCTION("""COMPUTED_VALUE"""),"Valve")</f>
        <v>Valve</v>
      </c>
      <c r="G458" s="15">
        <f>IFERROR(__xludf.DUMMYFUNCTION("""COMPUTED_VALUE"""),2.0)</f>
        <v>2</v>
      </c>
      <c r="H458" s="15" t="str">
        <f>IFERROR(__xludf.DUMMYFUNCTION("""COMPUTED_VALUE"""),"Pcs")</f>
        <v>Pcs</v>
      </c>
      <c r="I458" s="15" t="str">
        <f>IFERROR(__xludf.DUMMYFUNCTION("""COMPUTED_VALUE"""),"Deliver")</f>
        <v>Deliver</v>
      </c>
      <c r="J458" s="15" t="str">
        <f>IFERROR(__xludf.DUMMYFUNCTION("""COMPUTED_VALUE"""),"-")</f>
        <v>-</v>
      </c>
      <c r="K458" s="15" t="str">
        <f>IFERROR(__xludf.DUMMYFUNCTION("""COMPUTED_VALUE"""),"-")</f>
        <v>-</v>
      </c>
      <c r="L458" s="15" t="str">
        <f>IFERROR(__xludf.DUMMYFUNCTION("""COMPUTED_VALUE"""),"Normal")</f>
        <v>Normal</v>
      </c>
      <c r="M458" s="18" t="s">
        <v>53</v>
      </c>
      <c r="N458" s="18" t="s">
        <v>54</v>
      </c>
    </row>
    <row r="459" hidden="1">
      <c r="A459" s="15" t="str">
        <f>IFERROR(__xludf.DUMMYFUNCTION("""COMPUTED_VALUE"""),"MFHBR0008")</f>
        <v>MFHBR0008</v>
      </c>
      <c r="B459" s="16">
        <f>IFERROR(__xludf.DUMMYFUNCTION("""COMPUTED_VALUE"""),45834.89406777777)</f>
        <v>45834.89407</v>
      </c>
      <c r="C459" s="17">
        <f>IFERROR(__xludf.DUMMYFUNCTION("""COMPUTED_VALUE"""),45838.64453153936)</f>
        <v>45838.64453</v>
      </c>
      <c r="D459" s="15" t="str">
        <f>IFERROR(__xludf.DUMMYFUNCTION("""COMPUTED_VALUE"""),"Piping")</f>
        <v>Piping</v>
      </c>
      <c r="E459" s="15" t="str">
        <f>IFERROR(__xludf.DUMMYFUNCTION("""COMPUTED_VALUE"""),"-")</f>
        <v>-</v>
      </c>
      <c r="F459" s="15" t="str">
        <f>IFERROR(__xludf.DUMMYFUNCTION("""COMPUTED_VALUE"""),"-")</f>
        <v>-</v>
      </c>
      <c r="G459" s="15">
        <f>IFERROR(__xludf.DUMMYFUNCTION("""COMPUTED_VALUE"""),1.0)</f>
        <v>1</v>
      </c>
      <c r="H459" s="15" t="str">
        <f>IFERROR(__xludf.DUMMYFUNCTION("""COMPUTED_VALUE"""),"Lot")</f>
        <v>Lot</v>
      </c>
      <c r="I459" s="15" t="str">
        <f>IFERROR(__xludf.DUMMYFUNCTION("""COMPUTED_VALUE"""),"Deliver")</f>
        <v>Deliver</v>
      </c>
      <c r="J459" s="15" t="str">
        <f>IFERROR(__xludf.DUMMYFUNCTION("""COMPUTED_VALUE"""),"-")</f>
        <v>-</v>
      </c>
      <c r="K459" s="15" t="str">
        <f>IFERROR(__xludf.DUMMYFUNCTION("""COMPUTED_VALUE"""),"-")</f>
        <v>-</v>
      </c>
      <c r="L459" s="15" t="str">
        <f>IFERROR(__xludf.DUMMYFUNCTION("""COMPUTED_VALUE"""),"Normal")</f>
        <v>Normal</v>
      </c>
      <c r="M459" s="18" t="s">
        <v>53</v>
      </c>
      <c r="N459" s="18" t="s">
        <v>54</v>
      </c>
    </row>
    <row r="460" hidden="1">
      <c r="A460" s="15" t="str">
        <f>IFERROR(__xludf.DUMMYFUNCTION("""COMPUTED_VALUE"""),"MFHJA0017")</f>
        <v>MFHJA0017</v>
      </c>
      <c r="B460" s="16">
        <f>IFERROR(__xludf.DUMMYFUNCTION("""COMPUTED_VALUE"""),45834.879656550926)</f>
        <v>45834.87966</v>
      </c>
      <c r="C460" s="17">
        <f>IFERROR(__xludf.DUMMYFUNCTION("""COMPUTED_VALUE"""),45838.6456269676)</f>
        <v>45838.64563</v>
      </c>
      <c r="D460" s="15" t="str">
        <f>IFERROR(__xludf.DUMMYFUNCTION("""COMPUTED_VALUE"""),"Washbay")</f>
        <v>Washbay</v>
      </c>
      <c r="E460" s="15" t="str">
        <f>IFERROR(__xludf.DUMMYFUNCTION("""COMPUTED_VALUE"""),"-")</f>
        <v>-</v>
      </c>
      <c r="F460" s="15" t="str">
        <f>IFERROR(__xludf.DUMMYFUNCTION("""COMPUTED_VALUE"""),"Additional Project to TATA")</f>
        <v>Additional Project to TATA</v>
      </c>
      <c r="G460" s="15">
        <f>IFERROR(__xludf.DUMMYFUNCTION("""COMPUTED_VALUE"""),1.0)</f>
        <v>1</v>
      </c>
      <c r="H460" s="15" t="str">
        <f>IFERROR(__xludf.DUMMYFUNCTION("""COMPUTED_VALUE"""),"Lot")</f>
        <v>Lot</v>
      </c>
      <c r="I460" s="15" t="str">
        <f>IFERROR(__xludf.DUMMYFUNCTION("""COMPUTED_VALUE"""),"Deliver")</f>
        <v>Deliver</v>
      </c>
      <c r="J460" s="15" t="str">
        <f>IFERROR(__xludf.DUMMYFUNCTION("""COMPUTED_VALUE"""),"-")</f>
        <v>-</v>
      </c>
      <c r="K460" s="15" t="str">
        <f>IFERROR(__xludf.DUMMYFUNCTION("""COMPUTED_VALUE"""),"-")</f>
        <v>-</v>
      </c>
      <c r="L460" s="15" t="str">
        <f>IFERROR(__xludf.DUMMYFUNCTION("""COMPUTED_VALUE"""),"Normal")</f>
        <v>Normal</v>
      </c>
      <c r="M460" s="18" t="s">
        <v>53</v>
      </c>
      <c r="N460" s="18" t="s">
        <v>54</v>
      </c>
    </row>
    <row r="461" hidden="1">
      <c r="A461" s="15" t="str">
        <f>IFERROR(__xludf.DUMMYFUNCTION("""COMPUTED_VALUE"""),"MFHJA0018")</f>
        <v>MFHJA0018</v>
      </c>
      <c r="B461" s="16">
        <f>IFERROR(__xludf.DUMMYFUNCTION("""COMPUTED_VALUE"""),45834.8840340625)</f>
        <v>45834.88403</v>
      </c>
      <c r="C461" s="17">
        <f>IFERROR(__xludf.DUMMYFUNCTION("""COMPUTED_VALUE"""),45838.646771736116)</f>
        <v>45838.64677</v>
      </c>
      <c r="D461" s="15" t="str">
        <f>IFERROR(__xludf.DUMMYFUNCTION("""COMPUTED_VALUE"""),"Beamex")</f>
        <v>Beamex</v>
      </c>
      <c r="E461" s="15" t="str">
        <f>IFERROR(__xludf.DUMMYFUNCTION("""COMPUTED_VALUE"""),"-")</f>
        <v>-</v>
      </c>
      <c r="F461" s="15" t="str">
        <f>IFERROR(__xludf.DUMMYFUNCTION("""COMPUTED_VALUE"""),"Perbaikan Beamex")</f>
        <v>Perbaikan Beamex</v>
      </c>
      <c r="G461" s="15">
        <f>IFERROR(__xludf.DUMMYFUNCTION("""COMPUTED_VALUE"""),1.0)</f>
        <v>1</v>
      </c>
      <c r="H461" s="15" t="str">
        <f>IFERROR(__xludf.DUMMYFUNCTION("""COMPUTED_VALUE"""),"Lot")</f>
        <v>Lot</v>
      </c>
      <c r="I461" s="15" t="str">
        <f>IFERROR(__xludf.DUMMYFUNCTION("""COMPUTED_VALUE"""),"Deliver")</f>
        <v>Deliver</v>
      </c>
      <c r="J461" s="15" t="str">
        <f>IFERROR(__xludf.DUMMYFUNCTION("""COMPUTED_VALUE"""),"-")</f>
        <v>-</v>
      </c>
      <c r="K461" s="15" t="str">
        <f>IFERROR(__xludf.DUMMYFUNCTION("""COMPUTED_VALUE"""),"-")</f>
        <v>-</v>
      </c>
      <c r="L461" s="15" t="str">
        <f>IFERROR(__xludf.DUMMYFUNCTION("""COMPUTED_VALUE"""),"Normal")</f>
        <v>Normal</v>
      </c>
      <c r="M461" s="18" t="s">
        <v>53</v>
      </c>
      <c r="N461" s="18" t="s">
        <v>54</v>
      </c>
    </row>
    <row r="462" hidden="1">
      <c r="A462" s="15" t="str">
        <f>IFERROR(__xludf.DUMMYFUNCTION("""COMPUTED_VALUE"""),"MFHJA0020")</f>
        <v>MFHJA0020</v>
      </c>
      <c r="B462" s="16">
        <f>IFERROR(__xludf.DUMMYFUNCTION("""COMPUTED_VALUE"""),45834.88849694444)</f>
        <v>45834.8885</v>
      </c>
      <c r="C462" s="17">
        <f>IFERROR(__xludf.DUMMYFUNCTION("""COMPUTED_VALUE"""),45838.64729966435)</f>
        <v>45838.6473</v>
      </c>
      <c r="D462" s="15" t="str">
        <f>IFERROR(__xludf.DUMMYFUNCTION("""COMPUTED_VALUE"""),"Forklift")</f>
        <v>Forklift</v>
      </c>
      <c r="E462" s="15" t="str">
        <f>IFERROR(__xludf.DUMMYFUNCTION("""COMPUTED_VALUE"""),"-")</f>
        <v>-</v>
      </c>
      <c r="F462" s="15" t="str">
        <f>IFERROR(__xludf.DUMMYFUNCTION("""COMPUTED_VALUE"""),"Pengecekan Tombol Emergency")</f>
        <v>Pengecekan Tombol Emergency</v>
      </c>
      <c r="G462" s="15">
        <f>IFERROR(__xludf.DUMMYFUNCTION("""COMPUTED_VALUE"""),1.0)</f>
        <v>1</v>
      </c>
      <c r="H462" s="15" t="str">
        <f>IFERROR(__xludf.DUMMYFUNCTION("""COMPUTED_VALUE"""),"Lot")</f>
        <v>Lot</v>
      </c>
      <c r="I462" s="15" t="str">
        <f>IFERROR(__xludf.DUMMYFUNCTION("""COMPUTED_VALUE"""),"Deliver")</f>
        <v>Deliver</v>
      </c>
      <c r="J462" s="15" t="str">
        <f>IFERROR(__xludf.DUMMYFUNCTION("""COMPUTED_VALUE"""),"-")</f>
        <v>-</v>
      </c>
      <c r="K462" s="15" t="str">
        <f>IFERROR(__xludf.DUMMYFUNCTION("""COMPUTED_VALUE"""),"-")</f>
        <v>-</v>
      </c>
      <c r="L462" s="15" t="str">
        <f>IFERROR(__xludf.DUMMYFUNCTION("""COMPUTED_VALUE"""),"Normal")</f>
        <v>Normal</v>
      </c>
      <c r="M462" s="18" t="s">
        <v>53</v>
      </c>
      <c r="N462" s="18" t="s">
        <v>54</v>
      </c>
    </row>
    <row r="463" hidden="1">
      <c r="A463" s="15" t="str">
        <f>IFERROR(__xludf.DUMMYFUNCTION("""COMPUTED_VALUE"""),"MFHJA0021")</f>
        <v>MFHJA0021</v>
      </c>
      <c r="B463" s="16">
        <f>IFERROR(__xludf.DUMMYFUNCTION("""COMPUTED_VALUE"""),45834.88907025463)</f>
        <v>45834.88907</v>
      </c>
      <c r="C463" s="17">
        <f>IFERROR(__xludf.DUMMYFUNCTION("""COMPUTED_VALUE"""),45838.64747111111)</f>
        <v>45838.64747</v>
      </c>
      <c r="D463" s="15" t="str">
        <f>IFERROR(__xludf.DUMMYFUNCTION("""COMPUTED_VALUE"""),"WWTP")</f>
        <v>WWTP</v>
      </c>
      <c r="E463" s="15" t="str">
        <f>IFERROR(__xludf.DUMMYFUNCTION("""COMPUTED_VALUE"""),"-")</f>
        <v>-</v>
      </c>
      <c r="F463" s="15" t="str">
        <f>IFERROR(__xludf.DUMMYFUNCTION("""COMPUTED_VALUE"""),"Perbaikan Pompa Air Hujan")</f>
        <v>Perbaikan Pompa Air Hujan</v>
      </c>
      <c r="G463" s="15">
        <f>IFERROR(__xludf.DUMMYFUNCTION("""COMPUTED_VALUE"""),1.0)</f>
        <v>1</v>
      </c>
      <c r="H463" s="15" t="str">
        <f>IFERROR(__xludf.DUMMYFUNCTION("""COMPUTED_VALUE"""),"Lot")</f>
        <v>Lot</v>
      </c>
      <c r="I463" s="15" t="str">
        <f>IFERROR(__xludf.DUMMYFUNCTION("""COMPUTED_VALUE"""),"Deliver")</f>
        <v>Deliver</v>
      </c>
      <c r="J463" s="15" t="str">
        <f>IFERROR(__xludf.DUMMYFUNCTION("""COMPUTED_VALUE"""),"-")</f>
        <v>-</v>
      </c>
      <c r="K463" s="15" t="str">
        <f>IFERROR(__xludf.DUMMYFUNCTION("""COMPUTED_VALUE"""),"-")</f>
        <v>-</v>
      </c>
      <c r="L463" s="15" t="str">
        <f>IFERROR(__xludf.DUMMYFUNCTION("""COMPUTED_VALUE"""),"Normal")</f>
        <v>Normal</v>
      </c>
      <c r="M463" s="18" t="s">
        <v>53</v>
      </c>
      <c r="N463" s="18" t="s">
        <v>54</v>
      </c>
    </row>
    <row r="464" hidden="1">
      <c r="A464" s="15" t="str">
        <f>IFERROR(__xludf.DUMMYFUNCTION("""COMPUTED_VALUE"""),"MFHJA0022")</f>
        <v>MFHJA0022</v>
      </c>
      <c r="B464" s="16">
        <f>IFERROR(__xludf.DUMMYFUNCTION("""COMPUTED_VALUE"""),45834.8906853125)</f>
        <v>45834.89069</v>
      </c>
      <c r="C464" s="17">
        <f>IFERROR(__xludf.DUMMYFUNCTION("""COMPUTED_VALUE"""),45838.64761366898)</f>
        <v>45838.64761</v>
      </c>
      <c r="D464" s="15" t="str">
        <f>IFERROR(__xludf.DUMMYFUNCTION("""COMPUTED_VALUE"""),"Lift")</f>
        <v>Lift</v>
      </c>
      <c r="E464" s="15" t="str">
        <f>IFERROR(__xludf.DUMMYFUNCTION("""COMPUTED_VALUE"""),"-")</f>
        <v>-</v>
      </c>
      <c r="F464" s="15" t="str">
        <f>IFERROR(__xludf.DUMMYFUNCTION("""COMPUTED_VALUE"""),"Perbaikan Lift")</f>
        <v>Perbaikan Lift</v>
      </c>
      <c r="G464" s="15">
        <f>IFERROR(__xludf.DUMMYFUNCTION("""COMPUTED_VALUE"""),1.0)</f>
        <v>1</v>
      </c>
      <c r="H464" s="15" t="str">
        <f>IFERROR(__xludf.DUMMYFUNCTION("""COMPUTED_VALUE"""),"Lot")</f>
        <v>Lot</v>
      </c>
      <c r="I464" s="15" t="str">
        <f>IFERROR(__xludf.DUMMYFUNCTION("""COMPUTED_VALUE"""),"Deliver")</f>
        <v>Deliver</v>
      </c>
      <c r="J464" s="15" t="str">
        <f>IFERROR(__xludf.DUMMYFUNCTION("""COMPUTED_VALUE"""),"-")</f>
        <v>-</v>
      </c>
      <c r="K464" s="15" t="str">
        <f>IFERROR(__xludf.DUMMYFUNCTION("""COMPUTED_VALUE"""),"-")</f>
        <v>-</v>
      </c>
      <c r="L464" s="15" t="str">
        <f>IFERROR(__xludf.DUMMYFUNCTION("""COMPUTED_VALUE"""),"Normal")</f>
        <v>Normal</v>
      </c>
      <c r="M464" s="18" t="s">
        <v>53</v>
      </c>
      <c r="N464" s="18" t="s">
        <v>54</v>
      </c>
    </row>
    <row r="465" hidden="1">
      <c r="A465" s="15" t="str">
        <f>IFERROR(__xludf.DUMMYFUNCTION("""COMPUTED_VALUE"""),"MFHJA0023")</f>
        <v>MFHJA0023</v>
      </c>
      <c r="B465" s="16">
        <f>IFERROR(__xludf.DUMMYFUNCTION("""COMPUTED_VALUE"""),45834.89232247685)</f>
        <v>45834.89232</v>
      </c>
      <c r="C465" s="17">
        <f>IFERROR(__xludf.DUMMYFUNCTION("""COMPUTED_VALUE"""),45838.64777584491)</f>
        <v>45838.64778</v>
      </c>
      <c r="D465" s="15" t="str">
        <f>IFERROR(__xludf.DUMMYFUNCTION("""COMPUTED_VALUE"""),"Meja Inspeksi")</f>
        <v>Meja Inspeksi</v>
      </c>
      <c r="E465" s="15" t="str">
        <f>IFERROR(__xludf.DUMMYFUNCTION("""COMPUTED_VALUE"""),"-")</f>
        <v>-</v>
      </c>
      <c r="F465" s="15" t="str">
        <f>IFERROR(__xludf.DUMMYFUNCTION("""COMPUTED_VALUE"""),"Modifikasi 1 Meja Inspeksi")</f>
        <v>Modifikasi 1 Meja Inspeksi</v>
      </c>
      <c r="G465" s="15">
        <f>IFERROR(__xludf.DUMMYFUNCTION("""COMPUTED_VALUE"""),1.0)</f>
        <v>1</v>
      </c>
      <c r="H465" s="15" t="str">
        <f>IFERROR(__xludf.DUMMYFUNCTION("""COMPUTED_VALUE"""),"Lot")</f>
        <v>Lot</v>
      </c>
      <c r="I465" s="15" t="str">
        <f>IFERROR(__xludf.DUMMYFUNCTION("""COMPUTED_VALUE"""),"Deliver")</f>
        <v>Deliver</v>
      </c>
      <c r="J465" s="15" t="str">
        <f>IFERROR(__xludf.DUMMYFUNCTION("""COMPUTED_VALUE"""),"-")</f>
        <v>-</v>
      </c>
      <c r="K465" s="15" t="str">
        <f>IFERROR(__xludf.DUMMYFUNCTION("""COMPUTED_VALUE"""),"-")</f>
        <v>-</v>
      </c>
      <c r="L465" s="15" t="str">
        <f>IFERROR(__xludf.DUMMYFUNCTION("""COMPUTED_VALUE"""),"Normal")</f>
        <v>Normal</v>
      </c>
      <c r="M465" s="18" t="s">
        <v>53</v>
      </c>
      <c r="N465" s="18" t="s">
        <v>54</v>
      </c>
    </row>
    <row r="466" hidden="1">
      <c r="A466" s="15" t="str">
        <f>IFERROR(__xludf.DUMMYFUNCTION("""COMPUTED_VALUE"""),"MRNRO0023")</f>
        <v>MRNRO0023</v>
      </c>
      <c r="B466" s="16">
        <f>IFERROR(__xludf.DUMMYFUNCTION("""COMPUTED_VALUE"""),45833.139160694445)</f>
        <v>45833.13916</v>
      </c>
      <c r="C466" s="17">
        <f>IFERROR(__xludf.DUMMYFUNCTION("""COMPUTED_VALUE"""),45838.87061869213)</f>
        <v>45838.87062</v>
      </c>
      <c r="D466" s="15" t="str">
        <f>IFERROR(__xludf.DUMMYFUNCTION("""COMPUTED_VALUE"""),"wwtp")</f>
        <v>wwtp</v>
      </c>
      <c r="E466" s="15" t="str">
        <f>IFERROR(__xludf.DUMMYFUNCTION("""COMPUTED_VALUE"""),"EJO/2025/06/164")</f>
        <v>EJO/2025/06/164</v>
      </c>
      <c r="F466" s="15" t="str">
        <f>IFERROR(__xludf.DUMMYFUNCTION("""COMPUTED_VALUE"""),"General - Clamp Selang, SS 1 1/4""; Tridon; -; 1 pcs")</f>
        <v>General - Clamp Selang, SS 1 1/4"; Tridon; -; 1 pcs</v>
      </c>
      <c r="G466" s="15">
        <f>IFERROR(__xludf.DUMMYFUNCTION("""COMPUTED_VALUE"""),5.0)</f>
        <v>5</v>
      </c>
      <c r="H466" s="15" t="str">
        <f>IFERROR(__xludf.DUMMYFUNCTION("""COMPUTED_VALUE"""),"pcs")</f>
        <v>pcs</v>
      </c>
      <c r="I466" s="15" t="str">
        <f>IFERROR(__xludf.DUMMYFUNCTION("""COMPUTED_VALUE"""),"Deliver")</f>
        <v>Deliver</v>
      </c>
      <c r="J466" s="15" t="str">
        <f>IFERROR(__xludf.DUMMYFUNCTION("""COMPUTED_VALUE"""),"-")</f>
        <v>-</v>
      </c>
      <c r="K466" s="15" t="str">
        <f>IFERROR(__xludf.DUMMYFUNCTION("""COMPUTED_VALUE"""),"-")</f>
        <v>-</v>
      </c>
      <c r="L466" s="15" t="str">
        <f>IFERROR(__xludf.DUMMYFUNCTION("""COMPUTED_VALUE"""),"Normal")</f>
        <v>Normal</v>
      </c>
      <c r="M466" s="18" t="s">
        <v>48</v>
      </c>
      <c r="N466" s="18" t="s">
        <v>28</v>
      </c>
    </row>
    <row r="467" hidden="1">
      <c r="A467" s="15" t="str">
        <f>IFERROR(__xludf.DUMMYFUNCTION("""COMPUTED_VALUE"""),"MRNRO0022")</f>
        <v>MRNRO0022</v>
      </c>
      <c r="B467" s="16">
        <f>IFERROR(__xludf.DUMMYFUNCTION("""COMPUTED_VALUE"""),45833.138484780095)</f>
        <v>45833.13848</v>
      </c>
      <c r="C467" s="17">
        <f>IFERROR(__xludf.DUMMYFUNCTION("""COMPUTED_VALUE"""),45838.870817013885)</f>
        <v>45838.87082</v>
      </c>
      <c r="D467" s="15" t="str">
        <f>IFERROR(__xludf.DUMMYFUNCTION("""COMPUTED_VALUE"""),"wwtp")</f>
        <v>wwtp</v>
      </c>
      <c r="E467" s="15" t="str">
        <f>IFERROR(__xludf.DUMMYFUNCTION("""COMPUTED_VALUE"""),"EJO/2025/06/163")</f>
        <v>EJO/2025/06/163</v>
      </c>
      <c r="F467" s="15" t="str">
        <f>IFERROR(__xludf.DUMMYFUNCTION("""COMPUTED_VALUE"""),"Ball Valve PVC 1""")</f>
        <v>Ball Valve PVC 1"</v>
      </c>
      <c r="G467" s="15">
        <f>IFERROR(__xludf.DUMMYFUNCTION("""COMPUTED_VALUE"""),5.0)</f>
        <v>5</v>
      </c>
      <c r="H467" s="15" t="str">
        <f>IFERROR(__xludf.DUMMYFUNCTION("""COMPUTED_VALUE"""),"pcs")</f>
        <v>pcs</v>
      </c>
      <c r="I467" s="15" t="str">
        <f>IFERROR(__xludf.DUMMYFUNCTION("""COMPUTED_VALUE"""),"Deliver")</f>
        <v>Deliver</v>
      </c>
      <c r="J467" s="15" t="str">
        <f>IFERROR(__xludf.DUMMYFUNCTION("""COMPUTED_VALUE"""),"-")</f>
        <v>-</v>
      </c>
      <c r="K467" s="15" t="str">
        <f>IFERROR(__xludf.DUMMYFUNCTION("""COMPUTED_VALUE"""),"-")</f>
        <v>-</v>
      </c>
      <c r="L467" s="15" t="str">
        <f>IFERROR(__xludf.DUMMYFUNCTION("""COMPUTED_VALUE"""),"Normal")</f>
        <v>Normal</v>
      </c>
      <c r="M467" s="18" t="s">
        <v>48</v>
      </c>
      <c r="N467" s="18" t="s">
        <v>28</v>
      </c>
    </row>
    <row r="468" hidden="1">
      <c r="A468" s="15" t="str">
        <f>IFERROR(__xludf.DUMMYFUNCTION("""COMPUTED_VALUE"""),"MRNRO0021")</f>
        <v>MRNRO0021</v>
      </c>
      <c r="B468" s="16">
        <f>IFERROR(__xludf.DUMMYFUNCTION("""COMPUTED_VALUE"""),45833.13751090277)</f>
        <v>45833.13751</v>
      </c>
      <c r="C468" s="17">
        <f>IFERROR(__xludf.DUMMYFUNCTION("""COMPUTED_VALUE"""),45838.87100751158)</f>
        <v>45838.87101</v>
      </c>
      <c r="D468" s="15" t="str">
        <f>IFERROR(__xludf.DUMMYFUNCTION("""COMPUTED_VALUE"""),"wwtp")</f>
        <v>wwtp</v>
      </c>
      <c r="E468" s="15" t="str">
        <f>IFERROR(__xludf.DUMMYFUNCTION("""COMPUTED_VALUE"""),"EJO/2025/06/162")</f>
        <v>EJO/2025/06/162</v>
      </c>
      <c r="F468" s="15" t="str">
        <f>IFERROR(__xludf.DUMMYFUNCTION("""COMPUTED_VALUE"""),"Water Mur PVC dia 1inch")</f>
        <v>Water Mur PVC dia 1inch</v>
      </c>
      <c r="G468" s="15">
        <f>IFERROR(__xludf.DUMMYFUNCTION("""COMPUTED_VALUE"""),5.0)</f>
        <v>5</v>
      </c>
      <c r="H468" s="15" t="str">
        <f>IFERROR(__xludf.DUMMYFUNCTION("""COMPUTED_VALUE"""),"pcs")</f>
        <v>pcs</v>
      </c>
      <c r="I468" s="15" t="str">
        <f>IFERROR(__xludf.DUMMYFUNCTION("""COMPUTED_VALUE"""),"Deliver")</f>
        <v>Deliver</v>
      </c>
      <c r="J468" s="15" t="str">
        <f>IFERROR(__xludf.DUMMYFUNCTION("""COMPUTED_VALUE"""),"-")</f>
        <v>-</v>
      </c>
      <c r="K468" s="15" t="str">
        <f>IFERROR(__xludf.DUMMYFUNCTION("""COMPUTED_VALUE"""),"-")</f>
        <v>-</v>
      </c>
      <c r="L468" s="15" t="str">
        <f>IFERROR(__xludf.DUMMYFUNCTION("""COMPUTED_VALUE"""),"Normal")</f>
        <v>Normal</v>
      </c>
      <c r="M468" s="18" t="s">
        <v>48</v>
      </c>
      <c r="N468" s="18" t="s">
        <v>28</v>
      </c>
    </row>
    <row r="469" hidden="1">
      <c r="A469" s="15" t="str">
        <f>IFERROR(__xludf.DUMMYFUNCTION("""COMPUTED_VALUE"""),"MRNBR0023")</f>
        <v>MRNBR0023</v>
      </c>
      <c r="B469" s="16">
        <f>IFERROR(__xludf.DUMMYFUNCTION("""COMPUTED_VALUE"""),45833.13531938658)</f>
        <v>45833.13532</v>
      </c>
      <c r="C469" s="17">
        <f>IFERROR(__xludf.DUMMYFUNCTION("""COMPUTED_VALUE"""),45838.871833564815)</f>
        <v>45838.87183</v>
      </c>
      <c r="D469" s="15" t="str">
        <f>IFERROR(__xludf.DUMMYFUNCTION("""COMPUTED_VALUE"""),"wwtp")</f>
        <v>wwtp</v>
      </c>
      <c r="E469" s="15" t="str">
        <f>IFERROR(__xludf.DUMMYFUNCTION("""COMPUTED_VALUE"""),"EJO/2025/06/162")</f>
        <v>EJO/2025/06/162</v>
      </c>
      <c r="F469" s="15" t="str">
        <f>IFERROR(__xludf.DUMMYFUNCTION("""COMPUTED_VALUE"""),"valve")</f>
        <v>valve</v>
      </c>
      <c r="G469" s="15">
        <f>IFERROR(__xludf.DUMMYFUNCTION("""COMPUTED_VALUE"""),4.0)</f>
        <v>4</v>
      </c>
      <c r="H469" s="15" t="str">
        <f>IFERROR(__xludf.DUMMYFUNCTION("""COMPUTED_VALUE"""),"pcs")</f>
        <v>pcs</v>
      </c>
      <c r="I469" s="15" t="str">
        <f>IFERROR(__xludf.DUMMYFUNCTION("""COMPUTED_VALUE"""),"Deliver")</f>
        <v>Deliver</v>
      </c>
      <c r="J469" s="15" t="str">
        <f>IFERROR(__xludf.DUMMYFUNCTION("""COMPUTED_VALUE"""),"-")</f>
        <v>-</v>
      </c>
      <c r="K469" s="15" t="str">
        <f>IFERROR(__xludf.DUMMYFUNCTION("""COMPUTED_VALUE"""),"-")</f>
        <v>-</v>
      </c>
      <c r="L469" s="15" t="str">
        <f>IFERROR(__xludf.DUMMYFUNCTION("""COMPUTED_VALUE"""),"Normal")</f>
        <v>Normal</v>
      </c>
      <c r="M469" s="18" t="s">
        <v>48</v>
      </c>
      <c r="N469" s="18" t="s">
        <v>28</v>
      </c>
    </row>
    <row r="470" hidden="1">
      <c r="A470" s="15" t="str">
        <f>IFERROR(__xludf.DUMMYFUNCTION("""COMPUTED_VALUE"""),"MRNBR0022")</f>
        <v>MRNBR0022</v>
      </c>
      <c r="B470" s="16">
        <f>IFERROR(__xludf.DUMMYFUNCTION("""COMPUTED_VALUE"""),45833.13043015046)</f>
        <v>45833.13043</v>
      </c>
      <c r="C470" s="17">
        <f>IFERROR(__xludf.DUMMYFUNCTION("""COMPUTED_VALUE"""),45838.87218166666)</f>
        <v>45838.87218</v>
      </c>
      <c r="D470" s="15" t="str">
        <f>IFERROR(__xludf.DUMMYFUNCTION("""COMPUTED_VALUE"""),"Proyektor")</f>
        <v>Proyektor</v>
      </c>
      <c r="E470" s="15" t="str">
        <f>IFERROR(__xludf.DUMMYFUNCTION("""COMPUTED_VALUE"""),"EJO/2025/06/160")</f>
        <v>EJO/2025/06/160</v>
      </c>
      <c r="F470" s="15" t="str">
        <f>IFERROR(__xludf.DUMMYFUNCTION("""COMPUTED_VALUE"""),"Mur")</f>
        <v>Mur</v>
      </c>
      <c r="G470" s="15">
        <f>IFERROR(__xludf.DUMMYFUNCTION("""COMPUTED_VALUE"""),10.0)</f>
        <v>10</v>
      </c>
      <c r="H470" s="15" t="str">
        <f>IFERROR(__xludf.DUMMYFUNCTION("""COMPUTED_VALUE"""),"pcs")</f>
        <v>pcs</v>
      </c>
      <c r="I470" s="15" t="str">
        <f>IFERROR(__xludf.DUMMYFUNCTION("""COMPUTED_VALUE"""),"Deliver")</f>
        <v>Deliver</v>
      </c>
      <c r="J470" s="15" t="str">
        <f>IFERROR(__xludf.DUMMYFUNCTION("""COMPUTED_VALUE"""),"-")</f>
        <v>-</v>
      </c>
      <c r="K470" s="15" t="str">
        <f>IFERROR(__xludf.DUMMYFUNCTION("""COMPUTED_VALUE"""),"-")</f>
        <v>-</v>
      </c>
      <c r="L470" s="15" t="str">
        <f>IFERROR(__xludf.DUMMYFUNCTION("""COMPUTED_VALUE"""),"Normal")</f>
        <v>Normal</v>
      </c>
      <c r="M470" s="18" t="s">
        <v>48</v>
      </c>
      <c r="N470" s="18" t="s">
        <v>28</v>
      </c>
    </row>
    <row r="471" hidden="1">
      <c r="A471" s="15" t="str">
        <f>IFERROR(__xludf.DUMMYFUNCTION("""COMPUTED_VALUE"""),"MRNBR0021")</f>
        <v>MRNBR0021</v>
      </c>
      <c r="B471" s="16">
        <f>IFERROR(__xludf.DUMMYFUNCTION("""COMPUTED_VALUE"""),45833.12646987268)</f>
        <v>45833.12647</v>
      </c>
      <c r="C471" s="17">
        <f>IFERROR(__xludf.DUMMYFUNCTION("""COMPUTED_VALUE"""),45838.87251738426)</f>
        <v>45838.87252</v>
      </c>
      <c r="D471" s="15" t="str">
        <f>IFERROR(__xludf.DUMMYFUNCTION("""COMPUTED_VALUE"""),"Proyektor")</f>
        <v>Proyektor</v>
      </c>
      <c r="E471" s="15" t="str">
        <f>IFERROR(__xludf.DUMMYFUNCTION("""COMPUTED_VALUE"""),"EJO/2025/06/160")</f>
        <v>EJO/2025/06/160</v>
      </c>
      <c r="F471" s="15" t="str">
        <f>IFERROR(__xludf.DUMMYFUNCTION("""COMPUTED_VALUE"""),"long drat ")</f>
        <v>long drat </v>
      </c>
      <c r="G471" s="15">
        <f>IFERROR(__xludf.DUMMYFUNCTION("""COMPUTED_VALUE"""),2.0)</f>
        <v>2</v>
      </c>
      <c r="H471" s="15" t="str">
        <f>IFERROR(__xludf.DUMMYFUNCTION("""COMPUTED_VALUE"""),"pcs")</f>
        <v>pcs</v>
      </c>
      <c r="I471" s="15" t="str">
        <f>IFERROR(__xludf.DUMMYFUNCTION("""COMPUTED_VALUE"""),"Deliver")</f>
        <v>Deliver</v>
      </c>
      <c r="J471" s="15" t="str">
        <f>IFERROR(__xludf.DUMMYFUNCTION("""COMPUTED_VALUE"""),"-")</f>
        <v>-</v>
      </c>
      <c r="K471" s="15" t="str">
        <f>IFERROR(__xludf.DUMMYFUNCTION("""COMPUTED_VALUE"""),"-")</f>
        <v>-</v>
      </c>
      <c r="L471" s="15" t="str">
        <f>IFERROR(__xludf.DUMMYFUNCTION("""COMPUTED_VALUE"""),"Normal")</f>
        <v>Normal</v>
      </c>
      <c r="M471" s="18" t="s">
        <v>48</v>
      </c>
      <c r="N471" s="18" t="s">
        <v>28</v>
      </c>
    </row>
    <row r="472" hidden="1">
      <c r="A472" s="15" t="str">
        <f>IFERROR(__xludf.DUMMYFUNCTION("""COMPUTED_VALUE"""),"MRNBR0020")</f>
        <v>MRNBR0020</v>
      </c>
      <c r="B472" s="16">
        <f>IFERROR(__xludf.DUMMYFUNCTION("""COMPUTED_VALUE"""),45833.12308788195)</f>
        <v>45833.12309</v>
      </c>
      <c r="C472" s="17">
        <f>IFERROR(__xludf.DUMMYFUNCTION("""COMPUTED_VALUE"""),45838.87296759259)</f>
        <v>45838.87297</v>
      </c>
      <c r="D472" s="15" t="str">
        <f>IFERROR(__xludf.DUMMYFUNCTION("""COMPUTED_VALUE"""),"Proyektor")</f>
        <v>Proyektor</v>
      </c>
      <c r="E472" s="15" t="str">
        <f>IFERROR(__xludf.DUMMYFUNCTION("""COMPUTED_VALUE"""),"EJO/2025/06/160")</f>
        <v>EJO/2025/06/160</v>
      </c>
      <c r="F472" s="15" t="str">
        <f>IFERROR(__xludf.DUMMYFUNCTION("""COMPUTED_VALUE"""),"Plat strip")</f>
        <v>Plat strip</v>
      </c>
      <c r="G472" s="15">
        <f>IFERROR(__xludf.DUMMYFUNCTION("""COMPUTED_VALUE"""),1.0)</f>
        <v>1</v>
      </c>
      <c r="H472" s="15" t="str">
        <f>IFERROR(__xludf.DUMMYFUNCTION("""COMPUTED_VALUE"""),"byg")</f>
        <v>byg</v>
      </c>
      <c r="I472" s="15" t="str">
        <f>IFERROR(__xludf.DUMMYFUNCTION("""COMPUTED_VALUE"""),"Deliver")</f>
        <v>Deliver</v>
      </c>
      <c r="J472" s="15" t="str">
        <f>IFERROR(__xludf.DUMMYFUNCTION("""COMPUTED_VALUE"""),"-")</f>
        <v>-</v>
      </c>
      <c r="K472" s="15" t="str">
        <f>IFERROR(__xludf.DUMMYFUNCTION("""COMPUTED_VALUE"""),"-")</f>
        <v>-</v>
      </c>
      <c r="L472" s="15" t="str">
        <f>IFERROR(__xludf.DUMMYFUNCTION("""COMPUTED_VALUE"""),"Normal")</f>
        <v>Normal</v>
      </c>
      <c r="M472" s="18" t="s">
        <v>48</v>
      </c>
      <c r="N472" s="18" t="s">
        <v>28</v>
      </c>
    </row>
    <row r="473" hidden="1">
      <c r="A473" s="15" t="str">
        <f>IFERROR(__xludf.DUMMYFUNCTION("""COMPUTED_VALUE"""),"MRNBR0019")</f>
        <v>MRNBR0019</v>
      </c>
      <c r="B473" s="16">
        <f>IFERROR(__xludf.DUMMYFUNCTION("""COMPUTED_VALUE"""),45833.119915601856)</f>
        <v>45833.11992</v>
      </c>
      <c r="C473" s="17">
        <f>IFERROR(__xludf.DUMMYFUNCTION("""COMPUTED_VALUE"""),45838.873350532405)</f>
        <v>45838.87335</v>
      </c>
      <c r="D473" s="15" t="str">
        <f>IFERROR(__xludf.DUMMYFUNCTION("""COMPUTED_VALUE"""),"Proyektor")</f>
        <v>Proyektor</v>
      </c>
      <c r="E473" s="15" t="str">
        <f>IFERROR(__xludf.DUMMYFUNCTION("""COMPUTED_VALUE"""),"EJO/2025/06/159")</f>
        <v>EJO/2025/06/159</v>
      </c>
      <c r="F473" s="15" t="str">
        <f>IFERROR(__xludf.DUMMYFUNCTION("""COMPUTED_VALUE"""),"Unp 100")</f>
        <v>Unp 100</v>
      </c>
      <c r="G473" s="15">
        <f>IFERROR(__xludf.DUMMYFUNCTION("""COMPUTED_VALUE"""),6.0)</f>
        <v>6</v>
      </c>
      <c r="H473" s="15" t="str">
        <f>IFERROR(__xludf.DUMMYFUNCTION("""COMPUTED_VALUE"""),"btg")</f>
        <v>btg</v>
      </c>
      <c r="I473" s="15" t="str">
        <f>IFERROR(__xludf.DUMMYFUNCTION("""COMPUTED_VALUE"""),"Deliver")</f>
        <v>Deliver</v>
      </c>
      <c r="J473" s="15" t="str">
        <f>IFERROR(__xludf.DUMMYFUNCTION("""COMPUTED_VALUE"""),"-")</f>
        <v>-</v>
      </c>
      <c r="K473" s="15" t="str">
        <f>IFERROR(__xludf.DUMMYFUNCTION("""COMPUTED_VALUE"""),"-")</f>
        <v>-</v>
      </c>
      <c r="L473" s="15" t="str">
        <f>IFERROR(__xludf.DUMMYFUNCTION("""COMPUTED_VALUE"""),"Normal")</f>
        <v>Normal</v>
      </c>
      <c r="M473" s="18" t="s">
        <v>48</v>
      </c>
      <c r="N473" s="18" t="s">
        <v>28</v>
      </c>
    </row>
    <row r="474" hidden="1">
      <c r="A474" s="15" t="str">
        <f>IFERROR(__xludf.DUMMYFUNCTION("""COMPUTED_VALUE"""),"RIABR0043")</f>
        <v>RIABR0043</v>
      </c>
      <c r="B474" s="16">
        <f>IFERROR(__xludf.DUMMYFUNCTION("""COMPUTED_VALUE"""),45827.330814050925)</f>
        <v>45827.33081</v>
      </c>
      <c r="C474" s="17">
        <f>IFERROR(__xludf.DUMMYFUNCTION("""COMPUTED_VALUE"""),45838.87365575231)</f>
        <v>45838.87366</v>
      </c>
      <c r="D474" s="15" t="str">
        <f>IFERROR(__xludf.DUMMYFUNCTION("""COMPUTED_VALUE"""),"WWTP")</f>
        <v>WWTP</v>
      </c>
      <c r="E474" s="15" t="str">
        <f>IFERROR(__xludf.DUMMYFUNCTION("""COMPUTED_VALUE"""),"-")</f>
        <v>-</v>
      </c>
      <c r="F474" s="15" t="str">
        <f>IFERROR(__xludf.DUMMYFUNCTION("""COMPUTED_VALUE"""),"Sepatu Boots")</f>
        <v>Sepatu Boots</v>
      </c>
      <c r="G474" s="15">
        <f>IFERROR(__xludf.DUMMYFUNCTION("""COMPUTED_VALUE"""),3.0)</f>
        <v>3</v>
      </c>
      <c r="H474" s="15" t="str">
        <f>IFERROR(__xludf.DUMMYFUNCTION("""COMPUTED_VALUE"""),"Pair")</f>
        <v>Pair</v>
      </c>
      <c r="I474" s="15" t="str">
        <f>IFERROR(__xludf.DUMMYFUNCTION("""COMPUTED_VALUE"""),"Deliver")</f>
        <v>Deliver</v>
      </c>
      <c r="J474" s="15" t="str">
        <f>IFERROR(__xludf.DUMMYFUNCTION("""COMPUTED_VALUE"""),"-")</f>
        <v>-</v>
      </c>
      <c r="K474" s="15" t="str">
        <f>IFERROR(__xludf.DUMMYFUNCTION("""COMPUTED_VALUE"""),"-")</f>
        <v>-</v>
      </c>
      <c r="L474" s="15" t="str">
        <f>IFERROR(__xludf.DUMMYFUNCTION("""COMPUTED_VALUE"""),"Normal")</f>
        <v>Normal</v>
      </c>
      <c r="M474" s="18" t="s">
        <v>32</v>
      </c>
      <c r="N474" s="18" t="s">
        <v>28</v>
      </c>
    </row>
    <row r="475" hidden="1">
      <c r="A475" s="15" t="str">
        <f>IFERROR(__xludf.DUMMYFUNCTION("""COMPUTED_VALUE"""),"MOBBR0030")</f>
        <v>MOBBR0030</v>
      </c>
      <c r="B475" s="16">
        <f>IFERROR(__xludf.DUMMYFUNCTION("""COMPUTED_VALUE"""),45835.57681784722)</f>
        <v>45835.57682</v>
      </c>
      <c r="C475" s="17">
        <f>IFERROR(__xludf.DUMMYFUNCTION("""COMPUTED_VALUE"""),45838.87395839121)</f>
        <v>45838.87396</v>
      </c>
      <c r="D475" s="15" t="str">
        <f>IFERROR(__xludf.DUMMYFUNCTION("""COMPUTED_VALUE"""),"AHU")</f>
        <v>AHU</v>
      </c>
      <c r="E475" s="15" t="str">
        <f>IFERROR(__xludf.DUMMYFUNCTION("""COMPUTED_VALUE"""),"-")</f>
        <v>-</v>
      </c>
      <c r="F475" s="15" t="str">
        <f>IFERROR(__xludf.DUMMYFUNCTION("""COMPUTED_VALUE"""),"Valve Drain Chiller AHU")</f>
        <v>Valve Drain Chiller AHU</v>
      </c>
      <c r="G475" s="15">
        <f>IFERROR(__xludf.DUMMYFUNCTION("""COMPUTED_VALUE"""),2.0)</f>
        <v>2</v>
      </c>
      <c r="H475" s="15" t="str">
        <f>IFERROR(__xludf.DUMMYFUNCTION("""COMPUTED_VALUE"""),"Pcs")</f>
        <v>Pcs</v>
      </c>
      <c r="I475" s="15" t="str">
        <f>IFERROR(__xludf.DUMMYFUNCTION("""COMPUTED_VALUE"""),"Deliver")</f>
        <v>Deliver</v>
      </c>
      <c r="J475" s="15" t="str">
        <f>IFERROR(__xludf.DUMMYFUNCTION("""COMPUTED_VALUE"""),"-")</f>
        <v>-</v>
      </c>
      <c r="K475" s="15" t="str">
        <f>IFERROR(__xludf.DUMMYFUNCTION("""COMPUTED_VALUE"""),"-")</f>
        <v>-</v>
      </c>
      <c r="L475" s="15" t="str">
        <f>IFERROR(__xludf.DUMMYFUNCTION("""COMPUTED_VALUE"""),"Normal")</f>
        <v>Normal</v>
      </c>
      <c r="M475" s="18" t="s">
        <v>31</v>
      </c>
      <c r="N475" s="18" t="s">
        <v>28</v>
      </c>
    </row>
    <row r="476" hidden="1">
      <c r="A476" s="15" t="str">
        <f>IFERROR(__xludf.DUMMYFUNCTION("""COMPUTED_VALUE"""),"INNBR0032")</f>
        <v>INNBR0032</v>
      </c>
      <c r="B476" s="16">
        <f>IFERROR(__xludf.DUMMYFUNCTION("""COMPUTED_VALUE"""),45834.99030369213)</f>
        <v>45834.9903</v>
      </c>
      <c r="C476" s="17">
        <f>IFERROR(__xludf.DUMMYFUNCTION("""COMPUTED_VALUE"""),45842.245252546294)</f>
        <v>45842.24525</v>
      </c>
      <c r="D476" s="15" t="str">
        <f>IFERROR(__xludf.DUMMYFUNCTION("""COMPUTED_VALUE"""),"Capping")</f>
        <v>Capping</v>
      </c>
      <c r="E476" s="15" t="str">
        <f>IFERROR(__xludf.DUMMYFUNCTION("""COMPUTED_VALUE"""),"-")</f>
        <v>-</v>
      </c>
      <c r="F476" s="15" t="str">
        <f>IFERROR(__xludf.DUMMYFUNCTION("""COMPUTED_VALUE"""),"Oring silicone : 35.5 x 30.5 x 2.5 mm")</f>
        <v>Oring silicone : 35.5 x 30.5 x 2.5 mm</v>
      </c>
      <c r="G476" s="15">
        <f>IFERROR(__xludf.DUMMYFUNCTION("""COMPUTED_VALUE"""),1.0)</f>
        <v>1</v>
      </c>
      <c r="H476" s="15" t="str">
        <f>IFERROR(__xludf.DUMMYFUNCTION("""COMPUTED_VALUE"""),"pcs")</f>
        <v>pcs</v>
      </c>
      <c r="I476" s="15" t="str">
        <f>IFERROR(__xludf.DUMMYFUNCTION("""COMPUTED_VALUE"""),"Deliver")</f>
        <v>Deliver</v>
      </c>
      <c r="J476" s="15" t="str">
        <f>IFERROR(__xludf.DUMMYFUNCTION("""COMPUTED_VALUE"""),"-")</f>
        <v>-</v>
      </c>
      <c r="K476" s="15" t="str">
        <f>IFERROR(__xludf.DUMMYFUNCTION("""COMPUTED_VALUE"""),"-")</f>
        <v>-</v>
      </c>
      <c r="L476" s="15" t="str">
        <f>IFERROR(__xludf.DUMMYFUNCTION("""COMPUTED_VALUE"""),"Urgent")</f>
        <v>Urgent</v>
      </c>
      <c r="M476" s="18" t="s">
        <v>51</v>
      </c>
      <c r="N476" s="18" t="s">
        <v>30</v>
      </c>
    </row>
    <row r="477" hidden="1">
      <c r="A477" s="15" t="str">
        <f>IFERROR(__xludf.DUMMYFUNCTION("""COMPUTED_VALUE"""),"ANOBR0023")</f>
        <v>ANOBR0023</v>
      </c>
      <c r="B477" s="16">
        <f>IFERROR(__xludf.DUMMYFUNCTION("""COMPUTED_VALUE"""),45841.40641902778)</f>
        <v>45841.40642</v>
      </c>
      <c r="C477" s="17">
        <f>IFERROR(__xludf.DUMMYFUNCTION("""COMPUTED_VALUE"""),45849.85099144676)</f>
        <v>45849.85099</v>
      </c>
      <c r="D477" s="15" t="str">
        <f>IFERROR(__xludf.DUMMYFUNCTION("""COMPUTED_VALUE"""),"mesin las ")</f>
        <v>mesin las </v>
      </c>
      <c r="E477" s="15" t="str">
        <f>IFERROR(__xludf.DUMMYFUNCTION("""COMPUTED_VALUE"""),"-")</f>
        <v>-</v>
      </c>
      <c r="F477" s="15" t="str">
        <f>IFERROR(__xludf.DUMMYFUNCTION("""COMPUTED_VALUE"""),"elektroda ss 2.0 mm")</f>
        <v>elektroda ss 2.0 mm</v>
      </c>
      <c r="G477" s="15">
        <f>IFERROR(__xludf.DUMMYFUNCTION("""COMPUTED_VALUE"""),2.0)</f>
        <v>2</v>
      </c>
      <c r="H477" s="15" t="str">
        <f>IFERROR(__xludf.DUMMYFUNCTION("""COMPUTED_VALUE"""),"box")</f>
        <v>box</v>
      </c>
      <c r="I477" s="15" t="str">
        <f>IFERROR(__xludf.DUMMYFUNCTION("""COMPUTED_VALUE"""),"Deliver")</f>
        <v>Deliver</v>
      </c>
      <c r="J477" s="15" t="str">
        <f>IFERROR(__xludf.DUMMYFUNCTION("""COMPUTED_VALUE"""),"-")</f>
        <v>-</v>
      </c>
      <c r="K477" s="15" t="str">
        <f>IFERROR(__xludf.DUMMYFUNCTION("""COMPUTED_VALUE"""),"-")</f>
        <v>-</v>
      </c>
      <c r="L477" s="15" t="str">
        <f>IFERROR(__xludf.DUMMYFUNCTION("""COMPUTED_VALUE"""),"Normal")</f>
        <v>Normal</v>
      </c>
      <c r="M477" s="18" t="s">
        <v>49</v>
      </c>
      <c r="N477" s="18" t="s">
        <v>30</v>
      </c>
    </row>
    <row r="478" hidden="1">
      <c r="A478" s="15" t="str">
        <f>IFERROR(__xludf.DUMMYFUNCTION("""COMPUTED_VALUE"""),"ANOBR0024")</f>
        <v>ANOBR0024</v>
      </c>
      <c r="B478" s="16">
        <f>IFERROR(__xludf.DUMMYFUNCTION("""COMPUTED_VALUE"""),45846.66374609953)</f>
        <v>45846.66375</v>
      </c>
      <c r="C478" s="17">
        <f>IFERROR(__xludf.DUMMYFUNCTION("""COMPUTED_VALUE"""),45849.8530499537)</f>
        <v>45849.85305</v>
      </c>
      <c r="D478" s="15" t="str">
        <f>IFERROR(__xludf.DUMMYFUNCTION("""COMPUTED_VALUE"""),"Blistering")</f>
        <v>Blistering</v>
      </c>
      <c r="E478" s="15" t="str">
        <f>IFERROR(__xludf.DUMMYFUNCTION("""COMPUTED_VALUE"""),"-")</f>
        <v>-</v>
      </c>
      <c r="F478" s="15" t="str">
        <f>IFERROR(__xludf.DUMMYFUNCTION("""COMPUTED_VALUE"""),"Rod And Bearing")</f>
        <v>Rod And Bearing</v>
      </c>
      <c r="G478" s="15">
        <f>IFERROR(__xludf.DUMMYFUNCTION("""COMPUTED_VALUE"""),1.0)</f>
        <v>1</v>
      </c>
      <c r="H478" s="15" t="str">
        <f>IFERROR(__xludf.DUMMYFUNCTION("""COMPUTED_VALUE"""),"Pcs")</f>
        <v>Pcs</v>
      </c>
      <c r="I478" s="15" t="str">
        <f>IFERROR(__xludf.DUMMYFUNCTION("""COMPUTED_VALUE"""),"Deliver")</f>
        <v>Deliver</v>
      </c>
      <c r="J478" s="15" t="str">
        <f>IFERROR(__xludf.DUMMYFUNCTION("""COMPUTED_VALUE"""),"-")</f>
        <v>-</v>
      </c>
      <c r="K478" s="15" t="str">
        <f>IFERROR(__xludf.DUMMYFUNCTION("""COMPUTED_VALUE"""),"-")</f>
        <v>-</v>
      </c>
      <c r="L478" s="15" t="str">
        <f>IFERROR(__xludf.DUMMYFUNCTION("""COMPUTED_VALUE"""),"Normal")</f>
        <v>Normal</v>
      </c>
      <c r="M478" s="18" t="s">
        <v>49</v>
      </c>
      <c r="N478" s="18" t="s">
        <v>30</v>
      </c>
    </row>
    <row r="479" hidden="1">
      <c r="A479" s="15" t="str">
        <f>IFERROR(__xludf.DUMMYFUNCTION("""COMPUTED_VALUE"""),"ANOBR0025")</f>
        <v>ANOBR0025</v>
      </c>
      <c r="B479" s="16">
        <f>IFERROR(__xludf.DUMMYFUNCTION("""COMPUTED_VALUE"""),45846.666147662036)</f>
        <v>45846.66615</v>
      </c>
      <c r="C479" s="17">
        <f>IFERROR(__xludf.DUMMYFUNCTION("""COMPUTED_VALUE"""),45849.853471296294)</f>
        <v>45849.85347</v>
      </c>
      <c r="D479" s="15" t="str">
        <f>IFERROR(__xludf.DUMMYFUNCTION("""COMPUTED_VALUE"""),"Blistering")</f>
        <v>Blistering</v>
      </c>
      <c r="E479" s="15" t="str">
        <f>IFERROR(__xludf.DUMMYFUNCTION("""COMPUTED_VALUE"""),"-")</f>
        <v>-</v>
      </c>
      <c r="F479" s="15" t="str">
        <f>IFERROR(__xludf.DUMMYFUNCTION("""COMPUTED_VALUE"""),"Rod And Bearing")</f>
        <v>Rod And Bearing</v>
      </c>
      <c r="G479" s="15">
        <f>IFERROR(__xludf.DUMMYFUNCTION("""COMPUTED_VALUE"""),1.0)</f>
        <v>1</v>
      </c>
      <c r="H479" s="15" t="str">
        <f>IFERROR(__xludf.DUMMYFUNCTION("""COMPUTED_VALUE"""),"Pcs")</f>
        <v>Pcs</v>
      </c>
      <c r="I479" s="15" t="str">
        <f>IFERROR(__xludf.DUMMYFUNCTION("""COMPUTED_VALUE"""),"Deliver")</f>
        <v>Deliver</v>
      </c>
      <c r="J479" s="15" t="str">
        <f>IFERROR(__xludf.DUMMYFUNCTION("""COMPUTED_VALUE"""),"-")</f>
        <v>-</v>
      </c>
      <c r="K479" s="15" t="str">
        <f>IFERROR(__xludf.DUMMYFUNCTION("""COMPUTED_VALUE"""),"-")</f>
        <v>-</v>
      </c>
      <c r="L479" s="15" t="str">
        <f>IFERROR(__xludf.DUMMYFUNCTION("""COMPUTED_VALUE"""),"Normal")</f>
        <v>Normal</v>
      </c>
      <c r="M479" s="18" t="s">
        <v>49</v>
      </c>
      <c r="N479" s="18" t="s">
        <v>30</v>
      </c>
    </row>
    <row r="480" hidden="1">
      <c r="A480" s="15" t="str">
        <f>IFERROR(__xludf.DUMMYFUNCTION("""COMPUTED_VALUE"""),"RIARO0044")</f>
        <v>RIARO0044</v>
      </c>
      <c r="B480" s="16">
        <f>IFERROR(__xludf.DUMMYFUNCTION("""COMPUTED_VALUE"""),45852.66715339121)</f>
        <v>45852.66715</v>
      </c>
      <c r="C480" s="17">
        <f>IFERROR(__xludf.DUMMYFUNCTION("""COMPUTED_VALUE"""),45854.61468594908)</f>
        <v>45854.61469</v>
      </c>
      <c r="D480" s="15" t="str">
        <f>IFERROR(__xludf.DUMMYFUNCTION("""COMPUTED_VALUE"""),"Alarm System")</f>
        <v>Alarm System</v>
      </c>
      <c r="E480" s="15" t="str">
        <f>IFERROR(__xludf.DUMMYFUNCTION("""COMPUTED_VALUE"""),"-")</f>
        <v>-</v>
      </c>
      <c r="F480" s="15" t="str">
        <f>IFERROR(__xludf.DUMMYFUNCTION("""COMPUTED_VALUE"""),"General - Kabel Belden AWG 22 2 Pair; Belden; 8723; 305m/roll")</f>
        <v>General - Kabel Belden AWG 22 2 Pair; Belden; 8723; 305m/roll</v>
      </c>
      <c r="G480" s="15">
        <f>IFERROR(__xludf.DUMMYFUNCTION("""COMPUTED_VALUE"""),4.0)</f>
        <v>4</v>
      </c>
      <c r="H480" s="15" t="str">
        <f>IFERROR(__xludf.DUMMYFUNCTION("""COMPUTED_VALUE"""),"Roll")</f>
        <v>Roll</v>
      </c>
      <c r="I480" s="15" t="str">
        <f>IFERROR(__xludf.DUMMYFUNCTION("""COMPUTED_VALUE"""),"Deliver")</f>
        <v>Deliver</v>
      </c>
      <c r="J480" s="15" t="str">
        <f>IFERROR(__xludf.DUMMYFUNCTION("""COMPUTED_VALUE"""),"-")</f>
        <v>-</v>
      </c>
      <c r="K480" s="15" t="str">
        <f>IFERROR(__xludf.DUMMYFUNCTION("""COMPUTED_VALUE"""),"-")</f>
        <v>-</v>
      </c>
      <c r="L480" s="15" t="str">
        <f>IFERROR(__xludf.DUMMYFUNCTION("""COMPUTED_VALUE"""),"Normal")</f>
        <v>Normal</v>
      </c>
      <c r="M480" s="18" t="s">
        <v>32</v>
      </c>
      <c r="N480" s="18" t="s">
        <v>28</v>
      </c>
    </row>
    <row r="481" hidden="1">
      <c r="A481" s="15" t="str">
        <f>IFERROR(__xludf.DUMMYFUNCTION("""COMPUTED_VALUE"""),"RIARO0045")</f>
        <v>RIARO0045</v>
      </c>
      <c r="B481" s="16">
        <f>IFERROR(__xludf.DUMMYFUNCTION("""COMPUTED_VALUE"""),45852.671271284715)</f>
        <v>45852.67127</v>
      </c>
      <c r="C481" s="17">
        <f>IFERROR(__xludf.DUMMYFUNCTION("""COMPUTED_VALUE"""),45854.614856458335)</f>
        <v>45854.61486</v>
      </c>
      <c r="D481" s="15" t="str">
        <f>IFERROR(__xludf.DUMMYFUNCTION("""COMPUTED_VALUE"""),"Alarm System")</f>
        <v>Alarm System</v>
      </c>
      <c r="E481" s="15" t="str">
        <f>IFERROR(__xludf.DUMMYFUNCTION("""COMPUTED_VALUE"""),"-")</f>
        <v>-</v>
      </c>
      <c r="F481" s="15" t="str">
        <f>IFERROR(__xludf.DUMMYFUNCTION("""COMPUTED_VALUE"""),"Temperature Controller - TK4S- 24RN 100-240 VAC AUTONICS; ; ;")</f>
        <v>Temperature Controller - TK4S- 24RN 100-240 VAC AUTONICS; ; ;</v>
      </c>
      <c r="G481" s="15">
        <f>IFERROR(__xludf.DUMMYFUNCTION("""COMPUTED_VALUE"""),4.0)</f>
        <v>4</v>
      </c>
      <c r="H481" s="15" t="str">
        <f>IFERROR(__xludf.DUMMYFUNCTION("""COMPUTED_VALUE"""),"Pcs")</f>
        <v>Pcs</v>
      </c>
      <c r="I481" s="15" t="str">
        <f>IFERROR(__xludf.DUMMYFUNCTION("""COMPUTED_VALUE"""),"Deliver")</f>
        <v>Deliver</v>
      </c>
      <c r="J481" s="15" t="str">
        <f>IFERROR(__xludf.DUMMYFUNCTION("""COMPUTED_VALUE"""),"-")</f>
        <v>-</v>
      </c>
      <c r="K481" s="15" t="str">
        <f>IFERROR(__xludf.DUMMYFUNCTION("""COMPUTED_VALUE"""),"-")</f>
        <v>-</v>
      </c>
      <c r="L481" s="15" t="str">
        <f>IFERROR(__xludf.DUMMYFUNCTION("""COMPUTED_VALUE"""),"Normal")</f>
        <v>Normal</v>
      </c>
      <c r="M481" s="18" t="s">
        <v>32</v>
      </c>
      <c r="N481" s="18" t="s">
        <v>28</v>
      </c>
    </row>
    <row r="482" hidden="1">
      <c r="A482" s="15" t="str">
        <f>IFERROR(__xludf.DUMMYFUNCTION("""COMPUTED_VALUE"""),"RIARO0046")</f>
        <v>RIARO0046</v>
      </c>
      <c r="B482" s="16">
        <f>IFERROR(__xludf.DUMMYFUNCTION("""COMPUTED_VALUE"""),45852.67165508102)</f>
        <v>45852.67166</v>
      </c>
      <c r="C482" s="17">
        <f>IFERROR(__xludf.DUMMYFUNCTION("""COMPUTED_VALUE"""),45854.61503741898)</f>
        <v>45854.61504</v>
      </c>
      <c r="D482" s="15" t="str">
        <f>IFERROR(__xludf.DUMMYFUNCTION("""COMPUTED_VALUE"""),"Alarm System")</f>
        <v>Alarm System</v>
      </c>
      <c r="E482" s="15" t="str">
        <f>IFERROR(__xludf.DUMMYFUNCTION("""COMPUTED_VALUE"""),"-")</f>
        <v>-</v>
      </c>
      <c r="F482" s="15" t="str">
        <f>IFERROR(__xludf.DUMMYFUNCTION("""COMPUTED_VALUE"""),"Junction Box Plastik 12x12x10 cm; ; ;")</f>
        <v>Junction Box Plastik 12x12x10 cm; ; ;</v>
      </c>
      <c r="G482" s="15">
        <f>IFERROR(__xludf.DUMMYFUNCTION("""COMPUTED_VALUE"""),4.0)</f>
        <v>4</v>
      </c>
      <c r="H482" s="15" t="str">
        <f>IFERROR(__xludf.DUMMYFUNCTION("""COMPUTED_VALUE"""),"Pcs")</f>
        <v>Pcs</v>
      </c>
      <c r="I482" s="15" t="str">
        <f>IFERROR(__xludf.DUMMYFUNCTION("""COMPUTED_VALUE"""),"Deliver")</f>
        <v>Deliver</v>
      </c>
      <c r="J482" s="15" t="str">
        <f>IFERROR(__xludf.DUMMYFUNCTION("""COMPUTED_VALUE"""),"-")</f>
        <v>-</v>
      </c>
      <c r="K482" s="15" t="str">
        <f>IFERROR(__xludf.DUMMYFUNCTION("""COMPUTED_VALUE"""),"-")</f>
        <v>-</v>
      </c>
      <c r="L482" s="15" t="str">
        <f>IFERROR(__xludf.DUMMYFUNCTION("""COMPUTED_VALUE"""),"Normal")</f>
        <v>Normal</v>
      </c>
      <c r="M482" s="18" t="s">
        <v>32</v>
      </c>
      <c r="N482" s="18" t="s">
        <v>28</v>
      </c>
    </row>
    <row r="483" hidden="1">
      <c r="A483" s="15" t="str">
        <f>IFERROR(__xludf.DUMMYFUNCTION("""COMPUTED_VALUE"""),"RIARO0047")</f>
        <v>RIARO0047</v>
      </c>
      <c r="B483" s="16">
        <f>IFERROR(__xludf.DUMMYFUNCTION("""COMPUTED_VALUE"""),45853.663975891206)</f>
        <v>45853.66398</v>
      </c>
      <c r="C483" s="17">
        <f>IFERROR(__xludf.DUMMYFUNCTION("""COMPUTED_VALUE"""),45854.6152252662)</f>
        <v>45854.61523</v>
      </c>
      <c r="D483" s="15" t="str">
        <f>IFERROR(__xludf.DUMMYFUNCTION("""COMPUTED_VALUE"""),"AHU D3-1")</f>
        <v>AHU D3-1</v>
      </c>
      <c r="E483" s="15" t="str">
        <f>IFERROR(__xludf.DUMMYFUNCTION("""COMPUTED_VALUE"""),"EJO/2025/07/109")</f>
        <v>EJO/2025/07/109</v>
      </c>
      <c r="F483" s="15" t="str">
        <f>IFERROR(__xludf.DUMMYFUNCTION("""COMPUTED_VALUE"""),"General - Pulser SCR Heater Controller Wall Mounted 0-10 VD DC; Regin; 240-X010; 1 unit")</f>
        <v>General - Pulser SCR Heater Controller Wall Mounted 0-10 VD DC; Regin; 240-X010; 1 unit</v>
      </c>
      <c r="G483" s="15">
        <f>IFERROR(__xludf.DUMMYFUNCTION("""COMPUTED_VALUE"""),5.0)</f>
        <v>5</v>
      </c>
      <c r="H483" s="15" t="str">
        <f>IFERROR(__xludf.DUMMYFUNCTION("""COMPUTED_VALUE"""),"Pcs")</f>
        <v>Pcs</v>
      </c>
      <c r="I483" s="15" t="str">
        <f>IFERROR(__xludf.DUMMYFUNCTION("""COMPUTED_VALUE"""),"Deliver")</f>
        <v>Deliver</v>
      </c>
      <c r="J483" s="15" t="str">
        <f>IFERROR(__xludf.DUMMYFUNCTION("""COMPUTED_VALUE"""),"-")</f>
        <v>-</v>
      </c>
      <c r="K483" s="15" t="str">
        <f>IFERROR(__xludf.DUMMYFUNCTION("""COMPUTED_VALUE"""),"-")</f>
        <v>-</v>
      </c>
      <c r="L483" s="15" t="str">
        <f>IFERROR(__xludf.DUMMYFUNCTION("""COMPUTED_VALUE"""),"Normal")</f>
        <v>Normal</v>
      </c>
      <c r="M483" s="18" t="s">
        <v>32</v>
      </c>
      <c r="N483" s="18" t="s">
        <v>28</v>
      </c>
    </row>
    <row r="484" hidden="1">
      <c r="A484" s="15" t="str">
        <f>IFERROR(__xludf.DUMMYFUNCTION("""COMPUTED_VALUE"""),"RIABR0044")</f>
        <v>RIABR0044</v>
      </c>
      <c r="B484" s="16">
        <f>IFERROR(__xludf.DUMMYFUNCTION("""COMPUTED_VALUE"""),45852.67276260417)</f>
        <v>45852.67276</v>
      </c>
      <c r="C484" s="17">
        <f>IFERROR(__xludf.DUMMYFUNCTION("""COMPUTED_VALUE"""),45854.61541826389)</f>
        <v>45854.61542</v>
      </c>
      <c r="D484" s="15" t="str">
        <f>IFERROR(__xludf.DUMMYFUNCTION("""COMPUTED_VALUE"""),"Alarm System")</f>
        <v>Alarm System</v>
      </c>
      <c r="E484" s="15" t="str">
        <f>IFERROR(__xludf.DUMMYFUNCTION("""COMPUTED_VALUE"""),"-")</f>
        <v>-</v>
      </c>
      <c r="F484" s="15" t="str">
        <f>IFERROR(__xludf.DUMMYFUNCTION("""COMPUTED_VALUE"""),"Sensor PT 100 ")</f>
        <v>Sensor PT 100 </v>
      </c>
      <c r="G484" s="15">
        <f>IFERROR(__xludf.DUMMYFUNCTION("""COMPUTED_VALUE"""),6.0)</f>
        <v>6</v>
      </c>
      <c r="H484" s="15" t="str">
        <f>IFERROR(__xludf.DUMMYFUNCTION("""COMPUTED_VALUE"""),"Pcs")</f>
        <v>Pcs</v>
      </c>
      <c r="I484" s="15" t="str">
        <f>IFERROR(__xludf.DUMMYFUNCTION("""COMPUTED_VALUE"""),"Deliver")</f>
        <v>Deliver</v>
      </c>
      <c r="J484" s="15" t="str">
        <f>IFERROR(__xludf.DUMMYFUNCTION("""COMPUTED_VALUE"""),"-")</f>
        <v>-</v>
      </c>
      <c r="K484" s="15" t="str">
        <f>IFERROR(__xludf.DUMMYFUNCTION("""COMPUTED_VALUE"""),"-")</f>
        <v>-</v>
      </c>
      <c r="L484" s="15" t="str">
        <f>IFERROR(__xludf.DUMMYFUNCTION("""COMPUTED_VALUE"""),"Normal")</f>
        <v>Normal</v>
      </c>
      <c r="M484" s="18" t="s">
        <v>32</v>
      </c>
      <c r="N484" s="18" t="s">
        <v>28</v>
      </c>
    </row>
    <row r="485" hidden="1">
      <c r="A485" s="15" t="str">
        <f>IFERROR(__xludf.DUMMYFUNCTION("""COMPUTED_VALUE"""),"RIABR0046")</f>
        <v>RIABR0046</v>
      </c>
      <c r="B485" s="16">
        <f>IFERROR(__xludf.DUMMYFUNCTION("""COMPUTED_VALUE"""),45853.657723599536)</f>
        <v>45853.65772</v>
      </c>
      <c r="C485" s="17">
        <f>IFERROR(__xludf.DUMMYFUNCTION("""COMPUTED_VALUE"""),45854.616613900456)</f>
        <v>45854.61661</v>
      </c>
      <c r="D485" s="15" t="str">
        <f>IFERROR(__xludf.DUMMYFUNCTION("""COMPUTED_VALUE"""),"Water System")</f>
        <v>Water System</v>
      </c>
      <c r="E485" s="15" t="str">
        <f>IFERROR(__xludf.DUMMYFUNCTION("""COMPUTED_VALUE"""),"-")</f>
        <v>-</v>
      </c>
      <c r="F485" s="15" t="str">
        <f>IFERROR(__xludf.DUMMYFUNCTION("""COMPUTED_VALUE"""),"Chemical NaOH")</f>
        <v>Chemical NaOH</v>
      </c>
      <c r="G485" s="15">
        <f>IFERROR(__xludf.DUMMYFUNCTION("""COMPUTED_VALUE"""),1.0)</f>
        <v>1</v>
      </c>
      <c r="H485" s="15" t="str">
        <f>IFERROR(__xludf.DUMMYFUNCTION("""COMPUTED_VALUE"""),"Sak")</f>
        <v>Sak</v>
      </c>
      <c r="I485" s="15" t="str">
        <f>IFERROR(__xludf.DUMMYFUNCTION("""COMPUTED_VALUE"""),"PO Open")</f>
        <v>PO Open</v>
      </c>
      <c r="J485" s="15" t="str">
        <f>IFERROR(__xludf.DUMMYFUNCTION("""COMPUTED_VALUE"""),"121704359 - APPROVED")</f>
        <v>121704359 - APPROVED</v>
      </c>
      <c r="K485" s="15" t="str">
        <f>IFERROR(__xludf.DUMMYFUNCTION("""COMPUTED_VALUE"""),"GL2608040")</f>
        <v>GL2608040</v>
      </c>
      <c r="L485" s="15" t="str">
        <f>IFERROR(__xludf.DUMMYFUNCTION("""COMPUTED_VALUE"""),"Normal")</f>
        <v>Normal</v>
      </c>
      <c r="M485" s="18" t="s">
        <v>32</v>
      </c>
      <c r="N485" s="18" t="s">
        <v>28</v>
      </c>
    </row>
    <row r="486" hidden="1">
      <c r="A486" s="15" t="str">
        <f>IFERROR(__xludf.DUMMYFUNCTION("""COMPUTED_VALUE"""),"MRNBR0030")</f>
        <v>MRNBR0030</v>
      </c>
      <c r="B486" s="16">
        <f>IFERROR(__xludf.DUMMYFUNCTION("""COMPUTED_VALUE"""),45854.582451585644)</f>
        <v>45854.58245</v>
      </c>
      <c r="C486" s="17">
        <f>IFERROR(__xludf.DUMMYFUNCTION("""COMPUTED_VALUE"""),45855.45659017361)</f>
        <v>45855.45659</v>
      </c>
      <c r="D486" s="15" t="str">
        <f>IFERROR(__xludf.DUMMYFUNCTION("""COMPUTED_VALUE"""),"Pintu Extension")</f>
        <v>Pintu Extension</v>
      </c>
      <c r="E486" s="15" t="str">
        <f>IFERROR(__xludf.DUMMYFUNCTION("""COMPUTED_VALUE"""),"Ejo/2025/07/154")</f>
        <v>Ejo/2025/07/154</v>
      </c>
      <c r="F486" s="15" t="str">
        <f>IFERROR(__xludf.DUMMYFUNCTION("""COMPUTED_VALUE"""),"UNP 100")</f>
        <v>UNP 100</v>
      </c>
      <c r="G486" s="15">
        <f>IFERROR(__xludf.DUMMYFUNCTION("""COMPUTED_VALUE"""),2.0)</f>
        <v>2</v>
      </c>
      <c r="H486" s="15" t="str">
        <f>IFERROR(__xludf.DUMMYFUNCTION("""COMPUTED_VALUE"""),"btg")</f>
        <v>btg</v>
      </c>
      <c r="I486" s="15" t="str">
        <f>IFERROR(__xludf.DUMMYFUNCTION("""COMPUTED_VALUE"""),"Deliver")</f>
        <v>Deliver</v>
      </c>
      <c r="J486" s="15" t="str">
        <f>IFERROR(__xludf.DUMMYFUNCTION("""COMPUTED_VALUE"""),"-")</f>
        <v>-</v>
      </c>
      <c r="K486" s="15" t="str">
        <f>IFERROR(__xludf.DUMMYFUNCTION("""COMPUTED_VALUE"""),"-")</f>
        <v>-</v>
      </c>
      <c r="L486" s="15" t="str">
        <f>IFERROR(__xludf.DUMMYFUNCTION("""COMPUTED_VALUE"""),"Normal")</f>
        <v>Normal</v>
      </c>
      <c r="M486" s="18" t="s">
        <v>48</v>
      </c>
      <c r="N486" s="18" t="s">
        <v>28</v>
      </c>
    </row>
    <row r="487" hidden="1">
      <c r="A487" s="15" t="str">
        <f>IFERROR(__xludf.DUMMYFUNCTION("""COMPUTED_VALUE"""),"MRNBR0032")</f>
        <v>MRNBR0032</v>
      </c>
      <c r="B487" s="16">
        <f>IFERROR(__xludf.DUMMYFUNCTION("""COMPUTED_VALUE"""),45854.60868311342)</f>
        <v>45854.60868</v>
      </c>
      <c r="C487" s="17">
        <f>IFERROR(__xludf.DUMMYFUNCTION("""COMPUTED_VALUE"""),45855.456749282406)</f>
        <v>45855.45675</v>
      </c>
      <c r="D487" s="15" t="str">
        <f>IFERROR(__xludf.DUMMYFUNCTION("""COMPUTED_VALUE"""),"Pintu Extension")</f>
        <v>Pintu Extension</v>
      </c>
      <c r="E487" s="15" t="str">
        <f>IFERROR(__xludf.DUMMYFUNCTION("""COMPUTED_VALUE"""),"Ejo/2025/07/156")</f>
        <v>Ejo/2025/07/156</v>
      </c>
      <c r="F487" s="15" t="str">
        <f>IFERROR(__xludf.DUMMYFUNCTION("""COMPUTED_VALUE"""),"engsel")</f>
        <v>engsel</v>
      </c>
      <c r="G487" s="15">
        <f>IFERROR(__xludf.DUMMYFUNCTION("""COMPUTED_VALUE"""),3.0)</f>
        <v>3</v>
      </c>
      <c r="H487" s="15" t="str">
        <f>IFERROR(__xludf.DUMMYFUNCTION("""COMPUTED_VALUE"""),"pcs")</f>
        <v>pcs</v>
      </c>
      <c r="I487" s="15" t="str">
        <f>IFERROR(__xludf.DUMMYFUNCTION("""COMPUTED_VALUE"""),"Deliver")</f>
        <v>Deliver</v>
      </c>
      <c r="J487" s="15" t="str">
        <f>IFERROR(__xludf.DUMMYFUNCTION("""COMPUTED_VALUE"""),"-")</f>
        <v>-</v>
      </c>
      <c r="K487" s="15" t="str">
        <f>IFERROR(__xludf.DUMMYFUNCTION("""COMPUTED_VALUE"""),"-")</f>
        <v>-</v>
      </c>
      <c r="L487" s="15" t="str">
        <f>IFERROR(__xludf.DUMMYFUNCTION("""COMPUTED_VALUE"""),"Normal")</f>
        <v>Normal</v>
      </c>
      <c r="M487" s="18" t="s">
        <v>48</v>
      </c>
      <c r="N487" s="18" t="s">
        <v>28</v>
      </c>
    </row>
    <row r="488" hidden="1">
      <c r="A488" s="15" t="str">
        <f>IFERROR(__xludf.DUMMYFUNCTION("""COMPUTED_VALUE"""),"MRNBR0031")</f>
        <v>MRNBR0031</v>
      </c>
      <c r="B488" s="16">
        <f>IFERROR(__xludf.DUMMYFUNCTION("""COMPUTED_VALUE"""),45854.58495675925)</f>
        <v>45854.58496</v>
      </c>
      <c r="C488" s="17">
        <f>IFERROR(__xludf.DUMMYFUNCTION("""COMPUTED_VALUE"""),45855.45691332177)</f>
        <v>45855.45691</v>
      </c>
      <c r="D488" s="15" t="str">
        <f>IFERROR(__xludf.DUMMYFUNCTION("""COMPUTED_VALUE"""),"Pintu Extension")</f>
        <v>Pintu Extension</v>
      </c>
      <c r="E488" s="15" t="str">
        <f>IFERROR(__xludf.DUMMYFUNCTION("""COMPUTED_VALUE"""),"Ejo/2025/07/155")</f>
        <v>Ejo/2025/07/155</v>
      </c>
      <c r="F488" s="15" t="str">
        <f>IFERROR(__xludf.DUMMYFUNCTION("""COMPUTED_VALUE"""),"GRC")</f>
        <v>GRC</v>
      </c>
      <c r="G488" s="15">
        <f>IFERROR(__xludf.DUMMYFUNCTION("""COMPUTED_VALUE"""),3.0)</f>
        <v>3</v>
      </c>
      <c r="H488" s="15" t="str">
        <f>IFERROR(__xludf.DUMMYFUNCTION("""COMPUTED_VALUE"""),"lbr")</f>
        <v>lbr</v>
      </c>
      <c r="I488" s="15" t="str">
        <f>IFERROR(__xludf.DUMMYFUNCTION("""COMPUTED_VALUE"""),"Deliver")</f>
        <v>Deliver</v>
      </c>
      <c r="J488" s="15" t="str">
        <f>IFERROR(__xludf.DUMMYFUNCTION("""COMPUTED_VALUE"""),"-")</f>
        <v>-</v>
      </c>
      <c r="K488" s="15" t="str">
        <f>IFERROR(__xludf.DUMMYFUNCTION("""COMPUTED_VALUE"""),"-")</f>
        <v>-</v>
      </c>
      <c r="L488" s="15" t="str">
        <f>IFERROR(__xludf.DUMMYFUNCTION("""COMPUTED_VALUE"""),"Normal")</f>
        <v>Normal</v>
      </c>
      <c r="M488" s="18" t="s">
        <v>48</v>
      </c>
      <c r="N488" s="18" t="s">
        <v>28</v>
      </c>
    </row>
    <row r="489" hidden="1">
      <c r="A489" s="15" t="str">
        <f>IFERROR(__xludf.DUMMYFUNCTION("""COMPUTED_VALUE"""),"SFHRO0011")</f>
        <v>SFHRO0011</v>
      </c>
      <c r="B489" s="16">
        <f>IFERROR(__xludf.DUMMYFUNCTION("""COMPUTED_VALUE"""),45854.74795689815)</f>
        <v>45854.74796</v>
      </c>
      <c r="C489" s="17">
        <f>IFERROR(__xludf.DUMMYFUNCTION("""COMPUTED_VALUE"""),45855.469743125)</f>
        <v>45855.46974</v>
      </c>
      <c r="D489" s="15" t="str">
        <f>IFERROR(__xludf.DUMMYFUNCTION("""COMPUTED_VALUE"""),"lantai 2")</f>
        <v>lantai 2</v>
      </c>
      <c r="E489" s="15" t="str">
        <f>IFERROR(__xludf.DUMMYFUNCTION("""COMPUTED_VALUE"""),"-")</f>
        <v>-</v>
      </c>
      <c r="F489" s="15" t="str">
        <f>IFERROR(__xludf.DUMMYFUNCTION("""COMPUTED_VALUE"""),"Multipox MX-98-2K SB White;Propan;Type White;pack size per 20 kg pail")</f>
        <v>Multipox MX-98-2K SB White;Propan;Type White;pack size per 20 kg pail</v>
      </c>
      <c r="G489" s="15">
        <f>IFERROR(__xludf.DUMMYFUNCTION("""COMPUTED_VALUE"""),20.0)</f>
        <v>20</v>
      </c>
      <c r="H489" s="15" t="str">
        <f>IFERROR(__xludf.DUMMYFUNCTION("""COMPUTED_VALUE"""),"pel")</f>
        <v>pel</v>
      </c>
      <c r="I489" s="15" t="str">
        <f>IFERROR(__xludf.DUMMYFUNCTION("""COMPUTED_VALUE"""),"Deliver")</f>
        <v>Deliver</v>
      </c>
      <c r="J489" s="15" t="str">
        <f>IFERROR(__xludf.DUMMYFUNCTION("""COMPUTED_VALUE"""),"-")</f>
        <v>-</v>
      </c>
      <c r="K489" s="15" t="str">
        <f>IFERROR(__xludf.DUMMYFUNCTION("""COMPUTED_VALUE"""),"-")</f>
        <v>-</v>
      </c>
      <c r="L489" s="15" t="str">
        <f>IFERROR(__xludf.DUMMYFUNCTION("""COMPUTED_VALUE"""),"Normal")</f>
        <v>Normal</v>
      </c>
      <c r="M489" s="18" t="s">
        <v>27</v>
      </c>
      <c r="N489" s="18" t="s">
        <v>28</v>
      </c>
    </row>
    <row r="490" hidden="1">
      <c r="A490" s="15" t="str">
        <f>IFERROR(__xludf.DUMMYFUNCTION("""COMPUTED_VALUE"""),"SFHBR0024")</f>
        <v>SFHBR0024</v>
      </c>
      <c r="B490" s="16">
        <f>IFERROR(__xludf.DUMMYFUNCTION("""COMPUTED_VALUE"""),45854.711982719906)</f>
        <v>45854.71198</v>
      </c>
      <c r="C490" s="17">
        <f>IFERROR(__xludf.DUMMYFUNCTION("""COMPUTED_VALUE"""),45855.471348541665)</f>
        <v>45855.47135</v>
      </c>
      <c r="D490" s="15" t="str">
        <f>IFERROR(__xludf.DUMMYFUNCTION("""COMPUTED_VALUE"""),"lantai 2")</f>
        <v>lantai 2</v>
      </c>
      <c r="E490" s="15" t="str">
        <f>IFERROR(__xludf.DUMMYFUNCTION("""COMPUTED_VALUE"""),"EJO/2025/06/159")</f>
        <v>EJO/2025/06/159</v>
      </c>
      <c r="F490" s="15" t="str">
        <f>IFERROR(__xludf.DUMMYFUNCTION("""COMPUTED_VALUE"""),"holo staniless mirror 304")</f>
        <v>holo staniless mirror 304</v>
      </c>
      <c r="G490" s="15">
        <f>IFERROR(__xludf.DUMMYFUNCTION("""COMPUTED_VALUE"""),3.0)</f>
        <v>3</v>
      </c>
      <c r="H490" s="15" t="str">
        <f>IFERROR(__xludf.DUMMYFUNCTION("""COMPUTED_VALUE"""),"btg")</f>
        <v>btg</v>
      </c>
      <c r="I490" s="15" t="str">
        <f>IFERROR(__xludf.DUMMYFUNCTION("""COMPUTED_VALUE"""),"Deliver")</f>
        <v>Deliver</v>
      </c>
      <c r="J490" s="15" t="str">
        <f>IFERROR(__xludf.DUMMYFUNCTION("""COMPUTED_VALUE"""),"-")</f>
        <v>-</v>
      </c>
      <c r="K490" s="15" t="str">
        <f>IFERROR(__xludf.DUMMYFUNCTION("""COMPUTED_VALUE"""),"-")</f>
        <v>-</v>
      </c>
      <c r="L490" s="15" t="str">
        <f>IFERROR(__xludf.DUMMYFUNCTION("""COMPUTED_VALUE"""),"Normal")</f>
        <v>Normal</v>
      </c>
      <c r="M490" s="18" t="s">
        <v>27</v>
      </c>
      <c r="N490" s="18" t="s">
        <v>28</v>
      </c>
    </row>
    <row r="491" hidden="1">
      <c r="A491" s="15" t="str">
        <f>IFERROR(__xludf.DUMMYFUNCTION("""COMPUTED_VALUE"""),"SFHBR0025")</f>
        <v>SFHBR0025</v>
      </c>
      <c r="B491" s="16">
        <f>IFERROR(__xludf.DUMMYFUNCTION("""COMPUTED_VALUE"""),45854.722886331016)</f>
        <v>45854.72289</v>
      </c>
      <c r="C491" s="17">
        <f>IFERROR(__xludf.DUMMYFUNCTION("""COMPUTED_VALUE"""),45855.471737534725)</f>
        <v>45855.47174</v>
      </c>
      <c r="D491" s="15" t="str">
        <f>IFERROR(__xludf.DUMMYFUNCTION("""COMPUTED_VALUE"""),"lantai 2")</f>
        <v>lantai 2</v>
      </c>
      <c r="E491" s="15" t="str">
        <f>IFERROR(__xludf.DUMMYFUNCTION("""COMPUTED_VALUE"""),"EJO/2025/06/159")</f>
        <v>EJO/2025/06/159</v>
      </c>
      <c r="F491" s="15" t="str">
        <f>IFERROR(__xludf.DUMMYFUNCTION("""COMPUTED_VALUE"""),"Besi siku staniles 304")</f>
        <v>Besi siku staniles 304</v>
      </c>
      <c r="G491" s="15">
        <f>IFERROR(__xludf.DUMMYFUNCTION("""COMPUTED_VALUE"""),2.0)</f>
        <v>2</v>
      </c>
      <c r="H491" s="15" t="str">
        <f>IFERROR(__xludf.DUMMYFUNCTION("""COMPUTED_VALUE"""),"btg")</f>
        <v>btg</v>
      </c>
      <c r="I491" s="15" t="str">
        <f>IFERROR(__xludf.DUMMYFUNCTION("""COMPUTED_VALUE"""),"Deliver")</f>
        <v>Deliver</v>
      </c>
      <c r="J491" s="15" t="str">
        <f>IFERROR(__xludf.DUMMYFUNCTION("""COMPUTED_VALUE"""),"-")</f>
        <v>-</v>
      </c>
      <c r="K491" s="15" t="str">
        <f>IFERROR(__xludf.DUMMYFUNCTION("""COMPUTED_VALUE"""),"-")</f>
        <v>-</v>
      </c>
      <c r="L491" s="15" t="str">
        <f>IFERROR(__xludf.DUMMYFUNCTION("""COMPUTED_VALUE"""),"Normal")</f>
        <v>Normal</v>
      </c>
      <c r="M491" s="18" t="s">
        <v>27</v>
      </c>
      <c r="N491" s="18" t="s">
        <v>28</v>
      </c>
    </row>
    <row r="492" hidden="1">
      <c r="A492" s="15" t="str">
        <f>IFERROR(__xludf.DUMMYFUNCTION("""COMPUTED_VALUE"""),"SFHBR0026")</f>
        <v>SFHBR0026</v>
      </c>
      <c r="B492" s="16">
        <f>IFERROR(__xludf.DUMMYFUNCTION("""COMPUTED_VALUE"""),45854.7257002662)</f>
        <v>45854.7257</v>
      </c>
      <c r="C492" s="17">
        <f>IFERROR(__xludf.DUMMYFUNCTION("""COMPUTED_VALUE"""),45855.47207337963)</f>
        <v>45855.47207</v>
      </c>
      <c r="D492" s="15" t="str">
        <f>IFERROR(__xludf.DUMMYFUNCTION("""COMPUTED_VALUE"""),"lantai 2")</f>
        <v>lantai 2</v>
      </c>
      <c r="E492" s="15" t="str">
        <f>IFERROR(__xludf.DUMMYFUNCTION("""COMPUTED_VALUE"""),"EJO/2025/06/159")</f>
        <v>EJO/2025/06/159</v>
      </c>
      <c r="F492" s="15" t="str">
        <f>IFERROR(__xludf.DUMMYFUNCTION("""COMPUTED_VALUE"""),"Expanded metal besi ")</f>
        <v>Expanded metal besi </v>
      </c>
      <c r="G492" s="15">
        <f>IFERROR(__xludf.DUMMYFUNCTION("""COMPUTED_VALUE"""),1.0)</f>
        <v>1</v>
      </c>
      <c r="H492" s="15" t="str">
        <f>IFERROR(__xludf.DUMMYFUNCTION("""COMPUTED_VALUE"""),"lembar")</f>
        <v>lembar</v>
      </c>
      <c r="I492" s="15" t="str">
        <f>IFERROR(__xludf.DUMMYFUNCTION("""COMPUTED_VALUE"""),"Deliver")</f>
        <v>Deliver</v>
      </c>
      <c r="J492" s="15" t="str">
        <f>IFERROR(__xludf.DUMMYFUNCTION("""COMPUTED_VALUE"""),"-")</f>
        <v>-</v>
      </c>
      <c r="K492" s="15" t="str">
        <f>IFERROR(__xludf.DUMMYFUNCTION("""COMPUTED_VALUE"""),"-")</f>
        <v>-</v>
      </c>
      <c r="L492" s="15" t="str">
        <f>IFERROR(__xludf.DUMMYFUNCTION("""COMPUTED_VALUE"""),"Normal")</f>
        <v>Normal</v>
      </c>
      <c r="M492" s="18" t="s">
        <v>27</v>
      </c>
      <c r="N492" s="18" t="s">
        <v>28</v>
      </c>
    </row>
    <row r="493" hidden="1">
      <c r="A493" s="15" t="str">
        <f>IFERROR(__xludf.DUMMYFUNCTION("""COMPUTED_VALUE"""),"MRNBR0033")</f>
        <v>MRNBR0033</v>
      </c>
      <c r="B493" s="16">
        <f>IFERROR(__xludf.DUMMYFUNCTION("""COMPUTED_VALUE"""),45854.661876724545)</f>
        <v>45854.66188</v>
      </c>
      <c r="C493" s="17">
        <f>IFERROR(__xludf.DUMMYFUNCTION("""COMPUTED_VALUE"""),45855.472594629624)</f>
        <v>45855.47259</v>
      </c>
      <c r="D493" s="15" t="str">
        <f>IFERROR(__xludf.DUMMYFUNCTION("""COMPUTED_VALUE"""),"Pintu Extension")</f>
        <v>Pintu Extension</v>
      </c>
      <c r="E493" s="15" t="str">
        <f>IFERROR(__xludf.DUMMYFUNCTION("""COMPUTED_VALUE"""),"Ejo/2025/07/157")</f>
        <v>Ejo/2025/07/157</v>
      </c>
      <c r="F493" s="15" t="str">
        <f>IFERROR(__xludf.DUMMYFUNCTION("""COMPUTED_VALUE"""),"CNP 100")</f>
        <v>CNP 100</v>
      </c>
      <c r="G493" s="15">
        <f>IFERROR(__xludf.DUMMYFUNCTION("""COMPUTED_VALUE"""),2.0)</f>
        <v>2</v>
      </c>
      <c r="H493" s="15" t="str">
        <f>IFERROR(__xludf.DUMMYFUNCTION("""COMPUTED_VALUE"""),"btg")</f>
        <v>btg</v>
      </c>
      <c r="I493" s="15" t="str">
        <f>IFERROR(__xludf.DUMMYFUNCTION("""COMPUTED_VALUE"""),"Deliver")</f>
        <v>Deliver</v>
      </c>
      <c r="J493" s="15" t="str">
        <f>IFERROR(__xludf.DUMMYFUNCTION("""COMPUTED_VALUE"""),"-")</f>
        <v>-</v>
      </c>
      <c r="K493" s="15" t="str">
        <f>IFERROR(__xludf.DUMMYFUNCTION("""COMPUTED_VALUE"""),"-")</f>
        <v>-</v>
      </c>
      <c r="L493" s="15" t="str">
        <f>IFERROR(__xludf.DUMMYFUNCTION("""COMPUTED_VALUE"""),"Normal")</f>
        <v>Normal</v>
      </c>
      <c r="M493" s="18" t="s">
        <v>48</v>
      </c>
      <c r="N493" s="18" t="s">
        <v>28</v>
      </c>
    </row>
    <row r="494" hidden="1">
      <c r="A494" s="15" t="str">
        <f>IFERROR(__xludf.DUMMYFUNCTION("""COMPUTED_VALUE"""),"MRNBR0034")</f>
        <v>MRNBR0034</v>
      </c>
      <c r="B494" s="16">
        <f>IFERROR(__xludf.DUMMYFUNCTION("""COMPUTED_VALUE"""),45854.661876724545)</f>
        <v>45854.66188</v>
      </c>
      <c r="C494" s="17">
        <f>IFERROR(__xludf.DUMMYFUNCTION("""COMPUTED_VALUE"""),45855.47291819444)</f>
        <v>45855.47292</v>
      </c>
      <c r="D494" s="15" t="str">
        <f>IFERROR(__xludf.DUMMYFUNCTION("""COMPUTED_VALUE"""),"Pintu Extension")</f>
        <v>Pintu Extension</v>
      </c>
      <c r="E494" s="15" t="str">
        <f>IFERROR(__xludf.DUMMYFUNCTION("""COMPUTED_VALUE"""),"Ejo/2025/07/158")</f>
        <v>Ejo/2025/07/158</v>
      </c>
      <c r="F494" s="15" t="str">
        <f>IFERROR(__xludf.DUMMYFUNCTION("""COMPUTED_VALUE"""),"Kawat lass")</f>
        <v>Kawat lass</v>
      </c>
      <c r="G494" s="15">
        <f>IFERROR(__xludf.DUMMYFUNCTION("""COMPUTED_VALUE"""),1.0)</f>
        <v>1</v>
      </c>
      <c r="H494" s="15" t="str">
        <f>IFERROR(__xludf.DUMMYFUNCTION("""COMPUTED_VALUE"""),"kg")</f>
        <v>kg</v>
      </c>
      <c r="I494" s="15" t="str">
        <f>IFERROR(__xludf.DUMMYFUNCTION("""COMPUTED_VALUE"""),"Deliver")</f>
        <v>Deliver</v>
      </c>
      <c r="J494" s="15" t="str">
        <f>IFERROR(__xludf.DUMMYFUNCTION("""COMPUTED_VALUE"""),"-")</f>
        <v>-</v>
      </c>
      <c r="K494" s="15" t="str">
        <f>IFERROR(__xludf.DUMMYFUNCTION("""COMPUTED_VALUE"""),"-")</f>
        <v>-</v>
      </c>
      <c r="L494" s="15" t="str">
        <f>IFERROR(__xludf.DUMMYFUNCTION("""COMPUTED_VALUE"""),"Normal")</f>
        <v>Normal</v>
      </c>
      <c r="M494" s="18" t="s">
        <v>48</v>
      </c>
      <c r="N494" s="18" t="s">
        <v>28</v>
      </c>
    </row>
    <row r="495" hidden="1">
      <c r="A495" s="15" t="str">
        <f>IFERROR(__xludf.DUMMYFUNCTION("""COMPUTED_VALUE"""),"SFHBR0027")</f>
        <v>SFHBR0027</v>
      </c>
      <c r="B495" s="16">
        <f>IFERROR(__xludf.DUMMYFUNCTION("""COMPUTED_VALUE"""),45856.946698657404)</f>
        <v>45856.9467</v>
      </c>
      <c r="C495" s="17">
        <f>IFERROR(__xludf.DUMMYFUNCTION("""COMPUTED_VALUE"""),45860.84815597222)</f>
        <v>45860.84816</v>
      </c>
      <c r="D495" s="15" t="str">
        <f>IFERROR(__xludf.DUMMYFUNCTION("""COMPUTED_VALUE"""),"lantai 2")</f>
        <v>lantai 2</v>
      </c>
      <c r="E495" s="15" t="str">
        <f>IFERROR(__xludf.DUMMYFUNCTION("""COMPUTED_VALUE"""),"-")</f>
        <v>-</v>
      </c>
      <c r="F495" s="15" t="str">
        <f>IFERROR(__xludf.DUMMYFUNCTION("""COMPUTED_VALUE"""),"nachi mata bor besi")</f>
        <v>nachi mata bor besi</v>
      </c>
      <c r="G495" s="15">
        <f>IFERROR(__xludf.DUMMYFUNCTION("""COMPUTED_VALUE"""),1.0)</f>
        <v>1</v>
      </c>
      <c r="H495" s="15" t="str">
        <f>IFERROR(__xludf.DUMMYFUNCTION("""COMPUTED_VALUE"""),"set")</f>
        <v>set</v>
      </c>
      <c r="I495" s="15" t="str">
        <f>IFERROR(__xludf.DUMMYFUNCTION("""COMPUTED_VALUE"""),"Deliver")</f>
        <v>Deliver</v>
      </c>
      <c r="J495" s="15" t="str">
        <f>IFERROR(__xludf.DUMMYFUNCTION("""COMPUTED_VALUE"""),"-")</f>
        <v>-</v>
      </c>
      <c r="K495" s="15" t="str">
        <f>IFERROR(__xludf.DUMMYFUNCTION("""COMPUTED_VALUE"""),"-")</f>
        <v>-</v>
      </c>
      <c r="L495" s="15" t="str">
        <f>IFERROR(__xludf.DUMMYFUNCTION("""COMPUTED_VALUE"""),"Normal")</f>
        <v>Normal</v>
      </c>
      <c r="M495" s="18" t="s">
        <v>27</v>
      </c>
      <c r="N495" s="18" t="s">
        <v>28</v>
      </c>
    </row>
    <row r="496" hidden="1">
      <c r="A496" s="15" t="str">
        <f>IFERROR(__xludf.DUMMYFUNCTION("""COMPUTED_VALUE"""),"SFHRO0012")</f>
        <v>SFHRO0012</v>
      </c>
      <c r="B496" s="16">
        <f>IFERROR(__xludf.DUMMYFUNCTION("""COMPUTED_VALUE"""),45860.49651092592)</f>
        <v>45860.49651</v>
      </c>
      <c r="C496" s="17">
        <f>IFERROR(__xludf.DUMMYFUNCTION("""COMPUTED_VALUE"""),45860.84839928241)</f>
        <v>45860.8484</v>
      </c>
      <c r="D496" s="15" t="str">
        <f>IFERROR(__xludf.DUMMYFUNCTION("""COMPUTED_VALUE"""),"lantai 2")</f>
        <v>lantai 2</v>
      </c>
      <c r="E496" s="15" t="str">
        <f>IFERROR(__xludf.DUMMYFUNCTION("""COMPUTED_VALUE"""),"-")</f>
        <v>-</v>
      </c>
      <c r="F496" s="15" t="str">
        <f>IFERROR(__xludf.DUMMYFUNCTION("""COMPUTED_VALUE"""),"Cat Durogloss DR-2000; Propan; Type Spiders Web 90YY 73/040; 0,9 L/can")</f>
        <v>Cat Durogloss DR-2000; Propan; Type Spiders Web 90YY 73/040; 0,9 L/can</v>
      </c>
      <c r="G496" s="15">
        <f>IFERROR(__xludf.DUMMYFUNCTION("""COMPUTED_VALUE"""),1.0)</f>
        <v>1</v>
      </c>
      <c r="H496" s="15" t="str">
        <f>IFERROR(__xludf.DUMMYFUNCTION("""COMPUTED_VALUE"""),"pel")</f>
        <v>pel</v>
      </c>
      <c r="I496" s="15" t="str">
        <f>IFERROR(__xludf.DUMMYFUNCTION("""COMPUTED_VALUE"""),"Deliver")</f>
        <v>Deliver</v>
      </c>
      <c r="J496" s="15" t="str">
        <f>IFERROR(__xludf.DUMMYFUNCTION("""COMPUTED_VALUE"""),"-")</f>
        <v>-</v>
      </c>
      <c r="K496" s="15" t="str">
        <f>IFERROR(__xludf.DUMMYFUNCTION("""COMPUTED_VALUE"""),"-")</f>
        <v>-</v>
      </c>
      <c r="L496" s="15" t="str">
        <f>IFERROR(__xludf.DUMMYFUNCTION("""COMPUTED_VALUE"""),"Normal")</f>
        <v>Normal</v>
      </c>
      <c r="M496" s="18" t="s">
        <v>27</v>
      </c>
      <c r="N496" s="18" t="s">
        <v>28</v>
      </c>
    </row>
    <row r="497" hidden="1">
      <c r="A497" s="15" t="str">
        <f>IFERROR(__xludf.DUMMYFUNCTION("""COMPUTED_VALUE"""),"MRNJA0008")</f>
        <v>MRNJA0008</v>
      </c>
      <c r="B497" s="16">
        <f>IFERROR(__xludf.DUMMYFUNCTION("""COMPUTED_VALUE"""),45860.863942337965)</f>
        <v>45860.86394</v>
      </c>
      <c r="C497" s="17">
        <f>IFERROR(__xludf.DUMMYFUNCTION("""COMPUTED_VALUE"""),45864.92105436343)</f>
        <v>45864.92105</v>
      </c>
      <c r="D497" s="15" t="str">
        <f>IFERROR(__xludf.DUMMYFUNCTION("""COMPUTED_VALUE"""),"Toilet lantai 2")</f>
        <v>Toilet lantai 2</v>
      </c>
      <c r="E497" s="15" t="str">
        <f>IFERROR(__xludf.DUMMYFUNCTION("""COMPUTED_VALUE"""),"EJO/2025/02/02")</f>
        <v>EJO/2025/02/02</v>
      </c>
      <c r="F497" s="15" t="str">
        <f>IFERROR(__xludf.DUMMYFUNCTION("""COMPUTED_VALUE"""),"Ada rembesan di mezzanine dibawah toilet jongkok eng")</f>
        <v>Ada rembesan di mezzanine dibawah toilet jongkok eng</v>
      </c>
      <c r="G497" s="15">
        <f>IFERROR(__xludf.DUMMYFUNCTION("""COMPUTED_VALUE"""),1.0)</f>
        <v>1</v>
      </c>
      <c r="H497" s="15" t="str">
        <f>IFERROR(__xludf.DUMMYFUNCTION("""COMPUTED_VALUE"""),"lot")</f>
        <v>lot</v>
      </c>
      <c r="I497" s="15" t="str">
        <f>IFERROR(__xludf.DUMMYFUNCTION("""COMPUTED_VALUE"""),"Deliver")</f>
        <v>Deliver</v>
      </c>
      <c r="J497" s="15" t="str">
        <f>IFERROR(__xludf.DUMMYFUNCTION("""COMPUTED_VALUE"""),"-")</f>
        <v>-</v>
      </c>
      <c r="K497" s="15" t="str">
        <f>IFERROR(__xludf.DUMMYFUNCTION("""COMPUTED_VALUE"""),"-")</f>
        <v>-</v>
      </c>
      <c r="L497" s="15" t="str">
        <f>IFERROR(__xludf.DUMMYFUNCTION("""COMPUTED_VALUE"""),"Normal")</f>
        <v>Normal</v>
      </c>
      <c r="M497" s="18" t="s">
        <v>48</v>
      </c>
      <c r="N497" s="18" t="s">
        <v>28</v>
      </c>
    </row>
    <row r="498" hidden="1">
      <c r="A498" s="15" t="str">
        <f>IFERROR(__xludf.DUMMYFUNCTION("""COMPUTED_VALUE"""),"MFHRO0122")</f>
        <v>MFHRO0122</v>
      </c>
      <c r="B498" s="16">
        <f>IFERROR(__xludf.DUMMYFUNCTION("""COMPUTED_VALUE"""),45865.64966880787)</f>
        <v>45865.64967</v>
      </c>
      <c r="C498" s="17">
        <f>IFERROR(__xludf.DUMMYFUNCTION("""COMPUTED_VALUE"""),45865.916064247685)</f>
        <v>45865.91606</v>
      </c>
      <c r="D498" s="15" t="str">
        <f>IFERROR(__xludf.DUMMYFUNCTION("""COMPUTED_VALUE"""),"Lab")</f>
        <v>Lab</v>
      </c>
      <c r="E498" s="15" t="str">
        <f>IFERROR(__xludf.DUMMYFUNCTION("""COMPUTED_VALUE"""),"-")</f>
        <v>-</v>
      </c>
      <c r="F498" s="15" t="str">
        <f>IFERROR(__xludf.DUMMYFUNCTION("""COMPUTED_VALUE"""),"Inlet liner, Ultra Inert, split, low pressure drop, glass wool; Agilent; Part No. 5190-2295; 1/pk")</f>
        <v>Inlet liner, Ultra Inert, split, low pressure drop, glass wool; Agilent; Part No. 5190-2295; 1/pk</v>
      </c>
      <c r="G498" s="15">
        <f>IFERROR(__xludf.DUMMYFUNCTION("""COMPUTED_VALUE"""),2.0)</f>
        <v>2</v>
      </c>
      <c r="H498" s="15" t="str">
        <f>IFERROR(__xludf.DUMMYFUNCTION("""COMPUTED_VALUE"""),"Pieces")</f>
        <v>Pieces</v>
      </c>
      <c r="I498" s="15" t="str">
        <f>IFERROR(__xludf.DUMMYFUNCTION("""COMPUTED_VALUE"""),"Deliver")</f>
        <v>Deliver</v>
      </c>
      <c r="J498" s="15" t="str">
        <f>IFERROR(__xludf.DUMMYFUNCTION("""COMPUTED_VALUE"""),"-")</f>
        <v>-</v>
      </c>
      <c r="K498" s="15" t="str">
        <f>IFERROR(__xludf.DUMMYFUNCTION("""COMPUTED_VALUE"""),"-")</f>
        <v>-</v>
      </c>
      <c r="L498" s="15" t="str">
        <f>IFERROR(__xludf.DUMMYFUNCTION("""COMPUTED_VALUE"""),"Normal")</f>
        <v>Normal</v>
      </c>
      <c r="M498" s="18" t="s">
        <v>53</v>
      </c>
      <c r="N498" s="18" t="s">
        <v>54</v>
      </c>
    </row>
    <row r="499" hidden="1">
      <c r="A499" s="15" t="str">
        <f>IFERROR(__xludf.DUMMYFUNCTION("""COMPUTED_VALUE"""),"MFHRO0123")</f>
        <v>MFHRO0123</v>
      </c>
      <c r="B499" s="16">
        <f>IFERROR(__xludf.DUMMYFUNCTION("""COMPUTED_VALUE"""),45865.64966880787)</f>
        <v>45865.64967</v>
      </c>
      <c r="C499" s="17">
        <f>IFERROR(__xludf.DUMMYFUNCTION("""COMPUTED_VALUE"""),45865.91616284722)</f>
        <v>45865.91616</v>
      </c>
      <c r="D499" s="15" t="str">
        <f>IFERROR(__xludf.DUMMYFUNCTION("""COMPUTED_VALUE"""),"Lab")</f>
        <v>Lab</v>
      </c>
      <c r="E499" s="15" t="str">
        <f>IFERROR(__xludf.DUMMYFUNCTION("""COMPUTED_VALUE"""),"-")</f>
        <v>-</v>
      </c>
      <c r="F499" s="15" t="str">
        <f>IFERROR(__xludf.DUMMYFUNCTION("""COMPUTED_VALUE"""),"Septum Bleed/Temp Opt. Non-Stick 11 mm Septa ; Agilent; Part No. 5183-4757; 50/pk")</f>
        <v>Septum Bleed/Temp Opt. Non-Stick 11 mm Septa ; Agilent; Part No. 5183-4757; 50/pk</v>
      </c>
      <c r="G499" s="15">
        <f>IFERROR(__xludf.DUMMYFUNCTION("""COMPUTED_VALUE"""),1.0)</f>
        <v>1</v>
      </c>
      <c r="H499" s="15" t="str">
        <f>IFERROR(__xludf.DUMMYFUNCTION("""COMPUTED_VALUE"""),"Pack")</f>
        <v>Pack</v>
      </c>
      <c r="I499" s="15" t="str">
        <f>IFERROR(__xludf.DUMMYFUNCTION("""COMPUTED_VALUE"""),"Deliver")</f>
        <v>Deliver</v>
      </c>
      <c r="J499" s="15" t="str">
        <f>IFERROR(__xludf.DUMMYFUNCTION("""COMPUTED_VALUE"""),"-")</f>
        <v>-</v>
      </c>
      <c r="K499" s="15" t="str">
        <f>IFERROR(__xludf.DUMMYFUNCTION("""COMPUTED_VALUE"""),"-")</f>
        <v>-</v>
      </c>
      <c r="L499" s="15" t="str">
        <f>IFERROR(__xludf.DUMMYFUNCTION("""COMPUTED_VALUE"""),"Normal")</f>
        <v>Normal</v>
      </c>
      <c r="M499" s="18" t="s">
        <v>53</v>
      </c>
      <c r="N499" s="18" t="s">
        <v>54</v>
      </c>
    </row>
    <row r="500" hidden="1">
      <c r="A500" s="15" t="str">
        <f>IFERROR(__xludf.DUMMYFUNCTION("""COMPUTED_VALUE"""),"MFHRO0124")</f>
        <v>MFHRO0124</v>
      </c>
      <c r="B500" s="16">
        <f>IFERROR(__xludf.DUMMYFUNCTION("""COMPUTED_VALUE"""),45865.64966880787)</f>
        <v>45865.64967</v>
      </c>
      <c r="C500" s="17">
        <f>IFERROR(__xludf.DUMMYFUNCTION("""COMPUTED_VALUE"""),45865.91628430555)</f>
        <v>45865.91628</v>
      </c>
      <c r="D500" s="15" t="str">
        <f>IFERROR(__xludf.DUMMYFUNCTION("""COMPUTED_VALUE"""),"General")</f>
        <v>General</v>
      </c>
      <c r="E500" s="15" t="str">
        <f>IFERROR(__xludf.DUMMYFUNCTION("""COMPUTED_VALUE"""),"-")</f>
        <v>-</v>
      </c>
      <c r="F500" s="15" t="str">
        <f>IFERROR(__xludf.DUMMYFUNCTION("""COMPUTED_VALUE"""),"Isolasi AC- Sansui")</f>
        <v>Isolasi AC- Sansui</v>
      </c>
      <c r="G500" s="15">
        <f>IFERROR(__xludf.DUMMYFUNCTION("""COMPUTED_VALUE"""),15.0)</f>
        <v>15</v>
      </c>
      <c r="H500" s="15" t="str">
        <f>IFERROR(__xludf.DUMMYFUNCTION("""COMPUTED_VALUE"""),"Pieces")</f>
        <v>Pieces</v>
      </c>
      <c r="I500" s="15" t="str">
        <f>IFERROR(__xludf.DUMMYFUNCTION("""COMPUTED_VALUE"""),"Deliver")</f>
        <v>Deliver</v>
      </c>
      <c r="J500" s="15" t="str">
        <f>IFERROR(__xludf.DUMMYFUNCTION("""COMPUTED_VALUE"""),"-")</f>
        <v>-</v>
      </c>
      <c r="K500" s="15" t="str">
        <f>IFERROR(__xludf.DUMMYFUNCTION("""COMPUTED_VALUE"""),"-")</f>
        <v>-</v>
      </c>
      <c r="L500" s="15" t="str">
        <f>IFERROR(__xludf.DUMMYFUNCTION("""COMPUTED_VALUE"""),"Normal")</f>
        <v>Normal</v>
      </c>
      <c r="M500" s="18" t="s">
        <v>53</v>
      </c>
      <c r="N500" s="18" t="s">
        <v>54</v>
      </c>
    </row>
    <row r="501" hidden="1">
      <c r="A501" s="15" t="str">
        <f>IFERROR(__xludf.DUMMYFUNCTION("""COMPUTED_VALUE"""),"MFHRO0125")</f>
        <v>MFHRO0125</v>
      </c>
      <c r="B501" s="16">
        <f>IFERROR(__xludf.DUMMYFUNCTION("""COMPUTED_VALUE"""),45865.64966880787)</f>
        <v>45865.64967</v>
      </c>
      <c r="C501" s="17">
        <f>IFERROR(__xludf.DUMMYFUNCTION("""COMPUTED_VALUE"""),45865.91643024306)</f>
        <v>45865.91643</v>
      </c>
      <c r="D501" s="15" t="str">
        <f>IFERROR(__xludf.DUMMYFUNCTION("""COMPUTED_VALUE"""),"General")</f>
        <v>General</v>
      </c>
      <c r="E501" s="15" t="str">
        <f>IFERROR(__xludf.DUMMYFUNCTION("""COMPUTED_VALUE"""),"-")</f>
        <v>-</v>
      </c>
      <c r="F501" s="15" t="str">
        <f>IFERROR(__xludf.DUMMYFUNCTION("""COMPUTED_VALUE"""),"Pneumatic  Fitting - QS 10-8 / PN : 153039 / Festo")</f>
        <v>Pneumatic  Fitting - QS 10-8 / PN : 153039 / Festo</v>
      </c>
      <c r="G501" s="15">
        <f>IFERROR(__xludf.DUMMYFUNCTION("""COMPUTED_VALUE"""),10.0)</f>
        <v>10</v>
      </c>
      <c r="H501" s="15" t="str">
        <f>IFERROR(__xludf.DUMMYFUNCTION("""COMPUTED_VALUE"""),"Pieces")</f>
        <v>Pieces</v>
      </c>
      <c r="I501" s="15" t="str">
        <f>IFERROR(__xludf.DUMMYFUNCTION("""COMPUTED_VALUE"""),"Deliver")</f>
        <v>Deliver</v>
      </c>
      <c r="J501" s="15" t="str">
        <f>IFERROR(__xludf.DUMMYFUNCTION("""COMPUTED_VALUE"""),"-")</f>
        <v>-</v>
      </c>
      <c r="K501" s="15" t="str">
        <f>IFERROR(__xludf.DUMMYFUNCTION("""COMPUTED_VALUE"""),"-")</f>
        <v>-</v>
      </c>
      <c r="L501" s="15" t="str">
        <f>IFERROR(__xludf.DUMMYFUNCTION("""COMPUTED_VALUE"""),"Normal")</f>
        <v>Normal</v>
      </c>
      <c r="M501" s="18" t="s">
        <v>53</v>
      </c>
      <c r="N501" s="18" t="s">
        <v>54</v>
      </c>
    </row>
    <row r="502" hidden="1">
      <c r="A502" s="15" t="str">
        <f>IFERROR(__xludf.DUMMYFUNCTION("""COMPUTED_VALUE"""),"MFHRO0126")</f>
        <v>MFHRO0126</v>
      </c>
      <c r="B502" s="16">
        <f>IFERROR(__xludf.DUMMYFUNCTION("""COMPUTED_VALUE"""),45865.64966880787)</f>
        <v>45865.64967</v>
      </c>
      <c r="C502" s="17">
        <f>IFERROR(__xludf.DUMMYFUNCTION("""COMPUTED_VALUE"""),45865.91652328704)</f>
        <v>45865.91652</v>
      </c>
      <c r="D502" s="15" t="str">
        <f>IFERROR(__xludf.DUMMYFUNCTION("""COMPUTED_VALUE"""),"AHU")</f>
        <v>AHU</v>
      </c>
      <c r="E502" s="15" t="str">
        <f>IFERROR(__xludf.DUMMYFUNCTION("""COMPUTED_VALUE"""),"-")</f>
        <v>-</v>
      </c>
      <c r="F502" s="15" t="str">
        <f>IFERROR(__xludf.DUMMYFUNCTION("""COMPUTED_VALUE"""),"General - Flexible Ducting Pipa Alumunium 4inch; No Brand; -; 1 pc")</f>
        <v>General - Flexible Ducting Pipa Alumunium 4inch; No Brand; -; 1 pc</v>
      </c>
      <c r="G502" s="15">
        <f>IFERROR(__xludf.DUMMYFUNCTION("""COMPUTED_VALUE"""),3.0)</f>
        <v>3</v>
      </c>
      <c r="H502" s="15" t="str">
        <f>IFERROR(__xludf.DUMMYFUNCTION("""COMPUTED_VALUE"""),"Pieces")</f>
        <v>Pieces</v>
      </c>
      <c r="I502" s="15" t="str">
        <f>IFERROR(__xludf.DUMMYFUNCTION("""COMPUTED_VALUE"""),"Deliver")</f>
        <v>Deliver</v>
      </c>
      <c r="J502" s="15" t="str">
        <f>IFERROR(__xludf.DUMMYFUNCTION("""COMPUTED_VALUE"""),"-")</f>
        <v>-</v>
      </c>
      <c r="K502" s="15" t="str">
        <f>IFERROR(__xludf.DUMMYFUNCTION("""COMPUTED_VALUE"""),"-")</f>
        <v>-</v>
      </c>
      <c r="L502" s="15" t="str">
        <f>IFERROR(__xludf.DUMMYFUNCTION("""COMPUTED_VALUE"""),"Normal")</f>
        <v>Normal</v>
      </c>
      <c r="M502" s="18" t="s">
        <v>53</v>
      </c>
      <c r="N502" s="18" t="s">
        <v>54</v>
      </c>
    </row>
    <row r="503" hidden="1">
      <c r="A503" s="15" t="str">
        <f>IFERROR(__xludf.DUMMYFUNCTION("""COMPUTED_VALUE"""),"MFHRO0127")</f>
        <v>MFHRO0127</v>
      </c>
      <c r="B503" s="16">
        <f>IFERROR(__xludf.DUMMYFUNCTION("""COMPUTED_VALUE"""),45865.64966880787)</f>
        <v>45865.64967</v>
      </c>
      <c r="C503" s="17">
        <f>IFERROR(__xludf.DUMMYFUNCTION("""COMPUTED_VALUE"""),45865.91663498843)</f>
        <v>45865.91663</v>
      </c>
      <c r="D503" s="15" t="str">
        <f>IFERROR(__xludf.DUMMYFUNCTION("""COMPUTED_VALUE"""),"Washbay")</f>
        <v>Washbay</v>
      </c>
      <c r="E503" s="15" t="str">
        <f>IFERROR(__xludf.DUMMYFUNCTION("""COMPUTED_VALUE"""),"-")</f>
        <v>-</v>
      </c>
      <c r="F503" s="15" t="str">
        <f>IFERROR(__xludf.DUMMYFUNCTION("""COMPUTED_VALUE"""),"Button Box 3 hole dia 22 mm; ; ;")</f>
        <v>Button Box 3 hole dia 22 mm; ; ;</v>
      </c>
      <c r="G503" s="15">
        <f>IFERROR(__xludf.DUMMYFUNCTION("""COMPUTED_VALUE"""),1.0)</f>
        <v>1</v>
      </c>
      <c r="H503" s="15" t="str">
        <f>IFERROR(__xludf.DUMMYFUNCTION("""COMPUTED_VALUE"""),"Pieces")</f>
        <v>Pieces</v>
      </c>
      <c r="I503" s="15" t="str">
        <f>IFERROR(__xludf.DUMMYFUNCTION("""COMPUTED_VALUE"""),"Deliver")</f>
        <v>Deliver</v>
      </c>
      <c r="J503" s="15" t="str">
        <f>IFERROR(__xludf.DUMMYFUNCTION("""COMPUTED_VALUE"""),"-")</f>
        <v>-</v>
      </c>
      <c r="K503" s="15" t="str">
        <f>IFERROR(__xludf.DUMMYFUNCTION("""COMPUTED_VALUE"""),"-")</f>
        <v>-</v>
      </c>
      <c r="L503" s="15" t="str">
        <f>IFERROR(__xludf.DUMMYFUNCTION("""COMPUTED_VALUE"""),"Normal")</f>
        <v>Normal</v>
      </c>
      <c r="M503" s="18" t="s">
        <v>53</v>
      </c>
      <c r="N503" s="18" t="s">
        <v>54</v>
      </c>
    </row>
    <row r="504" hidden="1">
      <c r="A504" s="15" t="str">
        <f>IFERROR(__xludf.DUMMYFUNCTION("""COMPUTED_VALUE"""),"MFHRO0128")</f>
        <v>MFHRO0128</v>
      </c>
      <c r="B504" s="16">
        <f>IFERROR(__xludf.DUMMYFUNCTION("""COMPUTED_VALUE"""),45865.64966880787)</f>
        <v>45865.64967</v>
      </c>
      <c r="C504" s="17">
        <f>IFERROR(__xludf.DUMMYFUNCTION("""COMPUTED_VALUE"""),45865.91674350695)</f>
        <v>45865.91674</v>
      </c>
      <c r="D504" s="15" t="str">
        <f>IFERROR(__xludf.DUMMYFUNCTION("""COMPUTED_VALUE"""),"Washbay")</f>
        <v>Washbay</v>
      </c>
      <c r="E504" s="15" t="str">
        <f>IFERROR(__xludf.DUMMYFUNCTION("""COMPUTED_VALUE"""),"-")</f>
        <v>-</v>
      </c>
      <c r="F504" s="15" t="str">
        <f>IFERROR(__xludf.DUMMYFUNCTION("""COMPUTED_VALUE"""),"General - Plug Silincer 1/4inch; No Brand; -; 1 pc")</f>
        <v>General - Plug Silincer 1/4inch; No Brand; -; 1 pc</v>
      </c>
      <c r="G504" s="15">
        <f>IFERROR(__xludf.DUMMYFUNCTION("""COMPUTED_VALUE"""),1.0)</f>
        <v>1</v>
      </c>
      <c r="H504" s="15" t="str">
        <f>IFERROR(__xludf.DUMMYFUNCTION("""COMPUTED_VALUE"""),"Pieces")</f>
        <v>Pieces</v>
      </c>
      <c r="I504" s="15" t="str">
        <f>IFERROR(__xludf.DUMMYFUNCTION("""COMPUTED_VALUE"""),"Deliver")</f>
        <v>Deliver</v>
      </c>
      <c r="J504" s="15" t="str">
        <f>IFERROR(__xludf.DUMMYFUNCTION("""COMPUTED_VALUE"""),"-")</f>
        <v>-</v>
      </c>
      <c r="K504" s="15" t="str">
        <f>IFERROR(__xludf.DUMMYFUNCTION("""COMPUTED_VALUE"""),"-")</f>
        <v>-</v>
      </c>
      <c r="L504" s="15" t="str">
        <f>IFERROR(__xludf.DUMMYFUNCTION("""COMPUTED_VALUE"""),"Normal")</f>
        <v>Normal</v>
      </c>
      <c r="M504" s="18" t="s">
        <v>53</v>
      </c>
      <c r="N504" s="18" t="s">
        <v>54</v>
      </c>
    </row>
    <row r="505" hidden="1">
      <c r="A505" s="15" t="str">
        <f>IFERROR(__xludf.DUMMYFUNCTION("""COMPUTED_VALUE"""),"MFHRO0129")</f>
        <v>MFHRO0129</v>
      </c>
      <c r="B505" s="16">
        <f>IFERROR(__xludf.DUMMYFUNCTION("""COMPUTED_VALUE"""),45865.64966880787)</f>
        <v>45865.64967</v>
      </c>
      <c r="C505" s="17">
        <f>IFERROR(__xludf.DUMMYFUNCTION("""COMPUTED_VALUE"""),45865.91685944445)</f>
        <v>45865.91686</v>
      </c>
      <c r="D505" s="15" t="str">
        <f>IFERROR(__xludf.DUMMYFUNCTION("""COMPUTED_VALUE"""),"Washbay")</f>
        <v>Washbay</v>
      </c>
      <c r="E505" s="15" t="str">
        <f>IFERROR(__xludf.DUMMYFUNCTION("""COMPUTED_VALUE"""),"-")</f>
        <v>-</v>
      </c>
      <c r="F505" s="15" t="str">
        <f>IFERROR(__xludf.DUMMYFUNCTION("""COMPUTED_VALUE"""),"Selenoid Valve  4V210-08 24 VDC; ; ;")</f>
        <v>Selenoid Valve  4V210-08 24 VDC; ; ;</v>
      </c>
      <c r="G505" s="15">
        <f>IFERROR(__xludf.DUMMYFUNCTION("""COMPUTED_VALUE"""),1.0)</f>
        <v>1</v>
      </c>
      <c r="H505" s="15" t="str">
        <f>IFERROR(__xludf.DUMMYFUNCTION("""COMPUTED_VALUE"""),"Pieces")</f>
        <v>Pieces</v>
      </c>
      <c r="I505" s="15" t="str">
        <f>IFERROR(__xludf.DUMMYFUNCTION("""COMPUTED_VALUE"""),"Deliver")</f>
        <v>Deliver</v>
      </c>
      <c r="J505" s="15" t="str">
        <f>IFERROR(__xludf.DUMMYFUNCTION("""COMPUTED_VALUE"""),"-")</f>
        <v>-</v>
      </c>
      <c r="K505" s="15" t="str">
        <f>IFERROR(__xludf.DUMMYFUNCTION("""COMPUTED_VALUE"""),"-")</f>
        <v>-</v>
      </c>
      <c r="L505" s="15" t="str">
        <f>IFERROR(__xludf.DUMMYFUNCTION("""COMPUTED_VALUE"""),"Normal")</f>
        <v>Normal</v>
      </c>
      <c r="M505" s="18" t="s">
        <v>53</v>
      </c>
      <c r="N505" s="18" t="s">
        <v>54</v>
      </c>
    </row>
    <row r="506" hidden="1">
      <c r="A506" s="15" t="str">
        <f>IFERROR(__xludf.DUMMYFUNCTION("""COMPUTED_VALUE"""),"MFHRO0130")</f>
        <v>MFHRO0130</v>
      </c>
      <c r="B506" s="16">
        <f>IFERROR(__xludf.DUMMYFUNCTION("""COMPUTED_VALUE"""),45865.64966880787)</f>
        <v>45865.64967</v>
      </c>
      <c r="C506" s="17">
        <f>IFERROR(__xludf.DUMMYFUNCTION("""COMPUTED_VALUE"""),45865.91694549768)</f>
        <v>45865.91695</v>
      </c>
      <c r="D506" s="15" t="str">
        <f>IFERROR(__xludf.DUMMYFUNCTION("""COMPUTED_VALUE"""),"Washbay")</f>
        <v>Washbay</v>
      </c>
      <c r="E506" s="15" t="str">
        <f>IFERROR(__xludf.DUMMYFUNCTION("""COMPUTED_VALUE"""),"-")</f>
        <v>-</v>
      </c>
      <c r="F506" s="15" t="str">
        <f>IFERROR(__xludf.DUMMYFUNCTION("""COMPUTED_VALUE"""),"General - Selenoid 1/8inch, 24VDC; Airtac; 4V210-06; 1 pc")</f>
        <v>General - Selenoid 1/8inch, 24VDC; Airtac; 4V210-06; 1 pc</v>
      </c>
      <c r="G506" s="15">
        <f>IFERROR(__xludf.DUMMYFUNCTION("""COMPUTED_VALUE"""),3.0)</f>
        <v>3</v>
      </c>
      <c r="H506" s="15" t="str">
        <f>IFERROR(__xludf.DUMMYFUNCTION("""COMPUTED_VALUE"""),"Pieces")</f>
        <v>Pieces</v>
      </c>
      <c r="I506" s="15" t="str">
        <f>IFERROR(__xludf.DUMMYFUNCTION("""COMPUTED_VALUE"""),"Deliver")</f>
        <v>Deliver</v>
      </c>
      <c r="J506" s="15" t="str">
        <f>IFERROR(__xludf.DUMMYFUNCTION("""COMPUTED_VALUE"""),"-")</f>
        <v>-</v>
      </c>
      <c r="K506" s="15" t="str">
        <f>IFERROR(__xludf.DUMMYFUNCTION("""COMPUTED_VALUE"""),"-")</f>
        <v>-</v>
      </c>
      <c r="L506" s="15" t="str">
        <f>IFERROR(__xludf.DUMMYFUNCTION("""COMPUTED_VALUE"""),"Normal")</f>
        <v>Normal</v>
      </c>
      <c r="M506" s="18" t="s">
        <v>53</v>
      </c>
      <c r="N506" s="18" t="s">
        <v>54</v>
      </c>
    </row>
    <row r="507" hidden="1">
      <c r="A507" s="15" t="str">
        <f>IFERROR(__xludf.DUMMYFUNCTION("""COMPUTED_VALUE"""),"MFHRO0131")</f>
        <v>MFHRO0131</v>
      </c>
      <c r="B507" s="16">
        <f>IFERROR(__xludf.DUMMYFUNCTION("""COMPUTED_VALUE"""),45865.64966880787)</f>
        <v>45865.64967</v>
      </c>
      <c r="C507" s="17">
        <f>IFERROR(__xludf.DUMMYFUNCTION("""COMPUTED_VALUE"""),45865.91707944445)</f>
        <v>45865.91708</v>
      </c>
      <c r="D507" s="15" t="str">
        <f>IFERROR(__xludf.DUMMYFUNCTION("""COMPUTED_VALUE"""),"Washbay")</f>
        <v>Washbay</v>
      </c>
      <c r="E507" s="15" t="str">
        <f>IFERROR(__xludf.DUMMYFUNCTION("""COMPUTED_VALUE"""),"-")</f>
        <v>-</v>
      </c>
      <c r="F507" s="15" t="str">
        <f>IFERROR(__xludf.DUMMYFUNCTION("""COMPUTED_VALUE"""),"General - Fitting QS 1/8 x 6mm; EMC; -; 1 pc")</f>
        <v>General - Fitting QS 1/8 x 6mm; EMC; -; 1 pc</v>
      </c>
      <c r="G507" s="15">
        <f>IFERROR(__xludf.DUMMYFUNCTION("""COMPUTED_VALUE"""),10.0)</f>
        <v>10</v>
      </c>
      <c r="H507" s="15" t="str">
        <f>IFERROR(__xludf.DUMMYFUNCTION("""COMPUTED_VALUE"""),"Pieces")</f>
        <v>Pieces</v>
      </c>
      <c r="I507" s="15" t="str">
        <f>IFERROR(__xludf.DUMMYFUNCTION("""COMPUTED_VALUE"""),"Deliver")</f>
        <v>Deliver</v>
      </c>
      <c r="J507" s="15" t="str">
        <f>IFERROR(__xludf.DUMMYFUNCTION("""COMPUTED_VALUE"""),"-")</f>
        <v>-</v>
      </c>
      <c r="K507" s="15" t="str">
        <f>IFERROR(__xludf.DUMMYFUNCTION("""COMPUTED_VALUE"""),"-")</f>
        <v>-</v>
      </c>
      <c r="L507" s="15" t="str">
        <f>IFERROR(__xludf.DUMMYFUNCTION("""COMPUTED_VALUE"""),"Normal")</f>
        <v>Normal</v>
      </c>
      <c r="M507" s="18" t="s">
        <v>53</v>
      </c>
      <c r="N507" s="18" t="s">
        <v>54</v>
      </c>
    </row>
    <row r="508" hidden="1">
      <c r="A508" s="15" t="str">
        <f>IFERROR(__xludf.DUMMYFUNCTION("""COMPUTED_VALUE"""),"MFHRO0132")</f>
        <v>MFHRO0132</v>
      </c>
      <c r="B508" s="16">
        <f>IFERROR(__xludf.DUMMYFUNCTION("""COMPUTED_VALUE"""),45865.64966880787)</f>
        <v>45865.64967</v>
      </c>
      <c r="C508" s="17">
        <f>IFERROR(__xludf.DUMMYFUNCTION("""COMPUTED_VALUE"""),45865.91717944445)</f>
        <v>45865.91718</v>
      </c>
      <c r="D508" s="15" t="str">
        <f>IFERROR(__xludf.DUMMYFUNCTION("""COMPUTED_VALUE"""),"Washbay")</f>
        <v>Washbay</v>
      </c>
      <c r="E508" s="15" t="str">
        <f>IFERROR(__xludf.DUMMYFUNCTION("""COMPUTED_VALUE"""),"-")</f>
        <v>-</v>
      </c>
      <c r="F508" s="15" t="str">
        <f>IFERROR(__xludf.DUMMYFUNCTION("""COMPUTED_VALUE"""),"General - Plug Silincer 1/8inch SS304; No Brand; -; 1 pc")</f>
        <v>General - Plug Silincer 1/8inch SS304; No Brand; -; 1 pc</v>
      </c>
      <c r="G508" s="15">
        <f>IFERROR(__xludf.DUMMYFUNCTION("""COMPUTED_VALUE"""),3.0)</f>
        <v>3</v>
      </c>
      <c r="H508" s="15" t="str">
        <f>IFERROR(__xludf.DUMMYFUNCTION("""COMPUTED_VALUE"""),"Pieces")</f>
        <v>Pieces</v>
      </c>
      <c r="I508" s="15" t="str">
        <f>IFERROR(__xludf.DUMMYFUNCTION("""COMPUTED_VALUE"""),"Deliver")</f>
        <v>Deliver</v>
      </c>
      <c r="J508" s="15" t="str">
        <f>IFERROR(__xludf.DUMMYFUNCTION("""COMPUTED_VALUE"""),"-")</f>
        <v>-</v>
      </c>
      <c r="K508" s="15" t="str">
        <f>IFERROR(__xludf.DUMMYFUNCTION("""COMPUTED_VALUE"""),"-")</f>
        <v>-</v>
      </c>
      <c r="L508" s="15" t="str">
        <f>IFERROR(__xludf.DUMMYFUNCTION("""COMPUTED_VALUE"""),"Normal")</f>
        <v>Normal</v>
      </c>
      <c r="M508" s="18" t="s">
        <v>53</v>
      </c>
      <c r="N508" s="18" t="s">
        <v>54</v>
      </c>
    </row>
    <row r="509" hidden="1">
      <c r="A509" s="15" t="str">
        <f>IFERROR(__xludf.DUMMYFUNCTION("""COMPUTED_VALUE"""),"MFHRO0133")</f>
        <v>MFHRO0133</v>
      </c>
      <c r="B509" s="16">
        <f>IFERROR(__xludf.DUMMYFUNCTION("""COMPUTED_VALUE"""),45865.64966880787)</f>
        <v>45865.64967</v>
      </c>
      <c r="C509" s="17">
        <f>IFERROR(__xludf.DUMMYFUNCTION("""COMPUTED_VALUE"""),45865.917285914344)</f>
        <v>45865.91729</v>
      </c>
      <c r="D509" s="15" t="str">
        <f>IFERROR(__xludf.DUMMYFUNCTION("""COMPUTED_VALUE"""),"Washbay")</f>
        <v>Washbay</v>
      </c>
      <c r="E509" s="15" t="str">
        <f>IFERROR(__xludf.DUMMYFUNCTION("""COMPUTED_VALUE"""),"-")</f>
        <v>-</v>
      </c>
      <c r="F509" s="15" t="str">
        <f>IFERROR(__xludf.DUMMYFUNCTION("""COMPUTED_VALUE"""),"General - Double Tape 1"" Merah; 3M; -; 1 Pc")</f>
        <v>General - Double Tape 1" Merah; 3M; -; 1 Pc</v>
      </c>
      <c r="G509" s="15">
        <f>IFERROR(__xludf.DUMMYFUNCTION("""COMPUTED_VALUE"""),1.0)</f>
        <v>1</v>
      </c>
      <c r="H509" s="15" t="str">
        <f>IFERROR(__xludf.DUMMYFUNCTION("""COMPUTED_VALUE"""),"Pieces")</f>
        <v>Pieces</v>
      </c>
      <c r="I509" s="15" t="str">
        <f>IFERROR(__xludf.DUMMYFUNCTION("""COMPUTED_VALUE"""),"Deliver")</f>
        <v>Deliver</v>
      </c>
      <c r="J509" s="15" t="str">
        <f>IFERROR(__xludf.DUMMYFUNCTION("""COMPUTED_VALUE"""),"-")</f>
        <v>-</v>
      </c>
      <c r="K509" s="15" t="str">
        <f>IFERROR(__xludf.DUMMYFUNCTION("""COMPUTED_VALUE"""),"-")</f>
        <v>-</v>
      </c>
      <c r="L509" s="15" t="str">
        <f>IFERROR(__xludf.DUMMYFUNCTION("""COMPUTED_VALUE"""),"Normal")</f>
        <v>Normal</v>
      </c>
      <c r="M509" s="18" t="s">
        <v>53</v>
      </c>
      <c r="N509" s="18" t="s">
        <v>54</v>
      </c>
    </row>
    <row r="510" hidden="1">
      <c r="A510" s="15" t="str">
        <f>IFERROR(__xludf.DUMMYFUNCTION("""COMPUTED_VALUE"""),"MFHRO0134")</f>
        <v>MFHRO0134</v>
      </c>
      <c r="B510" s="16">
        <f>IFERROR(__xludf.DUMMYFUNCTION("""COMPUTED_VALUE"""),45865.64966880787)</f>
        <v>45865.64967</v>
      </c>
      <c r="C510" s="17">
        <f>IFERROR(__xludf.DUMMYFUNCTION("""COMPUTED_VALUE"""),45865.91738510416)</f>
        <v>45865.91739</v>
      </c>
      <c r="D510" s="15" t="str">
        <f>IFERROR(__xludf.DUMMYFUNCTION("""COMPUTED_VALUE"""),"Washbay")</f>
        <v>Washbay</v>
      </c>
      <c r="E510" s="15" t="str">
        <f>IFERROR(__xludf.DUMMYFUNCTION("""COMPUTED_VALUE"""),"-")</f>
        <v>-</v>
      </c>
      <c r="F510" s="15" t="str">
        <f>IFERROR(__xludf.DUMMYFUNCTION("""COMPUTED_VALUE"""),"General - Baut M4 x 60mm + Mur + Ring; No Brand; -; 1 pc")</f>
        <v>General - Baut M4 x 60mm + Mur + Ring; No Brand; -; 1 pc</v>
      </c>
      <c r="G510" s="15">
        <f>IFERROR(__xludf.DUMMYFUNCTION("""COMPUTED_VALUE"""),8.0)</f>
        <v>8</v>
      </c>
      <c r="H510" s="15" t="str">
        <f>IFERROR(__xludf.DUMMYFUNCTION("""COMPUTED_VALUE"""),"Pieces")</f>
        <v>Pieces</v>
      </c>
      <c r="I510" s="15" t="str">
        <f>IFERROR(__xludf.DUMMYFUNCTION("""COMPUTED_VALUE"""),"Deliver")</f>
        <v>Deliver</v>
      </c>
      <c r="J510" s="15" t="str">
        <f>IFERROR(__xludf.DUMMYFUNCTION("""COMPUTED_VALUE"""),"-")</f>
        <v>-</v>
      </c>
      <c r="K510" s="15" t="str">
        <f>IFERROR(__xludf.DUMMYFUNCTION("""COMPUTED_VALUE"""),"-")</f>
        <v>-</v>
      </c>
      <c r="L510" s="15" t="str">
        <f>IFERROR(__xludf.DUMMYFUNCTION("""COMPUTED_VALUE"""),"Normal")</f>
        <v>Normal</v>
      </c>
      <c r="M510" s="18" t="s">
        <v>53</v>
      </c>
      <c r="N510" s="18" t="s">
        <v>54</v>
      </c>
    </row>
    <row r="511" hidden="1">
      <c r="A511" s="15" t="str">
        <f>IFERROR(__xludf.DUMMYFUNCTION("""COMPUTED_VALUE"""),"MFHRO0135")</f>
        <v>MFHRO0135</v>
      </c>
      <c r="B511" s="16">
        <f>IFERROR(__xludf.DUMMYFUNCTION("""COMPUTED_VALUE"""),45865.64966880787)</f>
        <v>45865.64967</v>
      </c>
      <c r="C511" s="17">
        <f>IFERROR(__xludf.DUMMYFUNCTION("""COMPUTED_VALUE"""),45865.91748186343)</f>
        <v>45865.91748</v>
      </c>
      <c r="D511" s="15" t="str">
        <f>IFERROR(__xludf.DUMMYFUNCTION("""COMPUTED_VALUE"""),"Washbay")</f>
        <v>Washbay</v>
      </c>
      <c r="E511" s="15" t="str">
        <f>IFERROR(__xludf.DUMMYFUNCTION("""COMPUTED_VALUE"""),"-")</f>
        <v>-</v>
      </c>
      <c r="F511" s="15" t="str">
        <f>IFERROR(__xludf.DUMMYFUNCTION("""COMPUTED_VALUE"""),"Pilot Lamps / Green / 220 VAC / AD22-22DS / AXLE")</f>
        <v>Pilot Lamps / Green / 220 VAC / AD22-22DS / AXLE</v>
      </c>
      <c r="G511" s="15">
        <f>IFERROR(__xludf.DUMMYFUNCTION("""COMPUTED_VALUE"""),2.0)</f>
        <v>2</v>
      </c>
      <c r="H511" s="15" t="str">
        <f>IFERROR(__xludf.DUMMYFUNCTION("""COMPUTED_VALUE"""),"Pieces")</f>
        <v>Pieces</v>
      </c>
      <c r="I511" s="15" t="str">
        <f>IFERROR(__xludf.DUMMYFUNCTION("""COMPUTED_VALUE"""),"Deliver")</f>
        <v>Deliver</v>
      </c>
      <c r="J511" s="15" t="str">
        <f>IFERROR(__xludf.DUMMYFUNCTION("""COMPUTED_VALUE"""),"-")</f>
        <v>-</v>
      </c>
      <c r="K511" s="15" t="str">
        <f>IFERROR(__xludf.DUMMYFUNCTION("""COMPUTED_VALUE"""),"-")</f>
        <v>-</v>
      </c>
      <c r="L511" s="15" t="str">
        <f>IFERROR(__xludf.DUMMYFUNCTION("""COMPUTED_VALUE"""),"Normal")</f>
        <v>Normal</v>
      </c>
      <c r="M511" s="18" t="s">
        <v>53</v>
      </c>
      <c r="N511" s="18" t="s">
        <v>54</v>
      </c>
    </row>
    <row r="512" hidden="1">
      <c r="A512" s="15" t="str">
        <f>IFERROR(__xludf.DUMMYFUNCTION("""COMPUTED_VALUE"""),"MFHRO0136")</f>
        <v>MFHRO0136</v>
      </c>
      <c r="B512" s="16">
        <f>IFERROR(__xludf.DUMMYFUNCTION("""COMPUTED_VALUE"""),45865.64966880787)</f>
        <v>45865.64967</v>
      </c>
      <c r="C512" s="17">
        <f>IFERROR(__xludf.DUMMYFUNCTION("""COMPUTED_VALUE"""),45865.91759480324)</f>
        <v>45865.91759</v>
      </c>
      <c r="D512" s="15" t="str">
        <f>IFERROR(__xludf.DUMMYFUNCTION("""COMPUTED_VALUE"""),"Washbay")</f>
        <v>Washbay</v>
      </c>
      <c r="E512" s="15" t="str">
        <f>IFERROR(__xludf.DUMMYFUNCTION("""COMPUTED_VALUE"""),"-")</f>
        <v>-</v>
      </c>
      <c r="F512" s="15" t="str">
        <f>IFERROR(__xludf.DUMMYFUNCTION("""COMPUTED_VALUE"""),"General - Terminal Block, 4 Pin; No Brand; -; 1 pcs")</f>
        <v>General - Terminal Block, 4 Pin; No Brand; -; 1 pcs</v>
      </c>
      <c r="G512" s="15">
        <f>IFERROR(__xludf.DUMMYFUNCTION("""COMPUTED_VALUE"""),4.0)</f>
        <v>4</v>
      </c>
      <c r="H512" s="15" t="str">
        <f>IFERROR(__xludf.DUMMYFUNCTION("""COMPUTED_VALUE"""),"Pieces")</f>
        <v>Pieces</v>
      </c>
      <c r="I512" s="15" t="str">
        <f>IFERROR(__xludf.DUMMYFUNCTION("""COMPUTED_VALUE"""),"Deliver")</f>
        <v>Deliver</v>
      </c>
      <c r="J512" s="15" t="str">
        <f>IFERROR(__xludf.DUMMYFUNCTION("""COMPUTED_VALUE"""),"-")</f>
        <v>-</v>
      </c>
      <c r="K512" s="15" t="str">
        <f>IFERROR(__xludf.DUMMYFUNCTION("""COMPUTED_VALUE"""),"-")</f>
        <v>-</v>
      </c>
      <c r="L512" s="15" t="str">
        <f>IFERROR(__xludf.DUMMYFUNCTION("""COMPUTED_VALUE"""),"Normal")</f>
        <v>Normal</v>
      </c>
      <c r="M512" s="18" t="s">
        <v>53</v>
      </c>
      <c r="N512" s="18" t="s">
        <v>54</v>
      </c>
    </row>
    <row r="513" hidden="1">
      <c r="A513" s="15" t="str">
        <f>IFERROR(__xludf.DUMMYFUNCTION("""COMPUTED_VALUE"""),"MFHRO0137")</f>
        <v>MFHRO0137</v>
      </c>
      <c r="B513" s="16">
        <f>IFERROR(__xludf.DUMMYFUNCTION("""COMPUTED_VALUE"""),45865.64966880787)</f>
        <v>45865.64967</v>
      </c>
      <c r="C513" s="17">
        <f>IFERROR(__xludf.DUMMYFUNCTION("""COMPUTED_VALUE"""),45865.91773262731)</f>
        <v>45865.91773</v>
      </c>
      <c r="D513" s="15" t="str">
        <f>IFERROR(__xludf.DUMMYFUNCTION("""COMPUTED_VALUE"""),"Washbay")</f>
        <v>Washbay</v>
      </c>
      <c r="E513" s="15" t="str">
        <f>IFERROR(__xludf.DUMMYFUNCTION("""COMPUTED_VALUE"""),"-")</f>
        <v>-</v>
      </c>
      <c r="F513" s="15" t="str">
        <f>IFERROR(__xludf.DUMMYFUNCTION("""COMPUTED_VALUE"""),"General - Kabel NYAF 1 x 1.5 Hitam; Supreme; -; 50m/roll")</f>
        <v>General - Kabel NYAF 1 x 1.5 Hitam; Supreme; -; 50m/roll</v>
      </c>
      <c r="G513" s="15">
        <f>IFERROR(__xludf.DUMMYFUNCTION("""COMPUTED_VALUE"""),50.0)</f>
        <v>50</v>
      </c>
      <c r="H513" s="15" t="str">
        <f>IFERROR(__xludf.DUMMYFUNCTION("""COMPUTED_VALUE"""),"Pieces")</f>
        <v>Pieces</v>
      </c>
      <c r="I513" s="15" t="str">
        <f>IFERROR(__xludf.DUMMYFUNCTION("""COMPUTED_VALUE"""),"Deliver")</f>
        <v>Deliver</v>
      </c>
      <c r="J513" s="15" t="str">
        <f>IFERROR(__xludf.DUMMYFUNCTION("""COMPUTED_VALUE"""),"-")</f>
        <v>-</v>
      </c>
      <c r="K513" s="15" t="str">
        <f>IFERROR(__xludf.DUMMYFUNCTION("""COMPUTED_VALUE"""),"-")</f>
        <v>-</v>
      </c>
      <c r="L513" s="15" t="str">
        <f>IFERROR(__xludf.DUMMYFUNCTION("""COMPUTED_VALUE"""),"Normal")</f>
        <v>Normal</v>
      </c>
      <c r="M513" s="18" t="s">
        <v>53</v>
      </c>
      <c r="N513" s="18" t="s">
        <v>54</v>
      </c>
    </row>
    <row r="514" hidden="1">
      <c r="A514" s="15" t="str">
        <f>IFERROR(__xludf.DUMMYFUNCTION("""COMPUTED_VALUE"""),"MFHRO0138")</f>
        <v>MFHRO0138</v>
      </c>
      <c r="B514" s="16">
        <f>IFERROR(__xludf.DUMMYFUNCTION("""COMPUTED_VALUE"""),45865.64966880787)</f>
        <v>45865.64967</v>
      </c>
      <c r="C514" s="17">
        <f>IFERROR(__xludf.DUMMYFUNCTION("""COMPUTED_VALUE"""),45865.91784440973)</f>
        <v>45865.91784</v>
      </c>
      <c r="D514" s="15" t="str">
        <f>IFERROR(__xludf.DUMMYFUNCTION("""COMPUTED_VALUE"""),"General")</f>
        <v>General</v>
      </c>
      <c r="E514" s="15" t="str">
        <f>IFERROR(__xludf.DUMMYFUNCTION("""COMPUTED_VALUE"""),"-")</f>
        <v>-</v>
      </c>
      <c r="F514" s="15" t="str">
        <f>IFERROR(__xludf.DUMMYFUNCTION("""COMPUTED_VALUE"""),"General - Seal Tape 1inch; ONDA; -; 1 Pcs")</f>
        <v>General - Seal Tape 1inch; ONDA; -; 1 Pcs</v>
      </c>
      <c r="G514" s="15">
        <f>IFERROR(__xludf.DUMMYFUNCTION("""COMPUTED_VALUE"""),30.0)</f>
        <v>30</v>
      </c>
      <c r="H514" s="15" t="str">
        <f>IFERROR(__xludf.DUMMYFUNCTION("""COMPUTED_VALUE"""),"Pieces")</f>
        <v>Pieces</v>
      </c>
      <c r="I514" s="15" t="str">
        <f>IFERROR(__xludf.DUMMYFUNCTION("""COMPUTED_VALUE"""),"Deliver")</f>
        <v>Deliver</v>
      </c>
      <c r="J514" s="15" t="str">
        <f>IFERROR(__xludf.DUMMYFUNCTION("""COMPUTED_VALUE"""),"-")</f>
        <v>-</v>
      </c>
      <c r="K514" s="15" t="str">
        <f>IFERROR(__xludf.DUMMYFUNCTION("""COMPUTED_VALUE"""),"-")</f>
        <v>-</v>
      </c>
      <c r="L514" s="15" t="str">
        <f>IFERROR(__xludf.DUMMYFUNCTION("""COMPUTED_VALUE"""),"Normal")</f>
        <v>Normal</v>
      </c>
      <c r="M514" s="18" t="s">
        <v>53</v>
      </c>
      <c r="N514" s="18" t="s">
        <v>54</v>
      </c>
    </row>
    <row r="515" hidden="1">
      <c r="A515" s="15" t="str">
        <f>IFERROR(__xludf.DUMMYFUNCTION("""COMPUTED_VALUE"""),"MFHRO0139")</f>
        <v>MFHRO0139</v>
      </c>
      <c r="B515" s="16">
        <f>IFERROR(__xludf.DUMMYFUNCTION("""COMPUTED_VALUE"""),45865.64966880787)</f>
        <v>45865.64967</v>
      </c>
      <c r="C515" s="17">
        <f>IFERROR(__xludf.DUMMYFUNCTION("""COMPUTED_VALUE"""),45865.91794225694)</f>
        <v>45865.91794</v>
      </c>
      <c r="D515" s="15" t="str">
        <f>IFERROR(__xludf.DUMMYFUNCTION("""COMPUTED_VALUE"""),"Tunnel")</f>
        <v>Tunnel</v>
      </c>
      <c r="E515" s="15" t="str">
        <f>IFERROR(__xludf.DUMMYFUNCTION("""COMPUTED_VALUE"""),"-")</f>
        <v>-</v>
      </c>
      <c r="F515" s="15" t="str">
        <f>IFERROR(__xludf.DUMMYFUNCTION("""COMPUTED_VALUE"""),"Tunnel ST1L - Junction (15x15mm L=23,5mm) CA system Tight Door; ; ;")</f>
        <v>Tunnel ST1L - Junction (15x15mm L=23,5mm) CA system Tight Door; ; ;</v>
      </c>
      <c r="G515" s="15">
        <f>IFERROR(__xludf.DUMMYFUNCTION("""COMPUTED_VALUE"""),2.0)</f>
        <v>2</v>
      </c>
      <c r="H515" s="15" t="str">
        <f>IFERROR(__xludf.DUMMYFUNCTION("""COMPUTED_VALUE"""),"Pieces")</f>
        <v>Pieces</v>
      </c>
      <c r="I515" s="15" t="str">
        <f>IFERROR(__xludf.DUMMYFUNCTION("""COMPUTED_VALUE"""),"Deliver")</f>
        <v>Deliver</v>
      </c>
      <c r="J515" s="15" t="str">
        <f>IFERROR(__xludf.DUMMYFUNCTION("""COMPUTED_VALUE"""),"-")</f>
        <v>-</v>
      </c>
      <c r="K515" s="15" t="str">
        <f>IFERROR(__xludf.DUMMYFUNCTION("""COMPUTED_VALUE"""),"-")</f>
        <v>-</v>
      </c>
      <c r="L515" s="15" t="str">
        <f>IFERROR(__xludf.DUMMYFUNCTION("""COMPUTED_VALUE"""),"Normal")</f>
        <v>Normal</v>
      </c>
      <c r="M515" s="18" t="s">
        <v>53</v>
      </c>
      <c r="N515" s="18" t="s">
        <v>54</v>
      </c>
    </row>
    <row r="516" hidden="1">
      <c r="A516" s="15" t="str">
        <f>IFERROR(__xludf.DUMMYFUNCTION("""COMPUTED_VALUE"""),"MFHRO0140")</f>
        <v>MFHRO0140</v>
      </c>
      <c r="B516" s="16">
        <f>IFERROR(__xludf.DUMMYFUNCTION("""COMPUTED_VALUE"""),45865.64966880787)</f>
        <v>45865.64967</v>
      </c>
      <c r="C516" s="17">
        <f>IFERROR(__xludf.DUMMYFUNCTION("""COMPUTED_VALUE"""),45865.91813685185)</f>
        <v>45865.91814</v>
      </c>
      <c r="D516" s="15" t="str">
        <f>IFERROR(__xludf.DUMMYFUNCTION("""COMPUTED_VALUE"""),"Tunnel")</f>
        <v>Tunnel</v>
      </c>
      <c r="E516" s="15" t="str">
        <f>IFERROR(__xludf.DUMMYFUNCTION("""COMPUTED_VALUE"""),"-")</f>
        <v>-</v>
      </c>
      <c r="F516" s="15" t="str">
        <f>IFERROR(__xludf.DUMMYFUNCTION("""COMPUTED_VALUE"""),"Tunnel ST1L - Connections AISI 304 - 1/8 Inch for Tunnel Inflatable Gasket Substitution Dia. Tube 6; ; ;")</f>
        <v>Tunnel ST1L - Connections AISI 304 - 1/8 Inch for Tunnel Inflatable Gasket Substitution Dia. Tube 6; ; ;</v>
      </c>
      <c r="G516" s="15">
        <f>IFERROR(__xludf.DUMMYFUNCTION("""COMPUTED_VALUE"""),2.0)</f>
        <v>2</v>
      </c>
      <c r="H516" s="15" t="str">
        <f>IFERROR(__xludf.DUMMYFUNCTION("""COMPUTED_VALUE"""),"Pieces")</f>
        <v>Pieces</v>
      </c>
      <c r="I516" s="15" t="str">
        <f>IFERROR(__xludf.DUMMYFUNCTION("""COMPUTED_VALUE"""),"Deliver")</f>
        <v>Deliver</v>
      </c>
      <c r="J516" s="15" t="str">
        <f>IFERROR(__xludf.DUMMYFUNCTION("""COMPUTED_VALUE"""),"-")</f>
        <v>-</v>
      </c>
      <c r="K516" s="15" t="str">
        <f>IFERROR(__xludf.DUMMYFUNCTION("""COMPUTED_VALUE"""),"-")</f>
        <v>-</v>
      </c>
      <c r="L516" s="15" t="str">
        <f>IFERROR(__xludf.DUMMYFUNCTION("""COMPUTED_VALUE"""),"Normal")</f>
        <v>Normal</v>
      </c>
      <c r="M516" s="18" t="s">
        <v>53</v>
      </c>
      <c r="N516" s="18" t="s">
        <v>54</v>
      </c>
    </row>
    <row r="517" hidden="1">
      <c r="A517" s="15" t="str">
        <f>IFERROR(__xludf.DUMMYFUNCTION("""COMPUTED_VALUE"""),"MFHRO0141")</f>
        <v>MFHRO0141</v>
      </c>
      <c r="B517" s="16">
        <f>IFERROR(__xludf.DUMMYFUNCTION("""COMPUTED_VALUE"""),45865.64966880787)</f>
        <v>45865.64967</v>
      </c>
      <c r="C517" s="17">
        <f>IFERROR(__xludf.DUMMYFUNCTION("""COMPUTED_VALUE"""),45865.919243923614)</f>
        <v>45865.91924</v>
      </c>
      <c r="D517" s="15" t="str">
        <f>IFERROR(__xludf.DUMMYFUNCTION("""COMPUTED_VALUE"""),"Filling")</f>
        <v>Filling</v>
      </c>
      <c r="E517" s="15" t="str">
        <f>IFERROR(__xludf.DUMMYFUNCTION("""COMPUTED_VALUE"""),"-")</f>
        <v>-</v>
      </c>
      <c r="F517" s="15" t="str">
        <f>IFERROR(__xludf.DUMMYFUNCTION("""COMPUTED_VALUE"""),"Filling VFM100 - Cable 3g 1.5mq JZ-500; Steriline; 1111907; 1 Pc")</f>
        <v>Filling VFM100 - Cable 3g 1.5mq JZ-500; Steriline; 1111907; 1 Pc</v>
      </c>
      <c r="G517" s="15">
        <f>IFERROR(__xludf.DUMMYFUNCTION("""COMPUTED_VALUE"""),1.0)</f>
        <v>1</v>
      </c>
      <c r="H517" s="15" t="str">
        <f>IFERROR(__xludf.DUMMYFUNCTION("""COMPUTED_VALUE"""),"Pieces")</f>
        <v>Pieces</v>
      </c>
      <c r="I517" s="15" t="str">
        <f>IFERROR(__xludf.DUMMYFUNCTION("""COMPUTED_VALUE"""),"Deliver")</f>
        <v>Deliver</v>
      </c>
      <c r="J517" s="15" t="str">
        <f>IFERROR(__xludf.DUMMYFUNCTION("""COMPUTED_VALUE"""),"-")</f>
        <v>-</v>
      </c>
      <c r="K517" s="15" t="str">
        <f>IFERROR(__xludf.DUMMYFUNCTION("""COMPUTED_VALUE"""),"-")</f>
        <v>-</v>
      </c>
      <c r="L517" s="15" t="str">
        <f>IFERROR(__xludf.DUMMYFUNCTION("""COMPUTED_VALUE"""),"Normal")</f>
        <v>Normal</v>
      </c>
      <c r="M517" s="18" t="s">
        <v>53</v>
      </c>
      <c r="N517" s="18" t="s">
        <v>54</v>
      </c>
    </row>
    <row r="518" hidden="1">
      <c r="A518" s="15" t="str">
        <f>IFERROR(__xludf.DUMMYFUNCTION("""COMPUTED_VALUE"""),"MFHRO0142")</f>
        <v>MFHRO0142</v>
      </c>
      <c r="B518" s="16">
        <f>IFERROR(__xludf.DUMMYFUNCTION("""COMPUTED_VALUE"""),45865.64966880787)</f>
        <v>45865.64967</v>
      </c>
      <c r="C518" s="17">
        <f>IFERROR(__xludf.DUMMYFUNCTION("""COMPUTED_VALUE"""),45865.91933041667)</f>
        <v>45865.91933</v>
      </c>
      <c r="D518" s="15" t="str">
        <f>IFERROR(__xludf.DUMMYFUNCTION("""COMPUTED_VALUE"""),"Filling")</f>
        <v>Filling</v>
      </c>
      <c r="E518" s="15" t="str">
        <f>IFERROR(__xludf.DUMMYFUNCTION("""COMPUTED_VALUE"""),"-")</f>
        <v>-</v>
      </c>
      <c r="F518" s="15" t="str">
        <f>IFERROR(__xludf.DUMMYFUNCTION("""COMPUTED_VALUE"""),"Packing &amp; Other Charges; ; ;")</f>
        <v>Packing &amp; Other Charges; ; ;</v>
      </c>
      <c r="G518" s="15">
        <f>IFERROR(__xludf.DUMMYFUNCTION("""COMPUTED_VALUE"""),1.0)</f>
        <v>1</v>
      </c>
      <c r="H518" s="15" t="str">
        <f>IFERROR(__xludf.DUMMYFUNCTION("""COMPUTED_VALUE"""),"Lot")</f>
        <v>Lot</v>
      </c>
      <c r="I518" s="15" t="str">
        <f>IFERROR(__xludf.DUMMYFUNCTION("""COMPUTED_VALUE"""),"Deliver")</f>
        <v>Deliver</v>
      </c>
      <c r="J518" s="15" t="str">
        <f>IFERROR(__xludf.DUMMYFUNCTION("""COMPUTED_VALUE"""),"-")</f>
        <v>-</v>
      </c>
      <c r="K518" s="15" t="str">
        <f>IFERROR(__xludf.DUMMYFUNCTION("""COMPUTED_VALUE"""),"-")</f>
        <v>-</v>
      </c>
      <c r="L518" s="15" t="str">
        <f>IFERROR(__xludf.DUMMYFUNCTION("""COMPUTED_VALUE"""),"Normal")</f>
        <v>Normal</v>
      </c>
      <c r="M518" s="18" t="s">
        <v>53</v>
      </c>
      <c r="N518" s="18" t="s">
        <v>54</v>
      </c>
    </row>
    <row r="519" hidden="1">
      <c r="A519" s="15" t="str">
        <f>IFERROR(__xludf.DUMMYFUNCTION("""COMPUTED_VALUE"""),"MFHRO0143")</f>
        <v>MFHRO0143</v>
      </c>
      <c r="B519" s="16">
        <f>IFERROR(__xludf.DUMMYFUNCTION("""COMPUTED_VALUE"""),45865.64966880787)</f>
        <v>45865.64967</v>
      </c>
      <c r="C519" s="17">
        <f>IFERROR(__xludf.DUMMYFUNCTION("""COMPUTED_VALUE"""),45865.91942689815)</f>
        <v>45865.91943</v>
      </c>
      <c r="D519" s="15" t="str">
        <f>IFERROR(__xludf.DUMMYFUNCTION("""COMPUTED_VALUE"""),"General")</f>
        <v>General</v>
      </c>
      <c r="E519" s="15" t="str">
        <f>IFERROR(__xludf.DUMMYFUNCTION("""COMPUTED_VALUE"""),"-")</f>
        <v>-</v>
      </c>
      <c r="F519" s="15" t="str">
        <f>IFERROR(__xludf.DUMMYFUNCTION("""COMPUTED_VALUE"""),"General - Adhesive Tape -; Nippon; ASF-110FR; 1 pc")</f>
        <v>General - Adhesive Tape -; Nippon; ASF-110FR; 1 pc</v>
      </c>
      <c r="G519" s="15">
        <f>IFERROR(__xludf.DUMMYFUNCTION("""COMPUTED_VALUE"""),4.0)</f>
        <v>4</v>
      </c>
      <c r="H519" s="15" t="str">
        <f>IFERROR(__xludf.DUMMYFUNCTION("""COMPUTED_VALUE"""),"Pieces")</f>
        <v>Pieces</v>
      </c>
      <c r="I519" s="15" t="str">
        <f>IFERROR(__xludf.DUMMYFUNCTION("""COMPUTED_VALUE"""),"Deliver")</f>
        <v>Deliver</v>
      </c>
      <c r="J519" s="15" t="str">
        <f>IFERROR(__xludf.DUMMYFUNCTION("""COMPUTED_VALUE"""),"-")</f>
        <v>-</v>
      </c>
      <c r="K519" s="15" t="str">
        <f>IFERROR(__xludf.DUMMYFUNCTION("""COMPUTED_VALUE"""),"-")</f>
        <v>-</v>
      </c>
      <c r="L519" s="15" t="str">
        <f>IFERROR(__xludf.DUMMYFUNCTION("""COMPUTED_VALUE"""),"Normal")</f>
        <v>Normal</v>
      </c>
      <c r="M519" s="18" t="s">
        <v>53</v>
      </c>
      <c r="N519" s="18" t="s">
        <v>54</v>
      </c>
    </row>
    <row r="520" hidden="1">
      <c r="A520" s="15" t="str">
        <f>IFERROR(__xludf.DUMMYFUNCTION("""COMPUTED_VALUE"""),"MFHRO0144")</f>
        <v>MFHRO0144</v>
      </c>
      <c r="B520" s="16">
        <f>IFERROR(__xludf.DUMMYFUNCTION("""COMPUTED_VALUE"""),45865.64966880787)</f>
        <v>45865.64967</v>
      </c>
      <c r="C520" s="17">
        <f>IFERROR(__xludf.DUMMYFUNCTION("""COMPUTED_VALUE"""),45865.91953001157)</f>
        <v>45865.91953</v>
      </c>
      <c r="D520" s="15" t="str">
        <f>IFERROR(__xludf.DUMMYFUNCTION("""COMPUTED_VALUE"""),"General")</f>
        <v>General</v>
      </c>
      <c r="E520" s="15" t="str">
        <f>IFERROR(__xludf.DUMMYFUNCTION("""COMPUTED_VALUE"""),"-")</f>
        <v>-</v>
      </c>
      <c r="F520" s="15" t="str">
        <f>IFERROR(__xludf.DUMMYFUNCTION("""COMPUTED_VALUE"""),"Gas Argon (Ar); 1.5 M3; Refill;  Industrial Grade; Purity ? 99.95%")</f>
        <v>Gas Argon (Ar); 1.5 M3; Refill;  Industrial Grade; Purity ? 99.95%</v>
      </c>
      <c r="G520" s="15">
        <f>IFERROR(__xludf.DUMMYFUNCTION("""COMPUTED_VALUE"""),1.0)</f>
        <v>1</v>
      </c>
      <c r="H520" s="15" t="str">
        <f>IFERROR(__xludf.DUMMYFUNCTION("""COMPUTED_VALUE"""),"Tube")</f>
        <v>Tube</v>
      </c>
      <c r="I520" s="15" t="str">
        <f>IFERROR(__xludf.DUMMYFUNCTION("""COMPUTED_VALUE"""),"Deliver")</f>
        <v>Deliver</v>
      </c>
      <c r="J520" s="15" t="str">
        <f>IFERROR(__xludf.DUMMYFUNCTION("""COMPUTED_VALUE"""),"-")</f>
        <v>-</v>
      </c>
      <c r="K520" s="15" t="str">
        <f>IFERROR(__xludf.DUMMYFUNCTION("""COMPUTED_VALUE"""),"-")</f>
        <v>-</v>
      </c>
      <c r="L520" s="15" t="str">
        <f>IFERROR(__xludf.DUMMYFUNCTION("""COMPUTED_VALUE"""),"Normal")</f>
        <v>Normal</v>
      </c>
      <c r="M520" s="18" t="s">
        <v>53</v>
      </c>
      <c r="N520" s="18" t="s">
        <v>54</v>
      </c>
    </row>
    <row r="521" hidden="1">
      <c r="A521" s="15" t="str">
        <f>IFERROR(__xludf.DUMMYFUNCTION("""COMPUTED_VALUE"""),"MFHRO0145")</f>
        <v>MFHRO0145</v>
      </c>
      <c r="B521" s="16">
        <f>IFERROR(__xludf.DUMMYFUNCTION("""COMPUTED_VALUE"""),45865.64966880787)</f>
        <v>45865.64967</v>
      </c>
      <c r="C521" s="17">
        <f>IFERROR(__xludf.DUMMYFUNCTION("""COMPUTED_VALUE"""),45865.919620625005)</f>
        <v>45865.91962</v>
      </c>
      <c r="D521" s="15" t="str">
        <f>IFERROR(__xludf.DUMMYFUNCTION("""COMPUTED_VALUE"""),"HLD")</f>
        <v>HLD</v>
      </c>
      <c r="E521" s="15" t="str">
        <f>IFERROR(__xludf.DUMMYFUNCTION("""COMPUTED_VALUE"""),"-")</f>
        <v>-</v>
      </c>
      <c r="F521" s="15" t="str">
        <f>IFERROR(__xludf.DUMMYFUNCTION("""COMPUTED_VALUE"""),"General - Vacuum Ferrule KF25; No Brand; -; 1 pc")</f>
        <v>General - Vacuum Ferrule KF25; No Brand; -; 1 pc</v>
      </c>
      <c r="G521" s="15">
        <f>IFERROR(__xludf.DUMMYFUNCTION("""COMPUTED_VALUE"""),4.0)</f>
        <v>4</v>
      </c>
      <c r="H521" s="15" t="str">
        <f>IFERROR(__xludf.DUMMYFUNCTION("""COMPUTED_VALUE"""),"Pieces")</f>
        <v>Pieces</v>
      </c>
      <c r="I521" s="15" t="str">
        <f>IFERROR(__xludf.DUMMYFUNCTION("""COMPUTED_VALUE"""),"Deliver")</f>
        <v>Deliver</v>
      </c>
      <c r="J521" s="15" t="str">
        <f>IFERROR(__xludf.DUMMYFUNCTION("""COMPUTED_VALUE"""),"-")</f>
        <v>-</v>
      </c>
      <c r="K521" s="15" t="str">
        <f>IFERROR(__xludf.DUMMYFUNCTION("""COMPUTED_VALUE"""),"-")</f>
        <v>-</v>
      </c>
      <c r="L521" s="15" t="str">
        <f>IFERROR(__xludf.DUMMYFUNCTION("""COMPUTED_VALUE"""),"Normal")</f>
        <v>Normal</v>
      </c>
      <c r="M521" s="18" t="s">
        <v>53</v>
      </c>
      <c r="N521" s="18" t="s">
        <v>54</v>
      </c>
    </row>
    <row r="522" hidden="1">
      <c r="A522" s="15" t="str">
        <f>IFERROR(__xludf.DUMMYFUNCTION("""COMPUTED_VALUE"""),"MFHRO0146")</f>
        <v>MFHRO0146</v>
      </c>
      <c r="B522" s="16">
        <f>IFERROR(__xludf.DUMMYFUNCTION("""COMPUTED_VALUE"""),45865.64966880787)</f>
        <v>45865.64967</v>
      </c>
      <c r="C522" s="17">
        <f>IFERROR(__xludf.DUMMYFUNCTION("""COMPUTED_VALUE"""),45865.9197146412)</f>
        <v>45865.91971</v>
      </c>
      <c r="D522" s="15" t="str">
        <f>IFERROR(__xludf.DUMMYFUNCTION("""COMPUTED_VALUE"""),"HLD")</f>
        <v>HLD</v>
      </c>
      <c r="E522" s="15" t="str">
        <f>IFERROR(__xludf.DUMMYFUNCTION("""COMPUTED_VALUE"""),"-")</f>
        <v>-</v>
      </c>
      <c r="F522" s="15" t="str">
        <f>IFERROR(__xludf.DUMMYFUNCTION("""COMPUTED_VALUE"""),"General - Vacuum Ferrule KF16; No Brand; -; 1 pc")</f>
        <v>General - Vacuum Ferrule KF16; No Brand; -; 1 pc</v>
      </c>
      <c r="G522" s="15">
        <f>IFERROR(__xludf.DUMMYFUNCTION("""COMPUTED_VALUE"""),4.0)</f>
        <v>4</v>
      </c>
      <c r="H522" s="15" t="str">
        <f>IFERROR(__xludf.DUMMYFUNCTION("""COMPUTED_VALUE"""),"Pieces")</f>
        <v>Pieces</v>
      </c>
      <c r="I522" s="15" t="str">
        <f>IFERROR(__xludf.DUMMYFUNCTION("""COMPUTED_VALUE"""),"Deliver")</f>
        <v>Deliver</v>
      </c>
      <c r="J522" s="15" t="str">
        <f>IFERROR(__xludf.DUMMYFUNCTION("""COMPUTED_VALUE"""),"-")</f>
        <v>-</v>
      </c>
      <c r="K522" s="15" t="str">
        <f>IFERROR(__xludf.DUMMYFUNCTION("""COMPUTED_VALUE"""),"-")</f>
        <v>-</v>
      </c>
      <c r="L522" s="15" t="str">
        <f>IFERROR(__xludf.DUMMYFUNCTION("""COMPUTED_VALUE"""),"Normal")</f>
        <v>Normal</v>
      </c>
      <c r="M522" s="18" t="s">
        <v>53</v>
      </c>
      <c r="N522" s="18" t="s">
        <v>54</v>
      </c>
    </row>
    <row r="523" hidden="1">
      <c r="A523" s="15" t="str">
        <f>IFERROR(__xludf.DUMMYFUNCTION("""COMPUTED_VALUE"""),"MFHRO0147")</f>
        <v>MFHRO0147</v>
      </c>
      <c r="B523" s="16">
        <f>IFERROR(__xludf.DUMMYFUNCTION("""COMPUTED_VALUE"""),45865.64966880787)</f>
        <v>45865.64967</v>
      </c>
      <c r="C523" s="17">
        <f>IFERROR(__xludf.DUMMYFUNCTION("""COMPUTED_VALUE"""),45865.91982697917)</f>
        <v>45865.91983</v>
      </c>
      <c r="D523" s="15" t="str">
        <f>IFERROR(__xludf.DUMMYFUNCTION("""COMPUTED_VALUE"""),"HLD")</f>
        <v>HLD</v>
      </c>
      <c r="E523" s="15" t="str">
        <f>IFERROR(__xludf.DUMMYFUNCTION("""COMPUTED_VALUE"""),"-")</f>
        <v>-</v>
      </c>
      <c r="F523" s="15" t="str">
        <f>IFERROR(__xludf.DUMMYFUNCTION("""COMPUTED_VALUE"""),"General - Quick Coupler 3/8inch to Female Drat Dalam 3/8inch; No Brand; -; 1 pc")</f>
        <v>General - Quick Coupler 3/8inch to Female Drat Dalam 3/8inch; No Brand; -; 1 pc</v>
      </c>
      <c r="G523" s="15">
        <f>IFERROR(__xludf.DUMMYFUNCTION("""COMPUTED_VALUE"""),1.0)</f>
        <v>1</v>
      </c>
      <c r="H523" s="15" t="str">
        <f>IFERROR(__xludf.DUMMYFUNCTION("""COMPUTED_VALUE"""),"Pieces")</f>
        <v>Pieces</v>
      </c>
      <c r="I523" s="15" t="str">
        <f>IFERROR(__xludf.DUMMYFUNCTION("""COMPUTED_VALUE"""),"Deliver")</f>
        <v>Deliver</v>
      </c>
      <c r="J523" s="15" t="str">
        <f>IFERROR(__xludf.DUMMYFUNCTION("""COMPUTED_VALUE"""),"-")</f>
        <v>-</v>
      </c>
      <c r="K523" s="15" t="str">
        <f>IFERROR(__xludf.DUMMYFUNCTION("""COMPUTED_VALUE"""),"-")</f>
        <v>-</v>
      </c>
      <c r="L523" s="15" t="str">
        <f>IFERROR(__xludf.DUMMYFUNCTION("""COMPUTED_VALUE"""),"Normal")</f>
        <v>Normal</v>
      </c>
      <c r="M523" s="18" t="s">
        <v>53</v>
      </c>
      <c r="N523" s="18" t="s">
        <v>54</v>
      </c>
    </row>
    <row r="524" hidden="1">
      <c r="A524" s="15" t="str">
        <f>IFERROR(__xludf.DUMMYFUNCTION("""COMPUTED_VALUE"""),"MFHRO0148")</f>
        <v>MFHRO0148</v>
      </c>
      <c r="B524" s="16">
        <f>IFERROR(__xludf.DUMMYFUNCTION("""COMPUTED_VALUE"""),45865.64966880787)</f>
        <v>45865.64967</v>
      </c>
      <c r="C524" s="17">
        <f>IFERROR(__xludf.DUMMYFUNCTION("""COMPUTED_VALUE"""),45865.91995928241)</f>
        <v>45865.91996</v>
      </c>
      <c r="D524" s="15" t="str">
        <f>IFERROR(__xludf.DUMMYFUNCTION("""COMPUTED_VALUE"""),"HLD")</f>
        <v>HLD</v>
      </c>
      <c r="E524" s="15" t="str">
        <f>IFERROR(__xludf.DUMMYFUNCTION("""COMPUTED_VALUE"""),"-")</f>
        <v>-</v>
      </c>
      <c r="F524" s="15" t="str">
        <f>IFERROR(__xludf.DUMMYFUNCTION("""COMPUTED_VALUE"""),"General - Quick Coupler 3/8inch to Male Drat Luar 1/4inch; No Brand; -;  1 pc")</f>
        <v>General - Quick Coupler 3/8inch to Male Drat Luar 1/4inch; No Brand; -;  1 pc</v>
      </c>
      <c r="G524" s="15">
        <f>IFERROR(__xludf.DUMMYFUNCTION("""COMPUTED_VALUE"""),1.0)</f>
        <v>1</v>
      </c>
      <c r="H524" s="15" t="str">
        <f>IFERROR(__xludf.DUMMYFUNCTION("""COMPUTED_VALUE"""),"Pieces")</f>
        <v>Pieces</v>
      </c>
      <c r="I524" s="15" t="str">
        <f>IFERROR(__xludf.DUMMYFUNCTION("""COMPUTED_VALUE"""),"Deliver")</f>
        <v>Deliver</v>
      </c>
      <c r="J524" s="15" t="str">
        <f>IFERROR(__xludf.DUMMYFUNCTION("""COMPUTED_VALUE"""),"-")</f>
        <v>-</v>
      </c>
      <c r="K524" s="15" t="str">
        <f>IFERROR(__xludf.DUMMYFUNCTION("""COMPUTED_VALUE"""),"-")</f>
        <v>-</v>
      </c>
      <c r="L524" s="15" t="str">
        <f>IFERROR(__xludf.DUMMYFUNCTION("""COMPUTED_VALUE"""),"Normal")</f>
        <v>Normal</v>
      </c>
      <c r="M524" s="18" t="s">
        <v>53</v>
      </c>
      <c r="N524" s="18" t="s">
        <v>54</v>
      </c>
    </row>
    <row r="525" hidden="1">
      <c r="A525" s="15" t="str">
        <f>IFERROR(__xludf.DUMMYFUNCTION("""COMPUTED_VALUE"""),"MFHRO0149")</f>
        <v>MFHRO0149</v>
      </c>
      <c r="B525" s="16">
        <f>IFERROR(__xludf.DUMMYFUNCTION("""COMPUTED_VALUE"""),45865.64966880787)</f>
        <v>45865.64967</v>
      </c>
      <c r="C525" s="17">
        <f>IFERROR(__xludf.DUMMYFUNCTION("""COMPUTED_VALUE"""),45865.92006802084)</f>
        <v>45865.92007</v>
      </c>
      <c r="D525" s="15" t="str">
        <f>IFERROR(__xludf.DUMMYFUNCTION("""COMPUTED_VALUE"""),"HLD")</f>
        <v>HLD</v>
      </c>
      <c r="E525" s="15" t="str">
        <f>IFERROR(__xludf.DUMMYFUNCTION("""COMPUTED_VALUE"""),"-")</f>
        <v>-</v>
      </c>
      <c r="F525" s="15" t="str">
        <f>IFERROR(__xludf.DUMMYFUNCTION("""COMPUTED_VALUE"""),"General - Reducer SS316 Sanitary dia. 1inch x 3/4inch; No Brand; -; 1 pc")</f>
        <v>General - Reducer SS316 Sanitary dia. 1inch x 3/4inch; No Brand; -; 1 pc</v>
      </c>
      <c r="G525" s="15">
        <f>IFERROR(__xludf.DUMMYFUNCTION("""COMPUTED_VALUE"""),2.0)</f>
        <v>2</v>
      </c>
      <c r="H525" s="15" t="str">
        <f>IFERROR(__xludf.DUMMYFUNCTION("""COMPUTED_VALUE"""),"Pieces")</f>
        <v>Pieces</v>
      </c>
      <c r="I525" s="15" t="str">
        <f>IFERROR(__xludf.DUMMYFUNCTION("""COMPUTED_VALUE"""),"Deliver")</f>
        <v>Deliver</v>
      </c>
      <c r="J525" s="15" t="str">
        <f>IFERROR(__xludf.DUMMYFUNCTION("""COMPUTED_VALUE"""),"-")</f>
        <v>-</v>
      </c>
      <c r="K525" s="15" t="str">
        <f>IFERROR(__xludf.DUMMYFUNCTION("""COMPUTED_VALUE"""),"-")</f>
        <v>-</v>
      </c>
      <c r="L525" s="15" t="str">
        <f>IFERROR(__xludf.DUMMYFUNCTION("""COMPUTED_VALUE"""),"Normal")</f>
        <v>Normal</v>
      </c>
      <c r="M525" s="18" t="s">
        <v>53</v>
      </c>
      <c r="N525" s="18" t="s">
        <v>54</v>
      </c>
    </row>
    <row r="526" hidden="1">
      <c r="A526" s="15" t="str">
        <f>IFERROR(__xludf.DUMMYFUNCTION("""COMPUTED_VALUE"""),"MFHRO0150")</f>
        <v>MFHRO0150</v>
      </c>
      <c r="B526" s="16">
        <f>IFERROR(__xludf.DUMMYFUNCTION("""COMPUTED_VALUE"""),45865.64966880787)</f>
        <v>45865.64967</v>
      </c>
      <c r="C526" s="17">
        <f>IFERROR(__xludf.DUMMYFUNCTION("""COMPUTED_VALUE"""),45865.92024979167)</f>
        <v>45865.92025</v>
      </c>
      <c r="D526" s="15" t="str">
        <f>IFERROR(__xludf.DUMMYFUNCTION("""COMPUTED_VALUE"""),"HLD")</f>
        <v>HLD</v>
      </c>
      <c r="E526" s="15" t="str">
        <f>IFERROR(__xludf.DUMMYFUNCTION("""COMPUTED_VALUE"""),"-")</f>
        <v>-</v>
      </c>
      <c r="F526" s="15" t="str">
        <f>IFERROR(__xludf.DUMMYFUNCTION("""COMPUTED_VALUE"""),"General - Clamp Selang, SS, 1""; Tridon; -; 1 pcs")</f>
        <v>General - Clamp Selang, SS, 1"; Tridon; -; 1 pcs</v>
      </c>
      <c r="G526" s="15">
        <f>IFERROR(__xludf.DUMMYFUNCTION("""COMPUTED_VALUE"""),10.0)</f>
        <v>10</v>
      </c>
      <c r="H526" s="15" t="str">
        <f>IFERROR(__xludf.DUMMYFUNCTION("""COMPUTED_VALUE"""),"Pieces")</f>
        <v>Pieces</v>
      </c>
      <c r="I526" s="15" t="str">
        <f>IFERROR(__xludf.DUMMYFUNCTION("""COMPUTED_VALUE"""),"Deliver")</f>
        <v>Deliver</v>
      </c>
      <c r="J526" s="15" t="str">
        <f>IFERROR(__xludf.DUMMYFUNCTION("""COMPUTED_VALUE"""),"-")</f>
        <v>-</v>
      </c>
      <c r="K526" s="15" t="str">
        <f>IFERROR(__xludf.DUMMYFUNCTION("""COMPUTED_VALUE"""),"-")</f>
        <v>-</v>
      </c>
      <c r="L526" s="15" t="str">
        <f>IFERROR(__xludf.DUMMYFUNCTION("""COMPUTED_VALUE"""),"Normal")</f>
        <v>Normal</v>
      </c>
      <c r="M526" s="18" t="s">
        <v>53</v>
      </c>
      <c r="N526" s="18" t="s">
        <v>54</v>
      </c>
    </row>
    <row r="527" hidden="1">
      <c r="A527" s="15" t="str">
        <f>IFERROR(__xludf.DUMMYFUNCTION("""COMPUTED_VALUE"""),"MFHRO0151")</f>
        <v>MFHRO0151</v>
      </c>
      <c r="B527" s="16">
        <f>IFERROR(__xludf.DUMMYFUNCTION("""COMPUTED_VALUE"""),45865.64966880787)</f>
        <v>45865.64967</v>
      </c>
      <c r="C527" s="17">
        <f>IFERROR(__xludf.DUMMYFUNCTION("""COMPUTED_VALUE"""),45865.920374988425)</f>
        <v>45865.92037</v>
      </c>
      <c r="D527" s="15" t="str">
        <f>IFERROR(__xludf.DUMMYFUNCTION("""COMPUTED_VALUE"""),"HLD")</f>
        <v>HLD</v>
      </c>
      <c r="E527" s="15" t="str">
        <f>IFERROR(__xludf.DUMMYFUNCTION("""COMPUTED_VALUE"""),"-")</f>
        <v>-</v>
      </c>
      <c r="F527" s="15" t="str">
        <f>IFERROR(__xludf.DUMMYFUNCTION("""COMPUTED_VALUE"""),"Selang TS-25 (25x33) TOYOX P/N : -  pc")</f>
        <v>Selang TS-25 (25x33) TOYOX P/N : -  pc</v>
      </c>
      <c r="G527" s="15">
        <f>IFERROR(__xludf.DUMMYFUNCTION("""COMPUTED_VALUE"""),5.0)</f>
        <v>5</v>
      </c>
      <c r="H527" s="15" t="str">
        <f>IFERROR(__xludf.DUMMYFUNCTION("""COMPUTED_VALUE"""),"Pieces")</f>
        <v>Pieces</v>
      </c>
      <c r="I527" s="15" t="str">
        <f>IFERROR(__xludf.DUMMYFUNCTION("""COMPUTED_VALUE"""),"Deliver")</f>
        <v>Deliver</v>
      </c>
      <c r="J527" s="15" t="str">
        <f>IFERROR(__xludf.DUMMYFUNCTION("""COMPUTED_VALUE"""),"-")</f>
        <v>-</v>
      </c>
      <c r="K527" s="15" t="str">
        <f>IFERROR(__xludf.DUMMYFUNCTION("""COMPUTED_VALUE"""),"-")</f>
        <v>-</v>
      </c>
      <c r="L527" s="15" t="str">
        <f>IFERROR(__xludf.DUMMYFUNCTION("""COMPUTED_VALUE"""),"Normal")</f>
        <v>Normal</v>
      </c>
      <c r="M527" s="18" t="s">
        <v>53</v>
      </c>
      <c r="N527" s="18" t="s">
        <v>54</v>
      </c>
    </row>
    <row r="528" hidden="1">
      <c r="A528" s="15" t="str">
        <f>IFERROR(__xludf.DUMMYFUNCTION("""COMPUTED_VALUE"""),"MFHRO0152")</f>
        <v>MFHRO0152</v>
      </c>
      <c r="B528" s="16">
        <f>IFERROR(__xludf.DUMMYFUNCTION("""COMPUTED_VALUE"""),45865.64966880787)</f>
        <v>45865.64967</v>
      </c>
      <c r="C528" s="17">
        <f>IFERROR(__xludf.DUMMYFUNCTION("""COMPUTED_VALUE"""),45865.92048799768)</f>
        <v>45865.92049</v>
      </c>
      <c r="D528" s="15" t="str">
        <f>IFERROR(__xludf.DUMMYFUNCTION("""COMPUTED_VALUE"""),"BSC")</f>
        <v>BSC</v>
      </c>
      <c r="E528" s="15" t="str">
        <f>IFERROR(__xludf.DUMMYFUNCTION("""COMPUTED_VALUE"""),"-")</f>
        <v>-</v>
      </c>
      <c r="F528" s="15" t="str">
        <f>IFERROR(__xludf.DUMMYFUNCTION("""COMPUTED_VALUE"""),"Bio Safety Cabinet - Cover Cable Instrument 1 Ukuran 0.8x1200x2400mm, Mat Plat SS304 0.33 lbr; Custom/Lokal; -; 1 Unit")</f>
        <v>Bio Safety Cabinet - Cover Cable Instrument 1 Ukuran 0.8x1200x2400mm, Mat Plat SS304 0.33 lbr; Custom/Lokal; -; 1 Unit</v>
      </c>
      <c r="G528" s="15">
        <f>IFERROR(__xludf.DUMMYFUNCTION("""COMPUTED_VALUE"""),1.0)</f>
        <v>1</v>
      </c>
      <c r="H528" s="15" t="str">
        <f>IFERROR(__xludf.DUMMYFUNCTION("""COMPUTED_VALUE"""),"Unit")</f>
        <v>Unit</v>
      </c>
      <c r="I528" s="15" t="str">
        <f>IFERROR(__xludf.DUMMYFUNCTION("""COMPUTED_VALUE"""),"Deliver")</f>
        <v>Deliver</v>
      </c>
      <c r="J528" s="15" t="str">
        <f>IFERROR(__xludf.DUMMYFUNCTION("""COMPUTED_VALUE"""),"-")</f>
        <v>-</v>
      </c>
      <c r="K528" s="15" t="str">
        <f>IFERROR(__xludf.DUMMYFUNCTION("""COMPUTED_VALUE"""),"-")</f>
        <v>-</v>
      </c>
      <c r="L528" s="15" t="str">
        <f>IFERROR(__xludf.DUMMYFUNCTION("""COMPUTED_VALUE"""),"Normal")</f>
        <v>Normal</v>
      </c>
      <c r="M528" s="18" t="s">
        <v>53</v>
      </c>
      <c r="N528" s="18" t="s">
        <v>54</v>
      </c>
    </row>
    <row r="529" hidden="1">
      <c r="A529" s="15" t="str">
        <f>IFERROR(__xludf.DUMMYFUNCTION("""COMPUTED_VALUE"""),"MFHRO0153")</f>
        <v>MFHRO0153</v>
      </c>
      <c r="B529" s="16">
        <f>IFERROR(__xludf.DUMMYFUNCTION("""COMPUTED_VALUE"""),45865.64966880787)</f>
        <v>45865.64967</v>
      </c>
      <c r="C529" s="17">
        <f>IFERROR(__xludf.DUMMYFUNCTION("""COMPUTED_VALUE"""),45865.9206022338)</f>
        <v>45865.9206</v>
      </c>
      <c r="D529" s="15" t="str">
        <f>IFERROR(__xludf.DUMMYFUNCTION("""COMPUTED_VALUE"""),"BSC")</f>
        <v>BSC</v>
      </c>
      <c r="E529" s="15" t="str">
        <f>IFERROR(__xludf.DUMMYFUNCTION("""COMPUTED_VALUE"""),"-")</f>
        <v>-</v>
      </c>
      <c r="F529" s="15" t="str">
        <f>IFERROR(__xludf.DUMMYFUNCTION("""COMPUTED_VALUE"""),"Bio Safety Cabinet - Cover Cable Instrument 2 Ukuran 0.8x1200x2400mm, Mat Plat SS304 0.42 lbr; Custom/Lokal; -; 1 Unit")</f>
        <v>Bio Safety Cabinet - Cover Cable Instrument 2 Ukuran 0.8x1200x2400mm, Mat Plat SS304 0.42 lbr; Custom/Lokal; -; 1 Unit</v>
      </c>
      <c r="G529" s="15">
        <f>IFERROR(__xludf.DUMMYFUNCTION("""COMPUTED_VALUE"""),1.0)</f>
        <v>1</v>
      </c>
      <c r="H529" s="15" t="str">
        <f>IFERROR(__xludf.DUMMYFUNCTION("""COMPUTED_VALUE"""),"Unit")</f>
        <v>Unit</v>
      </c>
      <c r="I529" s="15" t="str">
        <f>IFERROR(__xludf.DUMMYFUNCTION("""COMPUTED_VALUE"""),"Deliver")</f>
        <v>Deliver</v>
      </c>
      <c r="J529" s="15" t="str">
        <f>IFERROR(__xludf.DUMMYFUNCTION("""COMPUTED_VALUE"""),"-")</f>
        <v>-</v>
      </c>
      <c r="K529" s="15" t="str">
        <f>IFERROR(__xludf.DUMMYFUNCTION("""COMPUTED_VALUE"""),"-")</f>
        <v>-</v>
      </c>
      <c r="L529" s="15" t="str">
        <f>IFERROR(__xludf.DUMMYFUNCTION("""COMPUTED_VALUE"""),"Normal")</f>
        <v>Normal</v>
      </c>
      <c r="M529" s="18" t="s">
        <v>53</v>
      </c>
      <c r="N529" s="18" t="s">
        <v>54</v>
      </c>
    </row>
    <row r="530" hidden="1">
      <c r="A530" s="15" t="str">
        <f>IFERROR(__xludf.DUMMYFUNCTION("""COMPUTED_VALUE"""),"MFHRO0154")</f>
        <v>MFHRO0154</v>
      </c>
      <c r="B530" s="16">
        <f>IFERROR(__xludf.DUMMYFUNCTION("""COMPUTED_VALUE"""),45865.64966880787)</f>
        <v>45865.64967</v>
      </c>
      <c r="C530" s="17">
        <f>IFERROR(__xludf.DUMMYFUNCTION("""COMPUTED_VALUE"""),45865.9207253125)</f>
        <v>45865.92073</v>
      </c>
      <c r="D530" s="15" t="str">
        <f>IFERROR(__xludf.DUMMYFUNCTION("""COMPUTED_VALUE"""),"BSC")</f>
        <v>BSC</v>
      </c>
      <c r="E530" s="15" t="str">
        <f>IFERROR(__xludf.DUMMYFUNCTION("""COMPUTED_VALUE"""),"-")</f>
        <v>-</v>
      </c>
      <c r="F530" s="15" t="str">
        <f>IFERROR(__xludf.DUMMYFUNCTION("""COMPUTED_VALUE"""),"Bio Safety Cabinet - Cover Cable Instrument 3 Ukuran 0.8x1200x2400mm, Mat Plat SS304 0.67 lbr; Custom/Lokal; -; 1 Unit")</f>
        <v>Bio Safety Cabinet - Cover Cable Instrument 3 Ukuran 0.8x1200x2400mm, Mat Plat SS304 0.67 lbr; Custom/Lokal; -; 1 Unit</v>
      </c>
      <c r="G530" s="15">
        <f>IFERROR(__xludf.DUMMYFUNCTION("""COMPUTED_VALUE"""),1.0)</f>
        <v>1</v>
      </c>
      <c r="H530" s="15" t="str">
        <f>IFERROR(__xludf.DUMMYFUNCTION("""COMPUTED_VALUE"""),"Unit")</f>
        <v>Unit</v>
      </c>
      <c r="I530" s="15" t="str">
        <f>IFERROR(__xludf.DUMMYFUNCTION("""COMPUTED_VALUE"""),"Deliver")</f>
        <v>Deliver</v>
      </c>
      <c r="J530" s="15" t="str">
        <f>IFERROR(__xludf.DUMMYFUNCTION("""COMPUTED_VALUE"""),"-")</f>
        <v>-</v>
      </c>
      <c r="K530" s="15" t="str">
        <f>IFERROR(__xludf.DUMMYFUNCTION("""COMPUTED_VALUE"""),"-")</f>
        <v>-</v>
      </c>
      <c r="L530" s="15" t="str">
        <f>IFERROR(__xludf.DUMMYFUNCTION("""COMPUTED_VALUE"""),"Normal")</f>
        <v>Normal</v>
      </c>
      <c r="M530" s="18" t="s">
        <v>53</v>
      </c>
      <c r="N530" s="18" t="s">
        <v>54</v>
      </c>
    </row>
    <row r="531" hidden="1">
      <c r="A531" s="15" t="str">
        <f>IFERROR(__xludf.DUMMYFUNCTION("""COMPUTED_VALUE"""),"MFHRO0155")</f>
        <v>MFHRO0155</v>
      </c>
      <c r="B531" s="16">
        <f>IFERROR(__xludf.DUMMYFUNCTION("""COMPUTED_VALUE"""),45865.64966880787)</f>
        <v>45865.64967</v>
      </c>
      <c r="C531" s="17">
        <f>IFERROR(__xludf.DUMMYFUNCTION("""COMPUTED_VALUE"""),45865.92083292824)</f>
        <v>45865.92083</v>
      </c>
      <c r="D531" s="15" t="str">
        <f>IFERROR(__xludf.DUMMYFUNCTION("""COMPUTED_VALUE"""),"FD")</f>
        <v>FD</v>
      </c>
      <c r="E531" s="15" t="str">
        <f>IFERROR(__xludf.DUMMYFUNCTION("""COMPUTED_VALUE"""),"-")</f>
        <v>-</v>
      </c>
      <c r="F531" s="15" t="str">
        <f>IFERROR(__xludf.DUMMYFUNCTION("""COMPUTED_VALUE"""),"Freeze Dryer MBE1207 - Condenser Drain Steam Trap TD600 1 inch NPT; WATSON; EB14-00117; 1 Pc")</f>
        <v>Freeze Dryer MBE1207 - Condenser Drain Steam Trap TD600 1 inch NPT; WATSON; EB14-00117; 1 Pc</v>
      </c>
      <c r="G531" s="15">
        <f>IFERROR(__xludf.DUMMYFUNCTION("""COMPUTED_VALUE"""),2.0)</f>
        <v>2</v>
      </c>
      <c r="H531" s="15" t="str">
        <f>IFERROR(__xludf.DUMMYFUNCTION("""COMPUTED_VALUE"""),"Pieces")</f>
        <v>Pieces</v>
      </c>
      <c r="I531" s="15" t="str">
        <f>IFERROR(__xludf.DUMMYFUNCTION("""COMPUTED_VALUE"""),"Deliver")</f>
        <v>Deliver</v>
      </c>
      <c r="J531" s="15" t="str">
        <f>IFERROR(__xludf.DUMMYFUNCTION("""COMPUTED_VALUE"""),"-")</f>
        <v>-</v>
      </c>
      <c r="K531" s="15" t="str">
        <f>IFERROR(__xludf.DUMMYFUNCTION("""COMPUTED_VALUE"""),"-")</f>
        <v>-</v>
      </c>
      <c r="L531" s="15" t="str">
        <f>IFERROR(__xludf.DUMMYFUNCTION("""COMPUTED_VALUE"""),"Normal")</f>
        <v>Normal</v>
      </c>
      <c r="M531" s="18" t="s">
        <v>53</v>
      </c>
      <c r="N531" s="18" t="s">
        <v>54</v>
      </c>
    </row>
    <row r="532" hidden="1">
      <c r="A532" s="15" t="str">
        <f>IFERROR(__xludf.DUMMYFUNCTION("""COMPUTED_VALUE"""),"MFHRO0156")</f>
        <v>MFHRO0156</v>
      </c>
      <c r="B532" s="16">
        <f>IFERROR(__xludf.DUMMYFUNCTION("""COMPUTED_VALUE"""),45865.64966880787)</f>
        <v>45865.64967</v>
      </c>
      <c r="C532" s="17">
        <f>IFERROR(__xludf.DUMMYFUNCTION("""COMPUTED_VALUE"""),45865.92112856481)</f>
        <v>45865.92113</v>
      </c>
      <c r="D532" s="15" t="str">
        <f>IFERROR(__xludf.DUMMYFUNCTION("""COMPUTED_VALUE"""),"General")</f>
        <v>General</v>
      </c>
      <c r="E532" s="15" t="str">
        <f>IFERROR(__xludf.DUMMYFUNCTION("""COMPUTED_VALUE"""),"-")</f>
        <v>-</v>
      </c>
      <c r="F532" s="15" t="str">
        <f>IFERROR(__xludf.DUMMYFUNCTION("""COMPUTED_VALUE"""),"Ballast Electronic EB-C 228 TL5, 2x28W; Phillips; ;")</f>
        <v>Ballast Electronic EB-C 228 TL5, 2x28W; Phillips; ;</v>
      </c>
      <c r="G532" s="15">
        <f>IFERROR(__xludf.DUMMYFUNCTION("""COMPUTED_VALUE"""),10.0)</f>
        <v>10</v>
      </c>
      <c r="H532" s="15" t="str">
        <f>IFERROR(__xludf.DUMMYFUNCTION("""COMPUTED_VALUE"""),"Pieces")</f>
        <v>Pieces</v>
      </c>
      <c r="I532" s="15" t="str">
        <f>IFERROR(__xludf.DUMMYFUNCTION("""COMPUTED_VALUE"""),"Deliver")</f>
        <v>Deliver</v>
      </c>
      <c r="J532" s="15" t="str">
        <f>IFERROR(__xludf.DUMMYFUNCTION("""COMPUTED_VALUE"""),"-")</f>
        <v>-</v>
      </c>
      <c r="K532" s="15" t="str">
        <f>IFERROR(__xludf.DUMMYFUNCTION("""COMPUTED_VALUE"""),"-")</f>
        <v>-</v>
      </c>
      <c r="L532" s="15" t="str">
        <f>IFERROR(__xludf.DUMMYFUNCTION("""COMPUTED_VALUE"""),"Normal")</f>
        <v>Normal</v>
      </c>
      <c r="M532" s="18" t="s">
        <v>53</v>
      </c>
      <c r="N532" s="18" t="s">
        <v>54</v>
      </c>
    </row>
    <row r="533" hidden="1">
      <c r="A533" s="15" t="str">
        <f>IFERROR(__xludf.DUMMYFUNCTION("""COMPUTED_VALUE"""),"MFHRO0157")</f>
        <v>MFHRO0157</v>
      </c>
      <c r="B533" s="16">
        <f>IFERROR(__xludf.DUMMYFUNCTION("""COMPUTED_VALUE"""),45865.64966880787)</f>
        <v>45865.64967</v>
      </c>
      <c r="C533" s="17">
        <f>IFERROR(__xludf.DUMMYFUNCTION("""COMPUTED_VALUE"""),45865.9212369213)</f>
        <v>45865.92124</v>
      </c>
      <c r="D533" s="15" t="str">
        <f>IFERROR(__xludf.DUMMYFUNCTION("""COMPUTED_VALUE"""),"General")</f>
        <v>General</v>
      </c>
      <c r="E533" s="15" t="str">
        <f>IFERROR(__xludf.DUMMYFUNCTION("""COMPUTED_VALUE"""),"-")</f>
        <v>-</v>
      </c>
      <c r="F533" s="15" t="str">
        <f>IFERROR(__xludf.DUMMYFUNCTION("""COMPUTED_VALUE"""),"Sodium metabisulfit")</f>
        <v>Sodium metabisulfit</v>
      </c>
      <c r="G533" s="15">
        <f>IFERROR(__xludf.DUMMYFUNCTION("""COMPUTED_VALUE"""),3.0)</f>
        <v>3</v>
      </c>
      <c r="H533" s="15" t="str">
        <f>IFERROR(__xludf.DUMMYFUNCTION("""COMPUTED_VALUE"""),"Pieces")</f>
        <v>Pieces</v>
      </c>
      <c r="I533" s="15" t="str">
        <f>IFERROR(__xludf.DUMMYFUNCTION("""COMPUTED_VALUE"""),"Deliver")</f>
        <v>Deliver</v>
      </c>
      <c r="J533" s="15" t="str">
        <f>IFERROR(__xludf.DUMMYFUNCTION("""COMPUTED_VALUE"""),"-")</f>
        <v>-</v>
      </c>
      <c r="K533" s="15" t="str">
        <f>IFERROR(__xludf.DUMMYFUNCTION("""COMPUTED_VALUE"""),"-")</f>
        <v>-</v>
      </c>
      <c r="L533" s="15" t="str">
        <f>IFERROR(__xludf.DUMMYFUNCTION("""COMPUTED_VALUE"""),"Normal")</f>
        <v>Normal</v>
      </c>
      <c r="M533" s="18" t="s">
        <v>53</v>
      </c>
      <c r="N533" s="18" t="s">
        <v>54</v>
      </c>
    </row>
    <row r="534" hidden="1">
      <c r="A534" s="15" t="str">
        <f>IFERROR(__xludf.DUMMYFUNCTION("""COMPUTED_VALUE"""),"MFHRO0158")</f>
        <v>MFHRO0158</v>
      </c>
      <c r="B534" s="16">
        <f>IFERROR(__xludf.DUMMYFUNCTION("""COMPUTED_VALUE"""),45865.64966880787)</f>
        <v>45865.64967</v>
      </c>
      <c r="C534" s="17">
        <f>IFERROR(__xludf.DUMMYFUNCTION("""COMPUTED_VALUE"""),45865.92134944444)</f>
        <v>45865.92135</v>
      </c>
      <c r="D534" s="15" t="str">
        <f>IFERROR(__xludf.DUMMYFUNCTION("""COMPUTED_VALUE"""),"FD")</f>
        <v>FD</v>
      </c>
      <c r="E534" s="15" t="str">
        <f>IFERROR(__xludf.DUMMYFUNCTION("""COMPUTED_VALUE"""),"-")</f>
        <v>-</v>
      </c>
      <c r="F534" s="15" t="str">
        <f>IFERROR(__xludf.DUMMYFUNCTION("""COMPUTED_VALUE"""),"General - Freon R507; Chemours; -; 1 pcs")</f>
        <v>General - Freon R507; Chemours; -; 1 pcs</v>
      </c>
      <c r="G534" s="15">
        <f>IFERROR(__xludf.DUMMYFUNCTION("""COMPUTED_VALUE"""),2.0)</f>
        <v>2</v>
      </c>
      <c r="H534" s="15" t="str">
        <f>IFERROR(__xludf.DUMMYFUNCTION("""COMPUTED_VALUE"""),"Can")</f>
        <v>Can</v>
      </c>
      <c r="I534" s="15" t="str">
        <f>IFERROR(__xludf.DUMMYFUNCTION("""COMPUTED_VALUE"""),"Deliver")</f>
        <v>Deliver</v>
      </c>
      <c r="J534" s="15" t="str">
        <f>IFERROR(__xludf.DUMMYFUNCTION("""COMPUTED_VALUE"""),"-")</f>
        <v>-</v>
      </c>
      <c r="K534" s="15" t="str">
        <f>IFERROR(__xludf.DUMMYFUNCTION("""COMPUTED_VALUE"""),"-")</f>
        <v>-</v>
      </c>
      <c r="L534" s="15" t="str">
        <f>IFERROR(__xludf.DUMMYFUNCTION("""COMPUTED_VALUE"""),"Normal")</f>
        <v>Normal</v>
      </c>
      <c r="M534" s="18" t="s">
        <v>53</v>
      </c>
      <c r="N534" s="18" t="s">
        <v>54</v>
      </c>
    </row>
    <row r="535" hidden="1">
      <c r="A535" s="15" t="str">
        <f>IFERROR(__xludf.DUMMYFUNCTION("""COMPUTED_VALUE"""),"MFHRO0159")</f>
        <v>MFHRO0159</v>
      </c>
      <c r="B535" s="16">
        <f>IFERROR(__xludf.DUMMYFUNCTION("""COMPUTED_VALUE"""),45865.64966880787)</f>
        <v>45865.64967</v>
      </c>
      <c r="C535" s="17">
        <f>IFERROR(__xludf.DUMMYFUNCTION("""COMPUTED_VALUE"""),45865.921449548616)</f>
        <v>45865.92145</v>
      </c>
      <c r="D535" s="15" t="str">
        <f>IFERROR(__xludf.DUMMYFUNCTION("""COMPUTED_VALUE"""),"FD")</f>
        <v>FD</v>
      </c>
      <c r="E535" s="15" t="str">
        <f>IFERROR(__xludf.DUMMYFUNCTION("""COMPUTED_VALUE"""),"-")</f>
        <v>-</v>
      </c>
      <c r="F535" s="15" t="str">
        <f>IFERROR(__xludf.DUMMYFUNCTION("""COMPUTED_VALUE"""),"O-RING 345X5.30; Freeze Dryer MBE1207; P/N EB41-00320; pack size per pc")</f>
        <v>O-RING 345X5.30; Freeze Dryer MBE1207; P/N EB41-00320; pack size per pc</v>
      </c>
      <c r="G535" s="15">
        <f>IFERROR(__xludf.DUMMYFUNCTION("""COMPUTED_VALUE"""),5.0)</f>
        <v>5</v>
      </c>
      <c r="H535" s="15" t="str">
        <f>IFERROR(__xludf.DUMMYFUNCTION("""COMPUTED_VALUE"""),"Pieces")</f>
        <v>Pieces</v>
      </c>
      <c r="I535" s="15" t="str">
        <f>IFERROR(__xludf.DUMMYFUNCTION("""COMPUTED_VALUE"""),"Deliver")</f>
        <v>Deliver</v>
      </c>
      <c r="J535" s="15" t="str">
        <f>IFERROR(__xludf.DUMMYFUNCTION("""COMPUTED_VALUE"""),"-")</f>
        <v>-</v>
      </c>
      <c r="K535" s="15" t="str">
        <f>IFERROR(__xludf.DUMMYFUNCTION("""COMPUTED_VALUE"""),"-")</f>
        <v>-</v>
      </c>
      <c r="L535" s="15" t="str">
        <f>IFERROR(__xludf.DUMMYFUNCTION("""COMPUTED_VALUE"""),"Normal")</f>
        <v>Normal</v>
      </c>
      <c r="M535" s="18" t="s">
        <v>53</v>
      </c>
      <c r="N535" s="18" t="s">
        <v>54</v>
      </c>
    </row>
    <row r="536" hidden="1">
      <c r="A536" s="15" t="str">
        <f>IFERROR(__xludf.DUMMYFUNCTION("""COMPUTED_VALUE"""),"MFHRO0160")</f>
        <v>MFHRO0160</v>
      </c>
      <c r="B536" s="16">
        <f>IFERROR(__xludf.DUMMYFUNCTION("""COMPUTED_VALUE"""),45865.64966880787)</f>
        <v>45865.64967</v>
      </c>
      <c r="C536" s="17">
        <f>IFERROR(__xludf.DUMMYFUNCTION("""COMPUTED_VALUE"""),45865.921544791665)</f>
        <v>45865.92154</v>
      </c>
      <c r="D536" s="15" t="str">
        <f>IFERROR(__xludf.DUMMYFUNCTION("""COMPUTED_VALUE"""),"FD")</f>
        <v>FD</v>
      </c>
      <c r="E536" s="15" t="str">
        <f>IFERROR(__xludf.DUMMYFUNCTION("""COMPUTED_VALUE"""),"-")</f>
        <v>-</v>
      </c>
      <c r="F536" s="15" t="str">
        <f>IFERROR(__xludf.DUMMYFUNCTION("""COMPUTED_VALUE"""),"Freeze Dryer MBE1207 - Silicone O-ring 243x5.3 for main valve bellows; ; EB41-00314;")</f>
        <v>Freeze Dryer MBE1207 - Silicone O-ring 243x5.3 for main valve bellows; ; EB41-00314;</v>
      </c>
      <c r="G536" s="15">
        <f>IFERROR(__xludf.DUMMYFUNCTION("""COMPUTED_VALUE"""),5.0)</f>
        <v>5</v>
      </c>
      <c r="H536" s="15" t="str">
        <f>IFERROR(__xludf.DUMMYFUNCTION("""COMPUTED_VALUE"""),"Pieces")</f>
        <v>Pieces</v>
      </c>
      <c r="I536" s="15" t="str">
        <f>IFERROR(__xludf.DUMMYFUNCTION("""COMPUTED_VALUE"""),"Deliver")</f>
        <v>Deliver</v>
      </c>
      <c r="J536" s="15" t="str">
        <f>IFERROR(__xludf.DUMMYFUNCTION("""COMPUTED_VALUE"""),"-")</f>
        <v>-</v>
      </c>
      <c r="K536" s="15" t="str">
        <f>IFERROR(__xludf.DUMMYFUNCTION("""COMPUTED_VALUE"""),"-")</f>
        <v>-</v>
      </c>
      <c r="L536" s="15" t="str">
        <f>IFERROR(__xludf.DUMMYFUNCTION("""COMPUTED_VALUE"""),"Normal")</f>
        <v>Normal</v>
      </c>
      <c r="M536" s="18" t="s">
        <v>53</v>
      </c>
      <c r="N536" s="18" t="s">
        <v>54</v>
      </c>
    </row>
    <row r="537" hidden="1">
      <c r="A537" s="15" t="str">
        <f>IFERROR(__xludf.DUMMYFUNCTION("""COMPUTED_VALUE"""),"MFHRO0161")</f>
        <v>MFHRO0161</v>
      </c>
      <c r="B537" s="16">
        <f>IFERROR(__xludf.DUMMYFUNCTION("""COMPUTED_VALUE"""),45865.64966880787)</f>
        <v>45865.64967</v>
      </c>
      <c r="C537" s="17">
        <f>IFERROR(__xludf.DUMMYFUNCTION("""COMPUTED_VALUE"""),45865.921634108796)</f>
        <v>45865.92163</v>
      </c>
      <c r="D537" s="15" t="str">
        <f>IFERROR(__xludf.DUMMYFUNCTION("""COMPUTED_VALUE"""),"FD")</f>
        <v>FD</v>
      </c>
      <c r="E537" s="15" t="str">
        <f>IFERROR(__xludf.DUMMYFUNCTION("""COMPUTED_VALUE"""),"-")</f>
        <v>-</v>
      </c>
      <c r="F537" s="15" t="str">
        <f>IFERROR(__xludf.DUMMYFUNCTION("""COMPUTED_VALUE"""),"O-RING 132X5.30; Freeze Dryer MBE1207; P/N EB41-00298; pack size per pc")</f>
        <v>O-RING 132X5.30; Freeze Dryer MBE1207; P/N EB41-00298; pack size per pc</v>
      </c>
      <c r="G537" s="15">
        <f>IFERROR(__xludf.DUMMYFUNCTION("""COMPUTED_VALUE"""),5.0)</f>
        <v>5</v>
      </c>
      <c r="H537" s="15" t="str">
        <f>IFERROR(__xludf.DUMMYFUNCTION("""COMPUTED_VALUE"""),"Pieces")</f>
        <v>Pieces</v>
      </c>
      <c r="I537" s="15" t="str">
        <f>IFERROR(__xludf.DUMMYFUNCTION("""COMPUTED_VALUE"""),"Deliver")</f>
        <v>Deliver</v>
      </c>
      <c r="J537" s="15" t="str">
        <f>IFERROR(__xludf.DUMMYFUNCTION("""COMPUTED_VALUE"""),"-")</f>
        <v>-</v>
      </c>
      <c r="K537" s="15" t="str">
        <f>IFERROR(__xludf.DUMMYFUNCTION("""COMPUTED_VALUE"""),"-")</f>
        <v>-</v>
      </c>
      <c r="L537" s="15" t="str">
        <f>IFERROR(__xludf.DUMMYFUNCTION("""COMPUTED_VALUE"""),"Normal")</f>
        <v>Normal</v>
      </c>
      <c r="M537" s="18" t="s">
        <v>53</v>
      </c>
      <c r="N537" s="18" t="s">
        <v>54</v>
      </c>
    </row>
    <row r="538" hidden="1">
      <c r="A538" s="15" t="str">
        <f>IFERROR(__xludf.DUMMYFUNCTION("""COMPUTED_VALUE"""),"MFHRO0162")</f>
        <v>MFHRO0162</v>
      </c>
      <c r="B538" s="16">
        <f>IFERROR(__xludf.DUMMYFUNCTION("""COMPUTED_VALUE"""),45865.64966880787)</f>
        <v>45865.64967</v>
      </c>
      <c r="C538" s="17">
        <f>IFERROR(__xludf.DUMMYFUNCTION("""COMPUTED_VALUE"""),45865.921727395835)</f>
        <v>45865.92173</v>
      </c>
      <c r="D538" s="15" t="str">
        <f>IFERROR(__xludf.DUMMYFUNCTION("""COMPUTED_VALUE"""),"FD")</f>
        <v>FD</v>
      </c>
      <c r="E538" s="15" t="str">
        <f>IFERROR(__xludf.DUMMYFUNCTION("""COMPUTED_VALUE"""),"-")</f>
        <v>-</v>
      </c>
      <c r="F538" s="15" t="str">
        <f>IFERROR(__xludf.DUMMYFUNCTION("""COMPUTED_VALUE"""),"O-RING 132X5.30; Freeze Dryer MBE1207; P/N EB41-00298; pack size per pc")</f>
        <v>O-RING 132X5.30; Freeze Dryer MBE1207; P/N EB41-00298; pack size per pc</v>
      </c>
      <c r="G538" s="15">
        <f>IFERROR(__xludf.DUMMYFUNCTION("""COMPUTED_VALUE"""),5.0)</f>
        <v>5</v>
      </c>
      <c r="H538" s="15" t="str">
        <f>IFERROR(__xludf.DUMMYFUNCTION("""COMPUTED_VALUE"""),"Pieces")</f>
        <v>Pieces</v>
      </c>
      <c r="I538" s="15" t="str">
        <f>IFERROR(__xludf.DUMMYFUNCTION("""COMPUTED_VALUE"""),"Deliver")</f>
        <v>Deliver</v>
      </c>
      <c r="J538" s="15" t="str">
        <f>IFERROR(__xludf.DUMMYFUNCTION("""COMPUTED_VALUE"""),"-")</f>
        <v>-</v>
      </c>
      <c r="K538" s="15" t="str">
        <f>IFERROR(__xludf.DUMMYFUNCTION("""COMPUTED_VALUE"""),"-")</f>
        <v>-</v>
      </c>
      <c r="L538" s="15" t="str">
        <f>IFERROR(__xludf.DUMMYFUNCTION("""COMPUTED_VALUE"""),"Normal")</f>
        <v>Normal</v>
      </c>
      <c r="M538" s="18" t="s">
        <v>53</v>
      </c>
      <c r="N538" s="18" t="s">
        <v>54</v>
      </c>
    </row>
    <row r="539" hidden="1">
      <c r="A539" s="15" t="str">
        <f>IFERROR(__xludf.DUMMYFUNCTION("""COMPUTED_VALUE"""),"MFHRO0163")</f>
        <v>MFHRO0163</v>
      </c>
      <c r="B539" s="16">
        <f>IFERROR(__xludf.DUMMYFUNCTION("""COMPUTED_VALUE"""),45865.64966880787)</f>
        <v>45865.64967</v>
      </c>
      <c r="C539" s="17">
        <f>IFERROR(__xludf.DUMMYFUNCTION("""COMPUTED_VALUE"""),45865.921825613426)</f>
        <v>45865.92183</v>
      </c>
      <c r="D539" s="15" t="str">
        <f>IFERROR(__xludf.DUMMYFUNCTION("""COMPUTED_VALUE"""),"FD")</f>
        <v>FD</v>
      </c>
      <c r="E539" s="15" t="str">
        <f>IFERROR(__xludf.DUMMYFUNCTION("""COMPUTED_VALUE"""),"-")</f>
        <v>-</v>
      </c>
      <c r="F539" s="15" t="str">
        <f>IFERROR(__xludf.DUMMYFUNCTION("""COMPUTED_VALUE"""),"O-RING 180X3.55; Freeze Dryer MBE1207; P/N EB41-00357; pack size per pc")</f>
        <v>O-RING 180X3.55; Freeze Dryer MBE1207; P/N EB41-00357; pack size per pc</v>
      </c>
      <c r="G539" s="15">
        <f>IFERROR(__xludf.DUMMYFUNCTION("""COMPUTED_VALUE"""),5.0)</f>
        <v>5</v>
      </c>
      <c r="H539" s="15" t="str">
        <f>IFERROR(__xludf.DUMMYFUNCTION("""COMPUTED_VALUE"""),"Pieces")</f>
        <v>Pieces</v>
      </c>
      <c r="I539" s="15" t="str">
        <f>IFERROR(__xludf.DUMMYFUNCTION("""COMPUTED_VALUE"""),"Deliver")</f>
        <v>Deliver</v>
      </c>
      <c r="J539" s="15" t="str">
        <f>IFERROR(__xludf.DUMMYFUNCTION("""COMPUTED_VALUE"""),"-")</f>
        <v>-</v>
      </c>
      <c r="K539" s="15" t="str">
        <f>IFERROR(__xludf.DUMMYFUNCTION("""COMPUTED_VALUE"""),"-")</f>
        <v>-</v>
      </c>
      <c r="L539" s="15" t="str">
        <f>IFERROR(__xludf.DUMMYFUNCTION("""COMPUTED_VALUE"""),"Normal")</f>
        <v>Normal</v>
      </c>
      <c r="M539" s="18" t="s">
        <v>53</v>
      </c>
      <c r="N539" s="18" t="s">
        <v>54</v>
      </c>
    </row>
    <row r="540" hidden="1">
      <c r="A540" s="15" t="str">
        <f>IFERROR(__xludf.DUMMYFUNCTION("""COMPUTED_VALUE"""),"MFHRO0164")</f>
        <v>MFHRO0164</v>
      </c>
      <c r="B540" s="16">
        <f>IFERROR(__xludf.DUMMYFUNCTION("""COMPUTED_VALUE"""),45865.64966880787)</f>
        <v>45865.64967</v>
      </c>
      <c r="C540" s="17">
        <f>IFERROR(__xludf.DUMMYFUNCTION("""COMPUTED_VALUE"""),45865.92191694445)</f>
        <v>45865.92192</v>
      </c>
      <c r="D540" s="15" t="str">
        <f>IFERROR(__xludf.DUMMYFUNCTION("""COMPUTED_VALUE"""),"FD")</f>
        <v>FD</v>
      </c>
      <c r="E540" s="15" t="str">
        <f>IFERROR(__xludf.DUMMYFUNCTION("""COMPUTED_VALUE"""),"-")</f>
        <v>-</v>
      </c>
      <c r="F540" s="15" t="str">
        <f>IFERROR(__xludf.DUMMYFUNCTION("""COMPUTED_VALUE"""),"O-RING 8X1.8; Freeze Dryer MBE1207; P/N EB41-00336; pack size per pc")</f>
        <v>O-RING 8X1.8; Freeze Dryer MBE1207; P/N EB41-00336; pack size per pc</v>
      </c>
      <c r="G540" s="15">
        <f>IFERROR(__xludf.DUMMYFUNCTION("""COMPUTED_VALUE"""),20.0)</f>
        <v>20</v>
      </c>
      <c r="H540" s="15" t="str">
        <f>IFERROR(__xludf.DUMMYFUNCTION("""COMPUTED_VALUE"""),"Pieces")</f>
        <v>Pieces</v>
      </c>
      <c r="I540" s="15" t="str">
        <f>IFERROR(__xludf.DUMMYFUNCTION("""COMPUTED_VALUE"""),"Deliver")</f>
        <v>Deliver</v>
      </c>
      <c r="J540" s="15" t="str">
        <f>IFERROR(__xludf.DUMMYFUNCTION("""COMPUTED_VALUE"""),"-")</f>
        <v>-</v>
      </c>
      <c r="K540" s="15" t="str">
        <f>IFERROR(__xludf.DUMMYFUNCTION("""COMPUTED_VALUE"""),"-")</f>
        <v>-</v>
      </c>
      <c r="L540" s="15" t="str">
        <f>IFERROR(__xludf.DUMMYFUNCTION("""COMPUTED_VALUE"""),"Normal")</f>
        <v>Normal</v>
      </c>
      <c r="M540" s="18" t="s">
        <v>53</v>
      </c>
      <c r="N540" s="18" t="s">
        <v>54</v>
      </c>
    </row>
    <row r="541" hidden="1">
      <c r="A541" s="15" t="str">
        <f>IFERROR(__xludf.DUMMYFUNCTION("""COMPUTED_VALUE"""),"MFHRO0165")</f>
        <v>MFHRO0165</v>
      </c>
      <c r="B541" s="16">
        <f>IFERROR(__xludf.DUMMYFUNCTION("""COMPUTED_VALUE"""),45865.64966880787)</f>
        <v>45865.64967</v>
      </c>
      <c r="C541" s="17">
        <f>IFERROR(__xludf.DUMMYFUNCTION("""COMPUTED_VALUE"""),45865.922035474534)</f>
        <v>45865.92204</v>
      </c>
      <c r="D541" s="15" t="str">
        <f>IFERROR(__xludf.DUMMYFUNCTION("""COMPUTED_VALUE"""),"FD")</f>
        <v>FD</v>
      </c>
      <c r="E541" s="15" t="str">
        <f>IFERROR(__xludf.DUMMYFUNCTION("""COMPUTED_VALUE"""),"-")</f>
        <v>-</v>
      </c>
      <c r="F541" s="15" t="str">
        <f>IFERROR(__xludf.DUMMYFUNCTION("""COMPUTED_VALUE"""),"Freeze Dryer MBE1207 - Gasket Slot Door Silicone dia 13 mm; ; ;")</f>
        <v>Freeze Dryer MBE1207 - Gasket Slot Door Silicone dia 13 mm; ; ;</v>
      </c>
      <c r="G541" s="15">
        <f>IFERROR(__xludf.DUMMYFUNCTION("""COMPUTED_VALUE"""),8.0)</f>
        <v>8</v>
      </c>
      <c r="H541" s="15" t="str">
        <f>IFERROR(__xludf.DUMMYFUNCTION("""COMPUTED_VALUE"""),"Meter")</f>
        <v>Meter</v>
      </c>
      <c r="I541" s="15" t="str">
        <f>IFERROR(__xludf.DUMMYFUNCTION("""COMPUTED_VALUE"""),"Deliver")</f>
        <v>Deliver</v>
      </c>
      <c r="J541" s="15" t="str">
        <f>IFERROR(__xludf.DUMMYFUNCTION("""COMPUTED_VALUE"""),"-")</f>
        <v>-</v>
      </c>
      <c r="K541" s="15" t="str">
        <f>IFERROR(__xludf.DUMMYFUNCTION("""COMPUTED_VALUE"""),"-")</f>
        <v>-</v>
      </c>
      <c r="L541" s="15" t="str">
        <f>IFERROR(__xludf.DUMMYFUNCTION("""COMPUTED_VALUE"""),"Normal")</f>
        <v>Normal</v>
      </c>
      <c r="M541" s="18" t="s">
        <v>53</v>
      </c>
      <c r="N541" s="18" t="s">
        <v>54</v>
      </c>
    </row>
    <row r="542" hidden="1">
      <c r="A542" s="15" t="str">
        <f>IFERROR(__xludf.DUMMYFUNCTION("""COMPUTED_VALUE"""),"MFHRO0166")</f>
        <v>MFHRO0166</v>
      </c>
      <c r="B542" s="16">
        <f>IFERROR(__xludf.DUMMYFUNCTION("""COMPUTED_VALUE"""),45865.64966880787)</f>
        <v>45865.64967</v>
      </c>
      <c r="C542" s="17">
        <f>IFERROR(__xludf.DUMMYFUNCTION("""COMPUTED_VALUE"""),45865.922120462965)</f>
        <v>45865.92212</v>
      </c>
      <c r="D542" s="15" t="str">
        <f>IFERROR(__xludf.DUMMYFUNCTION("""COMPUTED_VALUE"""),"General")</f>
        <v>General</v>
      </c>
      <c r="E542" s="15" t="str">
        <f>IFERROR(__xludf.DUMMYFUNCTION("""COMPUTED_VALUE"""),"-")</f>
        <v>-</v>
      </c>
      <c r="F542" s="15" t="str">
        <f>IFERROR(__xludf.DUMMYFUNCTION("""COMPUTED_VALUE"""),"Water Mur PVC dia 1inch")</f>
        <v>Water Mur PVC dia 1inch</v>
      </c>
      <c r="G542" s="15">
        <f>IFERROR(__xludf.DUMMYFUNCTION("""COMPUTED_VALUE"""),5.0)</f>
        <v>5</v>
      </c>
      <c r="H542" s="15" t="str">
        <f>IFERROR(__xludf.DUMMYFUNCTION("""COMPUTED_VALUE"""),"Pieces")</f>
        <v>Pieces</v>
      </c>
      <c r="I542" s="15" t="str">
        <f>IFERROR(__xludf.DUMMYFUNCTION("""COMPUTED_VALUE"""),"Deliver")</f>
        <v>Deliver</v>
      </c>
      <c r="J542" s="15" t="str">
        <f>IFERROR(__xludf.DUMMYFUNCTION("""COMPUTED_VALUE"""),"-")</f>
        <v>-</v>
      </c>
      <c r="K542" s="15" t="str">
        <f>IFERROR(__xludf.DUMMYFUNCTION("""COMPUTED_VALUE"""),"-")</f>
        <v>-</v>
      </c>
      <c r="L542" s="15" t="str">
        <f>IFERROR(__xludf.DUMMYFUNCTION("""COMPUTED_VALUE"""),"Normal")</f>
        <v>Normal</v>
      </c>
      <c r="M542" s="18" t="s">
        <v>53</v>
      </c>
      <c r="N542" s="18" t="s">
        <v>54</v>
      </c>
    </row>
    <row r="543" hidden="1">
      <c r="A543" s="15" t="str">
        <f>IFERROR(__xludf.DUMMYFUNCTION("""COMPUTED_VALUE"""),"MFHRO0167")</f>
        <v>MFHRO0167</v>
      </c>
      <c r="B543" s="16">
        <f>IFERROR(__xludf.DUMMYFUNCTION("""COMPUTED_VALUE"""),45865.64966880787)</f>
        <v>45865.64967</v>
      </c>
      <c r="C543" s="17">
        <f>IFERROR(__xludf.DUMMYFUNCTION("""COMPUTED_VALUE"""),45865.92220341435)</f>
        <v>45865.9222</v>
      </c>
      <c r="D543" s="15" t="str">
        <f>IFERROR(__xludf.DUMMYFUNCTION("""COMPUTED_VALUE"""),"Building")</f>
        <v>Building</v>
      </c>
      <c r="E543" s="15" t="str">
        <f>IFERROR(__xludf.DUMMYFUNCTION("""COMPUTED_VALUE"""),"-")</f>
        <v>-</v>
      </c>
      <c r="F543" s="15" t="str">
        <f>IFERROR(__xludf.DUMMYFUNCTION("""COMPUTED_VALUE"""),"Cat Decor Acrylic Enamel DAE - 550 / Solvent Based; Propan; TEAL 5412 - Warna Biru; pack size 20 liter per pail")</f>
        <v>Cat Decor Acrylic Enamel DAE - 550 / Solvent Based; Propan; TEAL 5412 - Warna Biru; pack size 20 liter per pail</v>
      </c>
      <c r="G543" s="15">
        <f>IFERROR(__xludf.DUMMYFUNCTION("""COMPUTED_VALUE"""),4.0)</f>
        <v>4</v>
      </c>
      <c r="H543" s="15" t="str">
        <f>IFERROR(__xludf.DUMMYFUNCTION("""COMPUTED_VALUE"""),"Pail")</f>
        <v>Pail</v>
      </c>
      <c r="I543" s="15" t="str">
        <f>IFERROR(__xludf.DUMMYFUNCTION("""COMPUTED_VALUE"""),"Deliver")</f>
        <v>Deliver</v>
      </c>
      <c r="J543" s="15" t="str">
        <f>IFERROR(__xludf.DUMMYFUNCTION("""COMPUTED_VALUE"""),"-")</f>
        <v>-</v>
      </c>
      <c r="K543" s="15" t="str">
        <f>IFERROR(__xludf.DUMMYFUNCTION("""COMPUTED_VALUE"""),"-")</f>
        <v>-</v>
      </c>
      <c r="L543" s="15" t="str">
        <f>IFERROR(__xludf.DUMMYFUNCTION("""COMPUTED_VALUE"""),"Normal")</f>
        <v>Normal</v>
      </c>
      <c r="M543" s="18" t="s">
        <v>53</v>
      </c>
      <c r="N543" s="18" t="s">
        <v>54</v>
      </c>
    </row>
    <row r="544" hidden="1">
      <c r="A544" s="15" t="str">
        <f>IFERROR(__xludf.DUMMYFUNCTION("""COMPUTED_VALUE"""),"MFHRO0168")</f>
        <v>MFHRO0168</v>
      </c>
      <c r="B544" s="16">
        <f>IFERROR(__xludf.DUMMYFUNCTION("""COMPUTED_VALUE"""),45865.64966880787)</f>
        <v>45865.64967</v>
      </c>
      <c r="C544" s="17">
        <f>IFERROR(__xludf.DUMMYFUNCTION("""COMPUTED_VALUE"""),45865.922322592596)</f>
        <v>45865.92232</v>
      </c>
      <c r="D544" s="15" t="str">
        <f>IFERROR(__xludf.DUMMYFUNCTION("""COMPUTED_VALUE"""),"Washing")</f>
        <v>Washing</v>
      </c>
      <c r="E544" s="15" t="str">
        <f>IFERROR(__xludf.DUMMYFUNCTION("""COMPUTED_VALUE"""),"-")</f>
        <v>-</v>
      </c>
      <c r="F544" s="15" t="str">
        <f>IFERROR(__xludf.DUMMYFUNCTION("""COMPUTED_VALUE"""),"General - Directional Valve Pin Lock; SMC; VHL210W-02; 1 pc")</f>
        <v>General - Directional Valve Pin Lock; SMC; VHL210W-02; 1 pc</v>
      </c>
      <c r="G544" s="15">
        <f>IFERROR(__xludf.DUMMYFUNCTION("""COMPUTED_VALUE"""),1.0)</f>
        <v>1</v>
      </c>
      <c r="H544" s="15" t="str">
        <f>IFERROR(__xludf.DUMMYFUNCTION("""COMPUTED_VALUE"""),"Pieces")</f>
        <v>Pieces</v>
      </c>
      <c r="I544" s="15" t="str">
        <f>IFERROR(__xludf.DUMMYFUNCTION("""COMPUTED_VALUE"""),"Deliver")</f>
        <v>Deliver</v>
      </c>
      <c r="J544" s="15" t="str">
        <f>IFERROR(__xludf.DUMMYFUNCTION("""COMPUTED_VALUE"""),"-")</f>
        <v>-</v>
      </c>
      <c r="K544" s="15" t="str">
        <f>IFERROR(__xludf.DUMMYFUNCTION("""COMPUTED_VALUE"""),"-")</f>
        <v>-</v>
      </c>
      <c r="L544" s="15" t="str">
        <f>IFERROR(__xludf.DUMMYFUNCTION("""COMPUTED_VALUE"""),"Normal")</f>
        <v>Normal</v>
      </c>
      <c r="M544" s="18" t="s">
        <v>53</v>
      </c>
      <c r="N544" s="18" t="s">
        <v>54</v>
      </c>
    </row>
    <row r="545" hidden="1">
      <c r="A545" s="15" t="str">
        <f>IFERROR(__xludf.DUMMYFUNCTION("""COMPUTED_VALUE"""),"MFHRO0169")</f>
        <v>MFHRO0169</v>
      </c>
      <c r="B545" s="16">
        <f>IFERROR(__xludf.DUMMYFUNCTION("""COMPUTED_VALUE"""),45865.64966880787)</f>
        <v>45865.64967</v>
      </c>
      <c r="C545" s="17">
        <f>IFERROR(__xludf.DUMMYFUNCTION("""COMPUTED_VALUE"""),45865.92241167824)</f>
        <v>45865.92241</v>
      </c>
      <c r="D545" s="15" t="str">
        <f>IFERROR(__xludf.DUMMYFUNCTION("""COMPUTED_VALUE"""),"Washing")</f>
        <v>Washing</v>
      </c>
      <c r="E545" s="15" t="str">
        <f>IFERROR(__xludf.DUMMYFUNCTION("""COMPUTED_VALUE"""),"-")</f>
        <v>-</v>
      </c>
      <c r="F545" s="15" t="str">
        <f>IFERROR(__xludf.DUMMYFUNCTION("""COMPUTED_VALUE"""),"General - Check Valve SMC; -; AKH08A-025; 1 pc")</f>
        <v>General - Check Valve SMC; -; AKH08A-025; 1 pc</v>
      </c>
      <c r="G545" s="15">
        <f>IFERROR(__xludf.DUMMYFUNCTION("""COMPUTED_VALUE"""),2.0)</f>
        <v>2</v>
      </c>
      <c r="H545" s="15" t="str">
        <f>IFERROR(__xludf.DUMMYFUNCTION("""COMPUTED_VALUE"""),"Pieces")</f>
        <v>Pieces</v>
      </c>
      <c r="I545" s="15" t="str">
        <f>IFERROR(__xludf.DUMMYFUNCTION("""COMPUTED_VALUE"""),"Deliver")</f>
        <v>Deliver</v>
      </c>
      <c r="J545" s="15" t="str">
        <f>IFERROR(__xludf.DUMMYFUNCTION("""COMPUTED_VALUE"""),"-")</f>
        <v>-</v>
      </c>
      <c r="K545" s="15" t="str">
        <f>IFERROR(__xludf.DUMMYFUNCTION("""COMPUTED_VALUE"""),"-")</f>
        <v>-</v>
      </c>
      <c r="L545" s="15" t="str">
        <f>IFERROR(__xludf.DUMMYFUNCTION("""COMPUTED_VALUE"""),"Normal")</f>
        <v>Normal</v>
      </c>
      <c r="M545" s="18" t="s">
        <v>53</v>
      </c>
      <c r="N545" s="18" t="s">
        <v>54</v>
      </c>
    </row>
    <row r="546" hidden="1">
      <c r="A546" s="15" t="str">
        <f>IFERROR(__xludf.DUMMYFUNCTION("""COMPUTED_VALUE"""),"MFHRO0170")</f>
        <v>MFHRO0170</v>
      </c>
      <c r="B546" s="16">
        <f>IFERROR(__xludf.DUMMYFUNCTION("""COMPUTED_VALUE"""),45865.64966880787)</f>
        <v>45865.64967</v>
      </c>
      <c r="C546" s="17">
        <f>IFERROR(__xludf.DUMMYFUNCTION("""COMPUTED_VALUE"""),45865.92250670139)</f>
        <v>45865.92251</v>
      </c>
      <c r="D546" s="15" t="str">
        <f>IFERROR(__xludf.DUMMYFUNCTION("""COMPUTED_VALUE"""),"Washing")</f>
        <v>Washing</v>
      </c>
      <c r="E546" s="15" t="str">
        <f>IFERROR(__xludf.DUMMYFUNCTION("""COMPUTED_VALUE"""),"-")</f>
        <v>-</v>
      </c>
      <c r="F546" s="15" t="str">
        <f>IFERROR(__xludf.DUMMYFUNCTION("""COMPUTED_VALUE"""),"General - Fitting SMC; SMC; KQ2U08-00A; 1 pc")</f>
        <v>General - Fitting SMC; SMC; KQ2U08-00A; 1 pc</v>
      </c>
      <c r="G546" s="15">
        <f>IFERROR(__xludf.DUMMYFUNCTION("""COMPUTED_VALUE"""),2.0)</f>
        <v>2</v>
      </c>
      <c r="H546" s="15" t="str">
        <f>IFERROR(__xludf.DUMMYFUNCTION("""COMPUTED_VALUE"""),"Pieces")</f>
        <v>Pieces</v>
      </c>
      <c r="I546" s="15" t="str">
        <f>IFERROR(__xludf.DUMMYFUNCTION("""COMPUTED_VALUE"""),"Deliver")</f>
        <v>Deliver</v>
      </c>
      <c r="J546" s="15" t="str">
        <f>IFERROR(__xludf.DUMMYFUNCTION("""COMPUTED_VALUE"""),"-")</f>
        <v>-</v>
      </c>
      <c r="K546" s="15" t="str">
        <f>IFERROR(__xludf.DUMMYFUNCTION("""COMPUTED_VALUE"""),"-")</f>
        <v>-</v>
      </c>
      <c r="L546" s="15" t="str">
        <f>IFERROR(__xludf.DUMMYFUNCTION("""COMPUTED_VALUE"""),"Normal")</f>
        <v>Normal</v>
      </c>
      <c r="M546" s="18" t="s">
        <v>53</v>
      </c>
      <c r="N546" s="18" t="s">
        <v>54</v>
      </c>
    </row>
    <row r="547" hidden="1">
      <c r="A547" s="15" t="str">
        <f>IFERROR(__xludf.DUMMYFUNCTION("""COMPUTED_VALUE"""),"MFHRO0171")</f>
        <v>MFHRO0171</v>
      </c>
      <c r="B547" s="16">
        <f>IFERROR(__xludf.DUMMYFUNCTION("""COMPUTED_VALUE"""),45865.64966880787)</f>
        <v>45865.64967</v>
      </c>
      <c r="C547" s="17">
        <f>IFERROR(__xludf.DUMMYFUNCTION("""COMPUTED_VALUE"""),45865.92306256945)</f>
        <v>45865.92306</v>
      </c>
      <c r="D547" s="15" t="str">
        <f>IFERROR(__xludf.DUMMYFUNCTION("""COMPUTED_VALUE"""),"Washing")</f>
        <v>Washing</v>
      </c>
      <c r="E547" s="15" t="str">
        <f>IFERROR(__xludf.DUMMYFUNCTION("""COMPUTED_VALUE"""),"-")</f>
        <v>-</v>
      </c>
      <c r="F547" s="15" t="str">
        <f>IFERROR(__xludf.DUMMYFUNCTION("""COMPUTED_VALUE"""),"General - Plug 1/4inch; SMC; -; 1 pc")</f>
        <v>General - Plug 1/4inch; SMC; -; 1 pc</v>
      </c>
      <c r="G547" s="15">
        <f>IFERROR(__xludf.DUMMYFUNCTION("""COMPUTED_VALUE"""),1.0)</f>
        <v>1</v>
      </c>
      <c r="H547" s="15" t="str">
        <f>IFERROR(__xludf.DUMMYFUNCTION("""COMPUTED_VALUE"""),"Pieces")</f>
        <v>Pieces</v>
      </c>
      <c r="I547" s="15" t="str">
        <f>IFERROR(__xludf.DUMMYFUNCTION("""COMPUTED_VALUE"""),"Deliver")</f>
        <v>Deliver</v>
      </c>
      <c r="J547" s="15" t="str">
        <f>IFERROR(__xludf.DUMMYFUNCTION("""COMPUTED_VALUE"""),"-")</f>
        <v>-</v>
      </c>
      <c r="K547" s="15" t="str">
        <f>IFERROR(__xludf.DUMMYFUNCTION("""COMPUTED_VALUE"""),"-")</f>
        <v>-</v>
      </c>
      <c r="L547" s="15" t="str">
        <f>IFERROR(__xludf.DUMMYFUNCTION("""COMPUTED_VALUE"""),"Normal")</f>
        <v>Normal</v>
      </c>
      <c r="M547" s="18" t="s">
        <v>53</v>
      </c>
      <c r="N547" s="18" t="s">
        <v>54</v>
      </c>
    </row>
    <row r="548" hidden="1">
      <c r="A548" s="15" t="str">
        <f>IFERROR(__xludf.DUMMYFUNCTION("""COMPUTED_VALUE"""),"MFHRO0172")</f>
        <v>MFHRO0172</v>
      </c>
      <c r="B548" s="16">
        <f>IFERROR(__xludf.DUMMYFUNCTION("""COMPUTED_VALUE"""),45865.64966880787)</f>
        <v>45865.64967</v>
      </c>
      <c r="C548" s="17">
        <f>IFERROR(__xludf.DUMMYFUNCTION("""COMPUTED_VALUE"""),45865.9231509838)</f>
        <v>45865.92315</v>
      </c>
      <c r="D548" s="15" t="str">
        <f>IFERROR(__xludf.DUMMYFUNCTION("""COMPUTED_VALUE"""),"Washbay")</f>
        <v>Washbay</v>
      </c>
      <c r="E548" s="15" t="str">
        <f>IFERROR(__xludf.DUMMYFUNCTION("""COMPUTED_VALUE"""),"-")</f>
        <v>-</v>
      </c>
      <c r="F548" s="15" t="str">
        <f>IFERROR(__xludf.DUMMYFUNCTION("""COMPUTED_VALUE"""),"SCHNEIDER - MCB 4A 1Phase; ; ;")</f>
        <v>SCHNEIDER - MCB 4A 1Phase; ; ;</v>
      </c>
      <c r="G548" s="15">
        <f>IFERROR(__xludf.DUMMYFUNCTION("""COMPUTED_VALUE"""),3.0)</f>
        <v>3</v>
      </c>
      <c r="H548" s="15" t="str">
        <f>IFERROR(__xludf.DUMMYFUNCTION("""COMPUTED_VALUE"""),"Pieces")</f>
        <v>Pieces</v>
      </c>
      <c r="I548" s="15" t="str">
        <f>IFERROR(__xludf.DUMMYFUNCTION("""COMPUTED_VALUE"""),"Deliver")</f>
        <v>Deliver</v>
      </c>
      <c r="J548" s="15" t="str">
        <f>IFERROR(__xludf.DUMMYFUNCTION("""COMPUTED_VALUE"""),"-")</f>
        <v>-</v>
      </c>
      <c r="K548" s="15" t="str">
        <f>IFERROR(__xludf.DUMMYFUNCTION("""COMPUTED_VALUE"""),"-")</f>
        <v>-</v>
      </c>
      <c r="L548" s="15" t="str">
        <f>IFERROR(__xludf.DUMMYFUNCTION("""COMPUTED_VALUE"""),"Normal")</f>
        <v>Normal</v>
      </c>
      <c r="M548" s="18" t="s">
        <v>53</v>
      </c>
      <c r="N548" s="18" t="s">
        <v>54</v>
      </c>
    </row>
    <row r="549" hidden="1">
      <c r="A549" s="15" t="str">
        <f>IFERROR(__xludf.DUMMYFUNCTION("""COMPUTED_VALUE"""),"MFHRO0173")</f>
        <v>MFHRO0173</v>
      </c>
      <c r="B549" s="16">
        <f>IFERROR(__xludf.DUMMYFUNCTION("""COMPUTED_VALUE"""),45865.64966880787)</f>
        <v>45865.64967</v>
      </c>
      <c r="C549" s="17">
        <f>IFERROR(__xludf.DUMMYFUNCTION("""COMPUTED_VALUE"""),45865.92327121528)</f>
        <v>45865.92327</v>
      </c>
      <c r="D549" s="15" t="str">
        <f>IFERROR(__xludf.DUMMYFUNCTION("""COMPUTED_VALUE"""),"General")</f>
        <v>General</v>
      </c>
      <c r="E549" s="15" t="str">
        <f>IFERROR(__xludf.DUMMYFUNCTION("""COMPUTED_VALUE"""),"-")</f>
        <v>-</v>
      </c>
      <c r="F549" s="15" t="str">
        <f>IFERROR(__xludf.DUMMYFUNCTION("""COMPUTED_VALUE"""),"Magnet Kotak Pintu Lemari Small Stainless Steel 1.5x3.6cm; ; ;")</f>
        <v>Magnet Kotak Pintu Lemari Small Stainless Steel 1.5x3.6cm; ; ;</v>
      </c>
      <c r="G549" s="15">
        <f>IFERROR(__xludf.DUMMYFUNCTION("""COMPUTED_VALUE"""),5.0)</f>
        <v>5</v>
      </c>
      <c r="H549" s="15" t="str">
        <f>IFERROR(__xludf.DUMMYFUNCTION("""COMPUTED_VALUE"""),"Pieces")</f>
        <v>Pieces</v>
      </c>
      <c r="I549" s="15" t="str">
        <f>IFERROR(__xludf.DUMMYFUNCTION("""COMPUTED_VALUE"""),"Deliver")</f>
        <v>Deliver</v>
      </c>
      <c r="J549" s="15" t="str">
        <f>IFERROR(__xludf.DUMMYFUNCTION("""COMPUTED_VALUE"""),"-")</f>
        <v>-</v>
      </c>
      <c r="K549" s="15" t="str">
        <f>IFERROR(__xludf.DUMMYFUNCTION("""COMPUTED_VALUE"""),"-")</f>
        <v>-</v>
      </c>
      <c r="L549" s="15" t="str">
        <f>IFERROR(__xludf.DUMMYFUNCTION("""COMPUTED_VALUE"""),"Normal")</f>
        <v>Normal</v>
      </c>
      <c r="M549" s="18" t="s">
        <v>53</v>
      </c>
      <c r="N549" s="18" t="s">
        <v>54</v>
      </c>
    </row>
    <row r="550" hidden="1">
      <c r="A550" s="15" t="str">
        <f>IFERROR(__xludf.DUMMYFUNCTION("""COMPUTED_VALUE"""),"MFHRO0174")</f>
        <v>MFHRO0174</v>
      </c>
      <c r="B550" s="16">
        <f>IFERROR(__xludf.DUMMYFUNCTION("""COMPUTED_VALUE"""),45865.64966880787)</f>
        <v>45865.64967</v>
      </c>
      <c r="C550" s="17">
        <f>IFERROR(__xludf.DUMMYFUNCTION("""COMPUTED_VALUE"""),45865.923385486116)</f>
        <v>45865.92339</v>
      </c>
      <c r="D550" s="15" t="str">
        <f>IFERROR(__xludf.DUMMYFUNCTION("""COMPUTED_VALUE"""),"HLD")</f>
        <v>HLD</v>
      </c>
      <c r="E550" s="15" t="str">
        <f>IFERROR(__xludf.DUMMYFUNCTION("""COMPUTED_VALUE"""),"-")</f>
        <v>-</v>
      </c>
      <c r="F550" s="15" t="str">
        <f>IFERROR(__xludf.DUMMYFUNCTION("""COMPUTED_VALUE"""),"General - Trolley Helium Leak Detector Uk. 600 x 750 x 800cm; Custom Agru Farma; -; 1 pc")</f>
        <v>General - Trolley Helium Leak Detector Uk. 600 x 750 x 800cm; Custom Agru Farma; -; 1 pc</v>
      </c>
      <c r="G550" s="15">
        <f>IFERROR(__xludf.DUMMYFUNCTION("""COMPUTED_VALUE"""),1.0)</f>
        <v>1</v>
      </c>
      <c r="H550" s="15" t="str">
        <f>IFERROR(__xludf.DUMMYFUNCTION("""COMPUTED_VALUE"""),"Pieces")</f>
        <v>Pieces</v>
      </c>
      <c r="I550" s="15" t="str">
        <f>IFERROR(__xludf.DUMMYFUNCTION("""COMPUTED_VALUE"""),"Deliver")</f>
        <v>Deliver</v>
      </c>
      <c r="J550" s="15" t="str">
        <f>IFERROR(__xludf.DUMMYFUNCTION("""COMPUTED_VALUE"""),"-")</f>
        <v>-</v>
      </c>
      <c r="K550" s="15" t="str">
        <f>IFERROR(__xludf.DUMMYFUNCTION("""COMPUTED_VALUE"""),"-")</f>
        <v>-</v>
      </c>
      <c r="L550" s="15" t="str">
        <f>IFERROR(__xludf.DUMMYFUNCTION("""COMPUTED_VALUE"""),"Normal")</f>
        <v>Normal</v>
      </c>
      <c r="M550" s="18" t="s">
        <v>53</v>
      </c>
      <c r="N550" s="18" t="s">
        <v>54</v>
      </c>
    </row>
    <row r="551" hidden="1">
      <c r="A551" s="15" t="str">
        <f>IFERROR(__xludf.DUMMYFUNCTION("""COMPUTED_VALUE"""),"MFHRO0175")</f>
        <v>MFHRO0175</v>
      </c>
      <c r="B551" s="16">
        <f>IFERROR(__xludf.DUMMYFUNCTION("""COMPUTED_VALUE"""),45865.64966880787)</f>
        <v>45865.64967</v>
      </c>
      <c r="C551" s="17">
        <f>IFERROR(__xludf.DUMMYFUNCTION("""COMPUTED_VALUE"""),45865.923471145834)</f>
        <v>45865.92347</v>
      </c>
      <c r="D551" s="15" t="str">
        <f>IFERROR(__xludf.DUMMYFUNCTION("""COMPUTED_VALUE"""),"PSG")</f>
        <v>PSG</v>
      </c>
      <c r="E551" s="15" t="str">
        <f>IFERROR(__xludf.DUMMYFUNCTION("""COMPUTED_VALUE"""),"-")</f>
        <v>-</v>
      </c>
      <c r="F551" s="15" t="str">
        <f>IFERROR(__xludf.DUMMYFUNCTION("""COMPUTED_VALUE"""),"General - Teflon Sheet 6 x 1000 x 1000mm; No Brand; -; 1 pc")</f>
        <v>General - Teflon Sheet 6 x 1000 x 1000mm; No Brand; -; 1 pc</v>
      </c>
      <c r="G551" s="15">
        <f>IFERROR(__xludf.DUMMYFUNCTION("""COMPUTED_VALUE"""),1.0)</f>
        <v>1</v>
      </c>
      <c r="H551" s="15" t="str">
        <f>IFERROR(__xludf.DUMMYFUNCTION("""COMPUTED_VALUE"""),"Pieces")</f>
        <v>Pieces</v>
      </c>
      <c r="I551" s="15" t="str">
        <f>IFERROR(__xludf.DUMMYFUNCTION("""COMPUTED_VALUE"""),"Deliver")</f>
        <v>Deliver</v>
      </c>
      <c r="J551" s="15" t="str">
        <f>IFERROR(__xludf.DUMMYFUNCTION("""COMPUTED_VALUE"""),"-")</f>
        <v>-</v>
      </c>
      <c r="K551" s="15" t="str">
        <f>IFERROR(__xludf.DUMMYFUNCTION("""COMPUTED_VALUE"""),"-")</f>
        <v>-</v>
      </c>
      <c r="L551" s="15" t="str">
        <f>IFERROR(__xludf.DUMMYFUNCTION("""COMPUTED_VALUE"""),"Normal")</f>
        <v>Normal</v>
      </c>
      <c r="M551" s="18" t="s">
        <v>53</v>
      </c>
      <c r="N551" s="18" t="s">
        <v>54</v>
      </c>
    </row>
    <row r="552" hidden="1">
      <c r="A552" s="15" t="str">
        <f>IFERROR(__xludf.DUMMYFUNCTION("""COMPUTED_VALUE"""),"MFHRO0176")</f>
        <v>MFHRO0176</v>
      </c>
      <c r="B552" s="16">
        <f>IFERROR(__xludf.DUMMYFUNCTION("""COMPUTED_VALUE"""),45865.64966880787)</f>
        <v>45865.64967</v>
      </c>
      <c r="C552" s="17">
        <f>IFERROR(__xludf.DUMMYFUNCTION("""COMPUTED_VALUE"""),45865.923562337965)</f>
        <v>45865.92356</v>
      </c>
      <c r="D552" s="15" t="str">
        <f>IFERROR(__xludf.DUMMYFUNCTION("""COMPUTED_VALUE"""),"Washing")</f>
        <v>Washing</v>
      </c>
      <c r="E552" s="15" t="str">
        <f>IFERROR(__xludf.DUMMYFUNCTION("""COMPUTED_VALUE"""),"-")</f>
        <v>-</v>
      </c>
      <c r="F552" s="15" t="str">
        <f>IFERROR(__xludf.DUMMYFUNCTION("""COMPUTED_VALUE"""),"Washing RAR4 - Needle CA, OD 15 x 168 mm, Mat. SS316; Custom/Lokal; -; 1 Pc")</f>
        <v>Washing RAR4 - Needle CA, OD 15 x 168 mm, Mat. SS316; Custom/Lokal; -; 1 Pc</v>
      </c>
      <c r="G552" s="15">
        <f>IFERROR(__xludf.DUMMYFUNCTION("""COMPUTED_VALUE"""),1.0)</f>
        <v>1</v>
      </c>
      <c r="H552" s="15" t="str">
        <f>IFERROR(__xludf.DUMMYFUNCTION("""COMPUTED_VALUE"""),"Pieces")</f>
        <v>Pieces</v>
      </c>
      <c r="I552" s="15" t="str">
        <f>IFERROR(__xludf.DUMMYFUNCTION("""COMPUTED_VALUE"""),"Deliver")</f>
        <v>Deliver</v>
      </c>
      <c r="J552" s="15" t="str">
        <f>IFERROR(__xludf.DUMMYFUNCTION("""COMPUTED_VALUE"""),"-")</f>
        <v>-</v>
      </c>
      <c r="K552" s="15" t="str">
        <f>IFERROR(__xludf.DUMMYFUNCTION("""COMPUTED_VALUE"""),"-")</f>
        <v>-</v>
      </c>
      <c r="L552" s="15" t="str">
        <f>IFERROR(__xludf.DUMMYFUNCTION("""COMPUTED_VALUE"""),"Normal")</f>
        <v>Normal</v>
      </c>
      <c r="M552" s="18" t="s">
        <v>53</v>
      </c>
      <c r="N552" s="18" t="s">
        <v>54</v>
      </c>
    </row>
    <row r="553" hidden="1">
      <c r="A553" s="15" t="str">
        <f>IFERROR(__xludf.DUMMYFUNCTION("""COMPUTED_VALUE"""),"MFHRO0177")</f>
        <v>MFHRO0177</v>
      </c>
      <c r="B553" s="16">
        <f>IFERROR(__xludf.DUMMYFUNCTION("""COMPUTED_VALUE"""),45865.64966880787)</f>
        <v>45865.64967</v>
      </c>
      <c r="C553" s="17">
        <f>IFERROR(__xludf.DUMMYFUNCTION("""COMPUTED_VALUE"""),45865.92366785879)</f>
        <v>45865.92367</v>
      </c>
      <c r="D553" s="15" t="str">
        <f>IFERROR(__xludf.DUMMYFUNCTION("""COMPUTED_VALUE"""),"General")</f>
        <v>General</v>
      </c>
      <c r="E553" s="15" t="str">
        <f>IFERROR(__xludf.DUMMYFUNCTION("""COMPUTED_VALUE"""),"-")</f>
        <v>-</v>
      </c>
      <c r="F553" s="15" t="str">
        <f>IFERROR(__xludf.DUMMYFUNCTION("""COMPUTED_VALUE"""),"Trolly - Roda ABUS 4inch (100 x 27mm), Without Brake; No Brand; -; 1 pc")</f>
        <v>Trolly - Roda ABUS 4inch (100 x 27mm), Without Brake; No Brand; -; 1 pc</v>
      </c>
      <c r="G553" s="15">
        <f>IFERROR(__xludf.DUMMYFUNCTION("""COMPUTED_VALUE"""),2.0)</f>
        <v>2</v>
      </c>
      <c r="H553" s="15" t="str">
        <f>IFERROR(__xludf.DUMMYFUNCTION("""COMPUTED_VALUE"""),"Pieces")</f>
        <v>Pieces</v>
      </c>
      <c r="I553" s="15" t="str">
        <f>IFERROR(__xludf.DUMMYFUNCTION("""COMPUTED_VALUE"""),"Deliver")</f>
        <v>Deliver</v>
      </c>
      <c r="J553" s="15" t="str">
        <f>IFERROR(__xludf.DUMMYFUNCTION("""COMPUTED_VALUE"""),"-")</f>
        <v>-</v>
      </c>
      <c r="K553" s="15" t="str">
        <f>IFERROR(__xludf.DUMMYFUNCTION("""COMPUTED_VALUE"""),"-")</f>
        <v>-</v>
      </c>
      <c r="L553" s="15" t="str">
        <f>IFERROR(__xludf.DUMMYFUNCTION("""COMPUTED_VALUE"""),"Normal")</f>
        <v>Normal</v>
      </c>
      <c r="M553" s="18" t="s">
        <v>53</v>
      </c>
      <c r="N553" s="18" t="s">
        <v>54</v>
      </c>
    </row>
    <row r="554" hidden="1">
      <c r="A554" s="15" t="str">
        <f>IFERROR(__xludf.DUMMYFUNCTION("""COMPUTED_VALUE"""),"MFHBR0009")</f>
        <v>MFHBR0009</v>
      </c>
      <c r="B554" s="16">
        <f>IFERROR(__xludf.DUMMYFUNCTION("""COMPUTED_VALUE"""),45865.62745817129)</f>
        <v>45865.62746</v>
      </c>
      <c r="C554" s="17">
        <f>IFERROR(__xludf.DUMMYFUNCTION("""COMPUTED_VALUE"""),45865.92921879629)</f>
        <v>45865.92922</v>
      </c>
      <c r="D554" s="15" t="str">
        <f>IFERROR(__xludf.DUMMYFUNCTION("""COMPUTED_VALUE"""),"Autoclave")</f>
        <v>Autoclave</v>
      </c>
      <c r="E554" s="15" t="str">
        <f>IFERROR(__xludf.DUMMYFUNCTION("""COMPUTED_VALUE"""),"-")</f>
        <v>-</v>
      </c>
      <c r="F554" s="15" t="str">
        <f>IFERROR(__xludf.DUMMYFUNCTION("""COMPUTED_VALUE"""),"HMI Siemens")</f>
        <v>HMI Siemens</v>
      </c>
      <c r="G554" s="15">
        <f>IFERROR(__xludf.DUMMYFUNCTION("""COMPUTED_VALUE"""),1.0)</f>
        <v>1</v>
      </c>
      <c r="H554" s="15" t="str">
        <f>IFERROR(__xludf.DUMMYFUNCTION("""COMPUTED_VALUE"""),"Unit")</f>
        <v>Unit</v>
      </c>
      <c r="I554" s="15" t="str">
        <f>IFERROR(__xludf.DUMMYFUNCTION("""COMPUTED_VALUE"""),"Deliver")</f>
        <v>Deliver</v>
      </c>
      <c r="J554" s="15" t="str">
        <f>IFERROR(__xludf.DUMMYFUNCTION("""COMPUTED_VALUE"""),"121702798 - APPROVED")</f>
        <v>121702798 - APPROVED</v>
      </c>
      <c r="K554" s="15" t="str">
        <f>IFERROR(__xludf.DUMMYFUNCTION("""COMPUTED_VALUE"""),"GL2507030")</f>
        <v>GL2507030</v>
      </c>
      <c r="L554" s="15" t="str">
        <f>IFERROR(__xludf.DUMMYFUNCTION("""COMPUTED_VALUE"""),"Normal")</f>
        <v>Normal</v>
      </c>
      <c r="M554" s="18" t="s">
        <v>53</v>
      </c>
      <c r="N554" s="18" t="s">
        <v>54</v>
      </c>
    </row>
    <row r="555" hidden="1">
      <c r="A555" s="15" t="str">
        <f>IFERROR(__xludf.DUMMYFUNCTION("""COMPUTED_VALUE"""),"MFHBR0010")</f>
        <v>MFHBR0010</v>
      </c>
      <c r="B555" s="16">
        <f>IFERROR(__xludf.DUMMYFUNCTION("""COMPUTED_VALUE"""),45865.6284737037)</f>
        <v>45865.62847</v>
      </c>
      <c r="C555" s="17">
        <f>IFERROR(__xludf.DUMMYFUNCTION("""COMPUTED_VALUE"""),45865.92931760417)</f>
        <v>45865.92932</v>
      </c>
      <c r="D555" s="15" t="str">
        <f>IFERROR(__xludf.DUMMYFUNCTION("""COMPUTED_VALUE"""),"Building")</f>
        <v>Building</v>
      </c>
      <c r="E555" s="15" t="str">
        <f>IFERROR(__xludf.DUMMYFUNCTION("""COMPUTED_VALUE"""),"-")</f>
        <v>-</v>
      </c>
      <c r="F555" s="15" t="str">
        <f>IFERROR(__xludf.DUMMYFUNCTION("""COMPUTED_VALUE"""),"Epoxy")</f>
        <v>Epoxy</v>
      </c>
      <c r="G555" s="15">
        <f>IFERROR(__xludf.DUMMYFUNCTION("""COMPUTED_VALUE"""),1.0)</f>
        <v>1</v>
      </c>
      <c r="H555" s="15" t="str">
        <f>IFERROR(__xludf.DUMMYFUNCTION("""COMPUTED_VALUE"""),"Lot")</f>
        <v>Lot</v>
      </c>
      <c r="I555" s="15" t="str">
        <f>IFERROR(__xludf.DUMMYFUNCTION("""COMPUTED_VALUE"""),"Deliver")</f>
        <v>Deliver</v>
      </c>
      <c r="J555" s="15" t="str">
        <f>IFERROR(__xludf.DUMMYFUNCTION("""COMPUTED_VALUE"""),"121702983 - APPROVED")</f>
        <v>121702983 - APPROVED</v>
      </c>
      <c r="K555" s="15" t="str">
        <f>IFERROR(__xludf.DUMMYFUNCTION("""COMPUTED_VALUE"""),"GL2508014")</f>
        <v>GL2508014</v>
      </c>
      <c r="L555" s="15" t="str">
        <f>IFERROR(__xludf.DUMMYFUNCTION("""COMPUTED_VALUE"""),"Normal")</f>
        <v>Normal</v>
      </c>
      <c r="M555" s="18" t="s">
        <v>53</v>
      </c>
      <c r="N555" s="18" t="s">
        <v>54</v>
      </c>
    </row>
    <row r="556" hidden="1">
      <c r="A556" s="15" t="str">
        <f>IFERROR(__xludf.DUMMYFUNCTION("""COMPUTED_VALUE"""),"MFHJA0024")</f>
        <v>MFHJA0024</v>
      </c>
      <c r="B556" s="16">
        <f>IFERROR(__xludf.DUMMYFUNCTION("""COMPUTED_VALUE"""),45865.629318935185)</f>
        <v>45865.62932</v>
      </c>
      <c r="C556" s="17">
        <f>IFERROR(__xludf.DUMMYFUNCTION("""COMPUTED_VALUE"""),45865.935982662035)</f>
        <v>45865.93598</v>
      </c>
      <c r="D556" s="15" t="str">
        <f>IFERROR(__xludf.DUMMYFUNCTION("""COMPUTED_VALUE"""),"FD")</f>
        <v>FD</v>
      </c>
      <c r="E556" s="15" t="str">
        <f>IFERROR(__xludf.DUMMYFUNCTION("""COMPUTED_VALUE"""),"-")</f>
        <v>-</v>
      </c>
      <c r="F556" s="15" t="str">
        <f>IFERROR(__xludf.DUMMYFUNCTION("""COMPUTED_VALUE"""),"Remote FD 1 Jun")</f>
        <v>Remote FD 1 Jun</v>
      </c>
      <c r="G556" s="15">
        <f>IFERROR(__xludf.DUMMYFUNCTION("""COMPUTED_VALUE"""),1.0)</f>
        <v>1</v>
      </c>
      <c r="H556" s="15" t="str">
        <f>IFERROR(__xludf.DUMMYFUNCTION("""COMPUTED_VALUE"""),"Lot")</f>
        <v>Lot</v>
      </c>
      <c r="I556" s="15" t="str">
        <f>IFERROR(__xludf.DUMMYFUNCTION("""COMPUTED_VALUE"""),"Deliver")</f>
        <v>Deliver</v>
      </c>
      <c r="J556" s="15" t="str">
        <f>IFERROR(__xludf.DUMMYFUNCTION("""COMPUTED_VALUE"""),"-")</f>
        <v>-</v>
      </c>
      <c r="K556" s="15" t="str">
        <f>IFERROR(__xludf.DUMMYFUNCTION("""COMPUTED_VALUE"""),"-")</f>
        <v>-</v>
      </c>
      <c r="L556" s="15" t="str">
        <f>IFERROR(__xludf.DUMMYFUNCTION("""COMPUTED_VALUE"""),"Normal")</f>
        <v>Normal</v>
      </c>
      <c r="M556" s="18" t="s">
        <v>53</v>
      </c>
      <c r="N556" s="18" t="s">
        <v>54</v>
      </c>
    </row>
    <row r="557" hidden="1">
      <c r="A557" s="15" t="str">
        <f>IFERROR(__xludf.DUMMYFUNCTION("""COMPUTED_VALUE"""),"MFHJA0025")</f>
        <v>MFHJA0025</v>
      </c>
      <c r="B557" s="16">
        <f>IFERROR(__xludf.DUMMYFUNCTION("""COMPUTED_VALUE"""),45865.630015891205)</f>
        <v>45865.63002</v>
      </c>
      <c r="C557" s="17">
        <f>IFERROR(__xludf.DUMMYFUNCTION("""COMPUTED_VALUE"""),45865.93611415509)</f>
        <v>45865.93611</v>
      </c>
      <c r="D557" s="15" t="str">
        <f>IFERROR(__xludf.DUMMYFUNCTION("""COMPUTED_VALUE"""),"Washing")</f>
        <v>Washing</v>
      </c>
      <c r="E557" s="15" t="str">
        <f>IFERROR(__xludf.DUMMYFUNCTION("""COMPUTED_VALUE"""),"-")</f>
        <v>-</v>
      </c>
      <c r="F557" s="15" t="str">
        <f>IFERROR(__xludf.DUMMYFUNCTION("""COMPUTED_VALUE"""),"Perbaikan Needle")</f>
        <v>Perbaikan Needle</v>
      </c>
      <c r="G557" s="15">
        <f>IFERROR(__xludf.DUMMYFUNCTION("""COMPUTED_VALUE"""),1.0)</f>
        <v>1</v>
      </c>
      <c r="H557" s="15" t="str">
        <f>IFERROR(__xludf.DUMMYFUNCTION("""COMPUTED_VALUE"""),"Lot")</f>
        <v>Lot</v>
      </c>
      <c r="I557" s="15" t="str">
        <f>IFERROR(__xludf.DUMMYFUNCTION("""COMPUTED_VALUE"""),"Deliver")</f>
        <v>Deliver</v>
      </c>
      <c r="J557" s="15" t="str">
        <f>IFERROR(__xludf.DUMMYFUNCTION("""COMPUTED_VALUE"""),"-")</f>
        <v>-</v>
      </c>
      <c r="K557" s="15" t="str">
        <f>IFERROR(__xludf.DUMMYFUNCTION("""COMPUTED_VALUE"""),"-")</f>
        <v>-</v>
      </c>
      <c r="L557" s="15" t="str">
        <f>IFERROR(__xludf.DUMMYFUNCTION("""COMPUTED_VALUE"""),"Normal")</f>
        <v>Normal</v>
      </c>
      <c r="M557" s="18" t="s">
        <v>53</v>
      </c>
      <c r="N557" s="18" t="s">
        <v>54</v>
      </c>
    </row>
    <row r="558" hidden="1">
      <c r="A558" s="15" t="str">
        <f>IFERROR(__xludf.DUMMYFUNCTION("""COMPUTED_VALUE"""),"MFHJA0026")</f>
        <v>MFHJA0026</v>
      </c>
      <c r="B558" s="16">
        <f>IFERROR(__xludf.DUMMYFUNCTION("""COMPUTED_VALUE"""),45865.63041311343)</f>
        <v>45865.63041</v>
      </c>
      <c r="C558" s="17">
        <f>IFERROR(__xludf.DUMMYFUNCTION("""COMPUTED_VALUE"""),45865.93649513889)</f>
        <v>45865.9365</v>
      </c>
      <c r="D558" s="15" t="str">
        <f>IFERROR(__xludf.DUMMYFUNCTION("""COMPUTED_VALUE"""),"EDM")</f>
        <v>EDM</v>
      </c>
      <c r="E558" s="15" t="str">
        <f>IFERROR(__xludf.DUMMYFUNCTION("""COMPUTED_VALUE"""),"-")</f>
        <v>-</v>
      </c>
      <c r="F558" s="15" t="str">
        <f>IFERROR(__xludf.DUMMYFUNCTION("""COMPUTED_VALUE"""),"Perbaikan Needle")</f>
        <v>Perbaikan Needle</v>
      </c>
      <c r="G558" s="15">
        <f>IFERROR(__xludf.DUMMYFUNCTION("""COMPUTED_VALUE"""),1.0)</f>
        <v>1</v>
      </c>
      <c r="H558" s="15" t="str">
        <f>IFERROR(__xludf.DUMMYFUNCTION("""COMPUTED_VALUE"""),"Lot")</f>
        <v>Lot</v>
      </c>
      <c r="I558" s="15" t="str">
        <f>IFERROR(__xludf.DUMMYFUNCTION("""COMPUTED_VALUE"""),"Deliver")</f>
        <v>Deliver</v>
      </c>
      <c r="J558" s="15" t="str">
        <f>IFERROR(__xludf.DUMMYFUNCTION("""COMPUTED_VALUE"""),"-")</f>
        <v>-</v>
      </c>
      <c r="K558" s="15" t="str">
        <f>IFERROR(__xludf.DUMMYFUNCTION("""COMPUTED_VALUE"""),"-")</f>
        <v>-</v>
      </c>
      <c r="L558" s="15" t="str">
        <f>IFERROR(__xludf.DUMMYFUNCTION("""COMPUTED_VALUE"""),"Normal")</f>
        <v>Normal</v>
      </c>
      <c r="M558" s="18" t="s">
        <v>53</v>
      </c>
      <c r="N558" s="18" t="s">
        <v>54</v>
      </c>
    </row>
    <row r="559" hidden="1">
      <c r="A559" s="15" t="str">
        <f>IFERROR(__xludf.DUMMYFUNCTION("""COMPUTED_VALUE"""),"MFHJA0027")</f>
        <v>MFHJA0027</v>
      </c>
      <c r="B559" s="16">
        <f>IFERROR(__xludf.DUMMYFUNCTION("""COMPUTED_VALUE"""),45865.63127168982)</f>
        <v>45865.63127</v>
      </c>
      <c r="C559" s="17">
        <f>IFERROR(__xludf.DUMMYFUNCTION("""COMPUTED_VALUE"""),45865.936693125)</f>
        <v>45865.93669</v>
      </c>
      <c r="D559" s="15" t="str">
        <f>IFERROR(__xludf.DUMMYFUNCTION("""COMPUTED_VALUE"""),"AHU")</f>
        <v>AHU</v>
      </c>
      <c r="E559" s="15" t="str">
        <f>IFERROR(__xludf.DUMMYFUNCTION("""COMPUTED_VALUE"""),"-")</f>
        <v>-</v>
      </c>
      <c r="F559" s="15" t="str">
        <f>IFERROR(__xludf.DUMMYFUNCTION("""COMPUTED_VALUE"""),"Perbaikan Display Regin")</f>
        <v>Perbaikan Display Regin</v>
      </c>
      <c r="G559" s="15">
        <f>IFERROR(__xludf.DUMMYFUNCTION("""COMPUTED_VALUE"""),1.0)</f>
        <v>1</v>
      </c>
      <c r="H559" s="15" t="str">
        <f>IFERROR(__xludf.DUMMYFUNCTION("""COMPUTED_VALUE"""),"Lot")</f>
        <v>Lot</v>
      </c>
      <c r="I559" s="15" t="str">
        <f>IFERROR(__xludf.DUMMYFUNCTION("""COMPUTED_VALUE"""),"Deliver")</f>
        <v>Deliver</v>
      </c>
      <c r="J559" s="15" t="str">
        <f>IFERROR(__xludf.DUMMYFUNCTION("""COMPUTED_VALUE"""),"-")</f>
        <v>-</v>
      </c>
      <c r="K559" s="15" t="str">
        <f>IFERROR(__xludf.DUMMYFUNCTION("""COMPUTED_VALUE"""),"-")</f>
        <v>-</v>
      </c>
      <c r="L559" s="15" t="str">
        <f>IFERROR(__xludf.DUMMYFUNCTION("""COMPUTED_VALUE"""),"Normal")</f>
        <v>Normal</v>
      </c>
      <c r="M559" s="18" t="s">
        <v>53</v>
      </c>
      <c r="N559" s="18" t="s">
        <v>54</v>
      </c>
    </row>
    <row r="560" hidden="1">
      <c r="A560" s="15" t="str">
        <f>IFERROR(__xludf.DUMMYFUNCTION("""COMPUTED_VALUE"""),"MFHJA0028")</f>
        <v>MFHJA0028</v>
      </c>
      <c r="B560" s="16">
        <f>IFERROR(__xludf.DUMMYFUNCTION("""COMPUTED_VALUE"""),45865.631567777775)</f>
        <v>45865.63157</v>
      </c>
      <c r="C560" s="17">
        <f>IFERROR(__xludf.DUMMYFUNCTION("""COMPUTED_VALUE"""),45865.936805324076)</f>
        <v>45865.93681</v>
      </c>
      <c r="D560" s="15" t="str">
        <f>IFERROR(__xludf.DUMMYFUNCTION("""COMPUTED_VALUE"""),"Instrumen")</f>
        <v>Instrumen</v>
      </c>
      <c r="E560" s="15" t="str">
        <f>IFERROR(__xludf.DUMMYFUNCTION("""COMPUTED_VALUE"""),"-")</f>
        <v>-</v>
      </c>
      <c r="F560" s="15" t="str">
        <f>IFERROR(__xludf.DUMMYFUNCTION("""COMPUTED_VALUE"""),"Perbaikan Mainboard Photometer")</f>
        <v>Perbaikan Mainboard Photometer</v>
      </c>
      <c r="G560" s="15">
        <f>IFERROR(__xludf.DUMMYFUNCTION("""COMPUTED_VALUE"""),1.0)</f>
        <v>1</v>
      </c>
      <c r="H560" s="15" t="str">
        <f>IFERROR(__xludf.DUMMYFUNCTION("""COMPUTED_VALUE"""),"Lot")</f>
        <v>Lot</v>
      </c>
      <c r="I560" s="15" t="str">
        <f>IFERROR(__xludf.DUMMYFUNCTION("""COMPUTED_VALUE"""),"Deliver")</f>
        <v>Deliver</v>
      </c>
      <c r="J560" s="15" t="str">
        <f>IFERROR(__xludf.DUMMYFUNCTION("""COMPUTED_VALUE"""),"-")</f>
        <v>-</v>
      </c>
      <c r="K560" s="15" t="str">
        <f>IFERROR(__xludf.DUMMYFUNCTION("""COMPUTED_VALUE"""),"-")</f>
        <v>-</v>
      </c>
      <c r="L560" s="15" t="str">
        <f>IFERROR(__xludf.DUMMYFUNCTION("""COMPUTED_VALUE"""),"Normal")</f>
        <v>Normal</v>
      </c>
      <c r="M560" s="18" t="s">
        <v>53</v>
      </c>
      <c r="N560" s="18" t="s">
        <v>54</v>
      </c>
    </row>
    <row r="561" hidden="1">
      <c r="A561" s="15" t="str">
        <f>IFERROR(__xludf.DUMMYFUNCTION("""COMPUTED_VALUE"""),"MFHJA0029")</f>
        <v>MFHJA0029</v>
      </c>
      <c r="B561" s="16">
        <f>IFERROR(__xludf.DUMMYFUNCTION("""COMPUTED_VALUE"""),45865.63220241898)</f>
        <v>45865.6322</v>
      </c>
      <c r="C561" s="17">
        <f>IFERROR(__xludf.DUMMYFUNCTION("""COMPUTED_VALUE"""),45865.936910902776)</f>
        <v>45865.93691</v>
      </c>
      <c r="D561" s="15" t="str">
        <f>IFERROR(__xludf.DUMMYFUNCTION("""COMPUTED_VALUE"""),"UPS")</f>
        <v>UPS</v>
      </c>
      <c r="E561" s="15" t="str">
        <f>IFERROR(__xludf.DUMMYFUNCTION("""COMPUTED_VALUE"""),"-")</f>
        <v>-</v>
      </c>
      <c r="F561" s="15" t="str">
        <f>IFERROR(__xludf.DUMMYFUNCTION("""COMPUTED_VALUE"""),"Perbaikan Main Board UPS")</f>
        <v>Perbaikan Main Board UPS</v>
      </c>
      <c r="G561" s="15">
        <f>IFERROR(__xludf.DUMMYFUNCTION("""COMPUTED_VALUE"""),1.0)</f>
        <v>1</v>
      </c>
      <c r="H561" s="15" t="str">
        <f>IFERROR(__xludf.DUMMYFUNCTION("""COMPUTED_VALUE"""),"Lot")</f>
        <v>Lot</v>
      </c>
      <c r="I561" s="15" t="str">
        <f>IFERROR(__xludf.DUMMYFUNCTION("""COMPUTED_VALUE"""),"Deliver")</f>
        <v>Deliver</v>
      </c>
      <c r="J561" s="15" t="str">
        <f>IFERROR(__xludf.DUMMYFUNCTION("""COMPUTED_VALUE"""),"-")</f>
        <v>-</v>
      </c>
      <c r="K561" s="15" t="str">
        <f>IFERROR(__xludf.DUMMYFUNCTION("""COMPUTED_VALUE"""),"-")</f>
        <v>-</v>
      </c>
      <c r="L561" s="15" t="str">
        <f>IFERROR(__xludf.DUMMYFUNCTION("""COMPUTED_VALUE"""),"Normal")</f>
        <v>Normal</v>
      </c>
      <c r="M561" s="18" t="s">
        <v>53</v>
      </c>
      <c r="N561" s="18" t="s">
        <v>54</v>
      </c>
    </row>
    <row r="562" hidden="1">
      <c r="A562" s="15" t="str">
        <f>IFERROR(__xludf.DUMMYFUNCTION("""COMPUTED_VALUE"""),"MFHJA0030")</f>
        <v>MFHJA0030</v>
      </c>
      <c r="B562" s="16">
        <f>IFERROR(__xludf.DUMMYFUNCTION("""COMPUTED_VALUE"""),45865.63757422454)</f>
        <v>45865.63757</v>
      </c>
      <c r="C562" s="17">
        <f>IFERROR(__xludf.DUMMYFUNCTION("""COMPUTED_VALUE"""),45865.937023935185)</f>
        <v>45865.93702</v>
      </c>
      <c r="D562" s="15" t="str">
        <f>IFERROR(__xludf.DUMMYFUNCTION("""COMPUTED_VALUE"""),"Lab")</f>
        <v>Lab</v>
      </c>
      <c r="E562" s="15" t="str">
        <f>IFERROR(__xludf.DUMMYFUNCTION("""COMPUTED_VALUE"""),"-")</f>
        <v>-</v>
      </c>
      <c r="F562" s="15" t="str">
        <f>IFERROR(__xludf.DUMMYFUNCTION("""COMPUTED_VALUE"""),"Perbaikan Motor Fumehood")</f>
        <v>Perbaikan Motor Fumehood</v>
      </c>
      <c r="G562" s="15">
        <f>IFERROR(__xludf.DUMMYFUNCTION("""COMPUTED_VALUE"""),1.0)</f>
        <v>1</v>
      </c>
      <c r="H562" s="15" t="str">
        <f>IFERROR(__xludf.DUMMYFUNCTION("""COMPUTED_VALUE"""),"Lot")</f>
        <v>Lot</v>
      </c>
      <c r="I562" s="15" t="str">
        <f>IFERROR(__xludf.DUMMYFUNCTION("""COMPUTED_VALUE"""),"Deliver")</f>
        <v>Deliver</v>
      </c>
      <c r="J562" s="15" t="str">
        <f>IFERROR(__xludf.DUMMYFUNCTION("""COMPUTED_VALUE"""),"-")</f>
        <v>-</v>
      </c>
      <c r="K562" s="15" t="str">
        <f>IFERROR(__xludf.DUMMYFUNCTION("""COMPUTED_VALUE"""),"-")</f>
        <v>-</v>
      </c>
      <c r="L562" s="15" t="str">
        <f>IFERROR(__xludf.DUMMYFUNCTION("""COMPUTED_VALUE"""),"Normal")</f>
        <v>Normal</v>
      </c>
      <c r="M562" s="18" t="s">
        <v>53</v>
      </c>
      <c r="N562" s="18" t="s">
        <v>54</v>
      </c>
    </row>
    <row r="563" hidden="1">
      <c r="A563" s="15" t="str">
        <f>IFERROR(__xludf.DUMMYFUNCTION("""COMPUTED_VALUE"""),"MFHJA0031")</f>
        <v>MFHJA0031</v>
      </c>
      <c r="B563" s="16">
        <f>IFERROR(__xludf.DUMMYFUNCTION("""COMPUTED_VALUE"""),45865.64315780093)</f>
        <v>45865.64316</v>
      </c>
      <c r="C563" s="17">
        <f>IFERROR(__xludf.DUMMYFUNCTION("""COMPUTED_VALUE"""),45865.93722758102)</f>
        <v>45865.93723</v>
      </c>
      <c r="D563" s="15" t="str">
        <f>IFERROR(__xludf.DUMMYFUNCTION("""COMPUTED_VALUE"""),"Lab")</f>
        <v>Lab</v>
      </c>
      <c r="E563" s="15" t="str">
        <f>IFERROR(__xludf.DUMMYFUNCTION("""COMPUTED_VALUE"""),"-")</f>
        <v>-</v>
      </c>
      <c r="F563" s="15" t="str">
        <f>IFERROR(__xludf.DUMMYFUNCTION("""COMPUTED_VALUE"""),"Pembuatan Desolution Tester")</f>
        <v>Pembuatan Desolution Tester</v>
      </c>
      <c r="G563" s="15">
        <f>IFERROR(__xludf.DUMMYFUNCTION("""COMPUTED_VALUE"""),1.0)</f>
        <v>1</v>
      </c>
      <c r="H563" s="15" t="str">
        <f>IFERROR(__xludf.DUMMYFUNCTION("""COMPUTED_VALUE"""),"Lot")</f>
        <v>Lot</v>
      </c>
      <c r="I563" s="15" t="str">
        <f>IFERROR(__xludf.DUMMYFUNCTION("""COMPUTED_VALUE"""),"Deliver")</f>
        <v>Deliver</v>
      </c>
      <c r="J563" s="15" t="str">
        <f>IFERROR(__xludf.DUMMYFUNCTION("""COMPUTED_VALUE"""),"-")</f>
        <v>-</v>
      </c>
      <c r="K563" s="15" t="str">
        <f>IFERROR(__xludf.DUMMYFUNCTION("""COMPUTED_VALUE"""),"-")</f>
        <v>-</v>
      </c>
      <c r="L563" s="15" t="str">
        <f>IFERROR(__xludf.DUMMYFUNCTION("""COMPUTED_VALUE"""),"Normal")</f>
        <v>Normal</v>
      </c>
      <c r="M563" s="18" t="s">
        <v>53</v>
      </c>
      <c r="N563" s="18" t="s">
        <v>54</v>
      </c>
    </row>
    <row r="564" hidden="1">
      <c r="A564" s="15" t="str">
        <f>IFERROR(__xludf.DUMMYFUNCTION("""COMPUTED_VALUE"""),"MOBRO0055")</f>
        <v>MOBRO0055</v>
      </c>
      <c r="B564" s="16">
        <f>IFERROR(__xludf.DUMMYFUNCTION("""COMPUTED_VALUE"""),45860.668564224536)</f>
        <v>45860.66856</v>
      </c>
      <c r="C564" s="17">
        <f>IFERROR(__xludf.DUMMYFUNCTION("""COMPUTED_VALUE"""),45867.44718375)</f>
        <v>45867.44718</v>
      </c>
      <c r="D564" s="15" t="str">
        <f>IFERROR(__xludf.DUMMYFUNCTION("""COMPUTED_VALUE"""),"AHU")</f>
        <v>AHU</v>
      </c>
      <c r="E564" s="15" t="str">
        <f>IFERROR(__xludf.DUMMYFUNCTION("""COMPUTED_VALUE"""),"-")</f>
        <v>-</v>
      </c>
      <c r="F564" s="15" t="str">
        <f>IFERROR(__xludf.DUMMYFUNCTION("""COMPUTED_VALUE"""),"Room Air Temp. &amp; RH Sensor, P/N. QFA2060D; ; ;")</f>
        <v>Room Air Temp. &amp; RH Sensor, P/N. QFA2060D; ; ;</v>
      </c>
      <c r="G564" s="15">
        <f>IFERROR(__xludf.DUMMYFUNCTION("""COMPUTED_VALUE"""),2.0)</f>
        <v>2</v>
      </c>
      <c r="H564" s="15" t="str">
        <f>IFERROR(__xludf.DUMMYFUNCTION("""COMPUTED_VALUE"""),"Pcs")</f>
        <v>Pcs</v>
      </c>
      <c r="I564" s="15" t="str">
        <f>IFERROR(__xludf.DUMMYFUNCTION("""COMPUTED_VALUE"""),"Deliver")</f>
        <v>Deliver</v>
      </c>
      <c r="J564" s="15" t="str">
        <f>IFERROR(__xludf.DUMMYFUNCTION("""COMPUTED_VALUE"""),"-")</f>
        <v>-</v>
      </c>
      <c r="K564" s="15" t="str">
        <f>IFERROR(__xludf.DUMMYFUNCTION("""COMPUTED_VALUE"""),"-")</f>
        <v>-</v>
      </c>
      <c r="L564" s="15" t="str">
        <f>IFERROR(__xludf.DUMMYFUNCTION("""COMPUTED_VALUE"""),"Normal")</f>
        <v>Normal</v>
      </c>
      <c r="M564" s="18" t="s">
        <v>31</v>
      </c>
      <c r="N564" s="18" t="s">
        <v>28</v>
      </c>
    </row>
    <row r="565" hidden="1">
      <c r="A565" s="15" t="str">
        <f>IFERROR(__xludf.DUMMYFUNCTION("""COMPUTED_VALUE"""),"RIABR0047")</f>
        <v>RIABR0047</v>
      </c>
      <c r="B565" s="16">
        <f>IFERROR(__xludf.DUMMYFUNCTION("""COMPUTED_VALUE"""),45860.91860982639)</f>
        <v>45860.91861</v>
      </c>
      <c r="C565" s="17">
        <f>IFERROR(__xludf.DUMMYFUNCTION("""COMPUTED_VALUE"""),45867.455843344906)</f>
        <v>45867.45584</v>
      </c>
      <c r="D565" s="15" t="str">
        <f>IFERROR(__xludf.DUMMYFUNCTION("""COMPUTED_VALUE"""),"WWTP")</f>
        <v>WWTP</v>
      </c>
      <c r="E565" s="15" t="str">
        <f>IFERROR(__xludf.DUMMYFUNCTION("""COMPUTED_VALUE"""),"EJO/2025/07/153")</f>
        <v>EJO/2025/07/153</v>
      </c>
      <c r="F565" s="15" t="str">
        <f>IFERROR(__xludf.DUMMYFUNCTION("""COMPUTED_VALUE"""),"Pilot Lamp")</f>
        <v>Pilot Lamp</v>
      </c>
      <c r="G565" s="15">
        <f>IFERROR(__xludf.DUMMYFUNCTION("""COMPUTED_VALUE"""),3.0)</f>
        <v>3</v>
      </c>
      <c r="H565" s="15" t="str">
        <f>IFERROR(__xludf.DUMMYFUNCTION("""COMPUTED_VALUE"""),"Pcs")</f>
        <v>Pcs</v>
      </c>
      <c r="I565" s="15" t="str">
        <f>IFERROR(__xludf.DUMMYFUNCTION("""COMPUTED_VALUE"""),"Deliver")</f>
        <v>Deliver</v>
      </c>
      <c r="J565" s="15" t="str">
        <f>IFERROR(__xludf.DUMMYFUNCTION("""COMPUTED_VALUE"""),"-")</f>
        <v>-</v>
      </c>
      <c r="K565" s="15" t="str">
        <f>IFERROR(__xludf.DUMMYFUNCTION("""COMPUTED_VALUE"""),"-")</f>
        <v>-</v>
      </c>
      <c r="L565" s="15" t="str">
        <f>IFERROR(__xludf.DUMMYFUNCTION("""COMPUTED_VALUE"""),"Normal")</f>
        <v>Normal</v>
      </c>
      <c r="M565" s="18" t="s">
        <v>32</v>
      </c>
      <c r="N565" s="18" t="s">
        <v>28</v>
      </c>
    </row>
    <row r="566" hidden="1">
      <c r="A566" s="15" t="str">
        <f>IFERROR(__xludf.DUMMYFUNCTION("""COMPUTED_VALUE"""),"MRNBR0035")</f>
        <v>MRNBR0035</v>
      </c>
      <c r="B566" s="16">
        <f>IFERROR(__xludf.DUMMYFUNCTION("""COMPUTED_VALUE"""),45865.63765895833)</f>
        <v>45865.63766</v>
      </c>
      <c r="C566" s="17">
        <f>IFERROR(__xludf.DUMMYFUNCTION("""COMPUTED_VALUE"""),45867.45658614583)</f>
        <v>45867.45659</v>
      </c>
      <c r="D566" s="15" t="str">
        <f>IFERROR(__xludf.DUMMYFUNCTION("""COMPUTED_VALUE"""),"Ruang GC lab")</f>
        <v>Ruang GC lab</v>
      </c>
      <c r="E566" s="15" t="str">
        <f>IFERROR(__xludf.DUMMYFUNCTION("""COMPUTED_VALUE"""),"EJO/2025/07/42")</f>
        <v>EJO/2025/07/42</v>
      </c>
      <c r="F566" s="15" t="str">
        <f>IFERROR(__xludf.DUMMYFUNCTION("""COMPUTED_VALUE"""),"solenoid valve 1/4 inch")</f>
        <v>solenoid valve 1/4 inch</v>
      </c>
      <c r="G566" s="15">
        <f>IFERROR(__xludf.DUMMYFUNCTION("""COMPUTED_VALUE"""),2.0)</f>
        <v>2</v>
      </c>
      <c r="H566" s="15" t="str">
        <f>IFERROR(__xludf.DUMMYFUNCTION("""COMPUTED_VALUE"""),"pcs")</f>
        <v>pcs</v>
      </c>
      <c r="I566" s="15" t="str">
        <f>IFERROR(__xludf.DUMMYFUNCTION("""COMPUTED_VALUE"""),"Deliver")</f>
        <v>Deliver</v>
      </c>
      <c r="J566" s="15" t="str">
        <f>IFERROR(__xludf.DUMMYFUNCTION("""COMPUTED_VALUE"""),"-")</f>
        <v>-</v>
      </c>
      <c r="K566" s="15" t="str">
        <f>IFERROR(__xludf.DUMMYFUNCTION("""COMPUTED_VALUE"""),"-")</f>
        <v>-</v>
      </c>
      <c r="L566" s="15" t="str">
        <f>IFERROR(__xludf.DUMMYFUNCTION("""COMPUTED_VALUE"""),"Normal")</f>
        <v>Normal</v>
      </c>
      <c r="M566" s="18" t="s">
        <v>48</v>
      </c>
      <c r="N566" s="18" t="s">
        <v>28</v>
      </c>
    </row>
    <row r="567" hidden="1">
      <c r="A567" s="15" t="str">
        <f>IFERROR(__xludf.DUMMYFUNCTION("""COMPUTED_VALUE"""),"MRNRO0025")</f>
        <v>MRNRO0025</v>
      </c>
      <c r="B567" s="16">
        <f>IFERROR(__xludf.DUMMYFUNCTION("""COMPUTED_VALUE"""),45865.63214635417)</f>
        <v>45865.63215</v>
      </c>
      <c r="C567" s="17">
        <f>IFERROR(__xludf.DUMMYFUNCTION("""COMPUTED_VALUE"""),45867.45679300925)</f>
        <v>45867.45679</v>
      </c>
      <c r="D567" s="15" t="str">
        <f>IFERROR(__xludf.DUMMYFUNCTION("""COMPUTED_VALUE"""),"Ruang GC lab")</f>
        <v>Ruang GC lab</v>
      </c>
      <c r="E567" s="15" t="str">
        <f>IFERROR(__xludf.DUMMYFUNCTION("""COMPUTED_VALUE"""),"EJO/2025/07/42")</f>
        <v>EJO/2025/07/42</v>
      </c>
      <c r="F567" s="15" t="str">
        <f>IFERROR(__xludf.DUMMYFUNCTION("""COMPUTED_VALUE"""),"General - Push-in Fitting, QS-1/4-6; Festo; 153003; 1 pcs")</f>
        <v>General - Push-in Fitting, QS-1/4-6; Festo; 153003; 1 pcs</v>
      </c>
      <c r="G567" s="15">
        <f>IFERROR(__xludf.DUMMYFUNCTION("""COMPUTED_VALUE"""),8.0)</f>
        <v>8</v>
      </c>
      <c r="H567" s="15" t="str">
        <f>IFERROR(__xludf.DUMMYFUNCTION("""COMPUTED_VALUE"""),"pcs")</f>
        <v>pcs</v>
      </c>
      <c r="I567" s="15" t="str">
        <f>IFERROR(__xludf.DUMMYFUNCTION("""COMPUTED_VALUE"""),"Deliver")</f>
        <v>Deliver</v>
      </c>
      <c r="J567" s="15" t="str">
        <f>IFERROR(__xludf.DUMMYFUNCTION("""COMPUTED_VALUE"""),"-")</f>
        <v>-</v>
      </c>
      <c r="K567" s="15" t="str">
        <f>IFERROR(__xludf.DUMMYFUNCTION("""COMPUTED_VALUE"""),"-")</f>
        <v>-</v>
      </c>
      <c r="L567" s="15" t="str">
        <f>IFERROR(__xludf.DUMMYFUNCTION("""COMPUTED_VALUE"""),"Normal")</f>
        <v>Normal</v>
      </c>
      <c r="M567" s="18" t="s">
        <v>48</v>
      </c>
      <c r="N567" s="18" t="s">
        <v>28</v>
      </c>
    </row>
    <row r="568" hidden="1">
      <c r="A568" s="15" t="str">
        <f>IFERROR(__xludf.DUMMYFUNCTION("""COMPUTED_VALUE"""),"MRNRO0026")</f>
        <v>MRNRO0026</v>
      </c>
      <c r="B568" s="16">
        <f>IFERROR(__xludf.DUMMYFUNCTION("""COMPUTED_VALUE"""),45865.633823854165)</f>
        <v>45865.63382</v>
      </c>
      <c r="C568" s="17">
        <f>IFERROR(__xludf.DUMMYFUNCTION("""COMPUTED_VALUE"""),45867.45701052083)</f>
        <v>45867.45701</v>
      </c>
      <c r="D568" s="15" t="str">
        <f>IFERROR(__xludf.DUMMYFUNCTION("""COMPUTED_VALUE"""),"Ruang GC lab")</f>
        <v>Ruang GC lab</v>
      </c>
      <c r="E568" s="15" t="str">
        <f>IFERROR(__xludf.DUMMYFUNCTION("""COMPUTED_VALUE"""),"EJO/2025/07/42")</f>
        <v>EJO/2025/07/42</v>
      </c>
      <c r="F568" s="15" t="str">
        <f>IFERROR(__xludf.DUMMYFUNCTION("""COMPUTED_VALUE"""),"General - Panel Box Uk. 20 x 30 x 15cm; No Brand; -; 1 pc")</f>
        <v>General - Panel Box Uk. 20 x 30 x 15cm; No Brand; -; 1 pc</v>
      </c>
      <c r="G568" s="15">
        <f>IFERROR(__xludf.DUMMYFUNCTION("""COMPUTED_VALUE"""),1.0)</f>
        <v>1</v>
      </c>
      <c r="H568" s="15" t="str">
        <f>IFERROR(__xludf.DUMMYFUNCTION("""COMPUTED_VALUE"""),"pcs")</f>
        <v>pcs</v>
      </c>
      <c r="I568" s="15" t="str">
        <f>IFERROR(__xludf.DUMMYFUNCTION("""COMPUTED_VALUE"""),"Deliver")</f>
        <v>Deliver</v>
      </c>
      <c r="J568" s="15" t="str">
        <f>IFERROR(__xludf.DUMMYFUNCTION("""COMPUTED_VALUE"""),"-")</f>
        <v>-</v>
      </c>
      <c r="K568" s="15" t="str">
        <f>IFERROR(__xludf.DUMMYFUNCTION("""COMPUTED_VALUE"""),"-")</f>
        <v>-</v>
      </c>
      <c r="L568" s="15" t="str">
        <f>IFERROR(__xludf.DUMMYFUNCTION("""COMPUTED_VALUE"""),"Normal")</f>
        <v>Normal</v>
      </c>
      <c r="M568" s="18" t="s">
        <v>48</v>
      </c>
      <c r="N568" s="18" t="s">
        <v>28</v>
      </c>
    </row>
    <row r="569" hidden="1">
      <c r="A569" s="15" t="str">
        <f>IFERROR(__xludf.DUMMYFUNCTION("""COMPUTED_VALUE"""),"MRNRO0027")</f>
        <v>MRNRO0027</v>
      </c>
      <c r="B569" s="16">
        <f>IFERROR(__xludf.DUMMYFUNCTION("""COMPUTED_VALUE"""),45865.641474814816)</f>
        <v>45865.64147</v>
      </c>
      <c r="C569" s="17">
        <f>IFERROR(__xludf.DUMMYFUNCTION("""COMPUTED_VALUE"""),45867.457225486105)</f>
        <v>45867.45723</v>
      </c>
      <c r="D569" s="15" t="str">
        <f>IFERROR(__xludf.DUMMYFUNCTION("""COMPUTED_VALUE"""),"Ruang GC lab")</f>
        <v>Ruang GC lab</v>
      </c>
      <c r="E569" s="15" t="str">
        <f>IFERROR(__xludf.DUMMYFUNCTION("""COMPUTED_VALUE"""),"EJO/2025/07/42")</f>
        <v>EJO/2025/07/42</v>
      </c>
      <c r="F569" s="15" t="str">
        <f>IFERROR(__xludf.DUMMYFUNCTION("""COMPUTED_VALUE"""),"Pilot Lamps / Green / 220 VAC / AD22-22DS / AXLE")</f>
        <v>Pilot Lamps / Green / 220 VAC / AD22-22DS / AXLE</v>
      </c>
      <c r="G569" s="15">
        <f>IFERROR(__xludf.DUMMYFUNCTION("""COMPUTED_VALUE"""),5.0)</f>
        <v>5</v>
      </c>
      <c r="H569" s="15" t="str">
        <f>IFERROR(__xludf.DUMMYFUNCTION("""COMPUTED_VALUE"""),"pcs")</f>
        <v>pcs</v>
      </c>
      <c r="I569" s="15" t="str">
        <f>IFERROR(__xludf.DUMMYFUNCTION("""COMPUTED_VALUE"""),"Deliver")</f>
        <v>Deliver</v>
      </c>
      <c r="J569" s="15" t="str">
        <f>IFERROR(__xludf.DUMMYFUNCTION("""COMPUTED_VALUE"""),"-")</f>
        <v>-</v>
      </c>
      <c r="K569" s="15" t="str">
        <f>IFERROR(__xludf.DUMMYFUNCTION("""COMPUTED_VALUE"""),"-")</f>
        <v>-</v>
      </c>
      <c r="L569" s="15" t="str">
        <f>IFERROR(__xludf.DUMMYFUNCTION("""COMPUTED_VALUE"""),"Normal")</f>
        <v>Normal</v>
      </c>
      <c r="M569" s="18" t="s">
        <v>48</v>
      </c>
      <c r="N569" s="18" t="s">
        <v>28</v>
      </c>
    </row>
    <row r="570" hidden="1">
      <c r="A570" s="15" t="str">
        <f>IFERROR(__xludf.DUMMYFUNCTION("""COMPUTED_VALUE"""),"MRNRO0028")</f>
        <v>MRNRO0028</v>
      </c>
      <c r="B570" s="16">
        <f>IFERROR(__xludf.DUMMYFUNCTION("""COMPUTED_VALUE"""),45865.641474814816)</f>
        <v>45865.64147</v>
      </c>
      <c r="C570" s="17">
        <f>IFERROR(__xludf.DUMMYFUNCTION("""COMPUTED_VALUE"""),45867.45749724537)</f>
        <v>45867.4575</v>
      </c>
      <c r="D570" s="15" t="str">
        <f>IFERROR(__xludf.DUMMYFUNCTION("""COMPUTED_VALUE"""),"Ruang GC lab")</f>
        <v>Ruang GC lab</v>
      </c>
      <c r="E570" s="15" t="str">
        <f>IFERROR(__xludf.DUMMYFUNCTION("""COMPUTED_VALUE"""),"EJO/2025/07/44")</f>
        <v>EJO/2025/07/44</v>
      </c>
      <c r="F570" s="15" t="str">
        <f>IFERROR(__xludf.DUMMYFUNCTION("""COMPUTED_VALUE"""),"Pilot Lamps / Red / 24 VDC / AD22-221DSI / AXLE")</f>
        <v>Pilot Lamps / Red / 24 VDC / AD22-221DSI / AXLE</v>
      </c>
      <c r="G570" s="15">
        <f>IFERROR(__xludf.DUMMYFUNCTION("""COMPUTED_VALUE"""),5.0)</f>
        <v>5</v>
      </c>
      <c r="H570" s="15" t="str">
        <f>IFERROR(__xludf.DUMMYFUNCTION("""COMPUTED_VALUE"""),"pcs")</f>
        <v>pcs</v>
      </c>
      <c r="I570" s="15" t="str">
        <f>IFERROR(__xludf.DUMMYFUNCTION("""COMPUTED_VALUE"""),"Deliver")</f>
        <v>Deliver</v>
      </c>
      <c r="J570" s="15" t="str">
        <f>IFERROR(__xludf.DUMMYFUNCTION("""COMPUTED_VALUE"""),"-")</f>
        <v>-</v>
      </c>
      <c r="K570" s="15" t="str">
        <f>IFERROR(__xludf.DUMMYFUNCTION("""COMPUTED_VALUE"""),"-")</f>
        <v>-</v>
      </c>
      <c r="L570" s="15" t="str">
        <f>IFERROR(__xludf.DUMMYFUNCTION("""COMPUTED_VALUE"""),"Normal")</f>
        <v>Normal</v>
      </c>
      <c r="M570" s="18" t="s">
        <v>48</v>
      </c>
      <c r="N570" s="18" t="s">
        <v>28</v>
      </c>
    </row>
    <row r="571" hidden="1">
      <c r="A571" s="15" t="str">
        <f>IFERROR(__xludf.DUMMYFUNCTION("""COMPUTED_VALUE"""),"SFHBR0028")</f>
        <v>SFHBR0028</v>
      </c>
      <c r="B571" s="16">
        <f>IFERROR(__xludf.DUMMYFUNCTION("""COMPUTED_VALUE"""),45871.05889086806)</f>
        <v>45871.05889</v>
      </c>
      <c r="C571" s="17">
        <f>IFERROR(__xludf.DUMMYFUNCTION("""COMPUTED_VALUE"""),45880.36066633102)</f>
        <v>45880.36067</v>
      </c>
      <c r="D571" s="15" t="str">
        <f>IFERROR(__xludf.DUMMYFUNCTION("""COMPUTED_VALUE"""),"lantai 2")</f>
        <v>lantai 2</v>
      </c>
      <c r="E571" s="15" t="str">
        <f>IFERROR(__xludf.DUMMYFUNCTION("""COMPUTED_VALUE"""),"-")</f>
        <v>-</v>
      </c>
      <c r="F571" s="15" t="str">
        <f>IFERROR(__xludf.DUMMYFUNCTION("""COMPUTED_VALUE"""),"cat dulux water shield")</f>
        <v>cat dulux water shield</v>
      </c>
      <c r="G571" s="15">
        <f>IFERROR(__xludf.DUMMYFUNCTION("""COMPUTED_VALUE"""),2.0)</f>
        <v>2</v>
      </c>
      <c r="H571" s="15" t="str">
        <f>IFERROR(__xludf.DUMMYFUNCTION("""COMPUTED_VALUE"""),"pel")</f>
        <v>pel</v>
      </c>
      <c r="I571" s="15" t="str">
        <f>IFERROR(__xludf.DUMMYFUNCTION("""COMPUTED_VALUE"""),"Deliver")</f>
        <v>Deliver</v>
      </c>
      <c r="J571" s="15" t="str">
        <f>IFERROR(__xludf.DUMMYFUNCTION("""COMPUTED_VALUE"""),"-")</f>
        <v>-</v>
      </c>
      <c r="K571" s="15" t="str">
        <f>IFERROR(__xludf.DUMMYFUNCTION("""COMPUTED_VALUE"""),"-")</f>
        <v>-</v>
      </c>
      <c r="L571" s="15" t="str">
        <f>IFERROR(__xludf.DUMMYFUNCTION("""COMPUTED_VALUE"""),"Normal")</f>
        <v>Normal</v>
      </c>
      <c r="M571" s="18" t="s">
        <v>27</v>
      </c>
      <c r="N571" s="18" t="s">
        <v>28</v>
      </c>
    </row>
    <row r="572" hidden="1">
      <c r="A572" s="15" t="str">
        <f>IFERROR(__xludf.DUMMYFUNCTION("""COMPUTED_VALUE"""),"SFHRO0013")</f>
        <v>SFHRO0013</v>
      </c>
      <c r="B572" s="16">
        <f>IFERROR(__xludf.DUMMYFUNCTION("""COMPUTED_VALUE"""),45871.05542575232)</f>
        <v>45871.05543</v>
      </c>
      <c r="C572" s="17">
        <f>IFERROR(__xludf.DUMMYFUNCTION("""COMPUTED_VALUE"""),45880.36084346065)</f>
        <v>45880.36084</v>
      </c>
      <c r="D572" s="15" t="str">
        <f>IFERROR(__xludf.DUMMYFUNCTION("""COMPUTED_VALUE"""),"lantai 2")</f>
        <v>lantai 2</v>
      </c>
      <c r="E572" s="15" t="str">
        <f>IFERROR(__xludf.DUMMYFUNCTION("""COMPUTED_VALUE"""),"-")</f>
        <v>-</v>
      </c>
      <c r="F572" s="15" t="str">
        <f>IFERROR(__xludf.DUMMYFUNCTION("""COMPUTED_VALUE"""),"Aquaproof Abu-Abu @4 Kg; ; ;")</f>
        <v>Aquaproof Abu-Abu @4 Kg; ; ;</v>
      </c>
      <c r="G572" s="15">
        <f>IFERROR(__xludf.DUMMYFUNCTION("""COMPUTED_VALUE"""),5.0)</f>
        <v>5</v>
      </c>
      <c r="H572" s="15" t="str">
        <f>IFERROR(__xludf.DUMMYFUNCTION("""COMPUTED_VALUE"""),"pel")</f>
        <v>pel</v>
      </c>
      <c r="I572" s="15" t="str">
        <f>IFERROR(__xludf.DUMMYFUNCTION("""COMPUTED_VALUE"""),"Deliver")</f>
        <v>Deliver</v>
      </c>
      <c r="J572" s="15" t="str">
        <f>IFERROR(__xludf.DUMMYFUNCTION("""COMPUTED_VALUE"""),"-")</f>
        <v>-</v>
      </c>
      <c r="K572" s="15" t="str">
        <f>IFERROR(__xludf.DUMMYFUNCTION("""COMPUTED_VALUE"""),"-")</f>
        <v>-</v>
      </c>
      <c r="L572" s="15" t="str">
        <f>IFERROR(__xludf.DUMMYFUNCTION("""COMPUTED_VALUE"""),"Normal")</f>
        <v>Normal</v>
      </c>
      <c r="M572" s="18" t="s">
        <v>27</v>
      </c>
      <c r="N572" s="18" t="s">
        <v>28</v>
      </c>
    </row>
    <row r="573" hidden="1">
      <c r="A573" s="15" t="str">
        <f>IFERROR(__xludf.DUMMYFUNCTION("""COMPUTED_VALUE"""),"MRNJA0009")</f>
        <v>MRNJA0009</v>
      </c>
      <c r="B573" s="16">
        <f>IFERROR(__xludf.DUMMYFUNCTION("""COMPUTED_VALUE"""),45868.37231552083)</f>
        <v>45868.37232</v>
      </c>
      <c r="C573" s="17">
        <f>IFERROR(__xludf.DUMMYFUNCTION("""COMPUTED_VALUE"""),45880.361062662036)</f>
        <v>45880.36106</v>
      </c>
      <c r="D573" s="15" t="str">
        <f>IFERROR(__xludf.DUMMYFUNCTION("""COMPUTED_VALUE"""),"Warehouse")</f>
        <v>Warehouse</v>
      </c>
      <c r="E573" s="15" t="str">
        <f>IFERROR(__xludf.DUMMYFUNCTION("""COMPUTED_VALUE"""),"EJO/2025/01/119")</f>
        <v>EJO/2025/01/119</v>
      </c>
      <c r="F573" s="15" t="str">
        <f>IFERROR(__xludf.DUMMYFUNCTION("""COMPUTED_VALUE"""),"Sutter door rusak")</f>
        <v>Sutter door rusak</v>
      </c>
      <c r="G573" s="15">
        <f>IFERROR(__xludf.DUMMYFUNCTION("""COMPUTED_VALUE"""),1.0)</f>
        <v>1</v>
      </c>
      <c r="H573" s="15" t="str">
        <f>IFERROR(__xludf.DUMMYFUNCTION("""COMPUTED_VALUE"""),"lot")</f>
        <v>lot</v>
      </c>
      <c r="I573" s="15" t="str">
        <f>IFERROR(__xludf.DUMMYFUNCTION("""COMPUTED_VALUE"""),"Deliver")</f>
        <v>Deliver</v>
      </c>
      <c r="J573" s="15" t="str">
        <f>IFERROR(__xludf.DUMMYFUNCTION("""COMPUTED_VALUE"""),"-")</f>
        <v>-</v>
      </c>
      <c r="K573" s="15" t="str">
        <f>IFERROR(__xludf.DUMMYFUNCTION("""COMPUTED_VALUE"""),"-")</f>
        <v>-</v>
      </c>
      <c r="L573" s="15" t="str">
        <f>IFERROR(__xludf.DUMMYFUNCTION("""COMPUTED_VALUE"""),"Normal")</f>
        <v>Normal</v>
      </c>
      <c r="M573" s="18" t="s">
        <v>48</v>
      </c>
      <c r="N573" s="18" t="s">
        <v>28</v>
      </c>
    </row>
    <row r="574" hidden="1">
      <c r="A574" s="15" t="str">
        <f>IFERROR(__xludf.DUMMYFUNCTION("""COMPUTED_VALUE"""),"MRNBR0036")</f>
        <v>MRNBR0036</v>
      </c>
      <c r="B574" s="16">
        <f>IFERROR(__xludf.DUMMYFUNCTION("""COMPUTED_VALUE"""),45873.44341615741)</f>
        <v>45873.44342</v>
      </c>
      <c r="C574" s="17">
        <f>IFERROR(__xludf.DUMMYFUNCTION("""COMPUTED_VALUE"""),45880.36175173611)</f>
        <v>45880.36175</v>
      </c>
      <c r="D574" s="15" t="str">
        <f>IFERROR(__xludf.DUMMYFUNCTION("""COMPUTED_VALUE"""),"PW SIKD")</f>
        <v>PW SIKD</v>
      </c>
      <c r="E574" s="15" t="str">
        <f>IFERROR(__xludf.DUMMYFUNCTION("""COMPUTED_VALUE"""),"EJO/2025/08/58")</f>
        <v>EJO/2025/08/58</v>
      </c>
      <c r="F574" s="15" t="str">
        <f>IFERROR(__xludf.DUMMYFUNCTION("""COMPUTED_VALUE"""),"Gasket Tanki silicon")</f>
        <v>Gasket Tanki silicon</v>
      </c>
      <c r="G574" s="15">
        <f>IFERROR(__xludf.DUMMYFUNCTION("""COMPUTED_VALUE"""),2.0)</f>
        <v>2</v>
      </c>
      <c r="H574" s="15" t="str">
        <f>IFERROR(__xludf.DUMMYFUNCTION("""COMPUTED_VALUE"""),"pcs")</f>
        <v>pcs</v>
      </c>
      <c r="I574" s="15" t="str">
        <f>IFERROR(__xludf.DUMMYFUNCTION("""COMPUTED_VALUE"""),"Deliver")</f>
        <v>Deliver</v>
      </c>
      <c r="J574" s="15" t="str">
        <f>IFERROR(__xludf.DUMMYFUNCTION("""COMPUTED_VALUE"""),"-")</f>
        <v>-</v>
      </c>
      <c r="K574" s="15" t="str">
        <f>IFERROR(__xludf.DUMMYFUNCTION("""COMPUTED_VALUE"""),"-")</f>
        <v>-</v>
      </c>
      <c r="L574" s="15" t="str">
        <f>IFERROR(__xludf.DUMMYFUNCTION("""COMPUTED_VALUE"""),"Normal")</f>
        <v>Normal</v>
      </c>
      <c r="M574" s="18" t="s">
        <v>48</v>
      </c>
      <c r="N574" s="18" t="s">
        <v>28</v>
      </c>
    </row>
    <row r="575" hidden="1">
      <c r="A575" s="15" t="str">
        <f>IFERROR(__xludf.DUMMYFUNCTION("""COMPUTED_VALUE"""),"MRNRO0030")</f>
        <v>MRNRO0030</v>
      </c>
      <c r="B575" s="16">
        <f>IFERROR(__xludf.DUMMYFUNCTION("""COMPUTED_VALUE"""),45876.36128729167)</f>
        <v>45876.36129</v>
      </c>
      <c r="C575" s="17">
        <f>IFERROR(__xludf.DUMMYFUNCTION("""COMPUTED_VALUE"""),45880.36237987268)</f>
        <v>45880.36238</v>
      </c>
      <c r="D575" s="15" t="str">
        <f>IFERROR(__xludf.DUMMYFUNCTION("""COMPUTED_VALUE"""),"Ruang GC lab")</f>
        <v>Ruang GC lab</v>
      </c>
      <c r="E575" s="15" t="str">
        <f>IFERROR(__xludf.DUMMYFUNCTION("""COMPUTED_VALUE"""),"EJO/2025/07/42")</f>
        <v>EJO/2025/07/42</v>
      </c>
      <c r="F575" s="15" t="str">
        <f>IFERROR(__xludf.DUMMYFUNCTION("""COMPUTED_VALUE"""),"Selector Switch 22mm On-Off XPB22-22A Fort; ; ;")</f>
        <v>Selector Switch 22mm On-Off XPB22-22A Fort; ; ;</v>
      </c>
      <c r="G575" s="15">
        <f>IFERROR(__xludf.DUMMYFUNCTION("""COMPUTED_VALUE"""),1.0)</f>
        <v>1</v>
      </c>
      <c r="H575" s="15" t="str">
        <f>IFERROR(__xludf.DUMMYFUNCTION("""COMPUTED_VALUE"""),"pcs")</f>
        <v>pcs</v>
      </c>
      <c r="I575" s="15" t="str">
        <f>IFERROR(__xludf.DUMMYFUNCTION("""COMPUTED_VALUE"""),"Deliver")</f>
        <v>Deliver</v>
      </c>
      <c r="J575" s="15" t="str">
        <f>IFERROR(__xludf.DUMMYFUNCTION("""COMPUTED_VALUE"""),"-")</f>
        <v>-</v>
      </c>
      <c r="K575" s="15" t="str">
        <f>IFERROR(__xludf.DUMMYFUNCTION("""COMPUTED_VALUE"""),"-")</f>
        <v>-</v>
      </c>
      <c r="L575" s="15" t="str">
        <f>IFERROR(__xludf.DUMMYFUNCTION("""COMPUTED_VALUE"""),"Normal")</f>
        <v>Normal</v>
      </c>
      <c r="M575" s="18" t="s">
        <v>48</v>
      </c>
      <c r="N575" s="18" t="s">
        <v>28</v>
      </c>
    </row>
    <row r="576" hidden="1">
      <c r="A576" s="15" t="str">
        <f>IFERROR(__xludf.DUMMYFUNCTION("""COMPUTED_VALUE"""),"MRNRO0029")</f>
        <v>MRNRO0029</v>
      </c>
      <c r="B576" s="16">
        <f>IFERROR(__xludf.DUMMYFUNCTION("""COMPUTED_VALUE"""),45876.36047811343)</f>
        <v>45876.36048</v>
      </c>
      <c r="C576" s="17">
        <f>IFERROR(__xludf.DUMMYFUNCTION("""COMPUTED_VALUE"""),45880.36402435185)</f>
        <v>45880.36402</v>
      </c>
      <c r="D576" s="15" t="str">
        <f>IFERROR(__xludf.DUMMYFUNCTION("""COMPUTED_VALUE"""),"Ruang GC lab")</f>
        <v>Ruang GC lab</v>
      </c>
      <c r="E576" s="15" t="str">
        <f>IFERROR(__xludf.DUMMYFUNCTION("""COMPUTED_VALUE"""),"EJO/2025/07/42")</f>
        <v>EJO/2025/07/42</v>
      </c>
      <c r="F576" s="15" t="str">
        <f>IFERROR(__xludf.DUMMYFUNCTION("""COMPUTED_VALUE"""),"OMRON - TIMER H3CR- A8 220 VAC; ; ;")</f>
        <v>OMRON - TIMER H3CR- A8 220 VAC; ; ;</v>
      </c>
      <c r="G576" s="15">
        <f>IFERROR(__xludf.DUMMYFUNCTION("""COMPUTED_VALUE"""),1.0)</f>
        <v>1</v>
      </c>
      <c r="H576" s="15" t="str">
        <f>IFERROR(__xludf.DUMMYFUNCTION("""COMPUTED_VALUE"""),"pcs")</f>
        <v>pcs</v>
      </c>
      <c r="I576" s="15" t="str">
        <f>IFERROR(__xludf.DUMMYFUNCTION("""COMPUTED_VALUE"""),"Deliver")</f>
        <v>Deliver</v>
      </c>
      <c r="J576" s="15" t="str">
        <f>IFERROR(__xludf.DUMMYFUNCTION("""COMPUTED_VALUE"""),"-")</f>
        <v>-</v>
      </c>
      <c r="K576" s="15" t="str">
        <f>IFERROR(__xludf.DUMMYFUNCTION("""COMPUTED_VALUE"""),"-")</f>
        <v>-</v>
      </c>
      <c r="L576" s="15" t="str">
        <f>IFERROR(__xludf.DUMMYFUNCTION("""COMPUTED_VALUE"""),"Normal")</f>
        <v>Normal</v>
      </c>
      <c r="M576" s="18" t="s">
        <v>48</v>
      </c>
      <c r="N576" s="18" t="s">
        <v>28</v>
      </c>
    </row>
    <row r="577" hidden="1">
      <c r="A577" s="15" t="str">
        <f>IFERROR(__xludf.DUMMYFUNCTION("""COMPUTED_VALUE"""),"MOBRO0056")</f>
        <v>MOBRO0056</v>
      </c>
      <c r="B577" s="16">
        <f>IFERROR(__xludf.DUMMYFUNCTION("""COMPUTED_VALUE"""),45880.72706641204)</f>
        <v>45880.72707</v>
      </c>
      <c r="C577" s="17">
        <f>IFERROR(__xludf.DUMMYFUNCTION("""COMPUTED_VALUE"""),45887.40840944445)</f>
        <v>45887.40841</v>
      </c>
      <c r="D577" s="15" t="str">
        <f>IFERROR(__xludf.DUMMYFUNCTION("""COMPUTED_VALUE"""),"Support Part")</f>
        <v>Support Part</v>
      </c>
      <c r="E577" s="15" t="str">
        <f>IFERROR(__xludf.DUMMYFUNCTION("""COMPUTED_VALUE"""),"-")</f>
        <v>-</v>
      </c>
      <c r="F577" s="15" t="str">
        <f>IFERROR(__xludf.DUMMYFUNCTION("""COMPUTED_VALUE"""),"Container Box; Claris; ;")</f>
        <v>Container Box; Claris; ;</v>
      </c>
      <c r="G577" s="15">
        <f>IFERROR(__xludf.DUMMYFUNCTION("""COMPUTED_VALUE"""),5.0)</f>
        <v>5</v>
      </c>
      <c r="H577" s="15" t="str">
        <f>IFERROR(__xludf.DUMMYFUNCTION("""COMPUTED_VALUE"""),"Pcs")</f>
        <v>Pcs</v>
      </c>
      <c r="I577" s="15" t="str">
        <f>IFERROR(__xludf.DUMMYFUNCTION("""COMPUTED_VALUE"""),"Deliver")</f>
        <v>Deliver</v>
      </c>
      <c r="J577" s="15" t="str">
        <f>IFERROR(__xludf.DUMMYFUNCTION("""COMPUTED_VALUE"""),"-")</f>
        <v>-</v>
      </c>
      <c r="K577" s="15" t="str">
        <f>IFERROR(__xludf.DUMMYFUNCTION("""COMPUTED_VALUE"""),"-")</f>
        <v>-</v>
      </c>
      <c r="L577" s="15" t="str">
        <f>IFERROR(__xludf.DUMMYFUNCTION("""COMPUTED_VALUE"""),"Normal")</f>
        <v>Normal</v>
      </c>
      <c r="M577" s="18" t="s">
        <v>31</v>
      </c>
      <c r="N577" s="18" t="s">
        <v>28</v>
      </c>
    </row>
    <row r="578" hidden="1">
      <c r="A578" s="15" t="str">
        <f>IFERROR(__xludf.DUMMYFUNCTION("""COMPUTED_VALUE"""),"RIARO0048")</f>
        <v>RIARO0048</v>
      </c>
      <c r="B578" s="16">
        <f>IFERROR(__xludf.DUMMYFUNCTION("""COMPUTED_VALUE"""),45883.96953244213)</f>
        <v>45883.96953</v>
      </c>
      <c r="C578" s="17">
        <f>IFERROR(__xludf.DUMMYFUNCTION("""COMPUTED_VALUE"""),45887.408651412035)</f>
        <v>45887.40865</v>
      </c>
      <c r="D578" s="15" t="str">
        <f>IFERROR(__xludf.DUMMYFUNCTION("""COMPUTED_VALUE"""),"EF C1-21")</f>
        <v>EF C1-21</v>
      </c>
      <c r="E578" s="15" t="str">
        <f>IFERROR(__xludf.DUMMYFUNCTION("""COMPUTED_VALUE"""),"-")</f>
        <v>-</v>
      </c>
      <c r="F578" s="15" t="str">
        <f>IFERROR(__xludf.DUMMYFUNCTION("""COMPUTED_VALUE"""),"SPA 1120 Brand : Optibelt / Bando Merah; Optibelt; ;")</f>
        <v>SPA 1120 Brand : Optibelt / Bando Merah; Optibelt; ;</v>
      </c>
      <c r="G578" s="15">
        <f>IFERROR(__xludf.DUMMYFUNCTION("""COMPUTED_VALUE"""),5.0)</f>
        <v>5</v>
      </c>
      <c r="H578" s="15" t="str">
        <f>IFERROR(__xludf.DUMMYFUNCTION("""COMPUTED_VALUE"""),"Pcs")</f>
        <v>Pcs</v>
      </c>
      <c r="I578" s="15" t="str">
        <f>IFERROR(__xludf.DUMMYFUNCTION("""COMPUTED_VALUE"""),"Deliver")</f>
        <v>Deliver</v>
      </c>
      <c r="J578" s="15" t="str">
        <f>IFERROR(__xludf.DUMMYFUNCTION("""COMPUTED_VALUE"""),"-")</f>
        <v>-</v>
      </c>
      <c r="K578" s="15" t="str">
        <f>IFERROR(__xludf.DUMMYFUNCTION("""COMPUTED_VALUE"""),"-")</f>
        <v>-</v>
      </c>
      <c r="L578" s="15" t="str">
        <f>IFERROR(__xludf.DUMMYFUNCTION("""COMPUTED_VALUE"""),"Normal")</f>
        <v>Normal</v>
      </c>
      <c r="M578" s="18" t="s">
        <v>32</v>
      </c>
      <c r="N578" s="18" t="s">
        <v>28</v>
      </c>
    </row>
    <row r="579" hidden="1">
      <c r="A579" s="15" t="str">
        <f>IFERROR(__xludf.DUMMYFUNCTION("""COMPUTED_VALUE"""),"RIARO0049")</f>
        <v>RIARO0049</v>
      </c>
      <c r="B579" s="16">
        <f>IFERROR(__xludf.DUMMYFUNCTION("""COMPUTED_VALUE"""),45883.970259560185)</f>
        <v>45883.97026</v>
      </c>
      <c r="C579" s="17">
        <f>IFERROR(__xludf.DUMMYFUNCTION("""COMPUTED_VALUE"""),45887.41637209491)</f>
        <v>45887.41637</v>
      </c>
      <c r="D579" s="15" t="str">
        <f>IFERROR(__xludf.DUMMYFUNCTION("""COMPUTED_VALUE"""),"UPS 40KVA")</f>
        <v>UPS 40KVA</v>
      </c>
      <c r="E579" s="15" t="str">
        <f>IFERROR(__xludf.DUMMYFUNCTION("""COMPUTED_VALUE"""),"-")</f>
        <v>-</v>
      </c>
      <c r="F579" s="15" t="str">
        <f>IFERROR(__xludf.DUMMYFUNCTION("""COMPUTED_VALUE"""),"General - Accu 6FM40, Baterai Kering, 12 V, 40 Ah; Vision; -; 1 pcs")</f>
        <v>General - Accu 6FM40, Baterai Kering, 12 V, 40 Ah; Vision; -; 1 pcs</v>
      </c>
      <c r="G579" s="15">
        <f>IFERROR(__xludf.DUMMYFUNCTION("""COMPUTED_VALUE"""),20.0)</f>
        <v>20</v>
      </c>
      <c r="H579" s="15" t="str">
        <f>IFERROR(__xludf.DUMMYFUNCTION("""COMPUTED_VALUE"""),"Pcs")</f>
        <v>Pcs</v>
      </c>
      <c r="I579" s="15" t="str">
        <f>IFERROR(__xludf.DUMMYFUNCTION("""COMPUTED_VALUE"""),"Deliver")</f>
        <v>Deliver</v>
      </c>
      <c r="J579" s="15" t="str">
        <f>IFERROR(__xludf.DUMMYFUNCTION("""COMPUTED_VALUE"""),"-")</f>
        <v>-</v>
      </c>
      <c r="K579" s="15" t="str">
        <f>IFERROR(__xludf.DUMMYFUNCTION("""COMPUTED_VALUE"""),"-")</f>
        <v>-</v>
      </c>
      <c r="L579" s="15" t="str">
        <f>IFERROR(__xludf.DUMMYFUNCTION("""COMPUTED_VALUE"""),"Normal")</f>
        <v>Normal</v>
      </c>
      <c r="M579" s="18" t="s">
        <v>32</v>
      </c>
      <c r="N579" s="18" t="s">
        <v>28</v>
      </c>
    </row>
    <row r="580" hidden="1">
      <c r="A580" s="15" t="str">
        <f>IFERROR(__xludf.DUMMYFUNCTION("""COMPUTED_VALUE"""),"RIABR0048")</f>
        <v>RIABR0048</v>
      </c>
      <c r="B580" s="16">
        <f>IFERROR(__xludf.DUMMYFUNCTION("""COMPUTED_VALUE"""),45883.968983831015)</f>
        <v>45883.96898</v>
      </c>
      <c r="C580" s="17">
        <f>IFERROR(__xludf.DUMMYFUNCTION("""COMPUTED_VALUE"""),45887.417286481475)</f>
        <v>45887.41729</v>
      </c>
      <c r="D580" s="15" t="str">
        <f>IFERROR(__xludf.DUMMYFUNCTION("""COMPUTED_VALUE"""),"Granulasi")</f>
        <v>Granulasi</v>
      </c>
      <c r="E580" s="15" t="str">
        <f>IFERROR(__xludf.DUMMYFUNCTION("""COMPUTED_VALUE"""),"EJO/2025/08/152")</f>
        <v>EJO/2025/08/152</v>
      </c>
      <c r="F580" s="15" t="str">
        <f>IFERROR(__xludf.DUMMYFUNCTION("""COMPUTED_VALUE"""),"Kabel Program")</f>
        <v>Kabel Program</v>
      </c>
      <c r="G580" s="15">
        <f>IFERROR(__xludf.DUMMYFUNCTION("""COMPUTED_VALUE"""),1.0)</f>
        <v>1</v>
      </c>
      <c r="H580" s="15" t="str">
        <f>IFERROR(__xludf.DUMMYFUNCTION("""COMPUTED_VALUE"""),"Pcs")</f>
        <v>Pcs</v>
      </c>
      <c r="I580" s="15" t="str">
        <f>IFERROR(__xludf.DUMMYFUNCTION("""COMPUTED_VALUE"""),"Deliver")</f>
        <v>Deliver</v>
      </c>
      <c r="J580" s="15" t="str">
        <f>IFERROR(__xludf.DUMMYFUNCTION("""COMPUTED_VALUE"""),"-")</f>
        <v>-</v>
      </c>
      <c r="K580" s="15" t="str">
        <f>IFERROR(__xludf.DUMMYFUNCTION("""COMPUTED_VALUE"""),"-")</f>
        <v>-</v>
      </c>
      <c r="L580" s="15" t="str">
        <f>IFERROR(__xludf.DUMMYFUNCTION("""COMPUTED_VALUE"""),"Normal")</f>
        <v>Normal</v>
      </c>
      <c r="M580" s="18" t="s">
        <v>32</v>
      </c>
      <c r="N580" s="18" t="s">
        <v>28</v>
      </c>
    </row>
    <row r="581" hidden="1">
      <c r="A581" s="15" t="str">
        <f>IFERROR(__xludf.DUMMYFUNCTION("""COMPUTED_VALUE"""),"RIABR0049")</f>
        <v>RIABR0049</v>
      </c>
      <c r="B581" s="16">
        <f>IFERROR(__xludf.DUMMYFUNCTION("""COMPUTED_VALUE"""),45883.97457641204)</f>
        <v>45883.97458</v>
      </c>
      <c r="C581" s="17">
        <f>IFERROR(__xludf.DUMMYFUNCTION("""COMPUTED_VALUE"""),45887.417522407406)</f>
        <v>45887.41752</v>
      </c>
      <c r="D581" s="15" t="str">
        <f>IFERROR(__xludf.DUMMYFUNCTION("""COMPUTED_VALUE"""),"PSG")</f>
        <v>PSG</v>
      </c>
      <c r="E581" s="15" t="str">
        <f>IFERROR(__xludf.DUMMYFUNCTION("""COMPUTED_VALUE"""),"-")</f>
        <v>-</v>
      </c>
      <c r="F581" s="15" t="str">
        <f>IFERROR(__xludf.DUMMYFUNCTION("""COMPUTED_VALUE"""),"Sarung Tangan")</f>
        <v>Sarung Tangan</v>
      </c>
      <c r="G581" s="15">
        <f>IFERROR(__xludf.DUMMYFUNCTION("""COMPUTED_VALUE"""),3.0)</f>
        <v>3</v>
      </c>
      <c r="H581" s="15" t="str">
        <f>IFERROR(__xludf.DUMMYFUNCTION("""COMPUTED_VALUE"""),"Pair")</f>
        <v>Pair</v>
      </c>
      <c r="I581" s="15" t="str">
        <f>IFERROR(__xludf.DUMMYFUNCTION("""COMPUTED_VALUE"""),"Deliver")</f>
        <v>Deliver</v>
      </c>
      <c r="J581" s="15" t="str">
        <f>IFERROR(__xludf.DUMMYFUNCTION("""COMPUTED_VALUE"""),"121703642 - APPROVED")</f>
        <v>121703642 - APPROVED</v>
      </c>
      <c r="K581" s="15" t="str">
        <f>IFERROR(__xludf.DUMMYFUNCTION("""COMPUTED_VALUE"""),"GL2604005")</f>
        <v>GL2604005</v>
      </c>
      <c r="L581" s="15" t="str">
        <f>IFERROR(__xludf.DUMMYFUNCTION("""COMPUTED_VALUE"""),"Normal")</f>
        <v>Normal</v>
      </c>
      <c r="M581" s="18" t="s">
        <v>32</v>
      </c>
      <c r="N581" s="18" t="s">
        <v>28</v>
      </c>
    </row>
    <row r="582" hidden="1">
      <c r="A582" s="15" t="str">
        <f>IFERROR(__xludf.DUMMYFUNCTION("""COMPUTED_VALUE"""),"MRNBR0037")</f>
        <v>MRNBR0037</v>
      </c>
      <c r="B582" s="16">
        <f>IFERROR(__xludf.DUMMYFUNCTION("""COMPUTED_VALUE"""),45884.82297146991)</f>
        <v>45884.82297</v>
      </c>
      <c r="C582" s="17">
        <f>IFERROR(__xludf.DUMMYFUNCTION("""COMPUTED_VALUE"""),45887.4590919676)</f>
        <v>45887.45909</v>
      </c>
      <c r="D582" s="15" t="str">
        <f>IFERROR(__xludf.DUMMYFUNCTION("""COMPUTED_VALUE"""),"Pintu gowning sampling")</f>
        <v>Pintu gowning sampling</v>
      </c>
      <c r="E582" s="15" t="str">
        <f>IFERROR(__xludf.DUMMYFUNCTION("""COMPUTED_VALUE"""),"EJO/2025/08/113")</f>
        <v>EJO/2025/08/113</v>
      </c>
      <c r="F582" s="15" t="str">
        <f>IFERROR(__xludf.DUMMYFUNCTION("""COMPUTED_VALUE"""),"Slot door")</f>
        <v>Slot door</v>
      </c>
      <c r="G582" s="15">
        <f>IFERROR(__xludf.DUMMYFUNCTION("""COMPUTED_VALUE"""),2.0)</f>
        <v>2</v>
      </c>
      <c r="H582" s="15" t="str">
        <f>IFERROR(__xludf.DUMMYFUNCTION("""COMPUTED_VALUE"""),"pcs")</f>
        <v>pcs</v>
      </c>
      <c r="I582" s="15" t="str">
        <f>IFERROR(__xludf.DUMMYFUNCTION("""COMPUTED_VALUE"""),"Deliver")</f>
        <v>Deliver</v>
      </c>
      <c r="J582" s="15" t="str">
        <f>IFERROR(__xludf.DUMMYFUNCTION("""COMPUTED_VALUE"""),"-")</f>
        <v>-</v>
      </c>
      <c r="K582" s="15" t="str">
        <f>IFERROR(__xludf.DUMMYFUNCTION("""COMPUTED_VALUE"""),"-")</f>
        <v>-</v>
      </c>
      <c r="L582" s="15" t="str">
        <f>IFERROR(__xludf.DUMMYFUNCTION("""COMPUTED_VALUE"""),"Normal")</f>
        <v>Normal</v>
      </c>
      <c r="M582" s="18" t="s">
        <v>48</v>
      </c>
      <c r="N582" s="18" t="s">
        <v>28</v>
      </c>
    </row>
    <row r="583" hidden="1">
      <c r="A583" s="15" t="str">
        <f>IFERROR(__xludf.DUMMYFUNCTION("""COMPUTED_VALUE"""),"AAABR0012")</f>
        <v>AAABR0012</v>
      </c>
      <c r="B583" s="16">
        <f>IFERROR(__xludf.DUMMYFUNCTION("""COMPUTED_VALUE"""),45842.86099738426)</f>
        <v>45842.861</v>
      </c>
      <c r="C583" s="17">
        <f>IFERROR(__xludf.DUMMYFUNCTION("""COMPUTED_VALUE"""),45887.45912699075)</f>
        <v>45887.45913</v>
      </c>
      <c r="D583" s="15" t="str">
        <f>IFERROR(__xludf.DUMMYFUNCTION("""COMPUTED_VALUE"""),"Washing")</f>
        <v>Washing</v>
      </c>
      <c r="E583" s="15" t="str">
        <f>IFERROR(__xludf.DUMMYFUNCTION("""COMPUTED_VALUE"""),"EJO/2025/07/35")</f>
        <v>EJO/2025/07/35</v>
      </c>
      <c r="F583" s="15" t="str">
        <f>IFERROR(__xludf.DUMMYFUNCTION("""COMPUTED_VALUE"""),"EMERGENCY MODULE")</f>
        <v>EMERGENCY MODULE</v>
      </c>
      <c r="G583" s="15">
        <f>IFERROR(__xludf.DUMMYFUNCTION("""COMPUTED_VALUE"""),2.0)</f>
        <v>2</v>
      </c>
      <c r="H583" s="15" t="str">
        <f>IFERROR(__xludf.DUMMYFUNCTION("""COMPUTED_VALUE"""),"Set")</f>
        <v>Set</v>
      </c>
      <c r="I583" s="15" t="str">
        <f>IFERROR(__xludf.DUMMYFUNCTION("""COMPUTED_VALUE"""),"Deliver")</f>
        <v>Deliver</v>
      </c>
      <c r="J583" s="15" t="str">
        <f>IFERROR(__xludf.DUMMYFUNCTION("""COMPUTED_VALUE"""),"-")</f>
        <v>-</v>
      </c>
      <c r="K583" s="15" t="str">
        <f>IFERROR(__xludf.DUMMYFUNCTION("""COMPUTED_VALUE"""),"-")</f>
        <v>-</v>
      </c>
      <c r="L583" s="15" t="str">
        <f>IFERROR(__xludf.DUMMYFUNCTION("""COMPUTED_VALUE"""),"Normal")</f>
        <v>Normal</v>
      </c>
      <c r="M583" s="18" t="s">
        <v>47</v>
      </c>
      <c r="N583" s="18" t="s">
        <v>30</v>
      </c>
    </row>
    <row r="584" hidden="1">
      <c r="A584" s="15" t="str">
        <f>IFERROR(__xludf.DUMMYFUNCTION("""COMPUTED_VALUE"""),"AAABR0013")</f>
        <v>AAABR0013</v>
      </c>
      <c r="B584" s="16">
        <f>IFERROR(__xludf.DUMMYFUNCTION("""COMPUTED_VALUE"""),45842.86194228009)</f>
        <v>45842.86194</v>
      </c>
      <c r="C584" s="17">
        <f>IFERROR(__xludf.DUMMYFUNCTION("""COMPUTED_VALUE"""),45887.459516296294)</f>
        <v>45887.45952</v>
      </c>
      <c r="D584" s="15" t="str">
        <f>IFERROR(__xludf.DUMMYFUNCTION("""COMPUTED_VALUE"""),"Washing")</f>
        <v>Washing</v>
      </c>
      <c r="E584" s="15" t="str">
        <f>IFERROR(__xludf.DUMMYFUNCTION("""COMPUTED_VALUE"""),"EJO/2025/07/35")</f>
        <v>EJO/2025/07/35</v>
      </c>
      <c r="F584" s="15" t="str">
        <f>IFERROR(__xludf.DUMMYFUNCTION("""COMPUTED_VALUE"""),"EMERGENCY STOP BUTTON")</f>
        <v>EMERGENCY STOP BUTTON</v>
      </c>
      <c r="G584" s="15">
        <f>IFERROR(__xludf.DUMMYFUNCTION("""COMPUTED_VALUE"""),1.0)</f>
        <v>1</v>
      </c>
      <c r="H584" s="15" t="str">
        <f>IFERROR(__xludf.DUMMYFUNCTION("""COMPUTED_VALUE"""),"Set")</f>
        <v>Set</v>
      </c>
      <c r="I584" s="15" t="str">
        <f>IFERROR(__xludf.DUMMYFUNCTION("""COMPUTED_VALUE"""),"Deliver")</f>
        <v>Deliver</v>
      </c>
      <c r="J584" s="15" t="str">
        <f>IFERROR(__xludf.DUMMYFUNCTION("""COMPUTED_VALUE"""),"-")</f>
        <v>-</v>
      </c>
      <c r="K584" s="15" t="str">
        <f>IFERROR(__xludf.DUMMYFUNCTION("""COMPUTED_VALUE"""),"-")</f>
        <v>-</v>
      </c>
      <c r="L584" s="15" t="str">
        <f>IFERROR(__xludf.DUMMYFUNCTION("""COMPUTED_VALUE"""),"Normal")</f>
        <v>Normal</v>
      </c>
      <c r="M584" s="18" t="s">
        <v>47</v>
      </c>
      <c r="N584" s="18" t="s">
        <v>30</v>
      </c>
    </row>
    <row r="585" hidden="1">
      <c r="A585" s="15" t="str">
        <f>IFERROR(__xludf.DUMMYFUNCTION("""COMPUTED_VALUE"""),"AAABR0014")</f>
        <v>AAABR0014</v>
      </c>
      <c r="B585" s="16">
        <f>IFERROR(__xludf.DUMMYFUNCTION("""COMPUTED_VALUE"""),45876.670065509265)</f>
        <v>45876.67007</v>
      </c>
      <c r="C585" s="17">
        <f>IFERROR(__xludf.DUMMYFUNCTION("""COMPUTED_VALUE"""),45887.46028659722)</f>
        <v>45887.46029</v>
      </c>
      <c r="D585" s="15" t="str">
        <f>IFERROR(__xludf.DUMMYFUNCTION("""COMPUTED_VALUE"""),"EDM")</f>
        <v>EDM</v>
      </c>
      <c r="E585" s="15" t="str">
        <f>IFERROR(__xludf.DUMMYFUNCTION("""COMPUTED_VALUE"""),"EJO/2025/08/103")</f>
        <v>EJO/2025/08/103</v>
      </c>
      <c r="F585" s="15" t="str">
        <f>IFERROR(__xludf.DUMMYFUNCTION("""COMPUTED_VALUE"""),"P.W. SPRAYING VALVE ACTUATOR")</f>
        <v>P.W. SPRAYING VALVE ACTUATOR</v>
      </c>
      <c r="G585" s="15">
        <f>IFERROR(__xludf.DUMMYFUNCTION("""COMPUTED_VALUE"""),3.0)</f>
        <v>3</v>
      </c>
      <c r="H585" s="15" t="str">
        <f>IFERROR(__xludf.DUMMYFUNCTION("""COMPUTED_VALUE"""),"Set")</f>
        <v>Set</v>
      </c>
      <c r="I585" s="15" t="str">
        <f>IFERROR(__xludf.DUMMYFUNCTION("""COMPUTED_VALUE"""),"Deliver")</f>
        <v>Deliver</v>
      </c>
      <c r="J585" s="15" t="str">
        <f>IFERROR(__xludf.DUMMYFUNCTION("""COMPUTED_VALUE"""),"121703490 - APPROVED")</f>
        <v>121703490 - APPROVED</v>
      </c>
      <c r="K585" s="15" t="str">
        <f>IFERROR(__xludf.DUMMYFUNCTION("""COMPUTED_VALUE"""),"GL2511060")</f>
        <v>GL2511060</v>
      </c>
      <c r="L585" s="15" t="str">
        <f>IFERROR(__xludf.DUMMYFUNCTION("""COMPUTED_VALUE"""),"Normal")</f>
        <v>Normal</v>
      </c>
      <c r="M585" s="18" t="s">
        <v>47</v>
      </c>
      <c r="N585" s="18" t="s">
        <v>30</v>
      </c>
    </row>
    <row r="586" hidden="1">
      <c r="A586" s="15" t="str">
        <f>IFERROR(__xludf.DUMMYFUNCTION("""COMPUTED_VALUE"""),"AAABR0015")</f>
        <v>AAABR0015</v>
      </c>
      <c r="B586" s="16">
        <f>IFERROR(__xludf.DUMMYFUNCTION("""COMPUTED_VALUE"""),45876.672597164354)</f>
        <v>45876.6726</v>
      </c>
      <c r="C586" s="17">
        <f>IFERROR(__xludf.DUMMYFUNCTION("""COMPUTED_VALUE"""),45887.46056759259)</f>
        <v>45887.46057</v>
      </c>
      <c r="D586" s="15" t="str">
        <f>IFERROR(__xludf.DUMMYFUNCTION("""COMPUTED_VALUE"""),"EDM")</f>
        <v>EDM</v>
      </c>
      <c r="E586" s="15" t="str">
        <f>IFERROR(__xludf.DUMMYFUNCTION("""COMPUTED_VALUE"""),"EJO/2025/08/103")</f>
        <v>EJO/2025/08/103</v>
      </c>
      <c r="F586" s="15" t="str">
        <f>IFERROR(__xludf.DUMMYFUNCTION("""COMPUTED_VALUE"""),"P.W. SPRAYING VALVE ACTUATOR")</f>
        <v>P.W. SPRAYING VALVE ACTUATOR</v>
      </c>
      <c r="G586" s="15">
        <f>IFERROR(__xludf.DUMMYFUNCTION("""COMPUTED_VALUE"""),3.0)</f>
        <v>3</v>
      </c>
      <c r="H586" s="15" t="str">
        <f>IFERROR(__xludf.DUMMYFUNCTION("""COMPUTED_VALUE"""),"Ser")</f>
        <v>Ser</v>
      </c>
      <c r="I586" s="15" t="str">
        <f>IFERROR(__xludf.DUMMYFUNCTION("""COMPUTED_VALUE"""),"Deliver")</f>
        <v>Deliver</v>
      </c>
      <c r="J586" s="15" t="str">
        <f>IFERROR(__xludf.DUMMYFUNCTION("""COMPUTED_VALUE"""),"121703490 - APPROVED")</f>
        <v>121703490 - APPROVED</v>
      </c>
      <c r="K586" s="15" t="str">
        <f>IFERROR(__xludf.DUMMYFUNCTION("""COMPUTED_VALUE"""),"GL2511060")</f>
        <v>GL2511060</v>
      </c>
      <c r="L586" s="15" t="str">
        <f>IFERROR(__xludf.DUMMYFUNCTION("""COMPUTED_VALUE"""),"Normal")</f>
        <v>Normal</v>
      </c>
      <c r="M586" s="18" t="s">
        <v>47</v>
      </c>
      <c r="N586" s="18" t="s">
        <v>30</v>
      </c>
    </row>
    <row r="587" hidden="1">
      <c r="A587" s="15" t="str">
        <f>IFERROR(__xludf.DUMMYFUNCTION("""COMPUTED_VALUE"""),"AAARO0011")</f>
        <v>AAARO0011</v>
      </c>
      <c r="B587" s="16">
        <f>IFERROR(__xludf.DUMMYFUNCTION("""COMPUTED_VALUE"""),46255.82219748843)</f>
        <v>46255.8222</v>
      </c>
      <c r="C587" s="17">
        <f>IFERROR(__xludf.DUMMYFUNCTION("""COMPUTED_VALUE"""),45887.46161025463)</f>
        <v>45887.46161</v>
      </c>
      <c r="D587" s="15" t="str">
        <f>IFERROR(__xludf.DUMMYFUNCTION("""COMPUTED_VALUE"""),"BOD Incubator")</f>
        <v>BOD Incubator</v>
      </c>
      <c r="E587" s="15" t="str">
        <f>IFERROR(__xludf.DUMMYFUNCTION("""COMPUTED_VALUE"""),"NA")</f>
        <v>NA</v>
      </c>
      <c r="F587" s="15" t="str">
        <f>IFERROR(__xludf.DUMMYFUNCTION("""COMPUTED_VALUE"""),"Relay / RXM 2AB2P7 / 230 V / 50-60 Hz / 12 A / 250 VAC")</f>
        <v>Relay / RXM 2AB2P7 / 230 V / 50-60 Hz / 12 A / 250 VAC</v>
      </c>
      <c r="G587" s="15">
        <f>IFERROR(__xludf.DUMMYFUNCTION("""COMPUTED_VALUE"""),10.0)</f>
        <v>10</v>
      </c>
      <c r="H587" s="15" t="str">
        <f>IFERROR(__xludf.DUMMYFUNCTION("""COMPUTED_VALUE"""),"Pcs")</f>
        <v>Pcs</v>
      </c>
      <c r="I587" s="15" t="str">
        <f>IFERROR(__xludf.DUMMYFUNCTION("""COMPUTED_VALUE"""),"Deliver")</f>
        <v>Deliver</v>
      </c>
      <c r="J587" s="15" t="str">
        <f>IFERROR(__xludf.DUMMYFUNCTION("""COMPUTED_VALUE"""),"-")</f>
        <v>-</v>
      </c>
      <c r="K587" s="15" t="str">
        <f>IFERROR(__xludf.DUMMYFUNCTION("""COMPUTED_VALUE"""),"-")</f>
        <v>-</v>
      </c>
      <c r="L587" s="15" t="str">
        <f>IFERROR(__xludf.DUMMYFUNCTION("""COMPUTED_VALUE"""),"Normal")</f>
        <v>Normal</v>
      </c>
      <c r="M587" s="18" t="s">
        <v>47</v>
      </c>
      <c r="N587" s="18" t="s">
        <v>30</v>
      </c>
    </row>
    <row r="588" hidden="1">
      <c r="A588" s="15" t="str">
        <f>IFERROR(__xludf.DUMMYFUNCTION("""COMPUTED_VALUE"""),"MRNBR0041")</f>
        <v>MRNBR0041</v>
      </c>
      <c r="B588" s="16">
        <f>IFERROR(__xludf.DUMMYFUNCTION("""COMPUTED_VALUE"""),45884.99784077546)</f>
        <v>45884.99784</v>
      </c>
      <c r="C588" s="17">
        <f>IFERROR(__xludf.DUMMYFUNCTION("""COMPUTED_VALUE"""),45887.462874363424)</f>
        <v>45887.46287</v>
      </c>
      <c r="D588" s="15" t="str">
        <f>IFERROR(__xludf.DUMMYFUNCTION("""COMPUTED_VALUE"""),"AHU OSD")</f>
        <v>AHU OSD</v>
      </c>
      <c r="E588" s="15" t="str">
        <f>IFERROR(__xludf.DUMMYFUNCTION("""COMPUTED_VALUE"""),"EJO/2025/03/153")</f>
        <v>EJO/2025/03/153</v>
      </c>
      <c r="F588" s="15" t="str">
        <f>IFERROR(__xludf.DUMMYFUNCTION("""COMPUTED_VALUE"""),"Prefilter M-MNF")</f>
        <v>Prefilter M-MNF</v>
      </c>
      <c r="G588" s="15">
        <f>IFERROR(__xludf.DUMMYFUNCTION("""COMPUTED_VALUE"""),18.0)</f>
        <v>18</v>
      </c>
      <c r="H588" s="15" t="str">
        <f>IFERROR(__xludf.DUMMYFUNCTION("""COMPUTED_VALUE"""),"pcs")</f>
        <v>pcs</v>
      </c>
      <c r="I588" s="15" t="str">
        <f>IFERROR(__xludf.DUMMYFUNCTION("""COMPUTED_VALUE"""),"Deliver")</f>
        <v>Deliver</v>
      </c>
      <c r="J588" s="15" t="str">
        <f>IFERROR(__xludf.DUMMYFUNCTION("""COMPUTED_VALUE"""),"-")</f>
        <v>-</v>
      </c>
      <c r="K588" s="15" t="str">
        <f>IFERROR(__xludf.DUMMYFUNCTION("""COMPUTED_VALUE"""),"-")</f>
        <v>-</v>
      </c>
      <c r="L588" s="15" t="str">
        <f>IFERROR(__xludf.DUMMYFUNCTION("""COMPUTED_VALUE"""),"Normal")</f>
        <v>Normal</v>
      </c>
      <c r="M588" s="18" t="s">
        <v>48</v>
      </c>
      <c r="N588" s="18" t="s">
        <v>28</v>
      </c>
    </row>
    <row r="589" hidden="1">
      <c r="A589" s="15" t="str">
        <f>IFERROR(__xludf.DUMMYFUNCTION("""COMPUTED_VALUE"""),"MRNBR0042")</f>
        <v>MRNBR0042</v>
      </c>
      <c r="B589" s="16">
        <f>IFERROR(__xludf.DUMMYFUNCTION("""COMPUTED_VALUE"""),45884.99798289352)</f>
        <v>45884.99798</v>
      </c>
      <c r="C589" s="17">
        <f>IFERROR(__xludf.DUMMYFUNCTION("""COMPUTED_VALUE"""),45887.463360335656)</f>
        <v>45887.46336</v>
      </c>
      <c r="D589" s="15" t="str">
        <f>IFERROR(__xludf.DUMMYFUNCTION("""COMPUTED_VALUE"""),"AHU OSD")</f>
        <v>AHU OSD</v>
      </c>
      <c r="E589" s="15" t="str">
        <f>IFERROR(__xludf.DUMMYFUNCTION("""COMPUTED_VALUE"""),"EJO/2025/03/153")</f>
        <v>EJO/2025/03/153</v>
      </c>
      <c r="F589" s="15" t="str">
        <f>IFERROR(__xludf.DUMMYFUNCTION("""COMPUTED_VALUE"""),"Prefilter M-MNF")</f>
        <v>Prefilter M-MNF</v>
      </c>
      <c r="G589" s="15">
        <f>IFERROR(__xludf.DUMMYFUNCTION("""COMPUTED_VALUE"""),6.0)</f>
        <v>6</v>
      </c>
      <c r="H589" s="15" t="str">
        <f>IFERROR(__xludf.DUMMYFUNCTION("""COMPUTED_VALUE"""),"pcs")</f>
        <v>pcs</v>
      </c>
      <c r="I589" s="15" t="str">
        <f>IFERROR(__xludf.DUMMYFUNCTION("""COMPUTED_VALUE"""),"Deliver")</f>
        <v>Deliver</v>
      </c>
      <c r="J589" s="15" t="str">
        <f>IFERROR(__xludf.DUMMYFUNCTION("""COMPUTED_VALUE"""),"-")</f>
        <v>-</v>
      </c>
      <c r="K589" s="15" t="str">
        <f>IFERROR(__xludf.DUMMYFUNCTION("""COMPUTED_VALUE"""),"-")</f>
        <v>-</v>
      </c>
      <c r="L589" s="15" t="str">
        <f>IFERROR(__xludf.DUMMYFUNCTION("""COMPUTED_VALUE"""),"Normal")</f>
        <v>Normal</v>
      </c>
      <c r="M589" s="18" t="s">
        <v>48</v>
      </c>
      <c r="N589" s="18" t="s">
        <v>28</v>
      </c>
    </row>
    <row r="590" hidden="1">
      <c r="A590" s="15" t="str">
        <f>IFERROR(__xludf.DUMMYFUNCTION("""COMPUTED_VALUE"""),"MRNBR0043")</f>
        <v>MRNBR0043</v>
      </c>
      <c r="B590" s="16">
        <f>IFERROR(__xludf.DUMMYFUNCTION("""COMPUTED_VALUE"""),45884.99798289352)</f>
        <v>45884.99798</v>
      </c>
      <c r="C590" s="17">
        <f>IFERROR(__xludf.DUMMYFUNCTION("""COMPUTED_VALUE"""),45887.46349777778)</f>
        <v>45887.4635</v>
      </c>
      <c r="D590" s="15" t="str">
        <f>IFERROR(__xludf.DUMMYFUNCTION("""COMPUTED_VALUE"""),"AHU OSD")</f>
        <v>AHU OSD</v>
      </c>
      <c r="E590" s="15" t="str">
        <f>IFERROR(__xludf.DUMMYFUNCTION("""COMPUTED_VALUE"""),"EJO/2025/03/153")</f>
        <v>EJO/2025/03/153</v>
      </c>
      <c r="F590" s="15" t="str">
        <f>IFERROR(__xludf.DUMMYFUNCTION("""COMPUTED_VALUE"""),"Prefilter M-MNF")</f>
        <v>Prefilter M-MNF</v>
      </c>
      <c r="G590" s="15">
        <f>IFERROR(__xludf.DUMMYFUNCTION("""COMPUTED_VALUE"""),6.0)</f>
        <v>6</v>
      </c>
      <c r="H590" s="15" t="str">
        <f>IFERROR(__xludf.DUMMYFUNCTION("""COMPUTED_VALUE"""),"pcs")</f>
        <v>pcs</v>
      </c>
      <c r="I590" s="15" t="str">
        <f>IFERROR(__xludf.DUMMYFUNCTION("""COMPUTED_VALUE"""),"Deliver")</f>
        <v>Deliver</v>
      </c>
      <c r="J590" s="15" t="str">
        <f>IFERROR(__xludf.DUMMYFUNCTION("""COMPUTED_VALUE"""),"121703752 - APPROVED")</f>
        <v>121703752 - APPROVED</v>
      </c>
      <c r="K590" s="15" t="str">
        <f>IFERROR(__xludf.DUMMYFUNCTION("""COMPUTED_VALUE"""),"GL2602408")</f>
        <v>GL2602408</v>
      </c>
      <c r="L590" s="15" t="str">
        <f>IFERROR(__xludf.DUMMYFUNCTION("""COMPUTED_VALUE"""),"Normal")</f>
        <v>Normal</v>
      </c>
      <c r="M590" s="18" t="s">
        <v>48</v>
      </c>
      <c r="N590" s="18" t="s">
        <v>28</v>
      </c>
    </row>
    <row r="591" hidden="1">
      <c r="A591" s="15" t="str">
        <f>IFERROR(__xludf.DUMMYFUNCTION("""COMPUTED_VALUE"""),"MRNBR0044")</f>
        <v>MRNBR0044</v>
      </c>
      <c r="B591" s="16">
        <f>IFERROR(__xludf.DUMMYFUNCTION("""COMPUTED_VALUE"""),45884.99798289352)</f>
        <v>45884.99798</v>
      </c>
      <c r="C591" s="17">
        <f>IFERROR(__xludf.DUMMYFUNCTION("""COMPUTED_VALUE"""),45887.463701712964)</f>
        <v>45887.4637</v>
      </c>
      <c r="D591" s="15" t="str">
        <f>IFERROR(__xludf.DUMMYFUNCTION("""COMPUTED_VALUE"""),"AHU OSD")</f>
        <v>AHU OSD</v>
      </c>
      <c r="E591" s="15" t="str">
        <f>IFERROR(__xludf.DUMMYFUNCTION("""COMPUTED_VALUE"""),"EJO/2025/03/153")</f>
        <v>EJO/2025/03/153</v>
      </c>
      <c r="F591" s="15" t="str">
        <f>IFERROR(__xludf.DUMMYFUNCTION("""COMPUTED_VALUE"""),"Prefilter M-MNF")</f>
        <v>Prefilter M-MNF</v>
      </c>
      <c r="G591" s="15">
        <f>IFERROR(__xludf.DUMMYFUNCTION("""COMPUTED_VALUE"""),6.0)</f>
        <v>6</v>
      </c>
      <c r="H591" s="15" t="str">
        <f>IFERROR(__xludf.DUMMYFUNCTION("""COMPUTED_VALUE"""),"pcs")</f>
        <v>pcs</v>
      </c>
      <c r="I591" s="15" t="str">
        <f>IFERROR(__xludf.DUMMYFUNCTION("""COMPUTED_VALUE"""),"Deliver")</f>
        <v>Deliver</v>
      </c>
      <c r="J591" s="15" t="str">
        <f>IFERROR(__xludf.DUMMYFUNCTION("""COMPUTED_VALUE"""),"-")</f>
        <v>-</v>
      </c>
      <c r="K591" s="15" t="str">
        <f>IFERROR(__xludf.DUMMYFUNCTION("""COMPUTED_VALUE"""),"-")</f>
        <v>-</v>
      </c>
      <c r="L591" s="15" t="str">
        <f>IFERROR(__xludf.DUMMYFUNCTION("""COMPUTED_VALUE"""),"Normal")</f>
        <v>Normal</v>
      </c>
      <c r="M591" s="18" t="s">
        <v>48</v>
      </c>
      <c r="N591" s="18" t="s">
        <v>28</v>
      </c>
    </row>
    <row r="592" hidden="1">
      <c r="A592" s="15" t="str">
        <f>IFERROR(__xludf.DUMMYFUNCTION("""COMPUTED_VALUE"""),"MRNBR0046")</f>
        <v>MRNBR0046</v>
      </c>
      <c r="B592" s="16">
        <f>IFERROR(__xludf.DUMMYFUNCTION("""COMPUTED_VALUE"""),45884.99798289352)</f>
        <v>45884.99798</v>
      </c>
      <c r="C592" s="17">
        <f>IFERROR(__xludf.DUMMYFUNCTION("""COMPUTED_VALUE"""),45887.464236631946)</f>
        <v>45887.46424</v>
      </c>
      <c r="D592" s="15" t="str">
        <f>IFERROR(__xludf.DUMMYFUNCTION("""COMPUTED_VALUE"""),"AHU OSD")</f>
        <v>AHU OSD</v>
      </c>
      <c r="E592" s="15" t="str">
        <f>IFERROR(__xludf.DUMMYFUNCTION("""COMPUTED_VALUE"""),"EJO/2025/03/153")</f>
        <v>EJO/2025/03/153</v>
      </c>
      <c r="F592" s="15" t="str">
        <f>IFERROR(__xludf.DUMMYFUNCTION("""COMPUTED_VALUE"""),"Prefilter M-MNF")</f>
        <v>Prefilter M-MNF</v>
      </c>
      <c r="G592" s="15">
        <f>IFERROR(__xludf.DUMMYFUNCTION("""COMPUTED_VALUE"""),6.0)</f>
        <v>6</v>
      </c>
      <c r="H592" s="15" t="str">
        <f>IFERROR(__xludf.DUMMYFUNCTION("""COMPUTED_VALUE"""),"pcs")</f>
        <v>pcs</v>
      </c>
      <c r="I592" s="15" t="str">
        <f>IFERROR(__xludf.DUMMYFUNCTION("""COMPUTED_VALUE"""),"Deliver")</f>
        <v>Deliver</v>
      </c>
      <c r="J592" s="15" t="str">
        <f>IFERROR(__xludf.DUMMYFUNCTION("""COMPUTED_VALUE"""),"-")</f>
        <v>-</v>
      </c>
      <c r="K592" s="15" t="str">
        <f>IFERROR(__xludf.DUMMYFUNCTION("""COMPUTED_VALUE"""),"-")</f>
        <v>-</v>
      </c>
      <c r="L592" s="15" t="str">
        <f>IFERROR(__xludf.DUMMYFUNCTION("""COMPUTED_VALUE"""),"Normal")</f>
        <v>Normal</v>
      </c>
      <c r="M592" s="18" t="s">
        <v>48</v>
      </c>
      <c r="N592" s="18" t="s">
        <v>28</v>
      </c>
    </row>
    <row r="593" hidden="1">
      <c r="A593" s="15" t="str">
        <f>IFERROR(__xludf.DUMMYFUNCTION("""COMPUTED_VALUE"""),"ANORO0006")</f>
        <v>ANORO0006</v>
      </c>
      <c r="B593" s="16">
        <f>IFERROR(__xludf.DUMMYFUNCTION("""COMPUTED_VALUE"""),45841.40424186342)</f>
        <v>45841.40424</v>
      </c>
      <c r="C593" s="17">
        <f>IFERROR(__xludf.DUMMYFUNCTION("""COMPUTED_VALUE"""),45887.467034629626)</f>
        <v>45887.46703</v>
      </c>
      <c r="D593" s="15" t="str">
        <f>IFERROR(__xludf.DUMMYFUNCTION("""COMPUTED_VALUE"""),"gerinda duduk")</f>
        <v>gerinda duduk</v>
      </c>
      <c r="E593" s="15" t="str">
        <f>IFERROR(__xludf.DUMMYFUNCTION("""COMPUTED_VALUE"""),"-")</f>
        <v>-</v>
      </c>
      <c r="F593" s="15" t="str">
        <f>IFERROR(__xludf.DUMMYFUNCTION("""COMPUTED_VALUE"""),"Cutting Wheel 14"" nippon resibon; ; ;")</f>
        <v>Cutting Wheel 14" nippon resibon; ; ;</v>
      </c>
      <c r="G593" s="15">
        <f>IFERROR(__xludf.DUMMYFUNCTION("""COMPUTED_VALUE"""),5.0)</f>
        <v>5</v>
      </c>
      <c r="H593" s="15" t="str">
        <f>IFERROR(__xludf.DUMMYFUNCTION("""COMPUTED_VALUE"""),"PCS")</f>
        <v>PCS</v>
      </c>
      <c r="I593" s="15" t="str">
        <f>IFERROR(__xludf.DUMMYFUNCTION("""COMPUTED_VALUE"""),"Deliver")</f>
        <v>Deliver</v>
      </c>
      <c r="J593" s="15" t="str">
        <f>IFERROR(__xludf.DUMMYFUNCTION("""COMPUTED_VALUE"""),"-")</f>
        <v>-</v>
      </c>
      <c r="K593" s="15" t="str">
        <f>IFERROR(__xludf.DUMMYFUNCTION("""COMPUTED_VALUE"""),"-")</f>
        <v>-</v>
      </c>
      <c r="L593" s="15" t="str">
        <f>IFERROR(__xludf.DUMMYFUNCTION("""COMPUTED_VALUE"""),"Normal")</f>
        <v>Normal</v>
      </c>
      <c r="M593" s="18" t="s">
        <v>49</v>
      </c>
      <c r="N593" s="18" t="s">
        <v>30</v>
      </c>
    </row>
    <row r="594" hidden="1">
      <c r="A594" s="15" t="str">
        <f>IFERROR(__xludf.DUMMYFUNCTION("""COMPUTED_VALUE"""),"ANORO0007")</f>
        <v>ANORO0007</v>
      </c>
      <c r="B594" s="16">
        <f>IFERROR(__xludf.DUMMYFUNCTION("""COMPUTED_VALUE"""),45860.369664363425)</f>
        <v>45860.36966</v>
      </c>
      <c r="C594" s="17">
        <f>IFERROR(__xludf.DUMMYFUNCTION("""COMPUTED_VALUE"""),45887.46743052083)</f>
        <v>45887.46743</v>
      </c>
      <c r="D594" s="15" t="str">
        <f>IFERROR(__xludf.DUMMYFUNCTION("""COMPUTED_VALUE"""),"Passbox")</f>
        <v>Passbox</v>
      </c>
      <c r="E594" s="15" t="str">
        <f>IFERROR(__xludf.DUMMYFUNCTION("""COMPUTED_VALUE"""),"-")</f>
        <v>-</v>
      </c>
      <c r="F594" s="15" t="str">
        <f>IFERROR(__xludf.DUMMYFUNCTION("""COMPUTED_VALUE"""),"Limit Switch LX19-001  250 VAC; ; ;")</f>
        <v>Limit Switch LX19-001  250 VAC; ; ;</v>
      </c>
      <c r="G594" s="15">
        <f>IFERROR(__xludf.DUMMYFUNCTION("""COMPUTED_VALUE"""),5.0)</f>
        <v>5</v>
      </c>
      <c r="H594" s="15" t="str">
        <f>IFERROR(__xludf.DUMMYFUNCTION("""COMPUTED_VALUE"""),"PCS")</f>
        <v>PCS</v>
      </c>
      <c r="I594" s="15" t="str">
        <f>IFERROR(__xludf.DUMMYFUNCTION("""COMPUTED_VALUE"""),"Deliver")</f>
        <v>Deliver</v>
      </c>
      <c r="J594" s="15" t="str">
        <f>IFERROR(__xludf.DUMMYFUNCTION("""COMPUTED_VALUE"""),"-")</f>
        <v>-</v>
      </c>
      <c r="K594" s="15" t="str">
        <f>IFERROR(__xludf.DUMMYFUNCTION("""COMPUTED_VALUE"""),"-")</f>
        <v>-</v>
      </c>
      <c r="L594" s="15" t="str">
        <f>IFERROR(__xludf.DUMMYFUNCTION("""COMPUTED_VALUE"""),"Normal")</f>
        <v>Normal</v>
      </c>
      <c r="M594" s="18" t="s">
        <v>49</v>
      </c>
      <c r="N594" s="18" t="s">
        <v>30</v>
      </c>
    </row>
    <row r="595" hidden="1">
      <c r="A595" s="15" t="str">
        <f>IFERROR(__xludf.DUMMYFUNCTION("""COMPUTED_VALUE"""),"ANORO0008")</f>
        <v>ANORO0008</v>
      </c>
      <c r="B595" s="16">
        <f>IFERROR(__xludf.DUMMYFUNCTION("""COMPUTED_VALUE"""),45861.33548637732)</f>
        <v>45861.33549</v>
      </c>
      <c r="C595" s="17">
        <f>IFERROR(__xludf.DUMMYFUNCTION("""COMPUTED_VALUE"""),45887.46774173611)</f>
        <v>45887.46774</v>
      </c>
      <c r="D595" s="15" t="str">
        <f>IFERROR(__xludf.DUMMYFUNCTION("""COMPUTED_VALUE"""),"HPLC")</f>
        <v>HPLC</v>
      </c>
      <c r="E595" s="15" t="str">
        <f>IFERROR(__xludf.DUMMYFUNCTION("""COMPUTED_VALUE"""),"-")</f>
        <v>-</v>
      </c>
      <c r="F595" s="15" t="str">
        <f>IFERROR(__xludf.DUMMYFUNCTION("""COMPUTED_VALUE"""),"Performance Plus Check Valve Housing; Waters; 700002332;")</f>
        <v>Performance Plus Check Valve Housing; Waters; 700002332;</v>
      </c>
      <c r="G595" s="15">
        <f>IFERROR(__xludf.DUMMYFUNCTION("""COMPUTED_VALUE"""),3.0)</f>
        <v>3</v>
      </c>
      <c r="H595" s="15" t="str">
        <f>IFERROR(__xludf.DUMMYFUNCTION("""COMPUTED_VALUE"""),"PCS")</f>
        <v>PCS</v>
      </c>
      <c r="I595" s="15" t="str">
        <f>IFERROR(__xludf.DUMMYFUNCTION("""COMPUTED_VALUE"""),"Deliver")</f>
        <v>Deliver</v>
      </c>
      <c r="J595" s="15" t="str">
        <f>IFERROR(__xludf.DUMMYFUNCTION("""COMPUTED_VALUE"""),"-")</f>
        <v>-</v>
      </c>
      <c r="K595" s="15" t="str">
        <f>IFERROR(__xludf.DUMMYFUNCTION("""COMPUTED_VALUE"""),"-")</f>
        <v>-</v>
      </c>
      <c r="L595" s="15" t="str">
        <f>IFERROR(__xludf.DUMMYFUNCTION("""COMPUTED_VALUE"""),"Normal")</f>
        <v>Normal</v>
      </c>
      <c r="M595" s="18" t="s">
        <v>49</v>
      </c>
      <c r="N595" s="18" t="s">
        <v>30</v>
      </c>
    </row>
    <row r="596" hidden="1">
      <c r="A596" s="15" t="str">
        <f>IFERROR(__xludf.DUMMYFUNCTION("""COMPUTED_VALUE"""),"ANOBR0026")</f>
        <v>ANOBR0026</v>
      </c>
      <c r="B596" s="16">
        <f>IFERROR(__xludf.DUMMYFUNCTION("""COMPUTED_VALUE"""),45862.840181064814)</f>
        <v>45862.84018</v>
      </c>
      <c r="C596" s="17">
        <f>IFERROR(__xludf.DUMMYFUNCTION("""COMPUTED_VALUE"""),45887.46930736111)</f>
        <v>45887.46931</v>
      </c>
      <c r="D596" s="15" t="str">
        <f>IFERROR(__xludf.DUMMYFUNCTION("""COMPUTED_VALUE"""),"trolley pollybotle")</f>
        <v>trolley pollybotle</v>
      </c>
      <c r="E596" s="15" t="str">
        <f>IFERROR(__xludf.DUMMYFUNCTION("""COMPUTED_VALUE"""),"EJO/2025/05/156")</f>
        <v>EJO/2025/05/156</v>
      </c>
      <c r="F596" s="15" t="str">
        <f>IFERROR(__xludf.DUMMYFUNCTION("""COMPUTED_VALUE"""),"pilox warna stainless")</f>
        <v>pilox warna stainless</v>
      </c>
      <c r="G596" s="15">
        <f>IFERROR(__xludf.DUMMYFUNCTION("""COMPUTED_VALUE"""),1.0)</f>
        <v>1</v>
      </c>
      <c r="H596" s="15" t="str">
        <f>IFERROR(__xludf.DUMMYFUNCTION("""COMPUTED_VALUE"""),"Pcs")</f>
        <v>Pcs</v>
      </c>
      <c r="I596" s="15" t="str">
        <f>IFERROR(__xludf.DUMMYFUNCTION("""COMPUTED_VALUE"""),"Deliver")</f>
        <v>Deliver</v>
      </c>
      <c r="J596" s="15" t="str">
        <f>IFERROR(__xludf.DUMMYFUNCTION("""COMPUTED_VALUE"""),"-")</f>
        <v>-</v>
      </c>
      <c r="K596" s="15" t="str">
        <f>IFERROR(__xludf.DUMMYFUNCTION("""COMPUTED_VALUE"""),"-")</f>
        <v>-</v>
      </c>
      <c r="L596" s="15" t="str">
        <f>IFERROR(__xludf.DUMMYFUNCTION("""COMPUTED_VALUE"""),"Normal")</f>
        <v>Normal</v>
      </c>
      <c r="M596" s="18" t="s">
        <v>49</v>
      </c>
      <c r="N596" s="18" t="s">
        <v>30</v>
      </c>
    </row>
    <row r="597" hidden="1">
      <c r="A597" s="15" t="str">
        <f>IFERROR(__xludf.DUMMYFUNCTION("""COMPUTED_VALUE"""),"ANOBR0027")</f>
        <v>ANOBR0027</v>
      </c>
      <c r="B597" s="16">
        <f>IFERROR(__xludf.DUMMYFUNCTION("""COMPUTED_VALUE"""),45874.41374378472)</f>
        <v>45874.41374</v>
      </c>
      <c r="C597" s="17">
        <f>IFERROR(__xludf.DUMMYFUNCTION("""COMPUTED_VALUE"""),45887.469635925925)</f>
        <v>45887.46964</v>
      </c>
      <c r="D597" s="15" t="str">
        <f>IFERROR(__xludf.DUMMYFUNCTION("""COMPUTED_VALUE"""),"Instrumen BSC")</f>
        <v>Instrumen BSC</v>
      </c>
      <c r="E597" s="15" t="str">
        <f>IFERROR(__xludf.DUMMYFUNCTION("""COMPUTED_VALUE"""),"-")</f>
        <v>-</v>
      </c>
      <c r="F597" s="15" t="str">
        <f>IFERROR(__xludf.DUMMYFUNCTION("""COMPUTED_VALUE"""),"Akrilik 3 mm")</f>
        <v>Akrilik 3 mm</v>
      </c>
      <c r="G597" s="15">
        <f>IFERROR(__xludf.DUMMYFUNCTION("""COMPUTED_VALUE"""),1.0)</f>
        <v>1</v>
      </c>
      <c r="H597" s="15" t="str">
        <f>IFERROR(__xludf.DUMMYFUNCTION("""COMPUTED_VALUE"""),"lembar")</f>
        <v>lembar</v>
      </c>
      <c r="I597" s="15" t="str">
        <f>IFERROR(__xludf.DUMMYFUNCTION("""COMPUTED_VALUE"""),"Deliver")</f>
        <v>Deliver</v>
      </c>
      <c r="J597" s="15" t="str">
        <f>IFERROR(__xludf.DUMMYFUNCTION("""COMPUTED_VALUE"""),"-")</f>
        <v>-</v>
      </c>
      <c r="K597" s="15" t="str">
        <f>IFERROR(__xludf.DUMMYFUNCTION("""COMPUTED_VALUE"""),"-")</f>
        <v>-</v>
      </c>
      <c r="L597" s="15" t="str">
        <f>IFERROR(__xludf.DUMMYFUNCTION("""COMPUTED_VALUE"""),"Normal")</f>
        <v>Normal</v>
      </c>
      <c r="M597" s="18" t="s">
        <v>49</v>
      </c>
      <c r="N597" s="18" t="s">
        <v>30</v>
      </c>
    </row>
    <row r="598" hidden="1">
      <c r="A598" s="15" t="str">
        <f>IFERROR(__xludf.DUMMYFUNCTION("""COMPUTED_VALUE"""),"INNBR0030")</f>
        <v>INNBR0030</v>
      </c>
      <c r="B598" s="16">
        <f>IFERROR(__xludf.DUMMYFUNCTION("""COMPUTED_VALUE"""),45831.9722804051)</f>
        <v>45831.97228</v>
      </c>
      <c r="C598" s="17">
        <f>IFERROR(__xludf.DUMMYFUNCTION("""COMPUTED_VALUE"""),45887.48685988426)</f>
        <v>45887.48686</v>
      </c>
      <c r="D598" s="15" t="str">
        <f>IFERROR(__xludf.DUMMYFUNCTION("""COMPUTED_VALUE"""),"Capping")</f>
        <v>Capping</v>
      </c>
      <c r="E598" s="15" t="str">
        <f>IFERROR(__xludf.DUMMYFUNCTION("""COMPUTED_VALUE"""),"EJO/2025/06/156")</f>
        <v>EJO/2025/06/156</v>
      </c>
      <c r="F598" s="15" t="str">
        <f>IFERROR(__xludf.DUMMYFUNCTION("""COMPUTED_VALUE""")," format part guide starwheel 6R")</f>
        <v> format part guide starwheel 6R</v>
      </c>
      <c r="G598" s="15">
        <f>IFERROR(__xludf.DUMMYFUNCTION("""COMPUTED_VALUE"""),1.0)</f>
        <v>1</v>
      </c>
      <c r="H598" s="15" t="str">
        <f>IFERROR(__xludf.DUMMYFUNCTION("""COMPUTED_VALUE"""),"pcs")</f>
        <v>pcs</v>
      </c>
      <c r="I598" s="15" t="str">
        <f>IFERROR(__xludf.DUMMYFUNCTION("""COMPUTED_VALUE"""),"Deliver")</f>
        <v>Deliver</v>
      </c>
      <c r="J598" s="15" t="str">
        <f>IFERROR(__xludf.DUMMYFUNCTION("""COMPUTED_VALUE"""),"-")</f>
        <v>-</v>
      </c>
      <c r="K598" s="15" t="str">
        <f>IFERROR(__xludf.DUMMYFUNCTION("""COMPUTED_VALUE"""),"-")</f>
        <v>-</v>
      </c>
      <c r="L598" s="15" t="str">
        <f>IFERROR(__xludf.DUMMYFUNCTION("""COMPUTED_VALUE"""),"Normal")</f>
        <v>Normal</v>
      </c>
      <c r="M598" s="18" t="s">
        <v>51</v>
      </c>
      <c r="N598" s="18" t="s">
        <v>30</v>
      </c>
    </row>
    <row r="599" hidden="1">
      <c r="A599" s="15" t="str">
        <f>IFERROR(__xludf.DUMMYFUNCTION("""COMPUTED_VALUE"""),"MRNBR0039")</f>
        <v>MRNBR0039</v>
      </c>
      <c r="B599" s="16">
        <f>IFERROR(__xludf.DUMMYFUNCTION("""COMPUTED_VALUE"""),45884.88693613426)</f>
        <v>45884.88694</v>
      </c>
      <c r="C599" s="17">
        <f>IFERROR(__xludf.DUMMYFUNCTION("""COMPUTED_VALUE"""),45887.60134153935)</f>
        <v>45887.60134</v>
      </c>
      <c r="D599" s="15" t="str">
        <f>IFERROR(__xludf.DUMMYFUNCTION("""COMPUTED_VALUE"""),"AHU D1-1")</f>
        <v>AHU D1-1</v>
      </c>
      <c r="E599" s="15" t="str">
        <f>IFERROR(__xludf.DUMMYFUNCTION("""COMPUTED_VALUE"""),"EJO/2025/08/165")</f>
        <v>EJO/2025/08/165</v>
      </c>
      <c r="F599" s="15" t="str">
        <f>IFERROR(__xludf.DUMMYFUNCTION("""COMPUTED_VALUE"""),"Sensor flow")</f>
        <v>Sensor flow</v>
      </c>
      <c r="G599" s="15">
        <f>IFERROR(__xludf.DUMMYFUNCTION("""COMPUTED_VALUE"""),2.0)</f>
        <v>2</v>
      </c>
      <c r="H599" s="15" t="str">
        <f>IFERROR(__xludf.DUMMYFUNCTION("""COMPUTED_VALUE"""),"pcs")</f>
        <v>pcs</v>
      </c>
      <c r="I599" s="15" t="str">
        <f>IFERROR(__xludf.DUMMYFUNCTION("""COMPUTED_VALUE"""),"Deliver")</f>
        <v>Deliver</v>
      </c>
      <c r="J599" s="15" t="str">
        <f>IFERROR(__xludf.DUMMYFUNCTION("""COMPUTED_VALUE"""),"121703749 - APPROVED")</f>
        <v>121703749 - APPROVED</v>
      </c>
      <c r="K599" s="15" t="str">
        <f>IFERROR(__xludf.DUMMYFUNCTION("""COMPUTED_VALUE"""),"GL2602040")</f>
        <v>GL2602040</v>
      </c>
      <c r="L599" s="15" t="str">
        <f>IFERROR(__xludf.DUMMYFUNCTION("""COMPUTED_VALUE"""),"Normal")</f>
        <v>Normal</v>
      </c>
      <c r="M599" s="18" t="s">
        <v>48</v>
      </c>
      <c r="N599" s="18" t="s">
        <v>28</v>
      </c>
    </row>
    <row r="600" hidden="1">
      <c r="A600" s="15" t="str">
        <f>IFERROR(__xludf.DUMMYFUNCTION("""COMPUTED_VALUE"""),"INNBR0031")</f>
        <v>INNBR0031</v>
      </c>
      <c r="B600" s="16">
        <f>IFERROR(__xludf.DUMMYFUNCTION("""COMPUTED_VALUE"""),45831.973374062494)</f>
        <v>45831.97337</v>
      </c>
      <c r="C600" s="17">
        <f>IFERROR(__xludf.DUMMYFUNCTION("""COMPUTED_VALUE"""),45888.661927002315)</f>
        <v>45888.66193</v>
      </c>
      <c r="D600" s="15" t="str">
        <f>IFERROR(__xludf.DUMMYFUNCTION("""COMPUTED_VALUE"""),"Capping")</f>
        <v>Capping</v>
      </c>
      <c r="E600" s="15" t="str">
        <f>IFERROR(__xludf.DUMMYFUNCTION("""COMPUTED_VALUE"""),"EJO/2025/06/156")</f>
        <v>EJO/2025/06/156</v>
      </c>
      <c r="F600" s="15" t="str">
        <f>IFERROR(__xludf.DUMMYFUNCTION("""COMPUTED_VALUE""")," format part guide starwheel 10R")</f>
        <v> format part guide starwheel 10R</v>
      </c>
      <c r="G600" s="15">
        <f>IFERROR(__xludf.DUMMYFUNCTION("""COMPUTED_VALUE"""),1.0)</f>
        <v>1</v>
      </c>
      <c r="H600" s="15" t="str">
        <f>IFERROR(__xludf.DUMMYFUNCTION("""COMPUTED_VALUE"""),"pcs")</f>
        <v>pcs</v>
      </c>
      <c r="I600" s="15" t="str">
        <f>IFERROR(__xludf.DUMMYFUNCTION("""COMPUTED_VALUE"""),"Deliver")</f>
        <v>Deliver</v>
      </c>
      <c r="J600" s="15" t="str">
        <f>IFERROR(__xludf.DUMMYFUNCTION("""COMPUTED_VALUE"""),"-")</f>
        <v>-</v>
      </c>
      <c r="K600" s="15" t="str">
        <f>IFERROR(__xludf.DUMMYFUNCTION("""COMPUTED_VALUE"""),"-")</f>
        <v>-</v>
      </c>
      <c r="L600" s="15" t="str">
        <f>IFERROR(__xludf.DUMMYFUNCTION("""COMPUTED_VALUE"""),"Normal")</f>
        <v>Normal</v>
      </c>
      <c r="M600" s="18" t="s">
        <v>51</v>
      </c>
      <c r="N600" s="18" t="s">
        <v>30</v>
      </c>
    </row>
    <row r="601" hidden="1">
      <c r="A601" s="15" t="str">
        <f>IFERROR(__xludf.DUMMYFUNCTION("""COMPUTED_VALUE"""),"INNBR0033")</f>
        <v>INNBR0033</v>
      </c>
      <c r="B601" s="16">
        <f>IFERROR(__xludf.DUMMYFUNCTION("""COMPUTED_VALUE"""),45840.65523291666)</f>
        <v>45840.65523</v>
      </c>
      <c r="C601" s="17">
        <f>IFERROR(__xludf.DUMMYFUNCTION("""COMPUTED_VALUE"""),45888.66289111111)</f>
        <v>45888.66289</v>
      </c>
      <c r="D601" s="15" t="str">
        <f>IFERROR(__xludf.DUMMYFUNCTION("""COMPUTED_VALUE"""),"Autoclave Service")</f>
        <v>Autoclave Service</v>
      </c>
      <c r="E601" s="15" t="str">
        <f>IFERROR(__xludf.DUMMYFUNCTION("""COMPUTED_VALUE"""),"EJO/2025/06/93")</f>
        <v>EJO/2025/06/93</v>
      </c>
      <c r="F601" s="15" t="str">
        <f>IFERROR(__xludf.DUMMYFUNCTION("""COMPUTED_VALUE"""),"Proximity sensor E2A-SO8KS02-M5-B1")</f>
        <v>Proximity sensor E2A-SO8KS02-M5-B1</v>
      </c>
      <c r="G601" s="15">
        <f>IFERROR(__xludf.DUMMYFUNCTION("""COMPUTED_VALUE"""),2.0)</f>
        <v>2</v>
      </c>
      <c r="H601" s="15" t="str">
        <f>IFERROR(__xludf.DUMMYFUNCTION("""COMPUTED_VALUE"""),"pcs")</f>
        <v>pcs</v>
      </c>
      <c r="I601" s="15" t="str">
        <f>IFERROR(__xludf.DUMMYFUNCTION("""COMPUTED_VALUE"""),"Deliver")</f>
        <v>Deliver</v>
      </c>
      <c r="J601" s="15" t="str">
        <f>IFERROR(__xludf.DUMMYFUNCTION("""COMPUTED_VALUE"""),"121703636 - APPROVED")</f>
        <v>121703636 - APPROVED</v>
      </c>
      <c r="K601" s="15" t="str">
        <f>IFERROR(__xludf.DUMMYFUNCTION("""COMPUTED_VALUE"""),"GL2602366")</f>
        <v>GL2602366</v>
      </c>
      <c r="L601" s="15" t="str">
        <f>IFERROR(__xludf.DUMMYFUNCTION("""COMPUTED_VALUE"""),"Normal")</f>
        <v>Normal</v>
      </c>
      <c r="M601" s="18" t="s">
        <v>51</v>
      </c>
      <c r="N601" s="18" t="s">
        <v>30</v>
      </c>
    </row>
    <row r="602" hidden="1">
      <c r="A602" s="15" t="str">
        <f>IFERROR(__xludf.DUMMYFUNCTION("""COMPUTED_VALUE"""),"INNBR0034")</f>
        <v>INNBR0034</v>
      </c>
      <c r="B602" s="16">
        <f>IFERROR(__xludf.DUMMYFUNCTION("""COMPUTED_VALUE"""),45848.135704988425)</f>
        <v>45848.1357</v>
      </c>
      <c r="C602" s="17">
        <f>IFERROR(__xludf.DUMMYFUNCTION("""COMPUTED_VALUE"""),45888.663274907405)</f>
        <v>45888.66327</v>
      </c>
      <c r="D602" s="15" t="str">
        <f>IFERROR(__xludf.DUMMYFUNCTION("""COMPUTED_VALUE"""),"Labeling")</f>
        <v>Labeling</v>
      </c>
      <c r="E602" s="15" t="str">
        <f>IFERROR(__xludf.DUMMYFUNCTION("""COMPUTED_VALUE"""),"EJO/2025/07/60")</f>
        <v>EJO/2025/07/60</v>
      </c>
      <c r="F602" s="15" t="str">
        <f>IFERROR(__xludf.DUMMYFUNCTION("""COMPUTED_VALUE"""),"Amplifier - BF3RX Autonic")</f>
        <v>Amplifier - BF3RX Autonic</v>
      </c>
      <c r="G602" s="15">
        <f>IFERROR(__xludf.DUMMYFUNCTION("""COMPUTED_VALUE"""),2.0)</f>
        <v>2</v>
      </c>
      <c r="H602" s="15" t="str">
        <f>IFERROR(__xludf.DUMMYFUNCTION("""COMPUTED_VALUE"""),"pcs")</f>
        <v>pcs</v>
      </c>
      <c r="I602" s="15" t="str">
        <f>IFERROR(__xludf.DUMMYFUNCTION("""COMPUTED_VALUE"""),"Deliver")</f>
        <v>Deliver</v>
      </c>
      <c r="J602" s="15" t="str">
        <f>IFERROR(__xludf.DUMMYFUNCTION("""COMPUTED_VALUE"""),"-")</f>
        <v>-</v>
      </c>
      <c r="K602" s="15" t="str">
        <f>IFERROR(__xludf.DUMMYFUNCTION("""COMPUTED_VALUE"""),"-")</f>
        <v>-</v>
      </c>
      <c r="L602" s="15" t="str">
        <f>IFERROR(__xludf.DUMMYFUNCTION("""COMPUTED_VALUE"""),"Normal")</f>
        <v>Normal</v>
      </c>
      <c r="M602" s="18" t="s">
        <v>51</v>
      </c>
      <c r="N602" s="18" t="s">
        <v>30</v>
      </c>
    </row>
    <row r="603" hidden="1">
      <c r="A603" s="15" t="str">
        <f>IFERROR(__xludf.DUMMYFUNCTION("""COMPUTED_VALUE"""),"INNBR0035")</f>
        <v>INNBR0035</v>
      </c>
      <c r="B603" s="16">
        <f>IFERROR(__xludf.DUMMYFUNCTION("""COMPUTED_VALUE"""),45848.13584340278)</f>
        <v>45848.13584</v>
      </c>
      <c r="C603" s="17">
        <f>IFERROR(__xludf.DUMMYFUNCTION("""COMPUTED_VALUE"""),45888.663505)</f>
        <v>45888.66351</v>
      </c>
      <c r="D603" s="15" t="str">
        <f>IFERROR(__xludf.DUMMYFUNCTION("""COMPUTED_VALUE"""),"Labeling")</f>
        <v>Labeling</v>
      </c>
      <c r="E603" s="15" t="str">
        <f>IFERROR(__xludf.DUMMYFUNCTION("""COMPUTED_VALUE"""),"EJO/2025/07/60")</f>
        <v>EJO/2025/07/60</v>
      </c>
      <c r="F603" s="15" t="str">
        <f>IFERROR(__xludf.DUMMYFUNCTION("""COMPUTED_VALUE"""),"Fiber optic - FD-620-10 Autonic")</f>
        <v>Fiber optic - FD-620-10 Autonic</v>
      </c>
      <c r="G603" s="15">
        <f>IFERROR(__xludf.DUMMYFUNCTION("""COMPUTED_VALUE"""),2.0)</f>
        <v>2</v>
      </c>
      <c r="H603" s="15" t="str">
        <f>IFERROR(__xludf.DUMMYFUNCTION("""COMPUTED_VALUE"""),"pcs")</f>
        <v>pcs</v>
      </c>
      <c r="I603" s="15" t="str">
        <f>IFERROR(__xludf.DUMMYFUNCTION("""COMPUTED_VALUE"""),"Deliver")</f>
        <v>Deliver</v>
      </c>
      <c r="J603" s="15" t="str">
        <f>IFERROR(__xludf.DUMMYFUNCTION("""COMPUTED_VALUE"""),"-")</f>
        <v>-</v>
      </c>
      <c r="K603" s="15" t="str">
        <f>IFERROR(__xludf.DUMMYFUNCTION("""COMPUTED_VALUE"""),"-")</f>
        <v>-</v>
      </c>
      <c r="L603" s="15" t="str">
        <f>IFERROR(__xludf.DUMMYFUNCTION("""COMPUTED_VALUE"""),"Normal")</f>
        <v>Normal</v>
      </c>
      <c r="M603" s="18" t="s">
        <v>51</v>
      </c>
      <c r="N603" s="18" t="s">
        <v>30</v>
      </c>
    </row>
    <row r="604" hidden="1">
      <c r="A604" s="15" t="str">
        <f>IFERROR(__xludf.DUMMYFUNCTION("""COMPUTED_VALUE"""),"INNBR0036")</f>
        <v>INNBR0036</v>
      </c>
      <c r="B604" s="16">
        <f>IFERROR(__xludf.DUMMYFUNCTION("""COMPUTED_VALUE"""),45853.41180569445)</f>
        <v>45853.41181</v>
      </c>
      <c r="C604" s="17">
        <f>IFERROR(__xludf.DUMMYFUNCTION("""COMPUTED_VALUE"""),45888.66408174768)</f>
        <v>45888.66408</v>
      </c>
      <c r="D604" s="15" t="str">
        <f>IFERROR(__xludf.DUMMYFUNCTION("""COMPUTED_VALUE"""),"Labeling")</f>
        <v>Labeling</v>
      </c>
      <c r="E604" s="15" t="str">
        <f>IFERROR(__xludf.DUMMYFUNCTION("""COMPUTED_VALUE"""),"EJO/2025/07/60")</f>
        <v>EJO/2025/07/60</v>
      </c>
      <c r="F604" s="15" t="str">
        <f>IFERROR(__xludf.DUMMYFUNCTION("""COMPUTED_VALUE"""),"Fork Sensor WF2-40B410")</f>
        <v>Fork Sensor WF2-40B410</v>
      </c>
      <c r="G604" s="15">
        <f>IFERROR(__xludf.DUMMYFUNCTION("""COMPUTED_VALUE"""),2.0)</f>
        <v>2</v>
      </c>
      <c r="H604" s="15" t="str">
        <f>IFERROR(__xludf.DUMMYFUNCTION("""COMPUTED_VALUE"""),"pcs")</f>
        <v>pcs</v>
      </c>
      <c r="I604" s="15" t="str">
        <f>IFERROR(__xludf.DUMMYFUNCTION("""COMPUTED_VALUE"""),"Deliver")</f>
        <v>Deliver</v>
      </c>
      <c r="J604" s="15" t="str">
        <f>IFERROR(__xludf.DUMMYFUNCTION("""COMPUTED_VALUE"""),"-")</f>
        <v>-</v>
      </c>
      <c r="K604" s="15" t="str">
        <f>IFERROR(__xludf.DUMMYFUNCTION("""COMPUTED_VALUE"""),"-")</f>
        <v>-</v>
      </c>
      <c r="L604" s="15" t="str">
        <f>IFERROR(__xludf.DUMMYFUNCTION("""COMPUTED_VALUE"""),"Normal")</f>
        <v>Normal</v>
      </c>
      <c r="M604" s="18" t="s">
        <v>51</v>
      </c>
      <c r="N604" s="18" t="s">
        <v>30</v>
      </c>
    </row>
    <row r="605" hidden="1">
      <c r="A605" s="15" t="str">
        <f>IFERROR(__xludf.DUMMYFUNCTION("""COMPUTED_VALUE"""),"INNBR0037")</f>
        <v>INNBR0037</v>
      </c>
      <c r="B605" s="16">
        <f>IFERROR(__xludf.DUMMYFUNCTION("""COMPUTED_VALUE"""),45853.412138182866)</f>
        <v>45853.41214</v>
      </c>
      <c r="C605" s="17">
        <f>IFERROR(__xludf.DUMMYFUNCTION("""COMPUTED_VALUE"""),45888.66452697916)</f>
        <v>45888.66453</v>
      </c>
      <c r="D605" s="15" t="str">
        <f>IFERROR(__xludf.DUMMYFUNCTION("""COMPUTED_VALUE"""),"Labeling")</f>
        <v>Labeling</v>
      </c>
      <c r="E605" s="15" t="str">
        <f>IFERROR(__xludf.DUMMYFUNCTION("""COMPUTED_VALUE"""),"EJO/2025/07/60")</f>
        <v>EJO/2025/07/60</v>
      </c>
      <c r="F605" s="15" t="str">
        <f>IFERROR(__xludf.DUMMYFUNCTION("""COMPUTED_VALUE"""),"Female connector, M8, 4-pin, straight, A-coded, 2 m YF8U14-020VA3XLEAX")</f>
        <v>Female connector, M8, 4-pin, straight, A-coded, 2 m YF8U14-020VA3XLEAX</v>
      </c>
      <c r="G605" s="15">
        <f>IFERROR(__xludf.DUMMYFUNCTION("""COMPUTED_VALUE"""),2.0)</f>
        <v>2</v>
      </c>
      <c r="H605" s="15" t="str">
        <f>IFERROR(__xludf.DUMMYFUNCTION("""COMPUTED_VALUE"""),"pcs")</f>
        <v>pcs</v>
      </c>
      <c r="I605" s="15" t="str">
        <f>IFERROR(__xludf.DUMMYFUNCTION("""COMPUTED_VALUE"""),"Deliver")</f>
        <v>Deliver</v>
      </c>
      <c r="J605" s="15" t="str">
        <f>IFERROR(__xludf.DUMMYFUNCTION("""COMPUTED_VALUE"""),"-")</f>
        <v>-</v>
      </c>
      <c r="K605" s="15" t="str">
        <f>IFERROR(__xludf.DUMMYFUNCTION("""COMPUTED_VALUE"""),"-")</f>
        <v>-</v>
      </c>
      <c r="L605" s="15" t="str">
        <f>IFERROR(__xludf.DUMMYFUNCTION("""COMPUTED_VALUE"""),"Normal")</f>
        <v>Normal</v>
      </c>
      <c r="M605" s="18" t="s">
        <v>51</v>
      </c>
      <c r="N605" s="18" t="s">
        <v>30</v>
      </c>
    </row>
    <row r="606" hidden="1">
      <c r="A606" s="15" t="str">
        <f>IFERROR(__xludf.DUMMYFUNCTION("""COMPUTED_VALUE"""),"ROSBR0033")</f>
        <v>ROSBR0033</v>
      </c>
      <c r="B606" s="16">
        <f>IFERROR(__xludf.DUMMYFUNCTION("""COMPUTED_VALUE"""),45885.28570204861)</f>
        <v>45885.2857</v>
      </c>
      <c r="C606" s="17">
        <f>IFERROR(__xludf.DUMMYFUNCTION("""COMPUTED_VALUE"""),45890.511124895835)</f>
        <v>45890.51112</v>
      </c>
      <c r="D606" s="15" t="str">
        <f>IFERROR(__xludf.DUMMYFUNCTION("""COMPUTED_VALUE"""),"Filling")</f>
        <v>Filling</v>
      </c>
      <c r="E606" s="15" t="str">
        <f>IFERROR(__xludf.DUMMYFUNCTION("""COMPUTED_VALUE"""),"EJO/2025/07/164
EJO/2025/07/64")</f>
        <v>EJO/2025/07/164
EJO/2025/07/64</v>
      </c>
      <c r="F606" s="15" t="str">
        <f>IFERROR(__xludf.DUMMYFUNCTION("""COMPUTED_VALUE"""),"Handle Manual Valve Model Hexagon")</f>
        <v>Handle Manual Valve Model Hexagon</v>
      </c>
      <c r="G606" s="15">
        <f>IFERROR(__xludf.DUMMYFUNCTION("""COMPUTED_VALUE"""),3.0)</f>
        <v>3</v>
      </c>
      <c r="H606" s="15" t="str">
        <f>IFERROR(__xludf.DUMMYFUNCTION("""COMPUTED_VALUE"""),"unit")</f>
        <v>unit</v>
      </c>
      <c r="I606" s="15" t="str">
        <f>IFERROR(__xludf.DUMMYFUNCTION("""COMPUTED_VALUE"""),"Deliver")</f>
        <v>Deliver</v>
      </c>
      <c r="J606" s="15" t="str">
        <f>IFERROR(__xludf.DUMMYFUNCTION("""COMPUTED_VALUE"""),"-")</f>
        <v>-</v>
      </c>
      <c r="K606" s="15" t="str">
        <f>IFERROR(__xludf.DUMMYFUNCTION("""COMPUTED_VALUE"""),"-")</f>
        <v>-</v>
      </c>
      <c r="L606" s="15" t="str">
        <f>IFERROR(__xludf.DUMMYFUNCTION("""COMPUTED_VALUE"""),"Normal")</f>
        <v>Normal</v>
      </c>
      <c r="M606" s="18" t="s">
        <v>29</v>
      </c>
      <c r="N606" s="18" t="s">
        <v>30</v>
      </c>
    </row>
    <row r="607" hidden="1">
      <c r="A607" s="15" t="str">
        <f>IFERROR(__xludf.DUMMYFUNCTION("""COMPUTED_VALUE"""),"MOBRO0057")</f>
        <v>MOBRO0057</v>
      </c>
      <c r="B607" s="16">
        <f>IFERROR(__xludf.DUMMYFUNCTION("""COMPUTED_VALUE"""),45888.92774290509)</f>
        <v>45888.92774</v>
      </c>
      <c r="C607" s="17">
        <f>IFERROR(__xludf.DUMMYFUNCTION("""COMPUTED_VALUE"""),45890.95692875)</f>
        <v>45890.95693</v>
      </c>
      <c r="D607" s="15" t="str">
        <f>IFERROR(__xludf.DUMMYFUNCTION("""COMPUTED_VALUE"""),"FD")</f>
        <v>FD</v>
      </c>
      <c r="E607" s="15" t="str">
        <f>IFERROR(__xludf.DUMMYFUNCTION("""COMPUTED_VALUE"""),"EJO/2025/07/59")</f>
        <v>EJO/2025/07/59</v>
      </c>
      <c r="F607" s="15" t="str">
        <f>IFERROR(__xludf.DUMMYFUNCTION("""COMPUTED_VALUE"""),"Sparepart Maintenance Kit SRV66 Size 1-2 Inch (0,8 - 2,5 barg); Spirax Sarco; 6404141UA-1;")</f>
        <v>Sparepart Maintenance Kit SRV66 Size 1-2 Inch (0,8 - 2,5 barg); Spirax Sarco; 6404141UA-1;</v>
      </c>
      <c r="G607" s="15">
        <f>IFERROR(__xludf.DUMMYFUNCTION("""COMPUTED_VALUE"""),2.0)</f>
        <v>2</v>
      </c>
      <c r="H607" s="15" t="str">
        <f>IFERROR(__xludf.DUMMYFUNCTION("""COMPUTED_VALUE"""),"Pcs")</f>
        <v>Pcs</v>
      </c>
      <c r="I607" s="15" t="str">
        <f>IFERROR(__xludf.DUMMYFUNCTION("""COMPUTED_VALUE"""),"Deliver")</f>
        <v>Deliver</v>
      </c>
      <c r="J607" s="15" t="str">
        <f>IFERROR(__xludf.DUMMYFUNCTION("""COMPUTED_VALUE"""),"-")</f>
        <v>-</v>
      </c>
      <c r="K607" s="15" t="str">
        <f>IFERROR(__xludf.DUMMYFUNCTION("""COMPUTED_VALUE"""),"-")</f>
        <v>-</v>
      </c>
      <c r="L607" s="15" t="str">
        <f>IFERROR(__xludf.DUMMYFUNCTION("""COMPUTED_VALUE"""),"Normal")</f>
        <v>Normal</v>
      </c>
      <c r="M607" s="18" t="s">
        <v>31</v>
      </c>
      <c r="N607" s="18" t="s">
        <v>28</v>
      </c>
    </row>
    <row r="608" hidden="1">
      <c r="A608" s="15" t="str">
        <f>IFERROR(__xludf.DUMMYFUNCTION("""COMPUTED_VALUE"""),"RIARO0050")</f>
        <v>RIARO0050</v>
      </c>
      <c r="B608" s="16">
        <f>IFERROR(__xludf.DUMMYFUNCTION("""COMPUTED_VALUE"""),45889.52683224537)</f>
        <v>45889.52683</v>
      </c>
      <c r="C608" s="17">
        <f>IFERROR(__xludf.DUMMYFUNCTION("""COMPUTED_VALUE"""),45890.96055062499)</f>
        <v>45890.96055</v>
      </c>
      <c r="D608" s="15" t="str">
        <f>IFERROR(__xludf.DUMMYFUNCTION("""COMPUTED_VALUE"""),"UPS 20KVA")</f>
        <v>UPS 20KVA</v>
      </c>
      <c r="E608" s="15" t="str">
        <f>IFERROR(__xludf.DUMMYFUNCTION("""COMPUTED_VALUE"""),"-")</f>
        <v>-</v>
      </c>
      <c r="F608" s="15" t="str">
        <f>IFERROR(__xludf.DUMMYFUNCTION("""COMPUTED_VALUE"""),"General - Accu NP9-12, Baterai Kering, 12 V, 9 Ah; Yuasa; -; 1 pcs")</f>
        <v>General - Accu NP9-12, Baterai Kering, 12 V, 9 Ah; Yuasa; -; 1 pcs</v>
      </c>
      <c r="G608" s="15">
        <f>IFERROR(__xludf.DUMMYFUNCTION("""COMPUTED_VALUE"""),32.0)</f>
        <v>32</v>
      </c>
      <c r="H608" s="15" t="str">
        <f>IFERROR(__xludf.DUMMYFUNCTION("""COMPUTED_VALUE"""),"Pcs")</f>
        <v>Pcs</v>
      </c>
      <c r="I608" s="15" t="str">
        <f>IFERROR(__xludf.DUMMYFUNCTION("""COMPUTED_VALUE"""),"Deliver")</f>
        <v>Deliver</v>
      </c>
      <c r="J608" s="15" t="str">
        <f>IFERROR(__xludf.DUMMYFUNCTION("""COMPUTED_VALUE"""),"-")</f>
        <v>-</v>
      </c>
      <c r="K608" s="15" t="str">
        <f>IFERROR(__xludf.DUMMYFUNCTION("""COMPUTED_VALUE"""),"-")</f>
        <v>-</v>
      </c>
      <c r="L608" s="15" t="str">
        <f>IFERROR(__xludf.DUMMYFUNCTION("""COMPUTED_VALUE"""),"Normal")</f>
        <v>Normal</v>
      </c>
      <c r="M608" s="18" t="s">
        <v>32</v>
      </c>
      <c r="N608" s="18" t="s">
        <v>28</v>
      </c>
    </row>
    <row r="609" hidden="1">
      <c r="A609" s="15" t="str">
        <f>IFERROR(__xludf.DUMMYFUNCTION("""COMPUTED_VALUE"""),"RIABR0050")</f>
        <v>RIABR0050</v>
      </c>
      <c r="B609" s="16">
        <f>IFERROR(__xludf.DUMMYFUNCTION("""COMPUTED_VALUE"""),45889.52683224537)</f>
        <v>45889.52683</v>
      </c>
      <c r="C609" s="17">
        <f>IFERROR(__xludf.DUMMYFUNCTION("""COMPUTED_VALUE"""),45890.96072604167)</f>
        <v>45890.96073</v>
      </c>
      <c r="D609" s="15" t="str">
        <f>IFERROR(__xludf.DUMMYFUNCTION("""COMPUTED_VALUE"""),"Soften Water")</f>
        <v>Soften Water</v>
      </c>
      <c r="E609" s="15" t="str">
        <f>IFERROR(__xludf.DUMMYFUNCTION("""COMPUTED_VALUE"""),"EJO/2025/05/152")</f>
        <v>EJO/2025/05/152</v>
      </c>
      <c r="F609" s="15" t="str">
        <f>IFERROR(__xludf.DUMMYFUNCTION("""COMPUTED_VALUE"""),"T Reducer pvc")</f>
        <v>T Reducer pvc</v>
      </c>
      <c r="G609" s="15">
        <f>IFERROR(__xludf.DUMMYFUNCTION("""COMPUTED_VALUE"""),1.0)</f>
        <v>1</v>
      </c>
      <c r="H609" s="15" t="str">
        <f>IFERROR(__xludf.DUMMYFUNCTION("""COMPUTED_VALUE"""),"Pcs")</f>
        <v>Pcs</v>
      </c>
      <c r="I609" s="15" t="str">
        <f>IFERROR(__xludf.DUMMYFUNCTION("""COMPUTED_VALUE"""),"Deliver")</f>
        <v>Deliver</v>
      </c>
      <c r="J609" s="15" t="str">
        <f>IFERROR(__xludf.DUMMYFUNCTION("""COMPUTED_VALUE"""),"-")</f>
        <v>-</v>
      </c>
      <c r="K609" s="15" t="str">
        <f>IFERROR(__xludf.DUMMYFUNCTION("""COMPUTED_VALUE"""),"-")</f>
        <v>-</v>
      </c>
      <c r="L609" s="15" t="str">
        <f>IFERROR(__xludf.DUMMYFUNCTION("""COMPUTED_VALUE"""),"Normal")</f>
        <v>Normal</v>
      </c>
      <c r="M609" s="18" t="s">
        <v>32</v>
      </c>
      <c r="N609" s="18" t="s">
        <v>28</v>
      </c>
    </row>
    <row r="610" hidden="1">
      <c r="A610" s="15" t="str">
        <f>IFERROR(__xludf.DUMMYFUNCTION("""COMPUTED_VALUE"""),"RIABR0051")</f>
        <v>RIABR0051</v>
      </c>
      <c r="B610" s="16">
        <f>IFERROR(__xludf.DUMMYFUNCTION("""COMPUTED_VALUE"""),45889.52683224537)</f>
        <v>45889.52683</v>
      </c>
      <c r="C610" s="17">
        <f>IFERROR(__xludf.DUMMYFUNCTION("""COMPUTED_VALUE"""),45890.96088561343)</f>
        <v>45890.96089</v>
      </c>
      <c r="D610" s="15" t="str">
        <f>IFERROR(__xludf.DUMMYFUNCTION("""COMPUTED_VALUE"""),"Soften Water")</f>
        <v>Soften Water</v>
      </c>
      <c r="E610" s="15" t="str">
        <f>IFERROR(__xludf.DUMMYFUNCTION("""COMPUTED_VALUE"""),"EJO/2025/05/152")</f>
        <v>EJO/2025/05/152</v>
      </c>
      <c r="F610" s="15" t="str">
        <f>IFERROR(__xludf.DUMMYFUNCTION("""COMPUTED_VALUE"""),"Shock Drat Luar PVC")</f>
        <v>Shock Drat Luar PVC</v>
      </c>
      <c r="G610" s="15">
        <f>IFERROR(__xludf.DUMMYFUNCTION("""COMPUTED_VALUE"""),2.0)</f>
        <v>2</v>
      </c>
      <c r="H610" s="15" t="str">
        <f>IFERROR(__xludf.DUMMYFUNCTION("""COMPUTED_VALUE"""),"Pcs")</f>
        <v>Pcs</v>
      </c>
      <c r="I610" s="15" t="str">
        <f>IFERROR(__xludf.DUMMYFUNCTION("""COMPUTED_VALUE"""),"Deliver")</f>
        <v>Deliver</v>
      </c>
      <c r="J610" s="15" t="str">
        <f>IFERROR(__xludf.DUMMYFUNCTION("""COMPUTED_VALUE"""),"-")</f>
        <v>-</v>
      </c>
      <c r="K610" s="15" t="str">
        <f>IFERROR(__xludf.DUMMYFUNCTION("""COMPUTED_VALUE"""),"-")</f>
        <v>-</v>
      </c>
      <c r="L610" s="15" t="str">
        <f>IFERROR(__xludf.DUMMYFUNCTION("""COMPUTED_VALUE"""),"Normal")</f>
        <v>Normal</v>
      </c>
      <c r="M610" s="18" t="s">
        <v>32</v>
      </c>
      <c r="N610" s="18" t="s">
        <v>28</v>
      </c>
    </row>
    <row r="611" hidden="1">
      <c r="A611" s="15" t="str">
        <f>IFERROR(__xludf.DUMMYFUNCTION("""COMPUTED_VALUE"""),"RIABR0052")</f>
        <v>RIABR0052</v>
      </c>
      <c r="B611" s="16">
        <f>IFERROR(__xludf.DUMMYFUNCTION("""COMPUTED_VALUE"""),45889.52683224537)</f>
        <v>45889.52683</v>
      </c>
      <c r="C611" s="17">
        <f>IFERROR(__xludf.DUMMYFUNCTION("""COMPUTED_VALUE"""),45890.961043020834)</f>
        <v>45890.96104</v>
      </c>
      <c r="D611" s="15" t="str">
        <f>IFERROR(__xludf.DUMMYFUNCTION("""COMPUTED_VALUE"""),"Soften Water")</f>
        <v>Soften Water</v>
      </c>
      <c r="E611" s="15" t="str">
        <f>IFERROR(__xludf.DUMMYFUNCTION("""COMPUTED_VALUE"""),"EJO/2025/05/152")</f>
        <v>EJO/2025/05/152</v>
      </c>
      <c r="F611" s="15" t="str">
        <f>IFERROR(__xludf.DUMMYFUNCTION("""COMPUTED_VALUE"""),"Ball Valve")</f>
        <v>Ball Valve</v>
      </c>
      <c r="G611" s="15">
        <f>IFERROR(__xludf.DUMMYFUNCTION("""COMPUTED_VALUE"""),2.0)</f>
        <v>2</v>
      </c>
      <c r="H611" s="15" t="str">
        <f>IFERROR(__xludf.DUMMYFUNCTION("""COMPUTED_VALUE"""),"Pcs")</f>
        <v>Pcs</v>
      </c>
      <c r="I611" s="15" t="str">
        <f>IFERROR(__xludf.DUMMYFUNCTION("""COMPUTED_VALUE"""),"Deliver")</f>
        <v>Deliver</v>
      </c>
      <c r="J611" s="15" t="str">
        <f>IFERROR(__xludf.DUMMYFUNCTION("""COMPUTED_VALUE"""),"-")</f>
        <v>-</v>
      </c>
      <c r="K611" s="15" t="str">
        <f>IFERROR(__xludf.DUMMYFUNCTION("""COMPUTED_VALUE"""),"-")</f>
        <v>-</v>
      </c>
      <c r="L611" s="15" t="str">
        <f>IFERROR(__xludf.DUMMYFUNCTION("""COMPUTED_VALUE"""),"Normal")</f>
        <v>Normal</v>
      </c>
      <c r="M611" s="18" t="s">
        <v>32</v>
      </c>
      <c r="N611" s="18" t="s">
        <v>28</v>
      </c>
    </row>
    <row r="612" hidden="1">
      <c r="A612" s="15" t="str">
        <f>IFERROR(__xludf.DUMMYFUNCTION("""COMPUTED_VALUE"""),"RIABR0053")</f>
        <v>RIABR0053</v>
      </c>
      <c r="B612" s="16">
        <f>IFERROR(__xludf.DUMMYFUNCTION("""COMPUTED_VALUE"""),45889.52683224537)</f>
        <v>45889.52683</v>
      </c>
      <c r="C612" s="17">
        <f>IFERROR(__xludf.DUMMYFUNCTION("""COMPUTED_VALUE"""),45890.96125710648)</f>
        <v>45890.96126</v>
      </c>
      <c r="D612" s="15" t="str">
        <f>IFERROR(__xludf.DUMMYFUNCTION("""COMPUTED_VALUE"""),"Soften Water")</f>
        <v>Soften Water</v>
      </c>
      <c r="E612" s="15" t="str">
        <f>IFERROR(__xludf.DUMMYFUNCTION("""COMPUTED_VALUE"""),"EJO/2025/05/152")</f>
        <v>EJO/2025/05/152</v>
      </c>
      <c r="F612" s="15" t="str">
        <f>IFERROR(__xludf.DUMMYFUNCTION("""COMPUTED_VALUE"""),"Pressure Gauge")</f>
        <v>Pressure Gauge</v>
      </c>
      <c r="G612" s="15">
        <f>IFERROR(__xludf.DUMMYFUNCTION("""COMPUTED_VALUE"""),1.0)</f>
        <v>1</v>
      </c>
      <c r="H612" s="15" t="str">
        <f>IFERROR(__xludf.DUMMYFUNCTION("""COMPUTED_VALUE"""),"Pcs")</f>
        <v>Pcs</v>
      </c>
      <c r="I612" s="15" t="str">
        <f>IFERROR(__xludf.DUMMYFUNCTION("""COMPUTED_VALUE"""),"Deliver")</f>
        <v>Deliver</v>
      </c>
      <c r="J612" s="15" t="str">
        <f>IFERROR(__xludf.DUMMYFUNCTION("""COMPUTED_VALUE"""),"-")</f>
        <v>-</v>
      </c>
      <c r="K612" s="15" t="str">
        <f>IFERROR(__xludf.DUMMYFUNCTION("""COMPUTED_VALUE"""),"-")</f>
        <v>-</v>
      </c>
      <c r="L612" s="15" t="str">
        <f>IFERROR(__xludf.DUMMYFUNCTION("""COMPUTED_VALUE"""),"Normal")</f>
        <v>Normal</v>
      </c>
      <c r="M612" s="18" t="s">
        <v>32</v>
      </c>
      <c r="N612" s="18" t="s">
        <v>28</v>
      </c>
    </row>
    <row r="613" hidden="1">
      <c r="A613" s="15" t="str">
        <f>IFERROR(__xludf.DUMMYFUNCTION("""COMPUTED_VALUE"""),"RIABR0054")</f>
        <v>RIABR0054</v>
      </c>
      <c r="B613" s="16">
        <f>IFERROR(__xludf.DUMMYFUNCTION("""COMPUTED_VALUE"""),45889.52683224537)</f>
        <v>45889.52683</v>
      </c>
      <c r="C613" s="17">
        <f>IFERROR(__xludf.DUMMYFUNCTION("""COMPUTED_VALUE"""),45890.96140555556)</f>
        <v>45890.96141</v>
      </c>
      <c r="D613" s="15" t="str">
        <f>IFERROR(__xludf.DUMMYFUNCTION("""COMPUTED_VALUE"""),"Fresh Water")</f>
        <v>Fresh Water</v>
      </c>
      <c r="E613" s="15" t="str">
        <f>IFERROR(__xludf.DUMMYFUNCTION("""COMPUTED_VALUE"""),"EJO/2025/05/152")</f>
        <v>EJO/2025/05/152</v>
      </c>
      <c r="F613" s="15" t="str">
        <f>IFERROR(__xludf.DUMMYFUNCTION("""COMPUTED_VALUE"""),"T Reducer pvc")</f>
        <v>T Reducer pvc</v>
      </c>
      <c r="G613" s="15">
        <f>IFERROR(__xludf.DUMMYFUNCTION("""COMPUTED_VALUE"""),1.0)</f>
        <v>1</v>
      </c>
      <c r="H613" s="15" t="str">
        <f>IFERROR(__xludf.DUMMYFUNCTION("""COMPUTED_VALUE"""),"Pcs")</f>
        <v>Pcs</v>
      </c>
      <c r="I613" s="15" t="str">
        <f>IFERROR(__xludf.DUMMYFUNCTION("""COMPUTED_VALUE"""),"Deliver")</f>
        <v>Deliver</v>
      </c>
      <c r="J613" s="15" t="str">
        <f>IFERROR(__xludf.DUMMYFUNCTION("""COMPUTED_VALUE"""),"-")</f>
        <v>-</v>
      </c>
      <c r="K613" s="15" t="str">
        <f>IFERROR(__xludf.DUMMYFUNCTION("""COMPUTED_VALUE"""),"-")</f>
        <v>-</v>
      </c>
      <c r="L613" s="15" t="str">
        <f>IFERROR(__xludf.DUMMYFUNCTION("""COMPUTED_VALUE"""),"Normal")</f>
        <v>Normal</v>
      </c>
      <c r="M613" s="18" t="s">
        <v>32</v>
      </c>
      <c r="N613" s="18" t="s">
        <v>28</v>
      </c>
    </row>
    <row r="614" hidden="1">
      <c r="A614" s="15" t="str">
        <f>IFERROR(__xludf.DUMMYFUNCTION("""COMPUTED_VALUE"""),"SFHBR0029")</f>
        <v>SFHBR0029</v>
      </c>
      <c r="B614" s="16">
        <f>IFERROR(__xludf.DUMMYFUNCTION("""COMPUTED_VALUE"""),45888.95884670139)</f>
        <v>45888.95885</v>
      </c>
      <c r="C614" s="17">
        <f>IFERROR(__xludf.DUMMYFUNCTION("""COMPUTED_VALUE"""),45890.96210405093)</f>
        <v>45890.9621</v>
      </c>
      <c r="D614" s="15" t="str">
        <f>IFERROR(__xludf.DUMMYFUNCTION("""COMPUTED_VALUE"""),"lantai 1")</f>
        <v>lantai 1</v>
      </c>
      <c r="E614" s="15" t="str">
        <f>IFERROR(__xludf.DUMMYFUNCTION("""COMPUTED_VALUE"""),"EJO/2025/08/80")</f>
        <v>EJO/2025/08/80</v>
      </c>
      <c r="F614" s="15" t="str">
        <f>IFERROR(__xludf.DUMMYFUNCTION("""COMPUTED_VALUE"""),"kaca film 3M")</f>
        <v>kaca film 3M</v>
      </c>
      <c r="G614" s="15">
        <f>IFERROR(__xludf.DUMMYFUNCTION("""COMPUTED_VALUE"""),1.0)</f>
        <v>1</v>
      </c>
      <c r="H614" s="15" t="str">
        <f>IFERROR(__xludf.DUMMYFUNCTION("""COMPUTED_VALUE"""),"Roll")</f>
        <v>Roll</v>
      </c>
      <c r="I614" s="15" t="str">
        <f>IFERROR(__xludf.DUMMYFUNCTION("""COMPUTED_VALUE"""),"Deliver")</f>
        <v>Deliver</v>
      </c>
      <c r="J614" s="15" t="str">
        <f>IFERROR(__xludf.DUMMYFUNCTION("""COMPUTED_VALUE"""),"-")</f>
        <v>-</v>
      </c>
      <c r="K614" s="15" t="str">
        <f>IFERROR(__xludf.DUMMYFUNCTION("""COMPUTED_VALUE"""),"-")</f>
        <v>-</v>
      </c>
      <c r="L614" s="15" t="str">
        <f>IFERROR(__xludf.DUMMYFUNCTION("""COMPUTED_VALUE"""),"Normal")</f>
        <v>Normal</v>
      </c>
      <c r="M614" s="18" t="s">
        <v>27</v>
      </c>
      <c r="N614" s="18" t="s">
        <v>28</v>
      </c>
    </row>
    <row r="615" hidden="1">
      <c r="A615" s="15" t="str">
        <f>IFERROR(__xludf.DUMMYFUNCTION("""COMPUTED_VALUE"""),"MRNBR0048")</f>
        <v>MRNBR0048</v>
      </c>
      <c r="B615" s="16">
        <f>IFERROR(__xludf.DUMMYFUNCTION("""COMPUTED_VALUE"""),45890.58345658565)</f>
        <v>45890.58346</v>
      </c>
      <c r="C615" s="17">
        <f>IFERROR(__xludf.DUMMYFUNCTION("""COMPUTED_VALUE"""),45890.962904629625)</f>
        <v>45890.9629</v>
      </c>
      <c r="D615" s="15" t="str">
        <f>IFERROR(__xludf.DUMMYFUNCTION("""COMPUTED_VALUE"""),"AC lantai 3")</f>
        <v>AC lantai 3</v>
      </c>
      <c r="E615" s="15" t="str">
        <f>IFERROR(__xludf.DUMMYFUNCTION("""COMPUTED_VALUE"""),"EJO/2025/05/102")</f>
        <v>EJO/2025/05/102</v>
      </c>
      <c r="F615" s="15" t="str">
        <f>IFERROR(__xludf.DUMMYFUNCTION("""COMPUTED_VALUE"""),"Untuk AC QC dan Server")</f>
        <v>Untuk AC QC dan Server</v>
      </c>
      <c r="G615" s="15">
        <f>IFERROR(__xludf.DUMMYFUNCTION("""COMPUTED_VALUE"""),2.0)</f>
        <v>2</v>
      </c>
      <c r="H615" s="15" t="str">
        <f>IFERROR(__xludf.DUMMYFUNCTION("""COMPUTED_VALUE"""),"klg")</f>
        <v>klg</v>
      </c>
      <c r="I615" s="15" t="str">
        <f>IFERROR(__xludf.DUMMYFUNCTION("""COMPUTED_VALUE"""),"Deliver")</f>
        <v>Deliver</v>
      </c>
      <c r="J615" s="15" t="str">
        <f>IFERROR(__xludf.DUMMYFUNCTION("""COMPUTED_VALUE"""),"-")</f>
        <v>-</v>
      </c>
      <c r="K615" s="15" t="str">
        <f>IFERROR(__xludf.DUMMYFUNCTION("""COMPUTED_VALUE"""),"-")</f>
        <v>-</v>
      </c>
      <c r="L615" s="15" t="str">
        <f>IFERROR(__xludf.DUMMYFUNCTION("""COMPUTED_VALUE"""),"Normal")</f>
        <v>Normal</v>
      </c>
      <c r="M615" s="18" t="s">
        <v>48</v>
      </c>
      <c r="N615" s="18" t="s">
        <v>28</v>
      </c>
    </row>
    <row r="616" hidden="1">
      <c r="A616" s="15" t="str">
        <f>IFERROR(__xludf.DUMMYFUNCTION("""COMPUTED_VALUE"""),"MRNBR0049")</f>
        <v>MRNBR0049</v>
      </c>
      <c r="B616" s="16">
        <f>IFERROR(__xludf.DUMMYFUNCTION("""COMPUTED_VALUE"""),45890.58558893518)</f>
        <v>45890.58559</v>
      </c>
      <c r="C616" s="17">
        <f>IFERROR(__xludf.DUMMYFUNCTION("""COMPUTED_VALUE"""),45890.963093171296)</f>
        <v>45890.96309</v>
      </c>
      <c r="D616" s="15" t="str">
        <f>IFERROR(__xludf.DUMMYFUNCTION("""COMPUTED_VALUE"""),"AC split")</f>
        <v>AC split</v>
      </c>
      <c r="E616" s="15" t="str">
        <f>IFERROR(__xludf.DUMMYFUNCTION("""COMPUTED_VALUE"""),"EJO/2025/05/102")</f>
        <v>EJO/2025/05/102</v>
      </c>
      <c r="F616" s="15" t="str">
        <f>IFERROR(__xludf.DUMMYFUNCTION("""COMPUTED_VALUE"""),"AC kurang dingin")</f>
        <v>AC kurang dingin</v>
      </c>
      <c r="G616" s="15">
        <f>IFERROR(__xludf.DUMMYFUNCTION("""COMPUTED_VALUE"""),5.0)</f>
        <v>5</v>
      </c>
      <c r="H616" s="15" t="str">
        <f>IFERROR(__xludf.DUMMYFUNCTION("""COMPUTED_VALUE"""),"pcs")</f>
        <v>pcs</v>
      </c>
      <c r="I616" s="15" t="str">
        <f>IFERROR(__xludf.DUMMYFUNCTION("""COMPUTED_VALUE"""),"Deliver")</f>
        <v>Deliver</v>
      </c>
      <c r="J616" s="15" t="str">
        <f>IFERROR(__xludf.DUMMYFUNCTION("""COMPUTED_VALUE"""),"-")</f>
        <v>-</v>
      </c>
      <c r="K616" s="15" t="str">
        <f>IFERROR(__xludf.DUMMYFUNCTION("""COMPUTED_VALUE"""),"-")</f>
        <v>-</v>
      </c>
      <c r="L616" s="15" t="str">
        <f>IFERROR(__xludf.DUMMYFUNCTION("""COMPUTED_VALUE"""),"Normal")</f>
        <v>Normal</v>
      </c>
      <c r="M616" s="18" t="s">
        <v>48</v>
      </c>
      <c r="N616" s="18" t="s">
        <v>28</v>
      </c>
    </row>
    <row r="617" hidden="1">
      <c r="A617" s="15" t="str">
        <f>IFERROR(__xludf.DUMMYFUNCTION("""COMPUTED_VALUE"""),"MRNRO0031")</f>
        <v>MRNRO0031</v>
      </c>
      <c r="B617" s="16">
        <f>IFERROR(__xludf.DUMMYFUNCTION("""COMPUTED_VALUE"""),45890.59899346065)</f>
        <v>45890.59899</v>
      </c>
      <c r="C617" s="17">
        <f>IFERROR(__xludf.DUMMYFUNCTION("""COMPUTED_VALUE"""),45890.963271898145)</f>
        <v>45890.96327</v>
      </c>
      <c r="D617" s="15" t="str">
        <f>IFERROR(__xludf.DUMMYFUNCTION("""COMPUTED_VALUE"""),"Pipa chiller")</f>
        <v>Pipa chiller</v>
      </c>
      <c r="E617" s="15" t="str">
        <f>IFERROR(__xludf.DUMMYFUNCTION("""COMPUTED_VALUE"""),"EJO/2025/01/13")</f>
        <v>EJO/2025/01/13</v>
      </c>
      <c r="F617" s="15" t="str">
        <f>IFERROR(__xludf.DUMMYFUNCTION("""COMPUTED_VALUE"""),"LEM, K-FLEX, 1 CAN : 2.6LTR")</f>
        <v>LEM, K-FLEX, 1 CAN : 2.6LTR</v>
      </c>
      <c r="G617" s="15">
        <f>IFERROR(__xludf.DUMMYFUNCTION("""COMPUTED_VALUE"""),2.0)</f>
        <v>2</v>
      </c>
      <c r="H617" s="15" t="str">
        <f>IFERROR(__xludf.DUMMYFUNCTION("""COMPUTED_VALUE"""),"pcs")</f>
        <v>pcs</v>
      </c>
      <c r="I617" s="15" t="str">
        <f>IFERROR(__xludf.DUMMYFUNCTION("""COMPUTED_VALUE"""),"Deliver")</f>
        <v>Deliver</v>
      </c>
      <c r="J617" s="15" t="str">
        <f>IFERROR(__xludf.DUMMYFUNCTION("""COMPUTED_VALUE"""),"-")</f>
        <v>-</v>
      </c>
      <c r="K617" s="15" t="str">
        <f>IFERROR(__xludf.DUMMYFUNCTION("""COMPUTED_VALUE"""),"-")</f>
        <v>-</v>
      </c>
      <c r="L617" s="15" t="str">
        <f>IFERROR(__xludf.DUMMYFUNCTION("""COMPUTED_VALUE"""),"Normal")</f>
        <v>Normal</v>
      </c>
      <c r="M617" s="18" t="s">
        <v>48</v>
      </c>
      <c r="N617" s="18" t="s">
        <v>28</v>
      </c>
    </row>
    <row r="618" hidden="1">
      <c r="A618" s="15" t="str">
        <f>IFERROR(__xludf.DUMMYFUNCTION("""COMPUTED_VALUE"""),"MRNBR0050")</f>
        <v>MRNBR0050</v>
      </c>
      <c r="B618" s="16">
        <f>IFERROR(__xludf.DUMMYFUNCTION("""COMPUTED_VALUE"""),45890.59159186342)</f>
        <v>45890.59159</v>
      </c>
      <c r="C618" s="17">
        <f>IFERROR(__xludf.DUMMYFUNCTION("""COMPUTED_VALUE"""),45890.96379674768)</f>
        <v>45890.9638</v>
      </c>
      <c r="D618" s="15" t="str">
        <f>IFERROR(__xludf.DUMMYFUNCTION("""COMPUTED_VALUE"""),"Lantai 2")</f>
        <v>Lantai 2</v>
      </c>
      <c r="E618" s="15" t="str">
        <f>IFERROR(__xludf.DUMMYFUNCTION("""COMPUTED_VALUE"""),"EJO/2025/01/13")</f>
        <v>EJO/2025/01/13</v>
      </c>
      <c r="F618" s="15" t="str">
        <f>IFERROR(__xludf.DUMMYFUNCTION("""COMPUTED_VALUE"""),"Kondensasi menetes")</f>
        <v>Kondensasi menetes</v>
      </c>
      <c r="G618" s="15">
        <f>IFERROR(__xludf.DUMMYFUNCTION("""COMPUTED_VALUE"""),5.0)</f>
        <v>5</v>
      </c>
      <c r="H618" s="15" t="str">
        <f>IFERROR(__xludf.DUMMYFUNCTION("""COMPUTED_VALUE"""),"roll")</f>
        <v>roll</v>
      </c>
      <c r="I618" s="15" t="str">
        <f>IFERROR(__xludf.DUMMYFUNCTION("""COMPUTED_VALUE"""),"Deliver")</f>
        <v>Deliver</v>
      </c>
      <c r="J618" s="15" t="str">
        <f>IFERROR(__xludf.DUMMYFUNCTION("""COMPUTED_VALUE"""),"121703754 - APPROVED")</f>
        <v>121703754 - APPROVED</v>
      </c>
      <c r="K618" s="15" t="str">
        <f>IFERROR(__xludf.DUMMYFUNCTION("""COMPUTED_VALUE"""),"GL2603431")</f>
        <v>GL2603431</v>
      </c>
      <c r="L618" s="15" t="str">
        <f>IFERROR(__xludf.DUMMYFUNCTION("""COMPUTED_VALUE"""),"Normal")</f>
        <v>Normal</v>
      </c>
      <c r="M618" s="18" t="s">
        <v>48</v>
      </c>
      <c r="N618" s="18" t="s">
        <v>28</v>
      </c>
    </row>
    <row r="619" hidden="1">
      <c r="A619" s="15" t="str">
        <f>IFERROR(__xludf.DUMMYFUNCTION("""COMPUTED_VALUE"""),"MRNRO0032")</f>
        <v>MRNRO0032</v>
      </c>
      <c r="B619" s="16">
        <f>IFERROR(__xludf.DUMMYFUNCTION("""COMPUTED_VALUE"""),45890.60302190972)</f>
        <v>45890.60302</v>
      </c>
      <c r="C619" s="17">
        <f>IFERROR(__xludf.DUMMYFUNCTION("""COMPUTED_VALUE"""),45890.96393417824)</f>
        <v>45890.96393</v>
      </c>
      <c r="D619" s="15" t="str">
        <f>IFERROR(__xludf.DUMMYFUNCTION("""COMPUTED_VALUE"""),"Pipa chiller")</f>
        <v>Pipa chiller</v>
      </c>
      <c r="E619" s="15" t="str">
        <f>IFERROR(__xludf.DUMMYFUNCTION("""COMPUTED_VALUE"""),"EJO/2025/01/13")</f>
        <v>EJO/2025/01/13</v>
      </c>
      <c r="F619" s="15" t="str">
        <f>IFERROR(__xludf.DUMMYFUNCTION("""COMPUTED_VALUE"""),"LEM ISOLASI, ARMAFLEX, 1 CAN")</f>
        <v>LEM ISOLASI, ARMAFLEX, 1 CAN</v>
      </c>
      <c r="G619" s="15">
        <f>IFERROR(__xludf.DUMMYFUNCTION("""COMPUTED_VALUE"""),2.0)</f>
        <v>2</v>
      </c>
      <c r="H619" s="15" t="str">
        <f>IFERROR(__xludf.DUMMYFUNCTION("""COMPUTED_VALUE"""),"pcs")</f>
        <v>pcs</v>
      </c>
      <c r="I619" s="15" t="str">
        <f>IFERROR(__xludf.DUMMYFUNCTION("""COMPUTED_VALUE"""),"Deliver")</f>
        <v>Deliver</v>
      </c>
      <c r="J619" s="15" t="str">
        <f>IFERROR(__xludf.DUMMYFUNCTION("""COMPUTED_VALUE"""),"-")</f>
        <v>-</v>
      </c>
      <c r="K619" s="15" t="str">
        <f>IFERROR(__xludf.DUMMYFUNCTION("""COMPUTED_VALUE"""),"-")</f>
        <v>-</v>
      </c>
      <c r="L619" s="15" t="str">
        <f>IFERROR(__xludf.DUMMYFUNCTION("""COMPUTED_VALUE"""),"Normal")</f>
        <v>Normal</v>
      </c>
      <c r="M619" s="18" t="s">
        <v>48</v>
      </c>
      <c r="N619" s="18" t="s">
        <v>28</v>
      </c>
    </row>
    <row r="620" hidden="1">
      <c r="A620" s="15" t="str">
        <f>IFERROR(__xludf.DUMMYFUNCTION("""COMPUTED_VALUE"""),"INNJA0004")</f>
        <v>INNJA0004</v>
      </c>
      <c r="B620" s="16">
        <f>IFERROR(__xludf.DUMMYFUNCTION("""COMPUTED_VALUE"""),45884.57668288195)</f>
        <v>45884.57668</v>
      </c>
      <c r="C620" s="17">
        <f>IFERROR(__xludf.DUMMYFUNCTION("""COMPUTED_VALUE"""),45895.11829986111)</f>
        <v>45895.1183</v>
      </c>
      <c r="D620" s="15" t="str">
        <f>IFERROR(__xludf.DUMMYFUNCTION("""COMPUTED_VALUE"""),"Dry Lab")</f>
        <v>Dry Lab</v>
      </c>
      <c r="E620" s="15" t="str">
        <f>IFERROR(__xludf.DUMMYFUNCTION("""COMPUTED_VALUE"""),"EJO/2025/08/190")</f>
        <v>EJO/2025/08/190</v>
      </c>
      <c r="F620" s="15" t="str">
        <f>IFERROR(__xludf.DUMMYFUNCTION("""COMPUTED_VALUE"""),"Perbaikan Weterbath")</f>
        <v>Perbaikan Weterbath</v>
      </c>
      <c r="G620" s="15">
        <f>IFERROR(__xludf.DUMMYFUNCTION("""COMPUTED_VALUE"""),1.0)</f>
        <v>1</v>
      </c>
      <c r="H620" s="15" t="str">
        <f>IFERROR(__xludf.DUMMYFUNCTION("""COMPUTED_VALUE"""),"Lot")</f>
        <v>Lot</v>
      </c>
      <c r="I620" s="15" t="str">
        <f>IFERROR(__xludf.DUMMYFUNCTION("""COMPUTED_VALUE"""),"Deliver")</f>
        <v>Deliver</v>
      </c>
      <c r="J620" s="15" t="str">
        <f>IFERROR(__xludf.DUMMYFUNCTION("""COMPUTED_VALUE"""),"-")</f>
        <v>-</v>
      </c>
      <c r="K620" s="15" t="str">
        <f>IFERROR(__xludf.DUMMYFUNCTION("""COMPUTED_VALUE"""),"-")</f>
        <v>-</v>
      </c>
      <c r="L620" s="15" t="str">
        <f>IFERROR(__xludf.DUMMYFUNCTION("""COMPUTED_VALUE"""),"Normal")</f>
        <v>Normal</v>
      </c>
      <c r="M620" s="18" t="s">
        <v>51</v>
      </c>
      <c r="N620" s="18" t="s">
        <v>30</v>
      </c>
    </row>
    <row r="621" hidden="1">
      <c r="A621" s="15" t="str">
        <f>IFERROR(__xludf.DUMMYFUNCTION("""COMPUTED_VALUE"""),"INNBR0039")</f>
        <v>INNBR0039</v>
      </c>
      <c r="B621" s="16">
        <f>IFERROR(__xludf.DUMMYFUNCTION("""COMPUTED_VALUE"""),45861.66406931713)</f>
        <v>45861.66407</v>
      </c>
      <c r="C621" s="17">
        <f>IFERROR(__xludf.DUMMYFUNCTION("""COMPUTED_VALUE"""),45895.11904909722)</f>
        <v>45895.11905</v>
      </c>
      <c r="D621" s="15" t="str">
        <f>IFERROR(__xludf.DUMMYFUNCTION("""COMPUTED_VALUE"""),"GC")</f>
        <v>GC</v>
      </c>
      <c r="E621" s="15" t="str">
        <f>IFERROR(__xludf.DUMMYFUNCTION("""COMPUTED_VALUE"""),"EJO/2025/07/170")</f>
        <v>EJO/2025/07/170</v>
      </c>
      <c r="F621" s="15" t="str">
        <f>IFERROR(__xludf.DUMMYFUNCTION("""COMPUTED_VALUE"""),"HTR/Sensor for FID/TCD/NPD/SSL p/n: G1530-67950")</f>
        <v>HTR/Sensor for FID/TCD/NPD/SSL p/n: G1530-67950</v>
      </c>
      <c r="G621" s="15">
        <f>IFERROR(__xludf.DUMMYFUNCTION("""COMPUTED_VALUE"""),1.0)</f>
        <v>1</v>
      </c>
      <c r="H621" s="15" t="str">
        <f>IFERROR(__xludf.DUMMYFUNCTION("""COMPUTED_VALUE"""),"Unit")</f>
        <v>Unit</v>
      </c>
      <c r="I621" s="15" t="str">
        <f>IFERROR(__xludf.DUMMYFUNCTION("""COMPUTED_VALUE"""),"Deliver")</f>
        <v>Deliver</v>
      </c>
      <c r="J621" s="15" t="str">
        <f>IFERROR(__xludf.DUMMYFUNCTION("""COMPUTED_VALUE"""),"-")</f>
        <v>-</v>
      </c>
      <c r="K621" s="15" t="str">
        <f>IFERROR(__xludf.DUMMYFUNCTION("""COMPUTED_VALUE"""),"-")</f>
        <v>-</v>
      </c>
      <c r="L621" s="15" t="str">
        <f>IFERROR(__xludf.DUMMYFUNCTION("""COMPUTED_VALUE"""),"Normal")</f>
        <v>Normal</v>
      </c>
      <c r="M621" s="18" t="s">
        <v>51</v>
      </c>
      <c r="N621" s="18" t="s">
        <v>30</v>
      </c>
    </row>
    <row r="622" hidden="1">
      <c r="A622" s="15" t="str">
        <f>IFERROR(__xludf.DUMMYFUNCTION("""COMPUTED_VALUE"""),"INNBR0040")</f>
        <v>INNBR0040</v>
      </c>
      <c r="B622" s="16">
        <f>IFERROR(__xludf.DUMMYFUNCTION("""COMPUTED_VALUE"""),45882.389632708335)</f>
        <v>45882.38963</v>
      </c>
      <c r="C622" s="17">
        <f>IFERROR(__xludf.DUMMYFUNCTION("""COMPUTED_VALUE"""),45895.11931875)</f>
        <v>45895.11932</v>
      </c>
      <c r="D622" s="15" t="str">
        <f>IFERROR(__xludf.DUMMYFUNCTION("""COMPUTED_VALUE"""),"Filling")</f>
        <v>Filling</v>
      </c>
      <c r="E622" s="15" t="str">
        <f>IFERROR(__xludf.DUMMYFUNCTION("""COMPUTED_VALUE"""),"-")</f>
        <v>-</v>
      </c>
      <c r="F622" s="15" t="str">
        <f>IFERROR(__xludf.DUMMYFUNCTION("""COMPUTED_VALUE"""),"Spare Membrane diaphragm MA8 PTFE/EPDM SED")</f>
        <v>Spare Membrane diaphragm MA8 PTFE/EPDM SED</v>
      </c>
      <c r="G622" s="15">
        <f>IFERROR(__xludf.DUMMYFUNCTION("""COMPUTED_VALUE"""),4.0)</f>
        <v>4</v>
      </c>
      <c r="H622" s="15" t="str">
        <f>IFERROR(__xludf.DUMMYFUNCTION("""COMPUTED_VALUE"""),"Pcs")</f>
        <v>Pcs</v>
      </c>
      <c r="I622" s="15" t="str">
        <f>IFERROR(__xludf.DUMMYFUNCTION("""COMPUTED_VALUE"""),"Deliver")</f>
        <v>Deliver</v>
      </c>
      <c r="J622" s="15" t="str">
        <f>IFERROR(__xludf.DUMMYFUNCTION("""COMPUTED_VALUE"""),"-")</f>
        <v>-</v>
      </c>
      <c r="K622" s="15" t="str">
        <f>IFERROR(__xludf.DUMMYFUNCTION("""COMPUTED_VALUE"""),"-")</f>
        <v>-</v>
      </c>
      <c r="L622" s="15" t="str">
        <f>IFERROR(__xludf.DUMMYFUNCTION("""COMPUTED_VALUE"""),"Normal")</f>
        <v>Normal</v>
      </c>
      <c r="M622" s="18" t="s">
        <v>51</v>
      </c>
      <c r="N622" s="18" t="s">
        <v>30</v>
      </c>
    </row>
    <row r="623" hidden="1">
      <c r="A623" s="15" t="str">
        <f>IFERROR(__xludf.DUMMYFUNCTION("""COMPUTED_VALUE"""),"ROSRO0009")</f>
        <v>ROSRO0009</v>
      </c>
      <c r="B623" s="16">
        <f>IFERROR(__xludf.DUMMYFUNCTION("""COMPUTED_VALUE"""),45841.63937402778)</f>
        <v>45841.63937</v>
      </c>
      <c r="C623" s="17">
        <f>IFERROR(__xludf.DUMMYFUNCTION("""COMPUTED_VALUE"""),45895.120869467595)</f>
        <v>45895.12087</v>
      </c>
      <c r="D623" s="15" t="str">
        <f>IFERROR(__xludf.DUMMYFUNCTION("""COMPUTED_VALUE"""),"tunnel")</f>
        <v>tunnel</v>
      </c>
      <c r="E623" s="15" t="str">
        <f>IFERROR(__xludf.DUMMYFUNCTION("""COMPUTED_VALUE"""),"-")</f>
        <v>-</v>
      </c>
      <c r="F623" s="15" t="str">
        <f>IFERROR(__xludf.DUMMYFUNCTION("""COMPUTED_VALUE"""),"Tunnel ST1L - Potentiometer Model 10K 3turns P/n: 3757; ; ;")</f>
        <v>Tunnel ST1L - Potentiometer Model 10K 3turns P/n: 3757; ; ;</v>
      </c>
      <c r="G623" s="15">
        <f>IFERROR(__xludf.DUMMYFUNCTION("""COMPUTED_VALUE"""),5.0)</f>
        <v>5</v>
      </c>
      <c r="H623" s="15" t="str">
        <f>IFERROR(__xludf.DUMMYFUNCTION("""COMPUTED_VALUE"""),"pcs")</f>
        <v>pcs</v>
      </c>
      <c r="I623" s="15" t="str">
        <f>IFERROR(__xludf.DUMMYFUNCTION("""COMPUTED_VALUE"""),"Deliver")</f>
        <v>Deliver</v>
      </c>
      <c r="J623" s="15" t="str">
        <f>IFERROR(__xludf.DUMMYFUNCTION("""COMPUTED_VALUE"""),"-")</f>
        <v>-</v>
      </c>
      <c r="K623" s="15" t="str">
        <f>IFERROR(__xludf.DUMMYFUNCTION("""COMPUTED_VALUE"""),"-")</f>
        <v>-</v>
      </c>
      <c r="L623" s="15" t="str">
        <f>IFERROR(__xludf.DUMMYFUNCTION("""COMPUTED_VALUE"""),"Normal")</f>
        <v>Normal</v>
      </c>
      <c r="M623" s="18" t="s">
        <v>29</v>
      </c>
      <c r="N623" s="18" t="s">
        <v>30</v>
      </c>
    </row>
    <row r="624" hidden="1">
      <c r="A624" s="15" t="str">
        <f>IFERROR(__xludf.DUMMYFUNCTION("""COMPUTED_VALUE"""),"ROSRO0010")</f>
        <v>ROSRO0010</v>
      </c>
      <c r="B624" s="16">
        <f>IFERROR(__xludf.DUMMYFUNCTION("""COMPUTED_VALUE"""),45846.572498090274)</f>
        <v>45846.5725</v>
      </c>
      <c r="C624" s="17">
        <f>IFERROR(__xludf.DUMMYFUNCTION("""COMPUTED_VALUE"""),45895.12115247685)</f>
        <v>45895.12115</v>
      </c>
      <c r="D624" s="15" t="str">
        <f>IFERROR(__xludf.DUMMYFUNCTION("""COMPUTED_VALUE"""),"Capping ")</f>
        <v>Capping </v>
      </c>
      <c r="E624" s="15" t="str">
        <f>IFERROR(__xludf.DUMMYFUNCTION("""COMPUTED_VALUE"""),"-")</f>
        <v>-</v>
      </c>
      <c r="F624" s="15" t="str">
        <f>IFERROR(__xludf.DUMMYFUNCTION("""COMPUTED_VALUE"""),"Bearing 6000 2RS H SKF")</f>
        <v>Bearing 6000 2RS H SKF</v>
      </c>
      <c r="G624" s="15">
        <f>IFERROR(__xludf.DUMMYFUNCTION("""COMPUTED_VALUE"""),30.0)</f>
        <v>30</v>
      </c>
      <c r="H624" s="15" t="str">
        <f>IFERROR(__xludf.DUMMYFUNCTION("""COMPUTED_VALUE"""),"pcs")</f>
        <v>pcs</v>
      </c>
      <c r="I624" s="15" t="str">
        <f>IFERROR(__xludf.DUMMYFUNCTION("""COMPUTED_VALUE"""),"Deliver")</f>
        <v>Deliver</v>
      </c>
      <c r="J624" s="15" t="str">
        <f>IFERROR(__xludf.DUMMYFUNCTION("""COMPUTED_VALUE"""),"-")</f>
        <v>-</v>
      </c>
      <c r="K624" s="15" t="str">
        <f>IFERROR(__xludf.DUMMYFUNCTION("""COMPUTED_VALUE"""),"-")</f>
        <v>-</v>
      </c>
      <c r="L624" s="15" t="str">
        <f>IFERROR(__xludf.DUMMYFUNCTION("""COMPUTED_VALUE"""),"Normal")</f>
        <v>Normal</v>
      </c>
      <c r="M624" s="18" t="s">
        <v>29</v>
      </c>
      <c r="N624" s="18" t="s">
        <v>30</v>
      </c>
    </row>
    <row r="625" hidden="1">
      <c r="A625" s="15" t="str">
        <f>IFERROR(__xludf.DUMMYFUNCTION("""COMPUTED_VALUE"""),"ROSBR0029")</f>
        <v>ROSBR0029</v>
      </c>
      <c r="B625" s="16">
        <f>IFERROR(__xludf.DUMMYFUNCTION("""COMPUTED_VALUE"""),45875.45508028936)</f>
        <v>45875.45508</v>
      </c>
      <c r="C625" s="17">
        <f>IFERROR(__xludf.DUMMYFUNCTION("""COMPUTED_VALUE"""),45895.12172943287)</f>
        <v>45895.12173</v>
      </c>
      <c r="D625" s="15" t="str">
        <f>IFERROR(__xludf.DUMMYFUNCTION("""COMPUTED_VALUE"""),"Preparasi Autoclave Lab Mikro 
")</f>
        <v>Preparasi Autoclave Lab Mikro 
</v>
      </c>
      <c r="E625" s="15" t="str">
        <f>IFERROR(__xludf.DUMMYFUNCTION("""COMPUTED_VALUE"""),"NA")</f>
        <v>NA</v>
      </c>
      <c r="F625" s="15" t="str">
        <f>IFERROR(__xludf.DUMMYFUNCTION("""COMPUTED_VALUE"""),"Oring Dop pintu preparasi autoclave lab Mikro ")</f>
        <v>Oring Dop pintu preparasi autoclave lab Mikro </v>
      </c>
      <c r="G625" s="15">
        <f>IFERROR(__xludf.DUMMYFUNCTION("""COMPUTED_VALUE"""),5.0)</f>
        <v>5</v>
      </c>
      <c r="H625" s="15" t="str">
        <f>IFERROR(__xludf.DUMMYFUNCTION("""COMPUTED_VALUE"""),"pcs")</f>
        <v>pcs</v>
      </c>
      <c r="I625" s="15" t="str">
        <f>IFERROR(__xludf.DUMMYFUNCTION("""COMPUTED_VALUE"""),"Deliver")</f>
        <v>Deliver</v>
      </c>
      <c r="J625" s="15" t="str">
        <f>IFERROR(__xludf.DUMMYFUNCTION("""COMPUTED_VALUE"""),"121703648 - APPROVED")</f>
        <v>121703648 - APPROVED</v>
      </c>
      <c r="K625" s="15" t="str">
        <f>IFERROR(__xludf.DUMMYFUNCTION("""COMPUTED_VALUE"""),"GL2602376")</f>
        <v>GL2602376</v>
      </c>
      <c r="L625" s="15" t="str">
        <f>IFERROR(__xludf.DUMMYFUNCTION("""COMPUTED_VALUE"""),"Normal")</f>
        <v>Normal</v>
      </c>
      <c r="M625" s="18" t="s">
        <v>29</v>
      </c>
      <c r="N625" s="18" t="s">
        <v>30</v>
      </c>
    </row>
    <row r="626" hidden="1">
      <c r="A626" s="15" t="str">
        <f>IFERROR(__xludf.DUMMYFUNCTION("""COMPUTED_VALUE"""),"ROSBR0031")</f>
        <v>ROSBR0031</v>
      </c>
      <c r="B626" s="16">
        <f>IFERROR(__xludf.DUMMYFUNCTION("""COMPUTED_VALUE"""),45882.236768981486)</f>
        <v>45882.23677</v>
      </c>
      <c r="C626" s="17">
        <f>IFERROR(__xludf.DUMMYFUNCTION("""COMPUTED_VALUE"""),45895.12248414352)</f>
        <v>45895.12248</v>
      </c>
      <c r="D626" s="15" t="str">
        <f>IFERROR(__xludf.DUMMYFUNCTION("""COMPUTED_VALUE"""),"Panel Coating ")</f>
        <v>Panel Coating </v>
      </c>
      <c r="E626" s="15" t="str">
        <f>IFERROR(__xludf.DUMMYFUNCTION("""COMPUTED_VALUE"""),"EJO/2025/08/114")</f>
        <v>EJO/2025/08/114</v>
      </c>
      <c r="F626" s="15" t="str">
        <f>IFERROR(__xludf.DUMMYFUNCTION("""COMPUTED_VALUE"""),"Cooling fan ")</f>
        <v>Cooling fan </v>
      </c>
      <c r="G626" s="15">
        <f>IFERROR(__xludf.DUMMYFUNCTION("""COMPUTED_VALUE"""),1.0)</f>
        <v>1</v>
      </c>
      <c r="H626" s="15" t="str">
        <f>IFERROR(__xludf.DUMMYFUNCTION("""COMPUTED_VALUE"""),"Set")</f>
        <v>Set</v>
      </c>
      <c r="I626" s="15" t="str">
        <f>IFERROR(__xludf.DUMMYFUNCTION("""COMPUTED_VALUE"""),"Deliver")</f>
        <v>Deliver</v>
      </c>
      <c r="J626" s="15" t="str">
        <f>IFERROR(__xludf.DUMMYFUNCTION("""COMPUTED_VALUE"""),"-")</f>
        <v>-</v>
      </c>
      <c r="K626" s="15" t="str">
        <f>IFERROR(__xludf.DUMMYFUNCTION("""COMPUTED_VALUE"""),"-")</f>
        <v>-</v>
      </c>
      <c r="L626" s="15" t="str">
        <f>IFERROR(__xludf.DUMMYFUNCTION("""COMPUTED_VALUE"""),"Normal")</f>
        <v>Normal</v>
      </c>
      <c r="M626" s="18" t="s">
        <v>29</v>
      </c>
      <c r="N626" s="18" t="s">
        <v>30</v>
      </c>
    </row>
    <row r="627" hidden="1">
      <c r="A627" s="15" t="str">
        <f>IFERROR(__xludf.DUMMYFUNCTION("""COMPUTED_VALUE"""),"ROSBR0035")</f>
        <v>ROSBR0035</v>
      </c>
      <c r="B627" s="16">
        <f>IFERROR(__xludf.DUMMYFUNCTION("""COMPUTED_VALUE"""),45891.47744128472)</f>
        <v>45891.47744</v>
      </c>
      <c r="C627" s="17">
        <f>IFERROR(__xludf.DUMMYFUNCTION("""COMPUTED_VALUE"""),45895.12462378473)</f>
        <v>45895.12462</v>
      </c>
      <c r="D627" s="15" t="str">
        <f>IFERROR(__xludf.DUMMYFUNCTION("""COMPUTED_VALUE"""),"Capping ")</f>
        <v>Capping </v>
      </c>
      <c r="E627" s="15" t="str">
        <f>IFERROR(__xludf.DUMMYFUNCTION("""COMPUTED_VALUE"""),"NA")</f>
        <v>NA</v>
      </c>
      <c r="F627" s="15" t="str">
        <f>IFERROR(__xludf.DUMMYFUNCTION("""COMPUTED_VALUE"""),"Oil Seal Head Caps ")</f>
        <v>Oil Seal Head Caps </v>
      </c>
      <c r="G627" s="15">
        <f>IFERROR(__xludf.DUMMYFUNCTION("""COMPUTED_VALUE"""),40.0)</f>
        <v>40</v>
      </c>
      <c r="H627" s="15" t="str">
        <f>IFERROR(__xludf.DUMMYFUNCTION("""COMPUTED_VALUE"""),"pcs")</f>
        <v>pcs</v>
      </c>
      <c r="I627" s="15" t="str">
        <f>IFERROR(__xludf.DUMMYFUNCTION("""COMPUTED_VALUE"""),"Deliver")</f>
        <v>Deliver</v>
      </c>
      <c r="J627" s="15" t="str">
        <f>IFERROR(__xludf.DUMMYFUNCTION("""COMPUTED_VALUE"""),"-")</f>
        <v>-</v>
      </c>
      <c r="K627" s="15" t="str">
        <f>IFERROR(__xludf.DUMMYFUNCTION("""COMPUTED_VALUE"""),"-")</f>
        <v>-</v>
      </c>
      <c r="L627" s="15" t="str">
        <f>IFERROR(__xludf.DUMMYFUNCTION("""COMPUTED_VALUE"""),"Normal")</f>
        <v>Normal</v>
      </c>
      <c r="M627" s="18" t="s">
        <v>29</v>
      </c>
      <c r="N627" s="18" t="s">
        <v>30</v>
      </c>
    </row>
    <row r="628" hidden="1">
      <c r="A628" s="15" t="str">
        <f>IFERROR(__xludf.DUMMYFUNCTION("""COMPUTED_VALUE"""),"ROSBR0030")</f>
        <v>ROSBR0030</v>
      </c>
      <c r="B628" s="16">
        <f>IFERROR(__xludf.DUMMYFUNCTION("""COMPUTED_VALUE"""),45875.47010125)</f>
        <v>45875.4701</v>
      </c>
      <c r="C628" s="17">
        <f>IFERROR(__xludf.DUMMYFUNCTION("""COMPUTED_VALUE"""),45895.12536355324)</f>
        <v>45895.12536</v>
      </c>
      <c r="D628" s="15" t="str">
        <f>IFERROR(__xludf.DUMMYFUNCTION("""COMPUTED_VALUE"""),"Compressor FD ")</f>
        <v>Compressor FD </v>
      </c>
      <c r="E628" s="15" t="str">
        <f>IFERROR(__xludf.DUMMYFUNCTION("""COMPUTED_VALUE"""),"NA")</f>
        <v>NA</v>
      </c>
      <c r="F628" s="15" t="str">
        <f>IFERROR(__xludf.DUMMYFUNCTION("""COMPUTED_VALUE"""),"Baut terminal kompressor ")</f>
        <v>Baut terminal kompressor </v>
      </c>
      <c r="G628" s="15">
        <f>IFERROR(__xludf.DUMMYFUNCTION("""COMPUTED_VALUE"""),20.0)</f>
        <v>20</v>
      </c>
      <c r="H628" s="15" t="str">
        <f>IFERROR(__xludf.DUMMYFUNCTION("""COMPUTED_VALUE"""),"pcs")</f>
        <v>pcs</v>
      </c>
      <c r="I628" s="15" t="str">
        <f>IFERROR(__xludf.DUMMYFUNCTION("""COMPUTED_VALUE"""),"Deliver")</f>
        <v>Deliver</v>
      </c>
      <c r="J628" s="15" t="str">
        <f>IFERROR(__xludf.DUMMYFUNCTION("""COMPUTED_VALUE"""),"-")</f>
        <v>-</v>
      </c>
      <c r="K628" s="15" t="str">
        <f>IFERROR(__xludf.DUMMYFUNCTION("""COMPUTED_VALUE"""),"-")</f>
        <v>-</v>
      </c>
      <c r="L628" s="15" t="str">
        <f>IFERROR(__xludf.DUMMYFUNCTION("""COMPUTED_VALUE"""),"Normal")</f>
        <v>Normal</v>
      </c>
      <c r="M628" s="18" t="s">
        <v>29</v>
      </c>
      <c r="N628" s="18" t="s">
        <v>30</v>
      </c>
    </row>
    <row r="629" hidden="1">
      <c r="A629" s="15" t="str">
        <f>IFERROR(__xludf.DUMMYFUNCTION("""COMPUTED_VALUE"""),"NDSRO0004")</f>
        <v>NDSRO0004</v>
      </c>
      <c r="B629" s="16">
        <f>IFERROR(__xludf.DUMMYFUNCTION("""COMPUTED_VALUE"""),45855.74678824074)</f>
        <v>45855.74679</v>
      </c>
      <c r="C629" s="17">
        <f>IFERROR(__xludf.DUMMYFUNCTION("""COMPUTED_VALUE"""),45895.12607775463)</f>
        <v>45895.12608</v>
      </c>
      <c r="D629" s="15" t="str">
        <f>IFERROR(__xludf.DUMMYFUNCTION("""COMPUTED_VALUE"""),"MS 30")</f>
        <v>MS 30</v>
      </c>
      <c r="E629" s="15" t="str">
        <f>IFERROR(__xludf.DUMMYFUNCTION("""COMPUTED_VALUE"""),"-")</f>
        <v>-</v>
      </c>
      <c r="F629" s="15" t="str">
        <f>IFERROR(__xludf.DUMMYFUNCTION("""COMPUTED_VALUE"""),"Battery 12V 18AH merk LONG")</f>
        <v>Battery 12V 18AH merk LONG</v>
      </c>
      <c r="G629" s="15">
        <f>IFERROR(__xludf.DUMMYFUNCTION("""COMPUTED_VALUE"""),3.0)</f>
        <v>3</v>
      </c>
      <c r="H629" s="15" t="str">
        <f>IFERROR(__xludf.DUMMYFUNCTION("""COMPUTED_VALUE"""),"Pcs")</f>
        <v>Pcs</v>
      </c>
      <c r="I629" s="15" t="str">
        <f>IFERROR(__xludf.DUMMYFUNCTION("""COMPUTED_VALUE"""),"Deliver")</f>
        <v>Deliver</v>
      </c>
      <c r="J629" s="15" t="str">
        <f>IFERROR(__xludf.DUMMYFUNCTION("""COMPUTED_VALUE"""),"-")</f>
        <v>-</v>
      </c>
      <c r="K629" s="15" t="str">
        <f>IFERROR(__xludf.DUMMYFUNCTION("""COMPUTED_VALUE"""),"-")</f>
        <v>-</v>
      </c>
      <c r="L629" s="15" t="str">
        <f>IFERROR(__xludf.DUMMYFUNCTION("""COMPUTED_VALUE"""),"Normal")</f>
        <v>Normal</v>
      </c>
      <c r="M629" s="18" t="s">
        <v>50</v>
      </c>
      <c r="N629" s="18" t="s">
        <v>30</v>
      </c>
    </row>
    <row r="630" hidden="1">
      <c r="A630" s="15" t="str">
        <f>IFERROR(__xludf.DUMMYFUNCTION("""COMPUTED_VALUE"""),"NDSRO0005")</f>
        <v>NDSRO0005</v>
      </c>
      <c r="B630" s="16">
        <f>IFERROR(__xludf.DUMMYFUNCTION("""COMPUTED_VALUE"""),45874.80960048611)</f>
        <v>45874.8096</v>
      </c>
      <c r="C630" s="17">
        <f>IFERROR(__xludf.DUMMYFUNCTION("""COMPUTED_VALUE"""),45895.12643768518)</f>
        <v>45895.12644</v>
      </c>
      <c r="D630" s="15" t="str">
        <f>IFERROR(__xludf.DUMMYFUNCTION("""COMPUTED_VALUE"""),"Domino")</f>
        <v>Domino</v>
      </c>
      <c r="E630" s="15" t="str">
        <f>IFERROR(__xludf.DUMMYFUNCTION("""COMPUTED_VALUE"""),"-")</f>
        <v>-</v>
      </c>
      <c r="F630" s="15" t="str">
        <f>IFERROR(__xludf.DUMMYFUNCTION("""COMPUTED_VALUE"""),"Colamark - Print Head; Domino; EPP001359 SP; 1 Pc")</f>
        <v>Colamark - Print Head; Domino; EPP001359 SP; 1 Pc</v>
      </c>
      <c r="G630" s="15">
        <f>IFERROR(__xludf.DUMMYFUNCTION("""COMPUTED_VALUE"""),1.0)</f>
        <v>1</v>
      </c>
      <c r="H630" s="15" t="str">
        <f>IFERROR(__xludf.DUMMYFUNCTION("""COMPUTED_VALUE"""),"Pcs")</f>
        <v>Pcs</v>
      </c>
      <c r="I630" s="15" t="str">
        <f>IFERROR(__xludf.DUMMYFUNCTION("""COMPUTED_VALUE"""),"Deliver")</f>
        <v>Deliver</v>
      </c>
      <c r="J630" s="15" t="str">
        <f>IFERROR(__xludf.DUMMYFUNCTION("""COMPUTED_VALUE"""),"-")</f>
        <v>-</v>
      </c>
      <c r="K630" s="15" t="str">
        <f>IFERROR(__xludf.DUMMYFUNCTION("""COMPUTED_VALUE"""),"-")</f>
        <v>-</v>
      </c>
      <c r="L630" s="15" t="str">
        <f>IFERROR(__xludf.DUMMYFUNCTION("""COMPUTED_VALUE"""),"Normal")</f>
        <v>Normal</v>
      </c>
      <c r="M630" s="18" t="s">
        <v>50</v>
      </c>
      <c r="N630" s="18" t="s">
        <v>30</v>
      </c>
    </row>
    <row r="631" hidden="1">
      <c r="A631" s="15" t="str">
        <f>IFERROR(__xludf.DUMMYFUNCTION("""COMPUTED_VALUE"""),"NDSBR0019")</f>
        <v>NDSBR0019</v>
      </c>
      <c r="B631" s="16">
        <f>IFERROR(__xludf.DUMMYFUNCTION("""COMPUTED_VALUE"""),45887.75498704861)</f>
        <v>45887.75499</v>
      </c>
      <c r="C631" s="17">
        <f>IFERROR(__xludf.DUMMYFUNCTION("""COMPUTED_VALUE"""),45895.12778446759)</f>
        <v>45895.12778</v>
      </c>
      <c r="D631" s="15" t="str">
        <f>IFERROR(__xludf.DUMMYFUNCTION("""COMPUTED_VALUE"""),"Heating Plate")</f>
        <v>Heating Plate</v>
      </c>
      <c r="E631" s="15" t="str">
        <f>IFERROR(__xludf.DUMMYFUNCTION("""COMPUTED_VALUE"""),"EJO/2025/08/64")</f>
        <v>EJO/2025/08/64</v>
      </c>
      <c r="F631" s="15" t="str">
        <f>IFERROR(__xludf.DUMMYFUNCTION("""COMPUTED_VALUE"""),"Kabel Power")</f>
        <v>Kabel Power</v>
      </c>
      <c r="G631" s="15">
        <f>IFERROR(__xludf.DUMMYFUNCTION("""COMPUTED_VALUE"""),1.0)</f>
        <v>1</v>
      </c>
      <c r="H631" s="15" t="str">
        <f>IFERROR(__xludf.DUMMYFUNCTION("""COMPUTED_VALUE"""),"PCS")</f>
        <v>PCS</v>
      </c>
      <c r="I631" s="15" t="str">
        <f>IFERROR(__xludf.DUMMYFUNCTION("""COMPUTED_VALUE"""),"Deliver")</f>
        <v>Deliver</v>
      </c>
      <c r="J631" s="15" t="str">
        <f>IFERROR(__xludf.DUMMYFUNCTION("""COMPUTED_VALUE"""),"-")</f>
        <v>-</v>
      </c>
      <c r="K631" s="15" t="str">
        <f>IFERROR(__xludf.DUMMYFUNCTION("""COMPUTED_VALUE"""),"-")</f>
        <v>-</v>
      </c>
      <c r="L631" s="15" t="str">
        <f>IFERROR(__xludf.DUMMYFUNCTION("""COMPUTED_VALUE"""),"Normal")</f>
        <v>Normal</v>
      </c>
      <c r="M631" s="18" t="s">
        <v>50</v>
      </c>
      <c r="N631" s="18" t="s">
        <v>30</v>
      </c>
    </row>
    <row r="632" hidden="1">
      <c r="A632" s="15" t="str">
        <f>IFERROR(__xludf.DUMMYFUNCTION("""COMPUTED_VALUE"""),"SFHRO0014")</f>
        <v>SFHRO0014</v>
      </c>
      <c r="B632" s="16">
        <f>IFERROR(__xludf.DUMMYFUNCTION("""COMPUTED_VALUE"""),45894.66047828704)</f>
        <v>45894.66048</v>
      </c>
      <c r="C632" s="17">
        <f>IFERROR(__xludf.DUMMYFUNCTION("""COMPUTED_VALUE"""),45895.61407887731)</f>
        <v>45895.61408</v>
      </c>
      <c r="D632" s="15" t="str">
        <f>IFERROR(__xludf.DUMMYFUNCTION("""COMPUTED_VALUE"""),"lantai 1")</f>
        <v>lantai 1</v>
      </c>
      <c r="E632" s="15" t="str">
        <f>IFERROR(__xludf.DUMMYFUNCTION("""COMPUTED_VALUE"""),"EJO/2025/08/42")</f>
        <v>EJO/2025/08/42</v>
      </c>
      <c r="F632" s="15" t="str">
        <f>IFERROR(__xludf.DUMMYFUNCTION("""COMPUTED_VALUE"""),"Kaca Cermin; Lokal; Ukuran custom; pack size per pcs")</f>
        <v>Kaca Cermin; Lokal; Ukuran custom; pack size per pcs</v>
      </c>
      <c r="G632" s="15">
        <f>IFERROR(__xludf.DUMMYFUNCTION("""COMPUTED_VALUE"""),2.0)</f>
        <v>2</v>
      </c>
      <c r="H632" s="15" t="str">
        <f>IFERROR(__xludf.DUMMYFUNCTION("""COMPUTED_VALUE"""),"pcs")</f>
        <v>pcs</v>
      </c>
      <c r="I632" s="15" t="str">
        <f>IFERROR(__xludf.DUMMYFUNCTION("""COMPUTED_VALUE"""),"Deliver")</f>
        <v>Deliver</v>
      </c>
      <c r="J632" s="15" t="str">
        <f>IFERROR(__xludf.DUMMYFUNCTION("""COMPUTED_VALUE"""),"-")</f>
        <v>-</v>
      </c>
      <c r="K632" s="15" t="str">
        <f>IFERROR(__xludf.DUMMYFUNCTION("""COMPUTED_VALUE"""),"-")</f>
        <v>-</v>
      </c>
      <c r="L632" s="15" t="str">
        <f>IFERROR(__xludf.DUMMYFUNCTION("""COMPUTED_VALUE"""),"Normal")</f>
        <v>Normal</v>
      </c>
      <c r="M632" s="18" t="s">
        <v>27</v>
      </c>
      <c r="N632" s="18" t="s">
        <v>28</v>
      </c>
    </row>
    <row r="633" hidden="1">
      <c r="A633" s="15" t="str">
        <f>IFERROR(__xludf.DUMMYFUNCTION("""COMPUTED_VALUE"""),"RIABR0081")</f>
        <v>RIABR0081</v>
      </c>
      <c r="B633" s="16">
        <f>IFERROR(__xludf.DUMMYFUNCTION("""COMPUTED_VALUE"""),45891.58188841435)</f>
        <v>45891.58189</v>
      </c>
      <c r="C633" s="17">
        <f>IFERROR(__xludf.DUMMYFUNCTION("""COMPUTED_VALUE"""),45896.498795949075)</f>
        <v>45896.4988</v>
      </c>
      <c r="D633" s="15" t="str">
        <f>IFERROR(__xludf.DUMMYFUNCTION("""COMPUTED_VALUE"""),"WWTP")</f>
        <v>WWTP</v>
      </c>
      <c r="E633" s="15" t="str">
        <f>IFERROR(__xludf.DUMMYFUNCTION("""COMPUTED_VALUE"""),"EJO/2025/08/56")</f>
        <v>EJO/2025/08/56</v>
      </c>
      <c r="F633" s="15" t="str">
        <f>IFERROR(__xludf.DUMMYFUNCTION("""COMPUTED_VALUE"""),"Pilot Lamp AD22-22DS 220VAC Kuning")</f>
        <v>Pilot Lamp AD22-22DS 220VAC Kuning</v>
      </c>
      <c r="G633" s="15">
        <f>IFERROR(__xludf.DUMMYFUNCTION("""COMPUTED_VALUE"""),1.0)</f>
        <v>1</v>
      </c>
      <c r="H633" s="15" t="str">
        <f>IFERROR(__xludf.DUMMYFUNCTION("""COMPUTED_VALUE"""),"Pcs")</f>
        <v>Pcs</v>
      </c>
      <c r="I633" s="15" t="str">
        <f>IFERROR(__xludf.DUMMYFUNCTION("""COMPUTED_VALUE"""),"Deliver")</f>
        <v>Deliver</v>
      </c>
      <c r="J633" s="15" t="str">
        <f>IFERROR(__xludf.DUMMYFUNCTION("""COMPUTED_VALUE"""),"-")</f>
        <v>-</v>
      </c>
      <c r="K633" s="15" t="str">
        <f>IFERROR(__xludf.DUMMYFUNCTION("""COMPUTED_VALUE"""),"-")</f>
        <v>-</v>
      </c>
      <c r="L633" s="15" t="str">
        <f>IFERROR(__xludf.DUMMYFUNCTION("""COMPUTED_VALUE"""),"Normal")</f>
        <v>Normal</v>
      </c>
      <c r="M633" s="18" t="s">
        <v>32</v>
      </c>
      <c r="N633" s="18" t="s">
        <v>28</v>
      </c>
    </row>
    <row r="634" hidden="1">
      <c r="A634" s="15" t="str">
        <f>IFERROR(__xludf.DUMMYFUNCTION("""COMPUTED_VALUE"""),"RIABR0080")</f>
        <v>RIABR0080</v>
      </c>
      <c r="B634" s="16">
        <f>IFERROR(__xludf.DUMMYFUNCTION("""COMPUTED_VALUE"""),45891.58188841435)</f>
        <v>45891.58189</v>
      </c>
      <c r="C634" s="17">
        <f>IFERROR(__xludf.DUMMYFUNCTION("""COMPUTED_VALUE"""),45896.49896917825)</f>
        <v>45896.49897</v>
      </c>
      <c r="D634" s="15" t="str">
        <f>IFERROR(__xludf.DUMMYFUNCTION("""COMPUTED_VALUE"""),"WWTP")</f>
        <v>WWTP</v>
      </c>
      <c r="E634" s="15" t="str">
        <f>IFERROR(__xludf.DUMMYFUNCTION("""COMPUTED_VALUE"""),"EJO/2025/08/56")</f>
        <v>EJO/2025/08/56</v>
      </c>
      <c r="F634" s="15" t="str">
        <f>IFERROR(__xludf.DUMMYFUNCTION("""COMPUTED_VALUE"""),"Pilot Lamp AD22-22DS 220VAC Hijau")</f>
        <v>Pilot Lamp AD22-22DS 220VAC Hijau</v>
      </c>
      <c r="G634" s="15">
        <f>IFERROR(__xludf.DUMMYFUNCTION("""COMPUTED_VALUE"""),10.0)</f>
        <v>10</v>
      </c>
      <c r="H634" s="15" t="str">
        <f>IFERROR(__xludf.DUMMYFUNCTION("""COMPUTED_VALUE"""),"Pcs")</f>
        <v>Pcs</v>
      </c>
      <c r="I634" s="15" t="str">
        <f>IFERROR(__xludf.DUMMYFUNCTION("""COMPUTED_VALUE"""),"Deliver")</f>
        <v>Deliver</v>
      </c>
      <c r="J634" s="15" t="str">
        <f>IFERROR(__xludf.DUMMYFUNCTION("""COMPUTED_VALUE"""),"-")</f>
        <v>-</v>
      </c>
      <c r="K634" s="15" t="str">
        <f>IFERROR(__xludf.DUMMYFUNCTION("""COMPUTED_VALUE"""),"-")</f>
        <v>-</v>
      </c>
      <c r="L634" s="15" t="str">
        <f>IFERROR(__xludf.DUMMYFUNCTION("""COMPUTED_VALUE"""),"Normal")</f>
        <v>Normal</v>
      </c>
      <c r="M634" s="18" t="s">
        <v>32</v>
      </c>
      <c r="N634" s="18" t="s">
        <v>28</v>
      </c>
    </row>
    <row r="635" hidden="1">
      <c r="A635" s="15" t="str">
        <f>IFERROR(__xludf.DUMMYFUNCTION("""COMPUTED_VALUE"""),"RIABR0079")</f>
        <v>RIABR0079</v>
      </c>
      <c r="B635" s="16">
        <f>IFERROR(__xludf.DUMMYFUNCTION("""COMPUTED_VALUE"""),45891.58188841435)</f>
        <v>45891.58189</v>
      </c>
      <c r="C635" s="17">
        <f>IFERROR(__xludf.DUMMYFUNCTION("""COMPUTED_VALUE"""),45896.49913887731)</f>
        <v>45896.49914</v>
      </c>
      <c r="D635" s="15" t="str">
        <f>IFERROR(__xludf.DUMMYFUNCTION("""COMPUTED_VALUE"""),"WWTP")</f>
        <v>WWTP</v>
      </c>
      <c r="E635" s="15" t="str">
        <f>IFERROR(__xludf.DUMMYFUNCTION("""COMPUTED_VALUE"""),"EJO/2025/08/56")</f>
        <v>EJO/2025/08/56</v>
      </c>
      <c r="F635" s="15" t="str">
        <f>IFERROR(__xludf.DUMMYFUNCTION("""COMPUTED_VALUE"""),"Tagging Kabel")</f>
        <v>Tagging Kabel</v>
      </c>
      <c r="G635" s="15">
        <f>IFERROR(__xludf.DUMMYFUNCTION("""COMPUTED_VALUE"""),500.0)</f>
        <v>500</v>
      </c>
      <c r="H635" s="15" t="str">
        <f>IFERROR(__xludf.DUMMYFUNCTION("""COMPUTED_VALUE"""),"Pcs")</f>
        <v>Pcs</v>
      </c>
      <c r="I635" s="15" t="str">
        <f>IFERROR(__xludf.DUMMYFUNCTION("""COMPUTED_VALUE"""),"Deliver")</f>
        <v>Deliver</v>
      </c>
      <c r="J635" s="15" t="str">
        <f>IFERROR(__xludf.DUMMYFUNCTION("""COMPUTED_VALUE"""),"-")</f>
        <v>-</v>
      </c>
      <c r="K635" s="15" t="str">
        <f>IFERROR(__xludf.DUMMYFUNCTION("""COMPUTED_VALUE"""),"-")</f>
        <v>-</v>
      </c>
      <c r="L635" s="15" t="str">
        <f>IFERROR(__xludf.DUMMYFUNCTION("""COMPUTED_VALUE"""),"Normal")</f>
        <v>Normal</v>
      </c>
      <c r="M635" s="18" t="s">
        <v>32</v>
      </c>
      <c r="N635" s="18" t="s">
        <v>28</v>
      </c>
    </row>
    <row r="636" hidden="1">
      <c r="A636" s="15" t="str">
        <f>IFERROR(__xludf.DUMMYFUNCTION("""COMPUTED_VALUE"""),"RIABR0078")</f>
        <v>RIABR0078</v>
      </c>
      <c r="B636" s="16">
        <f>IFERROR(__xludf.DUMMYFUNCTION("""COMPUTED_VALUE"""),45891.58188841435)</f>
        <v>45891.58189</v>
      </c>
      <c r="C636" s="17">
        <f>IFERROR(__xludf.DUMMYFUNCTION("""COMPUTED_VALUE"""),45896.49927898148)</f>
        <v>45896.49928</v>
      </c>
      <c r="D636" s="15" t="str">
        <f>IFERROR(__xludf.DUMMYFUNCTION("""COMPUTED_VALUE"""),"WWTP")</f>
        <v>WWTP</v>
      </c>
      <c r="E636" s="15" t="str">
        <f>IFERROR(__xludf.DUMMYFUNCTION("""COMPUTED_VALUE"""),"EJO/2025/08/56")</f>
        <v>EJO/2025/08/56</v>
      </c>
      <c r="F636" s="15" t="str">
        <f>IFERROR(__xludf.DUMMYFUNCTION("""COMPUTED_VALUE"""),"Skun Kabel O 2.5mm Hijau")</f>
        <v>Skun Kabel O 2.5mm Hijau</v>
      </c>
      <c r="G636" s="15">
        <f>IFERROR(__xludf.DUMMYFUNCTION("""COMPUTED_VALUE"""),1.0)</f>
        <v>1</v>
      </c>
      <c r="H636" s="15" t="str">
        <f>IFERROR(__xludf.DUMMYFUNCTION("""COMPUTED_VALUE"""),"Pack")</f>
        <v>Pack</v>
      </c>
      <c r="I636" s="15" t="str">
        <f>IFERROR(__xludf.DUMMYFUNCTION("""COMPUTED_VALUE"""),"Deliver")</f>
        <v>Deliver</v>
      </c>
      <c r="J636" s="15" t="str">
        <f>IFERROR(__xludf.DUMMYFUNCTION("""COMPUTED_VALUE"""),"-")</f>
        <v>-</v>
      </c>
      <c r="K636" s="15" t="str">
        <f>IFERROR(__xludf.DUMMYFUNCTION("""COMPUTED_VALUE"""),"-")</f>
        <v>-</v>
      </c>
      <c r="L636" s="15" t="str">
        <f>IFERROR(__xludf.DUMMYFUNCTION("""COMPUTED_VALUE"""),"Normal")</f>
        <v>Normal</v>
      </c>
      <c r="M636" s="18" t="s">
        <v>32</v>
      </c>
      <c r="N636" s="18" t="s">
        <v>28</v>
      </c>
    </row>
    <row r="637" hidden="1">
      <c r="A637" s="15" t="str">
        <f>IFERROR(__xludf.DUMMYFUNCTION("""COMPUTED_VALUE"""),"RIABR0077")</f>
        <v>RIABR0077</v>
      </c>
      <c r="B637" s="16">
        <f>IFERROR(__xludf.DUMMYFUNCTION("""COMPUTED_VALUE"""),45891.58188841435)</f>
        <v>45891.58189</v>
      </c>
      <c r="C637" s="17">
        <f>IFERROR(__xludf.DUMMYFUNCTION("""COMPUTED_VALUE"""),45896.49942895833)</f>
        <v>45896.49943</v>
      </c>
      <c r="D637" s="15" t="str">
        <f>IFERROR(__xludf.DUMMYFUNCTION("""COMPUTED_VALUE"""),"WWTP")</f>
        <v>WWTP</v>
      </c>
      <c r="E637" s="15" t="str">
        <f>IFERROR(__xludf.DUMMYFUNCTION("""COMPUTED_VALUE"""),"EJO/2025/08/56")</f>
        <v>EJO/2025/08/56</v>
      </c>
      <c r="F637" s="15" t="str">
        <f>IFERROR(__xludf.DUMMYFUNCTION("""COMPUTED_VALUE"""),"Skun Kabel O 2.5mm Kuning")</f>
        <v>Skun Kabel O 2.5mm Kuning</v>
      </c>
      <c r="G637" s="15">
        <f>IFERROR(__xludf.DUMMYFUNCTION("""COMPUTED_VALUE"""),1.0)</f>
        <v>1</v>
      </c>
      <c r="H637" s="15" t="str">
        <f>IFERROR(__xludf.DUMMYFUNCTION("""COMPUTED_VALUE"""),"Pack")</f>
        <v>Pack</v>
      </c>
      <c r="I637" s="15" t="str">
        <f>IFERROR(__xludf.DUMMYFUNCTION("""COMPUTED_VALUE"""),"Deliver")</f>
        <v>Deliver</v>
      </c>
      <c r="J637" s="15" t="str">
        <f>IFERROR(__xludf.DUMMYFUNCTION("""COMPUTED_VALUE"""),"-")</f>
        <v>-</v>
      </c>
      <c r="K637" s="15" t="str">
        <f>IFERROR(__xludf.DUMMYFUNCTION("""COMPUTED_VALUE"""),"-")</f>
        <v>-</v>
      </c>
      <c r="L637" s="15" t="str">
        <f>IFERROR(__xludf.DUMMYFUNCTION("""COMPUTED_VALUE"""),"Normal")</f>
        <v>Normal</v>
      </c>
      <c r="M637" s="18" t="s">
        <v>32</v>
      </c>
      <c r="N637" s="18" t="s">
        <v>28</v>
      </c>
    </row>
    <row r="638" hidden="1">
      <c r="A638" s="15" t="str">
        <f>IFERROR(__xludf.DUMMYFUNCTION("""COMPUTED_VALUE"""),"RIABR0076")</f>
        <v>RIABR0076</v>
      </c>
      <c r="B638" s="16">
        <f>IFERROR(__xludf.DUMMYFUNCTION("""COMPUTED_VALUE"""),45891.58188841435)</f>
        <v>45891.58189</v>
      </c>
      <c r="C638" s="17">
        <f>IFERROR(__xludf.DUMMYFUNCTION("""COMPUTED_VALUE"""),45896.49956871528)</f>
        <v>45896.49957</v>
      </c>
      <c r="D638" s="15" t="str">
        <f>IFERROR(__xludf.DUMMYFUNCTION("""COMPUTED_VALUE"""),"WWTP")</f>
        <v>WWTP</v>
      </c>
      <c r="E638" s="15" t="str">
        <f>IFERROR(__xludf.DUMMYFUNCTION("""COMPUTED_VALUE"""),"EJO/2025/08/56")</f>
        <v>EJO/2025/08/56</v>
      </c>
      <c r="F638" s="15" t="str">
        <f>IFERROR(__xludf.DUMMYFUNCTION("""COMPUTED_VALUE"""),"Skun Kabel O 2.5mm Merah")</f>
        <v>Skun Kabel O 2.5mm Merah</v>
      </c>
      <c r="G638" s="15">
        <f>IFERROR(__xludf.DUMMYFUNCTION("""COMPUTED_VALUE"""),1.0)</f>
        <v>1</v>
      </c>
      <c r="H638" s="15" t="str">
        <f>IFERROR(__xludf.DUMMYFUNCTION("""COMPUTED_VALUE"""),"Pack")</f>
        <v>Pack</v>
      </c>
      <c r="I638" s="15" t="str">
        <f>IFERROR(__xludf.DUMMYFUNCTION("""COMPUTED_VALUE"""),"Deliver")</f>
        <v>Deliver</v>
      </c>
      <c r="J638" s="15" t="str">
        <f>IFERROR(__xludf.DUMMYFUNCTION("""COMPUTED_VALUE"""),"-")</f>
        <v>-</v>
      </c>
      <c r="K638" s="15" t="str">
        <f>IFERROR(__xludf.DUMMYFUNCTION("""COMPUTED_VALUE"""),"-")</f>
        <v>-</v>
      </c>
      <c r="L638" s="15" t="str">
        <f>IFERROR(__xludf.DUMMYFUNCTION("""COMPUTED_VALUE"""),"Normal")</f>
        <v>Normal</v>
      </c>
      <c r="M638" s="18" t="s">
        <v>32</v>
      </c>
      <c r="N638" s="18" t="s">
        <v>28</v>
      </c>
    </row>
    <row r="639" hidden="1">
      <c r="A639" s="15" t="str">
        <f>IFERROR(__xludf.DUMMYFUNCTION("""COMPUTED_VALUE"""),"MRNBR0054")</f>
        <v>MRNBR0054</v>
      </c>
      <c r="B639" s="16">
        <f>IFERROR(__xludf.DUMMYFUNCTION("""COMPUTED_VALUE"""),45894.99086912037)</f>
        <v>45894.99087</v>
      </c>
      <c r="C639" s="17">
        <f>IFERROR(__xludf.DUMMYFUNCTION("""COMPUTED_VALUE"""),45896.50116162037)</f>
        <v>45896.50116</v>
      </c>
      <c r="D639" s="15" t="str">
        <f>IFERROR(__xludf.DUMMYFUNCTION("""COMPUTED_VALUE"""),"Passbox packaging")</f>
        <v>Passbox packaging</v>
      </c>
      <c r="E639" s="15" t="str">
        <f>IFERROR(__xludf.DUMMYFUNCTION("""COMPUTED_VALUE"""),"EJO/2025/09/37")</f>
        <v>EJO/2025/09/37</v>
      </c>
      <c r="F639" s="15" t="str">
        <f>IFERROR(__xludf.DUMMYFUNCTION("""COMPUTED_VALUE"""),"Seal")</f>
        <v>Seal</v>
      </c>
      <c r="G639" s="15">
        <f>IFERROR(__xludf.DUMMYFUNCTION("""COMPUTED_VALUE"""),50.0)</f>
        <v>50</v>
      </c>
      <c r="H639" s="15" t="str">
        <f>IFERROR(__xludf.DUMMYFUNCTION("""COMPUTED_VALUE"""),"meter")</f>
        <v>meter</v>
      </c>
      <c r="I639" s="15" t="str">
        <f>IFERROR(__xludf.DUMMYFUNCTION("""COMPUTED_VALUE"""),"Deliver")</f>
        <v>Deliver</v>
      </c>
      <c r="J639" s="15" t="str">
        <f>IFERROR(__xludf.DUMMYFUNCTION("""COMPUTED_VALUE"""),"121704164 - APPROVED")</f>
        <v>121704164 - APPROVED</v>
      </c>
      <c r="K639" s="15" t="str">
        <f>IFERROR(__xludf.DUMMYFUNCTION("""COMPUTED_VALUE"""),"GL2605018")</f>
        <v>GL2605018</v>
      </c>
      <c r="L639" s="15" t="str">
        <f>IFERROR(__xludf.DUMMYFUNCTION("""COMPUTED_VALUE"""),"Normal")</f>
        <v>Normal</v>
      </c>
      <c r="M639" s="18" t="s">
        <v>48</v>
      </c>
      <c r="N639" s="18" t="s">
        <v>28</v>
      </c>
    </row>
    <row r="640" hidden="1">
      <c r="A640" s="15" t="str">
        <f>IFERROR(__xludf.DUMMYFUNCTION("""COMPUTED_VALUE"""),"RIABR0075")</f>
        <v>RIABR0075</v>
      </c>
      <c r="B640" s="16">
        <f>IFERROR(__xludf.DUMMYFUNCTION("""COMPUTED_VALUE"""),45891.58188841435)</f>
        <v>45891.58189</v>
      </c>
      <c r="C640" s="17">
        <f>IFERROR(__xludf.DUMMYFUNCTION("""COMPUTED_VALUE"""),45896.501414803235)</f>
        <v>45896.50141</v>
      </c>
      <c r="D640" s="15" t="str">
        <f>IFERROR(__xludf.DUMMYFUNCTION("""COMPUTED_VALUE"""),"WWTP")</f>
        <v>WWTP</v>
      </c>
      <c r="E640" s="15" t="str">
        <f>IFERROR(__xludf.DUMMYFUNCTION("""COMPUTED_VALUE"""),"EJO/2025/08/56")</f>
        <v>EJO/2025/08/56</v>
      </c>
      <c r="F640" s="15" t="str">
        <f>IFERROR(__xludf.DUMMYFUNCTION("""COMPUTED_VALUE"""),"Skun Kabel Y 2.5mm Hijau")</f>
        <v>Skun Kabel Y 2.5mm Hijau</v>
      </c>
      <c r="G640" s="15">
        <f>IFERROR(__xludf.DUMMYFUNCTION("""COMPUTED_VALUE"""),1.0)</f>
        <v>1</v>
      </c>
      <c r="H640" s="15" t="str">
        <f>IFERROR(__xludf.DUMMYFUNCTION("""COMPUTED_VALUE"""),"Pack")</f>
        <v>Pack</v>
      </c>
      <c r="I640" s="15" t="str">
        <f>IFERROR(__xludf.DUMMYFUNCTION("""COMPUTED_VALUE"""),"Deliver")</f>
        <v>Deliver</v>
      </c>
      <c r="J640" s="15" t="str">
        <f>IFERROR(__xludf.DUMMYFUNCTION("""COMPUTED_VALUE"""),"121703754 - APPROVED")</f>
        <v>121703754 - APPROVED</v>
      </c>
      <c r="K640" s="15" t="str">
        <f>IFERROR(__xludf.DUMMYFUNCTION("""COMPUTED_VALUE"""),"GL2603431")</f>
        <v>GL2603431</v>
      </c>
      <c r="L640" s="15" t="str">
        <f>IFERROR(__xludf.DUMMYFUNCTION("""COMPUTED_VALUE"""),"Normal")</f>
        <v>Normal</v>
      </c>
      <c r="M640" s="18" t="s">
        <v>32</v>
      </c>
      <c r="N640" s="18" t="s">
        <v>28</v>
      </c>
    </row>
    <row r="641" hidden="1">
      <c r="A641" s="15" t="str">
        <f>IFERROR(__xludf.DUMMYFUNCTION("""COMPUTED_VALUE"""),"RIABR0074")</f>
        <v>RIABR0074</v>
      </c>
      <c r="B641" s="16">
        <f>IFERROR(__xludf.DUMMYFUNCTION("""COMPUTED_VALUE"""),45891.58188841435)</f>
        <v>45891.58189</v>
      </c>
      <c r="C641" s="17">
        <f>IFERROR(__xludf.DUMMYFUNCTION("""COMPUTED_VALUE"""),45896.5016456713)</f>
        <v>45896.50165</v>
      </c>
      <c r="D641" s="15" t="str">
        <f>IFERROR(__xludf.DUMMYFUNCTION("""COMPUTED_VALUE"""),"WWTP")</f>
        <v>WWTP</v>
      </c>
      <c r="E641" s="15" t="str">
        <f>IFERROR(__xludf.DUMMYFUNCTION("""COMPUTED_VALUE"""),"EJO/2025/08/56")</f>
        <v>EJO/2025/08/56</v>
      </c>
      <c r="F641" s="15" t="str">
        <f>IFERROR(__xludf.DUMMYFUNCTION("""COMPUTED_VALUE"""),"Skun Kabel Y 2.5mm Kuning")</f>
        <v>Skun Kabel Y 2.5mm Kuning</v>
      </c>
      <c r="G641" s="15">
        <f>IFERROR(__xludf.DUMMYFUNCTION("""COMPUTED_VALUE"""),1.0)</f>
        <v>1</v>
      </c>
      <c r="H641" s="15" t="str">
        <f>IFERROR(__xludf.DUMMYFUNCTION("""COMPUTED_VALUE"""),"Pack")</f>
        <v>Pack</v>
      </c>
      <c r="I641" s="15" t="str">
        <f>IFERROR(__xludf.DUMMYFUNCTION("""COMPUTED_VALUE"""),"Deliver")</f>
        <v>Deliver</v>
      </c>
      <c r="J641" s="15" t="str">
        <f>IFERROR(__xludf.DUMMYFUNCTION("""COMPUTED_VALUE"""),"121703754 - APPROVED")</f>
        <v>121703754 - APPROVED</v>
      </c>
      <c r="K641" s="15" t="str">
        <f>IFERROR(__xludf.DUMMYFUNCTION("""COMPUTED_VALUE"""),"GL2603431")</f>
        <v>GL2603431</v>
      </c>
      <c r="L641" s="15" t="str">
        <f>IFERROR(__xludf.DUMMYFUNCTION("""COMPUTED_VALUE"""),"Normal")</f>
        <v>Normal</v>
      </c>
      <c r="M641" s="18" t="s">
        <v>32</v>
      </c>
      <c r="N641" s="18" t="s">
        <v>28</v>
      </c>
    </row>
    <row r="642" hidden="1">
      <c r="A642" s="15" t="str">
        <f>IFERROR(__xludf.DUMMYFUNCTION("""COMPUTED_VALUE"""),"RIABR0073")</f>
        <v>RIABR0073</v>
      </c>
      <c r="B642" s="16">
        <f>IFERROR(__xludf.DUMMYFUNCTION("""COMPUTED_VALUE"""),45891.58188841435)</f>
        <v>45891.58189</v>
      </c>
      <c r="C642" s="17">
        <f>IFERROR(__xludf.DUMMYFUNCTION("""COMPUTED_VALUE"""),45896.55436533564)</f>
        <v>45896.55437</v>
      </c>
      <c r="D642" s="15" t="str">
        <f>IFERROR(__xludf.DUMMYFUNCTION("""COMPUTED_VALUE"""),"WWTP")</f>
        <v>WWTP</v>
      </c>
      <c r="E642" s="15" t="str">
        <f>IFERROR(__xludf.DUMMYFUNCTION("""COMPUTED_VALUE"""),"EJO/2025/08/56")</f>
        <v>EJO/2025/08/56</v>
      </c>
      <c r="F642" s="15" t="str">
        <f>IFERROR(__xludf.DUMMYFUNCTION("""COMPUTED_VALUE"""),"Skun Kabel Y 2.5mm Merah")</f>
        <v>Skun Kabel Y 2.5mm Merah</v>
      </c>
      <c r="G642" s="15">
        <f>IFERROR(__xludf.DUMMYFUNCTION("""COMPUTED_VALUE"""),1.0)</f>
        <v>1</v>
      </c>
      <c r="H642" s="15" t="str">
        <f>IFERROR(__xludf.DUMMYFUNCTION("""COMPUTED_VALUE"""),"Pack")</f>
        <v>Pack</v>
      </c>
      <c r="I642" s="15" t="str">
        <f>IFERROR(__xludf.DUMMYFUNCTION("""COMPUTED_VALUE"""),"Deliver")</f>
        <v>Deliver</v>
      </c>
      <c r="J642" s="15" t="str">
        <f>IFERROR(__xludf.DUMMYFUNCTION("""COMPUTED_VALUE"""),"121703754 - APPROVED")</f>
        <v>121703754 - APPROVED</v>
      </c>
      <c r="K642" s="15" t="str">
        <f>IFERROR(__xludf.DUMMYFUNCTION("""COMPUTED_VALUE"""),"GL2603431")</f>
        <v>GL2603431</v>
      </c>
      <c r="L642" s="15" t="str">
        <f>IFERROR(__xludf.DUMMYFUNCTION("""COMPUTED_VALUE"""),"Normal")</f>
        <v>Normal</v>
      </c>
      <c r="M642" s="18" t="s">
        <v>32</v>
      </c>
      <c r="N642" s="18" t="s">
        <v>28</v>
      </c>
    </row>
    <row r="643" hidden="1">
      <c r="A643" s="15" t="str">
        <f>IFERROR(__xludf.DUMMYFUNCTION("""COMPUTED_VALUE"""),"RIABR0072")</f>
        <v>RIABR0072</v>
      </c>
      <c r="B643" s="16">
        <f>IFERROR(__xludf.DUMMYFUNCTION("""COMPUTED_VALUE"""),45891.58188841435)</f>
        <v>45891.58189</v>
      </c>
      <c r="C643" s="17">
        <f>IFERROR(__xludf.DUMMYFUNCTION("""COMPUTED_VALUE"""),45896.55504349537)</f>
        <v>45896.55504</v>
      </c>
      <c r="D643" s="15" t="str">
        <f>IFERROR(__xludf.DUMMYFUNCTION("""COMPUTED_VALUE"""),"WWTP")</f>
        <v>WWTP</v>
      </c>
      <c r="E643" s="15" t="str">
        <f>IFERROR(__xludf.DUMMYFUNCTION("""COMPUTED_VALUE"""),"EJO/2025/08/56")</f>
        <v>EJO/2025/08/56</v>
      </c>
      <c r="F643" s="15" t="str">
        <f>IFERROR(__xludf.DUMMYFUNCTION("""COMPUTED_VALUE"""),"Din Rel TBR")</f>
        <v>Din Rel TBR</v>
      </c>
      <c r="G643" s="15">
        <f>IFERROR(__xludf.DUMMYFUNCTION("""COMPUTED_VALUE"""),10.0)</f>
        <v>10</v>
      </c>
      <c r="H643" s="15" t="str">
        <f>IFERROR(__xludf.DUMMYFUNCTION("""COMPUTED_VALUE"""),"Btg")</f>
        <v>Btg</v>
      </c>
      <c r="I643" s="15" t="str">
        <f>IFERROR(__xludf.DUMMYFUNCTION("""COMPUTED_VALUE"""),"Deliver")</f>
        <v>Deliver</v>
      </c>
      <c r="J643" s="15" t="str">
        <f>IFERROR(__xludf.DUMMYFUNCTION("""COMPUTED_VALUE"""),"-")</f>
        <v>-</v>
      </c>
      <c r="K643" s="15" t="str">
        <f>IFERROR(__xludf.DUMMYFUNCTION("""COMPUTED_VALUE"""),"-")</f>
        <v>-</v>
      </c>
      <c r="L643" s="15" t="str">
        <f>IFERROR(__xludf.DUMMYFUNCTION("""COMPUTED_VALUE"""),"Normal")</f>
        <v>Normal</v>
      </c>
      <c r="M643" s="18" t="s">
        <v>32</v>
      </c>
      <c r="N643" s="18" t="s">
        <v>28</v>
      </c>
    </row>
    <row r="644" hidden="1">
      <c r="A644" s="15" t="str">
        <f>IFERROR(__xludf.DUMMYFUNCTION("""COMPUTED_VALUE"""),"RIABR0071")</f>
        <v>RIABR0071</v>
      </c>
      <c r="B644" s="16">
        <f>IFERROR(__xludf.DUMMYFUNCTION("""COMPUTED_VALUE"""),45891.58188841435)</f>
        <v>45891.58189</v>
      </c>
      <c r="C644" s="17">
        <f>IFERROR(__xludf.DUMMYFUNCTION("""COMPUTED_VALUE"""),45896.5557759838)</f>
        <v>45896.55578</v>
      </c>
      <c r="D644" s="15" t="str">
        <f>IFERROR(__xludf.DUMMYFUNCTION("""COMPUTED_VALUE"""),"WWTP")</f>
        <v>WWTP</v>
      </c>
      <c r="E644" s="15" t="str">
        <f>IFERROR(__xludf.DUMMYFUNCTION("""COMPUTED_VALUE"""),"EJO/2025/08/56")</f>
        <v>EJO/2025/08/56</v>
      </c>
      <c r="F644" s="15" t="str">
        <f>IFERROR(__xludf.DUMMYFUNCTION("""COMPUTED_VALUE"""),"Stopper Terminal TBR20")</f>
        <v>Stopper Terminal TBR20</v>
      </c>
      <c r="G644" s="15">
        <f>IFERROR(__xludf.DUMMYFUNCTION("""COMPUTED_VALUE"""),25.0)</f>
        <v>25</v>
      </c>
      <c r="H644" s="15" t="str">
        <f>IFERROR(__xludf.DUMMYFUNCTION("""COMPUTED_VALUE"""),"Pcs")</f>
        <v>Pcs</v>
      </c>
      <c r="I644" s="15" t="str">
        <f>IFERROR(__xludf.DUMMYFUNCTION("""COMPUTED_VALUE"""),"Deliver")</f>
        <v>Deliver</v>
      </c>
      <c r="J644" s="15" t="str">
        <f>IFERROR(__xludf.DUMMYFUNCTION("""COMPUTED_VALUE"""),"121703825 - APPROVED")</f>
        <v>121703825 - APPROVED</v>
      </c>
      <c r="K644" s="15" t="str">
        <f>IFERROR(__xludf.DUMMYFUNCTION("""COMPUTED_VALUE"""),"GL2603431")</f>
        <v>GL2603431</v>
      </c>
      <c r="L644" s="15" t="str">
        <f>IFERROR(__xludf.DUMMYFUNCTION("""COMPUTED_VALUE"""),"Normal")</f>
        <v>Normal</v>
      </c>
      <c r="M644" s="18" t="s">
        <v>32</v>
      </c>
      <c r="N644" s="18" t="s">
        <v>28</v>
      </c>
    </row>
    <row r="645" hidden="1">
      <c r="A645" s="15" t="str">
        <f>IFERROR(__xludf.DUMMYFUNCTION("""COMPUTED_VALUE"""),"RIABR0070")</f>
        <v>RIABR0070</v>
      </c>
      <c r="B645" s="16">
        <f>IFERROR(__xludf.DUMMYFUNCTION("""COMPUTED_VALUE"""),45891.58188841435)</f>
        <v>45891.58189</v>
      </c>
      <c r="C645" s="17">
        <f>IFERROR(__xludf.DUMMYFUNCTION("""COMPUTED_VALUE"""),45896.556805671295)</f>
        <v>45896.55681</v>
      </c>
      <c r="D645" s="15" t="str">
        <f>IFERROR(__xludf.DUMMYFUNCTION("""COMPUTED_VALUE"""),"WWTP")</f>
        <v>WWTP</v>
      </c>
      <c r="E645" s="15" t="str">
        <f>IFERROR(__xludf.DUMMYFUNCTION("""COMPUTED_VALUE"""),"EJO/2025/08/56")</f>
        <v>EJO/2025/08/56</v>
      </c>
      <c r="F645" s="15" t="str">
        <f>IFERROR(__xludf.DUMMYFUNCTION("""COMPUTED_VALUE"""),"End Plate TBR20")</f>
        <v>End Plate TBR20</v>
      </c>
      <c r="G645" s="15">
        <f>IFERROR(__xludf.DUMMYFUNCTION("""COMPUTED_VALUE"""),100.0)</f>
        <v>100</v>
      </c>
      <c r="H645" s="15" t="str">
        <f>IFERROR(__xludf.DUMMYFUNCTION("""COMPUTED_VALUE"""),"Pcs")</f>
        <v>Pcs</v>
      </c>
      <c r="I645" s="15" t="str">
        <f>IFERROR(__xludf.DUMMYFUNCTION("""COMPUTED_VALUE"""),"Deliver")</f>
        <v>Deliver</v>
      </c>
      <c r="J645" s="15" t="str">
        <f>IFERROR(__xludf.DUMMYFUNCTION("""COMPUTED_VALUE"""),"121704043 - APPROVED")</f>
        <v>121704043 - APPROVED</v>
      </c>
      <c r="K645" s="15" t="str">
        <f>IFERROR(__xludf.DUMMYFUNCTION("""COMPUTED_VALUE"""),"GL2604490")</f>
        <v>GL2604490</v>
      </c>
      <c r="L645" s="15" t="str">
        <f>IFERROR(__xludf.DUMMYFUNCTION("""COMPUTED_VALUE"""),"Normal")</f>
        <v>Normal</v>
      </c>
      <c r="M645" s="18" t="s">
        <v>32</v>
      </c>
      <c r="N645" s="18" t="s">
        <v>28</v>
      </c>
    </row>
    <row r="646" hidden="1">
      <c r="A646" s="15" t="str">
        <f>IFERROR(__xludf.DUMMYFUNCTION("""COMPUTED_VALUE"""),"RIABR0069")</f>
        <v>RIABR0069</v>
      </c>
      <c r="B646" s="16">
        <f>IFERROR(__xludf.DUMMYFUNCTION("""COMPUTED_VALUE"""),45891.58188841435)</f>
        <v>45891.58189</v>
      </c>
      <c r="C646" s="17">
        <f>IFERROR(__xludf.DUMMYFUNCTION("""COMPUTED_VALUE"""),45896.55741896991)</f>
        <v>45896.55742</v>
      </c>
      <c r="D646" s="15" t="str">
        <f>IFERROR(__xludf.DUMMYFUNCTION("""COMPUTED_VALUE"""),"WWTP")</f>
        <v>WWTP</v>
      </c>
      <c r="E646" s="15" t="str">
        <f>IFERROR(__xludf.DUMMYFUNCTION("""COMPUTED_VALUE"""),"EJO/2025/08/56")</f>
        <v>EJO/2025/08/56</v>
      </c>
      <c r="F646" s="15" t="str">
        <f>IFERROR(__xludf.DUMMYFUNCTION("""COMPUTED_VALUE"""),"Terminal Block TBR20")</f>
        <v>Terminal Block TBR20</v>
      </c>
      <c r="G646" s="15">
        <f>IFERROR(__xludf.DUMMYFUNCTION("""COMPUTED_VALUE"""),1.0)</f>
        <v>1</v>
      </c>
      <c r="H646" s="15" t="str">
        <f>IFERROR(__xludf.DUMMYFUNCTION("""COMPUTED_VALUE"""),"Pack")</f>
        <v>Pack</v>
      </c>
      <c r="I646" s="15" t="str">
        <f>IFERROR(__xludf.DUMMYFUNCTION("""COMPUTED_VALUE"""),"Deliver")</f>
        <v>Deliver</v>
      </c>
      <c r="J646" s="15" t="str">
        <f>IFERROR(__xludf.DUMMYFUNCTION("""COMPUTED_VALUE"""),"121703757 - APPROVED")</f>
        <v>121703757 - APPROVED</v>
      </c>
      <c r="K646" s="15" t="str">
        <f>IFERROR(__xludf.DUMMYFUNCTION("""COMPUTED_VALUE"""),"GL2603431")</f>
        <v>GL2603431</v>
      </c>
      <c r="L646" s="15" t="str">
        <f>IFERROR(__xludf.DUMMYFUNCTION("""COMPUTED_VALUE"""),"Normal")</f>
        <v>Normal</v>
      </c>
      <c r="M646" s="18" t="s">
        <v>32</v>
      </c>
      <c r="N646" s="18" t="s">
        <v>28</v>
      </c>
    </row>
    <row r="647" hidden="1">
      <c r="A647" s="15" t="str">
        <f>IFERROR(__xludf.DUMMYFUNCTION("""COMPUTED_VALUE"""),"MRNBR0052")</f>
        <v>MRNBR0052</v>
      </c>
      <c r="B647" s="16">
        <f>IFERROR(__xludf.DUMMYFUNCTION("""COMPUTED_VALUE"""),45894.93864987268)</f>
        <v>45894.93865</v>
      </c>
      <c r="C647" s="17">
        <f>IFERROR(__xludf.DUMMYFUNCTION("""COMPUTED_VALUE"""),45896.56086309028)</f>
        <v>45896.56086</v>
      </c>
      <c r="D647" s="15" t="str">
        <f>IFERROR(__xludf.DUMMYFUNCTION("""COMPUTED_VALUE"""),"pintu produksi")</f>
        <v>pintu produksi</v>
      </c>
      <c r="E647" s="15" t="str">
        <f>IFERROR(__xludf.DUMMYFUNCTION("""COMPUTED_VALUE"""),"EJO/2025/08/107")</f>
        <v>EJO/2025/08/107</v>
      </c>
      <c r="F647" s="15" t="str">
        <f>IFERROR(__xludf.DUMMYFUNCTION("""COMPUTED_VALUE"""),"Slot pintu")</f>
        <v>Slot pintu</v>
      </c>
      <c r="G647" s="15">
        <f>IFERROR(__xludf.DUMMYFUNCTION("""COMPUTED_VALUE"""),2.0)</f>
        <v>2</v>
      </c>
      <c r="H647" s="15" t="str">
        <f>IFERROR(__xludf.DUMMYFUNCTION("""COMPUTED_VALUE"""),"pcs")</f>
        <v>pcs</v>
      </c>
      <c r="I647" s="15" t="str">
        <f>IFERROR(__xludf.DUMMYFUNCTION("""COMPUTED_VALUE"""),"Deliver")</f>
        <v>Deliver</v>
      </c>
      <c r="J647" s="15" t="str">
        <f>IFERROR(__xludf.DUMMYFUNCTION("""COMPUTED_VALUE"""),"-")</f>
        <v>-</v>
      </c>
      <c r="K647" s="15" t="str">
        <f>IFERROR(__xludf.DUMMYFUNCTION("""COMPUTED_VALUE"""),"-")</f>
        <v>-</v>
      </c>
      <c r="L647" s="15" t="str">
        <f>IFERROR(__xludf.DUMMYFUNCTION("""COMPUTED_VALUE"""),"Normal")</f>
        <v>Normal</v>
      </c>
      <c r="M647" s="18" t="s">
        <v>48</v>
      </c>
      <c r="N647" s="18" t="s">
        <v>28</v>
      </c>
    </row>
    <row r="648" hidden="1">
      <c r="A648" s="15" t="str">
        <f>IFERROR(__xludf.DUMMYFUNCTION("""COMPUTED_VALUE"""),"MRNBR0051")</f>
        <v>MRNBR0051</v>
      </c>
      <c r="B648" s="16">
        <f>IFERROR(__xludf.DUMMYFUNCTION("""COMPUTED_VALUE"""),45894.91257525463)</f>
        <v>45894.91258</v>
      </c>
      <c r="C648" s="17">
        <f>IFERROR(__xludf.DUMMYFUNCTION("""COMPUTED_VALUE"""),45896.66490251157)</f>
        <v>45896.6649</v>
      </c>
      <c r="D648" s="15" t="str">
        <f>IFERROR(__xludf.DUMMYFUNCTION("""COMPUTED_VALUE"""),"PW gen")</f>
        <v>PW gen</v>
      </c>
      <c r="E648" s="15" t="str">
        <f>IFERROR(__xludf.DUMMYFUNCTION("""COMPUTED_VALUE"""),"EJO/2028/08/133")</f>
        <v>EJO/2028/08/133</v>
      </c>
      <c r="F648" s="15" t="str">
        <f>IFERROR(__xludf.DUMMYFUNCTION("""COMPUTED_VALUE"""),"PG tanki softener")</f>
        <v>PG tanki softener</v>
      </c>
      <c r="G648" s="15">
        <f>IFERROR(__xludf.DUMMYFUNCTION("""COMPUTED_VALUE"""),2.0)</f>
        <v>2</v>
      </c>
      <c r="H648" s="15" t="str">
        <f>IFERROR(__xludf.DUMMYFUNCTION("""COMPUTED_VALUE"""),"pcs")</f>
        <v>pcs</v>
      </c>
      <c r="I648" s="15" t="str">
        <f>IFERROR(__xludf.DUMMYFUNCTION("""COMPUTED_VALUE"""),"Deliver")</f>
        <v>Deliver</v>
      </c>
      <c r="J648" s="15" t="str">
        <f>IFERROR(__xludf.DUMMYFUNCTION("""COMPUTED_VALUE"""),"-")</f>
        <v>-</v>
      </c>
      <c r="K648" s="15" t="str">
        <f>IFERROR(__xludf.DUMMYFUNCTION("""COMPUTED_VALUE"""),"-")</f>
        <v>-</v>
      </c>
      <c r="L648" s="15" t="str">
        <f>IFERROR(__xludf.DUMMYFUNCTION("""COMPUTED_VALUE"""),"Normal")</f>
        <v>Normal</v>
      </c>
      <c r="M648" s="18" t="s">
        <v>48</v>
      </c>
      <c r="N648" s="18" t="s">
        <v>28</v>
      </c>
    </row>
    <row r="649" hidden="1">
      <c r="A649" s="15" t="str">
        <f>IFERROR(__xludf.DUMMYFUNCTION("""COMPUTED_VALUE"""),"RIABR0064")</f>
        <v>RIABR0064</v>
      </c>
      <c r="B649" s="16">
        <f>IFERROR(__xludf.DUMMYFUNCTION("""COMPUTED_VALUE"""),45891.58188841435)</f>
        <v>45891.58189</v>
      </c>
      <c r="C649" s="17">
        <f>IFERROR(__xludf.DUMMYFUNCTION("""COMPUTED_VALUE"""),45896.66521804398)</f>
        <v>45896.66522</v>
      </c>
      <c r="D649" s="15" t="str">
        <f>IFERROR(__xludf.DUMMYFUNCTION("""COMPUTED_VALUE"""),"WWTP")</f>
        <v>WWTP</v>
      </c>
      <c r="E649" s="15" t="str">
        <f>IFERROR(__xludf.DUMMYFUNCTION("""COMPUTED_VALUE"""),"EJO/2025/08/56")</f>
        <v>EJO/2025/08/56</v>
      </c>
      <c r="F649" s="15" t="str">
        <f>IFERROR(__xludf.DUMMYFUNCTION("""COMPUTED_VALUE"""),"TOR LRD09")</f>
        <v>TOR LRD09</v>
      </c>
      <c r="G649" s="15">
        <f>IFERROR(__xludf.DUMMYFUNCTION("""COMPUTED_VALUE"""),9.0)</f>
        <v>9</v>
      </c>
      <c r="H649" s="15" t="str">
        <f>IFERROR(__xludf.DUMMYFUNCTION("""COMPUTED_VALUE"""),"Pcs")</f>
        <v>Pcs</v>
      </c>
      <c r="I649" s="15" t="str">
        <f>IFERROR(__xludf.DUMMYFUNCTION("""COMPUTED_VALUE"""),"Deliver")</f>
        <v>Deliver</v>
      </c>
      <c r="J649" s="15" t="str">
        <f>IFERROR(__xludf.DUMMYFUNCTION("""COMPUTED_VALUE"""),"-")</f>
        <v>-</v>
      </c>
      <c r="K649" s="15" t="str">
        <f>IFERROR(__xludf.DUMMYFUNCTION("""COMPUTED_VALUE"""),"-")</f>
        <v>-</v>
      </c>
      <c r="L649" s="15" t="str">
        <f>IFERROR(__xludf.DUMMYFUNCTION("""COMPUTED_VALUE"""),"Normal")</f>
        <v>Normal</v>
      </c>
      <c r="M649" s="18" t="s">
        <v>32</v>
      </c>
      <c r="N649" s="18" t="s">
        <v>28</v>
      </c>
    </row>
    <row r="650" hidden="1">
      <c r="A650" s="15" t="str">
        <f>IFERROR(__xludf.DUMMYFUNCTION("""COMPUTED_VALUE"""),"RIABR0063")</f>
        <v>RIABR0063</v>
      </c>
      <c r="B650" s="16">
        <f>IFERROR(__xludf.DUMMYFUNCTION("""COMPUTED_VALUE"""),45891.58188841435)</f>
        <v>45891.58189</v>
      </c>
      <c r="C650" s="17">
        <f>IFERROR(__xludf.DUMMYFUNCTION("""COMPUTED_VALUE"""),45896.66536791666)</f>
        <v>45896.66537</v>
      </c>
      <c r="D650" s="15" t="str">
        <f>IFERROR(__xludf.DUMMYFUNCTION("""COMPUTED_VALUE"""),"WWTP")</f>
        <v>WWTP</v>
      </c>
      <c r="E650" s="15" t="str">
        <f>IFERROR(__xludf.DUMMYFUNCTION("""COMPUTED_VALUE"""),"EJO/2025/08/56")</f>
        <v>EJO/2025/08/56</v>
      </c>
      <c r="F650" s="15" t="str">
        <f>IFERROR(__xludf.DUMMYFUNCTION("""COMPUTED_VALUE"""),"Kontaktor LC1D12M7 220VAC")</f>
        <v>Kontaktor LC1D12M7 220VAC</v>
      </c>
      <c r="G650" s="15">
        <f>IFERROR(__xludf.DUMMYFUNCTION("""COMPUTED_VALUE"""),9.0)</f>
        <v>9</v>
      </c>
      <c r="H650" s="15" t="str">
        <f>IFERROR(__xludf.DUMMYFUNCTION("""COMPUTED_VALUE"""),"Pcs")</f>
        <v>Pcs</v>
      </c>
      <c r="I650" s="15" t="str">
        <f>IFERROR(__xludf.DUMMYFUNCTION("""COMPUTED_VALUE"""),"Deliver")</f>
        <v>Deliver</v>
      </c>
      <c r="J650" s="15" t="str">
        <f>IFERROR(__xludf.DUMMYFUNCTION("""COMPUTED_VALUE"""),"-")</f>
        <v>-</v>
      </c>
      <c r="K650" s="15" t="str">
        <f>IFERROR(__xludf.DUMMYFUNCTION("""COMPUTED_VALUE"""),"-")</f>
        <v>-</v>
      </c>
      <c r="L650" s="15" t="str">
        <f>IFERROR(__xludf.DUMMYFUNCTION("""COMPUTED_VALUE"""),"Normal")</f>
        <v>Normal</v>
      </c>
      <c r="M650" s="18" t="s">
        <v>32</v>
      </c>
      <c r="N650" s="18" t="s">
        <v>28</v>
      </c>
    </row>
    <row r="651" hidden="1">
      <c r="A651" s="15" t="str">
        <f>IFERROR(__xludf.DUMMYFUNCTION("""COMPUTED_VALUE"""),"RIABR0062")</f>
        <v>RIABR0062</v>
      </c>
      <c r="B651" s="16">
        <f>IFERROR(__xludf.DUMMYFUNCTION("""COMPUTED_VALUE"""),45891.58188841435)</f>
        <v>45891.58189</v>
      </c>
      <c r="C651" s="17">
        <f>IFERROR(__xludf.DUMMYFUNCTION("""COMPUTED_VALUE"""),45896.665553796294)</f>
        <v>45896.66555</v>
      </c>
      <c r="D651" s="15" t="str">
        <f>IFERROR(__xludf.DUMMYFUNCTION("""COMPUTED_VALUE"""),"WWTP")</f>
        <v>WWTP</v>
      </c>
      <c r="E651" s="15" t="str">
        <f>IFERROR(__xludf.DUMMYFUNCTION("""COMPUTED_VALUE"""),"EJO/2025/08/56")</f>
        <v>EJO/2025/08/56</v>
      </c>
      <c r="F651" s="15" t="str">
        <f>IFERROR(__xludf.DUMMYFUNCTION("""COMPUTED_VALUE"""),"MCB 1P 4A")</f>
        <v>MCB 1P 4A</v>
      </c>
      <c r="G651" s="15">
        <f>IFERROR(__xludf.DUMMYFUNCTION("""COMPUTED_VALUE"""),3.0)</f>
        <v>3</v>
      </c>
      <c r="H651" s="15" t="str">
        <f>IFERROR(__xludf.DUMMYFUNCTION("""COMPUTED_VALUE"""),"Pcs")</f>
        <v>Pcs</v>
      </c>
      <c r="I651" s="15" t="str">
        <f>IFERROR(__xludf.DUMMYFUNCTION("""COMPUTED_VALUE"""),"Deliver")</f>
        <v>Deliver</v>
      </c>
      <c r="J651" s="15" t="str">
        <f>IFERROR(__xludf.DUMMYFUNCTION("""COMPUTED_VALUE"""),"-")</f>
        <v>-</v>
      </c>
      <c r="K651" s="15" t="str">
        <f>IFERROR(__xludf.DUMMYFUNCTION("""COMPUTED_VALUE"""),"-")</f>
        <v>-</v>
      </c>
      <c r="L651" s="15" t="str">
        <f>IFERROR(__xludf.DUMMYFUNCTION("""COMPUTED_VALUE"""),"Normal")</f>
        <v>Normal</v>
      </c>
      <c r="M651" s="18" t="s">
        <v>32</v>
      </c>
      <c r="N651" s="18" t="s">
        <v>28</v>
      </c>
    </row>
    <row r="652" hidden="1">
      <c r="A652" s="15" t="str">
        <f>IFERROR(__xludf.DUMMYFUNCTION("""COMPUTED_VALUE"""),"RIABR0061")</f>
        <v>RIABR0061</v>
      </c>
      <c r="B652" s="16">
        <f>IFERROR(__xludf.DUMMYFUNCTION("""COMPUTED_VALUE"""),45891.58188841435)</f>
        <v>45891.58189</v>
      </c>
      <c r="C652" s="17">
        <f>IFERROR(__xludf.DUMMYFUNCTION("""COMPUTED_VALUE"""),45896.66571821759)</f>
        <v>45896.66572</v>
      </c>
      <c r="D652" s="15" t="str">
        <f>IFERROR(__xludf.DUMMYFUNCTION("""COMPUTED_VALUE"""),"WWTP")</f>
        <v>WWTP</v>
      </c>
      <c r="E652" s="15" t="str">
        <f>IFERROR(__xludf.DUMMYFUNCTION("""COMPUTED_VALUE"""),"EJO/2025/08/56")</f>
        <v>EJO/2025/08/56</v>
      </c>
      <c r="F652" s="15" t="str">
        <f>IFERROR(__xludf.DUMMYFUNCTION("""COMPUTED_VALUE"""),"MCB 1P 6A")</f>
        <v>MCB 1P 6A</v>
      </c>
      <c r="G652" s="15">
        <f>IFERROR(__xludf.DUMMYFUNCTION("""COMPUTED_VALUE"""),2.0)</f>
        <v>2</v>
      </c>
      <c r="H652" s="15" t="str">
        <f>IFERROR(__xludf.DUMMYFUNCTION("""COMPUTED_VALUE"""),"Pcs")</f>
        <v>Pcs</v>
      </c>
      <c r="I652" s="15" t="str">
        <f>IFERROR(__xludf.DUMMYFUNCTION("""COMPUTED_VALUE"""),"Deliver")</f>
        <v>Deliver</v>
      </c>
      <c r="J652" s="15" t="str">
        <f>IFERROR(__xludf.DUMMYFUNCTION("""COMPUTED_VALUE"""),"-")</f>
        <v>-</v>
      </c>
      <c r="K652" s="15" t="str">
        <f>IFERROR(__xludf.DUMMYFUNCTION("""COMPUTED_VALUE"""),"-")</f>
        <v>-</v>
      </c>
      <c r="L652" s="15" t="str">
        <f>IFERROR(__xludf.DUMMYFUNCTION("""COMPUTED_VALUE"""),"Normal")</f>
        <v>Normal</v>
      </c>
      <c r="M652" s="18" t="s">
        <v>32</v>
      </c>
      <c r="N652" s="18" t="s">
        <v>28</v>
      </c>
    </row>
    <row r="653" hidden="1">
      <c r="A653" s="15" t="str">
        <f>IFERROR(__xludf.DUMMYFUNCTION("""COMPUTED_VALUE"""),"RIABR0060")</f>
        <v>RIABR0060</v>
      </c>
      <c r="B653" s="16">
        <f>IFERROR(__xludf.DUMMYFUNCTION("""COMPUTED_VALUE"""),45891.58188841435)</f>
        <v>45891.58189</v>
      </c>
      <c r="C653" s="17">
        <f>IFERROR(__xludf.DUMMYFUNCTION("""COMPUTED_VALUE"""),45896.66588100694)</f>
        <v>45896.66588</v>
      </c>
      <c r="D653" s="15" t="str">
        <f>IFERROR(__xludf.DUMMYFUNCTION("""COMPUTED_VALUE"""),"WWTP")</f>
        <v>WWTP</v>
      </c>
      <c r="E653" s="15" t="str">
        <f>IFERROR(__xludf.DUMMYFUNCTION("""COMPUTED_VALUE"""),"EJO/2025/08/56")</f>
        <v>EJO/2025/08/56</v>
      </c>
      <c r="F653" s="15" t="str">
        <f>IFERROR(__xludf.DUMMYFUNCTION("""COMPUTED_VALUE"""),"MCB 1P 10A")</f>
        <v>MCB 1P 10A</v>
      </c>
      <c r="G653" s="15">
        <f>IFERROR(__xludf.DUMMYFUNCTION("""COMPUTED_VALUE"""),3.0)</f>
        <v>3</v>
      </c>
      <c r="H653" s="15" t="str">
        <f>IFERROR(__xludf.DUMMYFUNCTION("""COMPUTED_VALUE"""),"Pcs")</f>
        <v>Pcs</v>
      </c>
      <c r="I653" s="15" t="str">
        <f>IFERROR(__xludf.DUMMYFUNCTION("""COMPUTED_VALUE"""),"Deliver")</f>
        <v>Deliver</v>
      </c>
      <c r="J653" s="15" t="str">
        <f>IFERROR(__xludf.DUMMYFUNCTION("""COMPUTED_VALUE"""),"-")</f>
        <v>-</v>
      </c>
      <c r="K653" s="15" t="str">
        <f>IFERROR(__xludf.DUMMYFUNCTION("""COMPUTED_VALUE"""),"-")</f>
        <v>-</v>
      </c>
      <c r="L653" s="15" t="str">
        <f>IFERROR(__xludf.DUMMYFUNCTION("""COMPUTED_VALUE"""),"Normal")</f>
        <v>Normal</v>
      </c>
      <c r="M653" s="18" t="s">
        <v>32</v>
      </c>
      <c r="N653" s="18" t="s">
        <v>28</v>
      </c>
    </row>
    <row r="654" hidden="1">
      <c r="A654" s="15" t="str">
        <f>IFERROR(__xludf.DUMMYFUNCTION("""COMPUTED_VALUE"""),"RIABR0059")</f>
        <v>RIABR0059</v>
      </c>
      <c r="B654" s="16">
        <f>IFERROR(__xludf.DUMMYFUNCTION("""COMPUTED_VALUE"""),45891.58188841435)</f>
        <v>45891.58189</v>
      </c>
      <c r="C654" s="17">
        <f>IFERROR(__xludf.DUMMYFUNCTION("""COMPUTED_VALUE"""),45896.66603800926)</f>
        <v>45896.66604</v>
      </c>
      <c r="D654" s="15" t="str">
        <f>IFERROR(__xludf.DUMMYFUNCTION("""COMPUTED_VALUE"""),"WWTP")</f>
        <v>WWTP</v>
      </c>
      <c r="E654" s="15" t="str">
        <f>IFERROR(__xludf.DUMMYFUNCTION("""COMPUTED_VALUE"""),"EJO/2025/08/56")</f>
        <v>EJO/2025/08/56</v>
      </c>
      <c r="F654" s="15" t="str">
        <f>IFERROR(__xludf.DUMMYFUNCTION("""COMPUTED_VALUE"""),"MCB 3P 6A")</f>
        <v>MCB 3P 6A</v>
      </c>
      <c r="G654" s="15">
        <f>IFERROR(__xludf.DUMMYFUNCTION("""COMPUTED_VALUE"""),5.0)</f>
        <v>5</v>
      </c>
      <c r="H654" s="15" t="str">
        <f>IFERROR(__xludf.DUMMYFUNCTION("""COMPUTED_VALUE"""),"Pcs")</f>
        <v>Pcs</v>
      </c>
      <c r="I654" s="15" t="str">
        <f>IFERROR(__xludf.DUMMYFUNCTION("""COMPUTED_VALUE"""),"Deliver")</f>
        <v>Deliver</v>
      </c>
      <c r="J654" s="15" t="str">
        <f>IFERROR(__xludf.DUMMYFUNCTION("""COMPUTED_VALUE"""),"-")</f>
        <v>-</v>
      </c>
      <c r="K654" s="15" t="str">
        <f>IFERROR(__xludf.DUMMYFUNCTION("""COMPUTED_VALUE"""),"-")</f>
        <v>-</v>
      </c>
      <c r="L654" s="15" t="str">
        <f>IFERROR(__xludf.DUMMYFUNCTION("""COMPUTED_VALUE"""),"Normal")</f>
        <v>Normal</v>
      </c>
      <c r="M654" s="18" t="s">
        <v>32</v>
      </c>
      <c r="N654" s="18" t="s">
        <v>28</v>
      </c>
    </row>
    <row r="655" hidden="1">
      <c r="A655" s="15" t="str">
        <f>IFERROR(__xludf.DUMMYFUNCTION("""COMPUTED_VALUE"""),"RIABR0058")</f>
        <v>RIABR0058</v>
      </c>
      <c r="B655" s="16">
        <f>IFERROR(__xludf.DUMMYFUNCTION("""COMPUTED_VALUE"""),45891.58188841435)</f>
        <v>45891.58189</v>
      </c>
      <c r="C655" s="17">
        <f>IFERROR(__xludf.DUMMYFUNCTION("""COMPUTED_VALUE"""),45896.66621203704)</f>
        <v>45896.66621</v>
      </c>
      <c r="D655" s="15" t="str">
        <f>IFERROR(__xludf.DUMMYFUNCTION("""COMPUTED_VALUE"""),"WWTP")</f>
        <v>WWTP</v>
      </c>
      <c r="E655" s="15" t="str">
        <f>IFERROR(__xludf.DUMMYFUNCTION("""COMPUTED_VALUE"""),"EJO/2025/08/56")</f>
        <v>EJO/2025/08/56</v>
      </c>
      <c r="F655" s="15" t="str">
        <f>IFERROR(__xludf.DUMMYFUNCTION("""COMPUTED_VALUE"""),"MCB 3P 32A")</f>
        <v>MCB 3P 32A</v>
      </c>
      <c r="G655" s="15">
        <f>IFERROR(__xludf.DUMMYFUNCTION("""COMPUTED_VALUE"""),1.0)</f>
        <v>1</v>
      </c>
      <c r="H655" s="15" t="str">
        <f>IFERROR(__xludf.DUMMYFUNCTION("""COMPUTED_VALUE"""),"Pcs")</f>
        <v>Pcs</v>
      </c>
      <c r="I655" s="15" t="str">
        <f>IFERROR(__xludf.DUMMYFUNCTION("""COMPUTED_VALUE"""),"Deliver")</f>
        <v>Deliver</v>
      </c>
      <c r="J655" s="15" t="str">
        <f>IFERROR(__xludf.DUMMYFUNCTION("""COMPUTED_VALUE"""),"-")</f>
        <v>-</v>
      </c>
      <c r="K655" s="15" t="str">
        <f>IFERROR(__xludf.DUMMYFUNCTION("""COMPUTED_VALUE"""),"-")</f>
        <v>-</v>
      </c>
      <c r="L655" s="15" t="str">
        <f>IFERROR(__xludf.DUMMYFUNCTION("""COMPUTED_VALUE"""),"Normal")</f>
        <v>Normal</v>
      </c>
      <c r="M655" s="18" t="s">
        <v>32</v>
      </c>
      <c r="N655" s="18" t="s">
        <v>28</v>
      </c>
    </row>
    <row r="656" hidden="1">
      <c r="A656" s="15" t="str">
        <f>IFERROR(__xludf.DUMMYFUNCTION("""COMPUTED_VALUE"""),"MOBBR0042")</f>
        <v>MOBBR0042</v>
      </c>
      <c r="B656" s="16">
        <f>IFERROR(__xludf.DUMMYFUNCTION("""COMPUTED_VALUE"""),45895.50681996528)</f>
        <v>45895.50682</v>
      </c>
      <c r="C656" s="17">
        <f>IFERROR(__xludf.DUMMYFUNCTION("""COMPUTED_VALUE"""),45896.66713054398)</f>
        <v>45896.66713</v>
      </c>
      <c r="D656" s="15" t="str">
        <f>IFERROR(__xludf.DUMMYFUNCTION("""COMPUTED_VALUE"""),"AHU")</f>
        <v>AHU</v>
      </c>
      <c r="E656" s="15" t="str">
        <f>IFERROR(__xludf.DUMMYFUNCTION("""COMPUTED_VALUE"""),"EJO/2025/09/47")</f>
        <v>EJO/2025/09/47</v>
      </c>
      <c r="F656" s="15" t="str">
        <f>IFERROR(__xludf.DUMMYFUNCTION("""COMPUTED_VALUE"""),"Temperature Sensor")</f>
        <v>Temperature Sensor</v>
      </c>
      <c r="G656" s="15">
        <f>IFERROR(__xludf.DUMMYFUNCTION("""COMPUTED_VALUE"""),4.0)</f>
        <v>4</v>
      </c>
      <c r="H656" s="15" t="str">
        <f>IFERROR(__xludf.DUMMYFUNCTION("""COMPUTED_VALUE"""),"Pcs")</f>
        <v>Pcs</v>
      </c>
      <c r="I656" s="15" t="str">
        <f>IFERROR(__xludf.DUMMYFUNCTION("""COMPUTED_VALUE"""),"Deliver")</f>
        <v>Deliver</v>
      </c>
      <c r="J656" s="15" t="str">
        <f>IFERROR(__xludf.DUMMYFUNCTION("""COMPUTED_VALUE"""),"-")</f>
        <v>-</v>
      </c>
      <c r="K656" s="15" t="str">
        <f>IFERROR(__xludf.DUMMYFUNCTION("""COMPUTED_VALUE"""),"-")</f>
        <v>-</v>
      </c>
      <c r="L656" s="15" t="str">
        <f>IFERROR(__xludf.DUMMYFUNCTION("""COMPUTED_VALUE"""),"Normal")</f>
        <v>Normal</v>
      </c>
      <c r="M656" s="18" t="s">
        <v>31</v>
      </c>
      <c r="N656" s="18" t="s">
        <v>28</v>
      </c>
    </row>
    <row r="657" hidden="1">
      <c r="A657" s="15" t="str">
        <f>IFERROR(__xludf.DUMMYFUNCTION("""COMPUTED_VALUE"""),"SFHRO0016")</f>
        <v>SFHRO0016</v>
      </c>
      <c r="B657" s="16">
        <f>IFERROR(__xludf.DUMMYFUNCTION("""COMPUTED_VALUE"""),45896.67039060185)</f>
        <v>45896.67039</v>
      </c>
      <c r="C657" s="17">
        <f>IFERROR(__xludf.DUMMYFUNCTION("""COMPUTED_VALUE"""),45901.85455986111)</f>
        <v>45901.85456</v>
      </c>
      <c r="D657" s="15" t="str">
        <f>IFERROR(__xludf.DUMMYFUNCTION("""COMPUTED_VALUE"""),"lantai 2")</f>
        <v>lantai 2</v>
      </c>
      <c r="E657" s="15" t="str">
        <f>IFERROR(__xludf.DUMMYFUNCTION("""COMPUTED_VALUE"""),"-")</f>
        <v>-</v>
      </c>
      <c r="F657" s="15" t="str">
        <f>IFERROR(__xludf.DUMMYFUNCTION("""COMPUTED_VALUE"""),"Polyurethane (PU) Foam Sealent Spray; No Brand; LX-100; pack size 750 ml per botol")</f>
        <v>Polyurethane (PU) Foam Sealent Spray; No Brand; LX-100; pack size 750 ml per botol</v>
      </c>
      <c r="G657" s="15">
        <f>IFERROR(__xludf.DUMMYFUNCTION("""COMPUTED_VALUE"""),50.0)</f>
        <v>50</v>
      </c>
      <c r="H657" s="15" t="str">
        <f>IFERROR(__xludf.DUMMYFUNCTION("""COMPUTED_VALUE"""),"pcs")</f>
        <v>pcs</v>
      </c>
      <c r="I657" s="15" t="str">
        <f>IFERROR(__xludf.DUMMYFUNCTION("""COMPUTED_VALUE"""),"Deliver")</f>
        <v>Deliver</v>
      </c>
      <c r="J657" s="15" t="str">
        <f>IFERROR(__xludf.DUMMYFUNCTION("""COMPUTED_VALUE"""),"-")</f>
        <v>-</v>
      </c>
      <c r="K657" s="15" t="str">
        <f>IFERROR(__xludf.DUMMYFUNCTION("""COMPUTED_VALUE"""),"-")</f>
        <v>-</v>
      </c>
      <c r="L657" s="15" t="str">
        <f>IFERROR(__xludf.DUMMYFUNCTION("""COMPUTED_VALUE"""),"Normal")</f>
        <v>Normal</v>
      </c>
      <c r="M657" s="18" t="s">
        <v>27</v>
      </c>
      <c r="N657" s="18" t="s">
        <v>28</v>
      </c>
    </row>
    <row r="658" hidden="1">
      <c r="A658" s="15" t="str">
        <f>IFERROR(__xludf.DUMMYFUNCTION("""COMPUTED_VALUE"""),"RIABR0098")</f>
        <v>RIABR0098</v>
      </c>
      <c r="B658" s="16">
        <f>IFERROR(__xludf.DUMMYFUNCTION("""COMPUTED_VALUE"""),45898.545948136576)</f>
        <v>45898.54595</v>
      </c>
      <c r="C658" s="17">
        <f>IFERROR(__xludf.DUMMYFUNCTION("""COMPUTED_VALUE"""),45901.85472818287)</f>
        <v>45901.85473</v>
      </c>
      <c r="D658" s="15" t="str">
        <f>IFERROR(__xludf.DUMMYFUNCTION("""COMPUTED_VALUE"""),"Smoke Detector")</f>
        <v>Smoke Detector</v>
      </c>
      <c r="E658" s="15" t="str">
        <f>IFERROR(__xludf.DUMMYFUNCTION("""COMPUTED_VALUE"""),"-")</f>
        <v>-</v>
      </c>
      <c r="F658" s="15" t="str">
        <f>IFERROR(__xludf.DUMMYFUNCTION("""COMPUTED_VALUE"""),"Smoke Test")</f>
        <v>Smoke Test</v>
      </c>
      <c r="G658" s="15">
        <f>IFERROR(__xludf.DUMMYFUNCTION("""COMPUTED_VALUE"""),5.0)</f>
        <v>5</v>
      </c>
      <c r="H658" s="15" t="str">
        <f>IFERROR(__xludf.DUMMYFUNCTION("""COMPUTED_VALUE"""),"Pcs")</f>
        <v>Pcs</v>
      </c>
      <c r="I658" s="15" t="str">
        <f>IFERROR(__xludf.DUMMYFUNCTION("""COMPUTED_VALUE"""),"Deliver")</f>
        <v>Deliver</v>
      </c>
      <c r="J658" s="15" t="str">
        <f>IFERROR(__xludf.DUMMYFUNCTION("""COMPUTED_VALUE"""),"121703827 - APPROVED")</f>
        <v>121703827 - APPROVED</v>
      </c>
      <c r="K658" s="15" t="str">
        <f>IFERROR(__xludf.DUMMYFUNCTION("""COMPUTED_VALUE"""),"GL2603049")</f>
        <v>GL2603049</v>
      </c>
      <c r="L658" s="15" t="str">
        <f>IFERROR(__xludf.DUMMYFUNCTION("""COMPUTED_VALUE"""),"Normal")</f>
        <v>Normal</v>
      </c>
      <c r="M658" s="18" t="s">
        <v>32</v>
      </c>
      <c r="N658" s="18" t="s">
        <v>28</v>
      </c>
    </row>
    <row r="659" hidden="1">
      <c r="A659" s="15" t="str">
        <f>IFERROR(__xludf.DUMMYFUNCTION("""COMPUTED_VALUE"""),"MRNBR0063")</f>
        <v>MRNBR0063</v>
      </c>
      <c r="B659" s="16">
        <f>IFERROR(__xludf.DUMMYFUNCTION("""COMPUTED_VALUE"""),45898.27144203704)</f>
        <v>45898.27144</v>
      </c>
      <c r="C659" s="17">
        <f>IFERROR(__xludf.DUMMYFUNCTION("""COMPUTED_VALUE"""),45901.855446504625)</f>
        <v>45901.85545</v>
      </c>
      <c r="D659" s="15" t="str">
        <f>IFERROR(__xludf.DUMMYFUNCTION("""COMPUTED_VALUE"""),"Chamber WIP dan incubator")</f>
        <v>Chamber WIP dan incubator</v>
      </c>
      <c r="E659" s="15" t="str">
        <f>IFERROR(__xludf.DUMMYFUNCTION("""COMPUTED_VALUE"""),"EJO/2025/07/105")</f>
        <v>EJO/2025/07/105</v>
      </c>
      <c r="F659" s="15" t="str">
        <f>IFERROR(__xludf.DUMMYFUNCTION("""COMPUTED_VALUE"""),"Insulasi pipa tembaga")</f>
        <v>Insulasi pipa tembaga</v>
      </c>
      <c r="G659" s="15">
        <f>IFERROR(__xludf.DUMMYFUNCTION("""COMPUTED_VALUE"""),10.0)</f>
        <v>10</v>
      </c>
      <c r="H659" s="15" t="str">
        <f>IFERROR(__xludf.DUMMYFUNCTION("""COMPUTED_VALUE"""),"meter")</f>
        <v>meter</v>
      </c>
      <c r="I659" s="15" t="str">
        <f>IFERROR(__xludf.DUMMYFUNCTION("""COMPUTED_VALUE"""),"Deliver")</f>
        <v>Deliver</v>
      </c>
      <c r="J659" s="15" t="str">
        <f>IFERROR(__xludf.DUMMYFUNCTION("""COMPUTED_VALUE"""),"-")</f>
        <v>-</v>
      </c>
      <c r="K659" s="15" t="str">
        <f>IFERROR(__xludf.DUMMYFUNCTION("""COMPUTED_VALUE"""),"-")</f>
        <v>-</v>
      </c>
      <c r="L659" s="15" t="str">
        <f>IFERROR(__xludf.DUMMYFUNCTION("""COMPUTED_VALUE"""),"Normal")</f>
        <v>Normal</v>
      </c>
      <c r="M659" s="18" t="s">
        <v>48</v>
      </c>
      <c r="N659" s="18" t="s">
        <v>28</v>
      </c>
    </row>
    <row r="660" hidden="1">
      <c r="A660" s="15" t="str">
        <f>IFERROR(__xludf.DUMMYFUNCTION("""COMPUTED_VALUE"""),"MRNBR0062")</f>
        <v>MRNBR0062</v>
      </c>
      <c r="B660" s="16">
        <f>IFERROR(__xludf.DUMMYFUNCTION("""COMPUTED_VALUE"""),45898.27142380786)</f>
        <v>45898.27142</v>
      </c>
      <c r="C660" s="17">
        <f>IFERROR(__xludf.DUMMYFUNCTION("""COMPUTED_VALUE"""),45901.85639673611)</f>
        <v>45901.8564</v>
      </c>
      <c r="D660" s="15" t="str">
        <f>IFERROR(__xludf.DUMMYFUNCTION("""COMPUTED_VALUE"""),"Chamber WIP dan incubator")</f>
        <v>Chamber WIP dan incubator</v>
      </c>
      <c r="E660" s="15" t="str">
        <f>IFERROR(__xludf.DUMMYFUNCTION("""COMPUTED_VALUE"""),"EJO/2025/07/105")</f>
        <v>EJO/2025/07/105</v>
      </c>
      <c r="F660" s="15" t="str">
        <f>IFERROR(__xludf.DUMMYFUNCTION("""COMPUTED_VALUE"""),"Insulasi pipa tembaga")</f>
        <v>Insulasi pipa tembaga</v>
      </c>
      <c r="G660" s="15">
        <f>IFERROR(__xludf.DUMMYFUNCTION("""COMPUTED_VALUE"""),50.0)</f>
        <v>50</v>
      </c>
      <c r="H660" s="15" t="str">
        <f>IFERROR(__xludf.DUMMYFUNCTION("""COMPUTED_VALUE"""),"meter")</f>
        <v>meter</v>
      </c>
      <c r="I660" s="15" t="str">
        <f>IFERROR(__xludf.DUMMYFUNCTION("""COMPUTED_VALUE"""),"Deliver")</f>
        <v>Deliver</v>
      </c>
      <c r="J660" s="15" t="str">
        <f>IFERROR(__xludf.DUMMYFUNCTION("""COMPUTED_VALUE"""),"-")</f>
        <v>-</v>
      </c>
      <c r="K660" s="15" t="str">
        <f>IFERROR(__xludf.DUMMYFUNCTION("""COMPUTED_VALUE"""),"-")</f>
        <v>-</v>
      </c>
      <c r="L660" s="15" t="str">
        <f>IFERROR(__xludf.DUMMYFUNCTION("""COMPUTED_VALUE"""),"Normal")</f>
        <v>Normal</v>
      </c>
      <c r="M660" s="18" t="s">
        <v>48</v>
      </c>
      <c r="N660" s="18" t="s">
        <v>28</v>
      </c>
    </row>
    <row r="661" hidden="1">
      <c r="A661" s="15" t="str">
        <f>IFERROR(__xludf.DUMMYFUNCTION("""COMPUTED_VALUE"""),"MRNBR0061")</f>
        <v>MRNBR0061</v>
      </c>
      <c r="B661" s="16">
        <f>IFERROR(__xludf.DUMMYFUNCTION("""COMPUTED_VALUE"""),45898.27047527778)</f>
        <v>45898.27048</v>
      </c>
      <c r="C661" s="17">
        <f>IFERROR(__xludf.DUMMYFUNCTION("""COMPUTED_VALUE"""),45901.85733048611)</f>
        <v>45901.85733</v>
      </c>
      <c r="D661" s="15" t="str">
        <f>IFERROR(__xludf.DUMMYFUNCTION("""COMPUTED_VALUE"""),"Chamber WIP dan incubator")</f>
        <v>Chamber WIP dan incubator</v>
      </c>
      <c r="E661" s="15" t="str">
        <f>IFERROR(__xludf.DUMMYFUNCTION("""COMPUTED_VALUE"""),"EJO/2025/07/105")</f>
        <v>EJO/2025/07/105</v>
      </c>
      <c r="F661" s="15" t="str">
        <f>IFERROR(__xludf.DUMMYFUNCTION("""COMPUTED_VALUE"""),"Insulasi pipa tembaga")</f>
        <v>Insulasi pipa tembaga</v>
      </c>
      <c r="G661" s="15">
        <f>IFERROR(__xludf.DUMMYFUNCTION("""COMPUTED_VALUE"""),50.0)</f>
        <v>50</v>
      </c>
      <c r="H661" s="15" t="str">
        <f>IFERROR(__xludf.DUMMYFUNCTION("""COMPUTED_VALUE"""),"meter")</f>
        <v>meter</v>
      </c>
      <c r="I661" s="15" t="str">
        <f>IFERROR(__xludf.DUMMYFUNCTION("""COMPUTED_VALUE"""),"Deliver")</f>
        <v>Deliver</v>
      </c>
      <c r="J661" s="15" t="str">
        <f>IFERROR(__xludf.DUMMYFUNCTION("""COMPUTED_VALUE"""),"-")</f>
        <v>-</v>
      </c>
      <c r="K661" s="15" t="str">
        <f>IFERROR(__xludf.DUMMYFUNCTION("""COMPUTED_VALUE"""),"-")</f>
        <v>-</v>
      </c>
      <c r="L661" s="15" t="str">
        <f>IFERROR(__xludf.DUMMYFUNCTION("""COMPUTED_VALUE"""),"Normal")</f>
        <v>Normal</v>
      </c>
      <c r="M661" s="18" t="s">
        <v>48</v>
      </c>
      <c r="N661" s="18" t="s">
        <v>28</v>
      </c>
    </row>
    <row r="662" hidden="1">
      <c r="A662" s="15" t="str">
        <f>IFERROR(__xludf.DUMMYFUNCTION("""COMPUTED_VALUE"""),"MRNBR0060")</f>
        <v>MRNBR0060</v>
      </c>
      <c r="B662" s="16">
        <f>IFERROR(__xludf.DUMMYFUNCTION("""COMPUTED_VALUE"""),45898.267572696765)</f>
        <v>45898.26757</v>
      </c>
      <c r="C662" s="17">
        <f>IFERROR(__xludf.DUMMYFUNCTION("""COMPUTED_VALUE"""),45901.857557766205)</f>
        <v>45901.85756</v>
      </c>
      <c r="D662" s="15" t="str">
        <f>IFERROR(__xludf.DUMMYFUNCTION("""COMPUTED_VALUE"""),"Chamber WIP dan incubator")</f>
        <v>Chamber WIP dan incubator</v>
      </c>
      <c r="E662" s="15" t="str">
        <f>IFERROR(__xludf.DUMMYFUNCTION("""COMPUTED_VALUE"""),"EJO/2025/07/105")</f>
        <v>EJO/2025/07/105</v>
      </c>
      <c r="F662" s="15" t="str">
        <f>IFERROR(__xludf.DUMMYFUNCTION("""COMPUTED_VALUE"""),"Shock tembaga")</f>
        <v>Shock tembaga</v>
      </c>
      <c r="G662" s="15">
        <f>IFERROR(__xludf.DUMMYFUNCTION("""COMPUTED_VALUE"""),5.0)</f>
        <v>5</v>
      </c>
      <c r="H662" s="15" t="str">
        <f>IFERROR(__xludf.DUMMYFUNCTION("""COMPUTED_VALUE"""),"pcs")</f>
        <v>pcs</v>
      </c>
      <c r="I662" s="15" t="str">
        <f>IFERROR(__xludf.DUMMYFUNCTION("""COMPUTED_VALUE"""),"Deliver")</f>
        <v>Deliver</v>
      </c>
      <c r="J662" s="15" t="str">
        <f>IFERROR(__xludf.DUMMYFUNCTION("""COMPUTED_VALUE"""),"-")</f>
        <v>-</v>
      </c>
      <c r="K662" s="15" t="str">
        <f>IFERROR(__xludf.DUMMYFUNCTION("""COMPUTED_VALUE"""),"-")</f>
        <v>-</v>
      </c>
      <c r="L662" s="15" t="str">
        <f>IFERROR(__xludf.DUMMYFUNCTION("""COMPUTED_VALUE"""),"Normal")</f>
        <v>Normal</v>
      </c>
      <c r="M662" s="18" t="s">
        <v>48</v>
      </c>
      <c r="N662" s="18" t="s">
        <v>28</v>
      </c>
    </row>
    <row r="663" hidden="1">
      <c r="A663" s="15" t="str">
        <f>IFERROR(__xludf.DUMMYFUNCTION("""COMPUTED_VALUE"""),"MRNBR0059")</f>
        <v>MRNBR0059</v>
      </c>
      <c r="B663" s="16">
        <f>IFERROR(__xludf.DUMMYFUNCTION("""COMPUTED_VALUE"""),45898.26739858796)</f>
        <v>45898.2674</v>
      </c>
      <c r="C663" s="17">
        <f>IFERROR(__xludf.DUMMYFUNCTION("""COMPUTED_VALUE"""),45901.857729560186)</f>
        <v>45901.85773</v>
      </c>
      <c r="D663" s="15" t="str">
        <f>IFERROR(__xludf.DUMMYFUNCTION("""COMPUTED_VALUE"""),"Chamber WIP dan incubator")</f>
        <v>Chamber WIP dan incubator</v>
      </c>
      <c r="E663" s="15" t="str">
        <f>IFERROR(__xludf.DUMMYFUNCTION("""COMPUTED_VALUE"""),"EJO/2025/07/105")</f>
        <v>EJO/2025/07/105</v>
      </c>
      <c r="F663" s="15" t="str">
        <f>IFERROR(__xludf.DUMMYFUNCTION("""COMPUTED_VALUE"""),"Shock tembaga")</f>
        <v>Shock tembaga</v>
      </c>
      <c r="G663" s="15">
        <f>IFERROR(__xludf.DUMMYFUNCTION("""COMPUTED_VALUE"""),5.0)</f>
        <v>5</v>
      </c>
      <c r="H663" s="15" t="str">
        <f>IFERROR(__xludf.DUMMYFUNCTION("""COMPUTED_VALUE"""),"pcs")</f>
        <v>pcs</v>
      </c>
      <c r="I663" s="15" t="str">
        <f>IFERROR(__xludf.DUMMYFUNCTION("""COMPUTED_VALUE"""),"Deliver")</f>
        <v>Deliver</v>
      </c>
      <c r="J663" s="15" t="str">
        <f>IFERROR(__xludf.DUMMYFUNCTION("""COMPUTED_VALUE"""),"-")</f>
        <v>-</v>
      </c>
      <c r="K663" s="15" t="str">
        <f>IFERROR(__xludf.DUMMYFUNCTION("""COMPUTED_VALUE"""),"-")</f>
        <v>-</v>
      </c>
      <c r="L663" s="15" t="str">
        <f>IFERROR(__xludf.DUMMYFUNCTION("""COMPUTED_VALUE"""),"Normal")</f>
        <v>Normal</v>
      </c>
      <c r="M663" s="18" t="s">
        <v>48</v>
      </c>
      <c r="N663" s="18" t="s">
        <v>28</v>
      </c>
    </row>
    <row r="664" hidden="1">
      <c r="A664" s="15" t="str">
        <f>IFERROR(__xludf.DUMMYFUNCTION("""COMPUTED_VALUE"""),"MRNBR0058")</f>
        <v>MRNBR0058</v>
      </c>
      <c r="B664" s="16">
        <f>IFERROR(__xludf.DUMMYFUNCTION("""COMPUTED_VALUE"""),45898.26689313657)</f>
        <v>45898.26689</v>
      </c>
      <c r="C664" s="17">
        <f>IFERROR(__xludf.DUMMYFUNCTION("""COMPUTED_VALUE"""),45901.85787987268)</f>
        <v>45901.85788</v>
      </c>
      <c r="D664" s="15" t="str">
        <f>IFERROR(__xludf.DUMMYFUNCTION("""COMPUTED_VALUE"""),"Chamber WIP dan incubator")</f>
        <v>Chamber WIP dan incubator</v>
      </c>
      <c r="E664" s="15" t="str">
        <f>IFERROR(__xludf.DUMMYFUNCTION("""COMPUTED_VALUE"""),"EJO/2025/07/105")</f>
        <v>EJO/2025/07/105</v>
      </c>
      <c r="F664" s="15" t="str">
        <f>IFERROR(__xludf.DUMMYFUNCTION("""COMPUTED_VALUE"""),"Elbow tembaga")</f>
        <v>Elbow tembaga</v>
      </c>
      <c r="G664" s="15">
        <f>IFERROR(__xludf.DUMMYFUNCTION("""COMPUTED_VALUE"""),5.0)</f>
        <v>5</v>
      </c>
      <c r="H664" s="15" t="str">
        <f>IFERROR(__xludf.DUMMYFUNCTION("""COMPUTED_VALUE"""),"pcs")</f>
        <v>pcs</v>
      </c>
      <c r="I664" s="15" t="str">
        <f>IFERROR(__xludf.DUMMYFUNCTION("""COMPUTED_VALUE"""),"Deliver")</f>
        <v>Deliver</v>
      </c>
      <c r="J664" s="15" t="str">
        <f>IFERROR(__xludf.DUMMYFUNCTION("""COMPUTED_VALUE"""),"-")</f>
        <v>-</v>
      </c>
      <c r="K664" s="15" t="str">
        <f>IFERROR(__xludf.DUMMYFUNCTION("""COMPUTED_VALUE"""),"-")</f>
        <v>-</v>
      </c>
      <c r="L664" s="15" t="str">
        <f>IFERROR(__xludf.DUMMYFUNCTION("""COMPUTED_VALUE"""),"Normal")</f>
        <v>Normal</v>
      </c>
      <c r="M664" s="18" t="s">
        <v>48</v>
      </c>
      <c r="N664" s="18" t="s">
        <v>28</v>
      </c>
    </row>
    <row r="665" hidden="1">
      <c r="A665" s="15" t="str">
        <f>IFERROR(__xludf.DUMMYFUNCTION("""COMPUTED_VALUE"""),"MRNBR0057")</f>
        <v>MRNBR0057</v>
      </c>
      <c r="B665" s="16">
        <f>IFERROR(__xludf.DUMMYFUNCTION("""COMPUTED_VALUE"""),45898.264021840274)</f>
        <v>45898.26402</v>
      </c>
      <c r="C665" s="17">
        <f>IFERROR(__xludf.DUMMYFUNCTION("""COMPUTED_VALUE"""),45901.858689884255)</f>
        <v>45901.85869</v>
      </c>
      <c r="D665" s="15" t="str">
        <f>IFERROR(__xludf.DUMMYFUNCTION("""COMPUTED_VALUE"""),"Chamber WIP dan incubator")</f>
        <v>Chamber WIP dan incubator</v>
      </c>
      <c r="E665" s="15" t="str">
        <f>IFERROR(__xludf.DUMMYFUNCTION("""COMPUTED_VALUE"""),"EJO/2025/07/105")</f>
        <v>EJO/2025/07/105</v>
      </c>
      <c r="F665" s="15" t="str">
        <f>IFERROR(__xludf.DUMMYFUNCTION("""COMPUTED_VALUE"""),"Elbow tembaga")</f>
        <v>Elbow tembaga</v>
      </c>
      <c r="G665" s="15">
        <f>IFERROR(__xludf.DUMMYFUNCTION("""COMPUTED_VALUE"""),5.0)</f>
        <v>5</v>
      </c>
      <c r="H665" s="15" t="str">
        <f>IFERROR(__xludf.DUMMYFUNCTION("""COMPUTED_VALUE"""),"pcs")</f>
        <v>pcs</v>
      </c>
      <c r="I665" s="15" t="str">
        <f>IFERROR(__xludf.DUMMYFUNCTION("""COMPUTED_VALUE"""),"Deliver")</f>
        <v>Deliver</v>
      </c>
      <c r="J665" s="15" t="str">
        <f>IFERROR(__xludf.DUMMYFUNCTION("""COMPUTED_VALUE"""),"-")</f>
        <v>-</v>
      </c>
      <c r="K665" s="15" t="str">
        <f>IFERROR(__xludf.DUMMYFUNCTION("""COMPUTED_VALUE"""),"-")</f>
        <v>-</v>
      </c>
      <c r="L665" s="15" t="str">
        <f>IFERROR(__xludf.DUMMYFUNCTION("""COMPUTED_VALUE"""),"Normal")</f>
        <v>Normal</v>
      </c>
      <c r="M665" s="18" t="s">
        <v>48</v>
      </c>
      <c r="N665" s="18" t="s">
        <v>28</v>
      </c>
    </row>
    <row r="666" hidden="1">
      <c r="A666" s="15" t="str">
        <f>IFERROR(__xludf.DUMMYFUNCTION("""COMPUTED_VALUE"""),"MRNBR0056")</f>
        <v>MRNBR0056</v>
      </c>
      <c r="B666" s="16">
        <f>IFERROR(__xludf.DUMMYFUNCTION("""COMPUTED_VALUE"""),45898.26265208333)</f>
        <v>45898.26265</v>
      </c>
      <c r="C666" s="17">
        <f>IFERROR(__xludf.DUMMYFUNCTION("""COMPUTED_VALUE"""),45901.85888231482)</f>
        <v>45901.85888</v>
      </c>
      <c r="D666" s="15" t="str">
        <f>IFERROR(__xludf.DUMMYFUNCTION("""COMPUTED_VALUE"""),"Chamber WIP dan incubator")</f>
        <v>Chamber WIP dan incubator</v>
      </c>
      <c r="E666" s="15" t="str">
        <f>IFERROR(__xludf.DUMMYFUNCTION("""COMPUTED_VALUE"""),"EJO/2025/07/105")</f>
        <v>EJO/2025/07/105</v>
      </c>
      <c r="F666" s="15" t="str">
        <f>IFERROR(__xludf.DUMMYFUNCTION("""COMPUTED_VALUE"""),"Pipa tembaga")</f>
        <v>Pipa tembaga</v>
      </c>
      <c r="G666" s="15">
        <f>IFERROR(__xludf.DUMMYFUNCTION("""COMPUTED_VALUE"""),25.0)</f>
        <v>25</v>
      </c>
      <c r="H666" s="15" t="str">
        <f>IFERROR(__xludf.DUMMYFUNCTION("""COMPUTED_VALUE"""),"meter")</f>
        <v>meter</v>
      </c>
      <c r="I666" s="15" t="str">
        <f>IFERROR(__xludf.DUMMYFUNCTION("""COMPUTED_VALUE"""),"Deliver")</f>
        <v>Deliver</v>
      </c>
      <c r="J666" s="15" t="str">
        <f>IFERROR(__xludf.DUMMYFUNCTION("""COMPUTED_VALUE"""),"-")</f>
        <v>-</v>
      </c>
      <c r="K666" s="15" t="str">
        <f>IFERROR(__xludf.DUMMYFUNCTION("""COMPUTED_VALUE"""),"-")</f>
        <v>-</v>
      </c>
      <c r="L666" s="15" t="str">
        <f>IFERROR(__xludf.DUMMYFUNCTION("""COMPUTED_VALUE"""),"Normal")</f>
        <v>Normal</v>
      </c>
      <c r="M666" s="18" t="s">
        <v>48</v>
      </c>
      <c r="N666" s="18" t="s">
        <v>28</v>
      </c>
    </row>
    <row r="667" hidden="1">
      <c r="A667" s="15" t="str">
        <f>IFERROR(__xludf.DUMMYFUNCTION("""COMPUTED_VALUE"""),"MOBRO0060")</f>
        <v>MOBRO0060</v>
      </c>
      <c r="B667" s="16">
        <f>IFERROR(__xludf.DUMMYFUNCTION("""COMPUTED_VALUE"""),45898.39283141204)</f>
        <v>45898.39283</v>
      </c>
      <c r="C667" s="17">
        <f>IFERROR(__xludf.DUMMYFUNCTION("""COMPUTED_VALUE"""),45901.859207303234)</f>
        <v>45901.85921</v>
      </c>
      <c r="D667" s="15" t="str">
        <f>IFERROR(__xludf.DUMMYFUNCTION("""COMPUTED_VALUE"""),"Water System")</f>
        <v>Water System</v>
      </c>
      <c r="E667" s="15" t="str">
        <f>IFERROR(__xludf.DUMMYFUNCTION("""COMPUTED_VALUE"""),"-")</f>
        <v>-</v>
      </c>
      <c r="F667" s="15" t="str">
        <f>IFERROR(__xludf.DUMMYFUNCTION("""COMPUTED_VALUE"""),"PAPER RECORD YOKOGAWA; FOLDING CHART B9565AW")</f>
        <v>PAPER RECORD YOKOGAWA; FOLDING CHART B9565AW</v>
      </c>
      <c r="G667" s="15">
        <f>IFERROR(__xludf.DUMMYFUNCTION("""COMPUTED_VALUE"""),10.0)</f>
        <v>10</v>
      </c>
      <c r="H667" s="15" t="str">
        <f>IFERROR(__xludf.DUMMYFUNCTION("""COMPUTED_VALUE"""),"Pcs")</f>
        <v>Pcs</v>
      </c>
      <c r="I667" s="15" t="str">
        <f>IFERROR(__xludf.DUMMYFUNCTION("""COMPUTED_VALUE"""),"Deliver")</f>
        <v>Deliver</v>
      </c>
      <c r="J667" s="15" t="str">
        <f>IFERROR(__xludf.DUMMYFUNCTION("""COMPUTED_VALUE"""),"-")</f>
        <v>-</v>
      </c>
      <c r="K667" s="15" t="str">
        <f>IFERROR(__xludf.DUMMYFUNCTION("""COMPUTED_VALUE"""),"-")</f>
        <v>-</v>
      </c>
      <c r="L667" s="15" t="str">
        <f>IFERROR(__xludf.DUMMYFUNCTION("""COMPUTED_VALUE"""),"Normal")</f>
        <v>Normal</v>
      </c>
      <c r="M667" s="18" t="s">
        <v>31</v>
      </c>
      <c r="N667" s="18" t="s">
        <v>28</v>
      </c>
    </row>
    <row r="668" hidden="1">
      <c r="A668" s="15" t="str">
        <f>IFERROR(__xludf.DUMMYFUNCTION("""COMPUTED_VALUE"""),"SFHRO0017")</f>
        <v>SFHRO0017</v>
      </c>
      <c r="B668" s="16">
        <f>IFERROR(__xludf.DUMMYFUNCTION("""COMPUTED_VALUE"""),45901.50169790509)</f>
        <v>45901.5017</v>
      </c>
      <c r="C668" s="17">
        <f>IFERROR(__xludf.DUMMYFUNCTION("""COMPUTED_VALUE"""),45901.859390914346)</f>
        <v>45901.85939</v>
      </c>
      <c r="D668" s="15" t="str">
        <f>IFERROR(__xludf.DUMMYFUNCTION("""COMPUTED_VALUE"""),"lantai 2")</f>
        <v>lantai 2</v>
      </c>
      <c r="E668" s="15" t="str">
        <f>IFERROR(__xludf.DUMMYFUNCTION("""COMPUTED_VALUE"""),"-")</f>
        <v>-</v>
      </c>
      <c r="F668" s="15" t="str">
        <f>IFERROR(__xludf.DUMMYFUNCTION("""COMPUTED_VALUE"""),"Silicone Sealant;Silglaze;Type N10 Light Grey;pack size per pcs")</f>
        <v>Silicone Sealant;Silglaze;Type N10 Light Grey;pack size per pcs</v>
      </c>
      <c r="G668" s="15">
        <f>IFERROR(__xludf.DUMMYFUNCTION("""COMPUTED_VALUE"""),10.0)</f>
        <v>10</v>
      </c>
      <c r="H668" s="15" t="str">
        <f>IFERROR(__xludf.DUMMYFUNCTION("""COMPUTED_VALUE"""),"pcs")</f>
        <v>pcs</v>
      </c>
      <c r="I668" s="15" t="str">
        <f>IFERROR(__xludf.DUMMYFUNCTION("""COMPUTED_VALUE"""),"Deliver")</f>
        <v>Deliver</v>
      </c>
      <c r="J668" s="15" t="str">
        <f>IFERROR(__xludf.DUMMYFUNCTION("""COMPUTED_VALUE"""),"-")</f>
        <v>-</v>
      </c>
      <c r="K668" s="15" t="str">
        <f>IFERROR(__xludf.DUMMYFUNCTION("""COMPUTED_VALUE"""),"-")</f>
        <v>-</v>
      </c>
      <c r="L668" s="15" t="str">
        <f>IFERROR(__xludf.DUMMYFUNCTION("""COMPUTED_VALUE"""),"Normal")</f>
        <v>Normal</v>
      </c>
      <c r="M668" s="18" t="s">
        <v>27</v>
      </c>
      <c r="N668" s="18" t="s">
        <v>28</v>
      </c>
    </row>
    <row r="669" hidden="1">
      <c r="A669" s="15" t="str">
        <f>IFERROR(__xludf.DUMMYFUNCTION("""COMPUTED_VALUE"""),"SFHRO0018")</f>
        <v>SFHRO0018</v>
      </c>
      <c r="B669" s="16">
        <f>IFERROR(__xludf.DUMMYFUNCTION("""COMPUTED_VALUE"""),45901.50193063657)</f>
        <v>45901.50193</v>
      </c>
      <c r="C669" s="17">
        <f>IFERROR(__xludf.DUMMYFUNCTION("""COMPUTED_VALUE"""),45901.85957498842)</f>
        <v>45901.85957</v>
      </c>
      <c r="D669" s="15" t="str">
        <f>IFERROR(__xludf.DUMMYFUNCTION("""COMPUTED_VALUE"""),"lantai 2")</f>
        <v>lantai 2</v>
      </c>
      <c r="E669" s="15" t="str">
        <f>IFERROR(__xludf.DUMMYFUNCTION("""COMPUTED_VALUE"""),"-")</f>
        <v>-</v>
      </c>
      <c r="F669" s="15" t="str">
        <f>IFERROR(__xludf.DUMMYFUNCTION("""COMPUTED_VALUE"""),"Silicone Sealant, Silglaze, Type N10 Grey, pack size per pcs")</f>
        <v>Silicone Sealant, Silglaze, Type N10 Grey, pack size per pcs</v>
      </c>
      <c r="G669" s="15">
        <f>IFERROR(__xludf.DUMMYFUNCTION("""COMPUTED_VALUE"""),10.0)</f>
        <v>10</v>
      </c>
      <c r="H669" s="15" t="str">
        <f>IFERROR(__xludf.DUMMYFUNCTION("""COMPUTED_VALUE"""),"pcs")</f>
        <v>pcs</v>
      </c>
      <c r="I669" s="15" t="str">
        <f>IFERROR(__xludf.DUMMYFUNCTION("""COMPUTED_VALUE"""),"Deliver")</f>
        <v>Deliver</v>
      </c>
      <c r="J669" s="15" t="str">
        <f>IFERROR(__xludf.DUMMYFUNCTION("""COMPUTED_VALUE"""),"-")</f>
        <v>-</v>
      </c>
      <c r="K669" s="15" t="str">
        <f>IFERROR(__xludf.DUMMYFUNCTION("""COMPUTED_VALUE"""),"-")</f>
        <v>-</v>
      </c>
      <c r="L669" s="15" t="str">
        <f>IFERROR(__xludf.DUMMYFUNCTION("""COMPUTED_VALUE"""),"Normal")</f>
        <v>Normal</v>
      </c>
      <c r="M669" s="18" t="s">
        <v>27</v>
      </c>
      <c r="N669" s="18" t="s">
        <v>28</v>
      </c>
    </row>
    <row r="670" hidden="1">
      <c r="A670" s="15" t="str">
        <f>IFERROR(__xludf.DUMMYFUNCTION("""COMPUTED_VALUE"""),"SFHRO0019")</f>
        <v>SFHRO0019</v>
      </c>
      <c r="B670" s="16">
        <f>IFERROR(__xludf.DUMMYFUNCTION("""COMPUTED_VALUE"""),45901.50270204861)</f>
        <v>45901.5027</v>
      </c>
      <c r="C670" s="17">
        <f>IFERROR(__xludf.DUMMYFUNCTION("""COMPUTED_VALUE"""),45901.859724953705)</f>
        <v>45901.85972</v>
      </c>
      <c r="D670" s="15" t="str">
        <f>IFERROR(__xludf.DUMMYFUNCTION("""COMPUTED_VALUE"""),"lantai 2")</f>
        <v>lantai 2</v>
      </c>
      <c r="E670" s="15" t="str">
        <f>IFERROR(__xludf.DUMMYFUNCTION("""COMPUTED_VALUE"""),"-")</f>
        <v>-</v>
      </c>
      <c r="F670" s="15" t="str">
        <f>IFERROR(__xludf.DUMMYFUNCTION("""COMPUTED_VALUE"""),"Kuas Cat Uk. 1 inch;Eterna;Tipe 611;pack size per pcs")</f>
        <v>Kuas Cat Uk. 1 inch;Eterna;Tipe 611;pack size per pcs</v>
      </c>
      <c r="G670" s="15">
        <f>IFERROR(__xludf.DUMMYFUNCTION("""COMPUTED_VALUE"""),10.0)</f>
        <v>10</v>
      </c>
      <c r="H670" s="15" t="str">
        <f>IFERROR(__xludf.DUMMYFUNCTION("""COMPUTED_VALUE"""),"pcs")</f>
        <v>pcs</v>
      </c>
      <c r="I670" s="15" t="str">
        <f>IFERROR(__xludf.DUMMYFUNCTION("""COMPUTED_VALUE"""),"Deliver")</f>
        <v>Deliver</v>
      </c>
      <c r="J670" s="15" t="str">
        <f>IFERROR(__xludf.DUMMYFUNCTION("""COMPUTED_VALUE"""),"-")</f>
        <v>-</v>
      </c>
      <c r="K670" s="15" t="str">
        <f>IFERROR(__xludf.DUMMYFUNCTION("""COMPUTED_VALUE"""),"-")</f>
        <v>-</v>
      </c>
      <c r="L670" s="15" t="str">
        <f>IFERROR(__xludf.DUMMYFUNCTION("""COMPUTED_VALUE"""),"Normal")</f>
        <v>Normal</v>
      </c>
      <c r="M670" s="18" t="s">
        <v>27</v>
      </c>
      <c r="N670" s="18" t="s">
        <v>28</v>
      </c>
    </row>
    <row r="671" hidden="1">
      <c r="A671" s="15" t="str">
        <f>IFERROR(__xludf.DUMMYFUNCTION("""COMPUTED_VALUE"""),"MOBBR0044")</f>
        <v>MOBBR0044</v>
      </c>
      <c r="B671" s="16">
        <f>IFERROR(__xludf.DUMMYFUNCTION("""COMPUTED_VALUE"""),45901.75995636574)</f>
        <v>45901.75996</v>
      </c>
      <c r="C671" s="17">
        <f>IFERROR(__xludf.DUMMYFUNCTION("""COMPUTED_VALUE"""),45901.86004449074)</f>
        <v>45901.86004</v>
      </c>
      <c r="D671" s="15" t="str">
        <f>IFERROR(__xludf.DUMMYFUNCTION("""COMPUTED_VALUE"""),"AHU")</f>
        <v>AHU</v>
      </c>
      <c r="E671" s="15" t="str">
        <f>IFERROR(__xludf.DUMMYFUNCTION("""COMPUTED_VALUE"""),"EJO/2025/09/23")</f>
        <v>EJO/2025/09/23</v>
      </c>
      <c r="F671" s="15" t="str">
        <f>IFERROR(__xludf.DUMMYFUNCTION("""COMPUTED_VALUE"""),"Diffuser+OBD")</f>
        <v>Diffuser+OBD</v>
      </c>
      <c r="G671" s="15">
        <f>IFERROR(__xludf.DUMMYFUNCTION("""COMPUTED_VALUE"""),5.0)</f>
        <v>5</v>
      </c>
      <c r="H671" s="15" t="str">
        <f>IFERROR(__xludf.DUMMYFUNCTION("""COMPUTED_VALUE"""),"Pcs")</f>
        <v>Pcs</v>
      </c>
      <c r="I671" s="15" t="str">
        <f>IFERROR(__xludf.DUMMYFUNCTION("""COMPUTED_VALUE"""),"Deliver")</f>
        <v>Deliver</v>
      </c>
      <c r="J671" s="15" t="str">
        <f>IFERROR(__xludf.DUMMYFUNCTION("""COMPUTED_VALUE"""),"121703761 - APPROVED")</f>
        <v>121703761 - APPROVED</v>
      </c>
      <c r="K671" s="15" t="str">
        <f>IFERROR(__xludf.DUMMYFUNCTION("""COMPUTED_VALUE"""),"GL2603430")</f>
        <v>GL2603430</v>
      </c>
      <c r="L671" s="15" t="str">
        <f>IFERROR(__xludf.DUMMYFUNCTION("""COMPUTED_VALUE"""),"Normal")</f>
        <v>Normal</v>
      </c>
      <c r="M671" s="18" t="s">
        <v>31</v>
      </c>
      <c r="N671" s="18" t="s">
        <v>28</v>
      </c>
    </row>
    <row r="672" hidden="1">
      <c r="A672" s="15" t="str">
        <f>IFERROR(__xludf.DUMMYFUNCTION("""COMPUTED_VALUE"""),"SFHBR0032")</f>
        <v>SFHBR0032</v>
      </c>
      <c r="B672" s="16">
        <f>IFERROR(__xludf.DUMMYFUNCTION("""COMPUTED_VALUE"""),45902.87549679398)</f>
        <v>45902.8755</v>
      </c>
      <c r="C672" s="17">
        <f>IFERROR(__xludf.DUMMYFUNCTION("""COMPUTED_VALUE"""),45902.90894790509)</f>
        <v>45902.90895</v>
      </c>
      <c r="D672" s="15" t="str">
        <f>IFERROR(__xludf.DUMMYFUNCTION("""COMPUTED_VALUE"""),"lantai 3")</f>
        <v>lantai 3</v>
      </c>
      <c r="E672" s="15" t="str">
        <f>IFERROR(__xludf.DUMMYFUNCTION("""COMPUTED_VALUE"""),"-")</f>
        <v>-</v>
      </c>
      <c r="F672" s="15" t="str">
        <f>IFERROR(__xludf.DUMMYFUNCTION("""COMPUTED_VALUE"""),"kunci slot pintu toilet")</f>
        <v>kunci slot pintu toilet</v>
      </c>
      <c r="G672" s="15">
        <f>IFERROR(__xludf.DUMMYFUNCTION("""COMPUTED_VALUE"""),4.0)</f>
        <v>4</v>
      </c>
      <c r="H672" s="15" t="str">
        <f>IFERROR(__xludf.DUMMYFUNCTION("""COMPUTED_VALUE"""),"pcs")</f>
        <v>pcs</v>
      </c>
      <c r="I672" s="15" t="str">
        <f>IFERROR(__xludf.DUMMYFUNCTION("""COMPUTED_VALUE"""),"Deliver")</f>
        <v>Deliver</v>
      </c>
      <c r="J672" s="15" t="str">
        <f>IFERROR(__xludf.DUMMYFUNCTION("""COMPUTED_VALUE"""),"121703759 - APPROVED")</f>
        <v>121703759 - APPROVED</v>
      </c>
      <c r="K672" s="15" t="str">
        <f>IFERROR(__xludf.DUMMYFUNCTION("""COMPUTED_VALUE"""),"GL2602027")</f>
        <v>GL2602027</v>
      </c>
      <c r="L672" s="15" t="str">
        <f>IFERROR(__xludf.DUMMYFUNCTION("""COMPUTED_VALUE"""),"Normal")</f>
        <v>Normal</v>
      </c>
      <c r="M672" s="18" t="s">
        <v>27</v>
      </c>
      <c r="N672" s="18" t="s">
        <v>28</v>
      </c>
    </row>
    <row r="673" hidden="1">
      <c r="A673" s="15" t="str">
        <f>IFERROR(__xludf.DUMMYFUNCTION("""COMPUTED_VALUE"""),"MFHRO0178")</f>
        <v>MFHRO0178</v>
      </c>
      <c r="B673" s="16">
        <f>IFERROR(__xludf.DUMMYFUNCTION("""COMPUTED_VALUE"""),45910.92617467592)</f>
        <v>45910.92617</v>
      </c>
      <c r="C673" s="17">
        <f>IFERROR(__xludf.DUMMYFUNCTION("""COMPUTED_VALUE"""),45911.888544155096)</f>
        <v>45911.88854</v>
      </c>
      <c r="D673" s="15" t="str">
        <f>IFERROR(__xludf.DUMMYFUNCTION("""COMPUTED_VALUE"""),"General")</f>
        <v>General</v>
      </c>
      <c r="E673" s="15" t="str">
        <f>IFERROR(__xludf.DUMMYFUNCTION("""COMPUTED_VALUE"""),"-")</f>
        <v>-</v>
      </c>
      <c r="F673" s="15" t="str">
        <f>IFERROR(__xludf.DUMMYFUNCTION("""COMPUTED_VALUE"""),"Cellotape / Lakban Kertas 1 inch warna Putih ; No Brand ; pack size per pcs")</f>
        <v>Cellotape / Lakban Kertas 1 inch warna Putih ; No Brand ; pack size per pcs</v>
      </c>
      <c r="G673" s="15">
        <f>IFERROR(__xludf.DUMMYFUNCTION("""COMPUTED_VALUE"""),40.0)</f>
        <v>40</v>
      </c>
      <c r="H673" s="15" t="str">
        <f>IFERROR(__xludf.DUMMYFUNCTION("""COMPUTED_VALUE"""),"Pieces")</f>
        <v>Pieces</v>
      </c>
      <c r="I673" s="15" t="str">
        <f>IFERROR(__xludf.DUMMYFUNCTION("""COMPUTED_VALUE"""),"Deliver")</f>
        <v>Deliver</v>
      </c>
      <c r="J673" s="15" t="str">
        <f>IFERROR(__xludf.DUMMYFUNCTION("""COMPUTED_VALUE"""),"-")</f>
        <v>-</v>
      </c>
      <c r="K673" s="15" t="str">
        <f>IFERROR(__xludf.DUMMYFUNCTION("""COMPUTED_VALUE"""),"-")</f>
        <v>-</v>
      </c>
      <c r="L673" s="15" t="str">
        <f>IFERROR(__xludf.DUMMYFUNCTION("""COMPUTED_VALUE"""),"Normal")</f>
        <v>Normal</v>
      </c>
      <c r="M673" s="18" t="s">
        <v>53</v>
      </c>
      <c r="N673" s="18" t="s">
        <v>54</v>
      </c>
    </row>
    <row r="674" hidden="1">
      <c r="A674" s="15" t="str">
        <f>IFERROR(__xludf.DUMMYFUNCTION("""COMPUTED_VALUE"""),"MFHRO0179")</f>
        <v>MFHRO0179</v>
      </c>
      <c r="B674" s="16">
        <f>IFERROR(__xludf.DUMMYFUNCTION("""COMPUTED_VALUE"""),45910.93840724537)</f>
        <v>45910.93841</v>
      </c>
      <c r="C674" s="17">
        <f>IFERROR(__xludf.DUMMYFUNCTION("""COMPUTED_VALUE"""),45911.888740625)</f>
        <v>45911.88874</v>
      </c>
      <c r="D674" s="15" t="str">
        <f>IFERROR(__xludf.DUMMYFUNCTION("""COMPUTED_VALUE"""),"Capping")</f>
        <v>Capping</v>
      </c>
      <c r="E674" s="15" t="str">
        <f>IFERROR(__xludf.DUMMYFUNCTION("""COMPUTED_VALUE"""),"-")</f>
        <v>-</v>
      </c>
      <c r="F674" s="15" t="str">
        <f>IFERROR(__xludf.DUMMYFUNCTION("""COMPUTED_VALUE"""),"Capping VCM200 - Adjuster Screw Blade; ; ;")</f>
        <v>Capping VCM200 - Adjuster Screw Blade; ; ;</v>
      </c>
      <c r="G674" s="15">
        <f>IFERROR(__xludf.DUMMYFUNCTION("""COMPUTED_VALUE"""),1.0)</f>
        <v>1</v>
      </c>
      <c r="H674" s="15" t="str">
        <f>IFERROR(__xludf.DUMMYFUNCTION("""COMPUTED_VALUE"""),"Pieces")</f>
        <v>Pieces</v>
      </c>
      <c r="I674" s="15" t="str">
        <f>IFERROR(__xludf.DUMMYFUNCTION("""COMPUTED_VALUE"""),"Deliver")</f>
        <v>Deliver</v>
      </c>
      <c r="J674" s="15" t="str">
        <f>IFERROR(__xludf.DUMMYFUNCTION("""COMPUTED_VALUE"""),"-")</f>
        <v>-</v>
      </c>
      <c r="K674" s="15" t="str">
        <f>IFERROR(__xludf.DUMMYFUNCTION("""COMPUTED_VALUE"""),"-")</f>
        <v>-</v>
      </c>
      <c r="L674" s="15" t="str">
        <f>IFERROR(__xludf.DUMMYFUNCTION("""COMPUTED_VALUE"""),"Normal")</f>
        <v>Normal</v>
      </c>
      <c r="M674" s="18" t="s">
        <v>53</v>
      </c>
      <c r="N674" s="18" t="s">
        <v>54</v>
      </c>
    </row>
    <row r="675" hidden="1">
      <c r="A675" s="15" t="str">
        <f>IFERROR(__xludf.DUMMYFUNCTION("""COMPUTED_VALUE"""),"MFHRO0180")</f>
        <v>MFHRO0180</v>
      </c>
      <c r="B675" s="16">
        <f>IFERROR(__xludf.DUMMYFUNCTION("""COMPUTED_VALUE"""),45910.93840724537)</f>
        <v>45910.93841</v>
      </c>
      <c r="C675" s="17">
        <f>IFERROR(__xludf.DUMMYFUNCTION("""COMPUTED_VALUE"""),45911.88887222222)</f>
        <v>45911.88887</v>
      </c>
      <c r="D675" s="15" t="str">
        <f>IFERROR(__xludf.DUMMYFUNCTION("""COMPUTED_VALUE"""),"Capping")</f>
        <v>Capping</v>
      </c>
      <c r="E675" s="15" t="str">
        <f>IFERROR(__xludf.DUMMYFUNCTION("""COMPUTED_VALUE"""),"-")</f>
        <v>-</v>
      </c>
      <c r="F675" s="15" t="str">
        <f>IFERROR(__xludf.DUMMYFUNCTION("""COMPUTED_VALUE"""),"Capping VCM200 - Clamp Holder; ; ;")</f>
        <v>Capping VCM200 - Clamp Holder; ; ;</v>
      </c>
      <c r="G675" s="15">
        <f>IFERROR(__xludf.DUMMYFUNCTION("""COMPUTED_VALUE"""),1.0)</f>
        <v>1</v>
      </c>
      <c r="H675" s="15" t="str">
        <f>IFERROR(__xludf.DUMMYFUNCTION("""COMPUTED_VALUE"""),"Pieces")</f>
        <v>Pieces</v>
      </c>
      <c r="I675" s="15" t="str">
        <f>IFERROR(__xludf.DUMMYFUNCTION("""COMPUTED_VALUE"""),"Deliver")</f>
        <v>Deliver</v>
      </c>
      <c r="J675" s="15" t="str">
        <f>IFERROR(__xludf.DUMMYFUNCTION("""COMPUTED_VALUE"""),"-")</f>
        <v>-</v>
      </c>
      <c r="K675" s="15" t="str">
        <f>IFERROR(__xludf.DUMMYFUNCTION("""COMPUTED_VALUE"""),"-")</f>
        <v>-</v>
      </c>
      <c r="L675" s="15" t="str">
        <f>IFERROR(__xludf.DUMMYFUNCTION("""COMPUTED_VALUE"""),"Normal")</f>
        <v>Normal</v>
      </c>
      <c r="M675" s="18" t="s">
        <v>53</v>
      </c>
      <c r="N675" s="18" t="s">
        <v>54</v>
      </c>
    </row>
    <row r="676" hidden="1">
      <c r="A676" s="15" t="str">
        <f>IFERROR(__xludf.DUMMYFUNCTION("""COMPUTED_VALUE"""),"MFHRO0181")</f>
        <v>MFHRO0181</v>
      </c>
      <c r="B676" s="16">
        <f>IFERROR(__xludf.DUMMYFUNCTION("""COMPUTED_VALUE"""),45910.93841335648)</f>
        <v>45910.93841</v>
      </c>
      <c r="C676" s="17">
        <f>IFERROR(__xludf.DUMMYFUNCTION("""COMPUTED_VALUE"""),45911.889003923614)</f>
        <v>45911.889</v>
      </c>
      <c r="D676" s="15" t="str">
        <f>IFERROR(__xludf.DUMMYFUNCTION("""COMPUTED_VALUE"""),"Capping")</f>
        <v>Capping</v>
      </c>
      <c r="E676" s="15" t="str">
        <f>IFERROR(__xludf.DUMMYFUNCTION("""COMPUTED_VALUE"""),"-")</f>
        <v>-</v>
      </c>
      <c r="F676" s="15" t="str">
        <f>IFERROR(__xludf.DUMMYFUNCTION("""COMPUTED_VALUE"""),"Capping VCM200 - Holder; ; ;")</f>
        <v>Capping VCM200 - Holder; ; ;</v>
      </c>
      <c r="G676" s="15">
        <f>IFERROR(__xludf.DUMMYFUNCTION("""COMPUTED_VALUE"""),1.0)</f>
        <v>1</v>
      </c>
      <c r="H676" s="15" t="str">
        <f>IFERROR(__xludf.DUMMYFUNCTION("""COMPUTED_VALUE"""),"Pieces")</f>
        <v>Pieces</v>
      </c>
      <c r="I676" s="15" t="str">
        <f>IFERROR(__xludf.DUMMYFUNCTION("""COMPUTED_VALUE"""),"Deliver")</f>
        <v>Deliver</v>
      </c>
      <c r="J676" s="15" t="str">
        <f>IFERROR(__xludf.DUMMYFUNCTION("""COMPUTED_VALUE"""),"-")</f>
        <v>-</v>
      </c>
      <c r="K676" s="15" t="str">
        <f>IFERROR(__xludf.DUMMYFUNCTION("""COMPUTED_VALUE"""),"-")</f>
        <v>-</v>
      </c>
      <c r="L676" s="15" t="str">
        <f>IFERROR(__xludf.DUMMYFUNCTION("""COMPUTED_VALUE"""),"Normal")</f>
        <v>Normal</v>
      </c>
      <c r="M676" s="18" t="s">
        <v>53</v>
      </c>
      <c r="N676" s="18" t="s">
        <v>54</v>
      </c>
    </row>
    <row r="677" hidden="1">
      <c r="A677" s="15" t="str">
        <f>IFERROR(__xludf.DUMMYFUNCTION("""COMPUTED_VALUE"""),"MFHRO0182")</f>
        <v>MFHRO0182</v>
      </c>
      <c r="B677" s="16">
        <f>IFERROR(__xludf.DUMMYFUNCTION("""COMPUTED_VALUE"""),45910.93841335648)</f>
        <v>45910.93841</v>
      </c>
      <c r="C677" s="17">
        <f>IFERROR(__xludf.DUMMYFUNCTION("""COMPUTED_VALUE"""),45911.88912290509)</f>
        <v>45911.88912</v>
      </c>
      <c r="D677" s="15" t="str">
        <f>IFERROR(__xludf.DUMMYFUNCTION("""COMPUTED_VALUE"""),"Capping")</f>
        <v>Capping</v>
      </c>
      <c r="E677" s="15" t="str">
        <f>IFERROR(__xludf.DUMMYFUNCTION("""COMPUTED_VALUE"""),"-")</f>
        <v>-</v>
      </c>
      <c r="F677" s="15" t="str">
        <f>IFERROR(__xludf.DUMMYFUNCTION("""COMPUTED_VALUE"""),"Capping VCM200 - Spring Head; ; ;")</f>
        <v>Capping VCM200 - Spring Head; ; ;</v>
      </c>
      <c r="G677" s="15">
        <f>IFERROR(__xludf.DUMMYFUNCTION("""COMPUTED_VALUE"""),1.0)</f>
        <v>1</v>
      </c>
      <c r="H677" s="15" t="str">
        <f>IFERROR(__xludf.DUMMYFUNCTION("""COMPUTED_VALUE"""),"Pieces")</f>
        <v>Pieces</v>
      </c>
      <c r="I677" s="15" t="str">
        <f>IFERROR(__xludf.DUMMYFUNCTION("""COMPUTED_VALUE"""),"Deliver")</f>
        <v>Deliver</v>
      </c>
      <c r="J677" s="15" t="str">
        <f>IFERROR(__xludf.DUMMYFUNCTION("""COMPUTED_VALUE"""),"-")</f>
        <v>-</v>
      </c>
      <c r="K677" s="15" t="str">
        <f>IFERROR(__xludf.DUMMYFUNCTION("""COMPUTED_VALUE"""),"-")</f>
        <v>-</v>
      </c>
      <c r="L677" s="15" t="str">
        <f>IFERROR(__xludf.DUMMYFUNCTION("""COMPUTED_VALUE"""),"Normal")</f>
        <v>Normal</v>
      </c>
      <c r="M677" s="18" t="s">
        <v>53</v>
      </c>
      <c r="N677" s="18" t="s">
        <v>54</v>
      </c>
    </row>
    <row r="678" hidden="1">
      <c r="A678" s="15" t="str">
        <f>IFERROR(__xludf.DUMMYFUNCTION("""COMPUTED_VALUE"""),"MFHRO0183")</f>
        <v>MFHRO0183</v>
      </c>
      <c r="B678" s="16">
        <f>IFERROR(__xludf.DUMMYFUNCTION("""COMPUTED_VALUE"""),45910.93842200232)</f>
        <v>45910.93842</v>
      </c>
      <c r="C678" s="17">
        <f>IFERROR(__xludf.DUMMYFUNCTION("""COMPUTED_VALUE"""),45911.88924421296)</f>
        <v>45911.88924</v>
      </c>
      <c r="D678" s="15" t="str">
        <f>IFERROR(__xludf.DUMMYFUNCTION("""COMPUTED_VALUE"""),"Capping")</f>
        <v>Capping</v>
      </c>
      <c r="E678" s="15" t="str">
        <f>IFERROR(__xludf.DUMMYFUNCTION("""COMPUTED_VALUE"""),"-")</f>
        <v>-</v>
      </c>
      <c r="F678" s="15" t="str">
        <f>IFERROR(__xludf.DUMMYFUNCTION("""COMPUTED_VALUE"""),"Capping VCM200 -  Ring Washer; ; ;")</f>
        <v>Capping VCM200 -  Ring Washer; ; ;</v>
      </c>
      <c r="G678" s="15">
        <f>IFERROR(__xludf.DUMMYFUNCTION("""COMPUTED_VALUE"""),1.0)</f>
        <v>1</v>
      </c>
      <c r="H678" s="15" t="str">
        <f>IFERROR(__xludf.DUMMYFUNCTION("""COMPUTED_VALUE"""),"Pieces")</f>
        <v>Pieces</v>
      </c>
      <c r="I678" s="15" t="str">
        <f>IFERROR(__xludf.DUMMYFUNCTION("""COMPUTED_VALUE"""),"Deliver")</f>
        <v>Deliver</v>
      </c>
      <c r="J678" s="15" t="str">
        <f>IFERROR(__xludf.DUMMYFUNCTION("""COMPUTED_VALUE"""),"-")</f>
        <v>-</v>
      </c>
      <c r="K678" s="15" t="str">
        <f>IFERROR(__xludf.DUMMYFUNCTION("""COMPUTED_VALUE"""),"-")</f>
        <v>-</v>
      </c>
      <c r="L678" s="15" t="str">
        <f>IFERROR(__xludf.DUMMYFUNCTION("""COMPUTED_VALUE"""),"Normal")</f>
        <v>Normal</v>
      </c>
      <c r="M678" s="18" t="s">
        <v>53</v>
      </c>
      <c r="N678" s="18" t="s">
        <v>54</v>
      </c>
    </row>
    <row r="679" hidden="1">
      <c r="A679" s="15" t="str">
        <f>IFERROR(__xludf.DUMMYFUNCTION("""COMPUTED_VALUE"""),"MFHRO0184")</f>
        <v>MFHRO0184</v>
      </c>
      <c r="B679" s="16">
        <f>IFERROR(__xludf.DUMMYFUNCTION("""COMPUTED_VALUE"""),45910.93842200232)</f>
        <v>45910.93842</v>
      </c>
      <c r="C679" s="17">
        <f>IFERROR(__xludf.DUMMYFUNCTION("""COMPUTED_VALUE"""),45911.889376747684)</f>
        <v>45911.88938</v>
      </c>
      <c r="D679" s="15" t="str">
        <f>IFERROR(__xludf.DUMMYFUNCTION("""COMPUTED_VALUE"""),"Capping")</f>
        <v>Capping</v>
      </c>
      <c r="E679" s="15" t="str">
        <f>IFERROR(__xludf.DUMMYFUNCTION("""COMPUTED_VALUE"""),"-")</f>
        <v>-</v>
      </c>
      <c r="F679" s="15" t="str">
        <f>IFERROR(__xludf.DUMMYFUNCTION("""COMPUTED_VALUE"""),"Capping VCM200 - Washer B; ; ;")</f>
        <v>Capping VCM200 - Washer B; ; ;</v>
      </c>
      <c r="G679" s="15">
        <f>IFERROR(__xludf.DUMMYFUNCTION("""COMPUTED_VALUE"""),1.0)</f>
        <v>1</v>
      </c>
      <c r="H679" s="15" t="str">
        <f>IFERROR(__xludf.DUMMYFUNCTION("""COMPUTED_VALUE"""),"Pieces")</f>
        <v>Pieces</v>
      </c>
      <c r="I679" s="15" t="str">
        <f>IFERROR(__xludf.DUMMYFUNCTION("""COMPUTED_VALUE"""),"Deliver")</f>
        <v>Deliver</v>
      </c>
      <c r="J679" s="15" t="str">
        <f>IFERROR(__xludf.DUMMYFUNCTION("""COMPUTED_VALUE"""),"-")</f>
        <v>-</v>
      </c>
      <c r="K679" s="15" t="str">
        <f>IFERROR(__xludf.DUMMYFUNCTION("""COMPUTED_VALUE"""),"-")</f>
        <v>-</v>
      </c>
      <c r="L679" s="15" t="str">
        <f>IFERROR(__xludf.DUMMYFUNCTION("""COMPUTED_VALUE"""),"Normal")</f>
        <v>Normal</v>
      </c>
      <c r="M679" s="18" t="s">
        <v>53</v>
      </c>
      <c r="N679" s="18" t="s">
        <v>54</v>
      </c>
    </row>
    <row r="680" hidden="1">
      <c r="A680" s="15" t="str">
        <f>IFERROR(__xludf.DUMMYFUNCTION("""COMPUTED_VALUE"""),"MFHRO0185")</f>
        <v>MFHRO0185</v>
      </c>
      <c r="B680" s="16">
        <f>IFERROR(__xludf.DUMMYFUNCTION("""COMPUTED_VALUE"""),45910.93842200232)</f>
        <v>45910.93842</v>
      </c>
      <c r="C680" s="17">
        <f>IFERROR(__xludf.DUMMYFUNCTION("""COMPUTED_VALUE"""),45911.889505023144)</f>
        <v>45911.88951</v>
      </c>
      <c r="D680" s="15" t="str">
        <f>IFERROR(__xludf.DUMMYFUNCTION("""COMPUTED_VALUE"""),"Capping")</f>
        <v>Capping</v>
      </c>
      <c r="E680" s="15" t="str">
        <f>IFERROR(__xludf.DUMMYFUNCTION("""COMPUTED_VALUE"""),"-")</f>
        <v>-</v>
      </c>
      <c r="F680" s="15" t="str">
        <f>IFERROR(__xludf.DUMMYFUNCTION("""COMPUTED_VALUE"""),"Capping VCM200 - Washer A; ; ;")</f>
        <v>Capping VCM200 - Washer A; ; ;</v>
      </c>
      <c r="G680" s="15">
        <f>IFERROR(__xludf.DUMMYFUNCTION("""COMPUTED_VALUE"""),1.0)</f>
        <v>1</v>
      </c>
      <c r="H680" s="15" t="str">
        <f>IFERROR(__xludf.DUMMYFUNCTION("""COMPUTED_VALUE"""),"Pieces")</f>
        <v>Pieces</v>
      </c>
      <c r="I680" s="15" t="str">
        <f>IFERROR(__xludf.DUMMYFUNCTION("""COMPUTED_VALUE"""),"Deliver")</f>
        <v>Deliver</v>
      </c>
      <c r="J680" s="15" t="str">
        <f>IFERROR(__xludf.DUMMYFUNCTION("""COMPUTED_VALUE"""),"-")</f>
        <v>-</v>
      </c>
      <c r="K680" s="15" t="str">
        <f>IFERROR(__xludf.DUMMYFUNCTION("""COMPUTED_VALUE"""),"-")</f>
        <v>-</v>
      </c>
      <c r="L680" s="15" t="str">
        <f>IFERROR(__xludf.DUMMYFUNCTION("""COMPUTED_VALUE"""),"Normal")</f>
        <v>Normal</v>
      </c>
      <c r="M680" s="18" t="s">
        <v>53</v>
      </c>
      <c r="N680" s="18" t="s">
        <v>54</v>
      </c>
    </row>
    <row r="681" hidden="1">
      <c r="A681" s="15" t="str">
        <f>IFERROR(__xludf.DUMMYFUNCTION("""COMPUTED_VALUE"""),"MFHBR0011")</f>
        <v>MFHBR0011</v>
      </c>
      <c r="B681" s="16">
        <f>IFERROR(__xludf.DUMMYFUNCTION("""COMPUTED_VALUE"""),45910.9287546412)</f>
        <v>45910.92875</v>
      </c>
      <c r="C681" s="17">
        <f>IFERROR(__xludf.DUMMYFUNCTION("""COMPUTED_VALUE"""),45911.891165706016)</f>
        <v>45911.89117</v>
      </c>
      <c r="D681" s="15" t="str">
        <f>IFERROR(__xludf.DUMMYFUNCTION("""COMPUTED_VALUE"""),"Building")</f>
        <v>Building</v>
      </c>
      <c r="E681" s="15" t="str">
        <f>IFERROR(__xludf.DUMMYFUNCTION("""COMPUTED_VALUE"""),"-")</f>
        <v>-</v>
      </c>
      <c r="F681" s="15" t="str">
        <f>IFERROR(__xludf.DUMMYFUNCTION("""COMPUTED_VALUE"""),"N2")</f>
        <v>N2</v>
      </c>
      <c r="G681" s="15">
        <f>IFERROR(__xludf.DUMMYFUNCTION("""COMPUTED_VALUE"""),1.0)</f>
        <v>1</v>
      </c>
      <c r="H681" s="15" t="str">
        <f>IFERROR(__xludf.DUMMYFUNCTION("""COMPUTED_VALUE"""),"Lot")</f>
        <v>Lot</v>
      </c>
      <c r="I681" s="15" t="str">
        <f>IFERROR(__xludf.DUMMYFUNCTION("""COMPUTED_VALUE"""),"Deliver")</f>
        <v>Deliver</v>
      </c>
      <c r="J681" s="15" t="str">
        <f>IFERROR(__xludf.DUMMYFUNCTION("""COMPUTED_VALUE"""),"-")</f>
        <v>-</v>
      </c>
      <c r="K681" s="15" t="str">
        <f>IFERROR(__xludf.DUMMYFUNCTION("""COMPUTED_VALUE"""),"-")</f>
        <v>-</v>
      </c>
      <c r="L681" s="15" t="str">
        <f>IFERROR(__xludf.DUMMYFUNCTION("""COMPUTED_VALUE"""),"Normal")</f>
        <v>Normal</v>
      </c>
      <c r="M681" s="18" t="s">
        <v>53</v>
      </c>
      <c r="N681" s="18" t="s">
        <v>54</v>
      </c>
    </row>
    <row r="682" hidden="1">
      <c r="A682" s="15" t="str">
        <f>IFERROR(__xludf.DUMMYFUNCTION("""COMPUTED_VALUE"""),"MFHBR0012")</f>
        <v>MFHBR0012</v>
      </c>
      <c r="B682" s="16">
        <f>IFERROR(__xludf.DUMMYFUNCTION("""COMPUTED_VALUE"""),45910.93053945602)</f>
        <v>45910.93054</v>
      </c>
      <c r="C682" s="17">
        <f>IFERROR(__xludf.DUMMYFUNCTION("""COMPUTED_VALUE"""),45911.891289293984)</f>
        <v>45911.89129</v>
      </c>
      <c r="D682" s="15" t="str">
        <f>IFERROR(__xludf.DUMMYFUNCTION("""COMPUTED_VALUE"""),"FD")</f>
        <v>FD</v>
      </c>
      <c r="E682" s="15" t="str">
        <f>IFERROR(__xludf.DUMMYFUNCTION("""COMPUTED_VALUE"""),"-")</f>
        <v>-</v>
      </c>
      <c r="F682" s="15" t="str">
        <f>IFERROR(__xludf.DUMMYFUNCTION("""COMPUTED_VALUE"""),"PoU")</f>
        <v>PoU</v>
      </c>
      <c r="G682" s="15">
        <f>IFERROR(__xludf.DUMMYFUNCTION("""COMPUTED_VALUE"""),1.0)</f>
        <v>1</v>
      </c>
      <c r="H682" s="15" t="str">
        <f>IFERROR(__xludf.DUMMYFUNCTION("""COMPUTED_VALUE"""),"Lot")</f>
        <v>Lot</v>
      </c>
      <c r="I682" s="15" t="str">
        <f>IFERROR(__xludf.DUMMYFUNCTION("""COMPUTED_VALUE"""),"Deliver")</f>
        <v>Deliver</v>
      </c>
      <c r="J682" s="15" t="str">
        <f>IFERROR(__xludf.DUMMYFUNCTION("""COMPUTED_VALUE"""),"-")</f>
        <v>-</v>
      </c>
      <c r="K682" s="15" t="str">
        <f>IFERROR(__xludf.DUMMYFUNCTION("""COMPUTED_VALUE"""),"-")</f>
        <v>-</v>
      </c>
      <c r="L682" s="15" t="str">
        <f>IFERROR(__xludf.DUMMYFUNCTION("""COMPUTED_VALUE"""),"Normal")</f>
        <v>Normal</v>
      </c>
      <c r="M682" s="18" t="s">
        <v>53</v>
      </c>
      <c r="N682" s="18" t="s">
        <v>54</v>
      </c>
    </row>
    <row r="683" hidden="1">
      <c r="A683" s="15" t="str">
        <f>IFERROR(__xludf.DUMMYFUNCTION("""COMPUTED_VALUE"""),"MFHBR0014")</f>
        <v>MFHBR0014</v>
      </c>
      <c r="B683" s="16">
        <f>IFERROR(__xludf.DUMMYFUNCTION("""COMPUTED_VALUE"""),45910.93274539352)</f>
        <v>45910.93275</v>
      </c>
      <c r="C683" s="17">
        <f>IFERROR(__xludf.DUMMYFUNCTION("""COMPUTED_VALUE"""),45911.891490925926)</f>
        <v>45911.89149</v>
      </c>
      <c r="D683" s="15" t="str">
        <f>IFERROR(__xludf.DUMMYFUNCTION("""COMPUTED_VALUE"""),"Building")</f>
        <v>Building</v>
      </c>
      <c r="E683" s="15" t="str">
        <f>IFERROR(__xludf.DUMMYFUNCTION("""COMPUTED_VALUE"""),"-")</f>
        <v>-</v>
      </c>
      <c r="F683" s="15" t="str">
        <f>IFERROR(__xludf.DUMMYFUNCTION("""COMPUTED_VALUE"""),"Perluasan Bangunan")</f>
        <v>Perluasan Bangunan</v>
      </c>
      <c r="G683" s="15">
        <f>IFERROR(__xludf.DUMMYFUNCTION("""COMPUTED_VALUE"""),1.0)</f>
        <v>1</v>
      </c>
      <c r="H683" s="15" t="str">
        <f>IFERROR(__xludf.DUMMYFUNCTION("""COMPUTED_VALUE"""),"Lot")</f>
        <v>Lot</v>
      </c>
      <c r="I683" s="15" t="str">
        <f>IFERROR(__xludf.DUMMYFUNCTION("""COMPUTED_VALUE"""),"Deliver")</f>
        <v>Deliver</v>
      </c>
      <c r="J683" s="15" t="str">
        <f>IFERROR(__xludf.DUMMYFUNCTION("""COMPUTED_VALUE"""),"-")</f>
        <v>-</v>
      </c>
      <c r="K683" s="15" t="str">
        <f>IFERROR(__xludf.DUMMYFUNCTION("""COMPUTED_VALUE"""),"-")</f>
        <v>-</v>
      </c>
      <c r="L683" s="15" t="str">
        <f>IFERROR(__xludf.DUMMYFUNCTION("""COMPUTED_VALUE"""),"Normal")</f>
        <v>Normal</v>
      </c>
      <c r="M683" s="18" t="s">
        <v>53</v>
      </c>
      <c r="N683" s="18" t="s">
        <v>54</v>
      </c>
    </row>
    <row r="684" hidden="1">
      <c r="A684" s="15" t="str">
        <f>IFERROR(__xludf.DUMMYFUNCTION("""COMPUTED_VALUE"""),"MFHBR0015")</f>
        <v>MFHBR0015</v>
      </c>
      <c r="B684" s="16">
        <f>IFERROR(__xludf.DUMMYFUNCTION("""COMPUTED_VALUE"""),45910.93522018518)</f>
        <v>45910.93522</v>
      </c>
      <c r="C684" s="17">
        <f>IFERROR(__xludf.DUMMYFUNCTION("""COMPUTED_VALUE"""),45911.89159944445)</f>
        <v>45911.8916</v>
      </c>
      <c r="D684" s="15" t="str">
        <f>IFERROR(__xludf.DUMMYFUNCTION("""COMPUTED_VALUE"""),"Cooling Water")</f>
        <v>Cooling Water</v>
      </c>
      <c r="E684" s="15" t="str">
        <f>IFERROR(__xludf.DUMMYFUNCTION("""COMPUTED_VALUE"""),"-")</f>
        <v>-</v>
      </c>
      <c r="F684" s="15" t="str">
        <f>IFERROR(__xludf.DUMMYFUNCTION("""COMPUTED_VALUE"""),"Inverter")</f>
        <v>Inverter</v>
      </c>
      <c r="G684" s="15">
        <f>IFERROR(__xludf.DUMMYFUNCTION("""COMPUTED_VALUE"""),1.0)</f>
        <v>1</v>
      </c>
      <c r="H684" s="15" t="str">
        <f>IFERROR(__xludf.DUMMYFUNCTION("""COMPUTED_VALUE"""),"Pcs")</f>
        <v>Pcs</v>
      </c>
      <c r="I684" s="15" t="str">
        <f>IFERROR(__xludf.DUMMYFUNCTION("""COMPUTED_VALUE"""),"Deliver")</f>
        <v>Deliver</v>
      </c>
      <c r="J684" s="15" t="str">
        <f>IFERROR(__xludf.DUMMYFUNCTION("""COMPUTED_VALUE"""),"-")</f>
        <v>-</v>
      </c>
      <c r="K684" s="15" t="str">
        <f>IFERROR(__xludf.DUMMYFUNCTION("""COMPUTED_VALUE"""),"-")</f>
        <v>-</v>
      </c>
      <c r="L684" s="15" t="str">
        <f>IFERROR(__xludf.DUMMYFUNCTION("""COMPUTED_VALUE"""),"Normal")</f>
        <v>Normal</v>
      </c>
      <c r="M684" s="18" t="s">
        <v>53</v>
      </c>
      <c r="N684" s="18" t="s">
        <v>54</v>
      </c>
    </row>
    <row r="685" hidden="1">
      <c r="A685" s="15" t="str">
        <f>IFERROR(__xludf.DUMMYFUNCTION("""COMPUTED_VALUE"""),"MFHJA0032")</f>
        <v>MFHJA0032</v>
      </c>
      <c r="B685" s="16">
        <f>IFERROR(__xludf.DUMMYFUNCTION("""COMPUTED_VALUE"""),45910.93376961805)</f>
        <v>45910.93377</v>
      </c>
      <c r="C685" s="17">
        <f>IFERROR(__xludf.DUMMYFUNCTION("""COMPUTED_VALUE"""),45911.89172216435)</f>
        <v>45911.89172</v>
      </c>
      <c r="D685" s="15" t="str">
        <f>IFERROR(__xludf.DUMMYFUNCTION("""COMPUTED_VALUE"""),"Lab")</f>
        <v>Lab</v>
      </c>
      <c r="E685" s="15" t="str">
        <f>IFERROR(__xludf.DUMMYFUNCTION("""COMPUTED_VALUE"""),"-")</f>
        <v>-</v>
      </c>
      <c r="F685" s="15" t="str">
        <f>IFERROR(__xludf.DUMMYFUNCTION("""COMPUTED_VALUE"""),"Perbaikan Kompresor CC Retain Sample")</f>
        <v>Perbaikan Kompresor CC Retain Sample</v>
      </c>
      <c r="G685" s="15">
        <f>IFERROR(__xludf.DUMMYFUNCTION("""COMPUTED_VALUE"""),1.0)</f>
        <v>1</v>
      </c>
      <c r="H685" s="15" t="str">
        <f>IFERROR(__xludf.DUMMYFUNCTION("""COMPUTED_VALUE"""),"Lot")</f>
        <v>Lot</v>
      </c>
      <c r="I685" s="15" t="str">
        <f>IFERROR(__xludf.DUMMYFUNCTION("""COMPUTED_VALUE"""),"Deliver")</f>
        <v>Deliver</v>
      </c>
      <c r="J685" s="15" t="str">
        <f>IFERROR(__xludf.DUMMYFUNCTION("""COMPUTED_VALUE"""),"-")</f>
        <v>-</v>
      </c>
      <c r="K685" s="15" t="str">
        <f>IFERROR(__xludf.DUMMYFUNCTION("""COMPUTED_VALUE"""),"-")</f>
        <v>-</v>
      </c>
      <c r="L685" s="15" t="str">
        <f>IFERROR(__xludf.DUMMYFUNCTION("""COMPUTED_VALUE"""),"Normal")</f>
        <v>Normal</v>
      </c>
      <c r="M685" s="18" t="s">
        <v>53</v>
      </c>
      <c r="N685" s="18" t="s">
        <v>54</v>
      </c>
    </row>
    <row r="686" hidden="1">
      <c r="A686" s="15" t="str">
        <f>IFERROR(__xludf.DUMMYFUNCTION("""COMPUTED_VALUE"""),"MFHJA0033")</f>
        <v>MFHJA0033</v>
      </c>
      <c r="B686" s="16">
        <f>IFERROR(__xludf.DUMMYFUNCTION("""COMPUTED_VALUE"""),45910.93439554398)</f>
        <v>45910.9344</v>
      </c>
      <c r="C686" s="17">
        <f>IFERROR(__xludf.DUMMYFUNCTION("""COMPUTED_VALUE"""),45911.89181857638)</f>
        <v>45911.89182</v>
      </c>
      <c r="D686" s="15" t="str">
        <f>IFERROR(__xludf.DUMMYFUNCTION("""COMPUTED_VALUE"""),"Washing")</f>
        <v>Washing</v>
      </c>
      <c r="E686" s="15" t="str">
        <f>IFERROR(__xludf.DUMMYFUNCTION("""COMPUTED_VALUE"""),"-")</f>
        <v>-</v>
      </c>
      <c r="F686" s="15" t="str">
        <f>IFERROR(__xludf.DUMMYFUNCTION("""COMPUTED_VALUE"""),"Perbaikan Needle Washing")</f>
        <v>Perbaikan Needle Washing</v>
      </c>
      <c r="G686" s="15">
        <f>IFERROR(__xludf.DUMMYFUNCTION("""COMPUTED_VALUE"""),1.0)</f>
        <v>1</v>
      </c>
      <c r="H686" s="15" t="str">
        <f>IFERROR(__xludf.DUMMYFUNCTION("""COMPUTED_VALUE"""),"Lot")</f>
        <v>Lot</v>
      </c>
      <c r="I686" s="15" t="str">
        <f>IFERROR(__xludf.DUMMYFUNCTION("""COMPUTED_VALUE"""),"Deliver")</f>
        <v>Deliver</v>
      </c>
      <c r="J686" s="15" t="str">
        <f>IFERROR(__xludf.DUMMYFUNCTION("""COMPUTED_VALUE"""),"-")</f>
        <v>-</v>
      </c>
      <c r="K686" s="15" t="str">
        <f>IFERROR(__xludf.DUMMYFUNCTION("""COMPUTED_VALUE"""),"-")</f>
        <v>-</v>
      </c>
      <c r="L686" s="15" t="str">
        <f>IFERROR(__xludf.DUMMYFUNCTION("""COMPUTED_VALUE"""),"Normal")</f>
        <v>Normal</v>
      </c>
      <c r="M686" s="18" t="s">
        <v>53</v>
      </c>
      <c r="N686" s="18" t="s">
        <v>54</v>
      </c>
    </row>
    <row r="687" hidden="1">
      <c r="A687" s="15" t="str">
        <f>IFERROR(__xludf.DUMMYFUNCTION("""COMPUTED_VALUE"""),"SFHRO0020")</f>
        <v>SFHRO0020</v>
      </c>
      <c r="B687" s="16">
        <f>IFERROR(__xludf.DUMMYFUNCTION("""COMPUTED_VALUE"""),45910.79408479167)</f>
        <v>45910.79408</v>
      </c>
      <c r="C687" s="17">
        <f>IFERROR(__xludf.DUMMYFUNCTION("""COMPUTED_VALUE"""),45912.41568825232)</f>
        <v>45912.41569</v>
      </c>
      <c r="D687" s="15" t="str">
        <f>IFERROR(__xludf.DUMMYFUNCTION("""COMPUTED_VALUE"""),"lantai 2")</f>
        <v>lantai 2</v>
      </c>
      <c r="E687" s="15" t="str">
        <f>IFERROR(__xludf.DUMMYFUNCTION("""COMPUTED_VALUE"""),"-")</f>
        <v>-</v>
      </c>
      <c r="F687" s="15" t="str">
        <f>IFERROR(__xludf.DUMMYFUNCTION("""COMPUTED_VALUE"""),"Sodium metabisulfit")</f>
        <v>Sodium metabisulfit</v>
      </c>
      <c r="G687" s="15">
        <f>IFERROR(__xludf.DUMMYFUNCTION("""COMPUTED_VALUE"""),5.0)</f>
        <v>5</v>
      </c>
      <c r="H687" s="15" t="str">
        <f>IFERROR(__xludf.DUMMYFUNCTION("""COMPUTED_VALUE"""),"sak")</f>
        <v>sak</v>
      </c>
      <c r="I687" s="15" t="str">
        <f>IFERROR(__xludf.DUMMYFUNCTION("""COMPUTED_VALUE"""),"Deliver")</f>
        <v>Deliver</v>
      </c>
      <c r="J687" s="15" t="str">
        <f>IFERROR(__xludf.DUMMYFUNCTION("""COMPUTED_VALUE"""),"-")</f>
        <v>-</v>
      </c>
      <c r="K687" s="15" t="str">
        <f>IFERROR(__xludf.DUMMYFUNCTION("""COMPUTED_VALUE"""),"-")</f>
        <v>-</v>
      </c>
      <c r="L687" s="15" t="str">
        <f>IFERROR(__xludf.DUMMYFUNCTION("""COMPUTED_VALUE"""),"Normal")</f>
        <v>Normal</v>
      </c>
      <c r="M687" s="18" t="s">
        <v>27</v>
      </c>
      <c r="N687" s="18" t="s">
        <v>28</v>
      </c>
    </row>
    <row r="688" hidden="1">
      <c r="A688" s="15" t="str">
        <f>IFERROR(__xludf.DUMMYFUNCTION("""COMPUTED_VALUE"""),"RIABR0099")</f>
        <v>RIABR0099</v>
      </c>
      <c r="B688" s="16">
        <f>IFERROR(__xludf.DUMMYFUNCTION("""COMPUTED_VALUE"""),45905.45207731482)</f>
        <v>45905.45208</v>
      </c>
      <c r="C688" s="17">
        <f>IFERROR(__xludf.DUMMYFUNCTION("""COMPUTED_VALUE"""),45912.416066307866)</f>
        <v>45912.41607</v>
      </c>
      <c r="D688" s="15" t="str">
        <f>IFERROR(__xludf.DUMMYFUNCTION("""COMPUTED_VALUE"""),"WWTP")</f>
        <v>WWTP</v>
      </c>
      <c r="E688" s="15" t="str">
        <f>IFERROR(__xludf.DUMMYFUNCTION("""COMPUTED_VALUE"""),"-")</f>
        <v>-</v>
      </c>
      <c r="F688" s="15" t="str">
        <f>IFERROR(__xludf.DUMMYFUNCTION("""COMPUTED_VALUE"""),"Benang")</f>
        <v>Benang</v>
      </c>
      <c r="G688" s="15">
        <f>IFERROR(__xludf.DUMMYFUNCTION("""COMPUTED_VALUE"""),10.0)</f>
        <v>10</v>
      </c>
      <c r="H688" s="15" t="str">
        <f>IFERROR(__xludf.DUMMYFUNCTION("""COMPUTED_VALUE"""),"Mtr")</f>
        <v>Mtr</v>
      </c>
      <c r="I688" s="15" t="str">
        <f>IFERROR(__xludf.DUMMYFUNCTION("""COMPUTED_VALUE"""),"Deliver")</f>
        <v>Deliver</v>
      </c>
      <c r="J688" s="15" t="str">
        <f>IFERROR(__xludf.DUMMYFUNCTION("""COMPUTED_VALUE"""),"121704165 - APPROVED")</f>
        <v>121704165 - APPROVED</v>
      </c>
      <c r="K688" s="15" t="str">
        <f>IFERROR(__xludf.DUMMYFUNCTION("""COMPUTED_VALUE"""),"GL2605018")</f>
        <v>GL2605018</v>
      </c>
      <c r="L688" s="15" t="str">
        <f>IFERROR(__xludf.DUMMYFUNCTION("""COMPUTED_VALUE"""),"Normal")</f>
        <v>Normal</v>
      </c>
      <c r="M688" s="18" t="s">
        <v>32</v>
      </c>
      <c r="N688" s="18" t="s">
        <v>28</v>
      </c>
    </row>
    <row r="689" hidden="1">
      <c r="A689" s="15" t="str">
        <f>IFERROR(__xludf.DUMMYFUNCTION("""COMPUTED_VALUE"""),"MOBBR0045")</f>
        <v>MOBBR0045</v>
      </c>
      <c r="B689" s="16">
        <f>IFERROR(__xludf.DUMMYFUNCTION("""COMPUTED_VALUE"""),45906.539621261574)</f>
        <v>45906.53962</v>
      </c>
      <c r="C689" s="17">
        <f>IFERROR(__xludf.DUMMYFUNCTION("""COMPUTED_VALUE"""),45912.416240011575)</f>
        <v>45912.41624</v>
      </c>
      <c r="D689" s="15" t="str">
        <f>IFERROR(__xludf.DUMMYFUNCTION("""COMPUTED_VALUE"""),"PC ASRS")</f>
        <v>PC ASRS</v>
      </c>
      <c r="E689" s="15" t="str">
        <f>IFERROR(__xludf.DUMMYFUNCTION("""COMPUTED_VALUE"""),"-")</f>
        <v>-</v>
      </c>
      <c r="F689" s="15" t="str">
        <f>IFERROR(__xludf.DUMMYFUNCTION("""COMPUTED_VALUE"""),"Converter RS232 to USB")</f>
        <v>Converter RS232 to USB</v>
      </c>
      <c r="G689" s="15">
        <f>IFERROR(__xludf.DUMMYFUNCTION("""COMPUTED_VALUE"""),4.0)</f>
        <v>4</v>
      </c>
      <c r="H689" s="15" t="str">
        <f>IFERROR(__xludf.DUMMYFUNCTION("""COMPUTED_VALUE"""),"Pcs")</f>
        <v>Pcs</v>
      </c>
      <c r="I689" s="15" t="str">
        <f>IFERROR(__xludf.DUMMYFUNCTION("""COMPUTED_VALUE"""),"Deliver")</f>
        <v>Deliver</v>
      </c>
      <c r="J689" s="15" t="str">
        <f>IFERROR(__xludf.DUMMYFUNCTION("""COMPUTED_VALUE"""),"121703819 - APPROVED")</f>
        <v>121703819 - APPROVED</v>
      </c>
      <c r="K689" s="15" t="str">
        <f>IFERROR(__xludf.DUMMYFUNCTION("""COMPUTED_VALUE"""),"GL2603038")</f>
        <v>GL2603038</v>
      </c>
      <c r="L689" s="15" t="str">
        <f>IFERROR(__xludf.DUMMYFUNCTION("""COMPUTED_VALUE"""),"Normal")</f>
        <v>Normal</v>
      </c>
      <c r="M689" s="18" t="s">
        <v>31</v>
      </c>
      <c r="N689" s="18" t="s">
        <v>28</v>
      </c>
    </row>
    <row r="690" hidden="1">
      <c r="A690" s="15" t="str">
        <f>IFERROR(__xludf.DUMMYFUNCTION("""COMPUTED_VALUE"""),"NDSBR0021")</f>
        <v>NDSBR0021</v>
      </c>
      <c r="B690" s="16">
        <f>IFERROR(__xludf.DUMMYFUNCTION("""COMPUTED_VALUE"""),45906.69848425926)</f>
        <v>45906.69848</v>
      </c>
      <c r="C690" s="17">
        <f>IFERROR(__xludf.DUMMYFUNCTION("""COMPUTED_VALUE"""),45915.50779773148)</f>
        <v>45915.5078</v>
      </c>
      <c r="D690" s="15" t="str">
        <f>IFERROR(__xludf.DUMMYFUNCTION("""COMPUTED_VALUE"""),"Isolator Dispesing OSD")</f>
        <v>Isolator Dispesing OSD</v>
      </c>
      <c r="E690" s="15" t="str">
        <f>IFERROR(__xludf.DUMMYFUNCTION("""COMPUTED_VALUE"""),"EJO/2025/08/32")</f>
        <v>EJO/2025/08/32</v>
      </c>
      <c r="F690" s="15" t="str">
        <f>IFERROR(__xludf.DUMMYFUNCTION("""COMPUTED_VALUE"""),"O Ring")</f>
        <v>O Ring</v>
      </c>
      <c r="G690" s="15">
        <f>IFERROR(__xludf.DUMMYFUNCTION("""COMPUTED_VALUE"""),3.0)</f>
        <v>3</v>
      </c>
      <c r="H690" s="15" t="str">
        <f>IFERROR(__xludf.DUMMYFUNCTION("""COMPUTED_VALUE"""),"Pcs")</f>
        <v>Pcs</v>
      </c>
      <c r="I690" s="15" t="str">
        <f>IFERROR(__xludf.DUMMYFUNCTION("""COMPUTED_VALUE"""),"Deliver")</f>
        <v>Deliver</v>
      </c>
      <c r="J690" s="15" t="str">
        <f>IFERROR(__xludf.DUMMYFUNCTION("""COMPUTED_VALUE"""),"-")</f>
        <v>-</v>
      </c>
      <c r="K690" s="15" t="str">
        <f>IFERROR(__xludf.DUMMYFUNCTION("""COMPUTED_VALUE"""),"-")</f>
        <v>-</v>
      </c>
      <c r="L690" s="15" t="str">
        <f>IFERROR(__xludf.DUMMYFUNCTION("""COMPUTED_VALUE"""),"Normal")</f>
        <v>Normal</v>
      </c>
      <c r="M690" s="18" t="s">
        <v>50</v>
      </c>
      <c r="N690" s="18" t="s">
        <v>30</v>
      </c>
    </row>
    <row r="691" hidden="1">
      <c r="A691" s="15" t="str">
        <f>IFERROR(__xludf.DUMMYFUNCTION("""COMPUTED_VALUE"""),"SFHRO0021")</f>
        <v>SFHRO0021</v>
      </c>
      <c r="B691" s="16">
        <f>IFERROR(__xludf.DUMMYFUNCTION("""COMPUTED_VALUE"""),45912.69110270834)</f>
        <v>45912.6911</v>
      </c>
      <c r="C691" s="17">
        <f>IFERROR(__xludf.DUMMYFUNCTION("""COMPUTED_VALUE"""),45915.682258217596)</f>
        <v>45915.68226</v>
      </c>
      <c r="D691" s="15" t="str">
        <f>IFERROR(__xludf.DUMMYFUNCTION("""COMPUTED_VALUE"""),"lantai 2")</f>
        <v>lantai 2</v>
      </c>
      <c r="E691" s="15" t="str">
        <f>IFERROR(__xludf.DUMMYFUNCTION("""COMPUTED_VALUE"""),"-")</f>
        <v>-</v>
      </c>
      <c r="F691" s="15" t="str">
        <f>IFERROR(__xludf.DUMMYFUNCTION("""COMPUTED_VALUE"""),"General - Lem Adhesive; Superlon; -; 1kg/can")</f>
        <v>General - Lem Adhesive; Superlon; -; 1kg/can</v>
      </c>
      <c r="G691" s="15">
        <f>IFERROR(__xludf.DUMMYFUNCTION("""COMPUTED_VALUE"""),6.0)</f>
        <v>6</v>
      </c>
      <c r="H691" s="15" t="str">
        <f>IFERROR(__xludf.DUMMYFUNCTION("""COMPUTED_VALUE"""),"can")</f>
        <v>can</v>
      </c>
      <c r="I691" s="15" t="str">
        <f>IFERROR(__xludf.DUMMYFUNCTION("""COMPUTED_VALUE"""),"Deliver")</f>
        <v>Deliver</v>
      </c>
      <c r="J691" s="15" t="str">
        <f>IFERROR(__xludf.DUMMYFUNCTION("""COMPUTED_VALUE"""),"-")</f>
        <v>-</v>
      </c>
      <c r="K691" s="15" t="str">
        <f>IFERROR(__xludf.DUMMYFUNCTION("""COMPUTED_VALUE"""),"-")</f>
        <v>-</v>
      </c>
      <c r="L691" s="15" t="str">
        <f>IFERROR(__xludf.DUMMYFUNCTION("""COMPUTED_VALUE"""),"Normal")</f>
        <v>Normal</v>
      </c>
      <c r="M691" s="18" t="s">
        <v>27</v>
      </c>
      <c r="N691" s="18" t="s">
        <v>28</v>
      </c>
    </row>
    <row r="692" hidden="1">
      <c r="A692" s="15" t="str">
        <f>IFERROR(__xludf.DUMMYFUNCTION("""COMPUTED_VALUE"""),"AAABR0016")</f>
        <v>AAABR0016</v>
      </c>
      <c r="B692" s="16">
        <f>IFERROR(__xludf.DUMMYFUNCTION("""COMPUTED_VALUE"""),45909.97674041667)</f>
        <v>45909.97674</v>
      </c>
      <c r="C692" s="17">
        <f>IFERROR(__xludf.DUMMYFUNCTION("""COMPUTED_VALUE"""),45917.72166707176)</f>
        <v>45917.72167</v>
      </c>
      <c r="D692" s="15" t="str">
        <f>IFERROR(__xludf.DUMMYFUNCTION("""COMPUTED_VALUE"""),"lampu cRABS")</f>
        <v>lampu cRABS</v>
      </c>
      <c r="E692" s="15" t="str">
        <f>IFERROR(__xludf.DUMMYFUNCTION("""COMPUTED_VALUE"""),"Menyusul")</f>
        <v>Menyusul</v>
      </c>
      <c r="F692" s="15" t="str">
        <f>IFERROR(__xludf.DUMMYFUNCTION("""COMPUTED_VALUE"""),"kabel power")</f>
        <v>kabel power</v>
      </c>
      <c r="G692" s="15">
        <f>IFERROR(__xludf.DUMMYFUNCTION("""COMPUTED_VALUE"""),100.0)</f>
        <v>100</v>
      </c>
      <c r="H692" s="15" t="str">
        <f>IFERROR(__xludf.DUMMYFUNCTION("""COMPUTED_VALUE"""),"mtr")</f>
        <v>mtr</v>
      </c>
      <c r="I692" s="15" t="str">
        <f>IFERROR(__xludf.DUMMYFUNCTION("""COMPUTED_VALUE"""),"Deliver")</f>
        <v>Deliver</v>
      </c>
      <c r="J692" s="15" t="str">
        <f>IFERROR(__xludf.DUMMYFUNCTION("""COMPUTED_VALUE"""),"-")</f>
        <v>-</v>
      </c>
      <c r="K692" s="15" t="str">
        <f>IFERROR(__xludf.DUMMYFUNCTION("""COMPUTED_VALUE"""),"-")</f>
        <v>-</v>
      </c>
      <c r="L692" s="15" t="str">
        <f>IFERROR(__xludf.DUMMYFUNCTION("""COMPUTED_VALUE"""),"Normal")</f>
        <v>Normal</v>
      </c>
      <c r="M692" s="18" t="s">
        <v>47</v>
      </c>
      <c r="N692" s="18" t="s">
        <v>30</v>
      </c>
    </row>
    <row r="693" hidden="1">
      <c r="A693" s="15" t="str">
        <f>IFERROR(__xludf.DUMMYFUNCTION("""COMPUTED_VALUE"""),"AAABR0017")</f>
        <v>AAABR0017</v>
      </c>
      <c r="B693" s="16">
        <f>IFERROR(__xludf.DUMMYFUNCTION("""COMPUTED_VALUE"""),45909.97684480324)</f>
        <v>45909.97684</v>
      </c>
      <c r="C693" s="17">
        <f>IFERROR(__xludf.DUMMYFUNCTION("""COMPUTED_VALUE"""),45917.72477538194)</f>
        <v>45917.72478</v>
      </c>
      <c r="D693" s="15" t="str">
        <f>IFERROR(__xludf.DUMMYFUNCTION("""COMPUTED_VALUE"""),"lampu cRABS")</f>
        <v>lampu cRABS</v>
      </c>
      <c r="E693" s="15" t="str">
        <f>IFERROR(__xludf.DUMMYFUNCTION("""COMPUTED_VALUE"""),"Menyusul")</f>
        <v>Menyusul</v>
      </c>
      <c r="F693" s="15" t="str">
        <f>IFERROR(__xludf.DUMMYFUNCTION("""COMPUTED_VALUE"""),"junction box plastik")</f>
        <v>junction box plastik</v>
      </c>
      <c r="G693" s="15">
        <f>IFERROR(__xludf.DUMMYFUNCTION("""COMPUTED_VALUE"""),5.0)</f>
        <v>5</v>
      </c>
      <c r="H693" s="15" t="str">
        <f>IFERROR(__xludf.DUMMYFUNCTION("""COMPUTED_VALUE"""),"pcs")</f>
        <v>pcs</v>
      </c>
      <c r="I693" s="15" t="str">
        <f>IFERROR(__xludf.DUMMYFUNCTION("""COMPUTED_VALUE"""),"Deliver")</f>
        <v>Deliver</v>
      </c>
      <c r="J693" s="15" t="str">
        <f>IFERROR(__xludf.DUMMYFUNCTION("""COMPUTED_VALUE"""),"-")</f>
        <v>-</v>
      </c>
      <c r="K693" s="15" t="str">
        <f>IFERROR(__xludf.DUMMYFUNCTION("""COMPUTED_VALUE"""),"-")</f>
        <v>-</v>
      </c>
      <c r="L693" s="15" t="str">
        <f>IFERROR(__xludf.DUMMYFUNCTION("""COMPUTED_VALUE"""),"Normal")</f>
        <v>Normal</v>
      </c>
      <c r="M693" s="18" t="s">
        <v>47</v>
      </c>
      <c r="N693" s="18" t="s">
        <v>30</v>
      </c>
    </row>
    <row r="694" hidden="1">
      <c r="A694" s="15" t="str">
        <f>IFERROR(__xludf.DUMMYFUNCTION("""COMPUTED_VALUE"""),"AAABR0018")</f>
        <v>AAABR0018</v>
      </c>
      <c r="B694" s="16">
        <f>IFERROR(__xludf.DUMMYFUNCTION("""COMPUTED_VALUE"""),45909.97854922454)</f>
        <v>45909.97855</v>
      </c>
      <c r="C694" s="17">
        <f>IFERROR(__xludf.DUMMYFUNCTION("""COMPUTED_VALUE"""),45917.72600570602)</f>
        <v>45917.72601</v>
      </c>
      <c r="D694" s="15" t="str">
        <f>IFERROR(__xludf.DUMMYFUNCTION("""COMPUTED_VALUE"""),"lampu cRABS")</f>
        <v>lampu cRABS</v>
      </c>
      <c r="E694" s="15" t="str">
        <f>IFERROR(__xludf.DUMMYFUNCTION("""COMPUTED_VALUE"""),"Menyusul")</f>
        <v>Menyusul</v>
      </c>
      <c r="F694" s="15" t="str">
        <f>IFERROR(__xludf.DUMMYFUNCTION("""COMPUTED_VALUE"""),"terminal viking")</f>
        <v>terminal viking</v>
      </c>
      <c r="G694" s="15">
        <f>IFERROR(__xludf.DUMMYFUNCTION("""COMPUTED_VALUE"""),70.0)</f>
        <v>70</v>
      </c>
      <c r="H694" s="15" t="str">
        <f>IFERROR(__xludf.DUMMYFUNCTION("""COMPUTED_VALUE"""),"pcs")</f>
        <v>pcs</v>
      </c>
      <c r="I694" s="15" t="str">
        <f>IFERROR(__xludf.DUMMYFUNCTION("""COMPUTED_VALUE"""),"Deliver")</f>
        <v>Deliver</v>
      </c>
      <c r="J694" s="15" t="str">
        <f>IFERROR(__xludf.DUMMYFUNCTION("""COMPUTED_VALUE"""),"-")</f>
        <v>-</v>
      </c>
      <c r="K694" s="15" t="str">
        <f>IFERROR(__xludf.DUMMYFUNCTION("""COMPUTED_VALUE"""),"-")</f>
        <v>-</v>
      </c>
      <c r="L694" s="15" t="str">
        <f>IFERROR(__xludf.DUMMYFUNCTION("""COMPUTED_VALUE"""),"Normal")</f>
        <v>Normal</v>
      </c>
      <c r="M694" s="18" t="s">
        <v>47</v>
      </c>
      <c r="N694" s="18" t="s">
        <v>30</v>
      </c>
    </row>
    <row r="695" hidden="1">
      <c r="A695" s="15" t="str">
        <f>IFERROR(__xludf.DUMMYFUNCTION("""COMPUTED_VALUE"""),"AAABR0019")</f>
        <v>AAABR0019</v>
      </c>
      <c r="B695" s="16">
        <f>IFERROR(__xludf.DUMMYFUNCTION("""COMPUTED_VALUE"""),45909.9800743287)</f>
        <v>45909.98007</v>
      </c>
      <c r="C695" s="17">
        <f>IFERROR(__xludf.DUMMYFUNCTION("""COMPUTED_VALUE"""),45917.72634642361)</f>
        <v>45917.72635</v>
      </c>
      <c r="D695" s="15" t="str">
        <f>IFERROR(__xludf.DUMMYFUNCTION("""COMPUTED_VALUE"""),"lampu cRABS")</f>
        <v>lampu cRABS</v>
      </c>
      <c r="E695" s="15" t="str">
        <f>IFERROR(__xludf.DUMMYFUNCTION("""COMPUTED_VALUE"""),"Menyusul")</f>
        <v>Menyusul</v>
      </c>
      <c r="F695" s="15" t="str">
        <f>IFERROR(__xludf.DUMMYFUNCTION("""COMPUTED_VALUE"""),"din rail")</f>
        <v>din rail</v>
      </c>
      <c r="G695" s="15">
        <f>IFERROR(__xludf.DUMMYFUNCTION("""COMPUTED_VALUE"""),2.0)</f>
        <v>2</v>
      </c>
      <c r="H695" s="15" t="str">
        <f>IFERROR(__xludf.DUMMYFUNCTION("""COMPUTED_VALUE"""),"batang")</f>
        <v>batang</v>
      </c>
      <c r="I695" s="15" t="str">
        <f>IFERROR(__xludf.DUMMYFUNCTION("""COMPUTED_VALUE"""),"Deliver")</f>
        <v>Deliver</v>
      </c>
      <c r="J695" s="15" t="str">
        <f>IFERROR(__xludf.DUMMYFUNCTION("""COMPUTED_VALUE"""),"-")</f>
        <v>-</v>
      </c>
      <c r="K695" s="15" t="str">
        <f>IFERROR(__xludf.DUMMYFUNCTION("""COMPUTED_VALUE"""),"-")</f>
        <v>-</v>
      </c>
      <c r="L695" s="15" t="str">
        <f>IFERROR(__xludf.DUMMYFUNCTION("""COMPUTED_VALUE"""),"Normal")</f>
        <v>Normal</v>
      </c>
      <c r="M695" s="18" t="s">
        <v>47</v>
      </c>
      <c r="N695" s="18" t="s">
        <v>30</v>
      </c>
    </row>
    <row r="696" hidden="1">
      <c r="A696" s="15" t="str">
        <f>IFERROR(__xludf.DUMMYFUNCTION("""COMPUTED_VALUE"""),"AAABR0022")</f>
        <v>AAABR0022</v>
      </c>
      <c r="B696" s="16">
        <f>IFERROR(__xludf.DUMMYFUNCTION("""COMPUTED_VALUE"""),45909.982993437494)</f>
        <v>45909.98299</v>
      </c>
      <c r="C696" s="17">
        <f>IFERROR(__xludf.DUMMYFUNCTION("""COMPUTED_VALUE"""),45917.73049653935)</f>
        <v>45917.7305</v>
      </c>
      <c r="D696" s="15" t="str">
        <f>IFERROR(__xludf.DUMMYFUNCTION("""COMPUTED_VALUE"""),"lampu cRABS")</f>
        <v>lampu cRABS</v>
      </c>
      <c r="E696" s="15" t="str">
        <f>IFERROR(__xludf.DUMMYFUNCTION("""COMPUTED_VALUE"""),"Menyusul")</f>
        <v>Menyusul</v>
      </c>
      <c r="F696" s="15" t="str">
        <f>IFERROR(__xludf.DUMMYFUNCTION("""COMPUTED_VALUE"""),"terminal viking grounding")</f>
        <v>terminal viking grounding</v>
      </c>
      <c r="G696" s="15">
        <f>IFERROR(__xludf.DUMMYFUNCTION("""COMPUTED_VALUE"""),10.0)</f>
        <v>10</v>
      </c>
      <c r="H696" s="15" t="str">
        <f>IFERROR(__xludf.DUMMYFUNCTION("""COMPUTED_VALUE"""),"pcs")</f>
        <v>pcs</v>
      </c>
      <c r="I696" s="15" t="str">
        <f>IFERROR(__xludf.DUMMYFUNCTION("""COMPUTED_VALUE"""),"Deliver")</f>
        <v>Deliver</v>
      </c>
      <c r="J696" s="15" t="str">
        <f>IFERROR(__xludf.DUMMYFUNCTION("""COMPUTED_VALUE"""),"-")</f>
        <v>-</v>
      </c>
      <c r="K696" s="15" t="str">
        <f>IFERROR(__xludf.DUMMYFUNCTION("""COMPUTED_VALUE"""),"-")</f>
        <v>-</v>
      </c>
      <c r="L696" s="15" t="str">
        <f>IFERROR(__xludf.DUMMYFUNCTION("""COMPUTED_VALUE"""),"Normal")</f>
        <v>Normal</v>
      </c>
      <c r="M696" s="18" t="s">
        <v>47</v>
      </c>
      <c r="N696" s="18" t="s">
        <v>30</v>
      </c>
    </row>
    <row r="697" hidden="1">
      <c r="A697" s="15" t="str">
        <f>IFERROR(__xludf.DUMMYFUNCTION("""COMPUTED_VALUE"""),"AAABR0025")</f>
        <v>AAABR0025</v>
      </c>
      <c r="B697" s="16">
        <f>IFERROR(__xludf.DUMMYFUNCTION("""COMPUTED_VALUE"""),45910.67402706018)</f>
        <v>45910.67403</v>
      </c>
      <c r="C697" s="17">
        <f>IFERROR(__xludf.DUMMYFUNCTION("""COMPUTED_VALUE"""),45917.73348814815)</f>
        <v>45917.73349</v>
      </c>
      <c r="D697" s="15" t="str">
        <f>IFERROR(__xludf.DUMMYFUNCTION("""COMPUTED_VALUE"""),"Camera MS 30")</f>
        <v>Camera MS 30</v>
      </c>
      <c r="E697" s="15" t="str">
        <f>IFERROR(__xludf.DUMMYFUNCTION("""COMPUTED_VALUE"""),"Menyusul")</f>
        <v>Menyusul</v>
      </c>
      <c r="F697" s="15" t="str">
        <f>IFERROR(__xludf.DUMMYFUNCTION("""COMPUTED_VALUE"""),"Kunci L")</f>
        <v>Kunci L</v>
      </c>
      <c r="G697" s="15">
        <f>IFERROR(__xludf.DUMMYFUNCTION("""COMPUTED_VALUE"""),1.0)</f>
        <v>1</v>
      </c>
      <c r="H697" s="15" t="str">
        <f>IFERROR(__xludf.DUMMYFUNCTION("""COMPUTED_VALUE"""),"set")</f>
        <v>set</v>
      </c>
      <c r="I697" s="15" t="str">
        <f>IFERROR(__xludf.DUMMYFUNCTION("""COMPUTED_VALUE"""),"Deliver")</f>
        <v>Deliver</v>
      </c>
      <c r="J697" s="15" t="str">
        <f>IFERROR(__xludf.DUMMYFUNCTION("""COMPUTED_VALUE"""),"121703645 - APPROVED")</f>
        <v>121703645 - APPROVED</v>
      </c>
      <c r="K697" s="15" t="str">
        <f>IFERROR(__xludf.DUMMYFUNCTION("""COMPUTED_VALUE"""),"GL2602027")</f>
        <v>GL2602027</v>
      </c>
      <c r="L697" s="15" t="str">
        <f>IFERROR(__xludf.DUMMYFUNCTION("""COMPUTED_VALUE"""),"Normal")</f>
        <v>Normal</v>
      </c>
      <c r="M697" s="18" t="s">
        <v>47</v>
      </c>
      <c r="N697" s="18" t="s">
        <v>30</v>
      </c>
    </row>
    <row r="698" hidden="1">
      <c r="A698" s="15" t="str">
        <f>IFERROR(__xludf.DUMMYFUNCTION("""COMPUTED_VALUE"""),"MFHRO0186")</f>
        <v>MFHRO0186</v>
      </c>
      <c r="B698" s="16">
        <f>IFERROR(__xludf.DUMMYFUNCTION("""COMPUTED_VALUE"""),45921.41750222222)</f>
        <v>45921.4175</v>
      </c>
      <c r="C698" s="17">
        <f>IFERROR(__xludf.DUMMYFUNCTION("""COMPUTED_VALUE"""),45921.6902875463)</f>
        <v>45921.69029</v>
      </c>
      <c r="D698" s="15" t="str">
        <f>IFERROR(__xludf.DUMMYFUNCTION("""COMPUTED_VALUE"""),"Autoclave")</f>
        <v>Autoclave</v>
      </c>
      <c r="E698" s="15" t="str">
        <f>IFERROR(__xludf.DUMMYFUNCTION("""COMPUTED_VALUE"""),"-")</f>
        <v>-</v>
      </c>
      <c r="F698" s="15" t="str">
        <f>IFERROR(__xludf.DUMMYFUNCTION("""COMPUTED_VALUE"""),"Fedegari FVA2/A1 - O-RING 34.52x3.53; Code : CC150171; ; ;")</f>
        <v>Fedegari FVA2/A1 - O-RING 34.52x3.53; Code : CC150171; ; ;</v>
      </c>
      <c r="G698" s="15">
        <f>IFERROR(__xludf.DUMMYFUNCTION("""COMPUTED_VALUE"""),18.0)</f>
        <v>18</v>
      </c>
      <c r="H698" s="15" t="str">
        <f>IFERROR(__xludf.DUMMYFUNCTION("""COMPUTED_VALUE"""),"Pcs")</f>
        <v>Pcs</v>
      </c>
      <c r="I698" s="15" t="str">
        <f>IFERROR(__xludf.DUMMYFUNCTION("""COMPUTED_VALUE"""),"Deliver")</f>
        <v>Deliver</v>
      </c>
      <c r="J698" s="15" t="str">
        <f>IFERROR(__xludf.DUMMYFUNCTION("""COMPUTED_VALUE"""),"-")</f>
        <v>-</v>
      </c>
      <c r="K698" s="15" t="str">
        <f>IFERROR(__xludf.DUMMYFUNCTION("""COMPUTED_VALUE"""),"-")</f>
        <v>-</v>
      </c>
      <c r="L698" s="15" t="str">
        <f>IFERROR(__xludf.DUMMYFUNCTION("""COMPUTED_VALUE"""),"Normal")</f>
        <v>Normal</v>
      </c>
      <c r="M698" s="18" t="s">
        <v>53</v>
      </c>
      <c r="N698" s="18" t="s">
        <v>54</v>
      </c>
    </row>
    <row r="699" hidden="1">
      <c r="A699" s="15" t="str">
        <f>IFERROR(__xludf.DUMMYFUNCTION("""COMPUTED_VALUE"""),"MFHRO0187")</f>
        <v>MFHRO0187</v>
      </c>
      <c r="B699" s="16">
        <f>IFERROR(__xludf.DUMMYFUNCTION("""COMPUTED_VALUE"""),45921.42266859953)</f>
        <v>45921.42267</v>
      </c>
      <c r="C699" s="17">
        <f>IFERROR(__xludf.DUMMYFUNCTION("""COMPUTED_VALUE"""),45921.69039694445)</f>
        <v>45921.6904</v>
      </c>
      <c r="D699" s="15" t="str">
        <f>IFERROR(__xludf.DUMMYFUNCTION("""COMPUTED_VALUE"""),"Washing")</f>
        <v>Washing</v>
      </c>
      <c r="E699" s="15" t="str">
        <f>IFERROR(__xludf.DUMMYFUNCTION("""COMPUTED_VALUE"""),"-")</f>
        <v>-</v>
      </c>
      <c r="F699" s="15" t="str">
        <f>IFERROR(__xludf.DUMMYFUNCTION("""COMPUTED_VALUE"""),"Vent Filter HE Press 6.5 bar, temp. 40C ; Brand : NOVASIP ( PALL ) ; P/N : C3PFRPI , IT09556493 ; Pack Size : pcs")</f>
        <v>Vent Filter HE Press 6.5 bar, temp. 40C ; Brand : NOVASIP ( PALL ) ; P/N : C3PFRPI , IT09556493 ; Pack Size : pcs</v>
      </c>
      <c r="G699" s="15">
        <f>IFERROR(__xludf.DUMMYFUNCTION("""COMPUTED_VALUE"""),2.0)</f>
        <v>2</v>
      </c>
      <c r="H699" s="15" t="str">
        <f>IFERROR(__xludf.DUMMYFUNCTION("""COMPUTED_VALUE"""),"Unit")</f>
        <v>Unit</v>
      </c>
      <c r="I699" s="15" t="str">
        <f>IFERROR(__xludf.DUMMYFUNCTION("""COMPUTED_VALUE"""),"Deliver")</f>
        <v>Deliver</v>
      </c>
      <c r="J699" s="15" t="str">
        <f>IFERROR(__xludf.DUMMYFUNCTION("""COMPUTED_VALUE"""),"-")</f>
        <v>-</v>
      </c>
      <c r="K699" s="15" t="str">
        <f>IFERROR(__xludf.DUMMYFUNCTION("""COMPUTED_VALUE"""),"-")</f>
        <v>-</v>
      </c>
      <c r="L699" s="15" t="str">
        <f>IFERROR(__xludf.DUMMYFUNCTION("""COMPUTED_VALUE"""),"Normal")</f>
        <v>Normal</v>
      </c>
      <c r="M699" s="18" t="s">
        <v>53</v>
      </c>
      <c r="N699" s="18" t="s">
        <v>54</v>
      </c>
    </row>
    <row r="700" hidden="1">
      <c r="A700" s="15" t="str">
        <f>IFERROR(__xludf.DUMMYFUNCTION("""COMPUTED_VALUE"""),"MFHRO0188")</f>
        <v>MFHRO0188</v>
      </c>
      <c r="B700" s="16">
        <f>IFERROR(__xludf.DUMMYFUNCTION("""COMPUTED_VALUE"""),45921.42266859953)</f>
        <v>45921.42267</v>
      </c>
      <c r="C700" s="17">
        <f>IFERROR(__xludf.DUMMYFUNCTION("""COMPUTED_VALUE"""),45921.690480289355)</f>
        <v>45921.69048</v>
      </c>
      <c r="D700" s="15" t="str">
        <f>IFERROR(__xludf.DUMMYFUNCTION("""COMPUTED_VALUE"""),"Filling")</f>
        <v>Filling</v>
      </c>
      <c r="E700" s="15" t="str">
        <f>IFERROR(__xludf.DUMMYFUNCTION("""COMPUTED_VALUE"""),"-")</f>
        <v>-</v>
      </c>
      <c r="F700" s="15" t="str">
        <f>IFERROR(__xludf.DUMMYFUNCTION("""COMPUTED_VALUE"""),"Ferrule to Hose 1,5 inch x 7mm; ; ;")</f>
        <v>Ferrule to Hose 1,5 inch x 7mm; ; ;</v>
      </c>
      <c r="G700" s="15">
        <f>IFERROR(__xludf.DUMMYFUNCTION("""COMPUTED_VALUE"""),2.0)</f>
        <v>2</v>
      </c>
      <c r="H700" s="15" t="str">
        <f>IFERROR(__xludf.DUMMYFUNCTION("""COMPUTED_VALUE"""),"Pieces")</f>
        <v>Pieces</v>
      </c>
      <c r="I700" s="15" t="str">
        <f>IFERROR(__xludf.DUMMYFUNCTION("""COMPUTED_VALUE"""),"Deliver")</f>
        <v>Deliver</v>
      </c>
      <c r="J700" s="15" t="str">
        <f>IFERROR(__xludf.DUMMYFUNCTION("""COMPUTED_VALUE"""),"-")</f>
        <v>-</v>
      </c>
      <c r="K700" s="15" t="str">
        <f>IFERROR(__xludf.DUMMYFUNCTION("""COMPUTED_VALUE"""),"-")</f>
        <v>-</v>
      </c>
      <c r="L700" s="15" t="str">
        <f>IFERROR(__xludf.DUMMYFUNCTION("""COMPUTED_VALUE"""),"Normal")</f>
        <v>Normal</v>
      </c>
      <c r="M700" s="18" t="s">
        <v>53</v>
      </c>
      <c r="N700" s="18" t="s">
        <v>54</v>
      </c>
    </row>
    <row r="701" hidden="1">
      <c r="A701" s="15" t="str">
        <f>IFERROR(__xludf.DUMMYFUNCTION("""COMPUTED_VALUE"""),"MFHRO0189")</f>
        <v>MFHRO0189</v>
      </c>
      <c r="B701" s="16">
        <f>IFERROR(__xludf.DUMMYFUNCTION("""COMPUTED_VALUE"""),45921.42267392362)</f>
        <v>45921.42267</v>
      </c>
      <c r="C701" s="17">
        <f>IFERROR(__xludf.DUMMYFUNCTION("""COMPUTED_VALUE"""),45921.69065502315)</f>
        <v>45921.69066</v>
      </c>
      <c r="D701" s="15" t="str">
        <f>IFERROR(__xludf.DUMMYFUNCTION("""COMPUTED_VALUE"""),"Washing")</f>
        <v>Washing</v>
      </c>
      <c r="E701" s="15" t="str">
        <f>IFERROR(__xludf.DUMMYFUNCTION("""COMPUTED_VALUE"""),"-")</f>
        <v>-</v>
      </c>
      <c r="F701" s="15" t="str">
        <f>IFERROR(__xludf.DUMMYFUNCTION("""COMPUTED_VALUE"""),"Washing RAR4 - Pincers Jaws 4 Positions 10R Vial Neck d=15.5 HARRISA CIPTARINDO ENGINEERING, CV. P/N : -  pc")</f>
        <v>Washing RAR4 - Pincers Jaws 4 Positions 10R Vial Neck d=15.5 HARRISA CIPTARINDO ENGINEERING, CV. P/N : -  pc</v>
      </c>
      <c r="G701" s="15">
        <f>IFERROR(__xludf.DUMMYFUNCTION("""COMPUTED_VALUE"""),14.0)</f>
        <v>14</v>
      </c>
      <c r="H701" s="15" t="str">
        <f>IFERROR(__xludf.DUMMYFUNCTION("""COMPUTED_VALUE"""),"Pieces")</f>
        <v>Pieces</v>
      </c>
      <c r="I701" s="15" t="str">
        <f>IFERROR(__xludf.DUMMYFUNCTION("""COMPUTED_VALUE"""),"Deliver")</f>
        <v>Deliver</v>
      </c>
      <c r="J701" s="15" t="str">
        <f>IFERROR(__xludf.DUMMYFUNCTION("""COMPUTED_VALUE"""),"-")</f>
        <v>-</v>
      </c>
      <c r="K701" s="15" t="str">
        <f>IFERROR(__xludf.DUMMYFUNCTION("""COMPUTED_VALUE"""),"-")</f>
        <v>-</v>
      </c>
      <c r="L701" s="15" t="str">
        <f>IFERROR(__xludf.DUMMYFUNCTION("""COMPUTED_VALUE"""),"Normal")</f>
        <v>Normal</v>
      </c>
      <c r="M701" s="18" t="s">
        <v>53</v>
      </c>
      <c r="N701" s="18" t="s">
        <v>54</v>
      </c>
    </row>
    <row r="702" hidden="1">
      <c r="A702" s="15" t="str">
        <f>IFERROR(__xludf.DUMMYFUNCTION("""COMPUTED_VALUE"""),"MFHRO0190")</f>
        <v>MFHRO0190</v>
      </c>
      <c r="B702" s="16">
        <f>IFERROR(__xludf.DUMMYFUNCTION("""COMPUTED_VALUE"""),45921.42267392362)</f>
        <v>45921.42267</v>
      </c>
      <c r="C702" s="17">
        <f>IFERROR(__xludf.DUMMYFUNCTION("""COMPUTED_VALUE"""),45921.69094118055)</f>
        <v>45921.69094</v>
      </c>
      <c r="D702" s="15" t="str">
        <f>IFERROR(__xludf.DUMMYFUNCTION("""COMPUTED_VALUE"""),"Washing")</f>
        <v>Washing</v>
      </c>
      <c r="E702" s="15" t="str">
        <f>IFERROR(__xludf.DUMMYFUNCTION("""COMPUTED_VALUE"""),"-")</f>
        <v>-</v>
      </c>
      <c r="F702" s="15" t="str">
        <f>IFERROR(__xludf.DUMMYFUNCTION("""COMPUTED_VALUE"""),"Washing RAR4 - Pincers Jaws for Vial 6mL HARRISA CIPTARINDO ENGINEERING, CV. P/N : -  pc")</f>
        <v>Washing RAR4 - Pincers Jaws for Vial 6mL HARRISA CIPTARINDO ENGINEERING, CV. P/N : -  pc</v>
      </c>
      <c r="G702" s="15">
        <f>IFERROR(__xludf.DUMMYFUNCTION("""COMPUTED_VALUE"""),18.0)</f>
        <v>18</v>
      </c>
      <c r="H702" s="15" t="str">
        <f>IFERROR(__xludf.DUMMYFUNCTION("""COMPUTED_VALUE"""),"Pieces")</f>
        <v>Pieces</v>
      </c>
      <c r="I702" s="15" t="str">
        <f>IFERROR(__xludf.DUMMYFUNCTION("""COMPUTED_VALUE"""),"Deliver")</f>
        <v>Deliver</v>
      </c>
      <c r="J702" s="15" t="str">
        <f>IFERROR(__xludf.DUMMYFUNCTION("""COMPUTED_VALUE"""),"-")</f>
        <v>-</v>
      </c>
      <c r="K702" s="15" t="str">
        <f>IFERROR(__xludf.DUMMYFUNCTION("""COMPUTED_VALUE"""),"-")</f>
        <v>-</v>
      </c>
      <c r="L702" s="15" t="str">
        <f>IFERROR(__xludf.DUMMYFUNCTION("""COMPUTED_VALUE"""),"Normal")</f>
        <v>Normal</v>
      </c>
      <c r="M702" s="18" t="s">
        <v>53</v>
      </c>
      <c r="N702" s="18" t="s">
        <v>54</v>
      </c>
    </row>
    <row r="703" hidden="1">
      <c r="A703" s="15" t="str">
        <f>IFERROR(__xludf.DUMMYFUNCTION("""COMPUTED_VALUE"""),"MFHRO0191")</f>
        <v>MFHRO0191</v>
      </c>
      <c r="B703" s="16">
        <f>IFERROR(__xludf.DUMMYFUNCTION("""COMPUTED_VALUE"""),45921.42267392362)</f>
        <v>45921.42267</v>
      </c>
      <c r="C703" s="17">
        <f>IFERROR(__xludf.DUMMYFUNCTION("""COMPUTED_VALUE"""),45921.69105310185)</f>
        <v>45921.69105</v>
      </c>
      <c r="D703" s="15" t="str">
        <f>IFERROR(__xludf.DUMMYFUNCTION("""COMPUTED_VALUE"""),"Filling")</f>
        <v>Filling</v>
      </c>
      <c r="E703" s="15" t="str">
        <f>IFERROR(__xludf.DUMMYFUNCTION("""COMPUTED_VALUE"""),"-")</f>
        <v>-</v>
      </c>
      <c r="F703" s="15" t="str">
        <f>IFERROR(__xludf.DUMMYFUNCTION("""COMPUTED_VALUE"""),"Filling VFM100 - Base Plate Loadcell 163.5x28x4mm; Custom/Lokal; -; 1 Pc")</f>
        <v>Filling VFM100 - Base Plate Loadcell 163.5x28x4mm; Custom/Lokal; -; 1 Pc</v>
      </c>
      <c r="G703" s="15">
        <f>IFERROR(__xludf.DUMMYFUNCTION("""COMPUTED_VALUE"""),1.0)</f>
        <v>1</v>
      </c>
      <c r="H703" s="15" t="str">
        <f>IFERROR(__xludf.DUMMYFUNCTION("""COMPUTED_VALUE"""),"Pieces")</f>
        <v>Pieces</v>
      </c>
      <c r="I703" s="15" t="str">
        <f>IFERROR(__xludf.DUMMYFUNCTION("""COMPUTED_VALUE"""),"Deliver")</f>
        <v>Deliver</v>
      </c>
      <c r="J703" s="15" t="str">
        <f>IFERROR(__xludf.DUMMYFUNCTION("""COMPUTED_VALUE"""),"-")</f>
        <v>-</v>
      </c>
      <c r="K703" s="15" t="str">
        <f>IFERROR(__xludf.DUMMYFUNCTION("""COMPUTED_VALUE"""),"-")</f>
        <v>-</v>
      </c>
      <c r="L703" s="15" t="str">
        <f>IFERROR(__xludf.DUMMYFUNCTION("""COMPUTED_VALUE"""),"Normal")</f>
        <v>Normal</v>
      </c>
      <c r="M703" s="18" t="s">
        <v>53</v>
      </c>
      <c r="N703" s="18" t="s">
        <v>54</v>
      </c>
    </row>
    <row r="704" hidden="1">
      <c r="A704" s="15" t="str">
        <f>IFERROR(__xludf.DUMMYFUNCTION("""COMPUTED_VALUE"""),"MFHRO0192")</f>
        <v>MFHRO0192</v>
      </c>
      <c r="B704" s="16">
        <f>IFERROR(__xludf.DUMMYFUNCTION("""COMPUTED_VALUE"""),45921.42268065973)</f>
        <v>45921.42268</v>
      </c>
      <c r="C704" s="17">
        <f>IFERROR(__xludf.DUMMYFUNCTION("""COMPUTED_VALUE"""),45921.69116418981)</f>
        <v>45921.69116</v>
      </c>
      <c r="D704" s="15" t="str">
        <f>IFERROR(__xludf.DUMMYFUNCTION("""COMPUTED_VALUE"""),"Filling")</f>
        <v>Filling</v>
      </c>
      <c r="E704" s="15" t="str">
        <f>IFERROR(__xludf.DUMMYFUNCTION("""COMPUTED_VALUE"""),"-")</f>
        <v>-</v>
      </c>
      <c r="F704" s="15" t="str">
        <f>IFERROR(__xludf.DUMMYFUNCTION("""COMPUTED_VALUE"""),"Filling VFM100 - Adapter Loadcell 30x30x4mm; Custom/Lokal; -; 1 Pc")</f>
        <v>Filling VFM100 - Adapter Loadcell 30x30x4mm; Custom/Lokal; -; 1 Pc</v>
      </c>
      <c r="G704" s="15">
        <f>IFERROR(__xludf.DUMMYFUNCTION("""COMPUTED_VALUE"""),1.0)</f>
        <v>1</v>
      </c>
      <c r="H704" s="15" t="str">
        <f>IFERROR(__xludf.DUMMYFUNCTION("""COMPUTED_VALUE"""),"Pieces")</f>
        <v>Pieces</v>
      </c>
      <c r="I704" s="15" t="str">
        <f>IFERROR(__xludf.DUMMYFUNCTION("""COMPUTED_VALUE"""),"Deliver")</f>
        <v>Deliver</v>
      </c>
      <c r="J704" s="15" t="str">
        <f>IFERROR(__xludf.DUMMYFUNCTION("""COMPUTED_VALUE"""),"-")</f>
        <v>-</v>
      </c>
      <c r="K704" s="15" t="str">
        <f>IFERROR(__xludf.DUMMYFUNCTION("""COMPUTED_VALUE"""),"-")</f>
        <v>-</v>
      </c>
      <c r="L704" s="15" t="str">
        <f>IFERROR(__xludf.DUMMYFUNCTION("""COMPUTED_VALUE"""),"Normal")</f>
        <v>Normal</v>
      </c>
      <c r="M704" s="18" t="s">
        <v>53</v>
      </c>
      <c r="N704" s="18" t="s">
        <v>54</v>
      </c>
    </row>
    <row r="705" hidden="1">
      <c r="A705" s="15" t="str">
        <f>IFERROR(__xludf.DUMMYFUNCTION("""COMPUTED_VALUE"""),"MFHRO0193")</f>
        <v>MFHRO0193</v>
      </c>
      <c r="B705" s="16">
        <f>IFERROR(__xludf.DUMMYFUNCTION("""COMPUTED_VALUE"""),45921.42268065973)</f>
        <v>45921.42268</v>
      </c>
      <c r="C705" s="17">
        <f>IFERROR(__xludf.DUMMYFUNCTION("""COMPUTED_VALUE"""),45921.69133444445)</f>
        <v>45921.69133</v>
      </c>
      <c r="D705" s="15" t="str">
        <f>IFERROR(__xludf.DUMMYFUNCTION("""COMPUTED_VALUE"""),"Filling")</f>
        <v>Filling</v>
      </c>
      <c r="E705" s="15" t="str">
        <f>IFERROR(__xludf.DUMMYFUNCTION("""COMPUTED_VALUE"""),"-")</f>
        <v>-</v>
      </c>
      <c r="F705" s="15" t="str">
        <f>IFERROR(__xludf.DUMMYFUNCTION("""COMPUTED_VALUE"""),"Filling VFM100 - Dudukan Piringan 30x14x9mm; Custom/Lokal; -; 1 Pc")</f>
        <v>Filling VFM100 - Dudukan Piringan 30x14x9mm; Custom/Lokal; -; 1 Pc</v>
      </c>
      <c r="G705" s="15">
        <f>IFERROR(__xludf.DUMMYFUNCTION("""COMPUTED_VALUE"""),1.0)</f>
        <v>1</v>
      </c>
      <c r="H705" s="15" t="str">
        <f>IFERROR(__xludf.DUMMYFUNCTION("""COMPUTED_VALUE"""),"Pieces")</f>
        <v>Pieces</v>
      </c>
      <c r="I705" s="15" t="str">
        <f>IFERROR(__xludf.DUMMYFUNCTION("""COMPUTED_VALUE"""),"Deliver")</f>
        <v>Deliver</v>
      </c>
      <c r="J705" s="15" t="str">
        <f>IFERROR(__xludf.DUMMYFUNCTION("""COMPUTED_VALUE"""),"-")</f>
        <v>-</v>
      </c>
      <c r="K705" s="15" t="str">
        <f>IFERROR(__xludf.DUMMYFUNCTION("""COMPUTED_VALUE"""),"-")</f>
        <v>-</v>
      </c>
      <c r="L705" s="15" t="str">
        <f>IFERROR(__xludf.DUMMYFUNCTION("""COMPUTED_VALUE"""),"Normal")</f>
        <v>Normal</v>
      </c>
      <c r="M705" s="18" t="s">
        <v>53</v>
      </c>
      <c r="N705" s="18" t="s">
        <v>54</v>
      </c>
    </row>
    <row r="706" hidden="1">
      <c r="A706" s="15" t="str">
        <f>IFERROR(__xludf.DUMMYFUNCTION("""COMPUTED_VALUE"""),"MFHRO0194")</f>
        <v>MFHRO0194</v>
      </c>
      <c r="B706" s="16">
        <f>IFERROR(__xludf.DUMMYFUNCTION("""COMPUTED_VALUE"""),45921.42268065973)</f>
        <v>45921.42268</v>
      </c>
      <c r="C706" s="17">
        <f>IFERROR(__xludf.DUMMYFUNCTION("""COMPUTED_VALUE"""),45921.69154097222)</f>
        <v>45921.69154</v>
      </c>
      <c r="D706" s="15" t="str">
        <f>IFERROR(__xludf.DUMMYFUNCTION("""COMPUTED_VALUE"""),"cRABS")</f>
        <v>cRABS</v>
      </c>
      <c r="E706" s="15" t="str">
        <f>IFERROR(__xludf.DUMMYFUNCTION("""COMPUTED_VALUE"""),"-")</f>
        <v>-</v>
      </c>
      <c r="F706" s="15" t="str">
        <f>IFERROR(__xludf.DUMMYFUNCTION("""COMPUTED_VALUE"""),"cRABS Z064CR - Glove Port Pom White Uk: 227x310x15.25mm; Custom/Lokal; -; 1 Pc")</f>
        <v>cRABS Z064CR - Glove Port Pom White Uk: 227x310x15.25mm; Custom/Lokal; -; 1 Pc</v>
      </c>
      <c r="G706" s="15">
        <f>IFERROR(__xludf.DUMMYFUNCTION("""COMPUTED_VALUE"""),2.0)</f>
        <v>2</v>
      </c>
      <c r="H706" s="15" t="str">
        <f>IFERROR(__xludf.DUMMYFUNCTION("""COMPUTED_VALUE"""),"Pieces")</f>
        <v>Pieces</v>
      </c>
      <c r="I706" s="15" t="str">
        <f>IFERROR(__xludf.DUMMYFUNCTION("""COMPUTED_VALUE"""),"Deliver")</f>
        <v>Deliver</v>
      </c>
      <c r="J706" s="15" t="str">
        <f>IFERROR(__xludf.DUMMYFUNCTION("""COMPUTED_VALUE"""),"-")</f>
        <v>-</v>
      </c>
      <c r="K706" s="15" t="str">
        <f>IFERROR(__xludf.DUMMYFUNCTION("""COMPUTED_VALUE"""),"-")</f>
        <v>-</v>
      </c>
      <c r="L706" s="15" t="str">
        <f>IFERROR(__xludf.DUMMYFUNCTION("""COMPUTED_VALUE"""),"Normal")</f>
        <v>Normal</v>
      </c>
      <c r="M706" s="18" t="s">
        <v>53</v>
      </c>
      <c r="N706" s="18" t="s">
        <v>54</v>
      </c>
    </row>
    <row r="707" hidden="1">
      <c r="A707" s="15" t="str">
        <f>IFERROR(__xludf.DUMMYFUNCTION("""COMPUTED_VALUE"""),"MFHRO0195")</f>
        <v>MFHRO0195</v>
      </c>
      <c r="B707" s="16">
        <f>IFERROR(__xludf.DUMMYFUNCTION("""COMPUTED_VALUE"""),45921.5119862963)</f>
        <v>45921.51199</v>
      </c>
      <c r="C707" s="17">
        <f>IFERROR(__xludf.DUMMYFUNCTION("""COMPUTED_VALUE"""),45921.69383737269)</f>
        <v>45921.69384</v>
      </c>
      <c r="D707" s="15" t="str">
        <f>IFERROR(__xludf.DUMMYFUNCTION("""COMPUTED_VALUE"""),"Tunnel")</f>
        <v>Tunnel</v>
      </c>
      <c r="E707" s="15" t="str">
        <f>IFERROR(__xludf.DUMMYFUNCTION("""COMPUTED_VALUE"""),"-")</f>
        <v>-</v>
      </c>
      <c r="F707" s="15" t="str">
        <f>IFERROR(__xludf.DUMMYFUNCTION("""COMPUTED_VALUE"""),"FILTER ABSOLUTE, CAMFILL - 1ER(GS) - 1PU; DIN EN 1822 : H14; EFFICIENCY: 99,995% MPPS; DIMENSION: 305X457X150; SERIAL NO. 060052-15122")</f>
        <v>FILTER ABSOLUTE, CAMFILL - 1ER(GS) - 1PU; DIN EN 1822 : H14; EFFICIENCY: 99,995% MPPS; DIMENSION: 305X457X150; SERIAL NO. 060052-15122</v>
      </c>
      <c r="G707" s="15">
        <f>IFERROR(__xludf.DUMMYFUNCTION("""COMPUTED_VALUE"""),1.0)</f>
        <v>1</v>
      </c>
      <c r="H707" s="15" t="str">
        <f>IFERROR(__xludf.DUMMYFUNCTION("""COMPUTED_VALUE"""),"Unit")</f>
        <v>Unit</v>
      </c>
      <c r="I707" s="15" t="str">
        <f>IFERROR(__xludf.DUMMYFUNCTION("""COMPUTED_VALUE"""),"Deliver")</f>
        <v>Deliver</v>
      </c>
      <c r="J707" s="15" t="str">
        <f>IFERROR(__xludf.DUMMYFUNCTION("""COMPUTED_VALUE"""),"-")</f>
        <v>-</v>
      </c>
      <c r="K707" s="15" t="str">
        <f>IFERROR(__xludf.DUMMYFUNCTION("""COMPUTED_VALUE"""),"-")</f>
        <v>-</v>
      </c>
      <c r="L707" s="15" t="str">
        <f>IFERROR(__xludf.DUMMYFUNCTION("""COMPUTED_VALUE"""),"Normal")</f>
        <v>Normal</v>
      </c>
      <c r="M707" s="18" t="s">
        <v>53</v>
      </c>
      <c r="N707" s="18" t="s">
        <v>54</v>
      </c>
    </row>
    <row r="708" hidden="1">
      <c r="A708" s="15" t="str">
        <f>IFERROR(__xludf.DUMMYFUNCTION("""COMPUTED_VALUE"""),"MFHRO0196")</f>
        <v>MFHRO0196</v>
      </c>
      <c r="B708" s="16">
        <f>IFERROR(__xludf.DUMMYFUNCTION("""COMPUTED_VALUE"""),45921.5119862963)</f>
        <v>45921.51199</v>
      </c>
      <c r="C708" s="17">
        <f>IFERROR(__xludf.DUMMYFUNCTION("""COMPUTED_VALUE"""),45921.69398319445)</f>
        <v>45921.69398</v>
      </c>
      <c r="D708" s="15" t="str">
        <f>IFERROR(__xludf.DUMMYFUNCTION("""COMPUTED_VALUE"""),"cRABS")</f>
        <v>cRABS</v>
      </c>
      <c r="E708" s="15" t="str">
        <f>IFERROR(__xludf.DUMMYFUNCTION("""COMPUTED_VALUE"""),"-")</f>
        <v>-</v>
      </c>
      <c r="F708" s="15" t="str">
        <f>IFERROR(__xludf.DUMMYFUNCTION("""COMPUTED_VALUE"""),"HEPA filter minipleat, size: 457x610x69 Class (EN 1822) : H14 - 99,995% MPPS; Hencolin; ;")</f>
        <v>HEPA filter minipleat, size: 457x610x69 Class (EN 1822) : H14 - 99,995% MPPS; Hencolin; ;</v>
      </c>
      <c r="G708" s="15">
        <f>IFERROR(__xludf.DUMMYFUNCTION("""COMPUTED_VALUE"""),2.0)</f>
        <v>2</v>
      </c>
      <c r="H708" s="15" t="str">
        <f>IFERROR(__xludf.DUMMYFUNCTION("""COMPUTED_VALUE"""),"Pieces")</f>
        <v>Pieces</v>
      </c>
      <c r="I708" s="15" t="str">
        <f>IFERROR(__xludf.DUMMYFUNCTION("""COMPUTED_VALUE"""),"Deliver")</f>
        <v>Deliver</v>
      </c>
      <c r="J708" s="15" t="str">
        <f>IFERROR(__xludf.DUMMYFUNCTION("""COMPUTED_VALUE"""),"-")</f>
        <v>-</v>
      </c>
      <c r="K708" s="15" t="str">
        <f>IFERROR(__xludf.DUMMYFUNCTION("""COMPUTED_VALUE"""),"-")</f>
        <v>-</v>
      </c>
      <c r="L708" s="15" t="str">
        <f>IFERROR(__xludf.DUMMYFUNCTION("""COMPUTED_VALUE"""),"Normal")</f>
        <v>Normal</v>
      </c>
      <c r="M708" s="18" t="s">
        <v>53</v>
      </c>
      <c r="N708" s="18" t="s">
        <v>54</v>
      </c>
    </row>
    <row r="709" hidden="1">
      <c r="A709" s="15" t="str">
        <f>IFERROR(__xludf.DUMMYFUNCTION("""COMPUTED_VALUE"""),"MFHRO0197")</f>
        <v>MFHRO0197</v>
      </c>
      <c r="B709" s="16">
        <f>IFERROR(__xludf.DUMMYFUNCTION("""COMPUTED_VALUE"""),45921.5119862963)</f>
        <v>45921.51199</v>
      </c>
      <c r="C709" s="17">
        <f>IFERROR(__xludf.DUMMYFUNCTION("""COMPUTED_VALUE"""),45921.694135185186)</f>
        <v>45921.69414</v>
      </c>
      <c r="D709" s="15" t="str">
        <f>IFERROR(__xludf.DUMMYFUNCTION("""COMPUTED_VALUE"""),"cRABS")</f>
        <v>cRABS</v>
      </c>
      <c r="E709" s="15" t="str">
        <f>IFERROR(__xludf.DUMMYFUNCTION("""COMPUTED_VALUE"""),"-")</f>
        <v>-</v>
      </c>
      <c r="F709" s="15" t="str">
        <f>IFERROR(__xludf.DUMMYFUNCTION("""COMPUTED_VALUE"""),"HEPA filter minipleat, size: 762x457x69 Class (EN 1822) : H14 - 99,995% MPPS; Hencolin; ;")</f>
        <v>HEPA filter minipleat, size: 762x457x69 Class (EN 1822) : H14 - 99,995% MPPS; Hencolin; ;</v>
      </c>
      <c r="G709" s="15">
        <f>IFERROR(__xludf.DUMMYFUNCTION("""COMPUTED_VALUE"""),2.0)</f>
        <v>2</v>
      </c>
      <c r="H709" s="15" t="str">
        <f>IFERROR(__xludf.DUMMYFUNCTION("""COMPUTED_VALUE"""),"Pieces")</f>
        <v>Pieces</v>
      </c>
      <c r="I709" s="15" t="str">
        <f>IFERROR(__xludf.DUMMYFUNCTION("""COMPUTED_VALUE"""),"Deliver")</f>
        <v>Deliver</v>
      </c>
      <c r="J709" s="15" t="str">
        <f>IFERROR(__xludf.DUMMYFUNCTION("""COMPUTED_VALUE"""),"-")</f>
        <v>-</v>
      </c>
      <c r="K709" s="15" t="str">
        <f>IFERROR(__xludf.DUMMYFUNCTION("""COMPUTED_VALUE"""),"-")</f>
        <v>-</v>
      </c>
      <c r="L709" s="15" t="str">
        <f>IFERROR(__xludf.DUMMYFUNCTION("""COMPUTED_VALUE"""),"Normal")</f>
        <v>Normal</v>
      </c>
      <c r="M709" s="18" t="s">
        <v>53</v>
      </c>
      <c r="N709" s="18" t="s">
        <v>54</v>
      </c>
    </row>
    <row r="710" hidden="1">
      <c r="A710" s="15" t="str">
        <f>IFERROR(__xludf.DUMMYFUNCTION("""COMPUTED_VALUE"""),"MFHRO0198")</f>
        <v>MFHRO0198</v>
      </c>
      <c r="B710" s="16">
        <f>IFERROR(__xludf.DUMMYFUNCTION("""COMPUTED_VALUE"""),45921.5119862963)</f>
        <v>45921.51199</v>
      </c>
      <c r="C710" s="17">
        <f>IFERROR(__xludf.DUMMYFUNCTION("""COMPUTED_VALUE"""),45921.694274513895)</f>
        <v>45921.69427</v>
      </c>
      <c r="D710" s="15" t="str">
        <f>IFERROR(__xludf.DUMMYFUNCTION("""COMPUTED_VALUE"""),"cRABS")</f>
        <v>cRABS</v>
      </c>
      <c r="E710" s="15" t="str">
        <f>IFERROR(__xludf.DUMMYFUNCTION("""COMPUTED_VALUE"""),"-")</f>
        <v>-</v>
      </c>
      <c r="F710" s="15" t="str">
        <f>IFERROR(__xludf.DUMMYFUNCTION("""COMPUTED_VALUE"""),"HEPA filter minipleat, size: 610X305X93 H13; Hencolin; ;")</f>
        <v>HEPA filter minipleat, size: 610X305X93 H13; Hencolin; ;</v>
      </c>
      <c r="G710" s="15">
        <f>IFERROR(__xludf.DUMMYFUNCTION("""COMPUTED_VALUE"""),2.0)</f>
        <v>2</v>
      </c>
      <c r="H710" s="15" t="str">
        <f>IFERROR(__xludf.DUMMYFUNCTION("""COMPUTED_VALUE"""),"Pieces")</f>
        <v>Pieces</v>
      </c>
      <c r="I710" s="15" t="str">
        <f>IFERROR(__xludf.DUMMYFUNCTION("""COMPUTED_VALUE"""),"Deliver")</f>
        <v>Deliver</v>
      </c>
      <c r="J710" s="15" t="str">
        <f>IFERROR(__xludf.DUMMYFUNCTION("""COMPUTED_VALUE"""),"-")</f>
        <v>-</v>
      </c>
      <c r="K710" s="15" t="str">
        <f>IFERROR(__xludf.DUMMYFUNCTION("""COMPUTED_VALUE"""),"-")</f>
        <v>-</v>
      </c>
      <c r="L710" s="15" t="str">
        <f>IFERROR(__xludf.DUMMYFUNCTION("""COMPUTED_VALUE"""),"Normal")</f>
        <v>Normal</v>
      </c>
      <c r="M710" s="18" t="s">
        <v>53</v>
      </c>
      <c r="N710" s="18" t="s">
        <v>54</v>
      </c>
    </row>
    <row r="711" hidden="1">
      <c r="A711" s="15" t="str">
        <f>IFERROR(__xludf.DUMMYFUNCTION("""COMPUTED_VALUE"""),"MFHRO0199")</f>
        <v>MFHRO0199</v>
      </c>
      <c r="B711" s="16">
        <f>IFERROR(__xludf.DUMMYFUNCTION("""COMPUTED_VALUE"""),45921.5119862963)</f>
        <v>45921.51199</v>
      </c>
      <c r="C711" s="17">
        <f>IFERROR(__xludf.DUMMYFUNCTION("""COMPUTED_VALUE"""),45921.6957337037)</f>
        <v>45921.69573</v>
      </c>
      <c r="D711" s="15" t="str">
        <f>IFERROR(__xludf.DUMMYFUNCTION("""COMPUTED_VALUE"""),"Capping")</f>
        <v>Capping</v>
      </c>
      <c r="E711" s="15" t="str">
        <f>IFERROR(__xludf.DUMMYFUNCTION("""COMPUTED_VALUE"""),"-")</f>
        <v>-</v>
      </c>
      <c r="F711" s="15" t="str">
        <f>IFERROR(__xludf.DUMMYFUNCTION("""COMPUTED_VALUE"""),"Capping VCM200 - Coupling for Encoder NBK MST 32 - P/N : -  pc")</f>
        <v>Capping VCM200 - Coupling for Encoder NBK MST 32 - P/N : -  pc</v>
      </c>
      <c r="G711" s="15">
        <f>IFERROR(__xludf.DUMMYFUNCTION("""COMPUTED_VALUE"""),2.0)</f>
        <v>2</v>
      </c>
      <c r="H711" s="15" t="str">
        <f>IFERROR(__xludf.DUMMYFUNCTION("""COMPUTED_VALUE"""),"Pieces")</f>
        <v>Pieces</v>
      </c>
      <c r="I711" s="15" t="str">
        <f>IFERROR(__xludf.DUMMYFUNCTION("""COMPUTED_VALUE"""),"Deliver")</f>
        <v>Deliver</v>
      </c>
      <c r="J711" s="15" t="str">
        <f>IFERROR(__xludf.DUMMYFUNCTION("""COMPUTED_VALUE"""),"-")</f>
        <v>-</v>
      </c>
      <c r="K711" s="15" t="str">
        <f>IFERROR(__xludf.DUMMYFUNCTION("""COMPUTED_VALUE"""),"-")</f>
        <v>-</v>
      </c>
      <c r="L711" s="15" t="str">
        <f>IFERROR(__xludf.DUMMYFUNCTION("""COMPUTED_VALUE"""),"Normal")</f>
        <v>Normal</v>
      </c>
      <c r="M711" s="18" t="s">
        <v>53</v>
      </c>
      <c r="N711" s="18" t="s">
        <v>54</v>
      </c>
    </row>
    <row r="712" hidden="1">
      <c r="A712" s="15" t="str">
        <f>IFERROR(__xludf.DUMMYFUNCTION("""COMPUTED_VALUE"""),"MFHRO0200")</f>
        <v>MFHRO0200</v>
      </c>
      <c r="B712" s="16">
        <f>IFERROR(__xludf.DUMMYFUNCTION("""COMPUTED_VALUE"""),45921.5119862963)</f>
        <v>45921.51199</v>
      </c>
      <c r="C712" s="17">
        <f>IFERROR(__xludf.DUMMYFUNCTION("""COMPUTED_VALUE"""),45921.69586424769)</f>
        <v>45921.69586</v>
      </c>
      <c r="D712" s="15" t="str">
        <f>IFERROR(__xludf.DUMMYFUNCTION("""COMPUTED_VALUE"""),"Washing")</f>
        <v>Washing</v>
      </c>
      <c r="E712" s="15" t="str">
        <f>IFERROR(__xludf.DUMMYFUNCTION("""COMPUTED_VALUE"""),"-")</f>
        <v>-</v>
      </c>
      <c r="F712" s="15" t="str">
        <f>IFERROR(__xludf.DUMMYFUNCTION("""COMPUTED_VALUE"""),"General - Air Gripper; SMC; MHZJ2 20DS X43 X81B; 1 Pc")</f>
        <v>General - Air Gripper; SMC; MHZJ2 20DS X43 X81B; 1 Pc</v>
      </c>
      <c r="G712" s="15">
        <f>IFERROR(__xludf.DUMMYFUNCTION("""COMPUTED_VALUE"""),5.0)</f>
        <v>5</v>
      </c>
      <c r="H712" s="15" t="str">
        <f>IFERROR(__xludf.DUMMYFUNCTION("""COMPUTED_VALUE"""),"Pieces")</f>
        <v>Pieces</v>
      </c>
      <c r="I712" s="15" t="str">
        <f>IFERROR(__xludf.DUMMYFUNCTION("""COMPUTED_VALUE"""),"Deliver")</f>
        <v>Deliver</v>
      </c>
      <c r="J712" s="15" t="str">
        <f>IFERROR(__xludf.DUMMYFUNCTION("""COMPUTED_VALUE"""),"-")</f>
        <v>-</v>
      </c>
      <c r="K712" s="15" t="str">
        <f>IFERROR(__xludf.DUMMYFUNCTION("""COMPUTED_VALUE"""),"-")</f>
        <v>-</v>
      </c>
      <c r="L712" s="15" t="str">
        <f>IFERROR(__xludf.DUMMYFUNCTION("""COMPUTED_VALUE"""),"Normal")</f>
        <v>Normal</v>
      </c>
      <c r="M712" s="18" t="s">
        <v>53</v>
      </c>
      <c r="N712" s="18" t="s">
        <v>54</v>
      </c>
    </row>
    <row r="713" hidden="1">
      <c r="A713" s="15" t="str">
        <f>IFERROR(__xludf.DUMMYFUNCTION("""COMPUTED_VALUE"""),"MFHRO0201")</f>
        <v>MFHRO0201</v>
      </c>
      <c r="B713" s="16">
        <f>IFERROR(__xludf.DUMMYFUNCTION("""COMPUTED_VALUE"""),45921.5119862963)</f>
        <v>45921.51199</v>
      </c>
      <c r="C713" s="17">
        <f>IFERROR(__xludf.DUMMYFUNCTION("""COMPUTED_VALUE"""),45921.69599518518)</f>
        <v>45921.696</v>
      </c>
      <c r="D713" s="15" t="str">
        <f>IFERROR(__xludf.DUMMYFUNCTION("""COMPUTED_VALUE"""),"Capping")</f>
        <v>Capping</v>
      </c>
      <c r="E713" s="15" t="str">
        <f>IFERROR(__xludf.DUMMYFUNCTION("""COMPUTED_VALUE"""),"-")</f>
        <v>-</v>
      </c>
      <c r="F713" s="15" t="str">
        <f>IFERROR(__xludf.DUMMYFUNCTION("""COMPUTED_VALUE"""),"Misumi - Linear Shaft PSFAA8-46-F11-P6-M3-N3; ; ;")</f>
        <v>Misumi - Linear Shaft PSFAA8-46-F11-P6-M3-N3; ; ;</v>
      </c>
      <c r="G713" s="15">
        <f>IFERROR(__xludf.DUMMYFUNCTION("""COMPUTED_VALUE"""),1.0)</f>
        <v>1</v>
      </c>
      <c r="H713" s="15" t="str">
        <f>IFERROR(__xludf.DUMMYFUNCTION("""COMPUTED_VALUE"""),"Pieces")</f>
        <v>Pieces</v>
      </c>
      <c r="I713" s="15" t="str">
        <f>IFERROR(__xludf.DUMMYFUNCTION("""COMPUTED_VALUE"""),"Deliver")</f>
        <v>Deliver</v>
      </c>
      <c r="J713" s="15" t="str">
        <f>IFERROR(__xludf.DUMMYFUNCTION("""COMPUTED_VALUE"""),"-")</f>
        <v>-</v>
      </c>
      <c r="K713" s="15" t="str">
        <f>IFERROR(__xludf.DUMMYFUNCTION("""COMPUTED_VALUE"""),"-")</f>
        <v>-</v>
      </c>
      <c r="L713" s="15" t="str">
        <f>IFERROR(__xludf.DUMMYFUNCTION("""COMPUTED_VALUE"""),"Normal")</f>
        <v>Normal</v>
      </c>
      <c r="M713" s="18" t="s">
        <v>53</v>
      </c>
      <c r="N713" s="18" t="s">
        <v>54</v>
      </c>
    </row>
    <row r="714" hidden="1">
      <c r="A714" s="15" t="str">
        <f>IFERROR(__xludf.DUMMYFUNCTION("""COMPUTED_VALUE"""),"MFHRO0202")</f>
        <v>MFHRO0202</v>
      </c>
      <c r="B714" s="16">
        <f>IFERROR(__xludf.DUMMYFUNCTION("""COMPUTED_VALUE"""),45921.5119862963)</f>
        <v>45921.51199</v>
      </c>
      <c r="C714" s="17">
        <f>IFERROR(__xludf.DUMMYFUNCTION("""COMPUTED_VALUE"""),45921.69652503473)</f>
        <v>45921.69653</v>
      </c>
      <c r="D714" s="15" t="str">
        <f>IFERROR(__xludf.DUMMYFUNCTION("""COMPUTED_VALUE"""),"Tools")</f>
        <v>Tools</v>
      </c>
      <c r="E714" s="15" t="str">
        <f>IFERROR(__xludf.DUMMYFUNCTION("""COMPUTED_VALUE"""),"-")</f>
        <v>-</v>
      </c>
      <c r="F714" s="15" t="str">
        <f>IFERROR(__xludf.DUMMYFUNCTION("""COMPUTED_VALUE"""),"Jangka Sorong Digital / Digital Caliper; Mitutoyo; CN: 500-197-30; pc")</f>
        <v>Jangka Sorong Digital / Digital Caliper; Mitutoyo; CN: 500-197-30; pc</v>
      </c>
      <c r="G714" s="15">
        <f>IFERROR(__xludf.DUMMYFUNCTION("""COMPUTED_VALUE"""),1.0)</f>
        <v>1</v>
      </c>
      <c r="H714" s="15" t="str">
        <f>IFERROR(__xludf.DUMMYFUNCTION("""COMPUTED_VALUE"""),"Pieces")</f>
        <v>Pieces</v>
      </c>
      <c r="I714" s="15" t="str">
        <f>IFERROR(__xludf.DUMMYFUNCTION("""COMPUTED_VALUE"""),"Deliver")</f>
        <v>Deliver</v>
      </c>
      <c r="J714" s="15" t="str">
        <f>IFERROR(__xludf.DUMMYFUNCTION("""COMPUTED_VALUE"""),"-")</f>
        <v>-</v>
      </c>
      <c r="K714" s="15" t="str">
        <f>IFERROR(__xludf.DUMMYFUNCTION("""COMPUTED_VALUE"""),"-")</f>
        <v>-</v>
      </c>
      <c r="L714" s="15" t="str">
        <f>IFERROR(__xludf.DUMMYFUNCTION("""COMPUTED_VALUE"""),"Normal")</f>
        <v>Normal</v>
      </c>
      <c r="M714" s="18" t="s">
        <v>53</v>
      </c>
      <c r="N714" s="18" t="s">
        <v>54</v>
      </c>
    </row>
    <row r="715" hidden="1">
      <c r="A715" s="15" t="str">
        <f>IFERROR(__xludf.DUMMYFUNCTION("""COMPUTED_VALUE"""),"MFHRO0203")</f>
        <v>MFHRO0203</v>
      </c>
      <c r="B715" s="16">
        <f>IFERROR(__xludf.DUMMYFUNCTION("""COMPUTED_VALUE"""),45921.5119862963)</f>
        <v>45921.51199</v>
      </c>
      <c r="C715" s="17">
        <f>IFERROR(__xludf.DUMMYFUNCTION("""COMPUTED_VALUE"""),45921.70288387732)</f>
        <v>45921.70288</v>
      </c>
      <c r="D715" s="15" t="str">
        <f>IFERROR(__xludf.DUMMYFUNCTION("""COMPUTED_VALUE"""),"Tools")</f>
        <v>Tools</v>
      </c>
      <c r="E715" s="15" t="str">
        <f>IFERROR(__xludf.DUMMYFUNCTION("""COMPUTED_VALUE"""),"-")</f>
        <v>-</v>
      </c>
      <c r="F715" s="15" t="str">
        <f>IFERROR(__xludf.DUMMYFUNCTION("""COMPUTED_VALUE"""),"Kunci L Bintang / Torx Key Uk. 10 mm; Tekiro; HK-TL1221; pc")</f>
        <v>Kunci L Bintang / Torx Key Uk. 10 mm; Tekiro; HK-TL1221; pc</v>
      </c>
      <c r="G715" s="15">
        <f>IFERROR(__xludf.DUMMYFUNCTION("""COMPUTED_VALUE"""),1.0)</f>
        <v>1</v>
      </c>
      <c r="H715" s="15" t="str">
        <f>IFERROR(__xludf.DUMMYFUNCTION("""COMPUTED_VALUE"""),"Pieces")</f>
        <v>Pieces</v>
      </c>
      <c r="I715" s="15" t="str">
        <f>IFERROR(__xludf.DUMMYFUNCTION("""COMPUTED_VALUE"""),"Deliver")</f>
        <v>Deliver</v>
      </c>
      <c r="J715" s="15" t="str">
        <f>IFERROR(__xludf.DUMMYFUNCTION("""COMPUTED_VALUE"""),"-")</f>
        <v>-</v>
      </c>
      <c r="K715" s="15" t="str">
        <f>IFERROR(__xludf.DUMMYFUNCTION("""COMPUTED_VALUE"""),"-")</f>
        <v>-</v>
      </c>
      <c r="L715" s="15" t="str">
        <f>IFERROR(__xludf.DUMMYFUNCTION("""COMPUTED_VALUE"""),"Normal")</f>
        <v>Normal</v>
      </c>
      <c r="M715" s="18" t="s">
        <v>53</v>
      </c>
      <c r="N715" s="18" t="s">
        <v>54</v>
      </c>
    </row>
    <row r="716" hidden="1">
      <c r="A716" s="15" t="str">
        <f>IFERROR(__xludf.DUMMYFUNCTION("""COMPUTED_VALUE"""),"MFHRO0204")</f>
        <v>MFHRO0204</v>
      </c>
      <c r="B716" s="16">
        <f>IFERROR(__xludf.DUMMYFUNCTION("""COMPUTED_VALUE"""),45921.5119862963)</f>
        <v>45921.51199</v>
      </c>
      <c r="C716" s="17">
        <f>IFERROR(__xludf.DUMMYFUNCTION("""COMPUTED_VALUE"""),45921.70307644676)</f>
        <v>45921.70308</v>
      </c>
      <c r="D716" s="15" t="str">
        <f>IFERROR(__xludf.DUMMYFUNCTION("""COMPUTED_VALUE"""),"Tools")</f>
        <v>Tools</v>
      </c>
      <c r="E716" s="15" t="str">
        <f>IFERROR(__xludf.DUMMYFUNCTION("""COMPUTED_VALUE"""),"-")</f>
        <v>-</v>
      </c>
      <c r="F716" s="15" t="str">
        <f>IFERROR(__xludf.DUMMYFUNCTION("""COMPUTED_VALUE"""),"Kunci L Uk. 1,5 mm; Tekiro; HK-LO1164; pc")</f>
        <v>Kunci L Uk. 1,5 mm; Tekiro; HK-LO1164; pc</v>
      </c>
      <c r="G716" s="15">
        <f>IFERROR(__xludf.DUMMYFUNCTION("""COMPUTED_VALUE"""),3.0)</f>
        <v>3</v>
      </c>
      <c r="H716" s="15" t="str">
        <f>IFERROR(__xludf.DUMMYFUNCTION("""COMPUTED_VALUE"""),"Pieces")</f>
        <v>Pieces</v>
      </c>
      <c r="I716" s="15" t="str">
        <f>IFERROR(__xludf.DUMMYFUNCTION("""COMPUTED_VALUE"""),"Deliver")</f>
        <v>Deliver</v>
      </c>
      <c r="J716" s="15" t="str">
        <f>IFERROR(__xludf.DUMMYFUNCTION("""COMPUTED_VALUE"""),"-")</f>
        <v>-</v>
      </c>
      <c r="K716" s="15" t="str">
        <f>IFERROR(__xludf.DUMMYFUNCTION("""COMPUTED_VALUE"""),"-")</f>
        <v>-</v>
      </c>
      <c r="L716" s="15" t="str">
        <f>IFERROR(__xludf.DUMMYFUNCTION("""COMPUTED_VALUE"""),"Normal")</f>
        <v>Normal</v>
      </c>
      <c r="M716" s="18" t="s">
        <v>53</v>
      </c>
      <c r="N716" s="18" t="s">
        <v>54</v>
      </c>
    </row>
    <row r="717" hidden="1">
      <c r="A717" s="15" t="str">
        <f>IFERROR(__xludf.DUMMYFUNCTION("""COMPUTED_VALUE"""),"MFHRO0205")</f>
        <v>MFHRO0205</v>
      </c>
      <c r="B717" s="16">
        <f>IFERROR(__xludf.DUMMYFUNCTION("""COMPUTED_VALUE"""),45921.5119862963)</f>
        <v>45921.51199</v>
      </c>
      <c r="C717" s="17">
        <f>IFERROR(__xludf.DUMMYFUNCTION("""COMPUTED_VALUE"""),45921.703233900465)</f>
        <v>45921.70323</v>
      </c>
      <c r="D717" s="15" t="str">
        <f>IFERROR(__xludf.DUMMYFUNCTION("""COMPUTED_VALUE"""),"Tools")</f>
        <v>Tools</v>
      </c>
      <c r="E717" s="15" t="str">
        <f>IFERROR(__xludf.DUMMYFUNCTION("""COMPUTED_VALUE"""),"-")</f>
        <v>-</v>
      </c>
      <c r="F717" s="15" t="str">
        <f>IFERROR(__xludf.DUMMYFUNCTION("""COMPUTED_VALUE"""),"Kunci L Uk 2 mm; Tekiro; HK-LO1165; pc")</f>
        <v>Kunci L Uk 2 mm; Tekiro; HK-LO1165; pc</v>
      </c>
      <c r="G717" s="15">
        <f>IFERROR(__xludf.DUMMYFUNCTION("""COMPUTED_VALUE"""),1.0)</f>
        <v>1</v>
      </c>
      <c r="H717" s="15" t="str">
        <f>IFERROR(__xludf.DUMMYFUNCTION("""COMPUTED_VALUE"""),"Pieces")</f>
        <v>Pieces</v>
      </c>
      <c r="I717" s="15" t="str">
        <f>IFERROR(__xludf.DUMMYFUNCTION("""COMPUTED_VALUE"""),"Deliver")</f>
        <v>Deliver</v>
      </c>
      <c r="J717" s="15" t="str">
        <f>IFERROR(__xludf.DUMMYFUNCTION("""COMPUTED_VALUE"""),"-")</f>
        <v>-</v>
      </c>
      <c r="K717" s="15" t="str">
        <f>IFERROR(__xludf.DUMMYFUNCTION("""COMPUTED_VALUE"""),"-")</f>
        <v>-</v>
      </c>
      <c r="L717" s="15" t="str">
        <f>IFERROR(__xludf.DUMMYFUNCTION("""COMPUTED_VALUE"""),"Normal")</f>
        <v>Normal</v>
      </c>
      <c r="M717" s="18" t="s">
        <v>53</v>
      </c>
      <c r="N717" s="18" t="s">
        <v>54</v>
      </c>
    </row>
    <row r="718" hidden="1">
      <c r="A718" s="15" t="str">
        <f>IFERROR(__xludf.DUMMYFUNCTION("""COMPUTED_VALUE"""),"MFHRO0206")</f>
        <v>MFHRO0206</v>
      </c>
      <c r="B718" s="16">
        <f>IFERROR(__xludf.DUMMYFUNCTION("""COMPUTED_VALUE"""),45921.5119862963)</f>
        <v>45921.51199</v>
      </c>
      <c r="C718" s="17">
        <f>IFERROR(__xludf.DUMMYFUNCTION("""COMPUTED_VALUE"""),45921.70336849537)</f>
        <v>45921.70337</v>
      </c>
      <c r="D718" s="15" t="str">
        <f>IFERROR(__xludf.DUMMYFUNCTION("""COMPUTED_VALUE"""),"Tools")</f>
        <v>Tools</v>
      </c>
      <c r="E718" s="15" t="str">
        <f>IFERROR(__xludf.DUMMYFUNCTION("""COMPUTED_VALUE"""),"-")</f>
        <v>-</v>
      </c>
      <c r="F718" s="15" t="str">
        <f>IFERROR(__xludf.DUMMYFUNCTION("""COMPUTED_VALUE"""),"Kunci L uk. 3 mm; Tekiro; HK-LO1166; pc")</f>
        <v>Kunci L uk. 3 mm; Tekiro; HK-LO1166; pc</v>
      </c>
      <c r="G718" s="15">
        <f>IFERROR(__xludf.DUMMYFUNCTION("""COMPUTED_VALUE"""),1.0)</f>
        <v>1</v>
      </c>
      <c r="H718" s="15" t="str">
        <f>IFERROR(__xludf.DUMMYFUNCTION("""COMPUTED_VALUE"""),"Pieces")</f>
        <v>Pieces</v>
      </c>
      <c r="I718" s="15" t="str">
        <f>IFERROR(__xludf.DUMMYFUNCTION("""COMPUTED_VALUE"""),"Deliver")</f>
        <v>Deliver</v>
      </c>
      <c r="J718" s="15" t="str">
        <f>IFERROR(__xludf.DUMMYFUNCTION("""COMPUTED_VALUE"""),"-")</f>
        <v>-</v>
      </c>
      <c r="K718" s="15" t="str">
        <f>IFERROR(__xludf.DUMMYFUNCTION("""COMPUTED_VALUE"""),"-")</f>
        <v>-</v>
      </c>
      <c r="L718" s="15" t="str">
        <f>IFERROR(__xludf.DUMMYFUNCTION("""COMPUTED_VALUE"""),"Normal")</f>
        <v>Normal</v>
      </c>
      <c r="M718" s="18" t="s">
        <v>53</v>
      </c>
      <c r="N718" s="18" t="s">
        <v>54</v>
      </c>
    </row>
    <row r="719" hidden="1">
      <c r="A719" s="15" t="str">
        <f>IFERROR(__xludf.DUMMYFUNCTION("""COMPUTED_VALUE"""),"MFHRO0207")</f>
        <v>MFHRO0207</v>
      </c>
      <c r="B719" s="16">
        <f>IFERROR(__xludf.DUMMYFUNCTION("""COMPUTED_VALUE"""),45921.5119862963)</f>
        <v>45921.51199</v>
      </c>
      <c r="C719" s="17">
        <f>IFERROR(__xludf.DUMMYFUNCTION("""COMPUTED_VALUE"""),45921.70352631945)</f>
        <v>45921.70353</v>
      </c>
      <c r="D719" s="15" t="str">
        <f>IFERROR(__xludf.DUMMYFUNCTION("""COMPUTED_VALUE"""),"Tools")</f>
        <v>Tools</v>
      </c>
      <c r="E719" s="15" t="str">
        <f>IFERROR(__xludf.DUMMYFUNCTION("""COMPUTED_VALUE"""),"-")</f>
        <v>-</v>
      </c>
      <c r="F719" s="15" t="str">
        <f>IFERROR(__xludf.DUMMYFUNCTION("""COMPUTED_VALUE"""),"Kunci L Bintang / Torx Key Uk. 20 mm; Tekiro; HK-TL1223; pc")</f>
        <v>Kunci L Bintang / Torx Key Uk. 20 mm; Tekiro; HK-TL1223; pc</v>
      </c>
      <c r="G719" s="15">
        <f>IFERROR(__xludf.DUMMYFUNCTION("""COMPUTED_VALUE"""),1.0)</f>
        <v>1</v>
      </c>
      <c r="H719" s="15" t="str">
        <f>IFERROR(__xludf.DUMMYFUNCTION("""COMPUTED_VALUE"""),"Pieces")</f>
        <v>Pieces</v>
      </c>
      <c r="I719" s="15" t="str">
        <f>IFERROR(__xludf.DUMMYFUNCTION("""COMPUTED_VALUE"""),"Deliver")</f>
        <v>Deliver</v>
      </c>
      <c r="J719" s="15" t="str">
        <f>IFERROR(__xludf.DUMMYFUNCTION("""COMPUTED_VALUE"""),"-")</f>
        <v>-</v>
      </c>
      <c r="K719" s="15" t="str">
        <f>IFERROR(__xludf.DUMMYFUNCTION("""COMPUTED_VALUE"""),"-")</f>
        <v>-</v>
      </c>
      <c r="L719" s="15" t="str">
        <f>IFERROR(__xludf.DUMMYFUNCTION("""COMPUTED_VALUE"""),"Normal")</f>
        <v>Normal</v>
      </c>
      <c r="M719" s="18" t="s">
        <v>53</v>
      </c>
      <c r="N719" s="18" t="s">
        <v>54</v>
      </c>
    </row>
    <row r="720" hidden="1">
      <c r="A720" s="15" t="str">
        <f>IFERROR(__xludf.DUMMYFUNCTION("""COMPUTED_VALUE"""),"MFHRO0208")</f>
        <v>MFHRO0208</v>
      </c>
      <c r="B720" s="16">
        <f>IFERROR(__xludf.DUMMYFUNCTION("""COMPUTED_VALUE"""),45921.5119862963)</f>
        <v>45921.51199</v>
      </c>
      <c r="C720" s="17">
        <f>IFERROR(__xludf.DUMMYFUNCTION("""COMPUTED_VALUE"""),45921.704355358794)</f>
        <v>45921.70436</v>
      </c>
      <c r="D720" s="15" t="str">
        <f>IFERROR(__xludf.DUMMYFUNCTION("""COMPUTED_VALUE"""),"Tools")</f>
        <v>Tools</v>
      </c>
      <c r="E720" s="15" t="str">
        <f>IFERROR(__xludf.DUMMYFUNCTION("""COMPUTED_VALUE"""),"-")</f>
        <v>-</v>
      </c>
      <c r="F720" s="15" t="str">
        <f>IFERROR(__xludf.DUMMYFUNCTION("""COMPUTED_VALUE"""),"Kunci L Bintang / Torx Key Uk. 25 mm; Tekiro; HK-TL1224; pc")</f>
        <v>Kunci L Bintang / Torx Key Uk. 25 mm; Tekiro; HK-TL1224; pc</v>
      </c>
      <c r="G720" s="15">
        <f>IFERROR(__xludf.DUMMYFUNCTION("""COMPUTED_VALUE"""),1.0)</f>
        <v>1</v>
      </c>
      <c r="H720" s="15" t="str">
        <f>IFERROR(__xludf.DUMMYFUNCTION("""COMPUTED_VALUE"""),"Pieces")</f>
        <v>Pieces</v>
      </c>
      <c r="I720" s="15" t="str">
        <f>IFERROR(__xludf.DUMMYFUNCTION("""COMPUTED_VALUE"""),"Deliver")</f>
        <v>Deliver</v>
      </c>
      <c r="J720" s="15" t="str">
        <f>IFERROR(__xludf.DUMMYFUNCTION("""COMPUTED_VALUE"""),"-")</f>
        <v>-</v>
      </c>
      <c r="K720" s="15" t="str">
        <f>IFERROR(__xludf.DUMMYFUNCTION("""COMPUTED_VALUE"""),"-")</f>
        <v>-</v>
      </c>
      <c r="L720" s="15" t="str">
        <f>IFERROR(__xludf.DUMMYFUNCTION("""COMPUTED_VALUE"""),"Normal")</f>
        <v>Normal</v>
      </c>
      <c r="M720" s="18" t="s">
        <v>53</v>
      </c>
      <c r="N720" s="18" t="s">
        <v>54</v>
      </c>
    </row>
    <row r="721" hidden="1">
      <c r="A721" s="15" t="str">
        <f>IFERROR(__xludf.DUMMYFUNCTION("""COMPUTED_VALUE"""),"MFHRO0209")</f>
        <v>MFHRO0209</v>
      </c>
      <c r="B721" s="16">
        <f>IFERROR(__xludf.DUMMYFUNCTION("""COMPUTED_VALUE"""),45921.5119862963)</f>
        <v>45921.51199</v>
      </c>
      <c r="C721" s="17">
        <f>IFERROR(__xludf.DUMMYFUNCTION("""COMPUTED_VALUE"""),45921.704543263884)</f>
        <v>45921.70454</v>
      </c>
      <c r="D721" s="15" t="str">
        <f>IFERROR(__xludf.DUMMYFUNCTION("""COMPUTED_VALUE"""),"Tools")</f>
        <v>Tools</v>
      </c>
      <c r="E721" s="15" t="str">
        <f>IFERROR(__xludf.DUMMYFUNCTION("""COMPUTED_VALUE"""),"-")</f>
        <v>-</v>
      </c>
      <c r="F721" s="15" t="str">
        <f>IFERROR(__xludf.DUMMYFUNCTION("""COMPUTED_VALUE"""),"Kunci L Bintang / Torx Key Uk. 50 mm; Tekiro; HK-TL1228; pc")</f>
        <v>Kunci L Bintang / Torx Key Uk. 50 mm; Tekiro; HK-TL1228; pc</v>
      </c>
      <c r="G721" s="15">
        <f>IFERROR(__xludf.DUMMYFUNCTION("""COMPUTED_VALUE"""),1.0)</f>
        <v>1</v>
      </c>
      <c r="H721" s="15" t="str">
        <f>IFERROR(__xludf.DUMMYFUNCTION("""COMPUTED_VALUE"""),"Pieces")</f>
        <v>Pieces</v>
      </c>
      <c r="I721" s="15" t="str">
        <f>IFERROR(__xludf.DUMMYFUNCTION("""COMPUTED_VALUE"""),"Deliver")</f>
        <v>Deliver</v>
      </c>
      <c r="J721" s="15" t="str">
        <f>IFERROR(__xludf.DUMMYFUNCTION("""COMPUTED_VALUE"""),"-")</f>
        <v>-</v>
      </c>
      <c r="K721" s="15" t="str">
        <f>IFERROR(__xludf.DUMMYFUNCTION("""COMPUTED_VALUE"""),"-")</f>
        <v>-</v>
      </c>
      <c r="L721" s="15" t="str">
        <f>IFERROR(__xludf.DUMMYFUNCTION("""COMPUTED_VALUE"""),"Normal")</f>
        <v>Normal</v>
      </c>
      <c r="M721" s="18" t="s">
        <v>53</v>
      </c>
      <c r="N721" s="18" t="s">
        <v>54</v>
      </c>
    </row>
    <row r="722" hidden="1">
      <c r="A722" s="15" t="str">
        <f>IFERROR(__xludf.DUMMYFUNCTION("""COMPUTED_VALUE"""),"MFHRO0210")</f>
        <v>MFHRO0210</v>
      </c>
      <c r="B722" s="16">
        <f>IFERROR(__xludf.DUMMYFUNCTION("""COMPUTED_VALUE"""),45921.5119862963)</f>
        <v>45921.51199</v>
      </c>
      <c r="C722" s="17">
        <f>IFERROR(__xludf.DUMMYFUNCTION("""COMPUTED_VALUE"""),45921.70772074074)</f>
        <v>45921.70772</v>
      </c>
      <c r="D722" s="15" t="str">
        <f>IFERROR(__xludf.DUMMYFUNCTION("""COMPUTED_VALUE"""),"Tools")</f>
        <v>Tools</v>
      </c>
      <c r="E722" s="15" t="str">
        <f>IFERROR(__xludf.DUMMYFUNCTION("""COMPUTED_VALUE"""),"-")</f>
        <v>-</v>
      </c>
      <c r="F722" s="15" t="str">
        <f>IFERROR(__xludf.DUMMYFUNCTION("""COMPUTED_VALUE"""),"Kunci Pas No 21 &amp; 23; Tekiro; WR-OE0086; pc")</f>
        <v>Kunci Pas No 21 &amp; 23; Tekiro; WR-OE0086; pc</v>
      </c>
      <c r="G722" s="15">
        <f>IFERROR(__xludf.DUMMYFUNCTION("""COMPUTED_VALUE"""),1.0)</f>
        <v>1</v>
      </c>
      <c r="H722" s="15" t="str">
        <f>IFERROR(__xludf.DUMMYFUNCTION("""COMPUTED_VALUE"""),"Pieces")</f>
        <v>Pieces</v>
      </c>
      <c r="I722" s="15" t="str">
        <f>IFERROR(__xludf.DUMMYFUNCTION("""COMPUTED_VALUE"""),"Deliver")</f>
        <v>Deliver</v>
      </c>
      <c r="J722" s="15" t="str">
        <f>IFERROR(__xludf.DUMMYFUNCTION("""COMPUTED_VALUE"""),"-")</f>
        <v>-</v>
      </c>
      <c r="K722" s="15" t="str">
        <f>IFERROR(__xludf.DUMMYFUNCTION("""COMPUTED_VALUE"""),"-")</f>
        <v>-</v>
      </c>
      <c r="L722" s="15" t="str">
        <f>IFERROR(__xludf.DUMMYFUNCTION("""COMPUTED_VALUE"""),"Normal")</f>
        <v>Normal</v>
      </c>
      <c r="M722" s="18" t="s">
        <v>53</v>
      </c>
      <c r="N722" s="18" t="s">
        <v>54</v>
      </c>
    </row>
    <row r="723" hidden="1">
      <c r="A723" s="15" t="str">
        <f>IFERROR(__xludf.DUMMYFUNCTION("""COMPUTED_VALUE"""),"MFHRO0211")</f>
        <v>MFHRO0211</v>
      </c>
      <c r="B723" s="16">
        <f>IFERROR(__xludf.DUMMYFUNCTION("""COMPUTED_VALUE"""),45921.5119862963)</f>
        <v>45921.51199</v>
      </c>
      <c r="C723" s="17">
        <f>IFERROR(__xludf.DUMMYFUNCTION("""COMPUTED_VALUE"""),45921.70788212963)</f>
        <v>45921.70788</v>
      </c>
      <c r="D723" s="15" t="str">
        <f>IFERROR(__xludf.DUMMYFUNCTION("""COMPUTED_VALUE"""),"Tools")</f>
        <v>Tools</v>
      </c>
      <c r="E723" s="15" t="str">
        <f>IFERROR(__xludf.DUMMYFUNCTION("""COMPUTED_VALUE"""),"-")</f>
        <v>-</v>
      </c>
      <c r="F723" s="15" t="str">
        <f>IFERROR(__xludf.DUMMYFUNCTION("""COMPUTED_VALUE"""),"Tang Potong Uk. 5 Inch; SATA; CN: 05522; pc")</f>
        <v>Tang Potong Uk. 5 Inch; SATA; CN: 05522; pc</v>
      </c>
      <c r="G723" s="15">
        <f>IFERROR(__xludf.DUMMYFUNCTION("""COMPUTED_VALUE"""),3.0)</f>
        <v>3</v>
      </c>
      <c r="H723" s="15" t="str">
        <f>IFERROR(__xludf.DUMMYFUNCTION("""COMPUTED_VALUE"""),"Pieces")</f>
        <v>Pieces</v>
      </c>
      <c r="I723" s="15" t="str">
        <f>IFERROR(__xludf.DUMMYFUNCTION("""COMPUTED_VALUE"""),"Deliver")</f>
        <v>Deliver</v>
      </c>
      <c r="J723" s="15" t="str">
        <f>IFERROR(__xludf.DUMMYFUNCTION("""COMPUTED_VALUE"""),"-")</f>
        <v>-</v>
      </c>
      <c r="K723" s="15" t="str">
        <f>IFERROR(__xludf.DUMMYFUNCTION("""COMPUTED_VALUE"""),"-")</f>
        <v>-</v>
      </c>
      <c r="L723" s="15" t="str">
        <f>IFERROR(__xludf.DUMMYFUNCTION("""COMPUTED_VALUE"""),"Normal")</f>
        <v>Normal</v>
      </c>
      <c r="M723" s="18" t="s">
        <v>53</v>
      </c>
      <c r="N723" s="18" t="s">
        <v>54</v>
      </c>
    </row>
    <row r="724" hidden="1">
      <c r="A724" s="15" t="str">
        <f>IFERROR(__xludf.DUMMYFUNCTION("""COMPUTED_VALUE"""),"MFHRO0212")</f>
        <v>MFHRO0212</v>
      </c>
      <c r="B724" s="16">
        <f>IFERROR(__xludf.DUMMYFUNCTION("""COMPUTED_VALUE"""),45921.5119862963)</f>
        <v>45921.51199</v>
      </c>
      <c r="C724" s="17">
        <f>IFERROR(__xludf.DUMMYFUNCTION("""COMPUTED_VALUE"""),45921.70804644676)</f>
        <v>45921.70805</v>
      </c>
      <c r="D724" s="15" t="str">
        <f>IFERROR(__xludf.DUMMYFUNCTION("""COMPUTED_VALUE"""),"Tools")</f>
        <v>Tools</v>
      </c>
      <c r="E724" s="15" t="str">
        <f>IFERROR(__xludf.DUMMYFUNCTION("""COMPUTED_VALUE"""),"-")</f>
        <v>-</v>
      </c>
      <c r="F724" s="15" t="str">
        <f>IFERROR(__xludf.DUMMYFUNCTION("""COMPUTED_VALUE"""),"Obeng Listrik Presisi / Insulation Precision Screwdriver; Tekiro; SD-IP0930; 6 pc/set")</f>
        <v>Obeng Listrik Presisi / Insulation Precision Screwdriver; Tekiro; SD-IP0930; 6 pc/set</v>
      </c>
      <c r="G724" s="15">
        <f>IFERROR(__xludf.DUMMYFUNCTION("""COMPUTED_VALUE"""),1.0)</f>
        <v>1</v>
      </c>
      <c r="H724" s="15" t="str">
        <f>IFERROR(__xludf.DUMMYFUNCTION("""COMPUTED_VALUE"""),"Set")</f>
        <v>Set</v>
      </c>
      <c r="I724" s="15" t="str">
        <f>IFERROR(__xludf.DUMMYFUNCTION("""COMPUTED_VALUE"""),"Deliver")</f>
        <v>Deliver</v>
      </c>
      <c r="J724" s="15" t="str">
        <f>IFERROR(__xludf.DUMMYFUNCTION("""COMPUTED_VALUE"""),"-")</f>
        <v>-</v>
      </c>
      <c r="K724" s="15" t="str">
        <f>IFERROR(__xludf.DUMMYFUNCTION("""COMPUTED_VALUE"""),"-")</f>
        <v>-</v>
      </c>
      <c r="L724" s="15" t="str">
        <f>IFERROR(__xludf.DUMMYFUNCTION("""COMPUTED_VALUE"""),"Normal")</f>
        <v>Normal</v>
      </c>
      <c r="M724" s="18" t="s">
        <v>53</v>
      </c>
      <c r="N724" s="18" t="s">
        <v>54</v>
      </c>
    </row>
    <row r="725" hidden="1">
      <c r="A725" s="15" t="str">
        <f>IFERROR(__xludf.DUMMYFUNCTION("""COMPUTED_VALUE"""),"MFHRO0213")</f>
        <v>MFHRO0213</v>
      </c>
      <c r="B725" s="16">
        <f>IFERROR(__xludf.DUMMYFUNCTION("""COMPUTED_VALUE"""),45921.5119862963)</f>
        <v>45921.51199</v>
      </c>
      <c r="C725" s="17">
        <f>IFERROR(__xludf.DUMMYFUNCTION("""COMPUTED_VALUE"""),45921.70818924768)</f>
        <v>45921.70819</v>
      </c>
      <c r="D725" s="15" t="str">
        <f>IFERROR(__xludf.DUMMYFUNCTION("""COMPUTED_VALUE"""),"Tools")</f>
        <v>Tools</v>
      </c>
      <c r="E725" s="15" t="str">
        <f>IFERROR(__xludf.DUMMYFUNCTION("""COMPUTED_VALUE"""),"-")</f>
        <v>-</v>
      </c>
      <c r="F725" s="15" t="str">
        <f>IFERROR(__xludf.DUMMYFUNCTION("""COMPUTED_VALUE"""),"Obeng Listrik / Insulated Screwdriver Plus 2x100mm PH2; SATA; 61223; pc")</f>
        <v>Obeng Listrik / Insulated Screwdriver Plus 2x100mm PH2; SATA; 61223; pc</v>
      </c>
      <c r="G725" s="15">
        <f>IFERROR(__xludf.DUMMYFUNCTION("""COMPUTED_VALUE"""),6.0)</f>
        <v>6</v>
      </c>
      <c r="H725" s="15" t="str">
        <f>IFERROR(__xludf.DUMMYFUNCTION("""COMPUTED_VALUE"""),"Pieces")</f>
        <v>Pieces</v>
      </c>
      <c r="I725" s="15" t="str">
        <f>IFERROR(__xludf.DUMMYFUNCTION("""COMPUTED_VALUE"""),"Deliver")</f>
        <v>Deliver</v>
      </c>
      <c r="J725" s="15" t="str">
        <f>IFERROR(__xludf.DUMMYFUNCTION("""COMPUTED_VALUE"""),"-")</f>
        <v>-</v>
      </c>
      <c r="K725" s="15" t="str">
        <f>IFERROR(__xludf.DUMMYFUNCTION("""COMPUTED_VALUE"""),"-")</f>
        <v>-</v>
      </c>
      <c r="L725" s="15" t="str">
        <f>IFERROR(__xludf.DUMMYFUNCTION("""COMPUTED_VALUE"""),"Normal")</f>
        <v>Normal</v>
      </c>
      <c r="M725" s="18" t="s">
        <v>53</v>
      </c>
      <c r="N725" s="18" t="s">
        <v>54</v>
      </c>
    </row>
    <row r="726" hidden="1">
      <c r="A726" s="15" t="str">
        <f>IFERROR(__xludf.DUMMYFUNCTION("""COMPUTED_VALUE"""),"MFHRO0214")</f>
        <v>MFHRO0214</v>
      </c>
      <c r="B726" s="16">
        <f>IFERROR(__xludf.DUMMYFUNCTION("""COMPUTED_VALUE"""),45921.5119862963)</f>
        <v>45921.51199</v>
      </c>
      <c r="C726" s="17">
        <f>IFERROR(__xludf.DUMMYFUNCTION("""COMPUTED_VALUE"""),45921.70830957176)</f>
        <v>45921.70831</v>
      </c>
      <c r="D726" s="15" t="str">
        <f>IFERROR(__xludf.DUMMYFUNCTION("""COMPUTED_VALUE"""),"ATK")</f>
        <v>ATK</v>
      </c>
      <c r="E726" s="15" t="str">
        <f>IFERROR(__xludf.DUMMYFUNCTION("""COMPUTED_VALUE"""),"-")</f>
        <v>-</v>
      </c>
      <c r="F726" s="15" t="str">
        <f>IFERROR(__xludf.DUMMYFUNCTION("""COMPUTED_VALUE"""),"Kertas HVS Putih A4 70 gram;")</f>
        <v>Kertas HVS Putih A4 70 gram;</v>
      </c>
      <c r="G726" s="15">
        <f>IFERROR(__xludf.DUMMYFUNCTION("""COMPUTED_VALUE"""),10.0)</f>
        <v>10</v>
      </c>
      <c r="H726" s="15" t="str">
        <f>IFERROR(__xludf.DUMMYFUNCTION("""COMPUTED_VALUE"""),"Rim")</f>
        <v>Rim</v>
      </c>
      <c r="I726" s="15" t="str">
        <f>IFERROR(__xludf.DUMMYFUNCTION("""COMPUTED_VALUE"""),"Deliver")</f>
        <v>Deliver</v>
      </c>
      <c r="J726" s="15" t="str">
        <f>IFERROR(__xludf.DUMMYFUNCTION("""COMPUTED_VALUE"""),"-")</f>
        <v>-</v>
      </c>
      <c r="K726" s="15" t="str">
        <f>IFERROR(__xludf.DUMMYFUNCTION("""COMPUTED_VALUE"""),"-")</f>
        <v>-</v>
      </c>
      <c r="L726" s="15" t="str">
        <f>IFERROR(__xludf.DUMMYFUNCTION("""COMPUTED_VALUE"""),"Normal")</f>
        <v>Normal</v>
      </c>
      <c r="M726" s="18" t="s">
        <v>53</v>
      </c>
      <c r="N726" s="18" t="s">
        <v>54</v>
      </c>
    </row>
    <row r="727" hidden="1">
      <c r="A727" s="15" t="str">
        <f>IFERROR(__xludf.DUMMYFUNCTION("""COMPUTED_VALUE"""),"MFHRO0215")</f>
        <v>MFHRO0215</v>
      </c>
      <c r="B727" s="16">
        <f>IFERROR(__xludf.DUMMYFUNCTION("""COMPUTED_VALUE"""),45921.5119862963)</f>
        <v>45921.51199</v>
      </c>
      <c r="C727" s="17">
        <f>IFERROR(__xludf.DUMMYFUNCTION("""COMPUTED_VALUE"""),45921.7084546412)</f>
        <v>45921.70845</v>
      </c>
      <c r="D727" s="15" t="str">
        <f>IFERROR(__xludf.DUMMYFUNCTION("""COMPUTED_VALUE"""),"Autoclave")</f>
        <v>Autoclave</v>
      </c>
      <c r="E727" s="15" t="str">
        <f>IFERROR(__xludf.DUMMYFUNCTION("""COMPUTED_VALUE"""),"-")</f>
        <v>-</v>
      </c>
      <c r="F727" s="15" t="str">
        <f>IFERROR(__xludf.DUMMYFUNCTION("""COMPUTED_VALUE"""),"Fedegari FVA2/A1 S/N : NB2964AT - Cover Seal FVM-A/2 FOB2 (Code: PP600265); ; ;")</f>
        <v>Fedegari FVA2/A1 S/N : NB2964AT - Cover Seal FVM-A/2 FOB2 (Code: PP600265); ; ;</v>
      </c>
      <c r="G727" s="15">
        <f>IFERROR(__xludf.DUMMYFUNCTION("""COMPUTED_VALUE"""),2.0)</f>
        <v>2</v>
      </c>
      <c r="H727" s="15" t="str">
        <f>IFERROR(__xludf.DUMMYFUNCTION("""COMPUTED_VALUE"""),"Unit")</f>
        <v>Unit</v>
      </c>
      <c r="I727" s="15" t="str">
        <f>IFERROR(__xludf.DUMMYFUNCTION("""COMPUTED_VALUE"""),"Deliver")</f>
        <v>Deliver</v>
      </c>
      <c r="J727" s="15" t="str">
        <f>IFERROR(__xludf.DUMMYFUNCTION("""COMPUTED_VALUE"""),"-")</f>
        <v>-</v>
      </c>
      <c r="K727" s="15" t="str">
        <f>IFERROR(__xludf.DUMMYFUNCTION("""COMPUTED_VALUE"""),"-")</f>
        <v>-</v>
      </c>
      <c r="L727" s="15" t="str">
        <f>IFERROR(__xludf.DUMMYFUNCTION("""COMPUTED_VALUE"""),"Normal")</f>
        <v>Normal</v>
      </c>
      <c r="M727" s="18" t="s">
        <v>53</v>
      </c>
      <c r="N727" s="18" t="s">
        <v>54</v>
      </c>
    </row>
    <row r="728" hidden="1">
      <c r="A728" s="15" t="str">
        <f>IFERROR(__xludf.DUMMYFUNCTION("""COMPUTED_VALUE"""),"MFHRO0216")</f>
        <v>MFHRO0216</v>
      </c>
      <c r="B728" s="16">
        <f>IFERROR(__xludf.DUMMYFUNCTION("""COMPUTED_VALUE"""),45921.5119862963)</f>
        <v>45921.51199</v>
      </c>
      <c r="C728" s="17">
        <f>IFERROR(__xludf.DUMMYFUNCTION("""COMPUTED_VALUE"""),45921.874434398145)</f>
        <v>45921.87443</v>
      </c>
      <c r="D728" s="15" t="str">
        <f>IFERROR(__xludf.DUMMYFUNCTION("""COMPUTED_VALUE"""),"Tools")</f>
        <v>Tools</v>
      </c>
      <c r="E728" s="15" t="str">
        <f>IFERROR(__xludf.DUMMYFUNCTION("""COMPUTED_VALUE"""),"-")</f>
        <v>-</v>
      </c>
      <c r="F728" s="15" t="str">
        <f>IFERROR(__xludf.DUMMYFUNCTION("""COMPUTED_VALUE"""),"Jolly Box ; JX-3 No. 300; Lion Star; ;")</f>
        <v>Jolly Box ; JX-3 No. 300; Lion Star; ;</v>
      </c>
      <c r="G728" s="15">
        <f>IFERROR(__xludf.DUMMYFUNCTION("""COMPUTED_VALUE"""),250.0)</f>
        <v>250</v>
      </c>
      <c r="H728" s="15" t="str">
        <f>IFERROR(__xludf.DUMMYFUNCTION("""COMPUTED_VALUE"""),"Pieces")</f>
        <v>Pieces</v>
      </c>
      <c r="I728" s="15" t="str">
        <f>IFERROR(__xludf.DUMMYFUNCTION("""COMPUTED_VALUE"""),"Deliver")</f>
        <v>Deliver</v>
      </c>
      <c r="J728" s="15" t="str">
        <f>IFERROR(__xludf.DUMMYFUNCTION("""COMPUTED_VALUE"""),"-")</f>
        <v>-</v>
      </c>
      <c r="K728" s="15" t="str">
        <f>IFERROR(__xludf.DUMMYFUNCTION("""COMPUTED_VALUE"""),"-")</f>
        <v>-</v>
      </c>
      <c r="L728" s="15" t="str">
        <f>IFERROR(__xludf.DUMMYFUNCTION("""COMPUTED_VALUE"""),"Normal")</f>
        <v>Normal</v>
      </c>
      <c r="M728" s="18" t="s">
        <v>53</v>
      </c>
      <c r="N728" s="18" t="s">
        <v>54</v>
      </c>
    </row>
    <row r="729" hidden="1">
      <c r="A729" s="15" t="str">
        <f>IFERROR(__xludf.DUMMYFUNCTION("""COMPUTED_VALUE"""),"MFHRO0217")</f>
        <v>MFHRO0217</v>
      </c>
      <c r="B729" s="16">
        <f>IFERROR(__xludf.DUMMYFUNCTION("""COMPUTED_VALUE"""),45921.5119862963)</f>
        <v>45921.51199</v>
      </c>
      <c r="C729" s="17">
        <f>IFERROR(__xludf.DUMMYFUNCTION("""COMPUTED_VALUE"""),45921.87454078704)</f>
        <v>45921.87454</v>
      </c>
      <c r="D729" s="15" t="str">
        <f>IFERROR(__xludf.DUMMYFUNCTION("""COMPUTED_VALUE"""),"TOC")</f>
        <v>TOC</v>
      </c>
      <c r="E729" s="15" t="str">
        <f>IFERROR(__xludf.DUMMYFUNCTION("""COMPUTED_VALUE"""),"-")</f>
        <v>-</v>
      </c>
      <c r="F729" s="15" t="str">
        <f>IFERROR(__xludf.DUMMYFUNCTION("""COMPUTED_VALUE"""),"900 Resin Bed for TOC Sievers; ; ;")</f>
        <v>900 Resin Bed for TOC Sievers; ; ;</v>
      </c>
      <c r="G729" s="15">
        <f>IFERROR(__xludf.DUMMYFUNCTION("""COMPUTED_VALUE"""),1.0)</f>
        <v>1</v>
      </c>
      <c r="H729" s="15" t="str">
        <f>IFERROR(__xludf.DUMMYFUNCTION("""COMPUTED_VALUE"""),"Pieces")</f>
        <v>Pieces</v>
      </c>
      <c r="I729" s="15" t="str">
        <f>IFERROR(__xludf.DUMMYFUNCTION("""COMPUTED_VALUE"""),"Deliver")</f>
        <v>Deliver</v>
      </c>
      <c r="J729" s="15" t="str">
        <f>IFERROR(__xludf.DUMMYFUNCTION("""COMPUTED_VALUE"""),"-")</f>
        <v>-</v>
      </c>
      <c r="K729" s="15" t="str">
        <f>IFERROR(__xludf.DUMMYFUNCTION("""COMPUTED_VALUE"""),"-")</f>
        <v>-</v>
      </c>
      <c r="L729" s="15" t="str">
        <f>IFERROR(__xludf.DUMMYFUNCTION("""COMPUTED_VALUE"""),"Normal")</f>
        <v>Normal</v>
      </c>
      <c r="M729" s="18" t="s">
        <v>53</v>
      </c>
      <c r="N729" s="18" t="s">
        <v>54</v>
      </c>
    </row>
    <row r="730" hidden="1">
      <c r="A730" s="15" t="str">
        <f>IFERROR(__xludf.DUMMYFUNCTION("""COMPUTED_VALUE"""),"MFHRO0218")</f>
        <v>MFHRO0218</v>
      </c>
      <c r="B730" s="16">
        <f>IFERROR(__xludf.DUMMYFUNCTION("""COMPUTED_VALUE"""),45921.5119862963)</f>
        <v>45921.51199</v>
      </c>
      <c r="C730" s="17">
        <f>IFERROR(__xludf.DUMMYFUNCTION("""COMPUTED_VALUE"""),45921.874636238426)</f>
        <v>45921.87464</v>
      </c>
      <c r="D730" s="15" t="str">
        <f>IFERROR(__xludf.DUMMYFUNCTION("""COMPUTED_VALUE"""),"TOC")</f>
        <v>TOC</v>
      </c>
      <c r="E730" s="15" t="str">
        <f>IFERROR(__xludf.DUMMYFUNCTION("""COMPUTED_VALUE"""),"-")</f>
        <v>-</v>
      </c>
      <c r="F730" s="15" t="str">
        <f>IFERROR(__xludf.DUMMYFUNCTION("""COMPUTED_VALUE"""),"900 UV lamp; Sievers; P/N CARK35010-01; 1 pc")</f>
        <v>900 UV lamp; Sievers; P/N CARK35010-01; 1 pc</v>
      </c>
      <c r="G730" s="15">
        <f>IFERROR(__xludf.DUMMYFUNCTION("""COMPUTED_VALUE"""),1.0)</f>
        <v>1</v>
      </c>
      <c r="H730" s="15" t="str">
        <f>IFERROR(__xludf.DUMMYFUNCTION("""COMPUTED_VALUE"""),"Pieces")</f>
        <v>Pieces</v>
      </c>
      <c r="I730" s="15" t="str">
        <f>IFERROR(__xludf.DUMMYFUNCTION("""COMPUTED_VALUE"""),"Deliver")</f>
        <v>Deliver</v>
      </c>
      <c r="J730" s="15" t="str">
        <f>IFERROR(__xludf.DUMMYFUNCTION("""COMPUTED_VALUE"""),"-")</f>
        <v>-</v>
      </c>
      <c r="K730" s="15" t="str">
        <f>IFERROR(__xludf.DUMMYFUNCTION("""COMPUTED_VALUE"""),"-")</f>
        <v>-</v>
      </c>
      <c r="L730" s="15" t="str">
        <f>IFERROR(__xludf.DUMMYFUNCTION("""COMPUTED_VALUE"""),"Normal")</f>
        <v>Normal</v>
      </c>
      <c r="M730" s="18" t="s">
        <v>53</v>
      </c>
      <c r="N730" s="18" t="s">
        <v>54</v>
      </c>
    </row>
    <row r="731" hidden="1">
      <c r="A731" s="15" t="str">
        <f>IFERROR(__xludf.DUMMYFUNCTION("""COMPUTED_VALUE"""),"MFHRO0219")</f>
        <v>MFHRO0219</v>
      </c>
      <c r="B731" s="16">
        <f>IFERROR(__xludf.DUMMYFUNCTION("""COMPUTED_VALUE"""),45921.5119862963)</f>
        <v>45921.51199</v>
      </c>
      <c r="C731" s="17">
        <f>IFERROR(__xludf.DUMMYFUNCTION("""COMPUTED_VALUE"""),45921.87474868055)</f>
        <v>45921.87475</v>
      </c>
      <c r="D731" s="15" t="str">
        <f>IFERROR(__xludf.DUMMYFUNCTION("""COMPUTED_VALUE"""),"TOC")</f>
        <v>TOC</v>
      </c>
      <c r="E731" s="15" t="str">
        <f>IFERROR(__xludf.DUMMYFUNCTION("""COMPUTED_VALUE"""),"-")</f>
        <v>-</v>
      </c>
      <c r="F731" s="15" t="str">
        <f>IFERROR(__xludf.DUMMYFUNCTION("""COMPUTED_VALUE"""),"900 Sample pump tubing; Sievers; P/N CATU 96200; 1 pc")</f>
        <v>900 Sample pump tubing; Sievers; P/N CATU 96200; 1 pc</v>
      </c>
      <c r="G731" s="15">
        <f>IFERROR(__xludf.DUMMYFUNCTION("""COMPUTED_VALUE"""),1.0)</f>
        <v>1</v>
      </c>
      <c r="H731" s="15" t="str">
        <f>IFERROR(__xludf.DUMMYFUNCTION("""COMPUTED_VALUE"""),"Pieces")</f>
        <v>Pieces</v>
      </c>
      <c r="I731" s="15" t="str">
        <f>IFERROR(__xludf.DUMMYFUNCTION("""COMPUTED_VALUE"""),"Deliver")</f>
        <v>Deliver</v>
      </c>
      <c r="J731" s="15" t="str">
        <f>IFERROR(__xludf.DUMMYFUNCTION("""COMPUTED_VALUE"""),"-")</f>
        <v>-</v>
      </c>
      <c r="K731" s="15" t="str">
        <f>IFERROR(__xludf.DUMMYFUNCTION("""COMPUTED_VALUE"""),"-")</f>
        <v>-</v>
      </c>
      <c r="L731" s="15" t="str">
        <f>IFERROR(__xludf.DUMMYFUNCTION("""COMPUTED_VALUE"""),"Normal")</f>
        <v>Normal</v>
      </c>
      <c r="M731" s="18" t="s">
        <v>53</v>
      </c>
      <c r="N731" s="18" t="s">
        <v>54</v>
      </c>
    </row>
    <row r="732" hidden="1">
      <c r="A732" s="15" t="str">
        <f>IFERROR(__xludf.DUMMYFUNCTION("""COMPUTED_VALUE"""),"MFHRO0220")</f>
        <v>MFHRO0220</v>
      </c>
      <c r="B732" s="16">
        <f>IFERROR(__xludf.DUMMYFUNCTION("""COMPUTED_VALUE"""),45921.5119862963)</f>
        <v>45921.51199</v>
      </c>
      <c r="C732" s="17">
        <f>IFERROR(__xludf.DUMMYFUNCTION("""COMPUTED_VALUE"""),45921.87491180556)</f>
        <v>45921.87491</v>
      </c>
      <c r="D732" s="15" t="str">
        <f>IFERROR(__xludf.DUMMYFUNCTION("""COMPUTED_VALUE"""),"Tools")</f>
        <v>Tools</v>
      </c>
      <c r="E732" s="15" t="str">
        <f>IFERROR(__xludf.DUMMYFUNCTION("""COMPUTED_VALUE"""),"-")</f>
        <v>-</v>
      </c>
      <c r="F732" s="15" t="str">
        <f>IFERROR(__xludf.DUMMYFUNCTION("""COMPUTED_VALUE"""),"Kunci L Hex Key Stubby Uk. 1,5 - 10 mm; Tekiro; HK-ST1210 ; 9 pc/set")</f>
        <v>Kunci L Hex Key Stubby Uk. 1,5 - 10 mm; Tekiro; HK-ST1210 ; 9 pc/set</v>
      </c>
      <c r="G732" s="15">
        <f>IFERROR(__xludf.DUMMYFUNCTION("""COMPUTED_VALUE"""),1.0)</f>
        <v>1</v>
      </c>
      <c r="H732" s="15" t="str">
        <f>IFERROR(__xludf.DUMMYFUNCTION("""COMPUTED_VALUE"""),"Set")</f>
        <v>Set</v>
      </c>
      <c r="I732" s="15" t="str">
        <f>IFERROR(__xludf.DUMMYFUNCTION("""COMPUTED_VALUE"""),"Deliver")</f>
        <v>Deliver</v>
      </c>
      <c r="J732" s="15" t="str">
        <f>IFERROR(__xludf.DUMMYFUNCTION("""COMPUTED_VALUE"""),"-")</f>
        <v>-</v>
      </c>
      <c r="K732" s="15" t="str">
        <f>IFERROR(__xludf.DUMMYFUNCTION("""COMPUTED_VALUE"""),"-")</f>
        <v>-</v>
      </c>
      <c r="L732" s="15" t="str">
        <f>IFERROR(__xludf.DUMMYFUNCTION("""COMPUTED_VALUE"""),"Normal")</f>
        <v>Normal</v>
      </c>
      <c r="M732" s="18" t="s">
        <v>53</v>
      </c>
      <c r="N732" s="18" t="s">
        <v>54</v>
      </c>
    </row>
    <row r="733" hidden="1">
      <c r="A733" s="15" t="str">
        <f>IFERROR(__xludf.DUMMYFUNCTION("""COMPUTED_VALUE"""),"MFHRO0221")</f>
        <v>MFHRO0221</v>
      </c>
      <c r="B733" s="16">
        <f>IFERROR(__xludf.DUMMYFUNCTION("""COMPUTED_VALUE"""),45921.5119862963)</f>
        <v>45921.51199</v>
      </c>
      <c r="C733" s="17">
        <f>IFERROR(__xludf.DUMMYFUNCTION("""COMPUTED_VALUE"""),45921.87501471064)</f>
        <v>45921.87501</v>
      </c>
      <c r="D733" s="15" t="str">
        <f>IFERROR(__xludf.DUMMYFUNCTION("""COMPUTED_VALUE"""),"Cartonning")</f>
        <v>Cartonning</v>
      </c>
      <c r="E733" s="15" t="str">
        <f>IFERROR(__xludf.DUMMYFUNCTION("""COMPUTED_VALUE"""),"-")</f>
        <v>-</v>
      </c>
      <c r="F733" s="15" t="str">
        <f>IFERROR(__xludf.DUMMYFUNCTION("""COMPUTED_VALUE"""),"Marchesini FB220-PN. 7301604 MODULE,E.DOT+, 0,35MM NOZZLE  Nordson; Nordson; ;")</f>
        <v>Marchesini FB220-PN. 7301604 MODULE,E.DOT+, 0,35MM NOZZLE  Nordson; Nordson; ;</v>
      </c>
      <c r="G733" s="15">
        <f>IFERROR(__xludf.DUMMYFUNCTION("""COMPUTED_VALUE"""),1.0)</f>
        <v>1</v>
      </c>
      <c r="H733" s="15" t="str">
        <f>IFERROR(__xludf.DUMMYFUNCTION("""COMPUTED_VALUE"""),"Pieces")</f>
        <v>Pieces</v>
      </c>
      <c r="I733" s="15" t="str">
        <f>IFERROR(__xludf.DUMMYFUNCTION("""COMPUTED_VALUE"""),"Deliver")</f>
        <v>Deliver</v>
      </c>
      <c r="J733" s="15" t="str">
        <f>IFERROR(__xludf.DUMMYFUNCTION("""COMPUTED_VALUE"""),"-")</f>
        <v>-</v>
      </c>
      <c r="K733" s="15" t="str">
        <f>IFERROR(__xludf.DUMMYFUNCTION("""COMPUTED_VALUE"""),"-")</f>
        <v>-</v>
      </c>
      <c r="L733" s="15" t="str">
        <f>IFERROR(__xludf.DUMMYFUNCTION("""COMPUTED_VALUE"""),"Normal")</f>
        <v>Normal</v>
      </c>
      <c r="M733" s="18" t="s">
        <v>53</v>
      </c>
      <c r="N733" s="18" t="s">
        <v>54</v>
      </c>
    </row>
    <row r="734" hidden="1">
      <c r="A734" s="15" t="str">
        <f>IFERROR(__xludf.DUMMYFUNCTION("""COMPUTED_VALUE"""),"MFHRO0222")</f>
        <v>MFHRO0222</v>
      </c>
      <c r="B734" s="16">
        <f>IFERROR(__xludf.DUMMYFUNCTION("""COMPUTED_VALUE"""),45921.5119862963)</f>
        <v>45921.51199</v>
      </c>
      <c r="C734" s="17">
        <f>IFERROR(__xludf.DUMMYFUNCTION("""COMPUTED_VALUE"""),45921.87512146991)</f>
        <v>45921.87512</v>
      </c>
      <c r="D734" s="15" t="str">
        <f>IFERROR(__xludf.DUMMYFUNCTION("""COMPUTED_VALUE"""),"Sparepart")</f>
        <v>Sparepart</v>
      </c>
      <c r="E734" s="15" t="str">
        <f>IFERROR(__xludf.DUMMYFUNCTION("""COMPUTED_VALUE"""),"-")</f>
        <v>-</v>
      </c>
      <c r="F734" s="15" t="str">
        <f>IFERROR(__xludf.DUMMYFUNCTION("""COMPUTED_VALUE"""),"Socket Relay PF083A-E; Omron; PF083A; 1 pieces")</f>
        <v>Socket Relay PF083A-E; Omron; PF083A; 1 pieces</v>
      </c>
      <c r="G734" s="15">
        <f>IFERROR(__xludf.DUMMYFUNCTION("""COMPUTED_VALUE"""),5.0)</f>
        <v>5</v>
      </c>
      <c r="H734" s="15" t="str">
        <f>IFERROR(__xludf.DUMMYFUNCTION("""COMPUTED_VALUE"""),"Pieces")</f>
        <v>Pieces</v>
      </c>
      <c r="I734" s="15" t="str">
        <f>IFERROR(__xludf.DUMMYFUNCTION("""COMPUTED_VALUE"""),"Deliver")</f>
        <v>Deliver</v>
      </c>
      <c r="J734" s="15" t="str">
        <f>IFERROR(__xludf.DUMMYFUNCTION("""COMPUTED_VALUE"""),"-")</f>
        <v>-</v>
      </c>
      <c r="K734" s="15" t="str">
        <f>IFERROR(__xludf.DUMMYFUNCTION("""COMPUTED_VALUE"""),"-")</f>
        <v>-</v>
      </c>
      <c r="L734" s="15" t="str">
        <f>IFERROR(__xludf.DUMMYFUNCTION("""COMPUTED_VALUE"""),"Normal")</f>
        <v>Normal</v>
      </c>
      <c r="M734" s="18" t="s">
        <v>53</v>
      </c>
      <c r="N734" s="18" t="s">
        <v>54</v>
      </c>
    </row>
    <row r="735" hidden="1">
      <c r="A735" s="15" t="str">
        <f>IFERROR(__xludf.DUMMYFUNCTION("""COMPUTED_VALUE"""),"MFHRO0223")</f>
        <v>MFHRO0223</v>
      </c>
      <c r="B735" s="16">
        <f>IFERROR(__xludf.DUMMYFUNCTION("""COMPUTED_VALUE"""),45921.5119862963)</f>
        <v>45921.51199</v>
      </c>
      <c r="C735" s="17">
        <f>IFERROR(__xludf.DUMMYFUNCTION("""COMPUTED_VALUE"""),45921.875218715286)</f>
        <v>45921.87522</v>
      </c>
      <c r="D735" s="15" t="str">
        <f>IFERROR(__xludf.DUMMYFUNCTION("""COMPUTED_VALUE"""),"HPLC")</f>
        <v>HPLC</v>
      </c>
      <c r="E735" s="15" t="str">
        <f>IFERROR(__xludf.DUMMYFUNCTION("""COMPUTED_VALUE"""),"-")</f>
        <v>-</v>
      </c>
      <c r="F735" s="15" t="str">
        <f>IFERROR(__xludf.DUMMYFUNCTION("""COMPUTED_VALUE"""),"Performance Plus Check Valve Housing; Waters; 700002332;")</f>
        <v>Performance Plus Check Valve Housing; Waters; 700002332;</v>
      </c>
      <c r="G735" s="15">
        <f>IFERROR(__xludf.DUMMYFUNCTION("""COMPUTED_VALUE"""),2.0)</f>
        <v>2</v>
      </c>
      <c r="H735" s="15" t="str">
        <f>IFERROR(__xludf.DUMMYFUNCTION("""COMPUTED_VALUE"""),"Pack")</f>
        <v>Pack</v>
      </c>
      <c r="I735" s="15" t="str">
        <f>IFERROR(__xludf.DUMMYFUNCTION("""COMPUTED_VALUE"""),"Deliver")</f>
        <v>Deliver</v>
      </c>
      <c r="J735" s="15" t="str">
        <f>IFERROR(__xludf.DUMMYFUNCTION("""COMPUTED_VALUE"""),"-")</f>
        <v>-</v>
      </c>
      <c r="K735" s="15" t="str">
        <f>IFERROR(__xludf.DUMMYFUNCTION("""COMPUTED_VALUE"""),"-")</f>
        <v>-</v>
      </c>
      <c r="L735" s="15" t="str">
        <f>IFERROR(__xludf.DUMMYFUNCTION("""COMPUTED_VALUE"""),"Normal")</f>
        <v>Normal</v>
      </c>
      <c r="M735" s="18" t="s">
        <v>53</v>
      </c>
      <c r="N735" s="18" t="s">
        <v>54</v>
      </c>
    </row>
    <row r="736" hidden="1">
      <c r="A736" s="15" t="str">
        <f>IFERROR(__xludf.DUMMYFUNCTION("""COMPUTED_VALUE"""),"MFHRO0224")</f>
        <v>MFHRO0224</v>
      </c>
      <c r="B736" s="16">
        <f>IFERROR(__xludf.DUMMYFUNCTION("""COMPUTED_VALUE"""),45921.5119862963)</f>
        <v>45921.51199</v>
      </c>
      <c r="C736" s="17">
        <f>IFERROR(__xludf.DUMMYFUNCTION("""COMPUTED_VALUE"""),45921.87534061343)</f>
        <v>45921.87534</v>
      </c>
      <c r="D736" s="15" t="str">
        <f>IFERROR(__xludf.DUMMYFUNCTION("""COMPUTED_VALUE"""),"OSD")</f>
        <v>OSD</v>
      </c>
      <c r="E736" s="15" t="str">
        <f>IFERROR(__xludf.DUMMYFUNCTION("""COMPUTED_VALUE"""),"-")</f>
        <v>-</v>
      </c>
      <c r="F736" s="15" t="str">
        <f>IFERROR(__xludf.DUMMYFUNCTION("""COMPUTED_VALUE"""),"General - Hygrothermo Transducer, 907021/161-2-34-005/000, Output 4...20mA, 2 Wire, 0-100%, 0-50DegC; Jumo; JU.90.7021.050; 1 pc")</f>
        <v>General - Hygrothermo Transducer, 907021/161-2-34-005/000, Output 4...20mA, 2 Wire, 0-100%, 0-50DegC; Jumo; JU.90.7021.050; 1 pc</v>
      </c>
      <c r="G736" s="15">
        <f>IFERROR(__xludf.DUMMYFUNCTION("""COMPUTED_VALUE"""),2.0)</f>
        <v>2</v>
      </c>
      <c r="H736" s="15" t="str">
        <f>IFERROR(__xludf.DUMMYFUNCTION("""COMPUTED_VALUE"""),"Pieces")</f>
        <v>Pieces</v>
      </c>
      <c r="I736" s="15" t="str">
        <f>IFERROR(__xludf.DUMMYFUNCTION("""COMPUTED_VALUE"""),"Deliver")</f>
        <v>Deliver</v>
      </c>
      <c r="J736" s="15" t="str">
        <f>IFERROR(__xludf.DUMMYFUNCTION("""COMPUTED_VALUE"""),"-")</f>
        <v>-</v>
      </c>
      <c r="K736" s="15" t="str">
        <f>IFERROR(__xludf.DUMMYFUNCTION("""COMPUTED_VALUE"""),"-")</f>
        <v>-</v>
      </c>
      <c r="L736" s="15" t="str">
        <f>IFERROR(__xludf.DUMMYFUNCTION("""COMPUTED_VALUE"""),"Normal")</f>
        <v>Normal</v>
      </c>
      <c r="M736" s="18" t="s">
        <v>53</v>
      </c>
      <c r="N736" s="18" t="s">
        <v>54</v>
      </c>
    </row>
    <row r="737" hidden="1">
      <c r="A737" s="15" t="str">
        <f>IFERROR(__xludf.DUMMYFUNCTION("""COMPUTED_VALUE"""),"MFHRO0225")</f>
        <v>MFHRO0225</v>
      </c>
      <c r="B737" s="16">
        <f>IFERROR(__xludf.DUMMYFUNCTION("""COMPUTED_VALUE"""),45921.5119862963)</f>
        <v>45921.51199</v>
      </c>
      <c r="C737" s="17">
        <f>IFERROR(__xludf.DUMMYFUNCTION("""COMPUTED_VALUE"""),45921.8754261574)</f>
        <v>45921.87543</v>
      </c>
      <c r="D737" s="15" t="str">
        <f>IFERROR(__xludf.DUMMYFUNCTION("""COMPUTED_VALUE"""),"Mixing")</f>
        <v>Mixing</v>
      </c>
      <c r="E737" s="15" t="str">
        <f>IFERROR(__xludf.DUMMYFUNCTION("""COMPUTED_VALUE"""),"-")</f>
        <v>-</v>
      </c>
      <c r="F737" s="15" t="str">
        <f>IFERROR(__xludf.DUMMYFUNCTION("""COMPUTED_VALUE"""),"Mixing Tank Adam - Cable VP8-ST/35m; Mettler Toledo; 52300359; 1 Pc")</f>
        <v>Mixing Tank Adam - Cable VP8-ST/35m; Mettler Toledo; 52300359; 1 Pc</v>
      </c>
      <c r="G737" s="15">
        <f>IFERROR(__xludf.DUMMYFUNCTION("""COMPUTED_VALUE"""),1.0)</f>
        <v>1</v>
      </c>
      <c r="H737" s="15" t="str">
        <f>IFERROR(__xludf.DUMMYFUNCTION("""COMPUTED_VALUE"""),"Pieces")</f>
        <v>Pieces</v>
      </c>
      <c r="I737" s="15" t="str">
        <f>IFERROR(__xludf.DUMMYFUNCTION("""COMPUTED_VALUE"""),"Deliver")</f>
        <v>Deliver</v>
      </c>
      <c r="J737" s="15" t="str">
        <f>IFERROR(__xludf.DUMMYFUNCTION("""COMPUTED_VALUE"""),"-")</f>
        <v>-</v>
      </c>
      <c r="K737" s="15" t="str">
        <f>IFERROR(__xludf.DUMMYFUNCTION("""COMPUTED_VALUE"""),"-")</f>
        <v>-</v>
      </c>
      <c r="L737" s="15" t="str">
        <f>IFERROR(__xludf.DUMMYFUNCTION("""COMPUTED_VALUE"""),"Normal")</f>
        <v>Normal</v>
      </c>
      <c r="M737" s="18" t="s">
        <v>53</v>
      </c>
      <c r="N737" s="18" t="s">
        <v>54</v>
      </c>
    </row>
    <row r="738" hidden="1">
      <c r="A738" s="15" t="str">
        <f>IFERROR(__xludf.DUMMYFUNCTION("""COMPUTED_VALUE"""),"MFHRO0226")</f>
        <v>MFHRO0226</v>
      </c>
      <c r="B738" s="16">
        <f>IFERROR(__xludf.DUMMYFUNCTION("""COMPUTED_VALUE"""),45921.5119862963)</f>
        <v>45921.51199</v>
      </c>
      <c r="C738" s="17">
        <f>IFERROR(__xludf.DUMMYFUNCTION("""COMPUTED_VALUE"""),45921.87551716436)</f>
        <v>45921.87552</v>
      </c>
      <c r="D738" s="15" t="str">
        <f>IFERROR(__xludf.DUMMYFUNCTION("""COMPUTED_VALUE"""),"FD")</f>
        <v>FD</v>
      </c>
      <c r="E738" s="15" t="str">
        <f>IFERROR(__xludf.DUMMYFUNCTION("""COMPUTED_VALUE"""),"-")</f>
        <v>-</v>
      </c>
      <c r="F738" s="15" t="str">
        <f>IFERROR(__xludf.DUMMYFUNCTION("""COMPUTED_VALUE"""),"Flexible Front End 916 - (125.0 - 125.0)")</f>
        <v>Flexible Front End 916 - (125.0 - 125.0)</v>
      </c>
      <c r="G738" s="15">
        <f>IFERROR(__xludf.DUMMYFUNCTION("""COMPUTED_VALUE"""),1.0)</f>
        <v>1</v>
      </c>
      <c r="H738" s="15" t="str">
        <f>IFERROR(__xludf.DUMMYFUNCTION("""COMPUTED_VALUE"""),"Pieces")</f>
        <v>Pieces</v>
      </c>
      <c r="I738" s="15" t="str">
        <f>IFERROR(__xludf.DUMMYFUNCTION("""COMPUTED_VALUE"""),"Deliver")</f>
        <v>Deliver</v>
      </c>
      <c r="J738" s="15" t="str">
        <f>IFERROR(__xludf.DUMMYFUNCTION("""COMPUTED_VALUE"""),"-")</f>
        <v>-</v>
      </c>
      <c r="K738" s="15" t="str">
        <f>IFERROR(__xludf.DUMMYFUNCTION("""COMPUTED_VALUE"""),"-")</f>
        <v>-</v>
      </c>
      <c r="L738" s="15" t="str">
        <f>IFERROR(__xludf.DUMMYFUNCTION("""COMPUTED_VALUE"""),"Normal")</f>
        <v>Normal</v>
      </c>
      <c r="M738" s="18" t="s">
        <v>53</v>
      </c>
      <c r="N738" s="18" t="s">
        <v>54</v>
      </c>
    </row>
    <row r="739" hidden="1">
      <c r="A739" s="15" t="str">
        <f>IFERROR(__xludf.DUMMYFUNCTION("""COMPUTED_VALUE"""),"MFHRO0227")</f>
        <v>MFHRO0227</v>
      </c>
      <c r="B739" s="16">
        <f>IFERROR(__xludf.DUMMYFUNCTION("""COMPUTED_VALUE"""),45921.5119862963)</f>
        <v>45921.51199</v>
      </c>
      <c r="C739" s="17">
        <f>IFERROR(__xludf.DUMMYFUNCTION("""COMPUTED_VALUE"""),45921.87560598379)</f>
        <v>45921.87561</v>
      </c>
      <c r="D739" s="15" t="str">
        <f>IFERROR(__xludf.DUMMYFUNCTION("""COMPUTED_VALUE"""),"SKAN")</f>
        <v>SKAN</v>
      </c>
      <c r="E739" s="15" t="str">
        <f>IFERROR(__xludf.DUMMYFUNCTION("""COMPUTED_VALUE"""),"-")</f>
        <v>-</v>
      </c>
      <c r="F739" s="15" t="str">
        <f>IFERROR(__xludf.DUMMYFUNCTION("""COMPUTED_VALUE"""),"Isolator - Pneumatic Gasket Front Door DICHT.PNEU. 1784X0724 MVQ; SKAN; 1015746; 1 Pc")</f>
        <v>Isolator - Pneumatic Gasket Front Door DICHT.PNEU. 1784X0724 MVQ; SKAN; 1015746; 1 Pc</v>
      </c>
      <c r="G739" s="15">
        <f>IFERROR(__xludf.DUMMYFUNCTION("""COMPUTED_VALUE"""),1.0)</f>
        <v>1</v>
      </c>
      <c r="H739" s="15" t="str">
        <f>IFERROR(__xludf.DUMMYFUNCTION("""COMPUTED_VALUE"""),"Pieces")</f>
        <v>Pieces</v>
      </c>
      <c r="I739" s="15" t="str">
        <f>IFERROR(__xludf.DUMMYFUNCTION("""COMPUTED_VALUE"""),"Deliver")</f>
        <v>Deliver</v>
      </c>
      <c r="J739" s="15" t="str">
        <f>IFERROR(__xludf.DUMMYFUNCTION("""COMPUTED_VALUE"""),"-")</f>
        <v>-</v>
      </c>
      <c r="K739" s="15" t="str">
        <f>IFERROR(__xludf.DUMMYFUNCTION("""COMPUTED_VALUE"""),"-")</f>
        <v>-</v>
      </c>
      <c r="L739" s="15" t="str">
        <f>IFERROR(__xludf.DUMMYFUNCTION("""COMPUTED_VALUE"""),"Normal")</f>
        <v>Normal</v>
      </c>
      <c r="M739" s="18" t="s">
        <v>53</v>
      </c>
      <c r="N739" s="18" t="s">
        <v>54</v>
      </c>
    </row>
    <row r="740" hidden="1">
      <c r="A740" s="15" t="str">
        <f>IFERROR(__xludf.DUMMYFUNCTION("""COMPUTED_VALUE"""),"MFHRO0228")</f>
        <v>MFHRO0228</v>
      </c>
      <c r="B740" s="16">
        <f>IFERROR(__xludf.DUMMYFUNCTION("""COMPUTED_VALUE"""),45921.5119862963)</f>
        <v>45921.51199</v>
      </c>
      <c r="C740" s="17">
        <f>IFERROR(__xludf.DUMMYFUNCTION("""COMPUTED_VALUE"""),45921.87570512732)</f>
        <v>45921.87571</v>
      </c>
      <c r="D740" s="15" t="str">
        <f>IFERROR(__xludf.DUMMYFUNCTION("""COMPUTED_VALUE"""),"SKAN")</f>
        <v>SKAN</v>
      </c>
      <c r="E740" s="15" t="str">
        <f>IFERROR(__xludf.DUMMYFUNCTION("""COMPUTED_VALUE"""),"-")</f>
        <v>-</v>
      </c>
      <c r="F740" s="15" t="str">
        <f>IFERROR(__xludf.DUMMYFUNCTION("""COMPUTED_VALUE"""),"Isolator - Silicon Tube Pump 913.A016.016; SKAN; 1002902; 1 Pc")</f>
        <v>Isolator - Silicon Tube Pump 913.A016.016; SKAN; 1002902; 1 Pc</v>
      </c>
      <c r="G740" s="15">
        <f>IFERROR(__xludf.DUMMYFUNCTION("""COMPUTED_VALUE"""),3.0)</f>
        <v>3</v>
      </c>
      <c r="H740" s="15" t="str">
        <f>IFERROR(__xludf.DUMMYFUNCTION("""COMPUTED_VALUE"""),"Pieces")</f>
        <v>Pieces</v>
      </c>
      <c r="I740" s="15" t="str">
        <f>IFERROR(__xludf.DUMMYFUNCTION("""COMPUTED_VALUE"""),"Deliver")</f>
        <v>Deliver</v>
      </c>
      <c r="J740" s="15" t="str">
        <f>IFERROR(__xludf.DUMMYFUNCTION("""COMPUTED_VALUE"""),"-")</f>
        <v>-</v>
      </c>
      <c r="K740" s="15" t="str">
        <f>IFERROR(__xludf.DUMMYFUNCTION("""COMPUTED_VALUE"""),"-")</f>
        <v>-</v>
      </c>
      <c r="L740" s="15" t="str">
        <f>IFERROR(__xludf.DUMMYFUNCTION("""COMPUTED_VALUE"""),"Normal")</f>
        <v>Normal</v>
      </c>
      <c r="M740" s="18" t="s">
        <v>53</v>
      </c>
      <c r="N740" s="18" t="s">
        <v>54</v>
      </c>
    </row>
    <row r="741" hidden="1">
      <c r="A741" s="15" t="str">
        <f>IFERROR(__xludf.DUMMYFUNCTION("""COMPUTED_VALUE"""),"MFHRO0229")</f>
        <v>MFHRO0229</v>
      </c>
      <c r="B741" s="16">
        <f>IFERROR(__xludf.DUMMYFUNCTION("""COMPUTED_VALUE"""),45921.5119862963)</f>
        <v>45921.51199</v>
      </c>
      <c r="C741" s="17">
        <f>IFERROR(__xludf.DUMMYFUNCTION("""COMPUTED_VALUE"""),45921.87580586806)</f>
        <v>45921.87581</v>
      </c>
      <c r="D741" s="15" t="str">
        <f>IFERROR(__xludf.DUMMYFUNCTION("""COMPUTED_VALUE"""),"SKAN")</f>
        <v>SKAN</v>
      </c>
      <c r="E741" s="15" t="str">
        <f>IFERROR(__xludf.DUMMYFUNCTION("""COMPUTED_VALUE"""),"-")</f>
        <v>-</v>
      </c>
      <c r="F741" s="15" t="str">
        <f>IFERROR(__xludf.DUMMYFUNCTION("""COMPUTED_VALUE"""),"Isolator Machine - Pneumatic Gasket Transfer Door (Left + Right) DICHT.PNEU. 1784X0724 MVQ; SKAN; 1015668; 1 Pc")</f>
        <v>Isolator Machine - Pneumatic Gasket Transfer Door (Left + Right) DICHT.PNEU. 1784X0724 MVQ; SKAN; 1015668; 1 Pc</v>
      </c>
      <c r="G741" s="15">
        <f>IFERROR(__xludf.DUMMYFUNCTION("""COMPUTED_VALUE"""),1.0)</f>
        <v>1</v>
      </c>
      <c r="H741" s="15" t="str">
        <f>IFERROR(__xludf.DUMMYFUNCTION("""COMPUTED_VALUE"""),"Pieces")</f>
        <v>Pieces</v>
      </c>
      <c r="I741" s="15" t="str">
        <f>IFERROR(__xludf.DUMMYFUNCTION("""COMPUTED_VALUE"""),"Deliver")</f>
        <v>Deliver</v>
      </c>
      <c r="J741" s="15" t="str">
        <f>IFERROR(__xludf.DUMMYFUNCTION("""COMPUTED_VALUE"""),"-")</f>
        <v>-</v>
      </c>
      <c r="K741" s="15" t="str">
        <f>IFERROR(__xludf.DUMMYFUNCTION("""COMPUTED_VALUE"""),"-")</f>
        <v>-</v>
      </c>
      <c r="L741" s="15" t="str">
        <f>IFERROR(__xludf.DUMMYFUNCTION("""COMPUTED_VALUE"""),"Normal")</f>
        <v>Normal</v>
      </c>
      <c r="M741" s="18" t="s">
        <v>53</v>
      </c>
      <c r="N741" s="18" t="s">
        <v>54</v>
      </c>
    </row>
    <row r="742" hidden="1">
      <c r="A742" s="15" t="str">
        <f>IFERROR(__xludf.DUMMYFUNCTION("""COMPUTED_VALUE"""),"MFHRO0230")</f>
        <v>MFHRO0230</v>
      </c>
      <c r="B742" s="16">
        <f>IFERROR(__xludf.DUMMYFUNCTION("""COMPUTED_VALUE"""),45921.5119862963)</f>
        <v>45921.51199</v>
      </c>
      <c r="C742" s="17">
        <f>IFERROR(__xludf.DUMMYFUNCTION("""COMPUTED_VALUE"""),45921.875910902774)</f>
        <v>45921.87591</v>
      </c>
      <c r="D742" s="15" t="str">
        <f>IFERROR(__xludf.DUMMYFUNCTION("""COMPUTED_VALUE"""),"Sparepart")</f>
        <v>Sparepart</v>
      </c>
      <c r="E742" s="15" t="str">
        <f>IFERROR(__xludf.DUMMYFUNCTION("""COMPUTED_VALUE"""),"-")</f>
        <v>-</v>
      </c>
      <c r="F742" s="15" t="str">
        <f>IFERROR(__xludf.DUMMYFUNCTION("""COMPUTED_VALUE"""),"Chemical - NIKKO steel Type: NS-stain clean = 1kg (stainless steel pickling gel)")</f>
        <v>Chemical - NIKKO steel Type: NS-stain clean = 1kg (stainless steel pickling gel)</v>
      </c>
      <c r="G742" s="15">
        <f>IFERROR(__xludf.DUMMYFUNCTION("""COMPUTED_VALUE"""),5.0)</f>
        <v>5</v>
      </c>
      <c r="H742" s="15" t="str">
        <f>IFERROR(__xludf.DUMMYFUNCTION("""COMPUTED_VALUE"""),"Pieces")</f>
        <v>Pieces</v>
      </c>
      <c r="I742" s="15" t="str">
        <f>IFERROR(__xludf.DUMMYFUNCTION("""COMPUTED_VALUE"""),"Deliver")</f>
        <v>Deliver</v>
      </c>
      <c r="J742" s="15" t="str">
        <f>IFERROR(__xludf.DUMMYFUNCTION("""COMPUTED_VALUE"""),"-")</f>
        <v>-</v>
      </c>
      <c r="K742" s="15" t="str">
        <f>IFERROR(__xludf.DUMMYFUNCTION("""COMPUTED_VALUE"""),"-")</f>
        <v>-</v>
      </c>
      <c r="L742" s="15" t="str">
        <f>IFERROR(__xludf.DUMMYFUNCTION("""COMPUTED_VALUE"""),"Normal")</f>
        <v>Normal</v>
      </c>
      <c r="M742" s="18" t="s">
        <v>53</v>
      </c>
      <c r="N742" s="18" t="s">
        <v>54</v>
      </c>
    </row>
    <row r="743" hidden="1">
      <c r="A743" s="15" t="str">
        <f>IFERROR(__xludf.DUMMYFUNCTION("""COMPUTED_VALUE"""),"MFHRO0231")</f>
        <v>MFHRO0231</v>
      </c>
      <c r="B743" s="16">
        <f>IFERROR(__xludf.DUMMYFUNCTION("""COMPUTED_VALUE"""),45921.5119862963)</f>
        <v>45921.51199</v>
      </c>
      <c r="C743" s="17">
        <f>IFERROR(__xludf.DUMMYFUNCTION("""COMPUTED_VALUE"""),45921.876014166664)</f>
        <v>45921.87601</v>
      </c>
      <c r="D743" s="15" t="str">
        <f>IFERROR(__xludf.DUMMYFUNCTION("""COMPUTED_VALUE"""),"BSC")</f>
        <v>BSC</v>
      </c>
      <c r="E743" s="15" t="str">
        <f>IFERROR(__xludf.DUMMYFUNCTION("""COMPUTED_VALUE"""),"-")</f>
        <v>-</v>
      </c>
      <c r="F743" s="15" t="str">
        <f>IFERROR(__xludf.DUMMYFUNCTION("""COMPUTED_VALUE"""),"Bio Safety Cabinet - Cover Timbangan Presision Balance 3x167x237, Mat. Acrylic; Custom/Lokal; -; 1 Pc")</f>
        <v>Bio Safety Cabinet - Cover Timbangan Presision Balance 3x167x237, Mat. Acrylic; Custom/Lokal; -; 1 Pc</v>
      </c>
      <c r="G743" s="15">
        <f>IFERROR(__xludf.DUMMYFUNCTION("""COMPUTED_VALUE"""),1.0)</f>
        <v>1</v>
      </c>
      <c r="H743" s="15" t="str">
        <f>IFERROR(__xludf.DUMMYFUNCTION("""COMPUTED_VALUE"""),"Pieces")</f>
        <v>Pieces</v>
      </c>
      <c r="I743" s="15" t="str">
        <f>IFERROR(__xludf.DUMMYFUNCTION("""COMPUTED_VALUE"""),"Deliver")</f>
        <v>Deliver</v>
      </c>
      <c r="J743" s="15" t="str">
        <f>IFERROR(__xludf.DUMMYFUNCTION("""COMPUTED_VALUE"""),"-")</f>
        <v>-</v>
      </c>
      <c r="K743" s="15" t="str">
        <f>IFERROR(__xludf.DUMMYFUNCTION("""COMPUTED_VALUE"""),"-")</f>
        <v>-</v>
      </c>
      <c r="L743" s="15" t="str">
        <f>IFERROR(__xludf.DUMMYFUNCTION("""COMPUTED_VALUE"""),"Normal")</f>
        <v>Normal</v>
      </c>
      <c r="M743" s="18" t="s">
        <v>53</v>
      </c>
      <c r="N743" s="18" t="s">
        <v>54</v>
      </c>
    </row>
    <row r="744" hidden="1">
      <c r="A744" s="15" t="str">
        <f>IFERROR(__xludf.DUMMYFUNCTION("""COMPUTED_VALUE"""),"MFHRO0232")</f>
        <v>MFHRO0232</v>
      </c>
      <c r="B744" s="16">
        <f>IFERROR(__xludf.DUMMYFUNCTION("""COMPUTED_VALUE"""),45921.5119862963)</f>
        <v>45921.51199</v>
      </c>
      <c r="C744" s="17">
        <f>IFERROR(__xludf.DUMMYFUNCTION("""COMPUTED_VALUE"""),45921.876120243054)</f>
        <v>45921.87612</v>
      </c>
      <c r="D744" s="15" t="str">
        <f>IFERROR(__xludf.DUMMYFUNCTION("""COMPUTED_VALUE"""),"Sparepart")</f>
        <v>Sparepart</v>
      </c>
      <c r="E744" s="15" t="str">
        <f>IFERROR(__xludf.DUMMYFUNCTION("""COMPUTED_VALUE"""),"-")</f>
        <v>-</v>
      </c>
      <c r="F744" s="15" t="str">
        <f>IFERROR(__xludf.DUMMYFUNCTION("""COMPUTED_VALUE"""),"General - Push-in Connector, QS-6; Festo; 153032; 1 pcs")</f>
        <v>General - Push-in Connector, QS-6; Festo; 153032; 1 pcs</v>
      </c>
      <c r="G744" s="15">
        <f>IFERROR(__xludf.DUMMYFUNCTION("""COMPUTED_VALUE"""),10.0)</f>
        <v>10</v>
      </c>
      <c r="H744" s="15" t="str">
        <f>IFERROR(__xludf.DUMMYFUNCTION("""COMPUTED_VALUE"""),"Pieces")</f>
        <v>Pieces</v>
      </c>
      <c r="I744" s="15" t="str">
        <f>IFERROR(__xludf.DUMMYFUNCTION("""COMPUTED_VALUE"""),"Deliver")</f>
        <v>Deliver</v>
      </c>
      <c r="J744" s="15" t="str">
        <f>IFERROR(__xludf.DUMMYFUNCTION("""COMPUTED_VALUE"""),"-")</f>
        <v>-</v>
      </c>
      <c r="K744" s="15" t="str">
        <f>IFERROR(__xludf.DUMMYFUNCTION("""COMPUTED_VALUE"""),"-")</f>
        <v>-</v>
      </c>
      <c r="L744" s="15" t="str">
        <f>IFERROR(__xludf.DUMMYFUNCTION("""COMPUTED_VALUE"""),"Normal")</f>
        <v>Normal</v>
      </c>
      <c r="M744" s="18" t="s">
        <v>53</v>
      </c>
      <c r="N744" s="18" t="s">
        <v>54</v>
      </c>
    </row>
    <row r="745" hidden="1">
      <c r="A745" s="15" t="str">
        <f>IFERROR(__xludf.DUMMYFUNCTION("""COMPUTED_VALUE"""),"MFHBR0016")</f>
        <v>MFHBR0016</v>
      </c>
      <c r="B745" s="16">
        <f>IFERROR(__xludf.DUMMYFUNCTION("""COMPUTED_VALUE"""),45921.46139768518)</f>
        <v>45921.4614</v>
      </c>
      <c r="C745" s="17">
        <f>IFERROR(__xludf.DUMMYFUNCTION("""COMPUTED_VALUE"""),45921.876313657405)</f>
        <v>45921.87631</v>
      </c>
      <c r="D745" s="15" t="str">
        <f>IFERROR(__xludf.DUMMYFUNCTION("""COMPUTED_VALUE"""),"Steriline")</f>
        <v>Steriline</v>
      </c>
      <c r="E745" s="15" t="str">
        <f>IFERROR(__xludf.DUMMYFUNCTION("""COMPUTED_VALUE"""),"-")</f>
        <v>-</v>
      </c>
      <c r="F745" s="15" t="str">
        <f>IFERROR(__xludf.DUMMYFUNCTION("""COMPUTED_VALUE"""),"Additional Cable Length")</f>
        <v>Additional Cable Length</v>
      </c>
      <c r="G745" s="15">
        <f>IFERROR(__xludf.DUMMYFUNCTION("""COMPUTED_VALUE"""),1.0)</f>
        <v>1</v>
      </c>
      <c r="H745" s="15" t="str">
        <f>IFERROR(__xludf.DUMMYFUNCTION("""COMPUTED_VALUE"""),"Lot")</f>
        <v>Lot</v>
      </c>
      <c r="I745" s="15" t="str">
        <f>IFERROR(__xludf.DUMMYFUNCTION("""COMPUTED_VALUE"""),"Deliver")</f>
        <v>Deliver</v>
      </c>
      <c r="J745" s="15" t="str">
        <f>IFERROR(__xludf.DUMMYFUNCTION("""COMPUTED_VALUE"""),"-")</f>
        <v>-</v>
      </c>
      <c r="K745" s="15" t="str">
        <f>IFERROR(__xludf.DUMMYFUNCTION("""COMPUTED_VALUE"""),"-")</f>
        <v>-</v>
      </c>
      <c r="L745" s="15" t="str">
        <f>IFERROR(__xludf.DUMMYFUNCTION("""COMPUTED_VALUE"""),"Normal")</f>
        <v>Normal</v>
      </c>
      <c r="M745" s="18" t="s">
        <v>53</v>
      </c>
      <c r="N745" s="18" t="s">
        <v>54</v>
      </c>
    </row>
    <row r="746" hidden="1">
      <c r="A746" s="15" t="str">
        <f>IFERROR(__xludf.DUMMYFUNCTION("""COMPUTED_VALUE"""),"MFHBR0017")</f>
        <v>MFHBR0017</v>
      </c>
      <c r="B746" s="16">
        <f>IFERROR(__xludf.DUMMYFUNCTION("""COMPUTED_VALUE"""),45921.46139768518)</f>
        <v>45921.4614</v>
      </c>
      <c r="C746" s="17">
        <f>IFERROR(__xludf.DUMMYFUNCTION("""COMPUTED_VALUE"""),45921.87640421296)</f>
        <v>45921.8764</v>
      </c>
      <c r="D746" s="15" t="str">
        <f>IFERROR(__xludf.DUMMYFUNCTION("""COMPUTED_VALUE"""),"Steriline")</f>
        <v>Steriline</v>
      </c>
      <c r="E746" s="15" t="str">
        <f>IFERROR(__xludf.DUMMYFUNCTION("""COMPUTED_VALUE"""),"-")</f>
        <v>-</v>
      </c>
      <c r="F746" s="15" t="str">
        <f>IFERROR(__xludf.DUMMYFUNCTION("""COMPUTED_VALUE"""),"Hardware Upgrade")</f>
        <v>Hardware Upgrade</v>
      </c>
      <c r="G746" s="15">
        <f>IFERROR(__xludf.DUMMYFUNCTION("""COMPUTED_VALUE"""),1.0)</f>
        <v>1</v>
      </c>
      <c r="H746" s="15" t="str">
        <f>IFERROR(__xludf.DUMMYFUNCTION("""COMPUTED_VALUE"""),"Lot")</f>
        <v>Lot</v>
      </c>
      <c r="I746" s="15" t="str">
        <f>IFERROR(__xludf.DUMMYFUNCTION("""COMPUTED_VALUE"""),"Deliver")</f>
        <v>Deliver</v>
      </c>
      <c r="J746" s="15" t="str">
        <f>IFERROR(__xludf.DUMMYFUNCTION("""COMPUTED_VALUE"""),"121703163 - APPROVED")</f>
        <v>121703163 - APPROVED</v>
      </c>
      <c r="K746" s="15" t="str">
        <f>IFERROR(__xludf.DUMMYFUNCTION("""COMPUTED_VALUE"""),"GL2509025")</f>
        <v>GL2509025</v>
      </c>
      <c r="L746" s="15" t="str">
        <f>IFERROR(__xludf.DUMMYFUNCTION("""COMPUTED_VALUE"""),"Normal")</f>
        <v>Normal</v>
      </c>
      <c r="M746" s="18" t="s">
        <v>53</v>
      </c>
      <c r="N746" s="18" t="s">
        <v>54</v>
      </c>
    </row>
    <row r="747" hidden="1">
      <c r="A747" s="15" t="str">
        <f>IFERROR(__xludf.DUMMYFUNCTION("""COMPUTED_VALUE"""),"MFHBR0018")</f>
        <v>MFHBR0018</v>
      </c>
      <c r="B747" s="16">
        <f>IFERROR(__xludf.DUMMYFUNCTION("""COMPUTED_VALUE"""),45921.46140724537)</f>
        <v>45921.46141</v>
      </c>
      <c r="C747" s="17">
        <f>IFERROR(__xludf.DUMMYFUNCTION("""COMPUTED_VALUE"""),45921.87650194445)</f>
        <v>45921.8765</v>
      </c>
      <c r="D747" s="15" t="str">
        <f>IFERROR(__xludf.DUMMYFUNCTION("""COMPUTED_VALUE"""),"Steriline")</f>
        <v>Steriline</v>
      </c>
      <c r="E747" s="15" t="str">
        <f>IFERROR(__xludf.DUMMYFUNCTION("""COMPUTED_VALUE"""),"-")</f>
        <v>-</v>
      </c>
      <c r="F747" s="15" t="str">
        <f>IFERROR(__xludf.DUMMYFUNCTION("""COMPUTED_VALUE"""),"Software Upgrade")</f>
        <v>Software Upgrade</v>
      </c>
      <c r="G747" s="15">
        <f>IFERROR(__xludf.DUMMYFUNCTION("""COMPUTED_VALUE"""),1.0)</f>
        <v>1</v>
      </c>
      <c r="H747" s="15" t="str">
        <f>IFERROR(__xludf.DUMMYFUNCTION("""COMPUTED_VALUE"""),"Lot")</f>
        <v>Lot</v>
      </c>
      <c r="I747" s="15" t="str">
        <f>IFERROR(__xludf.DUMMYFUNCTION("""COMPUTED_VALUE"""),"Deliver")</f>
        <v>Deliver</v>
      </c>
      <c r="J747" s="15" t="str">
        <f>IFERROR(__xludf.DUMMYFUNCTION("""COMPUTED_VALUE"""),"121703163 - APPROVED")</f>
        <v>121703163 - APPROVED</v>
      </c>
      <c r="K747" s="15" t="str">
        <f>IFERROR(__xludf.DUMMYFUNCTION("""COMPUTED_VALUE"""),"GL2509025")</f>
        <v>GL2509025</v>
      </c>
      <c r="L747" s="15" t="str">
        <f>IFERROR(__xludf.DUMMYFUNCTION("""COMPUTED_VALUE"""),"Normal")</f>
        <v>Normal</v>
      </c>
      <c r="M747" s="18" t="s">
        <v>53</v>
      </c>
      <c r="N747" s="18" t="s">
        <v>54</v>
      </c>
    </row>
    <row r="748" hidden="1">
      <c r="A748" s="15" t="str">
        <f>IFERROR(__xludf.DUMMYFUNCTION("""COMPUTED_VALUE"""),"MFHJA0034")</f>
        <v>MFHJA0034</v>
      </c>
      <c r="B748" s="16">
        <f>IFERROR(__xludf.DUMMYFUNCTION("""COMPUTED_VALUE"""),45921.4442130324)</f>
        <v>45921.44421</v>
      </c>
      <c r="C748" s="17">
        <f>IFERROR(__xludf.DUMMYFUNCTION("""COMPUTED_VALUE"""),45921.876703449074)</f>
        <v>45921.8767</v>
      </c>
      <c r="D748" s="15" t="str">
        <f>IFERROR(__xludf.DUMMYFUNCTION("""COMPUTED_VALUE"""),"Mixing")</f>
        <v>Mixing</v>
      </c>
      <c r="E748" s="15" t="str">
        <f>IFERROR(__xludf.DUMMYFUNCTION("""COMPUTED_VALUE"""),"-")</f>
        <v>-</v>
      </c>
      <c r="F748" s="15" t="str">
        <f>IFERROR(__xludf.DUMMYFUNCTION("""COMPUTED_VALUE"""),"Perbaikan PC Mixing")</f>
        <v>Perbaikan PC Mixing</v>
      </c>
      <c r="G748" s="15">
        <f>IFERROR(__xludf.DUMMYFUNCTION("""COMPUTED_VALUE"""),1.0)</f>
        <v>1</v>
      </c>
      <c r="H748" s="15" t="str">
        <f>IFERROR(__xludf.DUMMYFUNCTION("""COMPUTED_VALUE"""),"Lot")</f>
        <v>Lot</v>
      </c>
      <c r="I748" s="15" t="str">
        <f>IFERROR(__xludf.DUMMYFUNCTION("""COMPUTED_VALUE"""),"Deliver")</f>
        <v>Deliver</v>
      </c>
      <c r="J748" s="15" t="str">
        <f>IFERROR(__xludf.DUMMYFUNCTION("""COMPUTED_VALUE"""),"121703163 - APPROVED")</f>
        <v>121703163 - APPROVED</v>
      </c>
      <c r="K748" s="15" t="str">
        <f>IFERROR(__xludf.DUMMYFUNCTION("""COMPUTED_VALUE"""),"GL2509025")</f>
        <v>GL2509025</v>
      </c>
      <c r="L748" s="15" t="str">
        <f>IFERROR(__xludf.DUMMYFUNCTION("""COMPUTED_VALUE"""),"Normal")</f>
        <v>Normal</v>
      </c>
      <c r="M748" s="18" t="s">
        <v>53</v>
      </c>
      <c r="N748" s="18" t="s">
        <v>54</v>
      </c>
    </row>
    <row r="749" hidden="1">
      <c r="A749" s="15" t="str">
        <f>IFERROR(__xludf.DUMMYFUNCTION("""COMPUTED_VALUE"""),"MFHJA0035")</f>
        <v>MFHJA0035</v>
      </c>
      <c r="B749" s="16">
        <f>IFERROR(__xludf.DUMMYFUNCTION("""COMPUTED_VALUE"""),45921.445608078706)</f>
        <v>45921.44561</v>
      </c>
      <c r="C749" s="17">
        <f>IFERROR(__xludf.DUMMYFUNCTION("""COMPUTED_VALUE"""),45921.87679583334)</f>
        <v>45921.8768</v>
      </c>
      <c r="D749" s="15" t="str">
        <f>IFERROR(__xludf.DUMMYFUNCTION("""COMPUTED_VALUE"""),"FD")</f>
        <v>FD</v>
      </c>
      <c r="E749" s="15" t="str">
        <f>IFERROR(__xludf.DUMMYFUNCTION("""COMPUTED_VALUE"""),"-")</f>
        <v>-</v>
      </c>
      <c r="F749" s="15" t="str">
        <f>IFERROR(__xludf.DUMMYFUNCTION("""COMPUTED_VALUE"""),"Tabungan Remote FD")</f>
        <v>Tabungan Remote FD</v>
      </c>
      <c r="G749" s="15">
        <f>IFERROR(__xludf.DUMMYFUNCTION("""COMPUTED_VALUE"""),1.0)</f>
        <v>1</v>
      </c>
      <c r="H749" s="15" t="str">
        <f>IFERROR(__xludf.DUMMYFUNCTION("""COMPUTED_VALUE"""),"Lot")</f>
        <v>Lot</v>
      </c>
      <c r="I749" s="15" t="str">
        <f>IFERROR(__xludf.DUMMYFUNCTION("""COMPUTED_VALUE"""),"Deliver")</f>
        <v>Deliver</v>
      </c>
      <c r="J749" s="15" t="str">
        <f>IFERROR(__xludf.DUMMYFUNCTION("""COMPUTED_VALUE"""),"121703104 - APPROVED")</f>
        <v>121703104 - APPROVED</v>
      </c>
      <c r="K749" s="15" t="str">
        <f>IFERROR(__xludf.DUMMYFUNCTION("""COMPUTED_VALUE"""),"GL2508045")</f>
        <v>GL2508045</v>
      </c>
      <c r="L749" s="15" t="str">
        <f>IFERROR(__xludf.DUMMYFUNCTION("""COMPUTED_VALUE"""),"Normal")</f>
        <v>Normal</v>
      </c>
      <c r="M749" s="18" t="s">
        <v>53</v>
      </c>
      <c r="N749" s="18" t="s">
        <v>54</v>
      </c>
    </row>
    <row r="750" hidden="1">
      <c r="A750" s="15" t="str">
        <f>IFERROR(__xludf.DUMMYFUNCTION("""COMPUTED_VALUE"""),"MFHJA0037")</f>
        <v>MFHJA0037</v>
      </c>
      <c r="B750" s="16">
        <f>IFERROR(__xludf.DUMMYFUNCTION("""COMPUTED_VALUE"""),45921.45370528936)</f>
        <v>45921.45371</v>
      </c>
      <c r="C750" s="17">
        <f>IFERROR(__xludf.DUMMYFUNCTION("""COMPUTED_VALUE"""),45921.87698400464)</f>
        <v>45921.87698</v>
      </c>
      <c r="D750" s="15" t="str">
        <f>IFERROR(__xludf.DUMMYFUNCTION("""COMPUTED_VALUE"""),"AHU")</f>
        <v>AHU</v>
      </c>
      <c r="E750" s="15" t="str">
        <f>IFERROR(__xludf.DUMMYFUNCTION("""COMPUTED_VALUE"""),"-")</f>
        <v>-</v>
      </c>
      <c r="F750" s="15" t="str">
        <f>IFERROR(__xludf.DUMMYFUNCTION("""COMPUTED_VALUE"""),"Penggantian Bibo")</f>
        <v>Penggantian Bibo</v>
      </c>
      <c r="G750" s="15">
        <f>IFERROR(__xludf.DUMMYFUNCTION("""COMPUTED_VALUE"""),1.0)</f>
        <v>1</v>
      </c>
      <c r="H750" s="15" t="str">
        <f>IFERROR(__xludf.DUMMYFUNCTION("""COMPUTED_VALUE"""),"Lot")</f>
        <v>Lot</v>
      </c>
      <c r="I750" s="15" t="str">
        <f>IFERROR(__xludf.DUMMYFUNCTION("""COMPUTED_VALUE"""),"Deliver")</f>
        <v>Deliver</v>
      </c>
      <c r="J750" s="15" t="str">
        <f>IFERROR(__xludf.DUMMYFUNCTION("""COMPUTED_VALUE"""),"-")</f>
        <v>-</v>
      </c>
      <c r="K750" s="15" t="str">
        <f>IFERROR(__xludf.DUMMYFUNCTION("""COMPUTED_VALUE"""),"-")</f>
        <v>-</v>
      </c>
      <c r="L750" s="15" t="str">
        <f>IFERROR(__xludf.DUMMYFUNCTION("""COMPUTED_VALUE"""),"Normal")</f>
        <v>Normal</v>
      </c>
      <c r="M750" s="18" t="s">
        <v>53</v>
      </c>
      <c r="N750" s="18" t="s">
        <v>54</v>
      </c>
    </row>
    <row r="751" hidden="1">
      <c r="A751" s="15" t="str">
        <f>IFERROR(__xludf.DUMMYFUNCTION("""COMPUTED_VALUE"""),"MFHJA0038")</f>
        <v>MFHJA0038</v>
      </c>
      <c r="B751" s="16">
        <f>IFERROR(__xludf.DUMMYFUNCTION("""COMPUTED_VALUE"""),45921.45562086806)</f>
        <v>45921.45562</v>
      </c>
      <c r="C751" s="17">
        <f>IFERROR(__xludf.DUMMYFUNCTION("""COMPUTED_VALUE"""),45921.87708505787)</f>
        <v>45921.87709</v>
      </c>
      <c r="D751" s="15" t="str">
        <f>IFERROR(__xludf.DUMMYFUNCTION("""COMPUTED_VALUE"""),"Forklift")</f>
        <v>Forklift</v>
      </c>
      <c r="E751" s="15" t="str">
        <f>IFERROR(__xludf.DUMMYFUNCTION("""COMPUTED_VALUE"""),"-")</f>
        <v>-</v>
      </c>
      <c r="F751" s="15" t="str">
        <f>IFERROR(__xludf.DUMMYFUNCTION("""COMPUTED_VALUE"""),"Pergantian Forklift")</f>
        <v>Pergantian Forklift</v>
      </c>
      <c r="G751" s="15">
        <f>IFERROR(__xludf.DUMMYFUNCTION("""COMPUTED_VALUE"""),1.0)</f>
        <v>1</v>
      </c>
      <c r="H751" s="15" t="str">
        <f>IFERROR(__xludf.DUMMYFUNCTION("""COMPUTED_VALUE"""),"Lot")</f>
        <v>Lot</v>
      </c>
      <c r="I751" s="15" t="str">
        <f>IFERROR(__xludf.DUMMYFUNCTION("""COMPUTED_VALUE"""),"Deliver")</f>
        <v>Deliver</v>
      </c>
      <c r="J751" s="15" t="str">
        <f>IFERROR(__xludf.DUMMYFUNCTION("""COMPUTED_VALUE"""),"-")</f>
        <v>-</v>
      </c>
      <c r="K751" s="15" t="str">
        <f>IFERROR(__xludf.DUMMYFUNCTION("""COMPUTED_VALUE"""),"-")</f>
        <v>-</v>
      </c>
      <c r="L751" s="15" t="str">
        <f>IFERROR(__xludf.DUMMYFUNCTION("""COMPUTED_VALUE"""),"Normal")</f>
        <v>Normal</v>
      </c>
      <c r="M751" s="18" t="s">
        <v>53</v>
      </c>
      <c r="N751" s="18" t="s">
        <v>54</v>
      </c>
    </row>
    <row r="752" hidden="1">
      <c r="A752" s="15" t="str">
        <f>IFERROR(__xludf.DUMMYFUNCTION("""COMPUTED_VALUE"""),"MFHJA0039")</f>
        <v>MFHJA0039</v>
      </c>
      <c r="B752" s="16">
        <f>IFERROR(__xludf.DUMMYFUNCTION("""COMPUTED_VALUE"""),45921.45977744213)</f>
        <v>45921.45978</v>
      </c>
      <c r="C752" s="17">
        <f>IFERROR(__xludf.DUMMYFUNCTION("""COMPUTED_VALUE"""),45921.87718800925)</f>
        <v>45921.87719</v>
      </c>
      <c r="D752" s="15" t="str">
        <f>IFERROR(__xludf.DUMMYFUNCTION("""COMPUTED_VALUE"""),"HPLC")</f>
        <v>HPLC</v>
      </c>
      <c r="E752" s="15" t="str">
        <f>IFERROR(__xludf.DUMMYFUNCTION("""COMPUTED_VALUE"""),"-")</f>
        <v>-</v>
      </c>
      <c r="F752" s="15" t="str">
        <f>IFERROR(__xludf.DUMMYFUNCTION("""COMPUTED_VALUE"""),"TAP 4 Unit")</f>
        <v>TAP 4 Unit</v>
      </c>
      <c r="G752" s="15">
        <f>IFERROR(__xludf.DUMMYFUNCTION("""COMPUTED_VALUE"""),1.0)</f>
        <v>1</v>
      </c>
      <c r="H752" s="15" t="str">
        <f>IFERROR(__xludf.DUMMYFUNCTION("""COMPUTED_VALUE"""),"Lot")</f>
        <v>Lot</v>
      </c>
      <c r="I752" s="15" t="str">
        <f>IFERROR(__xludf.DUMMYFUNCTION("""COMPUTED_VALUE"""),"Deliver")</f>
        <v>Deliver</v>
      </c>
      <c r="J752" s="15" t="str">
        <f>IFERROR(__xludf.DUMMYFUNCTION("""COMPUTED_VALUE"""),"-")</f>
        <v>-</v>
      </c>
      <c r="K752" s="15" t="str">
        <f>IFERROR(__xludf.DUMMYFUNCTION("""COMPUTED_VALUE"""),"-")</f>
        <v>-</v>
      </c>
      <c r="L752" s="15" t="str">
        <f>IFERROR(__xludf.DUMMYFUNCTION("""COMPUTED_VALUE"""),"Normal")</f>
        <v>Normal</v>
      </c>
      <c r="M752" s="18" t="s">
        <v>53</v>
      </c>
      <c r="N752" s="18" t="s">
        <v>54</v>
      </c>
    </row>
    <row r="753" hidden="1">
      <c r="A753" s="15" t="str">
        <f>IFERROR(__xludf.DUMMYFUNCTION("""COMPUTED_VALUE"""),"MFHJA0040")</f>
        <v>MFHJA0040</v>
      </c>
      <c r="B753" s="16">
        <f>IFERROR(__xludf.DUMMYFUNCTION("""COMPUTED_VALUE"""),45921.46395667824)</f>
        <v>45921.46396</v>
      </c>
      <c r="C753" s="17">
        <f>IFERROR(__xludf.DUMMYFUNCTION("""COMPUTED_VALUE"""),45921.87731011574)</f>
        <v>45921.87731</v>
      </c>
      <c r="D753" s="15" t="str">
        <f>IFERROR(__xludf.DUMMYFUNCTION("""COMPUTED_VALUE"""),"Tunnel")</f>
        <v>Tunnel</v>
      </c>
      <c r="E753" s="15" t="str">
        <f>IFERROR(__xludf.DUMMYFUNCTION("""COMPUTED_VALUE"""),"-")</f>
        <v>-</v>
      </c>
      <c r="F753" s="15" t="str">
        <f>IFERROR(__xludf.DUMMYFUNCTION("""COMPUTED_VALUE"""),"training Recorder Tunnel")</f>
        <v>training Recorder Tunnel</v>
      </c>
      <c r="G753" s="15">
        <f>IFERROR(__xludf.DUMMYFUNCTION("""COMPUTED_VALUE"""),1.0)</f>
        <v>1</v>
      </c>
      <c r="H753" s="15" t="str">
        <f>IFERROR(__xludf.DUMMYFUNCTION("""COMPUTED_VALUE"""),"Lot")</f>
        <v>Lot</v>
      </c>
      <c r="I753" s="15" t="str">
        <f>IFERROR(__xludf.DUMMYFUNCTION("""COMPUTED_VALUE"""),"Deliver")</f>
        <v>Deliver</v>
      </c>
      <c r="J753" s="15" t="str">
        <f>IFERROR(__xludf.DUMMYFUNCTION("""COMPUTED_VALUE"""),"-")</f>
        <v>-</v>
      </c>
      <c r="K753" s="15" t="str">
        <f>IFERROR(__xludf.DUMMYFUNCTION("""COMPUTED_VALUE"""),"-")</f>
        <v>-</v>
      </c>
      <c r="L753" s="15" t="str">
        <f>IFERROR(__xludf.DUMMYFUNCTION("""COMPUTED_VALUE"""),"Normal")</f>
        <v>Normal</v>
      </c>
      <c r="M753" s="18" t="s">
        <v>53</v>
      </c>
      <c r="N753" s="18" t="s">
        <v>54</v>
      </c>
    </row>
    <row r="754" hidden="1">
      <c r="A754" s="15" t="str">
        <f>IFERROR(__xludf.DUMMYFUNCTION("""COMPUTED_VALUE"""),"RIABR0083")</f>
        <v>RIABR0083</v>
      </c>
      <c r="B754" s="16">
        <f>IFERROR(__xludf.DUMMYFUNCTION("""COMPUTED_VALUE"""),45891.58188841435)</f>
        <v>45891.58189</v>
      </c>
      <c r="C754" s="17">
        <f>IFERROR(__xludf.DUMMYFUNCTION("""COMPUTED_VALUE"""),45921.881087685186)</f>
        <v>45921.88109</v>
      </c>
      <c r="D754" s="15" t="str">
        <f>IFERROR(__xludf.DUMMYFUNCTION("""COMPUTED_VALUE"""),"WWTP")</f>
        <v>WWTP</v>
      </c>
      <c r="E754" s="15" t="str">
        <f>IFERROR(__xludf.DUMMYFUNCTION("""COMPUTED_VALUE"""),"EJO/2025/08/56")</f>
        <v>EJO/2025/08/56</v>
      </c>
      <c r="F754" s="15" t="str">
        <f>IFERROR(__xludf.DUMMYFUNCTION("""COMPUTED_VALUE"""),"Selector Switch 3 Posisi YW1S-3E20")</f>
        <v>Selector Switch 3 Posisi YW1S-3E20</v>
      </c>
      <c r="G754" s="15">
        <f>IFERROR(__xludf.DUMMYFUNCTION("""COMPUTED_VALUE"""),9.0)</f>
        <v>9</v>
      </c>
      <c r="H754" s="15" t="str">
        <f>IFERROR(__xludf.DUMMYFUNCTION("""COMPUTED_VALUE"""),"Pcs")</f>
        <v>Pcs</v>
      </c>
      <c r="I754" s="15" t="str">
        <f>IFERROR(__xludf.DUMMYFUNCTION("""COMPUTED_VALUE"""),"Deliver")</f>
        <v>Deliver</v>
      </c>
      <c r="J754" s="15" t="str">
        <f>IFERROR(__xludf.DUMMYFUNCTION("""COMPUTED_VALUE"""),"-")</f>
        <v>-</v>
      </c>
      <c r="K754" s="15" t="str">
        <f>IFERROR(__xludf.DUMMYFUNCTION("""COMPUTED_VALUE"""),"-")</f>
        <v>-</v>
      </c>
      <c r="L754" s="15" t="str">
        <f>IFERROR(__xludf.DUMMYFUNCTION("""COMPUTED_VALUE"""),"Normal")</f>
        <v>Normal</v>
      </c>
      <c r="M754" s="18" t="s">
        <v>32</v>
      </c>
      <c r="N754" s="18" t="s">
        <v>28</v>
      </c>
    </row>
    <row r="755" hidden="1">
      <c r="A755" s="15" t="str">
        <f>IFERROR(__xludf.DUMMYFUNCTION("""COMPUTED_VALUE"""),"RIABR0084")</f>
        <v>RIABR0084</v>
      </c>
      <c r="B755" s="16">
        <f>IFERROR(__xludf.DUMMYFUNCTION("""COMPUTED_VALUE"""),45891.58188841435)</f>
        <v>45891.58189</v>
      </c>
      <c r="C755" s="17">
        <f>IFERROR(__xludf.DUMMYFUNCTION("""COMPUTED_VALUE"""),45921.88119206019)</f>
        <v>45921.88119</v>
      </c>
      <c r="D755" s="15" t="str">
        <f>IFERROR(__xludf.DUMMYFUNCTION("""COMPUTED_VALUE"""),"WWTP")</f>
        <v>WWTP</v>
      </c>
      <c r="E755" s="15" t="str">
        <f>IFERROR(__xludf.DUMMYFUNCTION("""COMPUTED_VALUE"""),"EJO/2025/08/56")</f>
        <v>EJO/2025/08/56</v>
      </c>
      <c r="F755" s="15" t="str">
        <f>IFERROR(__xludf.DUMMYFUNCTION("""COMPUTED_VALUE"""),"Kabel 4x2.5 NYYHY")</f>
        <v>Kabel 4x2.5 NYYHY</v>
      </c>
      <c r="G755" s="15">
        <f>IFERROR(__xludf.DUMMYFUNCTION("""COMPUTED_VALUE"""),1.0)</f>
        <v>1</v>
      </c>
      <c r="H755" s="15" t="str">
        <f>IFERROR(__xludf.DUMMYFUNCTION("""COMPUTED_VALUE"""),"Roll")</f>
        <v>Roll</v>
      </c>
      <c r="I755" s="15" t="str">
        <f>IFERROR(__xludf.DUMMYFUNCTION("""COMPUTED_VALUE"""),"Deliver")</f>
        <v>Deliver</v>
      </c>
      <c r="J755" s="15" t="str">
        <f>IFERROR(__xludf.DUMMYFUNCTION("""COMPUTED_VALUE"""),"-")</f>
        <v>-</v>
      </c>
      <c r="K755" s="15" t="str">
        <f>IFERROR(__xludf.DUMMYFUNCTION("""COMPUTED_VALUE"""),"-")</f>
        <v>-</v>
      </c>
      <c r="L755" s="15" t="str">
        <f>IFERROR(__xludf.DUMMYFUNCTION("""COMPUTED_VALUE"""),"Normal")</f>
        <v>Normal</v>
      </c>
      <c r="M755" s="18" t="s">
        <v>32</v>
      </c>
      <c r="N755" s="18" t="s">
        <v>28</v>
      </c>
    </row>
    <row r="756" hidden="1">
      <c r="A756" s="15" t="str">
        <f>IFERROR(__xludf.DUMMYFUNCTION("""COMPUTED_VALUE"""),"RIABR0085")</f>
        <v>RIABR0085</v>
      </c>
      <c r="B756" s="16">
        <f>IFERROR(__xludf.DUMMYFUNCTION("""COMPUTED_VALUE"""),45891.58188841435)</f>
        <v>45891.58189</v>
      </c>
      <c r="C756" s="17">
        <f>IFERROR(__xludf.DUMMYFUNCTION("""COMPUTED_VALUE"""),45921.881320625)</f>
        <v>45921.88132</v>
      </c>
      <c r="D756" s="15" t="str">
        <f>IFERROR(__xludf.DUMMYFUNCTION("""COMPUTED_VALUE"""),"WWTP")</f>
        <v>WWTP</v>
      </c>
      <c r="E756" s="15" t="str">
        <f>IFERROR(__xludf.DUMMYFUNCTION("""COMPUTED_VALUE"""),"EJO/2025/08/56")</f>
        <v>EJO/2025/08/56</v>
      </c>
      <c r="F756" s="15" t="str">
        <f>IFERROR(__xludf.DUMMYFUNCTION("""COMPUTED_VALUE"""),"Kabel 1x1.5 NYAF Hitam")</f>
        <v>Kabel 1x1.5 NYAF Hitam</v>
      </c>
      <c r="G756" s="15">
        <f>IFERROR(__xludf.DUMMYFUNCTION("""COMPUTED_VALUE"""),1.0)</f>
        <v>1</v>
      </c>
      <c r="H756" s="15" t="str">
        <f>IFERROR(__xludf.DUMMYFUNCTION("""COMPUTED_VALUE"""),"Roll")</f>
        <v>Roll</v>
      </c>
      <c r="I756" s="15" t="str">
        <f>IFERROR(__xludf.DUMMYFUNCTION("""COMPUTED_VALUE"""),"Deliver")</f>
        <v>Deliver</v>
      </c>
      <c r="J756" s="15" t="str">
        <f>IFERROR(__xludf.DUMMYFUNCTION("""COMPUTED_VALUE"""),"121703760 - APPROVED")</f>
        <v>121703760 - APPROVED</v>
      </c>
      <c r="K756" s="15" t="str">
        <f>IFERROR(__xludf.DUMMYFUNCTION("""COMPUTED_VALUE"""),"GL2603428")</f>
        <v>GL2603428</v>
      </c>
      <c r="L756" s="15" t="str">
        <f>IFERROR(__xludf.DUMMYFUNCTION("""COMPUTED_VALUE"""),"Normal")</f>
        <v>Normal</v>
      </c>
      <c r="M756" s="18" t="s">
        <v>32</v>
      </c>
      <c r="N756" s="18" t="s">
        <v>28</v>
      </c>
    </row>
    <row r="757" hidden="1">
      <c r="A757" s="15" t="str">
        <f>IFERROR(__xludf.DUMMYFUNCTION("""COMPUTED_VALUE"""),"RIABR0086")</f>
        <v>RIABR0086</v>
      </c>
      <c r="B757" s="16">
        <f>IFERROR(__xludf.DUMMYFUNCTION("""COMPUTED_VALUE"""),45891.58188841435)</f>
        <v>45891.58189</v>
      </c>
      <c r="C757" s="17">
        <f>IFERROR(__xludf.DUMMYFUNCTION("""COMPUTED_VALUE"""),45921.88142194445)</f>
        <v>45921.88142</v>
      </c>
      <c r="D757" s="15" t="str">
        <f>IFERROR(__xludf.DUMMYFUNCTION("""COMPUTED_VALUE"""),"WWTP")</f>
        <v>WWTP</v>
      </c>
      <c r="E757" s="15" t="str">
        <f>IFERROR(__xludf.DUMMYFUNCTION("""COMPUTED_VALUE"""),"EJO/2025/08/56")</f>
        <v>EJO/2025/08/56</v>
      </c>
      <c r="F757" s="15" t="str">
        <f>IFERROR(__xludf.DUMMYFUNCTION("""COMPUTED_VALUE"""),"Kabel Duct 32 x 32")</f>
        <v>Kabel Duct 32 x 32</v>
      </c>
      <c r="G757" s="15">
        <f>IFERROR(__xludf.DUMMYFUNCTION("""COMPUTED_VALUE"""),5.0)</f>
        <v>5</v>
      </c>
      <c r="H757" s="15" t="str">
        <f>IFERROR(__xludf.DUMMYFUNCTION("""COMPUTED_VALUE"""),"Btg")</f>
        <v>Btg</v>
      </c>
      <c r="I757" s="15" t="str">
        <f>IFERROR(__xludf.DUMMYFUNCTION("""COMPUTED_VALUE"""),"Deliver")</f>
        <v>Deliver</v>
      </c>
      <c r="J757" s="15" t="str">
        <f>IFERROR(__xludf.DUMMYFUNCTION("""COMPUTED_VALUE"""),"121703754 - APPROVED")</f>
        <v>121703754 - APPROVED</v>
      </c>
      <c r="K757" s="15" t="str">
        <f>IFERROR(__xludf.DUMMYFUNCTION("""COMPUTED_VALUE"""),"GL2603434")</f>
        <v>GL2603434</v>
      </c>
      <c r="L757" s="15" t="str">
        <f>IFERROR(__xludf.DUMMYFUNCTION("""COMPUTED_VALUE"""),"Normal")</f>
        <v>Normal</v>
      </c>
      <c r="M757" s="18" t="s">
        <v>32</v>
      </c>
      <c r="N757" s="18" t="s">
        <v>28</v>
      </c>
    </row>
    <row r="758" hidden="1">
      <c r="A758" s="15" t="str">
        <f>IFERROR(__xludf.DUMMYFUNCTION("""COMPUTED_VALUE"""),"RIABR0087")</f>
        <v>RIABR0087</v>
      </c>
      <c r="B758" s="16">
        <f>IFERROR(__xludf.DUMMYFUNCTION("""COMPUTED_VALUE"""),45891.58188841435)</f>
        <v>45891.58189</v>
      </c>
      <c r="C758" s="17">
        <f>IFERROR(__xludf.DUMMYFUNCTION("""COMPUTED_VALUE"""),45921.88154811343)</f>
        <v>45921.88155</v>
      </c>
      <c r="D758" s="15" t="str">
        <f>IFERROR(__xludf.DUMMYFUNCTION("""COMPUTED_VALUE"""),"WWTP")</f>
        <v>WWTP</v>
      </c>
      <c r="E758" s="15" t="str">
        <f>IFERROR(__xludf.DUMMYFUNCTION("""COMPUTED_VALUE"""),"EJO/2025/08/56")</f>
        <v>EJO/2025/08/56</v>
      </c>
      <c r="F758" s="15" t="str">
        <f>IFERROR(__xludf.DUMMYFUNCTION("""COMPUTED_VALUE"""),"Hole Saw 23 mm Stainless Steel")</f>
        <v>Hole Saw 23 mm Stainless Steel</v>
      </c>
      <c r="G758" s="15">
        <f>IFERROR(__xludf.DUMMYFUNCTION("""COMPUTED_VALUE"""),2.0)</f>
        <v>2</v>
      </c>
      <c r="H758" s="15" t="str">
        <f>IFERROR(__xludf.DUMMYFUNCTION("""COMPUTED_VALUE"""),"Pcs")</f>
        <v>Pcs</v>
      </c>
      <c r="I758" s="15" t="str">
        <f>IFERROR(__xludf.DUMMYFUNCTION("""COMPUTED_VALUE"""),"Deliver")</f>
        <v>Deliver</v>
      </c>
      <c r="J758" s="15" t="str">
        <f>IFERROR(__xludf.DUMMYFUNCTION("""COMPUTED_VALUE"""),"121703754 - APPROVED")</f>
        <v>121703754 - APPROVED</v>
      </c>
      <c r="K758" s="15" t="str">
        <f>IFERROR(__xludf.DUMMYFUNCTION("""COMPUTED_VALUE"""),"GL2603431")</f>
        <v>GL2603431</v>
      </c>
      <c r="L758" s="15" t="str">
        <f>IFERROR(__xludf.DUMMYFUNCTION("""COMPUTED_VALUE"""),"Normal")</f>
        <v>Normal</v>
      </c>
      <c r="M758" s="18" t="s">
        <v>32</v>
      </c>
      <c r="N758" s="18" t="s">
        <v>28</v>
      </c>
    </row>
    <row r="759" hidden="1">
      <c r="A759" s="15" t="str">
        <f>IFERROR(__xludf.DUMMYFUNCTION("""COMPUTED_VALUE"""),"RIABR0088")</f>
        <v>RIABR0088</v>
      </c>
      <c r="B759" s="16">
        <f>IFERROR(__xludf.DUMMYFUNCTION("""COMPUTED_VALUE"""),45891.58188841435)</f>
        <v>45891.58189</v>
      </c>
      <c r="C759" s="17">
        <f>IFERROR(__xludf.DUMMYFUNCTION("""COMPUTED_VALUE"""),45921.88166413194)</f>
        <v>45921.88166</v>
      </c>
      <c r="D759" s="15" t="str">
        <f>IFERROR(__xludf.DUMMYFUNCTION("""COMPUTED_VALUE"""),"WWTP")</f>
        <v>WWTP</v>
      </c>
      <c r="E759" s="15" t="str">
        <f>IFERROR(__xludf.DUMMYFUNCTION("""COMPUTED_VALUE"""),"EJO/2025/08/56")</f>
        <v>EJO/2025/08/56</v>
      </c>
      <c r="F759" s="15" t="str">
        <f>IFERROR(__xludf.DUMMYFUNCTION("""COMPUTED_VALUE"""),"Kabel Gland PG25")</f>
        <v>Kabel Gland PG25</v>
      </c>
      <c r="G759" s="15">
        <f>IFERROR(__xludf.DUMMYFUNCTION("""COMPUTED_VALUE"""),10.0)</f>
        <v>10</v>
      </c>
      <c r="H759" s="15" t="str">
        <f>IFERROR(__xludf.DUMMYFUNCTION("""COMPUTED_VALUE"""),"Pcs")</f>
        <v>Pcs</v>
      </c>
      <c r="I759" s="15" t="str">
        <f>IFERROR(__xludf.DUMMYFUNCTION("""COMPUTED_VALUE"""),"Deliver")</f>
        <v>Deliver</v>
      </c>
      <c r="J759" s="15" t="str">
        <f>IFERROR(__xludf.DUMMYFUNCTION("""COMPUTED_VALUE"""),"121703754 - APPROVED")</f>
        <v>121703754 - APPROVED</v>
      </c>
      <c r="K759" s="15" t="str">
        <f>IFERROR(__xludf.DUMMYFUNCTION("""COMPUTED_VALUE"""),"GL2603428")</f>
        <v>GL2603428</v>
      </c>
      <c r="L759" s="15" t="str">
        <f>IFERROR(__xludf.DUMMYFUNCTION("""COMPUTED_VALUE"""),"Normal")</f>
        <v>Normal</v>
      </c>
      <c r="M759" s="18" t="s">
        <v>32</v>
      </c>
      <c r="N759" s="18" t="s">
        <v>28</v>
      </c>
    </row>
    <row r="760" hidden="1">
      <c r="A760" s="15" t="str">
        <f>IFERROR(__xludf.DUMMYFUNCTION("""COMPUTED_VALUE"""),"RIABR0089")</f>
        <v>RIABR0089</v>
      </c>
      <c r="B760" s="16">
        <f>IFERROR(__xludf.DUMMYFUNCTION("""COMPUTED_VALUE"""),45891.58188841435)</f>
        <v>45891.58189</v>
      </c>
      <c r="C760" s="17">
        <f>IFERROR(__xludf.DUMMYFUNCTION("""COMPUTED_VALUE"""),45921.88175465278)</f>
        <v>45921.88175</v>
      </c>
      <c r="D760" s="15" t="str">
        <f>IFERROR(__xludf.DUMMYFUNCTION("""COMPUTED_VALUE"""),"WWTP")</f>
        <v>WWTP</v>
      </c>
      <c r="E760" s="15" t="str">
        <f>IFERROR(__xludf.DUMMYFUNCTION("""COMPUTED_VALUE"""),"EJO/2025/08/56")</f>
        <v>EJO/2025/08/56</v>
      </c>
      <c r="F760" s="15" t="str">
        <f>IFERROR(__xludf.DUMMYFUNCTION("""COMPUTED_VALUE"""),"Paku Rivet")</f>
        <v>Paku Rivet</v>
      </c>
      <c r="G760" s="15">
        <f>IFERROR(__xludf.DUMMYFUNCTION("""COMPUTED_VALUE"""),1.0)</f>
        <v>1</v>
      </c>
      <c r="H760" s="15" t="str">
        <f>IFERROR(__xludf.DUMMYFUNCTION("""COMPUTED_VALUE"""),"Pack")</f>
        <v>Pack</v>
      </c>
      <c r="I760" s="15" t="str">
        <f>IFERROR(__xludf.DUMMYFUNCTION("""COMPUTED_VALUE"""),"Deliver")</f>
        <v>Deliver</v>
      </c>
      <c r="J760" s="15" t="str">
        <f>IFERROR(__xludf.DUMMYFUNCTION("""COMPUTED_VALUE"""),"121703754 - APPROVED")</f>
        <v>121703754 - APPROVED</v>
      </c>
      <c r="K760" s="15" t="str">
        <f>IFERROR(__xludf.DUMMYFUNCTION("""COMPUTED_VALUE"""),"GL2603449")</f>
        <v>GL2603449</v>
      </c>
      <c r="L760" s="15" t="str">
        <f>IFERROR(__xludf.DUMMYFUNCTION("""COMPUTED_VALUE"""),"Normal")</f>
        <v>Normal</v>
      </c>
      <c r="M760" s="18" t="s">
        <v>32</v>
      </c>
      <c r="N760" s="18" t="s">
        <v>28</v>
      </c>
    </row>
    <row r="761" hidden="1">
      <c r="A761" s="15" t="str">
        <f>IFERROR(__xludf.DUMMYFUNCTION("""COMPUTED_VALUE"""),"RIABR0091")</f>
        <v>RIABR0091</v>
      </c>
      <c r="B761" s="16">
        <f>IFERROR(__xludf.DUMMYFUNCTION("""COMPUTED_VALUE"""),45891.58188841435)</f>
        <v>45891.58189</v>
      </c>
      <c r="C761" s="17">
        <f>IFERROR(__xludf.DUMMYFUNCTION("""COMPUTED_VALUE"""),45921.88209400463)</f>
        <v>45921.88209</v>
      </c>
      <c r="D761" s="15" t="str">
        <f>IFERROR(__xludf.DUMMYFUNCTION("""COMPUTED_VALUE"""),"WWTP")</f>
        <v>WWTP</v>
      </c>
      <c r="E761" s="15" t="str">
        <f>IFERROR(__xludf.DUMMYFUNCTION("""COMPUTED_VALUE"""),"EJO/2025/08/56")</f>
        <v>EJO/2025/08/56</v>
      </c>
      <c r="F761" s="15" t="str">
        <f>IFERROR(__xludf.DUMMYFUNCTION("""COMPUTED_VALUE"""),"Stop Kontak Panel CEE112")</f>
        <v>Stop Kontak Panel CEE112</v>
      </c>
      <c r="G761" s="15">
        <f>IFERROR(__xludf.DUMMYFUNCTION("""COMPUTED_VALUE"""),1.0)</f>
        <v>1</v>
      </c>
      <c r="H761" s="15" t="str">
        <f>IFERROR(__xludf.DUMMYFUNCTION("""COMPUTED_VALUE"""),"Pcs")</f>
        <v>Pcs</v>
      </c>
      <c r="I761" s="15" t="str">
        <f>IFERROR(__xludf.DUMMYFUNCTION("""COMPUTED_VALUE"""),"Deliver")</f>
        <v>Deliver</v>
      </c>
      <c r="J761" s="15" t="str">
        <f>IFERROR(__xludf.DUMMYFUNCTION("""COMPUTED_VALUE"""),"121703757 - APPROVED")</f>
        <v>121703757 - APPROVED</v>
      </c>
      <c r="K761" s="15" t="str">
        <f>IFERROR(__xludf.DUMMYFUNCTION("""COMPUTED_VALUE"""),"GL2603428")</f>
        <v>GL2603428</v>
      </c>
      <c r="L761" s="15" t="str">
        <f>IFERROR(__xludf.DUMMYFUNCTION("""COMPUTED_VALUE"""),"Normal")</f>
        <v>Normal</v>
      </c>
      <c r="M761" s="18" t="s">
        <v>32</v>
      </c>
      <c r="N761" s="18" t="s">
        <v>28</v>
      </c>
    </row>
    <row r="762" hidden="1">
      <c r="A762" s="15" t="str">
        <f>IFERROR(__xludf.DUMMYFUNCTION("""COMPUTED_VALUE"""),"RIABR0092")</f>
        <v>RIABR0092</v>
      </c>
      <c r="B762" s="16">
        <f>IFERROR(__xludf.DUMMYFUNCTION("""COMPUTED_VALUE"""),45891.58188841435)</f>
        <v>45891.58189</v>
      </c>
      <c r="C762" s="17">
        <f>IFERROR(__xludf.DUMMYFUNCTION("""COMPUTED_VALUE"""),45921.88217761574)</f>
        <v>45921.88218</v>
      </c>
      <c r="D762" s="15" t="str">
        <f>IFERROR(__xludf.DUMMYFUNCTION("""COMPUTED_VALUE"""),"WWTP")</f>
        <v>WWTP</v>
      </c>
      <c r="E762" s="15" t="str">
        <f>IFERROR(__xludf.DUMMYFUNCTION("""COMPUTED_VALUE"""),"EJO/2025/08/56")</f>
        <v>EJO/2025/08/56</v>
      </c>
      <c r="F762" s="15" t="str">
        <f>IFERROR(__xludf.DUMMYFUNCTION("""COMPUTED_VALUE"""),"Box Panel 950 x 600 x 300")</f>
        <v>Box Panel 950 x 600 x 300</v>
      </c>
      <c r="G762" s="15">
        <f>IFERROR(__xludf.DUMMYFUNCTION("""COMPUTED_VALUE"""),1.0)</f>
        <v>1</v>
      </c>
      <c r="H762" s="15" t="str">
        <f>IFERROR(__xludf.DUMMYFUNCTION("""COMPUTED_VALUE"""),"Pcs")</f>
        <v>Pcs</v>
      </c>
      <c r="I762" s="15" t="str">
        <f>IFERROR(__xludf.DUMMYFUNCTION("""COMPUTED_VALUE"""),"Deliver")</f>
        <v>Deliver</v>
      </c>
      <c r="J762" s="15" t="str">
        <f>IFERROR(__xludf.DUMMYFUNCTION("""COMPUTED_VALUE"""),"121704369 - APPROVED")</f>
        <v>121704369 - APPROVED</v>
      </c>
      <c r="K762" s="15" t="str">
        <f>IFERROR(__xludf.DUMMYFUNCTION("""COMPUTED_VALUE"""),"GL2607378")</f>
        <v>GL2607378</v>
      </c>
      <c r="L762" s="15" t="str">
        <f>IFERROR(__xludf.DUMMYFUNCTION("""COMPUTED_VALUE"""),"Normal")</f>
        <v>Normal</v>
      </c>
      <c r="M762" s="18" t="s">
        <v>32</v>
      </c>
      <c r="N762" s="18" t="s">
        <v>28</v>
      </c>
    </row>
    <row r="763" hidden="1">
      <c r="A763" s="15" t="str">
        <f>IFERROR(__xludf.DUMMYFUNCTION("""COMPUTED_VALUE"""),"RIABR0093")</f>
        <v>RIABR0093</v>
      </c>
      <c r="B763" s="16">
        <f>IFERROR(__xludf.DUMMYFUNCTION("""COMPUTED_VALUE"""),45891.58188841435)</f>
        <v>45891.58189</v>
      </c>
      <c r="C763" s="17">
        <f>IFERROR(__xludf.DUMMYFUNCTION("""COMPUTED_VALUE"""),45921.88228673611)</f>
        <v>45921.88229</v>
      </c>
      <c r="D763" s="15" t="str">
        <f>IFERROR(__xludf.DUMMYFUNCTION("""COMPUTED_VALUE"""),"WWTP")</f>
        <v>WWTP</v>
      </c>
      <c r="E763" s="15" t="str">
        <f>IFERROR(__xludf.DUMMYFUNCTION("""COMPUTED_VALUE"""),"EJO/2025/08/56")</f>
        <v>EJO/2025/08/56</v>
      </c>
      <c r="F763" s="15" t="str">
        <f>IFERROR(__xludf.DUMMYFUNCTION("""COMPUTED_VALUE"""),"Buzzer AD16-22SM 220 VAC")</f>
        <v>Buzzer AD16-22SM 220 VAC</v>
      </c>
      <c r="G763" s="15">
        <f>IFERROR(__xludf.DUMMYFUNCTION("""COMPUTED_VALUE"""),3.0)</f>
        <v>3</v>
      </c>
      <c r="H763" s="15" t="str">
        <f>IFERROR(__xludf.DUMMYFUNCTION("""COMPUTED_VALUE"""),"Pcs")</f>
        <v>Pcs</v>
      </c>
      <c r="I763" s="15" t="str">
        <f>IFERROR(__xludf.DUMMYFUNCTION("""COMPUTED_VALUE"""),"Deliver")</f>
        <v>Deliver</v>
      </c>
      <c r="J763" s="15" t="str">
        <f>IFERROR(__xludf.DUMMYFUNCTION("""COMPUTED_VALUE"""),"-")</f>
        <v>-</v>
      </c>
      <c r="K763" s="15" t="str">
        <f>IFERROR(__xludf.DUMMYFUNCTION("""COMPUTED_VALUE"""),"-")</f>
        <v>-</v>
      </c>
      <c r="L763" s="15" t="str">
        <f>IFERROR(__xludf.DUMMYFUNCTION("""COMPUTED_VALUE"""),"Normal")</f>
        <v>Normal</v>
      </c>
      <c r="M763" s="18" t="s">
        <v>32</v>
      </c>
      <c r="N763" s="18" t="s">
        <v>28</v>
      </c>
    </row>
    <row r="764" hidden="1">
      <c r="A764" s="15" t="str">
        <f>IFERROR(__xludf.DUMMYFUNCTION("""COMPUTED_VALUE"""),"RIABR0095")</f>
        <v>RIABR0095</v>
      </c>
      <c r="B764" s="16">
        <f>IFERROR(__xludf.DUMMYFUNCTION("""COMPUTED_VALUE"""),45891.58188841435)</f>
        <v>45891.58189</v>
      </c>
      <c r="C764" s="17">
        <f>IFERROR(__xludf.DUMMYFUNCTION("""COMPUTED_VALUE"""),45921.88246361111)</f>
        <v>45921.88246</v>
      </c>
      <c r="D764" s="15" t="str">
        <f>IFERROR(__xludf.DUMMYFUNCTION("""COMPUTED_VALUE"""),"WWTP")</f>
        <v>WWTP</v>
      </c>
      <c r="E764" s="15" t="str">
        <f>IFERROR(__xludf.DUMMYFUNCTION("""COMPUTED_VALUE"""),"EJO/2025/08/56")</f>
        <v>EJO/2025/08/56</v>
      </c>
      <c r="F764" s="15" t="str">
        <f>IFERROR(__xludf.DUMMYFUNCTION("""COMPUTED_VALUE"""),"Busbar Sisir 1Pole")</f>
        <v>Busbar Sisir 1Pole</v>
      </c>
      <c r="G764" s="15">
        <f>IFERROR(__xludf.DUMMYFUNCTION("""COMPUTED_VALUE"""),1.0)</f>
        <v>1</v>
      </c>
      <c r="H764" s="15" t="str">
        <f>IFERROR(__xludf.DUMMYFUNCTION("""COMPUTED_VALUE"""),"Pcs")</f>
        <v>Pcs</v>
      </c>
      <c r="I764" s="15" t="str">
        <f>IFERROR(__xludf.DUMMYFUNCTION("""COMPUTED_VALUE"""),"Approval PR")</f>
        <v>Approval PR</v>
      </c>
      <c r="J764" s="15" t="str">
        <f>IFERROR(__xludf.DUMMYFUNCTION("""COMPUTED_VALUE"""),"121703994 - INCOMPLETE")</f>
        <v>121703994 - INCOMPLETE</v>
      </c>
      <c r="K764" s="15" t="str">
        <f>IFERROR(__xludf.DUMMYFUNCTION("""COMPUTED_VALUE"""),"-")</f>
        <v>-</v>
      </c>
      <c r="L764" s="15" t="str">
        <f>IFERROR(__xludf.DUMMYFUNCTION("""COMPUTED_VALUE"""),"Normal")</f>
        <v>Normal</v>
      </c>
      <c r="M764" s="18" t="s">
        <v>32</v>
      </c>
      <c r="N764" s="18" t="s">
        <v>28</v>
      </c>
    </row>
    <row r="765" hidden="1">
      <c r="A765" s="15" t="str">
        <f>IFERROR(__xludf.DUMMYFUNCTION("""COMPUTED_VALUE"""),"RIABR0096")</f>
        <v>RIABR0096</v>
      </c>
      <c r="B765" s="16">
        <f>IFERROR(__xludf.DUMMYFUNCTION("""COMPUTED_VALUE"""),45891.581506388895)</f>
        <v>45891.58151</v>
      </c>
      <c r="C765" s="17">
        <f>IFERROR(__xludf.DUMMYFUNCTION("""COMPUTED_VALUE"""),45921.882597199074)</f>
        <v>45921.8826</v>
      </c>
      <c r="D765" s="15" t="str">
        <f>IFERROR(__xludf.DUMMYFUNCTION("""COMPUTED_VALUE"""),"WWTP")</f>
        <v>WWTP</v>
      </c>
      <c r="E765" s="15" t="str">
        <f>IFERROR(__xludf.DUMMYFUNCTION("""COMPUTED_VALUE"""),"EJO/2025/08/56")</f>
        <v>EJO/2025/08/56</v>
      </c>
      <c r="F765" s="15" t="str">
        <f>IFERROR(__xludf.DUMMYFUNCTION("""COMPUTED_VALUE"""),"Busbar Sisir 3Pole")</f>
        <v>Busbar Sisir 3Pole</v>
      </c>
      <c r="G765" s="15">
        <f>IFERROR(__xludf.DUMMYFUNCTION("""COMPUTED_VALUE"""),2.0)</f>
        <v>2</v>
      </c>
      <c r="H765" s="15" t="str">
        <f>IFERROR(__xludf.DUMMYFUNCTION("""COMPUTED_VALUE"""),"Pcs")</f>
        <v>Pcs</v>
      </c>
      <c r="I765" s="15" t="str">
        <f>IFERROR(__xludf.DUMMYFUNCTION("""COMPUTED_VALUE"""),"Deliver")</f>
        <v>Deliver</v>
      </c>
      <c r="J765" s="15" t="str">
        <f>IFERROR(__xludf.DUMMYFUNCTION("""COMPUTED_VALUE"""),"121703754 - APPROVED")</f>
        <v>121703754 - APPROVED</v>
      </c>
      <c r="K765" s="15" t="str">
        <f>IFERROR(__xludf.DUMMYFUNCTION("""COMPUTED_VALUE"""),"GL2603431")</f>
        <v>GL2603431</v>
      </c>
      <c r="L765" s="15" t="str">
        <f>IFERROR(__xludf.DUMMYFUNCTION("""COMPUTED_VALUE"""),"Normal")</f>
        <v>Normal</v>
      </c>
      <c r="M765" s="18" t="s">
        <v>32</v>
      </c>
      <c r="N765" s="18" t="s">
        <v>28</v>
      </c>
    </row>
    <row r="766" hidden="1">
      <c r="A766" s="15" t="str">
        <f>IFERROR(__xludf.DUMMYFUNCTION("""COMPUTED_VALUE"""),"RIABR0097")</f>
        <v>RIABR0097</v>
      </c>
      <c r="B766" s="16">
        <f>IFERROR(__xludf.DUMMYFUNCTION("""COMPUTED_VALUE"""),45894.64253824075)</f>
        <v>45894.64254</v>
      </c>
      <c r="C766" s="17">
        <f>IFERROR(__xludf.DUMMYFUNCTION("""COMPUTED_VALUE"""),45921.88269344907)</f>
        <v>45921.88269</v>
      </c>
      <c r="D766" s="15" t="str">
        <f>IFERROR(__xludf.DUMMYFUNCTION("""COMPUTED_VALUE"""),"Alarm System")</f>
        <v>Alarm System</v>
      </c>
      <c r="E766" s="15" t="str">
        <f>IFERROR(__xludf.DUMMYFUNCTION("""COMPUTED_VALUE"""),"-")</f>
        <v>-</v>
      </c>
      <c r="F766" s="15" t="str">
        <f>IFERROR(__xludf.DUMMYFUNCTION("""COMPUTED_VALUE"""),"Buzzer")</f>
        <v>Buzzer</v>
      </c>
      <c r="G766" s="15">
        <f>IFERROR(__xludf.DUMMYFUNCTION("""COMPUTED_VALUE"""),5.0)</f>
        <v>5</v>
      </c>
      <c r="H766" s="15" t="str">
        <f>IFERROR(__xludf.DUMMYFUNCTION("""COMPUTED_VALUE"""),"Pcs")</f>
        <v>Pcs</v>
      </c>
      <c r="I766" s="15" t="str">
        <f>IFERROR(__xludf.DUMMYFUNCTION("""COMPUTED_VALUE"""),"Deliver")</f>
        <v>Deliver</v>
      </c>
      <c r="J766" s="15" t="str">
        <f>IFERROR(__xludf.DUMMYFUNCTION("""COMPUTED_VALUE"""),"121703754 - APPROVED")</f>
        <v>121703754 - APPROVED</v>
      </c>
      <c r="K766" s="15" t="str">
        <f>IFERROR(__xludf.DUMMYFUNCTION("""COMPUTED_VALUE"""),"GL2603428")</f>
        <v>GL2603428</v>
      </c>
      <c r="L766" s="15" t="str">
        <f>IFERROR(__xludf.DUMMYFUNCTION("""COMPUTED_VALUE"""),"Normal")</f>
        <v>Normal</v>
      </c>
      <c r="M766" s="18" t="s">
        <v>32</v>
      </c>
      <c r="N766" s="18" t="s">
        <v>28</v>
      </c>
    </row>
    <row r="767" hidden="1">
      <c r="A767" s="15" t="str">
        <f>IFERROR(__xludf.DUMMYFUNCTION("""COMPUTED_VALUE"""),"RIABR0100")</f>
        <v>RIABR0100</v>
      </c>
      <c r="B767" s="16">
        <f>IFERROR(__xludf.DUMMYFUNCTION("""COMPUTED_VALUE"""),45919.675639444446)</f>
        <v>45919.67564</v>
      </c>
      <c r="C767" s="17">
        <f>IFERROR(__xludf.DUMMYFUNCTION("""COMPUTED_VALUE"""),45922.36875606482)</f>
        <v>45922.36876</v>
      </c>
      <c r="D767" s="15" t="str">
        <f>IFERROR(__xludf.DUMMYFUNCTION("""COMPUTED_VALUE"""),"AHU")</f>
        <v>AHU</v>
      </c>
      <c r="E767" s="15" t="str">
        <f>IFERROR(__xludf.DUMMYFUNCTION("""COMPUTED_VALUE"""),"-")</f>
        <v>-</v>
      </c>
      <c r="F767" s="15" t="str">
        <f>IFERROR(__xludf.DUMMYFUNCTION("""COMPUTED_VALUE"""),"Danfoss")</f>
        <v>Danfoss</v>
      </c>
      <c r="G767" s="15">
        <f>IFERROR(__xludf.DUMMYFUNCTION("""COMPUTED_VALUE"""),1.0)</f>
        <v>1</v>
      </c>
      <c r="H767" s="15" t="str">
        <f>IFERROR(__xludf.DUMMYFUNCTION("""COMPUTED_VALUE"""),"Pcs")</f>
        <v>Pcs</v>
      </c>
      <c r="I767" s="15" t="str">
        <f>IFERROR(__xludf.DUMMYFUNCTION("""COMPUTED_VALUE"""),"Deliver")</f>
        <v>Deliver</v>
      </c>
      <c r="J767" s="15" t="str">
        <f>IFERROR(__xludf.DUMMYFUNCTION("""COMPUTED_VALUE"""),"-")</f>
        <v>-</v>
      </c>
      <c r="K767" s="15" t="str">
        <f>IFERROR(__xludf.DUMMYFUNCTION("""COMPUTED_VALUE"""),"-")</f>
        <v>-</v>
      </c>
      <c r="L767" s="15" t="str">
        <f>IFERROR(__xludf.DUMMYFUNCTION("""COMPUTED_VALUE"""),"Normal")</f>
        <v>Normal</v>
      </c>
      <c r="M767" s="18" t="s">
        <v>32</v>
      </c>
      <c r="N767" s="18" t="s">
        <v>28</v>
      </c>
    </row>
    <row r="768" hidden="1">
      <c r="A768" s="15" t="str">
        <f>IFERROR(__xludf.DUMMYFUNCTION("""COMPUTED_VALUE"""),"RIABR0101")</f>
        <v>RIABR0101</v>
      </c>
      <c r="B768" s="16">
        <f>IFERROR(__xludf.DUMMYFUNCTION("""COMPUTED_VALUE"""),45919.677289826395)</f>
        <v>45919.67729</v>
      </c>
      <c r="C768" s="17">
        <f>IFERROR(__xludf.DUMMYFUNCTION("""COMPUTED_VALUE"""),45922.369119537034)</f>
        <v>45922.36912</v>
      </c>
      <c r="D768" s="15" t="str">
        <f>IFERROR(__xludf.DUMMYFUNCTION("""COMPUTED_VALUE"""),"Exhaust Fan")</f>
        <v>Exhaust Fan</v>
      </c>
      <c r="E768" s="15" t="str">
        <f>IFERROR(__xludf.DUMMYFUNCTION("""COMPUTED_VALUE"""),"-")</f>
        <v>-</v>
      </c>
      <c r="F768" s="15" t="str">
        <f>IFERROR(__xludf.DUMMYFUNCTION("""COMPUTED_VALUE"""),"Danfoss")</f>
        <v>Danfoss</v>
      </c>
      <c r="G768" s="15">
        <f>IFERROR(__xludf.DUMMYFUNCTION("""COMPUTED_VALUE"""),1.0)</f>
        <v>1</v>
      </c>
      <c r="H768" s="15" t="str">
        <f>IFERROR(__xludf.DUMMYFUNCTION("""COMPUTED_VALUE"""),"Pcs")</f>
        <v>Pcs</v>
      </c>
      <c r="I768" s="15" t="str">
        <f>IFERROR(__xludf.DUMMYFUNCTION("""COMPUTED_VALUE"""),"Deliver")</f>
        <v>Deliver</v>
      </c>
      <c r="J768" s="15" t="str">
        <f>IFERROR(__xludf.DUMMYFUNCTION("""COMPUTED_VALUE"""),"-")</f>
        <v>-</v>
      </c>
      <c r="K768" s="15" t="str">
        <f>IFERROR(__xludf.DUMMYFUNCTION("""COMPUTED_VALUE"""),"-")</f>
        <v>-</v>
      </c>
      <c r="L768" s="15" t="str">
        <f>IFERROR(__xludf.DUMMYFUNCTION("""COMPUTED_VALUE"""),"Normal")</f>
        <v>Normal</v>
      </c>
      <c r="M768" s="18" t="s">
        <v>32</v>
      </c>
      <c r="N768" s="18" t="s">
        <v>28</v>
      </c>
    </row>
    <row r="769" hidden="1">
      <c r="A769" s="15" t="str">
        <f>IFERROR(__xludf.DUMMYFUNCTION("""COMPUTED_VALUE"""),"AAABR0020")</f>
        <v>AAABR0020</v>
      </c>
      <c r="B769" s="16">
        <f>IFERROR(__xludf.DUMMYFUNCTION("""COMPUTED_VALUE"""),45909.98105969908)</f>
        <v>45909.98106</v>
      </c>
      <c r="C769" s="17">
        <f>IFERROR(__xludf.DUMMYFUNCTION("""COMPUTED_VALUE"""),45923.64146407407)</f>
        <v>45923.64146</v>
      </c>
      <c r="D769" s="15" t="str">
        <f>IFERROR(__xludf.DUMMYFUNCTION("""COMPUTED_VALUE"""),"lampu cRABS")</f>
        <v>lampu cRABS</v>
      </c>
      <c r="E769" s="15" t="str">
        <f>IFERROR(__xludf.DUMMYFUNCTION("""COMPUTED_VALUE"""),"Menyusul")</f>
        <v>Menyusul</v>
      </c>
      <c r="F769" s="15" t="str">
        <f>IFERROR(__xludf.DUMMYFUNCTION("""COMPUTED_VALUE"""),"round bar")</f>
        <v>round bar</v>
      </c>
      <c r="G769" s="15">
        <f>IFERROR(__xludf.DUMMYFUNCTION("""COMPUTED_VALUE"""),8.0)</f>
        <v>8</v>
      </c>
      <c r="H769" s="15" t="str">
        <f>IFERROR(__xludf.DUMMYFUNCTION("""COMPUTED_VALUE"""),"batang (@6 meter)")</f>
        <v>batang (@6 meter)</v>
      </c>
      <c r="I769" s="15" t="str">
        <f>IFERROR(__xludf.DUMMYFUNCTION("""COMPUTED_VALUE"""),"Deliver")</f>
        <v>Deliver</v>
      </c>
      <c r="J769" s="15" t="str">
        <f>IFERROR(__xludf.DUMMYFUNCTION("""COMPUTED_VALUE"""),"-")</f>
        <v>-</v>
      </c>
      <c r="K769" s="15" t="str">
        <f>IFERROR(__xludf.DUMMYFUNCTION("""COMPUTED_VALUE"""),"-")</f>
        <v>-</v>
      </c>
      <c r="L769" s="15" t="str">
        <f>IFERROR(__xludf.DUMMYFUNCTION("""COMPUTED_VALUE"""),"Normal")</f>
        <v>Normal</v>
      </c>
      <c r="M769" s="18" t="s">
        <v>47</v>
      </c>
      <c r="N769" s="18" t="s">
        <v>30</v>
      </c>
    </row>
    <row r="770" hidden="1">
      <c r="A770" s="15" t="str">
        <f>IFERROR(__xludf.DUMMYFUNCTION("""COMPUTED_VALUE"""),"AAABR0026")</f>
        <v>AAABR0026</v>
      </c>
      <c r="B770" s="16">
        <f>IFERROR(__xludf.DUMMYFUNCTION("""COMPUTED_VALUE"""),45923.26065189815)</f>
        <v>45923.26065</v>
      </c>
      <c r="C770" s="17">
        <f>IFERROR(__xludf.DUMMYFUNCTION("""COMPUTED_VALUE"""),45923.64193420139)</f>
        <v>45923.64193</v>
      </c>
      <c r="D770" s="15" t="str">
        <f>IFERROR(__xludf.DUMMYFUNCTION("""COMPUTED_VALUE"""),"CR 3")</f>
        <v>CR 3</v>
      </c>
      <c r="E770" s="15" t="str">
        <f>IFERROR(__xludf.DUMMYFUNCTION("""COMPUTED_VALUE"""),"Menyusul")</f>
        <v>Menyusul</v>
      </c>
      <c r="F770" s="15" t="str">
        <f>IFERROR(__xludf.DUMMYFUNCTION("""COMPUTED_VALUE"""),"HEPA Filter")</f>
        <v>HEPA Filter</v>
      </c>
      <c r="G770" s="15">
        <f>IFERROR(__xludf.DUMMYFUNCTION("""COMPUTED_VALUE"""),5.0)</f>
        <v>5</v>
      </c>
      <c r="H770" s="15" t="str">
        <f>IFERROR(__xludf.DUMMYFUNCTION("""COMPUTED_VALUE"""),"Pcs")</f>
        <v>Pcs</v>
      </c>
      <c r="I770" s="15" t="str">
        <f>IFERROR(__xludf.DUMMYFUNCTION("""COMPUTED_VALUE"""),"Deliver")</f>
        <v>Deliver</v>
      </c>
      <c r="J770" s="15" t="str">
        <f>IFERROR(__xludf.DUMMYFUNCTION("""COMPUTED_VALUE"""),"-")</f>
        <v>-</v>
      </c>
      <c r="K770" s="15" t="str">
        <f>IFERROR(__xludf.DUMMYFUNCTION("""COMPUTED_VALUE"""),"-")</f>
        <v>-</v>
      </c>
      <c r="L770" s="15" t="str">
        <f>IFERROR(__xludf.DUMMYFUNCTION("""COMPUTED_VALUE"""),"Normal")</f>
        <v>Normal</v>
      </c>
      <c r="M770" s="18" t="s">
        <v>47</v>
      </c>
      <c r="N770" s="18" t="s">
        <v>30</v>
      </c>
    </row>
    <row r="771" hidden="1">
      <c r="A771" s="15" t="str">
        <f>IFERROR(__xludf.DUMMYFUNCTION("""COMPUTED_VALUE"""),"ROSBR0032")</f>
        <v>ROSBR0032</v>
      </c>
      <c r="B771" s="16">
        <f>IFERROR(__xludf.DUMMYFUNCTION("""COMPUTED_VALUE"""),45883.18858967593)</f>
        <v>45883.18859</v>
      </c>
      <c r="C771" s="17">
        <f>IFERROR(__xludf.DUMMYFUNCTION("""COMPUTED_VALUE"""),45925.67062898148)</f>
        <v>45925.67063</v>
      </c>
      <c r="D771" s="15" t="str">
        <f>IFERROR(__xludf.DUMMYFUNCTION("""COMPUTED_VALUE"""),"Capping")</f>
        <v>Capping</v>
      </c>
      <c r="E771" s="15" t="str">
        <f>IFERROR(__xludf.DUMMYFUNCTION("""COMPUTED_VALUE"""),"EJO/2025/08/152")</f>
        <v>EJO/2025/08/152</v>
      </c>
      <c r="F771" s="15" t="str">
        <f>IFERROR(__xludf.DUMMYFUNCTION("""COMPUTED_VALUE"""),"Poisition indikator ")</f>
        <v>Poisition indikator </v>
      </c>
      <c r="G771" s="15">
        <f>IFERROR(__xludf.DUMMYFUNCTION("""COMPUTED_VALUE"""),2.0)</f>
        <v>2</v>
      </c>
      <c r="H771" s="15" t="str">
        <f>IFERROR(__xludf.DUMMYFUNCTION("""COMPUTED_VALUE"""),"set")</f>
        <v>set</v>
      </c>
      <c r="I771" s="15" t="str">
        <f>IFERROR(__xludf.DUMMYFUNCTION("""COMPUTED_VALUE"""),"Deliver")</f>
        <v>Deliver</v>
      </c>
      <c r="J771" s="15" t="str">
        <f>IFERROR(__xludf.DUMMYFUNCTION("""COMPUTED_VALUE"""),"-")</f>
        <v>-</v>
      </c>
      <c r="K771" s="15" t="str">
        <f>IFERROR(__xludf.DUMMYFUNCTION("""COMPUTED_VALUE"""),"-")</f>
        <v>-</v>
      </c>
      <c r="L771" s="15" t="str">
        <f>IFERROR(__xludf.DUMMYFUNCTION("""COMPUTED_VALUE"""),"Urgent")</f>
        <v>Urgent</v>
      </c>
      <c r="M771" s="18" t="s">
        <v>29</v>
      </c>
      <c r="N771" s="18" t="s">
        <v>30</v>
      </c>
    </row>
    <row r="772" hidden="1">
      <c r="A772" s="15" t="str">
        <f>IFERROR(__xludf.DUMMYFUNCTION("""COMPUTED_VALUE"""),"ROSRO0011")</f>
        <v>ROSRO0011</v>
      </c>
      <c r="B772" s="16">
        <f>IFERROR(__xludf.DUMMYFUNCTION("""COMPUTED_VALUE"""),45923.41597983796)</f>
        <v>45923.41598</v>
      </c>
      <c r="C772" s="17">
        <f>IFERROR(__xludf.DUMMYFUNCTION("""COMPUTED_VALUE"""),45930.21031324074)</f>
        <v>45930.21031</v>
      </c>
      <c r="D772" s="15" t="str">
        <f>IFERROR(__xludf.DUMMYFUNCTION("""COMPUTED_VALUE"""),"Filling ")</f>
        <v>Filling </v>
      </c>
      <c r="E772" s="15" t="str">
        <f>IFERROR(__xludf.DUMMYFUNCTION("""COMPUTED_VALUE"""),"-")</f>
        <v>-</v>
      </c>
      <c r="F772" s="15" t="str">
        <f>IFERROR(__xludf.DUMMYFUNCTION("""COMPUTED_VALUE"""),"Oring Silicone Merah 18.4x13x2.7 mm; ; ;")</f>
        <v>Oring Silicone Merah 18.4x13x2.7 mm; ; ;</v>
      </c>
      <c r="G772" s="15">
        <f>IFERROR(__xludf.DUMMYFUNCTION("""COMPUTED_VALUE"""),20.0)</f>
        <v>20</v>
      </c>
      <c r="H772" s="15" t="str">
        <f>IFERROR(__xludf.DUMMYFUNCTION("""COMPUTED_VALUE"""),"Pcs")</f>
        <v>Pcs</v>
      </c>
      <c r="I772" s="15" t="str">
        <f>IFERROR(__xludf.DUMMYFUNCTION("""COMPUTED_VALUE"""),"Deliver")</f>
        <v>Deliver</v>
      </c>
      <c r="J772" s="15" t="str">
        <f>IFERROR(__xludf.DUMMYFUNCTION("""COMPUTED_VALUE"""),"-")</f>
        <v>-</v>
      </c>
      <c r="K772" s="15" t="str">
        <f>IFERROR(__xludf.DUMMYFUNCTION("""COMPUTED_VALUE"""),"-")</f>
        <v>-</v>
      </c>
      <c r="L772" s="15" t="str">
        <f>IFERROR(__xludf.DUMMYFUNCTION("""COMPUTED_VALUE"""),"Normal")</f>
        <v>Normal</v>
      </c>
      <c r="M772" s="18" t="s">
        <v>29</v>
      </c>
      <c r="N772" s="18" t="s">
        <v>30</v>
      </c>
    </row>
    <row r="773" hidden="1">
      <c r="A773" s="15" t="str">
        <f>IFERROR(__xludf.DUMMYFUNCTION("""COMPUTED_VALUE"""),"ROSBR0028")</f>
        <v>ROSBR0028</v>
      </c>
      <c r="B773" s="16">
        <f>IFERROR(__xludf.DUMMYFUNCTION("""COMPUTED_VALUE"""),45875.442428726856)</f>
        <v>45875.44243</v>
      </c>
      <c r="C773" s="17">
        <f>IFERROR(__xludf.DUMMYFUNCTION("""COMPUTED_VALUE"""),45930.21111959491)</f>
        <v>45930.21112</v>
      </c>
      <c r="D773" s="15" t="str">
        <f>IFERROR(__xludf.DUMMYFUNCTION("""COMPUTED_VALUE"""),"Preparasi Autoclave Lab mikro ")</f>
        <v>Preparasi Autoclave Lab mikro </v>
      </c>
      <c r="E773" s="15" t="str">
        <f>IFERROR(__xludf.DUMMYFUNCTION("""COMPUTED_VALUE"""),"NA ")</f>
        <v>NA </v>
      </c>
      <c r="F773" s="15" t="str">
        <f>IFERROR(__xludf.DUMMYFUNCTION("""COMPUTED_VALUE"""),"Oring Dop pintu preparasi autoclave lab Mikro ")</f>
        <v>Oring Dop pintu preparasi autoclave lab Mikro </v>
      </c>
      <c r="G773" s="15">
        <f>IFERROR(__xludf.DUMMYFUNCTION("""COMPUTED_VALUE"""),10.0)</f>
        <v>10</v>
      </c>
      <c r="H773" s="15" t="str">
        <f>IFERROR(__xludf.DUMMYFUNCTION("""COMPUTED_VALUE"""),"Pcs")</f>
        <v>Pcs</v>
      </c>
      <c r="I773" s="15" t="str">
        <f>IFERROR(__xludf.DUMMYFUNCTION("""COMPUTED_VALUE"""),"Deliver")</f>
        <v>Deliver</v>
      </c>
      <c r="J773" s="15" t="str">
        <f>IFERROR(__xludf.DUMMYFUNCTION("""COMPUTED_VALUE"""),"121703764 - APPROVED")</f>
        <v>121703764 - APPROVED</v>
      </c>
      <c r="K773" s="15" t="str">
        <f>IFERROR(__xludf.DUMMYFUNCTION("""COMPUTED_VALUE"""),"GL2602415")</f>
        <v>GL2602415</v>
      </c>
      <c r="L773" s="15" t="str">
        <f>IFERROR(__xludf.DUMMYFUNCTION("""COMPUTED_VALUE"""),"Normal")</f>
        <v>Normal</v>
      </c>
      <c r="M773" s="18" t="s">
        <v>29</v>
      </c>
      <c r="N773" s="18" t="s">
        <v>30</v>
      </c>
    </row>
    <row r="774" hidden="1">
      <c r="A774" s="15" t="str">
        <f>IFERROR(__xludf.DUMMYFUNCTION("""COMPUTED_VALUE"""),"ROSBR0038")</f>
        <v>ROSBR0038</v>
      </c>
      <c r="B774" s="16">
        <f>IFERROR(__xludf.DUMMYFUNCTION("""COMPUTED_VALUE"""),45923.39518503472)</f>
        <v>45923.39519</v>
      </c>
      <c r="C774" s="17">
        <f>IFERROR(__xludf.DUMMYFUNCTION("""COMPUTED_VALUE"""),45930.213165277775)</f>
        <v>45930.21317</v>
      </c>
      <c r="D774" s="15" t="str">
        <f>IFERROR(__xludf.DUMMYFUNCTION("""COMPUTED_VALUE"""),"Engineering ")</f>
        <v>Engineering </v>
      </c>
      <c r="E774" s="15" t="str">
        <f>IFERROR(__xludf.DUMMYFUNCTION("""COMPUTED_VALUE"""),"NA")</f>
        <v>NA</v>
      </c>
      <c r="F774" s="15" t="str">
        <f>IFERROR(__xludf.DUMMYFUNCTION("""COMPUTED_VALUE"""),"Adapter Converter USB to LAN RJ45")</f>
        <v>Adapter Converter USB to LAN RJ45</v>
      </c>
      <c r="G774" s="15">
        <f>IFERROR(__xludf.DUMMYFUNCTION("""COMPUTED_VALUE"""),4.0)</f>
        <v>4</v>
      </c>
      <c r="H774" s="15" t="str">
        <f>IFERROR(__xludf.DUMMYFUNCTION("""COMPUTED_VALUE"""),"pcs")</f>
        <v>pcs</v>
      </c>
      <c r="I774" s="15" t="str">
        <f>IFERROR(__xludf.DUMMYFUNCTION("""COMPUTED_VALUE"""),"Deliver")</f>
        <v>Deliver</v>
      </c>
      <c r="J774" s="15" t="str">
        <f>IFERROR(__xludf.DUMMYFUNCTION("""COMPUTED_VALUE"""),"121703819 - APPROVED")</f>
        <v>121703819 - APPROVED</v>
      </c>
      <c r="K774" s="15" t="str">
        <f>IFERROR(__xludf.DUMMYFUNCTION("""COMPUTED_VALUE"""),"GL2603038")</f>
        <v>GL2603038</v>
      </c>
      <c r="L774" s="15" t="str">
        <f>IFERROR(__xludf.DUMMYFUNCTION("""COMPUTED_VALUE"""),"Normal")</f>
        <v>Normal</v>
      </c>
      <c r="M774" s="18" t="s">
        <v>29</v>
      </c>
      <c r="N774" s="18" t="s">
        <v>30</v>
      </c>
    </row>
    <row r="775" hidden="1">
      <c r="A775" s="15" t="str">
        <f>IFERROR(__xludf.DUMMYFUNCTION("""COMPUTED_VALUE"""),"ROSBR0040")</f>
        <v>ROSBR0040</v>
      </c>
      <c r="B775" s="16">
        <f>IFERROR(__xludf.DUMMYFUNCTION("""COMPUTED_VALUE"""),45926.379023078705)</f>
        <v>45926.37902</v>
      </c>
      <c r="C775" s="17">
        <f>IFERROR(__xludf.DUMMYFUNCTION("""COMPUTED_VALUE"""),45930.21485674768)</f>
        <v>45930.21486</v>
      </c>
      <c r="D775" s="15" t="str">
        <f>IFERROR(__xludf.DUMMYFUNCTION("""COMPUTED_VALUE"""),"Gloove tester  isolator Skan mikro")</f>
        <v>Gloove tester  isolator Skan mikro</v>
      </c>
      <c r="E775" s="15" t="str">
        <f>IFERROR(__xludf.DUMMYFUNCTION("""COMPUTED_VALUE"""),"EJO/2025/09/147")</f>
        <v>EJO/2025/09/147</v>
      </c>
      <c r="F775" s="15" t="str">
        <f>IFERROR(__xludf.DUMMYFUNCTION("""COMPUTED_VALUE"""),"Push-in fitting")</f>
        <v>Push-in fitting</v>
      </c>
      <c r="G775" s="15">
        <f>IFERROR(__xludf.DUMMYFUNCTION("""COMPUTED_VALUE"""),10.0)</f>
        <v>10</v>
      </c>
      <c r="H775" s="15" t="str">
        <f>IFERROR(__xludf.DUMMYFUNCTION("""COMPUTED_VALUE"""),"pcs")</f>
        <v>pcs</v>
      </c>
      <c r="I775" s="15" t="str">
        <f>IFERROR(__xludf.DUMMYFUNCTION("""COMPUTED_VALUE"""),"Deliver")</f>
        <v>Deliver</v>
      </c>
      <c r="J775" s="15" t="str">
        <f>IFERROR(__xludf.DUMMYFUNCTION("""COMPUTED_VALUE"""),"121703989 - APPROVED")</f>
        <v>121703989 - APPROVED</v>
      </c>
      <c r="K775" s="15" t="str">
        <f>IFERROR(__xludf.DUMMYFUNCTION("""COMPUTED_VALUE"""),"GL2604306")</f>
        <v>GL2604306</v>
      </c>
      <c r="L775" s="15" t="str">
        <f>IFERROR(__xludf.DUMMYFUNCTION("""COMPUTED_VALUE"""),"Normal")</f>
        <v>Normal</v>
      </c>
      <c r="M775" s="18" t="s">
        <v>29</v>
      </c>
      <c r="N775" s="18" t="s">
        <v>30</v>
      </c>
    </row>
    <row r="776" hidden="1">
      <c r="A776" s="15" t="str">
        <f>IFERROR(__xludf.DUMMYFUNCTION("""COMPUTED_VALUE"""),"ROSBR0041")</f>
        <v>ROSBR0041</v>
      </c>
      <c r="B776" s="16">
        <f>IFERROR(__xludf.DUMMYFUNCTION("""COMPUTED_VALUE"""),45926.37904696759)</f>
        <v>45926.37905</v>
      </c>
      <c r="C776" s="17">
        <f>IFERROR(__xludf.DUMMYFUNCTION("""COMPUTED_VALUE"""),45930.215076238426)</f>
        <v>45930.21508</v>
      </c>
      <c r="D776" s="15" t="str">
        <f>IFERROR(__xludf.DUMMYFUNCTION("""COMPUTED_VALUE"""),"Gloove tester  isolator Skan mikro")</f>
        <v>Gloove tester  isolator Skan mikro</v>
      </c>
      <c r="E776" s="15" t="str">
        <f>IFERROR(__xludf.DUMMYFUNCTION("""COMPUTED_VALUE"""),"EJO/2025/09/147")</f>
        <v>EJO/2025/09/147</v>
      </c>
      <c r="F776" s="15" t="str">
        <f>IFERROR(__xludf.DUMMYFUNCTION("""COMPUTED_VALUE"""),"P/in connector")</f>
        <v>P/in connector</v>
      </c>
      <c r="G776" s="15">
        <f>IFERROR(__xludf.DUMMYFUNCTION("""COMPUTED_VALUE"""),10.0)</f>
        <v>10</v>
      </c>
      <c r="H776" s="15" t="str">
        <f>IFERROR(__xludf.DUMMYFUNCTION("""COMPUTED_VALUE"""),"pcs")</f>
        <v>pcs</v>
      </c>
      <c r="I776" s="15" t="str">
        <f>IFERROR(__xludf.DUMMYFUNCTION("""COMPUTED_VALUE"""),"Deliver")</f>
        <v>Deliver</v>
      </c>
      <c r="J776" s="15" t="str">
        <f>IFERROR(__xludf.DUMMYFUNCTION("""COMPUTED_VALUE"""),"-")</f>
        <v>-</v>
      </c>
      <c r="K776" s="15" t="str">
        <f>IFERROR(__xludf.DUMMYFUNCTION("""COMPUTED_VALUE"""),"-")</f>
        <v>-</v>
      </c>
      <c r="L776" s="15" t="str">
        <f>IFERROR(__xludf.DUMMYFUNCTION("""COMPUTED_VALUE"""),"Normal")</f>
        <v>Normal</v>
      </c>
      <c r="M776" s="18" t="s">
        <v>29</v>
      </c>
      <c r="N776" s="18" t="s">
        <v>30</v>
      </c>
    </row>
    <row r="777" hidden="1">
      <c r="A777" s="15" t="str">
        <f>IFERROR(__xludf.DUMMYFUNCTION("""COMPUTED_VALUE"""),"ROSBR0037")</f>
        <v>ROSBR0037</v>
      </c>
      <c r="B777" s="16">
        <f>IFERROR(__xludf.DUMMYFUNCTION("""COMPUTED_VALUE"""),45897.44489056713)</f>
        <v>45897.44489</v>
      </c>
      <c r="C777" s="17">
        <f>IFERROR(__xludf.DUMMYFUNCTION("""COMPUTED_VALUE"""),45930.21709614583)</f>
        <v>45930.2171</v>
      </c>
      <c r="D777" s="15" t="str">
        <f>IFERROR(__xludf.DUMMYFUNCTION("""COMPUTED_VALUE"""),"Washing ")</f>
        <v>Washing </v>
      </c>
      <c r="E777" s="15" t="str">
        <f>IFERROR(__xludf.DUMMYFUNCTION("""COMPUTED_VALUE"""),"NA")</f>
        <v>NA</v>
      </c>
      <c r="F777" s="15" t="str">
        <f>IFERROR(__xludf.DUMMYFUNCTION("""COMPUTED_VALUE"""),"Speed Control")</f>
        <v>Speed Control</v>
      </c>
      <c r="G777" s="15">
        <f>IFERROR(__xludf.DUMMYFUNCTION("""COMPUTED_VALUE"""),6.0)</f>
        <v>6</v>
      </c>
      <c r="H777" s="15" t="str">
        <f>IFERROR(__xludf.DUMMYFUNCTION("""COMPUTED_VALUE"""),"pcs")</f>
        <v>pcs</v>
      </c>
      <c r="I777" s="15" t="str">
        <f>IFERROR(__xludf.DUMMYFUNCTION("""COMPUTED_VALUE"""),"Deliver")</f>
        <v>Deliver</v>
      </c>
      <c r="J777" s="15" t="str">
        <f>IFERROR(__xludf.DUMMYFUNCTION("""COMPUTED_VALUE"""),"-")</f>
        <v>-</v>
      </c>
      <c r="K777" s="15" t="str">
        <f>IFERROR(__xludf.DUMMYFUNCTION("""COMPUTED_VALUE"""),"-")</f>
        <v>-</v>
      </c>
      <c r="L777" s="15" t="str">
        <f>IFERROR(__xludf.DUMMYFUNCTION("""COMPUTED_VALUE"""),"Normal")</f>
        <v>Normal</v>
      </c>
      <c r="M777" s="18" t="s">
        <v>29</v>
      </c>
      <c r="N777" s="18" t="s">
        <v>30</v>
      </c>
    </row>
    <row r="778" hidden="1">
      <c r="A778" s="15" t="str">
        <f>IFERROR(__xludf.DUMMYFUNCTION("""COMPUTED_VALUE"""),"ANOBR0028")</f>
        <v>ANOBR0028</v>
      </c>
      <c r="B778" s="16">
        <f>IFERROR(__xludf.DUMMYFUNCTION("""COMPUTED_VALUE"""),45904.46296048612)</f>
        <v>45904.46296</v>
      </c>
      <c r="C778" s="17">
        <f>IFERROR(__xludf.DUMMYFUNCTION("""COMPUTED_VALUE"""),45930.21977555556)</f>
        <v>45930.21978</v>
      </c>
      <c r="D778" s="15" t="str">
        <f>IFERROR(__xludf.DUMMYFUNCTION("""COMPUTED_VALUE"""),"Instrumen BSC")</f>
        <v>Instrumen BSC</v>
      </c>
      <c r="E778" s="15" t="str">
        <f>IFERROR(__xludf.DUMMYFUNCTION("""COMPUTED_VALUE"""),"-")</f>
        <v>-</v>
      </c>
      <c r="F778" s="15" t="str">
        <f>IFERROR(__xludf.DUMMYFUNCTION("""COMPUTED_VALUE"""),"kunci L bintang ")</f>
        <v>kunci L bintang </v>
      </c>
      <c r="G778" s="15">
        <f>IFERROR(__xludf.DUMMYFUNCTION("""COMPUTED_VALUE"""),1.0)</f>
        <v>1</v>
      </c>
      <c r="H778" s="15" t="str">
        <f>IFERROR(__xludf.DUMMYFUNCTION("""COMPUTED_VALUE"""),"set")</f>
        <v>set</v>
      </c>
      <c r="I778" s="15" t="str">
        <f>IFERROR(__xludf.DUMMYFUNCTION("""COMPUTED_VALUE"""),"Deliver")</f>
        <v>Deliver</v>
      </c>
      <c r="J778" s="15" t="str">
        <f>IFERROR(__xludf.DUMMYFUNCTION("""COMPUTED_VALUE"""),"121703826 - APPROVED")</f>
        <v>121703826 - APPROVED</v>
      </c>
      <c r="K778" s="15" t="str">
        <f>IFERROR(__xludf.DUMMYFUNCTION("""COMPUTED_VALUE"""),"GL2603049")</f>
        <v>GL2603049</v>
      </c>
      <c r="L778" s="15" t="str">
        <f>IFERROR(__xludf.DUMMYFUNCTION("""COMPUTED_VALUE"""),"Normal")</f>
        <v>Normal</v>
      </c>
      <c r="M778" s="18" t="s">
        <v>49</v>
      </c>
      <c r="N778" s="18" t="s">
        <v>30</v>
      </c>
    </row>
    <row r="779" hidden="1">
      <c r="A779" s="15" t="str">
        <f>IFERROR(__xludf.DUMMYFUNCTION("""COMPUTED_VALUE"""),"ANOBR0029")</f>
        <v>ANOBR0029</v>
      </c>
      <c r="B779" s="16">
        <f>IFERROR(__xludf.DUMMYFUNCTION("""COMPUTED_VALUE"""),45904.463117037034)</f>
        <v>45904.46312</v>
      </c>
      <c r="C779" s="17">
        <f>IFERROR(__xludf.DUMMYFUNCTION("""COMPUTED_VALUE"""),45930.22063673611)</f>
        <v>45930.22064</v>
      </c>
      <c r="D779" s="15" t="str">
        <f>IFERROR(__xludf.DUMMYFUNCTION("""COMPUTED_VALUE"""),"MS30,HPLC")</f>
        <v>MS30,HPLC</v>
      </c>
      <c r="E779" s="15" t="str">
        <f>IFERROR(__xludf.DUMMYFUNCTION("""COMPUTED_VALUE"""),"-")</f>
        <v>-</v>
      </c>
      <c r="F779" s="15" t="str">
        <f>IFERROR(__xludf.DUMMYFUNCTION("""COMPUTED_VALUE"""),"kunci L MINI SIze ")</f>
        <v>kunci L MINI SIze </v>
      </c>
      <c r="G779" s="15">
        <f>IFERROR(__xludf.DUMMYFUNCTION("""COMPUTED_VALUE"""),1.0)</f>
        <v>1</v>
      </c>
      <c r="H779" s="15" t="str">
        <f>IFERROR(__xludf.DUMMYFUNCTION("""COMPUTED_VALUE"""),"set")</f>
        <v>set</v>
      </c>
      <c r="I779" s="15" t="str">
        <f>IFERROR(__xludf.DUMMYFUNCTION("""COMPUTED_VALUE"""),"Deliver")</f>
        <v>Deliver</v>
      </c>
      <c r="J779" s="15" t="str">
        <f>IFERROR(__xludf.DUMMYFUNCTION("""COMPUTED_VALUE"""),"121703645 - APPROVED")</f>
        <v>121703645 - APPROVED</v>
      </c>
      <c r="K779" s="15" t="str">
        <f>IFERROR(__xludf.DUMMYFUNCTION("""COMPUTED_VALUE"""),"GL2602027")</f>
        <v>GL2602027</v>
      </c>
      <c r="L779" s="15" t="str">
        <f>IFERROR(__xludf.DUMMYFUNCTION("""COMPUTED_VALUE"""),"Normal")</f>
        <v>Normal</v>
      </c>
      <c r="M779" s="18" t="s">
        <v>49</v>
      </c>
      <c r="N779" s="18" t="s">
        <v>30</v>
      </c>
    </row>
    <row r="780" hidden="1">
      <c r="A780" s="15" t="str">
        <f>IFERROR(__xludf.DUMMYFUNCTION("""COMPUTED_VALUE"""),"ANOBR0035")</f>
        <v>ANOBR0035</v>
      </c>
      <c r="B780" s="16">
        <f>IFERROR(__xludf.DUMMYFUNCTION("""COMPUTED_VALUE"""),45925.78222758102)</f>
        <v>45925.78223</v>
      </c>
      <c r="C780" s="17">
        <f>IFERROR(__xludf.DUMMYFUNCTION("""COMPUTED_VALUE"""),45930.232803726845)</f>
        <v>45930.2328</v>
      </c>
      <c r="D780" s="15" t="str">
        <f>IFERROR(__xludf.DUMMYFUNCTION("""COMPUTED_VALUE"""),"isolator dispensing osd")</f>
        <v>isolator dispensing osd</v>
      </c>
      <c r="E780" s="15" t="str">
        <f>IFERROR(__xludf.DUMMYFUNCTION("""COMPUTED_VALUE"""),"EJO/2025/08/32")</f>
        <v>EJO/2025/08/32</v>
      </c>
      <c r="F780" s="15" t="str">
        <f>IFERROR(__xludf.DUMMYFUNCTION("""COMPUTED_VALUE"""),"oring gasket port sampling")</f>
        <v>oring gasket port sampling</v>
      </c>
      <c r="G780" s="15">
        <f>IFERROR(__xludf.DUMMYFUNCTION("""COMPUTED_VALUE"""),3.0)</f>
        <v>3</v>
      </c>
      <c r="H780" s="15" t="str">
        <f>IFERROR(__xludf.DUMMYFUNCTION("""COMPUTED_VALUE"""),"PCS")</f>
        <v>PCS</v>
      </c>
      <c r="I780" s="15" t="str">
        <f>IFERROR(__xludf.DUMMYFUNCTION("""COMPUTED_VALUE"""),"Deliver")</f>
        <v>Deliver</v>
      </c>
      <c r="J780" s="15" t="str">
        <f>IFERROR(__xludf.DUMMYFUNCTION("""COMPUTED_VALUE"""),"121703818 - APPROVED")</f>
        <v>121703818 - APPROVED</v>
      </c>
      <c r="K780" s="15" t="str">
        <f>IFERROR(__xludf.DUMMYFUNCTION("""COMPUTED_VALUE"""),"GL2602034")</f>
        <v>GL2602034</v>
      </c>
      <c r="L780" s="15" t="str">
        <f>IFERROR(__xludf.DUMMYFUNCTION("""COMPUTED_VALUE"""),"Normal")</f>
        <v>Normal</v>
      </c>
      <c r="M780" s="18" t="s">
        <v>49</v>
      </c>
      <c r="N780" s="18" t="s">
        <v>30</v>
      </c>
    </row>
    <row r="781" hidden="1">
      <c r="A781" s="15" t="str">
        <f>IFERROR(__xludf.DUMMYFUNCTION("""COMPUTED_VALUE"""),"ANOBR0036")</f>
        <v>ANOBR0036</v>
      </c>
      <c r="B781" s="16">
        <f>IFERROR(__xludf.DUMMYFUNCTION("""COMPUTED_VALUE"""),45929.472361527776)</f>
        <v>45929.47236</v>
      </c>
      <c r="C781" s="17">
        <f>IFERROR(__xludf.DUMMYFUNCTION("""COMPUTED_VALUE"""),45930.23315528936)</f>
        <v>45930.23316</v>
      </c>
      <c r="D781" s="15" t="str">
        <f>IFERROR(__xludf.DUMMYFUNCTION("""COMPUTED_VALUE"""),"instrumen Tap Density")</f>
        <v>instrumen Tap Density</v>
      </c>
      <c r="E781" s="15" t="str">
        <f>IFERROR(__xludf.DUMMYFUNCTION("""COMPUTED_VALUE"""),"-")</f>
        <v>-</v>
      </c>
      <c r="F781" s="15" t="str">
        <f>IFERROR(__xludf.DUMMYFUNCTION("""COMPUTED_VALUE"""),"gelas ukur 100ML")</f>
        <v>gelas ukur 100ML</v>
      </c>
      <c r="G781" s="15">
        <f>IFERROR(__xludf.DUMMYFUNCTION("""COMPUTED_VALUE"""),1.0)</f>
        <v>1</v>
      </c>
      <c r="H781" s="15" t="str">
        <f>IFERROR(__xludf.DUMMYFUNCTION("""COMPUTED_VALUE"""),"set")</f>
        <v>set</v>
      </c>
      <c r="I781" s="15" t="str">
        <f>IFERROR(__xludf.DUMMYFUNCTION("""COMPUTED_VALUE"""),"Deliver")</f>
        <v>Deliver</v>
      </c>
      <c r="J781" s="15" t="str">
        <f>IFERROR(__xludf.DUMMYFUNCTION("""COMPUTED_VALUE"""),"-")</f>
        <v>-</v>
      </c>
      <c r="K781" s="15" t="str">
        <f>IFERROR(__xludf.DUMMYFUNCTION("""COMPUTED_VALUE"""),"-")</f>
        <v>-</v>
      </c>
      <c r="L781" s="15" t="str">
        <f>IFERROR(__xludf.DUMMYFUNCTION("""COMPUTED_VALUE"""),"Normal")</f>
        <v>Normal</v>
      </c>
      <c r="M781" s="18" t="s">
        <v>49</v>
      </c>
      <c r="N781" s="18" t="s">
        <v>30</v>
      </c>
    </row>
    <row r="782" hidden="1">
      <c r="A782" s="15" t="str">
        <f>IFERROR(__xludf.DUMMYFUNCTION("""COMPUTED_VALUE"""),"AAARO0012")</f>
        <v>AAARO0012</v>
      </c>
      <c r="B782" s="16">
        <f>IFERROR(__xludf.DUMMYFUNCTION("""COMPUTED_VALUE"""),46255.82219748843)</f>
        <v>46255.8222</v>
      </c>
      <c r="C782" s="17">
        <f>IFERROR(__xludf.DUMMYFUNCTION("""COMPUTED_VALUE"""),45930.235154456015)</f>
        <v>45930.23515</v>
      </c>
      <c r="D782" s="15" t="str">
        <f>IFERROR(__xludf.DUMMYFUNCTION("""COMPUTED_VALUE"""),"meja inspeksi packhall")</f>
        <v>meja inspeksi packhall</v>
      </c>
      <c r="E782" s="15" t="str">
        <f>IFERROR(__xludf.DUMMYFUNCTION("""COMPUTED_VALUE"""),"EJO/2025/09/108")</f>
        <v>EJO/2025/09/108</v>
      </c>
      <c r="F782" s="15" t="str">
        <f>IFERROR(__xludf.DUMMYFUNCTION("""COMPUTED_VALUE"""),"Cabel Tie Mount 30 x 30 mm; Sigma; ;")</f>
        <v>Cabel Tie Mount 30 x 30 mm; Sigma; ;</v>
      </c>
      <c r="G782" s="15">
        <f>IFERROR(__xludf.DUMMYFUNCTION("""COMPUTED_VALUE"""),1.0)</f>
        <v>1</v>
      </c>
      <c r="H782" s="15" t="str">
        <f>IFERROR(__xludf.DUMMYFUNCTION("""COMPUTED_VALUE"""),"pack")</f>
        <v>pack</v>
      </c>
      <c r="I782" s="15" t="str">
        <f>IFERROR(__xludf.DUMMYFUNCTION("""COMPUTED_VALUE"""),"Deliver")</f>
        <v>Deliver</v>
      </c>
      <c r="J782" s="15" t="str">
        <f>IFERROR(__xludf.DUMMYFUNCTION("""COMPUTED_VALUE"""),"-")</f>
        <v>-</v>
      </c>
      <c r="K782" s="15" t="str">
        <f>IFERROR(__xludf.DUMMYFUNCTION("""COMPUTED_VALUE"""),"-")</f>
        <v>-</v>
      </c>
      <c r="L782" s="15" t="str">
        <f>IFERROR(__xludf.DUMMYFUNCTION("""COMPUTED_VALUE"""),"Normal")</f>
        <v>Normal</v>
      </c>
      <c r="M782" s="18" t="s">
        <v>47</v>
      </c>
      <c r="N782" s="18" t="s">
        <v>30</v>
      </c>
    </row>
    <row r="783" hidden="1">
      <c r="A783" s="15" t="str">
        <f>IFERROR(__xludf.DUMMYFUNCTION("""COMPUTED_VALUE"""),"NDSRO0007")</f>
        <v>NDSRO0007</v>
      </c>
      <c r="B783" s="16">
        <f>IFERROR(__xludf.DUMMYFUNCTION("""COMPUTED_VALUE"""),45903.62681039352)</f>
        <v>45903.62681</v>
      </c>
      <c r="C783" s="17">
        <f>IFERROR(__xludf.DUMMYFUNCTION("""COMPUTED_VALUE"""),45930.24003192129)</f>
        <v>45930.24003</v>
      </c>
      <c r="D783" s="15" t="str">
        <f>IFERROR(__xludf.DUMMYFUNCTION("""COMPUTED_VALUE"""),"HPLC")</f>
        <v>HPLC</v>
      </c>
      <c r="E783" s="15" t="str">
        <f>IFERROR(__xludf.DUMMYFUNCTION("""COMPUTED_VALUE"""),"-")</f>
        <v>-</v>
      </c>
      <c r="F783" s="15" t="str">
        <f>IFERROR(__xludf.DUMMYFUNCTION("""COMPUTED_VALUE"""),"Performance Plus Check Valve Housing; Waters; 700002332;")</f>
        <v>Performance Plus Check Valve Housing; Waters; 700002332;</v>
      </c>
      <c r="G783" s="15">
        <f>IFERROR(__xludf.DUMMYFUNCTION("""COMPUTED_VALUE"""),3.0)</f>
        <v>3</v>
      </c>
      <c r="H783" s="15" t="str">
        <f>IFERROR(__xludf.DUMMYFUNCTION("""COMPUTED_VALUE"""),"PCS")</f>
        <v>PCS</v>
      </c>
      <c r="I783" s="15" t="str">
        <f>IFERROR(__xludf.DUMMYFUNCTION("""COMPUTED_VALUE"""),"Deliver")</f>
        <v>Deliver</v>
      </c>
      <c r="J783" s="15" t="str">
        <f>IFERROR(__xludf.DUMMYFUNCTION("""COMPUTED_VALUE"""),"-")</f>
        <v>-</v>
      </c>
      <c r="K783" s="15" t="str">
        <f>IFERROR(__xludf.DUMMYFUNCTION("""COMPUTED_VALUE"""),"-")</f>
        <v>-</v>
      </c>
      <c r="L783" s="15" t="str">
        <f>IFERROR(__xludf.DUMMYFUNCTION("""COMPUTED_VALUE"""),"Normal")</f>
        <v>Normal</v>
      </c>
      <c r="M783" s="18" t="s">
        <v>50</v>
      </c>
      <c r="N783" s="18" t="s">
        <v>30</v>
      </c>
    </row>
    <row r="784" hidden="1">
      <c r="A784" s="15" t="str">
        <f>IFERROR(__xludf.DUMMYFUNCTION("""COMPUTED_VALUE"""),"NDSRO0008")</f>
        <v>NDSRO0008</v>
      </c>
      <c r="B784" s="16">
        <f>IFERROR(__xludf.DUMMYFUNCTION("""COMPUTED_VALUE"""),45923.67971131945)</f>
        <v>45923.67971</v>
      </c>
      <c r="C784" s="17">
        <f>IFERROR(__xludf.DUMMYFUNCTION("""COMPUTED_VALUE"""),45930.24040922454)</f>
        <v>45930.24041</v>
      </c>
      <c r="D784" s="15" t="str">
        <f>IFERROR(__xludf.DUMMYFUNCTION("""COMPUTED_VALUE"""),"Freeze Dryer")</f>
        <v>Freeze Dryer</v>
      </c>
      <c r="E784" s="15" t="str">
        <f>IFERROR(__xludf.DUMMYFUNCTION("""COMPUTED_VALUE"""),"-")</f>
        <v>-</v>
      </c>
      <c r="F784" s="15" t="str">
        <f>IFERROR(__xludf.DUMMYFUNCTION("""COMPUTED_VALUE"""),"Freeze Dryer MBE1207 - SV54 14193T 330 S.S+FKM I/O: G1/4 Inch Orifice 4mm Kv=0.28 m3/h NO DC24V p/n:; BURKERT; ;")</f>
        <v>Freeze Dryer MBE1207 - SV54 14193T 330 S.S+FKM I/O: G1/4 Inch Orifice 4mm Kv=0.28 m3/h NO DC24V p/n:; BURKERT; ;</v>
      </c>
      <c r="G784" s="15">
        <f>IFERROR(__xludf.DUMMYFUNCTION("""COMPUTED_VALUE"""),4.0)</f>
        <v>4</v>
      </c>
      <c r="H784" s="15" t="str">
        <f>IFERROR(__xludf.DUMMYFUNCTION("""COMPUTED_VALUE"""),"Pcs")</f>
        <v>Pcs</v>
      </c>
      <c r="I784" s="15" t="str">
        <f>IFERROR(__xludf.DUMMYFUNCTION("""COMPUTED_VALUE"""),"Deliver")</f>
        <v>Deliver</v>
      </c>
      <c r="J784" s="15" t="str">
        <f>IFERROR(__xludf.DUMMYFUNCTION("""COMPUTED_VALUE"""),"121703372 - APPROVED")</f>
        <v>121703372 - APPROVED</v>
      </c>
      <c r="K784" s="15" t="str">
        <f>IFERROR(__xludf.DUMMYFUNCTION("""COMPUTED_VALUE"""),"GL2603009")</f>
        <v>GL2603009</v>
      </c>
      <c r="L784" s="15" t="str">
        <f>IFERROR(__xludf.DUMMYFUNCTION("""COMPUTED_VALUE"""),"Normal")</f>
        <v>Normal</v>
      </c>
      <c r="M784" s="18" t="s">
        <v>50</v>
      </c>
      <c r="N784" s="18" t="s">
        <v>30</v>
      </c>
    </row>
    <row r="785" hidden="1">
      <c r="A785" s="15" t="str">
        <f>IFERROR(__xludf.DUMMYFUNCTION("""COMPUTED_VALUE"""),"NDSBR0022")</f>
        <v>NDSBR0022</v>
      </c>
      <c r="B785" s="16">
        <f>IFERROR(__xludf.DUMMYFUNCTION("""COMPUTED_VALUE"""),45910.59488872685)</f>
        <v>45910.59489</v>
      </c>
      <c r="C785" s="17">
        <f>IFERROR(__xludf.DUMMYFUNCTION("""COMPUTED_VALUE"""),45930.24271623843)</f>
        <v>45930.24272</v>
      </c>
      <c r="D785" s="15" t="str">
        <f>IFERROR(__xludf.DUMMYFUNCTION("""COMPUTED_VALUE"""),"Disolution tester")</f>
        <v>Disolution tester</v>
      </c>
      <c r="E785" s="15" t="str">
        <f>IFERROR(__xludf.DUMMYFUNCTION("""COMPUTED_VALUE"""),"-")</f>
        <v>-</v>
      </c>
      <c r="F785" s="15" t="str">
        <f>IFERROR(__xludf.DUMMYFUNCTION("""COMPUTED_VALUE"""),"Konekstor")</f>
        <v>Konekstor</v>
      </c>
      <c r="G785" s="15">
        <f>IFERROR(__xludf.DUMMYFUNCTION("""COMPUTED_VALUE"""),10.0)</f>
        <v>10</v>
      </c>
      <c r="H785" s="15" t="str">
        <f>IFERROR(__xludf.DUMMYFUNCTION("""COMPUTED_VALUE""")," Pcs")</f>
        <v> Pcs</v>
      </c>
      <c r="I785" s="15" t="str">
        <f>IFERROR(__xludf.DUMMYFUNCTION("""COMPUTED_VALUE"""),"Approval PR")</f>
        <v>Approval PR</v>
      </c>
      <c r="J785" s="15" t="str">
        <f>IFERROR(__xludf.DUMMYFUNCTION("""COMPUTED_VALUE"""),"121703994 - INCOMPLETE")</f>
        <v>121703994 - INCOMPLETE</v>
      </c>
      <c r="K785" s="15" t="str">
        <f>IFERROR(__xludf.DUMMYFUNCTION("""COMPUTED_VALUE"""),"-")</f>
        <v>-</v>
      </c>
      <c r="L785" s="15" t="str">
        <f>IFERROR(__xludf.DUMMYFUNCTION("""COMPUTED_VALUE"""),"Normal")</f>
        <v>Normal</v>
      </c>
      <c r="M785" s="18" t="s">
        <v>50</v>
      </c>
      <c r="N785" s="18" t="s">
        <v>30</v>
      </c>
    </row>
    <row r="786" hidden="1">
      <c r="A786" s="15" t="str">
        <f>IFERROR(__xludf.DUMMYFUNCTION("""COMPUTED_VALUE"""),"NDSBR0025")</f>
        <v>NDSBR0025</v>
      </c>
      <c r="B786" s="16">
        <f>IFERROR(__xludf.DUMMYFUNCTION("""COMPUTED_VALUE"""),45915.56884364583)</f>
        <v>45915.56884</v>
      </c>
      <c r="C786" s="17">
        <f>IFERROR(__xludf.DUMMYFUNCTION("""COMPUTED_VALUE"""),45930.24407311343)</f>
        <v>45930.24407</v>
      </c>
      <c r="D786" s="15" t="str">
        <f>IFERROR(__xludf.DUMMYFUNCTION("""COMPUTED_VALUE"""),"Blister")</f>
        <v>Blister</v>
      </c>
      <c r="E786" s="15" t="str">
        <f>IFERROR(__xludf.DUMMYFUNCTION("""COMPUTED_VALUE"""),"EJO/2025/08/73")</f>
        <v>EJO/2025/08/73</v>
      </c>
      <c r="F786" s="15" t="str">
        <f>IFERROR(__xludf.DUMMYFUNCTION("""COMPUTED_VALUE"""),"Shaft forming")</f>
        <v>Shaft forming</v>
      </c>
      <c r="G786" s="15">
        <f>IFERROR(__xludf.DUMMYFUNCTION("""COMPUTED_VALUE"""),2.0)</f>
        <v>2</v>
      </c>
      <c r="H786" s="15" t="str">
        <f>IFERROR(__xludf.DUMMYFUNCTION("""COMPUTED_VALUE"""),"pcs")</f>
        <v>pcs</v>
      </c>
      <c r="I786" s="15" t="str">
        <f>IFERROR(__xludf.DUMMYFUNCTION("""COMPUTED_VALUE"""),"Deliver")</f>
        <v>Deliver</v>
      </c>
      <c r="J786" s="15" t="str">
        <f>IFERROR(__xludf.DUMMYFUNCTION("""COMPUTED_VALUE"""),"-")</f>
        <v>-</v>
      </c>
      <c r="K786" s="15" t="str">
        <f>IFERROR(__xludf.DUMMYFUNCTION("""COMPUTED_VALUE"""),"-")</f>
        <v>-</v>
      </c>
      <c r="L786" s="15" t="str">
        <f>IFERROR(__xludf.DUMMYFUNCTION("""COMPUTED_VALUE"""),"Normal")</f>
        <v>Normal</v>
      </c>
      <c r="M786" s="18" t="s">
        <v>50</v>
      </c>
      <c r="N786" s="18" t="s">
        <v>30</v>
      </c>
    </row>
    <row r="787" hidden="1">
      <c r="A787" s="15" t="str">
        <f>IFERROR(__xludf.DUMMYFUNCTION("""COMPUTED_VALUE"""),"NDSBR0026")</f>
        <v>NDSBR0026</v>
      </c>
      <c r="B787" s="16">
        <f>IFERROR(__xludf.DUMMYFUNCTION("""COMPUTED_VALUE"""),45915.572459814815)</f>
        <v>45915.57246</v>
      </c>
      <c r="C787" s="17">
        <f>IFERROR(__xludf.DUMMYFUNCTION("""COMPUTED_VALUE"""),45930.24438283564)</f>
        <v>45930.24438</v>
      </c>
      <c r="D787" s="15" t="str">
        <f>IFERROR(__xludf.DUMMYFUNCTION("""COMPUTED_VALUE"""),"Blister")</f>
        <v>Blister</v>
      </c>
      <c r="E787" s="15" t="str">
        <f>IFERROR(__xludf.DUMMYFUNCTION("""COMPUTED_VALUE"""),"EJO/2025/08/73")</f>
        <v>EJO/2025/08/73</v>
      </c>
      <c r="F787" s="15" t="str">
        <f>IFERROR(__xludf.DUMMYFUNCTION("""COMPUTED_VALUE"""),"Mur shaft forming")</f>
        <v>Mur shaft forming</v>
      </c>
      <c r="G787" s="15">
        <f>IFERROR(__xludf.DUMMYFUNCTION("""COMPUTED_VALUE"""),3.0)</f>
        <v>3</v>
      </c>
      <c r="H787" s="15" t="str">
        <f>IFERROR(__xludf.DUMMYFUNCTION("""COMPUTED_VALUE"""),"pcs")</f>
        <v>pcs</v>
      </c>
      <c r="I787" s="15" t="str">
        <f>IFERROR(__xludf.DUMMYFUNCTION("""COMPUTED_VALUE"""),"Deliver")</f>
        <v>Deliver</v>
      </c>
      <c r="J787" s="15" t="str">
        <f>IFERROR(__xludf.DUMMYFUNCTION("""COMPUTED_VALUE"""),"-")</f>
        <v>-</v>
      </c>
      <c r="K787" s="15" t="str">
        <f>IFERROR(__xludf.DUMMYFUNCTION("""COMPUTED_VALUE"""),"-")</f>
        <v>-</v>
      </c>
      <c r="L787" s="15" t="str">
        <f>IFERROR(__xludf.DUMMYFUNCTION("""COMPUTED_VALUE"""),"Normal")</f>
        <v>Normal</v>
      </c>
      <c r="M787" s="18" t="s">
        <v>50</v>
      </c>
      <c r="N787" s="18" t="s">
        <v>30</v>
      </c>
    </row>
    <row r="788" hidden="1">
      <c r="A788" s="15" t="str">
        <f>IFERROR(__xludf.DUMMYFUNCTION("""COMPUTED_VALUE"""),"MRNBR0066")</f>
        <v>MRNBR0066</v>
      </c>
      <c r="B788" s="16">
        <f>IFERROR(__xludf.DUMMYFUNCTION("""COMPUTED_VALUE"""),45924.26367417824)</f>
        <v>45924.26367</v>
      </c>
      <c r="C788" s="17">
        <f>IFERROR(__xludf.DUMMYFUNCTION("""COMPUTED_VALUE"""),45930.552312754626)</f>
        <v>45930.55231</v>
      </c>
      <c r="D788" s="15" t="str">
        <f>IFERROR(__xludf.DUMMYFUNCTION("""COMPUTED_VALUE"""),"PHE hot water")</f>
        <v>PHE hot water</v>
      </c>
      <c r="E788" s="15" t="str">
        <f>IFERROR(__xludf.DUMMYFUNCTION("""COMPUTED_VALUE"""),"EJO/2025/08/129")</f>
        <v>EJO/2025/08/129</v>
      </c>
      <c r="F788" s="15" t="str">
        <f>IFERROR(__xludf.DUMMYFUNCTION("""COMPUTED_VALUE"""),"Steam trap ")</f>
        <v>Steam trap </v>
      </c>
      <c r="G788" s="15">
        <f>IFERROR(__xludf.DUMMYFUNCTION("""COMPUTED_VALUE"""),2.0)</f>
        <v>2</v>
      </c>
      <c r="H788" s="15" t="str">
        <f>IFERROR(__xludf.DUMMYFUNCTION("""COMPUTED_VALUE"""),"pcs")</f>
        <v>pcs</v>
      </c>
      <c r="I788" s="15" t="str">
        <f>IFERROR(__xludf.DUMMYFUNCTION("""COMPUTED_VALUE"""),"Deliver")</f>
        <v>Deliver</v>
      </c>
      <c r="J788" s="15" t="str">
        <f>IFERROR(__xludf.DUMMYFUNCTION("""COMPUTED_VALUE"""),"-")</f>
        <v>-</v>
      </c>
      <c r="K788" s="15" t="str">
        <f>IFERROR(__xludf.DUMMYFUNCTION("""COMPUTED_VALUE"""),"-")</f>
        <v>-</v>
      </c>
      <c r="L788" s="15" t="str">
        <f>IFERROR(__xludf.DUMMYFUNCTION("""COMPUTED_VALUE"""),"Normal")</f>
        <v>Normal</v>
      </c>
      <c r="M788" s="18" t="s">
        <v>48</v>
      </c>
      <c r="N788" s="18" t="s">
        <v>28</v>
      </c>
    </row>
    <row r="789" hidden="1">
      <c r="A789" s="15" t="str">
        <f>IFERROR(__xludf.DUMMYFUNCTION("""COMPUTED_VALUE"""),"SFHBR0034")</f>
        <v>SFHBR0034</v>
      </c>
      <c r="B789" s="16">
        <f>IFERROR(__xludf.DUMMYFUNCTION("""COMPUTED_VALUE"""),45925.579620046294)</f>
        <v>45925.57962</v>
      </c>
      <c r="C789" s="17">
        <f>IFERROR(__xludf.DUMMYFUNCTION("""COMPUTED_VALUE"""),45930.553623252315)</f>
        <v>45930.55362</v>
      </c>
      <c r="D789" s="15" t="str">
        <f>IFERROR(__xludf.DUMMYFUNCTION("""COMPUTED_VALUE"""),"lantai 3")</f>
        <v>lantai 3</v>
      </c>
      <c r="E789" s="15" t="str">
        <f>IFERROR(__xludf.DUMMYFUNCTION("""COMPUTED_VALUE"""),"EJO/2025/09/151")</f>
        <v>EJO/2025/09/151</v>
      </c>
      <c r="F789" s="15" t="str">
        <f>IFERROR(__xludf.DUMMYFUNCTION("""COMPUTED_VALUE"""),"engsel sendok Ferrari ")</f>
        <v>engsel sendok Ferrari </v>
      </c>
      <c r="G789" s="15">
        <f>IFERROR(__xludf.DUMMYFUNCTION("""COMPUTED_VALUE"""),5.0)</f>
        <v>5</v>
      </c>
      <c r="H789" s="15" t="str">
        <f>IFERROR(__xludf.DUMMYFUNCTION("""COMPUTED_VALUE"""),"pasang ")</f>
        <v>pasang </v>
      </c>
      <c r="I789" s="15" t="str">
        <f>IFERROR(__xludf.DUMMYFUNCTION("""COMPUTED_VALUE"""),"Deliver")</f>
        <v>Deliver</v>
      </c>
      <c r="J789" s="15" t="str">
        <f>IFERROR(__xludf.DUMMYFUNCTION("""COMPUTED_VALUE"""),"121703826 - APPROVED")</f>
        <v>121703826 - APPROVED</v>
      </c>
      <c r="K789" s="15" t="str">
        <f>IFERROR(__xludf.DUMMYFUNCTION("""COMPUTED_VALUE"""),"GL2603049")</f>
        <v>GL2603049</v>
      </c>
      <c r="L789" s="15" t="str">
        <f>IFERROR(__xludf.DUMMYFUNCTION("""COMPUTED_VALUE"""),"Normal")</f>
        <v>Normal</v>
      </c>
      <c r="M789" s="18" t="s">
        <v>27</v>
      </c>
      <c r="N789" s="18" t="s">
        <v>28</v>
      </c>
    </row>
    <row r="790" hidden="1">
      <c r="A790" s="15" t="str">
        <f>IFERROR(__xludf.DUMMYFUNCTION("""COMPUTED_VALUE"""),"RIABR0102")</f>
        <v>RIABR0102</v>
      </c>
      <c r="B790" s="16">
        <f>IFERROR(__xludf.DUMMYFUNCTION("""COMPUTED_VALUE"""),45924.65788548611)</f>
        <v>45924.65789</v>
      </c>
      <c r="C790" s="17">
        <f>IFERROR(__xludf.DUMMYFUNCTION("""COMPUTED_VALUE"""),45930.62697363426)</f>
        <v>45930.62697</v>
      </c>
      <c r="D790" s="15" t="str">
        <f>IFERROR(__xludf.DUMMYFUNCTION("""COMPUTED_VALUE"""),"Kapsul")</f>
        <v>Kapsul</v>
      </c>
      <c r="E790" s="15" t="str">
        <f>IFERROR(__xludf.DUMMYFUNCTION("""COMPUTED_VALUE"""),"EJO/2025/09/34")</f>
        <v>EJO/2025/09/34</v>
      </c>
      <c r="F790" s="15" t="str">
        <f>IFERROR(__xludf.DUMMYFUNCTION("""COMPUTED_VALUE"""),"Pusher Kapsul")</f>
        <v>Pusher Kapsul</v>
      </c>
      <c r="G790" s="15">
        <f>IFERROR(__xludf.DUMMYFUNCTION("""COMPUTED_VALUE"""),1.0)</f>
        <v>1</v>
      </c>
      <c r="H790" s="15" t="str">
        <f>IFERROR(__xludf.DUMMYFUNCTION("""COMPUTED_VALUE"""),"Set")</f>
        <v>Set</v>
      </c>
      <c r="I790" s="15" t="str">
        <f>IFERROR(__xludf.DUMMYFUNCTION("""COMPUTED_VALUE"""),"Deliver")</f>
        <v>Deliver</v>
      </c>
      <c r="J790" s="15" t="str">
        <f>IFERROR(__xludf.DUMMYFUNCTION("""COMPUTED_VALUE"""),"-")</f>
        <v>-</v>
      </c>
      <c r="K790" s="15" t="str">
        <f>IFERROR(__xludf.DUMMYFUNCTION("""COMPUTED_VALUE"""),"-")</f>
        <v>-</v>
      </c>
      <c r="L790" s="15" t="str">
        <f>IFERROR(__xludf.DUMMYFUNCTION("""COMPUTED_VALUE"""),"Normal")</f>
        <v>Normal</v>
      </c>
      <c r="M790" s="18" t="s">
        <v>32</v>
      </c>
      <c r="N790" s="18" t="s">
        <v>28</v>
      </c>
    </row>
    <row r="791" hidden="1">
      <c r="A791" s="15" t="str">
        <f>IFERROR(__xludf.DUMMYFUNCTION("""COMPUTED_VALUE"""),"RIABR0103")</f>
        <v>RIABR0103</v>
      </c>
      <c r="B791" s="16">
        <f>IFERROR(__xludf.DUMMYFUNCTION("""COMPUTED_VALUE"""),45925.70730620371)</f>
        <v>45925.70731</v>
      </c>
      <c r="C791" s="17">
        <f>IFERROR(__xludf.DUMMYFUNCTION("""COMPUTED_VALUE"""),45930.62711704861)</f>
        <v>45930.62712</v>
      </c>
      <c r="D791" s="15" t="str">
        <f>IFERROR(__xludf.DUMMYFUNCTION("""COMPUTED_VALUE"""),"Tangga Portable")</f>
        <v>Tangga Portable</v>
      </c>
      <c r="E791" s="15" t="str">
        <f>IFERROR(__xludf.DUMMYFUNCTION("""COMPUTED_VALUE"""),"EJO/2025/09/134")</f>
        <v>EJO/2025/09/134</v>
      </c>
      <c r="F791" s="15" t="str">
        <f>IFERROR(__xludf.DUMMYFUNCTION("""COMPUTED_VALUE"""),"Kaki Karet Tangga")</f>
        <v>Kaki Karet Tangga</v>
      </c>
      <c r="G791" s="15">
        <f>IFERROR(__xludf.DUMMYFUNCTION("""COMPUTED_VALUE"""),10.0)</f>
        <v>10</v>
      </c>
      <c r="H791" s="15" t="str">
        <f>IFERROR(__xludf.DUMMYFUNCTION("""COMPUTED_VALUE"""),"Pcs")</f>
        <v>Pcs</v>
      </c>
      <c r="I791" s="15" t="str">
        <f>IFERROR(__xludf.DUMMYFUNCTION("""COMPUTED_VALUE"""),"Deliver")</f>
        <v>Deliver</v>
      </c>
      <c r="J791" s="15" t="str">
        <f>IFERROR(__xludf.DUMMYFUNCTION("""COMPUTED_VALUE"""),"121704162 - APPROVED")</f>
        <v>121704162 - APPROVED</v>
      </c>
      <c r="K791" s="15" t="str">
        <f>IFERROR(__xludf.DUMMYFUNCTION("""COMPUTED_VALUE"""),"GL2605332")</f>
        <v>GL2605332</v>
      </c>
      <c r="L791" s="15" t="str">
        <f>IFERROR(__xludf.DUMMYFUNCTION("""COMPUTED_VALUE"""),"Normal")</f>
        <v>Normal</v>
      </c>
      <c r="M791" s="18" t="s">
        <v>32</v>
      </c>
      <c r="N791" s="18" t="s">
        <v>28</v>
      </c>
    </row>
    <row r="792" hidden="1">
      <c r="A792" s="15" t="str">
        <f>IFERROR(__xludf.DUMMYFUNCTION("""COMPUTED_VALUE"""),"NDSBR0029")</f>
        <v>NDSBR0029</v>
      </c>
      <c r="B792" s="16">
        <f>IFERROR(__xludf.DUMMYFUNCTION("""COMPUTED_VALUE"""),45930.58295809028)</f>
        <v>45930.58296</v>
      </c>
      <c r="C792" s="17">
        <f>IFERROR(__xludf.DUMMYFUNCTION("""COMPUTED_VALUE"""),45936.47978836805)</f>
        <v>45936.47979</v>
      </c>
      <c r="D792" s="15" t="str">
        <f>IFERROR(__xludf.DUMMYFUNCTION("""COMPUTED_VALUE"""),"Cytotoxic Cabinet")</f>
        <v>Cytotoxic Cabinet</v>
      </c>
      <c r="E792" s="15" t="str">
        <f>IFERROR(__xludf.DUMMYFUNCTION("""COMPUTED_VALUE"""),"EJO/2025/09/54")</f>
        <v>EJO/2025/09/54</v>
      </c>
      <c r="F792" s="15" t="str">
        <f>IFERROR(__xludf.DUMMYFUNCTION("""COMPUTED_VALUE"""),"Lampu TL-D")</f>
        <v>Lampu TL-D</v>
      </c>
      <c r="G792" s="15">
        <f>IFERROR(__xludf.DUMMYFUNCTION("""COMPUTED_VALUE"""),2.0)</f>
        <v>2</v>
      </c>
      <c r="H792" s="15" t="str">
        <f>IFERROR(__xludf.DUMMYFUNCTION("""COMPUTED_VALUE"""),"Pcs")</f>
        <v>Pcs</v>
      </c>
      <c r="I792" s="15" t="str">
        <f>IFERROR(__xludf.DUMMYFUNCTION("""COMPUTED_VALUE"""),"Deliver")</f>
        <v>Deliver</v>
      </c>
      <c r="J792" s="15" t="str">
        <f>IFERROR(__xludf.DUMMYFUNCTION("""COMPUTED_VALUE"""),"121703829 - APPROVED")</f>
        <v>121703829 - APPROVED</v>
      </c>
      <c r="K792" s="15" t="str">
        <f>IFERROR(__xludf.DUMMYFUNCTION("""COMPUTED_VALUE"""),"GL2603431")</f>
        <v>GL2603431</v>
      </c>
      <c r="L792" s="15" t="str">
        <f>IFERROR(__xludf.DUMMYFUNCTION("""COMPUTED_VALUE"""),"Normal")</f>
        <v>Normal</v>
      </c>
      <c r="M792" s="18" t="s">
        <v>50</v>
      </c>
      <c r="N792" s="18" t="s">
        <v>30</v>
      </c>
    </row>
    <row r="793" hidden="1">
      <c r="A793" s="15" t="str">
        <f>IFERROR(__xludf.DUMMYFUNCTION("""COMPUTED_VALUE"""),"ANOBR0037")</f>
        <v>ANOBR0037</v>
      </c>
      <c r="B793" s="16">
        <f>IFERROR(__xludf.DUMMYFUNCTION("""COMPUTED_VALUE"""),45931.70556581019)</f>
        <v>45931.70557</v>
      </c>
      <c r="C793" s="17">
        <f>IFERROR(__xludf.DUMMYFUNCTION("""COMPUTED_VALUE"""),45936.57750832176)</f>
        <v>45936.57751</v>
      </c>
      <c r="D793" s="15" t="str">
        <f>IFERROR(__xludf.DUMMYFUNCTION("""COMPUTED_VALUE"""),"Instrumen Moisture")</f>
        <v>Instrumen Moisture</v>
      </c>
      <c r="E793" s="15" t="str">
        <f>IFERROR(__xludf.DUMMYFUNCTION("""COMPUTED_VALUE"""),"-")</f>
        <v>-</v>
      </c>
      <c r="F793" s="15" t="str">
        <f>IFERROR(__xludf.DUMMYFUNCTION("""COMPUTED_VALUE"""),"alat perata sample granul")</f>
        <v>alat perata sample granul</v>
      </c>
      <c r="G793" s="15">
        <f>IFERROR(__xludf.DUMMYFUNCTION("""COMPUTED_VALUE"""),1.0)</f>
        <v>1</v>
      </c>
      <c r="H793" s="15" t="str">
        <f>IFERROR(__xludf.DUMMYFUNCTION("""COMPUTED_VALUE"""),"pcs")</f>
        <v>pcs</v>
      </c>
      <c r="I793" s="15" t="str">
        <f>IFERROR(__xludf.DUMMYFUNCTION("""COMPUTED_VALUE"""),"Deliver")</f>
        <v>Deliver</v>
      </c>
      <c r="J793" s="15" t="str">
        <f>IFERROR(__xludf.DUMMYFUNCTION("""COMPUTED_VALUE"""),"-")</f>
        <v>-</v>
      </c>
      <c r="K793" s="15" t="str">
        <f>IFERROR(__xludf.DUMMYFUNCTION("""COMPUTED_VALUE"""),"-")</f>
        <v>-</v>
      </c>
      <c r="L793" s="15" t="str">
        <f>IFERROR(__xludf.DUMMYFUNCTION("""COMPUTED_VALUE"""),"Normal")</f>
        <v>Normal</v>
      </c>
      <c r="M793" s="18" t="s">
        <v>49</v>
      </c>
      <c r="N793" s="18" t="s">
        <v>30</v>
      </c>
    </row>
    <row r="794" hidden="1">
      <c r="A794" s="15" t="str">
        <f>IFERROR(__xludf.DUMMYFUNCTION("""COMPUTED_VALUE"""),"ANORO0009")</f>
        <v>ANORO0009</v>
      </c>
      <c r="B794" s="16">
        <f>IFERROR(__xludf.DUMMYFUNCTION("""COMPUTED_VALUE"""),45917.94341568287)</f>
        <v>45917.94342</v>
      </c>
      <c r="C794" s="17">
        <f>IFERROR(__xludf.DUMMYFUNCTION("""COMPUTED_VALUE"""),45936.578436550924)</f>
        <v>45936.57844</v>
      </c>
      <c r="D794" s="15" t="str">
        <f>IFERROR(__xludf.DUMMYFUNCTION("""COMPUTED_VALUE"""),"tunnel ")</f>
        <v>tunnel </v>
      </c>
      <c r="E794" s="15" t="str">
        <f>IFERROR(__xludf.DUMMYFUNCTION("""COMPUTED_VALUE"""),"-")</f>
        <v>-</v>
      </c>
      <c r="F794" s="15" t="str">
        <f>IFERROR(__xludf.DUMMYFUNCTION("""COMPUTED_VALUE"""),"Pneumatic Actuator Double Acting-063 Festork; ; ;")</f>
        <v>Pneumatic Actuator Double Acting-063 Festork; ; ;</v>
      </c>
      <c r="G794" s="15">
        <f>IFERROR(__xludf.DUMMYFUNCTION("""COMPUTED_VALUE"""),3.0)</f>
        <v>3</v>
      </c>
      <c r="H794" s="15" t="str">
        <f>IFERROR(__xludf.DUMMYFUNCTION("""COMPUTED_VALUE"""),"PCS")</f>
        <v>PCS</v>
      </c>
      <c r="I794" s="15" t="str">
        <f>IFERROR(__xludf.DUMMYFUNCTION("""COMPUTED_VALUE"""),"Deliver")</f>
        <v>Deliver</v>
      </c>
      <c r="J794" s="15" t="str">
        <f>IFERROR(__xludf.DUMMYFUNCTION("""COMPUTED_VALUE"""),"-")</f>
        <v>-</v>
      </c>
      <c r="K794" s="15" t="str">
        <f>IFERROR(__xludf.DUMMYFUNCTION("""COMPUTED_VALUE"""),"-")</f>
        <v>-</v>
      </c>
      <c r="L794" s="15" t="str">
        <f>IFERROR(__xludf.DUMMYFUNCTION("""COMPUTED_VALUE"""),"Normal")</f>
        <v>Normal</v>
      </c>
      <c r="M794" s="18" t="s">
        <v>49</v>
      </c>
      <c r="N794" s="18" t="s">
        <v>30</v>
      </c>
    </row>
    <row r="795" hidden="1">
      <c r="A795" s="15" t="str">
        <f>IFERROR(__xludf.DUMMYFUNCTION("""COMPUTED_VALUE"""),"ANOBR0032")</f>
        <v>ANOBR0032</v>
      </c>
      <c r="B795" s="16">
        <f>IFERROR(__xludf.DUMMYFUNCTION("""COMPUTED_VALUE"""),45917.94847574075)</f>
        <v>45917.94848</v>
      </c>
      <c r="C795" s="17">
        <f>IFERROR(__xludf.DUMMYFUNCTION("""COMPUTED_VALUE"""),45936.57942606481)</f>
        <v>45936.57943</v>
      </c>
      <c r="D795" s="15" t="str">
        <f>IFERROR(__xludf.DUMMYFUNCTION("""COMPUTED_VALUE"""),"tunnel")</f>
        <v>tunnel</v>
      </c>
      <c r="E795" s="15" t="str">
        <f>IFERROR(__xludf.DUMMYFUNCTION("""COMPUTED_VALUE"""),"-")</f>
        <v>-</v>
      </c>
      <c r="F795" s="15" t="str">
        <f>IFERROR(__xludf.DUMMYFUNCTION("""COMPUTED_VALUE"""),"konektor star actuator 3 way valve")</f>
        <v>konektor star actuator 3 way valve</v>
      </c>
      <c r="G795" s="15">
        <f>IFERROR(__xludf.DUMMYFUNCTION("""COMPUTED_VALUE"""),2.0)</f>
        <v>2</v>
      </c>
      <c r="H795" s="15" t="str">
        <f>IFERROR(__xludf.DUMMYFUNCTION("""COMPUTED_VALUE"""),"set")</f>
        <v>set</v>
      </c>
      <c r="I795" s="15" t="str">
        <f>IFERROR(__xludf.DUMMYFUNCTION("""COMPUTED_VALUE"""),"Deliver")</f>
        <v>Deliver</v>
      </c>
      <c r="J795" s="15" t="str">
        <f>IFERROR(__xludf.DUMMYFUNCTION("""COMPUTED_VALUE"""),"121703828 - APPROVED")</f>
        <v>121703828 - APPROVED</v>
      </c>
      <c r="K795" s="15" t="str">
        <f>IFERROR(__xludf.DUMMYFUNCTION("""COMPUTED_VALUE"""),"GL2603436")</f>
        <v>GL2603436</v>
      </c>
      <c r="L795" s="15" t="str">
        <f>IFERROR(__xludf.DUMMYFUNCTION("""COMPUTED_VALUE"""),"Normal")</f>
        <v>Normal</v>
      </c>
      <c r="M795" s="18" t="s">
        <v>49</v>
      </c>
      <c r="N795" s="18" t="s">
        <v>30</v>
      </c>
    </row>
    <row r="796" hidden="1">
      <c r="A796" s="15" t="str">
        <f>IFERROR(__xludf.DUMMYFUNCTION("""COMPUTED_VALUE"""),"ROSBR0042")</f>
        <v>ROSBR0042</v>
      </c>
      <c r="B796" s="16">
        <f>IFERROR(__xludf.DUMMYFUNCTION("""COMPUTED_VALUE"""),45930.83123210648)</f>
        <v>45930.83123</v>
      </c>
      <c r="C796" s="17">
        <f>IFERROR(__xludf.DUMMYFUNCTION("""COMPUTED_VALUE"""),45936.58262759259)</f>
        <v>45936.58263</v>
      </c>
      <c r="D796" s="15" t="str">
        <f>IFERROR(__xludf.DUMMYFUNCTION("""COMPUTED_VALUE"""),"Gloove tester  isolator Skan mikro")</f>
        <v>Gloove tester  isolator Skan mikro</v>
      </c>
      <c r="E796" s="15" t="str">
        <f>IFERROR(__xludf.DUMMYFUNCTION("""COMPUTED_VALUE"""),"EJO/2025/09/147")</f>
        <v>EJO/2025/09/147</v>
      </c>
      <c r="F796" s="15" t="str">
        <f>IFERROR(__xludf.DUMMYFUNCTION("""COMPUTED_VALUE"""),"F/panel valve")</f>
        <v>F/panel valve</v>
      </c>
      <c r="G796" s="15">
        <f>IFERROR(__xludf.DUMMYFUNCTION("""COMPUTED_VALUE"""),1.0)</f>
        <v>1</v>
      </c>
      <c r="H796" s="15" t="str">
        <f>IFERROR(__xludf.DUMMYFUNCTION("""COMPUTED_VALUE"""),"pcs")</f>
        <v>pcs</v>
      </c>
      <c r="I796" s="15" t="str">
        <f>IFERROR(__xludf.DUMMYFUNCTION("""COMPUTED_VALUE"""),"Deliver")</f>
        <v>Deliver</v>
      </c>
      <c r="J796" s="15" t="str">
        <f>IFERROR(__xludf.DUMMYFUNCTION("""COMPUTED_VALUE"""),"-")</f>
        <v>-</v>
      </c>
      <c r="K796" s="15" t="str">
        <f>IFERROR(__xludf.DUMMYFUNCTION("""COMPUTED_VALUE"""),"-")</f>
        <v>-</v>
      </c>
      <c r="L796" s="15" t="str">
        <f>IFERROR(__xludf.DUMMYFUNCTION("""COMPUTED_VALUE"""),"Normal")</f>
        <v>Normal</v>
      </c>
      <c r="M796" s="18" t="s">
        <v>29</v>
      </c>
      <c r="N796" s="18" t="s">
        <v>30</v>
      </c>
    </row>
    <row r="797" hidden="1">
      <c r="A797" s="15" t="str">
        <f>IFERROR(__xludf.DUMMYFUNCTION("""COMPUTED_VALUE"""),"ROSBR0036")</f>
        <v>ROSBR0036</v>
      </c>
      <c r="B797" s="16">
        <f>IFERROR(__xludf.DUMMYFUNCTION("""COMPUTED_VALUE"""),45897.44022846065)</f>
        <v>45897.44023</v>
      </c>
      <c r="C797" s="17">
        <f>IFERROR(__xludf.DUMMYFUNCTION("""COMPUTED_VALUE"""),45936.596004479165)</f>
        <v>45936.596</v>
      </c>
      <c r="D797" s="15" t="str">
        <f>IFERROR(__xludf.DUMMYFUNCTION("""COMPUTED_VALUE"""),"Washing ")</f>
        <v>Washing </v>
      </c>
      <c r="E797" s="15" t="str">
        <f>IFERROR(__xludf.DUMMYFUNCTION("""COMPUTED_VALUE"""),"NA")</f>
        <v>NA</v>
      </c>
      <c r="F797" s="15" t="str">
        <f>IFERROR(__xludf.DUMMYFUNCTION("""COMPUTED_VALUE"""),"Compact Cylinder")</f>
        <v>Compact Cylinder</v>
      </c>
      <c r="G797" s="15">
        <f>IFERROR(__xludf.DUMMYFUNCTION("""COMPUTED_VALUE"""),1.0)</f>
        <v>1</v>
      </c>
      <c r="H797" s="15" t="str">
        <f>IFERROR(__xludf.DUMMYFUNCTION("""COMPUTED_VALUE"""),"pcs")</f>
        <v>pcs</v>
      </c>
      <c r="I797" s="15" t="str">
        <f>IFERROR(__xludf.DUMMYFUNCTION("""COMPUTED_VALUE"""),"Deliver")</f>
        <v>Deliver</v>
      </c>
      <c r="J797" s="15" t="str">
        <f>IFERROR(__xludf.DUMMYFUNCTION("""COMPUTED_VALUE"""),"-")</f>
        <v>-</v>
      </c>
      <c r="K797" s="15" t="str">
        <f>IFERROR(__xludf.DUMMYFUNCTION("""COMPUTED_VALUE"""),"-")</f>
        <v>-</v>
      </c>
      <c r="L797" s="15" t="str">
        <f>IFERROR(__xludf.DUMMYFUNCTION("""COMPUTED_VALUE"""),"Normal")</f>
        <v>Normal</v>
      </c>
      <c r="M797" s="18" t="s">
        <v>29</v>
      </c>
      <c r="N797" s="18" t="s">
        <v>30</v>
      </c>
    </row>
    <row r="798" hidden="1">
      <c r="A798" s="15" t="str">
        <f>IFERROR(__xludf.DUMMYFUNCTION("""COMPUTED_VALUE"""),"AAABR0027")</f>
        <v>AAABR0027</v>
      </c>
      <c r="B798" s="16">
        <f>IFERROR(__xludf.DUMMYFUNCTION("""COMPUTED_VALUE"""),45929.65036210648)</f>
        <v>45929.65036</v>
      </c>
      <c r="C798" s="17">
        <f>IFERROR(__xludf.DUMMYFUNCTION("""COMPUTED_VALUE"""),45936.59789988426)</f>
        <v>45936.5979</v>
      </c>
      <c r="D798" s="15" t="str">
        <f>IFERROR(__xludf.DUMMYFUNCTION("""COMPUTED_VALUE"""),"meja inspeksi packhall")</f>
        <v>meja inspeksi packhall</v>
      </c>
      <c r="E798" s="15" t="str">
        <f>IFERROR(__xludf.DUMMYFUNCTION("""COMPUTED_VALUE"""),"EJO/2025/09/108")</f>
        <v>EJO/2025/09/108</v>
      </c>
      <c r="F798" s="15" t="str">
        <f>IFERROR(__xludf.DUMMYFUNCTION("""COMPUTED_VALUE"""),"oval cable duct")</f>
        <v>oval cable duct</v>
      </c>
      <c r="G798" s="15">
        <f>IFERROR(__xludf.DUMMYFUNCTION("""COMPUTED_VALUE"""),2.0)</f>
        <v>2</v>
      </c>
      <c r="H798" s="15" t="str">
        <f>IFERROR(__xludf.DUMMYFUNCTION("""COMPUTED_VALUE"""),"batang (@2.9 meter)")</f>
        <v>batang (@2.9 meter)</v>
      </c>
      <c r="I798" s="15" t="str">
        <f>IFERROR(__xludf.DUMMYFUNCTION("""COMPUTED_VALUE"""),"Deliver")</f>
        <v>Deliver</v>
      </c>
      <c r="J798" s="15" t="str">
        <f>IFERROR(__xludf.DUMMYFUNCTION("""COMPUTED_VALUE"""),"121703829 - APPROVED")</f>
        <v>121703829 - APPROVED</v>
      </c>
      <c r="K798" s="15" t="str">
        <f>IFERROR(__xludf.DUMMYFUNCTION("""COMPUTED_VALUE"""),"GL2603431")</f>
        <v>GL2603431</v>
      </c>
      <c r="L798" s="15" t="str">
        <f>IFERROR(__xludf.DUMMYFUNCTION("""COMPUTED_VALUE"""),"Normal")</f>
        <v>Normal</v>
      </c>
      <c r="M798" s="18" t="s">
        <v>47</v>
      </c>
      <c r="N798" s="18" t="s">
        <v>30</v>
      </c>
    </row>
    <row r="799" hidden="1">
      <c r="A799" s="15" t="str">
        <f>IFERROR(__xludf.DUMMYFUNCTION("""COMPUTED_VALUE"""),"MOBRO0061")</f>
        <v>MOBRO0061</v>
      </c>
      <c r="B799" s="16">
        <f>IFERROR(__xludf.DUMMYFUNCTION("""COMPUTED_VALUE"""),45931.60714554398)</f>
        <v>45931.60715</v>
      </c>
      <c r="C799" s="17">
        <f>IFERROR(__xludf.DUMMYFUNCTION("""COMPUTED_VALUE"""),45937.65022649305)</f>
        <v>45937.65023</v>
      </c>
      <c r="D799" s="15" t="str">
        <f>IFERROR(__xludf.DUMMYFUNCTION("""COMPUTED_VALUE"""),"Movable Drawer")</f>
        <v>Movable Drawer</v>
      </c>
      <c r="E799" s="15" t="str">
        <f>IFERROR(__xludf.DUMMYFUNCTION("""COMPUTED_VALUE"""),"EJO/2025/08/153")</f>
        <v>EJO/2025/08/153</v>
      </c>
      <c r="F799" s="15" t="str">
        <f>IFERROR(__xludf.DUMMYFUNCTION("""COMPUTED_VALUE"""),"Roda Caster Supo Dia : 3"" ( 75 x 38 mm) / Swivel Flange / With Breake")</f>
        <v>Roda Caster Supo Dia : 3" ( 75 x 38 mm) / Swivel Flange / With Breake</v>
      </c>
      <c r="G799" s="15">
        <f>IFERROR(__xludf.DUMMYFUNCTION("""COMPUTED_VALUE"""),8.0)</f>
        <v>8</v>
      </c>
      <c r="H799" s="15" t="str">
        <f>IFERROR(__xludf.DUMMYFUNCTION("""COMPUTED_VALUE"""),"Pcs")</f>
        <v>Pcs</v>
      </c>
      <c r="I799" s="15" t="str">
        <f>IFERROR(__xludf.DUMMYFUNCTION("""COMPUTED_VALUE"""),"Deliver")</f>
        <v>Deliver</v>
      </c>
      <c r="J799" s="15" t="str">
        <f>IFERROR(__xludf.DUMMYFUNCTION("""COMPUTED_VALUE"""),"-")</f>
        <v>-</v>
      </c>
      <c r="K799" s="15" t="str">
        <f>IFERROR(__xludf.DUMMYFUNCTION("""COMPUTED_VALUE"""),"-")</f>
        <v>-</v>
      </c>
      <c r="L799" s="15" t="str">
        <f>IFERROR(__xludf.DUMMYFUNCTION("""COMPUTED_VALUE"""),"Normal")</f>
        <v>Normal</v>
      </c>
      <c r="M799" s="18" t="s">
        <v>31</v>
      </c>
      <c r="N799" s="18" t="s">
        <v>28</v>
      </c>
    </row>
    <row r="800" hidden="1">
      <c r="A800" s="15" t="str">
        <f>IFERROR(__xludf.DUMMYFUNCTION("""COMPUTED_VALUE"""),"MRNRO0033")</f>
        <v>MRNRO0033</v>
      </c>
      <c r="B800" s="16">
        <f>IFERROR(__xludf.DUMMYFUNCTION("""COMPUTED_VALUE"""),45933.67468950231)</f>
        <v>45933.67469</v>
      </c>
      <c r="C800" s="17">
        <f>IFERROR(__xludf.DUMMYFUNCTION("""COMPUTED_VALUE"""),45937.65046711806)</f>
        <v>45937.65047</v>
      </c>
      <c r="D800" s="15" t="str">
        <f>IFERROR(__xludf.DUMMYFUNCTION("""COMPUTED_VALUE"""),"EF AHU")</f>
        <v>EF AHU</v>
      </c>
      <c r="E800" s="15" t="str">
        <f>IFERROR(__xludf.DUMMYFUNCTION("""COMPUTED_VALUE"""),"EJO/2025/02/66")</f>
        <v>EJO/2025/02/66</v>
      </c>
      <c r="F800" s="15" t="str">
        <f>IFERROR(__xludf.DUMMYFUNCTION("""COMPUTED_VALUE"""),"Belt SPA 1132 LW")</f>
        <v>Belt SPA 1132 LW</v>
      </c>
      <c r="G800" s="15">
        <f>IFERROR(__xludf.DUMMYFUNCTION("""COMPUTED_VALUE"""),10.0)</f>
        <v>10</v>
      </c>
      <c r="H800" s="15" t="str">
        <f>IFERROR(__xludf.DUMMYFUNCTION("""COMPUTED_VALUE"""),"pcs")</f>
        <v>pcs</v>
      </c>
      <c r="I800" s="15" t="str">
        <f>IFERROR(__xludf.DUMMYFUNCTION("""COMPUTED_VALUE"""),"Deliver")</f>
        <v>Deliver</v>
      </c>
      <c r="J800" s="15" t="str">
        <f>IFERROR(__xludf.DUMMYFUNCTION("""COMPUTED_VALUE"""),"-")</f>
        <v>-</v>
      </c>
      <c r="K800" s="15" t="str">
        <f>IFERROR(__xludf.DUMMYFUNCTION("""COMPUTED_VALUE"""),"-")</f>
        <v>-</v>
      </c>
      <c r="L800" s="15" t="str">
        <f>IFERROR(__xludf.DUMMYFUNCTION("""COMPUTED_VALUE"""),"Normal")</f>
        <v>Normal</v>
      </c>
      <c r="M800" s="18" t="s">
        <v>48</v>
      </c>
      <c r="N800" s="18" t="s">
        <v>28</v>
      </c>
    </row>
    <row r="801" hidden="1">
      <c r="A801" s="15" t="str">
        <f>IFERROR(__xludf.DUMMYFUNCTION("""COMPUTED_VALUE"""),"MRNBR0073")</f>
        <v>MRNBR0073</v>
      </c>
      <c r="B801" s="16">
        <f>IFERROR(__xludf.DUMMYFUNCTION("""COMPUTED_VALUE"""),45931.866243749995)</f>
        <v>45931.86624</v>
      </c>
      <c r="C801" s="17">
        <f>IFERROR(__xludf.DUMMYFUNCTION("""COMPUTED_VALUE"""),45937.651849884256)</f>
        <v>45937.65185</v>
      </c>
      <c r="D801" s="15" t="str">
        <f>IFERROR(__xludf.DUMMYFUNCTION("""COMPUTED_VALUE"""),"WFI skid")</f>
        <v>WFI skid</v>
      </c>
      <c r="E801" s="15" t="str">
        <f>IFERROR(__xludf.DUMMYFUNCTION("""COMPUTED_VALUE"""),"EJO/2025/09/123")</f>
        <v>EJO/2025/09/123</v>
      </c>
      <c r="F801" s="15" t="str">
        <f>IFERROR(__xludf.DUMMYFUNCTION("""COMPUTED_VALUE"""),"Regulator")</f>
        <v>Regulator</v>
      </c>
      <c r="G801" s="15">
        <f>IFERROR(__xludf.DUMMYFUNCTION("""COMPUTED_VALUE"""),2.0)</f>
        <v>2</v>
      </c>
      <c r="H801" s="15" t="str">
        <f>IFERROR(__xludf.DUMMYFUNCTION("""COMPUTED_VALUE"""),"pcs")</f>
        <v>pcs</v>
      </c>
      <c r="I801" s="15" t="str">
        <f>IFERROR(__xludf.DUMMYFUNCTION("""COMPUTED_VALUE"""),"Deliver")</f>
        <v>Deliver</v>
      </c>
      <c r="J801" s="15" t="str">
        <f>IFERROR(__xludf.DUMMYFUNCTION("""COMPUTED_VALUE"""),"121703831 - APPROVED")</f>
        <v>121703831 - APPROVED</v>
      </c>
      <c r="K801" s="15" t="str">
        <f>IFERROR(__xludf.DUMMYFUNCTION("""COMPUTED_VALUE"""),"GL2603008")</f>
        <v>GL2603008</v>
      </c>
      <c r="L801" s="15" t="str">
        <f>IFERROR(__xludf.DUMMYFUNCTION("""COMPUTED_VALUE"""),"Normal")</f>
        <v>Normal</v>
      </c>
      <c r="M801" s="18" t="s">
        <v>48</v>
      </c>
      <c r="N801" s="18" t="s">
        <v>28</v>
      </c>
    </row>
    <row r="802" hidden="1">
      <c r="A802" s="15" t="str">
        <f>IFERROR(__xludf.DUMMYFUNCTION("""COMPUTED_VALUE"""),"RIARO0052")</f>
        <v>RIARO0052</v>
      </c>
      <c r="B802" s="16">
        <f>IFERROR(__xludf.DUMMYFUNCTION("""COMPUTED_VALUE"""),45933.065253981484)</f>
        <v>45933.06525</v>
      </c>
      <c r="C802" s="17">
        <f>IFERROR(__xludf.DUMMYFUNCTION("""COMPUTED_VALUE"""),45937.65219769676)</f>
        <v>45937.6522</v>
      </c>
      <c r="D802" s="15" t="str">
        <f>IFERROR(__xludf.DUMMYFUNCTION("""COMPUTED_VALUE"""),"WWTP")</f>
        <v>WWTP</v>
      </c>
      <c r="E802" s="15" t="str">
        <f>IFERROR(__xludf.DUMMYFUNCTION("""COMPUTED_VALUE"""),"-")</f>
        <v>-</v>
      </c>
      <c r="F802" s="15" t="str">
        <f>IFERROR(__xludf.DUMMYFUNCTION("""COMPUTED_VALUE"""),"ORP Transmitter (Field mounted) Type: 202551/05-8-01-4-0-00-25/000; JUMO; ;")</f>
        <v>ORP Transmitter (Field mounted) Type: 202551/05-8-01-4-0-00-25/000; JUMO; ;</v>
      </c>
      <c r="G802" s="15">
        <f>IFERROR(__xludf.DUMMYFUNCTION("""COMPUTED_VALUE"""),1.0)</f>
        <v>1</v>
      </c>
      <c r="H802" s="15" t="str">
        <f>IFERROR(__xludf.DUMMYFUNCTION("""COMPUTED_VALUE"""),"Pcs")</f>
        <v>Pcs</v>
      </c>
      <c r="I802" s="15" t="str">
        <f>IFERROR(__xludf.DUMMYFUNCTION("""COMPUTED_VALUE"""),"Deliver")</f>
        <v>Deliver</v>
      </c>
      <c r="J802" s="15" t="str">
        <f>IFERROR(__xludf.DUMMYFUNCTION("""COMPUTED_VALUE"""),"-")</f>
        <v>-</v>
      </c>
      <c r="K802" s="15" t="str">
        <f>IFERROR(__xludf.DUMMYFUNCTION("""COMPUTED_VALUE"""),"-")</f>
        <v>-</v>
      </c>
      <c r="L802" s="15" t="str">
        <f>IFERROR(__xludf.DUMMYFUNCTION("""COMPUTED_VALUE"""),"Normal")</f>
        <v>Normal</v>
      </c>
      <c r="M802" s="18" t="s">
        <v>32</v>
      </c>
      <c r="N802" s="18" t="s">
        <v>28</v>
      </c>
    </row>
    <row r="803" hidden="1">
      <c r="A803" s="15" t="str">
        <f>IFERROR(__xludf.DUMMYFUNCTION("""COMPUTED_VALUE"""),"RIARO0053")</f>
        <v>RIARO0053</v>
      </c>
      <c r="B803" s="16">
        <f>IFERROR(__xludf.DUMMYFUNCTION("""COMPUTED_VALUE"""),45933.06527746528)</f>
        <v>45933.06528</v>
      </c>
      <c r="C803" s="17">
        <f>IFERROR(__xludf.DUMMYFUNCTION("""COMPUTED_VALUE"""),45937.652413807875)</f>
        <v>45937.65241</v>
      </c>
      <c r="D803" s="15" t="str">
        <f>IFERROR(__xludf.DUMMYFUNCTION("""COMPUTED_VALUE"""),"WWTP")</f>
        <v>WWTP</v>
      </c>
      <c r="E803" s="15" t="str">
        <f>IFERROR(__xludf.DUMMYFUNCTION("""COMPUTED_VALUE"""),"-")</f>
        <v>-</v>
      </c>
      <c r="F803" s="15" t="str">
        <f>IFERROR(__xludf.DUMMYFUNCTION("""COMPUTED_VALUE"""),"ORP Electrode Type: 201027/10-22-07-82-120/000; JUMO; ;")</f>
        <v>ORP Electrode Type: 201027/10-22-07-82-120/000; JUMO; ;</v>
      </c>
      <c r="G803" s="15">
        <f>IFERROR(__xludf.DUMMYFUNCTION("""COMPUTED_VALUE"""),1.0)</f>
        <v>1</v>
      </c>
      <c r="H803" s="15" t="str">
        <f>IFERROR(__xludf.DUMMYFUNCTION("""COMPUTED_VALUE"""),"Pcs")</f>
        <v>Pcs</v>
      </c>
      <c r="I803" s="15" t="str">
        <f>IFERROR(__xludf.DUMMYFUNCTION("""COMPUTED_VALUE"""),"Deliver")</f>
        <v>Deliver</v>
      </c>
      <c r="J803" s="15" t="str">
        <f>IFERROR(__xludf.DUMMYFUNCTION("""COMPUTED_VALUE"""),"-")</f>
        <v>-</v>
      </c>
      <c r="K803" s="15" t="str">
        <f>IFERROR(__xludf.DUMMYFUNCTION("""COMPUTED_VALUE"""),"-")</f>
        <v>-</v>
      </c>
      <c r="L803" s="15" t="str">
        <f>IFERROR(__xludf.DUMMYFUNCTION("""COMPUTED_VALUE"""),"Normal")</f>
        <v>Normal</v>
      </c>
      <c r="M803" s="18" t="s">
        <v>32</v>
      </c>
      <c r="N803" s="18" t="s">
        <v>28</v>
      </c>
    </row>
    <row r="804" hidden="1">
      <c r="A804" s="15" t="str">
        <f>IFERROR(__xludf.DUMMYFUNCTION("""COMPUTED_VALUE"""),"RIARO0054")</f>
        <v>RIARO0054</v>
      </c>
      <c r="B804" s="16">
        <f>IFERROR(__xludf.DUMMYFUNCTION("""COMPUTED_VALUE"""),45933.06527746528)</f>
        <v>45933.06528</v>
      </c>
      <c r="C804" s="17">
        <f>IFERROR(__xludf.DUMMYFUNCTION("""COMPUTED_VALUE"""),45937.652633136575)</f>
        <v>45937.65263</v>
      </c>
      <c r="D804" s="15" t="str">
        <f>IFERROR(__xludf.DUMMYFUNCTION("""COMPUTED_VALUE"""),"WWTP")</f>
        <v>WWTP</v>
      </c>
      <c r="E804" s="15" t="str">
        <f>IFERROR(__xludf.DUMMYFUNCTION("""COMPUTED_VALUE"""),"-")</f>
        <v>-</v>
      </c>
      <c r="F804" s="15" t="str">
        <f>IFERROR(__xludf.DUMMYFUNCTION("""COMPUTED_VALUE"""),"ORP Cable Type: 202990/02; JUMO; ;")</f>
        <v>ORP Cable Type: 202990/02; JUMO; ;</v>
      </c>
      <c r="G804" s="15">
        <f>IFERROR(__xludf.DUMMYFUNCTION("""COMPUTED_VALUE"""),1.0)</f>
        <v>1</v>
      </c>
      <c r="H804" s="15" t="str">
        <f>IFERROR(__xludf.DUMMYFUNCTION("""COMPUTED_VALUE"""),"Pcs")</f>
        <v>Pcs</v>
      </c>
      <c r="I804" s="15" t="str">
        <f>IFERROR(__xludf.DUMMYFUNCTION("""COMPUTED_VALUE"""),"Deliver")</f>
        <v>Deliver</v>
      </c>
      <c r="J804" s="15" t="str">
        <f>IFERROR(__xludf.DUMMYFUNCTION("""COMPUTED_VALUE"""),"-")</f>
        <v>-</v>
      </c>
      <c r="K804" s="15" t="str">
        <f>IFERROR(__xludf.DUMMYFUNCTION("""COMPUTED_VALUE"""),"-")</f>
        <v>-</v>
      </c>
      <c r="L804" s="15" t="str">
        <f>IFERROR(__xludf.DUMMYFUNCTION("""COMPUTED_VALUE"""),"Normal")</f>
        <v>Normal</v>
      </c>
      <c r="M804" s="18" t="s">
        <v>32</v>
      </c>
      <c r="N804" s="18" t="s">
        <v>28</v>
      </c>
    </row>
    <row r="805" hidden="1">
      <c r="A805" s="15" t="str">
        <f>IFERROR(__xludf.DUMMYFUNCTION("""COMPUTED_VALUE"""),"SFHRO0023")</f>
        <v>SFHRO0023</v>
      </c>
      <c r="B805" s="16">
        <f>IFERROR(__xludf.DUMMYFUNCTION("""COMPUTED_VALUE"""),45932.45394005787)</f>
        <v>45932.45394</v>
      </c>
      <c r="C805" s="17">
        <f>IFERROR(__xludf.DUMMYFUNCTION("""COMPUTED_VALUE"""),45937.65279223379)</f>
        <v>45937.65279</v>
      </c>
      <c r="D805" s="15" t="str">
        <f>IFERROR(__xludf.DUMMYFUNCTION("""COMPUTED_VALUE"""),"lantai 2")</f>
        <v>lantai 2</v>
      </c>
      <c r="E805" s="15" t="str">
        <f>IFERROR(__xludf.DUMMYFUNCTION("""COMPUTED_VALUE"""),"-")</f>
        <v>-</v>
      </c>
      <c r="F805" s="15" t="str">
        <f>IFERROR(__xludf.DUMMYFUNCTION("""COMPUTED_VALUE"""),"Kuas Cat Roller uk. 110 mm;No Brand;;pack size per set")</f>
        <v>Kuas Cat Roller uk. 110 mm;No Brand;;pack size per set</v>
      </c>
      <c r="G805" s="15">
        <f>IFERROR(__xludf.DUMMYFUNCTION("""COMPUTED_VALUE"""),10.0)</f>
        <v>10</v>
      </c>
      <c r="H805" s="15" t="str">
        <f>IFERROR(__xludf.DUMMYFUNCTION("""COMPUTED_VALUE"""),"pcs")</f>
        <v>pcs</v>
      </c>
      <c r="I805" s="15" t="str">
        <f>IFERROR(__xludf.DUMMYFUNCTION("""COMPUTED_VALUE"""),"Deliver")</f>
        <v>Deliver</v>
      </c>
      <c r="J805" s="15" t="str">
        <f>IFERROR(__xludf.DUMMYFUNCTION("""COMPUTED_VALUE"""),"-")</f>
        <v>-</v>
      </c>
      <c r="K805" s="15" t="str">
        <f>IFERROR(__xludf.DUMMYFUNCTION("""COMPUTED_VALUE"""),"-")</f>
        <v>-</v>
      </c>
      <c r="L805" s="15" t="str">
        <f>IFERROR(__xludf.DUMMYFUNCTION("""COMPUTED_VALUE"""),"Normal")</f>
        <v>Normal</v>
      </c>
      <c r="M805" s="18" t="s">
        <v>27</v>
      </c>
      <c r="N805" s="18" t="s">
        <v>28</v>
      </c>
    </row>
    <row r="806" hidden="1">
      <c r="A806" s="15" t="str">
        <f>IFERROR(__xludf.DUMMYFUNCTION("""COMPUTED_VALUE"""),"SFHRO0024")</f>
        <v>SFHRO0024</v>
      </c>
      <c r="B806" s="16">
        <f>IFERROR(__xludf.DUMMYFUNCTION("""COMPUTED_VALUE"""),45935.32112350695)</f>
        <v>45935.32112</v>
      </c>
      <c r="C806" s="17">
        <f>IFERROR(__xludf.DUMMYFUNCTION("""COMPUTED_VALUE"""),45937.652944490736)</f>
        <v>45937.65294</v>
      </c>
      <c r="D806" s="15" t="str">
        <f>IFERROR(__xludf.DUMMYFUNCTION("""COMPUTED_VALUE"""),"lantai 2")</f>
        <v>lantai 2</v>
      </c>
      <c r="E806" s="15" t="str">
        <f>IFERROR(__xludf.DUMMYFUNCTION("""COMPUTED_VALUE"""),"-")</f>
        <v>-</v>
      </c>
      <c r="F806" s="15" t="str">
        <f>IFERROR(__xludf.DUMMYFUNCTION("""COMPUTED_VALUE"""),"Kape Besi / Scraper / Skrap Besi;No Brand;;pack size per pcs")</f>
        <v>Kape Besi / Scraper / Skrap Besi;No Brand;;pack size per pcs</v>
      </c>
      <c r="G806" s="15">
        <f>IFERROR(__xludf.DUMMYFUNCTION("""COMPUTED_VALUE"""),5.0)</f>
        <v>5</v>
      </c>
      <c r="H806" s="15" t="str">
        <f>IFERROR(__xludf.DUMMYFUNCTION("""COMPUTED_VALUE"""),"pcs")</f>
        <v>pcs</v>
      </c>
      <c r="I806" s="15" t="str">
        <f>IFERROR(__xludf.DUMMYFUNCTION("""COMPUTED_VALUE"""),"Deliver")</f>
        <v>Deliver</v>
      </c>
      <c r="J806" s="15" t="str">
        <f>IFERROR(__xludf.DUMMYFUNCTION("""COMPUTED_VALUE"""),"-")</f>
        <v>-</v>
      </c>
      <c r="K806" s="15" t="str">
        <f>IFERROR(__xludf.DUMMYFUNCTION("""COMPUTED_VALUE"""),"-")</f>
        <v>-</v>
      </c>
      <c r="L806" s="15" t="str">
        <f>IFERROR(__xludf.DUMMYFUNCTION("""COMPUTED_VALUE"""),"Normal")</f>
        <v>Normal</v>
      </c>
      <c r="M806" s="18" t="s">
        <v>27</v>
      </c>
      <c r="N806" s="18" t="s">
        <v>28</v>
      </c>
    </row>
    <row r="807" hidden="1">
      <c r="A807" s="15" t="str">
        <f>IFERROR(__xludf.DUMMYFUNCTION("""COMPUTED_VALUE"""),"SFHBR0035")</f>
        <v>SFHBR0035</v>
      </c>
      <c r="B807" s="16">
        <f>IFERROR(__xludf.DUMMYFUNCTION("""COMPUTED_VALUE"""),45944.843428541666)</f>
        <v>45944.84343</v>
      </c>
      <c r="C807" s="17">
        <f>IFERROR(__xludf.DUMMYFUNCTION("""COMPUTED_VALUE"""),45937.653298530095)</f>
        <v>45937.6533</v>
      </c>
      <c r="D807" s="15" t="str">
        <f>IFERROR(__xludf.DUMMYFUNCTION("""COMPUTED_VALUE"""),"lantai 2")</f>
        <v>lantai 2</v>
      </c>
      <c r="E807" s="15" t="str">
        <f>IFERROR(__xludf.DUMMYFUNCTION("""COMPUTED_VALUE"""),"-")</f>
        <v>-</v>
      </c>
      <c r="F807" s="15" t="str">
        <f>IFERROR(__xludf.DUMMYFUNCTION("""COMPUTED_VALUE"""),"WD-40 Specialist® Chain Lube 360ml - Pelumas Rantai Syntetic")</f>
        <v>WD-40 Specialist® Chain Lube 360ml - Pelumas Rantai Syntetic</v>
      </c>
      <c r="G807" s="15">
        <f>IFERROR(__xludf.DUMMYFUNCTION("""COMPUTED_VALUE"""),3.0)</f>
        <v>3</v>
      </c>
      <c r="H807" s="15" t="str">
        <f>IFERROR(__xludf.DUMMYFUNCTION("""COMPUTED_VALUE"""),"pcs")</f>
        <v>pcs</v>
      </c>
      <c r="I807" s="15" t="str">
        <f>IFERROR(__xludf.DUMMYFUNCTION("""COMPUTED_VALUE"""),"Deliver")</f>
        <v>Deliver</v>
      </c>
      <c r="J807" s="15" t="str">
        <f>IFERROR(__xludf.DUMMYFUNCTION("""COMPUTED_VALUE"""),"121703830 - APPROVED")</f>
        <v>121703830 - APPROVED</v>
      </c>
      <c r="K807" s="15" t="str">
        <f>IFERROR(__xludf.DUMMYFUNCTION("""COMPUTED_VALUE"""),"GL2603049")</f>
        <v>GL2603049</v>
      </c>
      <c r="L807" s="15" t="str">
        <f>IFERROR(__xludf.DUMMYFUNCTION("""COMPUTED_VALUE"""),"Normal")</f>
        <v>Normal</v>
      </c>
      <c r="M807" s="18" t="s">
        <v>27</v>
      </c>
      <c r="N807" s="18" t="s">
        <v>28</v>
      </c>
    </row>
    <row r="808" hidden="1">
      <c r="A808" s="15" t="str">
        <f>IFERROR(__xludf.DUMMYFUNCTION("""COMPUTED_VALUE"""),"ANOBR0030")</f>
        <v>ANOBR0030</v>
      </c>
      <c r="B808" s="16">
        <f>IFERROR(__xludf.DUMMYFUNCTION("""COMPUTED_VALUE"""),45916.68767291667)</f>
        <v>45916.68767</v>
      </c>
      <c r="C808" s="17">
        <f>IFERROR(__xludf.DUMMYFUNCTION("""COMPUTED_VALUE"""),45938.23009247685)</f>
        <v>45938.23009</v>
      </c>
      <c r="D808" s="15" t="str">
        <f>IFERROR(__xludf.DUMMYFUNCTION("""COMPUTED_VALUE"""),"Aerosol Generator")</f>
        <v>Aerosol Generator</v>
      </c>
      <c r="E808" s="15" t="str">
        <f>IFERROR(__xludf.DUMMYFUNCTION("""COMPUTED_VALUE"""),"EJO/2025/08/94")</f>
        <v>EJO/2025/08/94</v>
      </c>
      <c r="F808" s="15" t="str">
        <f>IFERROR(__xludf.DUMMYFUNCTION("""COMPUTED_VALUE"""),"Regulator")</f>
        <v>Regulator</v>
      </c>
      <c r="G808" s="15">
        <f>IFERROR(__xludf.DUMMYFUNCTION("""COMPUTED_VALUE"""),2.0)</f>
        <v>2</v>
      </c>
      <c r="H808" s="15" t="str">
        <f>IFERROR(__xludf.DUMMYFUNCTION("""COMPUTED_VALUE"""),"PCS")</f>
        <v>PCS</v>
      </c>
      <c r="I808" s="15" t="str">
        <f>IFERROR(__xludf.DUMMYFUNCTION("""COMPUTED_VALUE"""),"Deliver")</f>
        <v>Deliver</v>
      </c>
      <c r="J808" s="15" t="str">
        <f>IFERROR(__xludf.DUMMYFUNCTION("""COMPUTED_VALUE"""),"-")</f>
        <v>-</v>
      </c>
      <c r="K808" s="15" t="str">
        <f>IFERROR(__xludf.DUMMYFUNCTION("""COMPUTED_VALUE"""),"-")</f>
        <v>-</v>
      </c>
      <c r="L808" s="15" t="str">
        <f>IFERROR(__xludf.DUMMYFUNCTION("""COMPUTED_VALUE"""),"Normal")</f>
        <v>Normal</v>
      </c>
      <c r="M808" s="18" t="s">
        <v>49</v>
      </c>
      <c r="N808" s="18" t="s">
        <v>30</v>
      </c>
    </row>
    <row r="809" hidden="1">
      <c r="A809" s="15" t="str">
        <f>IFERROR(__xludf.DUMMYFUNCTION("""COMPUTED_VALUE"""),"SFHRO0025")</f>
        <v>SFHRO0025</v>
      </c>
      <c r="B809" s="16">
        <f>IFERROR(__xludf.DUMMYFUNCTION("""COMPUTED_VALUE"""),45936.885937812505)</f>
        <v>45936.88594</v>
      </c>
      <c r="C809" s="17">
        <f>IFERROR(__xludf.DUMMYFUNCTION("""COMPUTED_VALUE"""),45943.98720548612)</f>
        <v>45943.98721</v>
      </c>
      <c r="D809" s="15" t="str">
        <f>IFERROR(__xludf.DUMMYFUNCTION("""COMPUTED_VALUE"""),"lantai 2")</f>
        <v>lantai 2</v>
      </c>
      <c r="E809" s="15" t="str">
        <f>IFERROR(__xludf.DUMMYFUNCTION("""COMPUTED_VALUE"""),"-")</f>
        <v>-</v>
      </c>
      <c r="F809" s="15" t="str">
        <f>IFERROR(__xludf.DUMMYFUNCTION("""COMPUTED_VALUE"""),"Thinner Super End/Impala @ 1 Liter")</f>
        <v>Thinner Super End/Impala @ 1 Liter</v>
      </c>
      <c r="G809" s="15">
        <f>IFERROR(__xludf.DUMMYFUNCTION("""COMPUTED_VALUE"""),15.0)</f>
        <v>15</v>
      </c>
      <c r="H809" s="15" t="str">
        <f>IFERROR(__xludf.DUMMYFUNCTION("""COMPUTED_VALUE"""),"liter")</f>
        <v>liter</v>
      </c>
      <c r="I809" s="15" t="str">
        <f>IFERROR(__xludf.DUMMYFUNCTION("""COMPUTED_VALUE"""),"Deliver")</f>
        <v>Deliver</v>
      </c>
      <c r="J809" s="15" t="str">
        <f>IFERROR(__xludf.DUMMYFUNCTION("""COMPUTED_VALUE"""),"-")</f>
        <v>-</v>
      </c>
      <c r="K809" s="15" t="str">
        <f>IFERROR(__xludf.DUMMYFUNCTION("""COMPUTED_VALUE"""),"-")</f>
        <v>-</v>
      </c>
      <c r="L809" s="15" t="str">
        <f>IFERROR(__xludf.DUMMYFUNCTION("""COMPUTED_VALUE"""),"Normal")</f>
        <v>Normal</v>
      </c>
      <c r="M809" s="18" t="s">
        <v>27</v>
      </c>
      <c r="N809" s="18" t="s">
        <v>28</v>
      </c>
    </row>
    <row r="810" hidden="1">
      <c r="A810" s="15" t="str">
        <f>IFERROR(__xludf.DUMMYFUNCTION("""COMPUTED_VALUE"""),"RIABR0105")</f>
        <v>RIABR0105</v>
      </c>
      <c r="B810" s="16">
        <f>IFERROR(__xludf.DUMMYFUNCTION("""COMPUTED_VALUE"""),45937.65862320602)</f>
        <v>45937.65862</v>
      </c>
      <c r="C810" s="17">
        <f>IFERROR(__xludf.DUMMYFUNCTION("""COMPUTED_VALUE"""),45943.98748982639)</f>
        <v>45943.98749</v>
      </c>
      <c r="D810" s="15" t="str">
        <f>IFERROR(__xludf.DUMMYFUNCTION("""COMPUTED_VALUE"""),"Controll")</f>
        <v>Controll</v>
      </c>
      <c r="E810" s="15" t="str">
        <f>IFERROR(__xludf.DUMMYFUNCTION("""COMPUTED_VALUE"""),"-")</f>
        <v>-</v>
      </c>
      <c r="F810" s="15" t="str">
        <f>IFERROR(__xludf.DUMMYFUNCTION("""COMPUTED_VALUE"""),"Relay")</f>
        <v>Relay</v>
      </c>
      <c r="G810" s="15">
        <f>IFERROR(__xludf.DUMMYFUNCTION("""COMPUTED_VALUE"""),10.0)</f>
        <v>10</v>
      </c>
      <c r="H810" s="15" t="str">
        <f>IFERROR(__xludf.DUMMYFUNCTION("""COMPUTED_VALUE"""),"Pcs")</f>
        <v>Pcs</v>
      </c>
      <c r="I810" s="15" t="str">
        <f>IFERROR(__xludf.DUMMYFUNCTION("""COMPUTED_VALUE"""),"Deliver")</f>
        <v>Deliver</v>
      </c>
      <c r="J810" s="15" t="str">
        <f>IFERROR(__xludf.DUMMYFUNCTION("""COMPUTED_VALUE"""),"121703820 - APPROVED")</f>
        <v>121703820 - APPROVED</v>
      </c>
      <c r="K810" s="15" t="str">
        <f>IFERROR(__xludf.DUMMYFUNCTION("""COMPUTED_VALUE"""),"GL2603004")</f>
        <v>GL2603004</v>
      </c>
      <c r="L810" s="15" t="str">
        <f>IFERROR(__xludf.DUMMYFUNCTION("""COMPUTED_VALUE"""),"Normal")</f>
        <v>Normal</v>
      </c>
      <c r="M810" s="18" t="s">
        <v>32</v>
      </c>
      <c r="N810" s="18" t="s">
        <v>28</v>
      </c>
    </row>
    <row r="811" hidden="1">
      <c r="A811" s="15" t="str">
        <f>IFERROR(__xludf.DUMMYFUNCTION("""COMPUTED_VALUE"""),"MRNBR0075")</f>
        <v>MRNBR0075</v>
      </c>
      <c r="B811" s="16">
        <f>IFERROR(__xludf.DUMMYFUNCTION("""COMPUTED_VALUE"""),45938.64786121527)</f>
        <v>45938.64786</v>
      </c>
      <c r="C811" s="17">
        <f>IFERROR(__xludf.DUMMYFUNCTION("""COMPUTED_VALUE"""),45944.98168372685)</f>
        <v>45944.98168</v>
      </c>
      <c r="D811" s="15" t="str">
        <f>IFERROR(__xludf.DUMMYFUNCTION("""COMPUTED_VALUE"""),"facd")</f>
        <v>facd</v>
      </c>
      <c r="E811" s="15" t="str">
        <f>IFERROR(__xludf.DUMMYFUNCTION("""COMPUTED_VALUE"""),"EJO/2025/08/144")</f>
        <v>EJO/2025/08/144</v>
      </c>
      <c r="F811" s="15" t="str">
        <f>IFERROR(__xludf.DUMMYFUNCTION("""COMPUTED_VALUE"""),"body valve")</f>
        <v>body valve</v>
      </c>
      <c r="G811" s="15">
        <f>IFERROR(__xludf.DUMMYFUNCTION("""COMPUTED_VALUE"""),1.0)</f>
        <v>1</v>
      </c>
      <c r="H811" s="15" t="str">
        <f>IFERROR(__xludf.DUMMYFUNCTION("""COMPUTED_VALUE"""),"pcs")</f>
        <v>pcs</v>
      </c>
      <c r="I811" s="15" t="str">
        <f>IFERROR(__xludf.DUMMYFUNCTION("""COMPUTED_VALUE"""),"Deliver")</f>
        <v>Deliver</v>
      </c>
      <c r="J811" s="15" t="str">
        <f>IFERROR(__xludf.DUMMYFUNCTION("""COMPUTED_VALUE"""),"121703552 - APPROVED")</f>
        <v>121703552 - APPROVED</v>
      </c>
      <c r="K811" s="15" t="str">
        <f>IFERROR(__xludf.DUMMYFUNCTION("""COMPUTED_VALUE"""),"GL2512018")</f>
        <v>GL2512018</v>
      </c>
      <c r="L811" s="15" t="str">
        <f>IFERROR(__xludf.DUMMYFUNCTION("""COMPUTED_VALUE"""),"Normal")</f>
        <v>Normal</v>
      </c>
      <c r="M811" s="18" t="s">
        <v>48</v>
      </c>
      <c r="N811" s="18" t="s">
        <v>28</v>
      </c>
    </row>
    <row r="812" hidden="1">
      <c r="A812" s="15" t="str">
        <f>IFERROR(__xludf.DUMMYFUNCTION("""COMPUTED_VALUE"""),"MRNBR0074")</f>
        <v>MRNBR0074</v>
      </c>
      <c r="B812" s="16">
        <f>IFERROR(__xludf.DUMMYFUNCTION("""COMPUTED_VALUE"""),45938.64512349537)</f>
        <v>45938.64512</v>
      </c>
      <c r="C812" s="17">
        <f>IFERROR(__xludf.DUMMYFUNCTION("""COMPUTED_VALUE"""),45944.9819063426)</f>
        <v>45944.98191</v>
      </c>
      <c r="D812" s="15" t="str">
        <f>IFERROR(__xludf.DUMMYFUNCTION("""COMPUTED_VALUE"""),"cooling water ")</f>
        <v>cooling water </v>
      </c>
      <c r="E812" s="15" t="str">
        <f>IFERROR(__xludf.DUMMYFUNCTION("""COMPUTED_VALUE"""),"EJO/2025/08/144")</f>
        <v>EJO/2025/08/144</v>
      </c>
      <c r="F812" s="15" t="str">
        <f>IFERROR(__xludf.DUMMYFUNCTION("""COMPUTED_VALUE"""),"body valve")</f>
        <v>body valve</v>
      </c>
      <c r="G812" s="15">
        <f>IFERROR(__xludf.DUMMYFUNCTION("""COMPUTED_VALUE"""),1.0)</f>
        <v>1</v>
      </c>
      <c r="H812" s="15" t="str">
        <f>IFERROR(__xludf.DUMMYFUNCTION("""COMPUTED_VALUE"""),"pcs")</f>
        <v>pcs</v>
      </c>
      <c r="I812" s="15" t="str">
        <f>IFERROR(__xludf.DUMMYFUNCTION("""COMPUTED_VALUE"""),"Deliver")</f>
        <v>Deliver</v>
      </c>
      <c r="J812" s="15" t="str">
        <f>IFERROR(__xludf.DUMMYFUNCTION("""COMPUTED_VALUE"""),"121703552 - APPROVED")</f>
        <v>121703552 - APPROVED</v>
      </c>
      <c r="K812" s="15" t="str">
        <f>IFERROR(__xludf.DUMMYFUNCTION("""COMPUTED_VALUE"""),"GL2512018")</f>
        <v>GL2512018</v>
      </c>
      <c r="L812" s="15" t="str">
        <f>IFERROR(__xludf.DUMMYFUNCTION("""COMPUTED_VALUE"""),"Normal")</f>
        <v>Normal</v>
      </c>
      <c r="M812" s="18" t="s">
        <v>48</v>
      </c>
      <c r="N812" s="18" t="s">
        <v>28</v>
      </c>
    </row>
    <row r="813" hidden="1">
      <c r="A813" s="15" t="str">
        <f>IFERROR(__xludf.DUMMYFUNCTION("""COMPUTED_VALUE"""),"RIABR0107")</f>
        <v>RIABR0107</v>
      </c>
      <c r="B813" s="16">
        <f>IFERROR(__xludf.DUMMYFUNCTION("""COMPUTED_VALUE"""),45938.42963164352)</f>
        <v>45938.42963</v>
      </c>
      <c r="C813" s="17">
        <f>IFERROR(__xludf.DUMMYFUNCTION("""COMPUTED_VALUE"""),45944.98373422454)</f>
        <v>45944.98373</v>
      </c>
      <c r="D813" s="15" t="str">
        <f>IFERROR(__xludf.DUMMYFUNCTION("""COMPUTED_VALUE"""),"Granulasi")</f>
        <v>Granulasi</v>
      </c>
      <c r="E813" s="15" t="str">
        <f>IFERROR(__xludf.DUMMYFUNCTION("""COMPUTED_VALUE"""),"EJO/2025/08/170")</f>
        <v>EJO/2025/08/170</v>
      </c>
      <c r="F813" s="15" t="str">
        <f>IFERROR(__xludf.DUMMYFUNCTION("""COMPUTED_VALUE"""),"Flexible Hose")</f>
        <v>Flexible Hose</v>
      </c>
      <c r="G813" s="15">
        <f>IFERROR(__xludf.DUMMYFUNCTION("""COMPUTED_VALUE"""),1.0)</f>
        <v>1</v>
      </c>
      <c r="H813" s="15" t="str">
        <f>IFERROR(__xludf.DUMMYFUNCTION("""COMPUTED_VALUE"""),"Pcs")</f>
        <v>Pcs</v>
      </c>
      <c r="I813" s="15" t="str">
        <f>IFERROR(__xludf.DUMMYFUNCTION("""COMPUTED_VALUE"""),"Deliver")</f>
        <v>Deliver</v>
      </c>
      <c r="J813" s="15" t="str">
        <f>IFERROR(__xludf.DUMMYFUNCTION("""COMPUTED_VALUE"""),"121703303 - APPROVED")</f>
        <v>121703303 - APPROVED</v>
      </c>
      <c r="K813" s="15" t="str">
        <f>IFERROR(__xludf.DUMMYFUNCTION("""COMPUTED_VALUE"""),"GL2511033")</f>
        <v>GL2511033</v>
      </c>
      <c r="L813" s="15" t="str">
        <f>IFERROR(__xludf.DUMMYFUNCTION("""COMPUTED_VALUE"""),"Normal")</f>
        <v>Normal</v>
      </c>
      <c r="M813" s="18" t="s">
        <v>32</v>
      </c>
      <c r="N813" s="18" t="s">
        <v>28</v>
      </c>
    </row>
    <row r="814" hidden="1">
      <c r="A814" s="15" t="str">
        <f>IFERROR(__xludf.DUMMYFUNCTION("""COMPUTED_VALUE"""),"RIABR0106")</f>
        <v>RIABR0106</v>
      </c>
      <c r="B814" s="16">
        <f>IFERROR(__xludf.DUMMYFUNCTION("""COMPUTED_VALUE"""),45938.42526802083)</f>
        <v>45938.42527</v>
      </c>
      <c r="C814" s="17">
        <f>IFERROR(__xludf.DUMMYFUNCTION("""COMPUTED_VALUE"""),45944.9840013889)</f>
        <v>45944.984</v>
      </c>
      <c r="D814" s="15" t="str">
        <f>IFERROR(__xludf.DUMMYFUNCTION("""COMPUTED_VALUE"""),"Granulasi")</f>
        <v>Granulasi</v>
      </c>
      <c r="E814" s="15" t="str">
        <f>IFERROR(__xludf.DUMMYFUNCTION("""COMPUTED_VALUE"""),"-")</f>
        <v>-</v>
      </c>
      <c r="F814" s="15" t="str">
        <f>IFERROR(__xludf.DUMMYFUNCTION("""COMPUTED_VALUE"""),"Gasket")</f>
        <v>Gasket</v>
      </c>
      <c r="G814" s="15">
        <f>IFERROR(__xludf.DUMMYFUNCTION("""COMPUTED_VALUE"""),5.0)</f>
        <v>5</v>
      </c>
      <c r="H814" s="15" t="str">
        <f>IFERROR(__xludf.DUMMYFUNCTION("""COMPUTED_VALUE"""),"Pcs")</f>
        <v>Pcs</v>
      </c>
      <c r="I814" s="15" t="str">
        <f>IFERROR(__xludf.DUMMYFUNCTION("""COMPUTED_VALUE"""),"Deliver")</f>
        <v>Deliver</v>
      </c>
      <c r="J814" s="15" t="str">
        <f>IFERROR(__xludf.DUMMYFUNCTION("""COMPUTED_VALUE"""),"121703916 - APPROVED")</f>
        <v>121703916 - APPROVED</v>
      </c>
      <c r="K814" s="15" t="str">
        <f>IFERROR(__xludf.DUMMYFUNCTION("""COMPUTED_VALUE"""),"GL2603037")</f>
        <v>GL2603037</v>
      </c>
      <c r="L814" s="15" t="str">
        <f>IFERROR(__xludf.DUMMYFUNCTION("""COMPUTED_VALUE"""),"Normal")</f>
        <v>Normal</v>
      </c>
      <c r="M814" s="18" t="s">
        <v>32</v>
      </c>
      <c r="N814" s="18" t="s">
        <v>28</v>
      </c>
    </row>
    <row r="815" hidden="1">
      <c r="A815" s="15" t="str">
        <f>IFERROR(__xludf.DUMMYFUNCTION("""COMPUTED_VALUE"""),"SFHBR0036")</f>
        <v>SFHBR0036</v>
      </c>
      <c r="B815" s="16">
        <f>IFERROR(__xludf.DUMMYFUNCTION("""COMPUTED_VALUE"""),46141.56928729166)</f>
        <v>46141.56929</v>
      </c>
      <c r="C815" s="17">
        <f>IFERROR(__xludf.DUMMYFUNCTION("""COMPUTED_VALUE"""),45944.984285659724)</f>
        <v>45944.98429</v>
      </c>
      <c r="D815" s="15" t="str">
        <f>IFERROR(__xludf.DUMMYFUNCTION("""COMPUTED_VALUE"""),"Lantai 3")</f>
        <v>Lantai 3</v>
      </c>
      <c r="E815" s="15" t="str">
        <f>IFERROR(__xludf.DUMMYFUNCTION("""COMPUTED_VALUE"""),"EJO/2025/138")</f>
        <v>EJO/2025/138</v>
      </c>
      <c r="F815" s="15" t="str">
        <f>IFERROR(__xludf.DUMMYFUNCTION("""COMPUTED_VALUE"""),"Kunci Tusuk Kunci Laci Kunci Tekan Push Lock HUBEN HL 105")</f>
        <v>Kunci Tusuk Kunci Laci Kunci Tekan Push Lock HUBEN HL 105</v>
      </c>
      <c r="G815" s="15">
        <f>IFERROR(__xludf.DUMMYFUNCTION("""COMPUTED_VALUE"""),5.0)</f>
        <v>5</v>
      </c>
      <c r="H815" s="15" t="str">
        <f>IFERROR(__xludf.DUMMYFUNCTION("""COMPUTED_VALUE"""),"pcs")</f>
        <v>pcs</v>
      </c>
      <c r="I815" s="15" t="str">
        <f>IFERROR(__xludf.DUMMYFUNCTION("""COMPUTED_VALUE"""),"Deliver")</f>
        <v>Deliver</v>
      </c>
      <c r="J815" s="15" t="str">
        <f>IFERROR(__xludf.DUMMYFUNCTION("""COMPUTED_VALUE"""),"121703829 - APPROVED")</f>
        <v>121703829 - APPROVED</v>
      </c>
      <c r="K815" s="15" t="str">
        <f>IFERROR(__xludf.DUMMYFUNCTION("""COMPUTED_VALUE"""),"GL2603431")</f>
        <v>GL2603431</v>
      </c>
      <c r="L815" s="15" t="str">
        <f>IFERROR(__xludf.DUMMYFUNCTION("""COMPUTED_VALUE"""),"Normal")</f>
        <v>Normal</v>
      </c>
      <c r="M815" s="18" t="s">
        <v>27</v>
      </c>
      <c r="N815" s="18" t="s">
        <v>28</v>
      </c>
    </row>
    <row r="816" hidden="1">
      <c r="A816" s="15" t="str">
        <f>IFERROR(__xludf.DUMMYFUNCTION("""COMPUTED_VALUE"""),"SFHBR0037")</f>
        <v>SFHBR0037</v>
      </c>
      <c r="B816" s="16">
        <f>IFERROR(__xludf.DUMMYFUNCTION("""COMPUTED_VALUE"""),45944.84759662037)</f>
        <v>45944.8476</v>
      </c>
      <c r="C816" s="17">
        <f>IFERROR(__xludf.DUMMYFUNCTION("""COMPUTED_VALUE"""),45944.98486592592)</f>
        <v>45944.98487</v>
      </c>
      <c r="D816" s="15" t="str">
        <f>IFERROR(__xludf.DUMMYFUNCTION("""COMPUTED_VALUE"""),"lantai 2")</f>
        <v>lantai 2</v>
      </c>
      <c r="E816" s="15" t="str">
        <f>IFERROR(__xludf.DUMMYFUNCTION("""COMPUTED_VALUE"""),"-")</f>
        <v>-</v>
      </c>
      <c r="F816" s="15" t="str">
        <f>IFERROR(__xludf.DUMMYFUNCTION("""COMPUTED_VALUE"""),"PRESTONE BELT DRESSING (250ML) - V belt - Fan Belt")</f>
        <v>PRESTONE BELT DRESSING (250ML) - V belt - Fan Belt</v>
      </c>
      <c r="G816" s="15">
        <f>IFERROR(__xludf.DUMMYFUNCTION("""COMPUTED_VALUE"""),5.0)</f>
        <v>5</v>
      </c>
      <c r="H816" s="15" t="str">
        <f>IFERROR(__xludf.DUMMYFUNCTION("""COMPUTED_VALUE"""),"pcs")</f>
        <v>pcs</v>
      </c>
      <c r="I816" s="15" t="str">
        <f>IFERROR(__xludf.DUMMYFUNCTION("""COMPUTED_VALUE"""),"Deliver")</f>
        <v>Deliver</v>
      </c>
      <c r="J816" s="15" t="str">
        <f>IFERROR(__xludf.DUMMYFUNCTION("""COMPUTED_VALUE"""),"121704047 - APPROVED")</f>
        <v>121704047 - APPROVED</v>
      </c>
      <c r="K816" s="15" t="str">
        <f>IFERROR(__xludf.DUMMYFUNCTION("""COMPUTED_VALUE"""),"GL2604492")</f>
        <v>GL2604492</v>
      </c>
      <c r="L816" s="15" t="str">
        <f>IFERROR(__xludf.DUMMYFUNCTION("""COMPUTED_VALUE"""),"Normal")</f>
        <v>Normal</v>
      </c>
      <c r="M816" s="18" t="s">
        <v>27</v>
      </c>
      <c r="N816" s="18" t="s">
        <v>28</v>
      </c>
    </row>
    <row r="817" hidden="1">
      <c r="A817" s="15" t="str">
        <f>IFERROR(__xludf.DUMMYFUNCTION("""COMPUTED_VALUE"""),"MOBRO0062")</f>
        <v>MOBRO0062</v>
      </c>
      <c r="B817" s="16">
        <f>IFERROR(__xludf.DUMMYFUNCTION("""COMPUTED_VALUE"""),45943.567489490735)</f>
        <v>45943.56749</v>
      </c>
      <c r="C817" s="17">
        <f>IFERROR(__xludf.DUMMYFUNCTION("""COMPUTED_VALUE"""),45947.89190177083)</f>
        <v>45947.8919</v>
      </c>
      <c r="D817" s="15" t="str">
        <f>IFERROR(__xludf.DUMMYFUNCTION("""COMPUTED_VALUE"""),"Universal")</f>
        <v>Universal</v>
      </c>
      <c r="E817" s="15" t="str">
        <f>IFERROR(__xludf.DUMMYFUNCTION("""COMPUTED_VALUE"""),"-")</f>
        <v>-</v>
      </c>
      <c r="F817" s="15" t="str">
        <f>IFERROR(__xludf.DUMMYFUNCTION("""COMPUTED_VALUE"""),"General - Kabel UTP 4 Pairs Cat 6; Belden; -; 305m/roll")</f>
        <v>General - Kabel UTP 4 Pairs Cat 6; Belden; -; 305m/roll</v>
      </c>
      <c r="G817" s="15">
        <f>IFERROR(__xludf.DUMMYFUNCTION("""COMPUTED_VALUE"""),1220.0)</f>
        <v>1220</v>
      </c>
      <c r="H817" s="15" t="str">
        <f>IFERROR(__xludf.DUMMYFUNCTION("""COMPUTED_VALUE"""),"Meter")</f>
        <v>Meter</v>
      </c>
      <c r="I817" s="15" t="str">
        <f>IFERROR(__xludf.DUMMYFUNCTION("""COMPUTED_VALUE"""),"Deliver")</f>
        <v>Deliver</v>
      </c>
      <c r="J817" s="15" t="str">
        <f>IFERROR(__xludf.DUMMYFUNCTION("""COMPUTED_VALUE"""),"-")</f>
        <v>-</v>
      </c>
      <c r="K817" s="15" t="str">
        <f>IFERROR(__xludf.DUMMYFUNCTION("""COMPUTED_VALUE"""),"-")</f>
        <v>-</v>
      </c>
      <c r="L817" s="15" t="str">
        <f>IFERROR(__xludf.DUMMYFUNCTION("""COMPUTED_VALUE"""),"Normal")</f>
        <v>Normal</v>
      </c>
      <c r="M817" s="18" t="s">
        <v>31</v>
      </c>
      <c r="N817" s="18" t="s">
        <v>28</v>
      </c>
    </row>
    <row r="818" hidden="1">
      <c r="A818" s="15" t="str">
        <f>IFERROR(__xludf.DUMMYFUNCTION("""COMPUTED_VALUE"""),"MOBRO0063")</f>
        <v>MOBRO0063</v>
      </c>
      <c r="B818" s="16">
        <f>IFERROR(__xludf.DUMMYFUNCTION("""COMPUTED_VALUE"""),45945.36438557871)</f>
        <v>45945.36439</v>
      </c>
      <c r="C818" s="17">
        <f>IFERROR(__xludf.DUMMYFUNCTION("""COMPUTED_VALUE"""),45947.89204998843)</f>
        <v>45947.89205</v>
      </c>
      <c r="D818" s="15" t="str">
        <f>IFERROR(__xludf.DUMMYFUNCTION("""COMPUTED_VALUE"""),"PWG")</f>
        <v>PWG</v>
      </c>
      <c r="E818" s="15" t="str">
        <f>IFERROR(__xludf.DUMMYFUNCTION("""COMPUTED_VALUE"""),"-")</f>
        <v>-</v>
      </c>
      <c r="F818" s="15" t="str">
        <f>IFERROR(__xludf.DUMMYFUNCTION("""COMPUTED_VALUE"""),"Filter SO 5 micron 30 inch O-ring 222 Bayonet; ; ;")</f>
        <v>Filter SO 5 micron 30 inch O-ring 222 Bayonet; ; ;</v>
      </c>
      <c r="G818" s="15">
        <f>IFERROR(__xludf.DUMMYFUNCTION("""COMPUTED_VALUE"""),10.0)</f>
        <v>10</v>
      </c>
      <c r="H818" s="15" t="str">
        <f>IFERROR(__xludf.DUMMYFUNCTION("""COMPUTED_VALUE"""),"Pcs")</f>
        <v>Pcs</v>
      </c>
      <c r="I818" s="15" t="str">
        <f>IFERROR(__xludf.DUMMYFUNCTION("""COMPUTED_VALUE"""),"Deliver")</f>
        <v>Deliver</v>
      </c>
      <c r="J818" s="15" t="str">
        <f>IFERROR(__xludf.DUMMYFUNCTION("""COMPUTED_VALUE"""),"-")</f>
        <v>-</v>
      </c>
      <c r="K818" s="15" t="str">
        <f>IFERROR(__xludf.DUMMYFUNCTION("""COMPUTED_VALUE"""),"-")</f>
        <v>-</v>
      </c>
      <c r="L818" s="15" t="str">
        <f>IFERROR(__xludf.DUMMYFUNCTION("""COMPUTED_VALUE"""),"Normal")</f>
        <v>Normal</v>
      </c>
      <c r="M818" s="18" t="s">
        <v>31</v>
      </c>
      <c r="N818" s="18" t="s">
        <v>28</v>
      </c>
    </row>
    <row r="819" hidden="1">
      <c r="A819" s="15" t="str">
        <f>IFERROR(__xludf.DUMMYFUNCTION("""COMPUTED_VALUE"""),"MRNRO0034")</f>
        <v>MRNRO0034</v>
      </c>
      <c r="B819" s="16">
        <f>IFERROR(__xludf.DUMMYFUNCTION("""COMPUTED_VALUE"""),45945.27239075232)</f>
        <v>45945.27239</v>
      </c>
      <c r="C819" s="17">
        <f>IFERROR(__xludf.DUMMYFUNCTION("""COMPUTED_VALUE"""),45947.8922771875)</f>
        <v>45947.89228</v>
      </c>
      <c r="D819" s="15" t="str">
        <f>IFERROR(__xludf.DUMMYFUNCTION("""COMPUTED_VALUE"""),"EF D1-1")</f>
        <v>EF D1-1</v>
      </c>
      <c r="E819" s="15" t="str">
        <f>IFERROR(__xludf.DUMMYFUNCTION("""COMPUTED_VALUE"""),"EJO/2025/08/165")</f>
        <v>EJO/2025/08/165</v>
      </c>
      <c r="F819" s="15" t="str">
        <f>IFERROR(__xludf.DUMMYFUNCTION("""COMPUTED_VALUE"""),"General - Pulser SCR Heater Controller Wall Mounted 0-10 VD DC; Regin; 240-X010; 1 unit")</f>
        <v>General - Pulser SCR Heater Controller Wall Mounted 0-10 VD DC; Regin; 240-X010; 1 unit</v>
      </c>
      <c r="G819" s="15">
        <f>IFERROR(__xludf.DUMMYFUNCTION("""COMPUTED_VALUE"""),1.0)</f>
        <v>1</v>
      </c>
      <c r="H819" s="15" t="str">
        <f>IFERROR(__xludf.DUMMYFUNCTION("""COMPUTED_VALUE"""),"pcs")</f>
        <v>pcs</v>
      </c>
      <c r="I819" s="15" t="str">
        <f>IFERROR(__xludf.DUMMYFUNCTION("""COMPUTED_VALUE"""),"Deliver")</f>
        <v>Deliver</v>
      </c>
      <c r="J819" s="15" t="str">
        <f>IFERROR(__xludf.DUMMYFUNCTION("""COMPUTED_VALUE"""),"-")</f>
        <v>-</v>
      </c>
      <c r="K819" s="15" t="str">
        <f>IFERROR(__xludf.DUMMYFUNCTION("""COMPUTED_VALUE"""),"-")</f>
        <v>-</v>
      </c>
      <c r="L819" s="15" t="str">
        <f>IFERROR(__xludf.DUMMYFUNCTION("""COMPUTED_VALUE"""),"Normal")</f>
        <v>Normal</v>
      </c>
      <c r="M819" s="18" t="s">
        <v>48</v>
      </c>
      <c r="N819" s="18" t="s">
        <v>28</v>
      </c>
    </row>
    <row r="820" hidden="1">
      <c r="A820" s="15" t="str">
        <f>IFERROR(__xludf.DUMMYFUNCTION("""COMPUTED_VALUE"""),"MRNBR0076")</f>
        <v>MRNBR0076</v>
      </c>
      <c r="B820" s="16">
        <f>IFERROR(__xludf.DUMMYFUNCTION("""COMPUTED_VALUE"""),45945.2732487963)</f>
        <v>45945.27325</v>
      </c>
      <c r="C820" s="17">
        <f>IFERROR(__xludf.DUMMYFUNCTION("""COMPUTED_VALUE"""),45947.89270149305)</f>
        <v>45947.8927</v>
      </c>
      <c r="D820" s="15" t="str">
        <f>IFERROR(__xludf.DUMMYFUNCTION("""COMPUTED_VALUE"""),"EF C1-3")</f>
        <v>EF C1-3</v>
      </c>
      <c r="E820" s="15" t="str">
        <f>IFERROR(__xludf.DUMMYFUNCTION("""COMPUTED_VALUE"""),"EJO/2025/08/191")</f>
        <v>EJO/2025/08/191</v>
      </c>
      <c r="F820" s="15" t="str">
        <f>IFERROR(__xludf.DUMMYFUNCTION("""COMPUTED_VALUE"""),"Motorize valve")</f>
        <v>Motorize valve</v>
      </c>
      <c r="G820" s="15">
        <f>IFERROR(__xludf.DUMMYFUNCTION("""COMPUTED_VALUE"""),1.0)</f>
        <v>1</v>
      </c>
      <c r="H820" s="15" t="str">
        <f>IFERROR(__xludf.DUMMYFUNCTION("""COMPUTED_VALUE"""),"pcs")</f>
        <v>pcs</v>
      </c>
      <c r="I820" s="15" t="str">
        <f>IFERROR(__xludf.DUMMYFUNCTION("""COMPUTED_VALUE"""),"Deliver")</f>
        <v>Deliver</v>
      </c>
      <c r="J820" s="15" t="str">
        <f>IFERROR(__xludf.DUMMYFUNCTION("""COMPUTED_VALUE"""),"121704008 - APPROVED")</f>
        <v>121704008 - APPROVED</v>
      </c>
      <c r="K820" s="15" t="str">
        <f>IFERROR(__xludf.DUMMYFUNCTION("""COMPUTED_VALUE"""),"GL2605332")</f>
        <v>GL2605332</v>
      </c>
      <c r="L820" s="15" t="str">
        <f>IFERROR(__xludf.DUMMYFUNCTION("""COMPUTED_VALUE"""),"Normal")</f>
        <v>Normal</v>
      </c>
      <c r="M820" s="18" t="s">
        <v>48</v>
      </c>
      <c r="N820" s="18" t="s">
        <v>28</v>
      </c>
    </row>
    <row r="821" hidden="1">
      <c r="A821" s="15" t="str">
        <f>IFERROR(__xludf.DUMMYFUNCTION("""COMPUTED_VALUE"""),"MRNBR0077")</f>
        <v>MRNBR0077</v>
      </c>
      <c r="B821" s="16">
        <f>IFERROR(__xludf.DUMMYFUNCTION("""COMPUTED_VALUE"""),45946.302757708334)</f>
        <v>45946.30276</v>
      </c>
      <c r="C821" s="17">
        <f>IFERROR(__xludf.DUMMYFUNCTION("""COMPUTED_VALUE"""),45947.9032684375)</f>
        <v>45947.90327</v>
      </c>
      <c r="D821" s="15" t="str">
        <f>IFERROR(__xludf.DUMMYFUNCTION("""COMPUTED_VALUE"""),"Dehum")</f>
        <v>Dehum</v>
      </c>
      <c r="E821" s="15" t="str">
        <f>IFERROR(__xludf.DUMMYFUNCTION("""COMPUTED_VALUE"""),"EJO/2025/10/95")</f>
        <v>EJO/2025/10/95</v>
      </c>
      <c r="F821" s="15" t="str">
        <f>IFERROR(__xludf.DUMMYFUNCTION("""COMPUTED_VALUE"""),"Bag filter")</f>
        <v>Bag filter</v>
      </c>
      <c r="G821" s="15">
        <f>IFERROR(__xludf.DUMMYFUNCTION("""COMPUTED_VALUE"""),2.0)</f>
        <v>2</v>
      </c>
      <c r="H821" s="15" t="str">
        <f>IFERROR(__xludf.DUMMYFUNCTION("""COMPUTED_VALUE"""),"pcs")</f>
        <v>pcs</v>
      </c>
      <c r="I821" s="15" t="str">
        <f>IFERROR(__xludf.DUMMYFUNCTION("""COMPUTED_VALUE"""),"Deliver")</f>
        <v>Deliver</v>
      </c>
      <c r="J821" s="15" t="str">
        <f>IFERROR(__xludf.DUMMYFUNCTION("""COMPUTED_VALUE"""),"121703823 - APPROVED")</f>
        <v>121703823 - APPROVED</v>
      </c>
      <c r="K821" s="15" t="str">
        <f>IFERROR(__xludf.DUMMYFUNCTION("""COMPUTED_VALUE"""),"GL2602408")</f>
        <v>GL2602408</v>
      </c>
      <c r="L821" s="15" t="str">
        <f>IFERROR(__xludf.DUMMYFUNCTION("""COMPUTED_VALUE"""),"Normal")</f>
        <v>Normal</v>
      </c>
      <c r="M821" s="18" t="s">
        <v>48</v>
      </c>
      <c r="N821" s="18" t="s">
        <v>28</v>
      </c>
    </row>
    <row r="822" hidden="1">
      <c r="A822" s="15" t="str">
        <f>IFERROR(__xludf.DUMMYFUNCTION("""COMPUTED_VALUE"""),"MRNBR0078")</f>
        <v>MRNBR0078</v>
      </c>
      <c r="B822" s="16">
        <f>IFERROR(__xludf.DUMMYFUNCTION("""COMPUTED_VALUE"""),45946.30447243056)</f>
        <v>45946.30447</v>
      </c>
      <c r="C822" s="17">
        <f>IFERROR(__xludf.DUMMYFUNCTION("""COMPUTED_VALUE"""),45947.903467025455)</f>
        <v>45947.90347</v>
      </c>
      <c r="D822" s="15" t="str">
        <f>IFERROR(__xludf.DUMMYFUNCTION("""COMPUTED_VALUE"""),"Dehum")</f>
        <v>Dehum</v>
      </c>
      <c r="E822" s="15" t="str">
        <f>IFERROR(__xludf.DUMMYFUNCTION("""COMPUTED_VALUE"""),"EJO/2025/10/95")</f>
        <v>EJO/2025/10/95</v>
      </c>
      <c r="F822" s="15" t="str">
        <f>IFERROR(__xludf.DUMMYFUNCTION("""COMPUTED_VALUE"""),"Bag filter")</f>
        <v>Bag filter</v>
      </c>
      <c r="G822" s="15">
        <f>IFERROR(__xludf.DUMMYFUNCTION("""COMPUTED_VALUE"""),2.0)</f>
        <v>2</v>
      </c>
      <c r="H822" s="15" t="str">
        <f>IFERROR(__xludf.DUMMYFUNCTION("""COMPUTED_VALUE"""),"pcs")</f>
        <v>pcs</v>
      </c>
      <c r="I822" s="15" t="str">
        <f>IFERROR(__xludf.DUMMYFUNCTION("""COMPUTED_VALUE"""),"Deliver")</f>
        <v>Deliver</v>
      </c>
      <c r="J822" s="15" t="str">
        <f>IFERROR(__xludf.DUMMYFUNCTION("""COMPUTED_VALUE"""),"121703823 - APPROVED")</f>
        <v>121703823 - APPROVED</v>
      </c>
      <c r="K822" s="15" t="str">
        <f>IFERROR(__xludf.DUMMYFUNCTION("""COMPUTED_VALUE"""),"GL2602408")</f>
        <v>GL2602408</v>
      </c>
      <c r="L822" s="15" t="str">
        <f>IFERROR(__xludf.DUMMYFUNCTION("""COMPUTED_VALUE"""),"Normal")</f>
        <v>Normal</v>
      </c>
      <c r="M822" s="18" t="s">
        <v>48</v>
      </c>
      <c r="N822" s="18" t="s">
        <v>28</v>
      </c>
    </row>
    <row r="823" hidden="1">
      <c r="A823" s="15" t="str">
        <f>IFERROR(__xludf.DUMMYFUNCTION("""COMPUTED_VALUE"""),"RIABR0109")</f>
        <v>RIABR0109</v>
      </c>
      <c r="B823" s="16">
        <f>IFERROR(__xludf.DUMMYFUNCTION("""COMPUTED_VALUE"""),45945.34417518518)</f>
        <v>45945.34418</v>
      </c>
      <c r="C823" s="17">
        <f>IFERROR(__xludf.DUMMYFUNCTION("""COMPUTED_VALUE"""),45947.90372144675)</f>
        <v>45947.90372</v>
      </c>
      <c r="D823" s="15" t="str">
        <f>IFERROR(__xludf.DUMMYFUNCTION("""COMPUTED_VALUE"""),"WWTP")</f>
        <v>WWTP</v>
      </c>
      <c r="E823" s="15" t="str">
        <f>IFERROR(__xludf.DUMMYFUNCTION("""COMPUTED_VALUE"""),"EJO/2025/10/40")</f>
        <v>EJO/2025/10/40</v>
      </c>
      <c r="F823" s="15" t="str">
        <f>IFERROR(__xludf.DUMMYFUNCTION("""COMPUTED_VALUE"""),"Level Switch")</f>
        <v>Level Switch</v>
      </c>
      <c r="G823" s="15">
        <f>IFERROR(__xludf.DUMMYFUNCTION("""COMPUTED_VALUE"""),1.0)</f>
        <v>1</v>
      </c>
      <c r="H823" s="15" t="str">
        <f>IFERROR(__xludf.DUMMYFUNCTION("""COMPUTED_VALUE"""),"Set")</f>
        <v>Set</v>
      </c>
      <c r="I823" s="15" t="str">
        <f>IFERROR(__xludf.DUMMYFUNCTION("""COMPUTED_VALUE"""),"Deliver")</f>
        <v>Deliver</v>
      </c>
      <c r="J823" s="15" t="str">
        <f>IFERROR(__xludf.DUMMYFUNCTION("""COMPUTED_VALUE"""),"-")</f>
        <v>-</v>
      </c>
      <c r="K823" s="15" t="str">
        <f>IFERROR(__xludf.DUMMYFUNCTION("""COMPUTED_VALUE"""),"-")</f>
        <v>-</v>
      </c>
      <c r="L823" s="15" t="str">
        <f>IFERROR(__xludf.DUMMYFUNCTION("""COMPUTED_VALUE"""),"Normal")</f>
        <v>Normal</v>
      </c>
      <c r="M823" s="18" t="s">
        <v>32</v>
      </c>
      <c r="N823" s="18" t="s">
        <v>28</v>
      </c>
    </row>
    <row r="824" hidden="1">
      <c r="A824" s="15" t="str">
        <f>IFERROR(__xludf.DUMMYFUNCTION("""COMPUTED_VALUE"""),"RIABR0110")</f>
        <v>RIABR0110</v>
      </c>
      <c r="B824" s="16">
        <f>IFERROR(__xludf.DUMMYFUNCTION("""COMPUTED_VALUE"""),45945.346454374994)</f>
        <v>45945.34645</v>
      </c>
      <c r="C824" s="17">
        <f>IFERROR(__xludf.DUMMYFUNCTION("""COMPUTED_VALUE"""),45947.90399125)</f>
        <v>45947.90399</v>
      </c>
      <c r="D824" s="15" t="str">
        <f>IFERROR(__xludf.DUMMYFUNCTION("""COMPUTED_VALUE"""),"Lift")</f>
        <v>Lift</v>
      </c>
      <c r="E824" s="15" t="str">
        <f>IFERROR(__xludf.DUMMYFUNCTION("""COMPUTED_VALUE"""),"EJO/2025/10/110")</f>
        <v>EJO/2025/10/110</v>
      </c>
      <c r="F824" s="15" t="str">
        <f>IFERROR(__xludf.DUMMYFUNCTION("""COMPUTED_VALUE"""),"Tombol")</f>
        <v>Tombol</v>
      </c>
      <c r="G824" s="15">
        <f>IFERROR(__xludf.DUMMYFUNCTION("""COMPUTED_VALUE"""),1.0)</f>
        <v>1</v>
      </c>
      <c r="H824" s="15" t="str">
        <f>IFERROR(__xludf.DUMMYFUNCTION("""COMPUTED_VALUE"""),"Set")</f>
        <v>Set</v>
      </c>
      <c r="I824" s="15" t="str">
        <f>IFERROR(__xludf.DUMMYFUNCTION("""COMPUTED_VALUE"""),"Deliver")</f>
        <v>Deliver</v>
      </c>
      <c r="J824" s="15" t="str">
        <f>IFERROR(__xludf.DUMMYFUNCTION("""COMPUTED_VALUE"""),"121703640 - APPROVED")</f>
        <v>121703640 - APPROVED</v>
      </c>
      <c r="K824" s="15" t="str">
        <f>IFERROR(__xludf.DUMMYFUNCTION("""COMPUTED_VALUE"""),"GL2602042")</f>
        <v>GL2602042</v>
      </c>
      <c r="L824" s="15" t="str">
        <f>IFERROR(__xludf.DUMMYFUNCTION("""COMPUTED_VALUE"""),"Normal")</f>
        <v>Normal</v>
      </c>
      <c r="M824" s="18" t="s">
        <v>32</v>
      </c>
      <c r="N824" s="18" t="s">
        <v>28</v>
      </c>
    </row>
    <row r="825" hidden="1">
      <c r="A825" s="15" t="str">
        <f>IFERROR(__xludf.DUMMYFUNCTION("""COMPUTED_VALUE"""),"MRNBR0080")</f>
        <v>MRNBR0080</v>
      </c>
      <c r="B825" s="16">
        <f>IFERROR(__xludf.DUMMYFUNCTION("""COMPUTED_VALUE"""),45947.24364872685)</f>
        <v>45947.24365</v>
      </c>
      <c r="C825" s="17">
        <f>IFERROR(__xludf.DUMMYFUNCTION("""COMPUTED_VALUE"""),45951.44216528935)</f>
        <v>45951.44217</v>
      </c>
      <c r="D825" s="15" t="str">
        <f>IFERROR(__xludf.DUMMYFUNCTION("""COMPUTED_VALUE"""),"AHU")</f>
        <v>AHU</v>
      </c>
      <c r="E825" s="15" t="str">
        <f>IFERROR(__xludf.DUMMYFUNCTION("""COMPUTED_VALUE"""),"EJO/2025/08/165")</f>
        <v>EJO/2025/08/165</v>
      </c>
      <c r="F825" s="15" t="str">
        <f>IFERROR(__xludf.DUMMYFUNCTION("""COMPUTED_VALUE"""),"Cat semprot")</f>
        <v>Cat semprot</v>
      </c>
      <c r="G825" s="15">
        <f>IFERROR(__xludf.DUMMYFUNCTION("""COMPUTED_VALUE"""),10.0)</f>
        <v>10</v>
      </c>
      <c r="H825" s="15" t="str">
        <f>IFERROR(__xludf.DUMMYFUNCTION("""COMPUTED_VALUE"""),"pcs")</f>
        <v>pcs</v>
      </c>
      <c r="I825" s="15" t="str">
        <f>IFERROR(__xludf.DUMMYFUNCTION("""COMPUTED_VALUE"""),"Deliver")</f>
        <v>Deliver</v>
      </c>
      <c r="J825" s="15" t="str">
        <f>IFERROR(__xludf.DUMMYFUNCTION("""COMPUTED_VALUE"""),"121703830 - APPROVED")</f>
        <v>121703830 - APPROVED</v>
      </c>
      <c r="K825" s="15" t="str">
        <f>IFERROR(__xludf.DUMMYFUNCTION("""COMPUTED_VALUE"""),"GL2604040")</f>
        <v>GL2604040</v>
      </c>
      <c r="L825" s="15" t="str">
        <f>IFERROR(__xludf.DUMMYFUNCTION("""COMPUTED_VALUE"""),"Normal")</f>
        <v>Normal</v>
      </c>
      <c r="M825" s="18" t="s">
        <v>48</v>
      </c>
      <c r="N825" s="18" t="s">
        <v>28</v>
      </c>
    </row>
    <row r="826" hidden="1">
      <c r="A826" s="15" t="str">
        <f>IFERROR(__xludf.DUMMYFUNCTION("""COMPUTED_VALUE"""),"MRNBR0081")</f>
        <v>MRNBR0081</v>
      </c>
      <c r="B826" s="16">
        <f>IFERROR(__xludf.DUMMYFUNCTION("""COMPUTED_VALUE"""),45947.24492538194)</f>
        <v>45947.24493</v>
      </c>
      <c r="C826" s="17">
        <f>IFERROR(__xludf.DUMMYFUNCTION("""COMPUTED_VALUE"""),45951.44234466435)</f>
        <v>45951.44234</v>
      </c>
      <c r="D826" s="15" t="str">
        <f>IFERROR(__xludf.DUMMYFUNCTION("""COMPUTED_VALUE"""),"AHU")</f>
        <v>AHU</v>
      </c>
      <c r="E826" s="15" t="str">
        <f>IFERROR(__xludf.DUMMYFUNCTION("""COMPUTED_VALUE"""),"EJO/2025/08/165")</f>
        <v>EJO/2025/08/165</v>
      </c>
      <c r="F826" s="15" t="str">
        <f>IFERROR(__xludf.DUMMYFUNCTION("""COMPUTED_VALUE"""),"Cat semprot")</f>
        <v>Cat semprot</v>
      </c>
      <c r="G826" s="15">
        <f>IFERROR(__xludf.DUMMYFUNCTION("""COMPUTED_VALUE"""),10.0)</f>
        <v>10</v>
      </c>
      <c r="H826" s="15" t="str">
        <f>IFERROR(__xludf.DUMMYFUNCTION("""COMPUTED_VALUE"""),"pcs")</f>
        <v>pcs</v>
      </c>
      <c r="I826" s="15" t="str">
        <f>IFERROR(__xludf.DUMMYFUNCTION("""COMPUTED_VALUE"""),"Deliver")</f>
        <v>Deliver</v>
      </c>
      <c r="J826" s="15" t="str">
        <f>IFERROR(__xludf.DUMMYFUNCTION("""COMPUTED_VALUE"""),"121703995 - APPROVED")</f>
        <v>121703995 - APPROVED</v>
      </c>
      <c r="K826" s="15" t="str">
        <f>IFERROR(__xludf.DUMMYFUNCTION("""COMPUTED_VALUE"""),"GL2604040")</f>
        <v>GL2604040</v>
      </c>
      <c r="L826" s="15" t="str">
        <f>IFERROR(__xludf.DUMMYFUNCTION("""COMPUTED_VALUE"""),"Normal")</f>
        <v>Normal</v>
      </c>
      <c r="M826" s="18" t="s">
        <v>48</v>
      </c>
      <c r="N826" s="18" t="s">
        <v>28</v>
      </c>
    </row>
    <row r="827" hidden="1">
      <c r="A827" s="15" t="str">
        <f>IFERROR(__xludf.DUMMYFUNCTION("""COMPUTED_VALUE"""),"MRNBR0082")</f>
        <v>MRNBR0082</v>
      </c>
      <c r="B827" s="16">
        <f>IFERROR(__xludf.DUMMYFUNCTION("""COMPUTED_VALUE"""),45947.25592511574)</f>
        <v>45947.25593</v>
      </c>
      <c r="C827" s="17">
        <f>IFERROR(__xludf.DUMMYFUNCTION("""COMPUTED_VALUE"""),45951.44265549769)</f>
        <v>45951.44266</v>
      </c>
      <c r="D827" s="15" t="str">
        <f>IFERROR(__xludf.DUMMYFUNCTION("""COMPUTED_VALUE"""),"AHU")</f>
        <v>AHU</v>
      </c>
      <c r="E827" s="15" t="str">
        <f>IFERROR(__xludf.DUMMYFUNCTION("""COMPUTED_VALUE"""),"EJO/2025/08/165")</f>
        <v>EJO/2025/08/165</v>
      </c>
      <c r="F827" s="15" t="str">
        <f>IFERROR(__xludf.DUMMYFUNCTION("""COMPUTED_VALUE"""),"sikat kawat")</f>
        <v>sikat kawat</v>
      </c>
      <c r="G827" s="15">
        <f>IFERROR(__xludf.DUMMYFUNCTION("""COMPUTED_VALUE"""),1.0)</f>
        <v>1</v>
      </c>
      <c r="H827" s="15" t="str">
        <f>IFERROR(__xludf.DUMMYFUNCTION("""COMPUTED_VALUE"""),"pack")</f>
        <v>pack</v>
      </c>
      <c r="I827" s="15" t="str">
        <f>IFERROR(__xludf.DUMMYFUNCTION("""COMPUTED_VALUE"""),"Deliver")</f>
        <v>Deliver</v>
      </c>
      <c r="J827" s="15" t="str">
        <f>IFERROR(__xludf.DUMMYFUNCTION("""COMPUTED_VALUE"""),"121704162 - APPROVED")</f>
        <v>121704162 - APPROVED</v>
      </c>
      <c r="K827" s="15" t="str">
        <f>IFERROR(__xludf.DUMMYFUNCTION("""COMPUTED_VALUE"""),"GL2605332")</f>
        <v>GL2605332</v>
      </c>
      <c r="L827" s="15" t="str">
        <f>IFERROR(__xludf.DUMMYFUNCTION("""COMPUTED_VALUE"""),"Normal")</f>
        <v>Normal</v>
      </c>
      <c r="M827" s="18" t="s">
        <v>48</v>
      </c>
      <c r="N827" s="18" t="s">
        <v>28</v>
      </c>
    </row>
    <row r="828" hidden="1">
      <c r="A828" s="15" t="str">
        <f>IFERROR(__xludf.DUMMYFUNCTION("""COMPUTED_VALUE"""),"MOBRO0064")</f>
        <v>MOBRO0064</v>
      </c>
      <c r="B828" s="16">
        <f>IFERROR(__xludf.DUMMYFUNCTION("""COMPUTED_VALUE"""),45947.654087407405)</f>
        <v>45947.65409</v>
      </c>
      <c r="C828" s="17">
        <f>IFERROR(__xludf.DUMMYFUNCTION("""COMPUTED_VALUE"""),45951.443867256945)</f>
        <v>45951.44387</v>
      </c>
      <c r="D828" s="15" t="str">
        <f>IFERROR(__xludf.DUMMYFUNCTION("""COMPUTED_VALUE"""),"Universal")</f>
        <v>Universal</v>
      </c>
      <c r="E828" s="15" t="str">
        <f>IFERROR(__xludf.DUMMYFUNCTION("""COMPUTED_VALUE"""),"EJO/2025/10/65")</f>
        <v>EJO/2025/10/65</v>
      </c>
      <c r="F828" s="15" t="str">
        <f>IFERROR(__xludf.DUMMYFUNCTION("""COMPUTED_VALUE"""),"General - Socket RJ45 Cat 6; Belden; -; 50pcs/pack")</f>
        <v>General - Socket RJ45 Cat 6; Belden; -; 50pcs/pack</v>
      </c>
      <c r="G828" s="21">
        <f>IFERROR(__xludf.DUMMYFUNCTION("""COMPUTED_VALUE"""),2.0)</f>
        <v>2</v>
      </c>
      <c r="H828" s="15" t="str">
        <f>IFERROR(__xludf.DUMMYFUNCTION("""COMPUTED_VALUE"""),"Box")</f>
        <v>Box</v>
      </c>
      <c r="I828" s="15" t="str">
        <f>IFERROR(__xludf.DUMMYFUNCTION("""COMPUTED_VALUE"""),"Deliver")</f>
        <v>Deliver</v>
      </c>
      <c r="J828" s="15" t="str">
        <f>IFERROR(__xludf.DUMMYFUNCTION("""COMPUTED_VALUE"""),"-")</f>
        <v>-</v>
      </c>
      <c r="K828" s="15" t="str">
        <f>IFERROR(__xludf.DUMMYFUNCTION("""COMPUTED_VALUE"""),"-")</f>
        <v>-</v>
      </c>
      <c r="L828" s="15" t="str">
        <f>IFERROR(__xludf.DUMMYFUNCTION("""COMPUTED_VALUE"""),"Normal")</f>
        <v>Normal</v>
      </c>
      <c r="M828" s="18" t="s">
        <v>31</v>
      </c>
      <c r="N828" s="18" t="s">
        <v>28</v>
      </c>
    </row>
    <row r="829" hidden="1">
      <c r="A829" s="15" t="str">
        <f>IFERROR(__xludf.DUMMYFUNCTION("""COMPUTED_VALUE"""),"INNBR0043")</f>
        <v>INNBR0043</v>
      </c>
      <c r="B829" s="16">
        <f>IFERROR(__xludf.DUMMYFUNCTION("""COMPUTED_VALUE"""),45946.95129831019)</f>
        <v>45946.9513</v>
      </c>
      <c r="C829" s="17">
        <f>IFERROR(__xludf.DUMMYFUNCTION("""COMPUTED_VALUE"""),45951.453269826394)</f>
        <v>45951.45327</v>
      </c>
      <c r="D829" s="15" t="str">
        <f>IFERROR(__xludf.DUMMYFUNCTION("""COMPUTED_VALUE"""),"Filling ")</f>
        <v>Filling </v>
      </c>
      <c r="E829" s="15" t="str">
        <f>IFERROR(__xludf.DUMMYFUNCTION("""COMPUTED_VALUE"""),"EJO/2025/10/69")</f>
        <v>EJO/2025/10/69</v>
      </c>
      <c r="F829" s="15" t="str">
        <f>IFERROR(__xludf.DUMMYFUNCTION("""COMPUTED_VALUE"""),"Female connector, M8, 4-pin, straight, A-coded DOS-0804-G p/n:  6009974 SICK")</f>
        <v>Female connector, M8, 4-pin, straight, A-coded DOS-0804-G p/n:  6009974 SICK</v>
      </c>
      <c r="G829" s="15">
        <f>IFERROR(__xludf.DUMMYFUNCTION("""COMPUTED_VALUE"""),2.0)</f>
        <v>2</v>
      </c>
      <c r="H829" s="15" t="str">
        <f>IFERROR(__xludf.DUMMYFUNCTION("""COMPUTED_VALUE"""),"Pcs")</f>
        <v>Pcs</v>
      </c>
      <c r="I829" s="15" t="str">
        <f>IFERROR(__xludf.DUMMYFUNCTION("""COMPUTED_VALUE"""),"Deliver")</f>
        <v>Deliver</v>
      </c>
      <c r="J829" s="15" t="str">
        <f>IFERROR(__xludf.DUMMYFUNCTION("""COMPUTED_VALUE"""),"-")</f>
        <v>-</v>
      </c>
      <c r="K829" s="15" t="str">
        <f>IFERROR(__xludf.DUMMYFUNCTION("""COMPUTED_VALUE"""),"-")</f>
        <v>-</v>
      </c>
      <c r="L829" s="15" t="str">
        <f>IFERROR(__xludf.DUMMYFUNCTION("""COMPUTED_VALUE"""),"Normal")</f>
        <v>Normal</v>
      </c>
      <c r="M829" s="18" t="s">
        <v>51</v>
      </c>
      <c r="N829" s="18" t="s">
        <v>30</v>
      </c>
    </row>
    <row r="830" hidden="1">
      <c r="A830" s="15" t="str">
        <f>IFERROR(__xludf.DUMMYFUNCTION("""COMPUTED_VALUE"""),"INNBR0044")</f>
        <v>INNBR0044</v>
      </c>
      <c r="B830" s="16">
        <f>IFERROR(__xludf.DUMMYFUNCTION("""COMPUTED_VALUE"""),45947.992890486115)</f>
        <v>45947.99289</v>
      </c>
      <c r="C830" s="17">
        <f>IFERROR(__xludf.DUMMYFUNCTION("""COMPUTED_VALUE"""),45951.453942685184)</f>
        <v>45951.45394</v>
      </c>
      <c r="D830" s="15" t="str">
        <f>IFERROR(__xludf.DUMMYFUNCTION("""COMPUTED_VALUE"""),"VideoJet")</f>
        <v>VideoJet</v>
      </c>
      <c r="E830" s="15" t="str">
        <f>IFERROR(__xludf.DUMMYFUNCTION("""COMPUTED_VALUE"""),"Na")</f>
        <v>Na</v>
      </c>
      <c r="F830" s="15" t="str">
        <f>IFERROR(__xludf.DUMMYFUNCTION("""COMPUTED_VALUE"""),"Gutter Pump P/N: 399-171")</f>
        <v>Gutter Pump P/N: 399-171</v>
      </c>
      <c r="G830" s="15">
        <f>IFERROR(__xludf.DUMMYFUNCTION("""COMPUTED_VALUE"""),1.0)</f>
        <v>1</v>
      </c>
      <c r="H830" s="15" t="str">
        <f>IFERROR(__xludf.DUMMYFUNCTION("""COMPUTED_VALUE"""),"Unit")</f>
        <v>Unit</v>
      </c>
      <c r="I830" s="15" t="str">
        <f>IFERROR(__xludf.DUMMYFUNCTION("""COMPUTED_VALUE"""),"Deliver")</f>
        <v>Deliver</v>
      </c>
      <c r="J830" s="15" t="str">
        <f>IFERROR(__xludf.DUMMYFUNCTION("""COMPUTED_VALUE"""),"-")</f>
        <v>-</v>
      </c>
      <c r="K830" s="15" t="str">
        <f>IFERROR(__xludf.DUMMYFUNCTION("""COMPUTED_VALUE"""),"-")</f>
        <v>-</v>
      </c>
      <c r="L830" s="15" t="str">
        <f>IFERROR(__xludf.DUMMYFUNCTION("""COMPUTED_VALUE"""),"Normal")</f>
        <v>Normal</v>
      </c>
      <c r="M830" s="18" t="s">
        <v>51</v>
      </c>
      <c r="N830" s="18" t="s">
        <v>30</v>
      </c>
    </row>
    <row r="831" hidden="1">
      <c r="A831" s="15" t="str">
        <f>IFERROR(__xludf.DUMMYFUNCTION("""COMPUTED_VALUE"""),"INNRO0008")</f>
        <v>INNRO0008</v>
      </c>
      <c r="B831" s="16">
        <f>IFERROR(__xludf.DUMMYFUNCTION("""COMPUTED_VALUE"""),45945.835900659724)</f>
        <v>45945.8359</v>
      </c>
      <c r="C831" s="17">
        <f>IFERROR(__xludf.DUMMYFUNCTION("""COMPUTED_VALUE"""),45951.454341122684)</f>
        <v>45951.45434</v>
      </c>
      <c r="D831" s="15" t="str">
        <f>IFERROR(__xludf.DUMMYFUNCTION("""COMPUTED_VALUE"""),"Autoclave")</f>
        <v>Autoclave</v>
      </c>
      <c r="E831" s="15" t="str">
        <f>IFERROR(__xludf.DUMMYFUNCTION("""COMPUTED_VALUE"""),"-")</f>
        <v>-</v>
      </c>
      <c r="F831" s="15" t="str">
        <f>IFERROR(__xludf.DUMMYFUNCTION("""COMPUTED_VALUE"""),"Autoclave Fedegari FOF / 6 AC - Kit DN22 Valve Mod; p/n: KK000310; ; ;")</f>
        <v>Autoclave Fedegari FOF / 6 AC - Kit DN22 Valve Mod; p/n: KK000310; ; ;</v>
      </c>
      <c r="G831" s="15">
        <f>IFERROR(__xludf.DUMMYFUNCTION("""COMPUTED_VALUE"""),8.0)</f>
        <v>8</v>
      </c>
      <c r="H831" s="15" t="str">
        <f>IFERROR(__xludf.DUMMYFUNCTION("""COMPUTED_VALUE"""),"Pcs")</f>
        <v>Pcs</v>
      </c>
      <c r="I831" s="15" t="str">
        <f>IFERROR(__xludf.DUMMYFUNCTION("""COMPUTED_VALUE"""),"Deliver")</f>
        <v>Deliver</v>
      </c>
      <c r="J831" s="15" t="str">
        <f>IFERROR(__xludf.DUMMYFUNCTION("""COMPUTED_VALUE"""),"121703551 - APPROVED")</f>
        <v>121703551 - APPROVED</v>
      </c>
      <c r="K831" s="15" t="str">
        <f>IFERROR(__xludf.DUMMYFUNCTION("""COMPUTED_VALUE"""),"GL2511305")</f>
        <v>GL2511305</v>
      </c>
      <c r="L831" s="15" t="str">
        <f>IFERROR(__xludf.DUMMYFUNCTION("""COMPUTED_VALUE"""),"Normal")</f>
        <v>Normal</v>
      </c>
      <c r="M831" s="18" t="s">
        <v>51</v>
      </c>
      <c r="N831" s="18" t="s">
        <v>30</v>
      </c>
    </row>
    <row r="832" hidden="1">
      <c r="A832" s="15" t="str">
        <f>IFERROR(__xludf.DUMMYFUNCTION("""COMPUTED_VALUE"""),"ANOBR0038")</f>
        <v>ANOBR0038</v>
      </c>
      <c r="B832" s="16">
        <f>IFERROR(__xludf.DUMMYFUNCTION("""COMPUTED_VALUE"""),45946.367363344914)</f>
        <v>45946.36736</v>
      </c>
      <c r="C832" s="17">
        <f>IFERROR(__xludf.DUMMYFUNCTION("""COMPUTED_VALUE"""),45951.45635818288)</f>
        <v>45951.45636</v>
      </c>
      <c r="D832" s="15" t="str">
        <f>IFERROR(__xludf.DUMMYFUNCTION("""COMPUTED_VALUE"""),"mixing tank")</f>
        <v>mixing tank</v>
      </c>
      <c r="E832" s="15" t="str">
        <f>IFERROR(__xludf.DUMMYFUNCTION("""COMPUTED_VALUE"""),"-")</f>
        <v>-</v>
      </c>
      <c r="F832" s="15" t="str">
        <f>IFERROR(__xludf.DUMMYFUNCTION("""COMPUTED_VALUE"""),"vesel light MV60")</f>
        <v>vesel light MV60</v>
      </c>
      <c r="G832" s="15">
        <f>IFERROR(__xludf.DUMMYFUNCTION("""COMPUTED_VALUE"""),5.0)</f>
        <v>5</v>
      </c>
      <c r="H832" s="15" t="str">
        <f>IFERROR(__xludf.DUMMYFUNCTION("""COMPUTED_VALUE"""),"pcs")</f>
        <v>pcs</v>
      </c>
      <c r="I832" s="15" t="str">
        <f>IFERROR(__xludf.DUMMYFUNCTION("""COMPUTED_VALUE"""),"Deliver")</f>
        <v>Deliver</v>
      </c>
      <c r="J832" s="15" t="str">
        <f>IFERROR(__xludf.DUMMYFUNCTION("""COMPUTED_VALUE"""),"121704047 - APPROVED")</f>
        <v>121704047 - APPROVED</v>
      </c>
      <c r="K832" s="15" t="str">
        <f>IFERROR(__xludf.DUMMYFUNCTION("""COMPUTED_VALUE"""),"GL2604492")</f>
        <v>GL2604492</v>
      </c>
      <c r="L832" s="15" t="str">
        <f>IFERROR(__xludf.DUMMYFUNCTION("""COMPUTED_VALUE"""),"Normal")</f>
        <v>Normal</v>
      </c>
      <c r="M832" s="18" t="s">
        <v>49</v>
      </c>
      <c r="N832" s="18" t="s">
        <v>30</v>
      </c>
    </row>
    <row r="833" hidden="1">
      <c r="A833" s="15" t="str">
        <f>IFERROR(__xludf.DUMMYFUNCTION("""COMPUTED_VALUE"""),"ANOBR0039")</f>
        <v>ANOBR0039</v>
      </c>
      <c r="B833" s="16">
        <f>IFERROR(__xludf.DUMMYFUNCTION("""COMPUTED_VALUE"""),45950.68093871528)</f>
        <v>45950.68094</v>
      </c>
      <c r="C833" s="17">
        <f>IFERROR(__xludf.DUMMYFUNCTION("""COMPUTED_VALUE"""),45951.45684857639)</f>
        <v>45951.45685</v>
      </c>
      <c r="D833" s="15" t="str">
        <f>IFERROR(__xludf.DUMMYFUNCTION("""COMPUTED_VALUE"""),"Dispensing isolator OSD")</f>
        <v>Dispensing isolator OSD</v>
      </c>
      <c r="E833" s="15" t="str">
        <f>IFERROR(__xludf.DUMMYFUNCTION("""COMPUTED_VALUE"""),"EJO/2025/10/61")</f>
        <v>EJO/2025/10/61</v>
      </c>
      <c r="F833" s="15" t="str">
        <f>IFERROR(__xludf.DUMMYFUNCTION("""COMPUTED_VALUE"""),"Cover sensor RH")</f>
        <v>Cover sensor RH</v>
      </c>
      <c r="G833" s="15">
        <f>IFERROR(__xludf.DUMMYFUNCTION("""COMPUTED_VALUE"""),1.0)</f>
        <v>1</v>
      </c>
      <c r="H833" s="15" t="str">
        <f>IFERROR(__xludf.DUMMYFUNCTION("""COMPUTED_VALUE"""),"PCS")</f>
        <v>PCS</v>
      </c>
      <c r="I833" s="15" t="str">
        <f>IFERROR(__xludf.DUMMYFUNCTION("""COMPUTED_VALUE"""),"Deliver")</f>
        <v>Deliver</v>
      </c>
      <c r="J833" s="15" t="str">
        <f>IFERROR(__xludf.DUMMYFUNCTION("""COMPUTED_VALUE"""),"121703466 - APPROVED")</f>
        <v>121703466 - APPROVED</v>
      </c>
      <c r="K833" s="15" t="str">
        <f>IFERROR(__xludf.DUMMYFUNCTION("""COMPUTED_VALUE"""),"GL2511054")</f>
        <v>GL2511054</v>
      </c>
      <c r="L833" s="15" t="str">
        <f>IFERROR(__xludf.DUMMYFUNCTION("""COMPUTED_VALUE"""),"Normal")</f>
        <v>Normal</v>
      </c>
      <c r="M833" s="18" t="s">
        <v>49</v>
      </c>
      <c r="N833" s="18" t="s">
        <v>30</v>
      </c>
    </row>
    <row r="834" hidden="1">
      <c r="A834" s="15" t="str">
        <f>IFERROR(__xludf.DUMMYFUNCTION("""COMPUTED_VALUE"""),"ROSRO0012")</f>
        <v>ROSRO0012</v>
      </c>
      <c r="B834" s="16">
        <f>IFERROR(__xludf.DUMMYFUNCTION("""COMPUTED_VALUE"""),45946.906290810184)</f>
        <v>45946.90629</v>
      </c>
      <c r="C834" s="17">
        <f>IFERROR(__xludf.DUMMYFUNCTION("""COMPUTED_VALUE"""),45951.457822523145)</f>
        <v>45951.45782</v>
      </c>
      <c r="D834" s="15" t="str">
        <f>IFERROR(__xludf.DUMMYFUNCTION("""COMPUTED_VALUE"""),"autoclave fedegari")</f>
        <v>autoclave fedegari</v>
      </c>
      <c r="E834" s="15" t="str">
        <f>IFERROR(__xludf.DUMMYFUNCTION("""COMPUTED_VALUE"""),"-")</f>
        <v>-</v>
      </c>
      <c r="F834" s="15" t="str">
        <f>IFERROR(__xludf.DUMMYFUNCTION("""COMPUTED_VALUE"""),"Autoclave Fedegari FVA2/A1 NB2963AT - KIT Ricambi Valv. DN10 ON-OFF FEDEGARI ASIA PTE LTD P/N : KS000025 pc")</f>
        <v>Autoclave Fedegari FVA2/A1 NB2963AT - KIT Ricambi Valv. DN10 ON-OFF FEDEGARI ASIA PTE LTD P/N : KS000025 pc</v>
      </c>
      <c r="G834" s="15">
        <f>IFERROR(__xludf.DUMMYFUNCTION("""COMPUTED_VALUE"""),10.0)</f>
        <v>10</v>
      </c>
      <c r="H834" s="15" t="str">
        <f>IFERROR(__xludf.DUMMYFUNCTION("""COMPUTED_VALUE"""),"pcs")</f>
        <v>pcs</v>
      </c>
      <c r="I834" s="15" t="str">
        <f>IFERROR(__xludf.DUMMYFUNCTION("""COMPUTED_VALUE"""),"Deliver")</f>
        <v>Deliver</v>
      </c>
      <c r="J834" s="15" t="str">
        <f>IFERROR(__xludf.DUMMYFUNCTION("""COMPUTED_VALUE"""),"121703377 - APPROVED")</f>
        <v>121703377 - APPROVED</v>
      </c>
      <c r="K834" s="15" t="str">
        <f>IFERROR(__xludf.DUMMYFUNCTION("""COMPUTED_VALUE"""),"GL2511305")</f>
        <v>GL2511305</v>
      </c>
      <c r="L834" s="15" t="str">
        <f>IFERROR(__xludf.DUMMYFUNCTION("""COMPUTED_VALUE"""),"Normal")</f>
        <v>Normal</v>
      </c>
      <c r="M834" s="18" t="s">
        <v>29</v>
      </c>
      <c r="N834" s="18" t="s">
        <v>30</v>
      </c>
    </row>
    <row r="835" hidden="1">
      <c r="A835" s="15" t="str">
        <f>IFERROR(__xludf.DUMMYFUNCTION("""COMPUTED_VALUE"""),"MRNBR0083")</f>
        <v>MRNBR0083</v>
      </c>
      <c r="B835" s="16">
        <f>IFERROR(__xludf.DUMMYFUNCTION("""COMPUTED_VALUE"""),45947.25845518518)</f>
        <v>45947.25846</v>
      </c>
      <c r="C835" s="17">
        <f>IFERROR(__xludf.DUMMYFUNCTION("""COMPUTED_VALUE"""),45951.57243273148)</f>
        <v>45951.57243</v>
      </c>
      <c r="D835" s="15" t="str">
        <f>IFERROR(__xludf.DUMMYFUNCTION("""COMPUTED_VALUE"""),"AHU")</f>
        <v>AHU</v>
      </c>
      <c r="E835" s="15" t="str">
        <f>IFERROR(__xludf.DUMMYFUNCTION("""COMPUTED_VALUE"""),"EJO/2025/08/165")</f>
        <v>EJO/2025/08/165</v>
      </c>
      <c r="F835" s="15" t="str">
        <f>IFERROR(__xludf.DUMMYFUNCTION("""COMPUTED_VALUE"""),"Heat gun")</f>
        <v>Heat gun</v>
      </c>
      <c r="G835" s="15">
        <f>IFERROR(__xludf.DUMMYFUNCTION("""COMPUTED_VALUE"""),1.0)</f>
        <v>1</v>
      </c>
      <c r="H835" s="15" t="str">
        <f>IFERROR(__xludf.DUMMYFUNCTION("""COMPUTED_VALUE"""),"pcs")</f>
        <v>pcs</v>
      </c>
      <c r="I835" s="15" t="str">
        <f>IFERROR(__xludf.DUMMYFUNCTION("""COMPUTED_VALUE"""),"Approval PR")</f>
        <v>Approval PR</v>
      </c>
      <c r="J835" s="15" t="str">
        <f>IFERROR(__xludf.DUMMYFUNCTION("""COMPUTED_VALUE"""),"121704048 - INCOMPLETE")</f>
        <v>121704048 - INCOMPLETE</v>
      </c>
      <c r="K835" s="15" t="str">
        <f>IFERROR(__xludf.DUMMYFUNCTION("""COMPUTED_VALUE"""),"-")</f>
        <v>-</v>
      </c>
      <c r="L835" s="15" t="str">
        <f>IFERROR(__xludf.DUMMYFUNCTION("""COMPUTED_VALUE"""),"Normal")</f>
        <v>Normal</v>
      </c>
      <c r="M835" s="18" t="s">
        <v>48</v>
      </c>
      <c r="N835" s="18" t="s">
        <v>28</v>
      </c>
    </row>
    <row r="836" hidden="1">
      <c r="A836" s="15" t="str">
        <f>IFERROR(__xludf.DUMMYFUNCTION("""COMPUTED_VALUE"""),"SFHJA0003")</f>
        <v>SFHJA0003</v>
      </c>
      <c r="B836" s="16">
        <f>IFERROR(__xludf.DUMMYFUNCTION("""COMPUTED_VALUE"""),45951.90277759259)</f>
        <v>45951.90278</v>
      </c>
      <c r="C836" s="17">
        <f>IFERROR(__xludf.DUMMYFUNCTION("""COMPUTED_VALUE"""),45953.73769930555)</f>
        <v>45953.7377</v>
      </c>
      <c r="D836" s="15" t="str">
        <f>IFERROR(__xludf.DUMMYFUNCTION("""COMPUTED_VALUE"""),"Tangga produksi")</f>
        <v>Tangga produksi</v>
      </c>
      <c r="E836" s="15" t="str">
        <f>IFERROR(__xludf.DUMMYFUNCTION("""COMPUTED_VALUE"""),"EJO/2025/07/152")</f>
        <v>EJO/2025/07/152</v>
      </c>
      <c r="F836" s="15" t="str">
        <f>IFERROR(__xludf.DUMMYFUNCTION("""COMPUTED_VALUE"""),"pergantian glasbox yang pecah dan perbaikan nat yang retak retak")</f>
        <v>pergantian glasbox yang pecah dan perbaikan nat yang retak retak</v>
      </c>
      <c r="G836" s="15">
        <f>IFERROR(__xludf.DUMMYFUNCTION("""COMPUTED_VALUE"""),1.0)</f>
        <v>1</v>
      </c>
      <c r="H836" s="15" t="str">
        <f>IFERROR(__xludf.DUMMYFUNCTION("""COMPUTED_VALUE"""),"lot")</f>
        <v>lot</v>
      </c>
      <c r="I836" s="15" t="str">
        <f>IFERROR(__xludf.DUMMYFUNCTION("""COMPUTED_VALUE"""),"Approval PR")</f>
        <v>Approval PR</v>
      </c>
      <c r="J836" s="15" t="str">
        <f>IFERROR(__xludf.DUMMYFUNCTION("""COMPUTED_VALUE"""),"121703401 - INCOMPLETE")</f>
        <v>121703401 - INCOMPLETE</v>
      </c>
      <c r="K836" s="15" t="str">
        <f>IFERROR(__xludf.DUMMYFUNCTION("""COMPUTED_VALUE"""),"-")</f>
        <v>-</v>
      </c>
      <c r="L836" s="15" t="str">
        <f>IFERROR(__xludf.DUMMYFUNCTION("""COMPUTED_VALUE"""),"Normal")</f>
        <v>Normal</v>
      </c>
      <c r="M836" s="18" t="s">
        <v>27</v>
      </c>
      <c r="N836" s="18" t="s">
        <v>28</v>
      </c>
    </row>
    <row r="837" hidden="1">
      <c r="A837" s="15" t="str">
        <f>IFERROR(__xludf.DUMMYFUNCTION("""COMPUTED_VALUE"""),"SFHRO0027")</f>
        <v>SFHRO0027</v>
      </c>
      <c r="B837" s="16">
        <f>IFERROR(__xludf.DUMMYFUNCTION("""COMPUTED_VALUE"""),45951.93201094908)</f>
        <v>45951.93201</v>
      </c>
      <c r="C837" s="17">
        <f>IFERROR(__xludf.DUMMYFUNCTION("""COMPUTED_VALUE"""),45953.737928807874)</f>
        <v>45953.73793</v>
      </c>
      <c r="D837" s="15" t="str">
        <f>IFERROR(__xludf.DUMMYFUNCTION("""COMPUTED_VALUE"""),"lantai 2")</f>
        <v>lantai 2</v>
      </c>
      <c r="E837" s="15" t="str">
        <f>IFERROR(__xludf.DUMMYFUNCTION("""COMPUTED_VALUE"""),"-")</f>
        <v>-</v>
      </c>
      <c r="F837" s="15" t="str">
        <f>IFERROR(__xludf.DUMMYFUNCTION("""COMPUTED_VALUE"""),"Silicone Sealant;Silglaze;Type N10 White;pack size per pcs")</f>
        <v>Silicone Sealant;Silglaze;Type N10 White;pack size per pcs</v>
      </c>
      <c r="G837" s="15">
        <f>IFERROR(__xludf.DUMMYFUNCTION("""COMPUTED_VALUE"""),30.0)</f>
        <v>30</v>
      </c>
      <c r="H837" s="15" t="str">
        <f>IFERROR(__xludf.DUMMYFUNCTION("""COMPUTED_VALUE"""),"pcs")</f>
        <v>pcs</v>
      </c>
      <c r="I837" s="15" t="str">
        <f>IFERROR(__xludf.DUMMYFUNCTION("""COMPUTED_VALUE"""),"Deliver")</f>
        <v>Deliver</v>
      </c>
      <c r="J837" s="15" t="str">
        <f>IFERROR(__xludf.DUMMYFUNCTION("""COMPUTED_VALUE"""),"-")</f>
        <v>-</v>
      </c>
      <c r="K837" s="15" t="str">
        <f>IFERROR(__xludf.DUMMYFUNCTION("""COMPUTED_VALUE"""),"-")</f>
        <v>-</v>
      </c>
      <c r="L837" s="15" t="str">
        <f>IFERROR(__xludf.DUMMYFUNCTION("""COMPUTED_VALUE"""),"Normal")</f>
        <v>Normal</v>
      </c>
      <c r="M837" s="18" t="s">
        <v>27</v>
      </c>
      <c r="N837" s="18" t="s">
        <v>28</v>
      </c>
    </row>
    <row r="838" hidden="1">
      <c r="A838" s="15" t="str">
        <f>IFERROR(__xludf.DUMMYFUNCTION("""COMPUTED_VALUE"""),"SFHRO0028")</f>
        <v>SFHRO0028</v>
      </c>
      <c r="B838" s="16">
        <f>IFERROR(__xludf.DUMMYFUNCTION("""COMPUTED_VALUE"""),45954.74381146991)</f>
        <v>45954.74381</v>
      </c>
      <c r="C838" s="17">
        <f>IFERROR(__xludf.DUMMYFUNCTION("""COMPUTED_VALUE"""),45958.3936444213)</f>
        <v>45958.39364</v>
      </c>
      <c r="D838" s="15" t="str">
        <f>IFERROR(__xludf.DUMMYFUNCTION("""COMPUTED_VALUE"""),"lanati 1")</f>
        <v>lanati 1</v>
      </c>
      <c r="E838" s="15" t="str">
        <f>IFERROR(__xludf.DUMMYFUNCTION("""COMPUTED_VALUE"""),"-")</f>
        <v>-</v>
      </c>
      <c r="F838" s="15" t="str">
        <f>IFERROR(__xludf.DUMMYFUNCTION("""COMPUTED_VALUE"""),"Cat Durogloss DR-2000; Propan; Type Spiders Web 90YY 73/040; 0,9 L/can")</f>
        <v>Cat Durogloss DR-2000; Propan; Type Spiders Web 90YY 73/040; 0,9 L/can</v>
      </c>
      <c r="G838" s="15">
        <f>IFERROR(__xludf.DUMMYFUNCTION("""COMPUTED_VALUE"""),6.0)</f>
        <v>6</v>
      </c>
      <c r="H838" s="15" t="str">
        <f>IFERROR(__xludf.DUMMYFUNCTION("""COMPUTED_VALUE"""),"liter")</f>
        <v>liter</v>
      </c>
      <c r="I838" s="15" t="str">
        <f>IFERROR(__xludf.DUMMYFUNCTION("""COMPUTED_VALUE"""),"Deliver")</f>
        <v>Deliver</v>
      </c>
      <c r="J838" s="15" t="str">
        <f>IFERROR(__xludf.DUMMYFUNCTION("""COMPUTED_VALUE"""),"-")</f>
        <v>-</v>
      </c>
      <c r="K838" s="15" t="str">
        <f>IFERROR(__xludf.DUMMYFUNCTION("""COMPUTED_VALUE"""),"-")</f>
        <v>-</v>
      </c>
      <c r="L838" s="15" t="str">
        <f>IFERROR(__xludf.DUMMYFUNCTION("""COMPUTED_VALUE"""),"Normal")</f>
        <v>Normal</v>
      </c>
      <c r="M838" s="18" t="s">
        <v>27</v>
      </c>
      <c r="N838" s="18" t="s">
        <v>28</v>
      </c>
    </row>
    <row r="839" hidden="1">
      <c r="A839" s="15" t="str">
        <f>IFERROR(__xludf.DUMMYFUNCTION("""COMPUTED_VALUE"""),"SFHRO0029")</f>
        <v>SFHRO0029</v>
      </c>
      <c r="B839" s="16">
        <f>IFERROR(__xludf.DUMMYFUNCTION("""COMPUTED_VALUE"""),45954.8366171412)</f>
        <v>45954.83662</v>
      </c>
      <c r="C839" s="17">
        <f>IFERROR(__xludf.DUMMYFUNCTION("""COMPUTED_VALUE"""),45958.39422168981)</f>
        <v>45958.39422</v>
      </c>
      <c r="D839" s="15" t="str">
        <f>IFERROR(__xludf.DUMMYFUNCTION("""COMPUTED_VALUE"""),"Lantai 1")</f>
        <v>Lantai 1</v>
      </c>
      <c r="E839" s="15" t="str">
        <f>IFERROR(__xludf.DUMMYFUNCTION("""COMPUTED_VALUE"""),"-")</f>
        <v>-</v>
      </c>
      <c r="F839" s="15" t="str">
        <f>IFERROR(__xludf.DUMMYFUNCTION("""COMPUTED_VALUE"""),"Thinner Super End/Impala @ 1 Liter")</f>
        <v>Thinner Super End/Impala @ 1 Liter</v>
      </c>
      <c r="G839" s="15">
        <f>IFERROR(__xludf.DUMMYFUNCTION("""COMPUTED_VALUE"""),10.0)</f>
        <v>10</v>
      </c>
      <c r="H839" s="15" t="str">
        <f>IFERROR(__xludf.DUMMYFUNCTION("""COMPUTED_VALUE"""),"liter")</f>
        <v>liter</v>
      </c>
      <c r="I839" s="15" t="str">
        <f>IFERROR(__xludf.DUMMYFUNCTION("""COMPUTED_VALUE"""),"Deliver")</f>
        <v>Deliver</v>
      </c>
      <c r="J839" s="15" t="str">
        <f>IFERROR(__xludf.DUMMYFUNCTION("""COMPUTED_VALUE"""),"-")</f>
        <v>-</v>
      </c>
      <c r="K839" s="15" t="str">
        <f>IFERROR(__xludf.DUMMYFUNCTION("""COMPUTED_VALUE"""),"-")</f>
        <v>-</v>
      </c>
      <c r="L839" s="15" t="str">
        <f>IFERROR(__xludf.DUMMYFUNCTION("""COMPUTED_VALUE"""),"Normal")</f>
        <v>Normal</v>
      </c>
      <c r="M839" s="18" t="s">
        <v>27</v>
      </c>
      <c r="N839" s="18" t="s">
        <v>28</v>
      </c>
    </row>
    <row r="840" hidden="1">
      <c r="A840" s="15" t="str">
        <f>IFERROR(__xludf.DUMMYFUNCTION("""COMPUTED_VALUE"""),"MOBBR0047")</f>
        <v>MOBBR0047</v>
      </c>
      <c r="B840" s="16">
        <f>IFERROR(__xludf.DUMMYFUNCTION("""COMPUTED_VALUE"""),45957.510968587965)</f>
        <v>45957.51097</v>
      </c>
      <c r="C840" s="17">
        <f>IFERROR(__xludf.DUMMYFUNCTION("""COMPUTED_VALUE"""),45958.49157315972)</f>
        <v>45958.49157</v>
      </c>
      <c r="D840" s="15" t="str">
        <f>IFERROR(__xludf.DUMMYFUNCTION("""COMPUTED_VALUE"""),"PW SKID dan WFI SKID")</f>
        <v>PW SKID dan WFI SKID</v>
      </c>
      <c r="E840" s="15" t="str">
        <f>IFERROR(__xludf.DUMMYFUNCTION("""COMPUTED_VALUE"""),"Spare")</f>
        <v>Spare</v>
      </c>
      <c r="F840" s="15" t="str">
        <f>IFERROR(__xludf.DUMMYFUNCTION("""COMPUTED_VALUE"""),"Inverter Circulation Pump")</f>
        <v>Inverter Circulation Pump</v>
      </c>
      <c r="G840" s="15">
        <f>IFERROR(__xludf.DUMMYFUNCTION("""COMPUTED_VALUE"""),1.0)</f>
        <v>1</v>
      </c>
      <c r="H840" s="15" t="str">
        <f>IFERROR(__xludf.DUMMYFUNCTION("""COMPUTED_VALUE"""),"Pcs")</f>
        <v>Pcs</v>
      </c>
      <c r="I840" s="15" t="str">
        <f>IFERROR(__xludf.DUMMYFUNCTION("""COMPUTED_VALUE"""),"Deliver")</f>
        <v>Deliver</v>
      </c>
      <c r="J840" s="15" t="str">
        <f>IFERROR(__xludf.DUMMYFUNCTION("""COMPUTED_VALUE"""),"-")</f>
        <v>-</v>
      </c>
      <c r="K840" s="15" t="str">
        <f>IFERROR(__xludf.DUMMYFUNCTION("""COMPUTED_VALUE"""),"-")</f>
        <v>-</v>
      </c>
      <c r="L840" s="15" t="str">
        <f>IFERROR(__xludf.DUMMYFUNCTION("""COMPUTED_VALUE"""),"Normal")</f>
        <v>Normal</v>
      </c>
      <c r="M840" s="18" t="s">
        <v>31</v>
      </c>
      <c r="N840" s="18" t="s">
        <v>28</v>
      </c>
    </row>
    <row r="841" hidden="1">
      <c r="A841" s="15" t="str">
        <f>IFERROR(__xludf.DUMMYFUNCTION("""COMPUTED_VALUE"""),"SFHBR0039")</f>
        <v>SFHBR0039</v>
      </c>
      <c r="B841" s="16">
        <f>IFERROR(__xludf.DUMMYFUNCTION("""COMPUTED_VALUE"""),45962.44112657407)</f>
        <v>45962.44113</v>
      </c>
      <c r="C841" s="17">
        <f>IFERROR(__xludf.DUMMYFUNCTION("""COMPUTED_VALUE"""),45964.84255743055)</f>
        <v>45964.84256</v>
      </c>
      <c r="D841" s="15" t="str">
        <f>IFERROR(__xludf.DUMMYFUNCTION("""COMPUTED_VALUE"""),"lantai 2")</f>
        <v>lantai 2</v>
      </c>
      <c r="E841" s="15" t="str">
        <f>IFERROR(__xludf.DUMMYFUNCTION("""COMPUTED_VALUE"""),"EJO/2025/08/02")</f>
        <v>EJO/2025/08/02</v>
      </c>
      <c r="F841" s="15" t="str">
        <f>IFERROR(__xludf.DUMMYFUNCTION("""COMPUTED_VALUE"""),"Aqualuxe Lem Anti Bocor 1kg Transparan Waterproof Nano Serbaguna untuk Tembok Atap &amp; Lantai Super Kuat Teknologi Nano Particle Invisible Tahan Air")</f>
        <v>Aqualuxe Lem Anti Bocor 1kg Transparan Waterproof Nano Serbaguna untuk Tembok Atap &amp; Lantai Super Kuat Teknologi Nano Particle Invisible Tahan Air</v>
      </c>
      <c r="G841" s="15">
        <f>IFERROR(__xludf.DUMMYFUNCTION("""COMPUTED_VALUE"""),5.0)</f>
        <v>5</v>
      </c>
      <c r="H841" s="15" t="str">
        <f>IFERROR(__xludf.DUMMYFUNCTION("""COMPUTED_VALUE"""),"kg")</f>
        <v>kg</v>
      </c>
      <c r="I841" s="15" t="str">
        <f>IFERROR(__xludf.DUMMYFUNCTION("""COMPUTED_VALUE"""),"Deliver")</f>
        <v>Deliver</v>
      </c>
      <c r="J841" s="15" t="str">
        <f>IFERROR(__xludf.DUMMYFUNCTION("""COMPUTED_VALUE"""),"121703995 - APPROVED")</f>
        <v>121703995 - APPROVED</v>
      </c>
      <c r="K841" s="15" t="str">
        <f>IFERROR(__xludf.DUMMYFUNCTION("""COMPUTED_VALUE"""),"GL2604040")</f>
        <v>GL2604040</v>
      </c>
      <c r="L841" s="15" t="str">
        <f>IFERROR(__xludf.DUMMYFUNCTION("""COMPUTED_VALUE"""),"Normal")</f>
        <v>Normal</v>
      </c>
      <c r="M841" s="18" t="s">
        <v>27</v>
      </c>
      <c r="N841" s="18" t="s">
        <v>28</v>
      </c>
    </row>
    <row r="842" hidden="1">
      <c r="A842" s="15" t="str">
        <f>IFERROR(__xludf.DUMMYFUNCTION("""COMPUTED_VALUE"""),"SFHBR0038")</f>
        <v>SFHBR0038</v>
      </c>
      <c r="B842" s="16">
        <f>IFERROR(__xludf.DUMMYFUNCTION("""COMPUTED_VALUE"""),45962.43386340277)</f>
        <v>45962.43386</v>
      </c>
      <c r="C842" s="17">
        <f>IFERROR(__xludf.DUMMYFUNCTION("""COMPUTED_VALUE"""),45964.842853368056)</f>
        <v>45964.84285</v>
      </c>
      <c r="D842" s="15" t="str">
        <f>IFERROR(__xludf.DUMMYFUNCTION("""COMPUTED_VALUE"""),"lantai 2")</f>
        <v>lantai 2</v>
      </c>
      <c r="E842" s="15" t="str">
        <f>IFERROR(__xludf.DUMMYFUNCTION("""COMPUTED_VALUE"""),"EJO/2025/08/02")</f>
        <v>EJO/2025/08/02</v>
      </c>
      <c r="F842" s="15" t="str">
        <f>IFERROR(__xludf.DUMMYFUNCTION("""COMPUTED_VALUE"""),"Sika SikaTop Seal 107 - 2 Komponen (20kg Semen + 5kg Cairan) - Kantor")</f>
        <v>Sika SikaTop Seal 107 - 2 Komponen (20kg Semen + 5kg Cairan) - Kantor</v>
      </c>
      <c r="G842" s="15">
        <f>IFERROR(__xludf.DUMMYFUNCTION("""COMPUTED_VALUE"""),20.0)</f>
        <v>20</v>
      </c>
      <c r="H842" s="15" t="str">
        <f>IFERROR(__xludf.DUMMYFUNCTION("""COMPUTED_VALUE"""),"kg")</f>
        <v>kg</v>
      </c>
      <c r="I842" s="15" t="str">
        <f>IFERROR(__xludf.DUMMYFUNCTION("""COMPUTED_VALUE"""),"Deliver")</f>
        <v>Deliver</v>
      </c>
      <c r="J842" s="15" t="str">
        <f>IFERROR(__xludf.DUMMYFUNCTION("""COMPUTED_VALUE"""),"121703995 - APPROVED")</f>
        <v>121703995 - APPROVED</v>
      </c>
      <c r="K842" s="15" t="str">
        <f>IFERROR(__xludf.DUMMYFUNCTION("""COMPUTED_VALUE"""),"GL2604011")</f>
        <v>GL2604011</v>
      </c>
      <c r="L842" s="15" t="str">
        <f>IFERROR(__xludf.DUMMYFUNCTION("""COMPUTED_VALUE"""),"Normal")</f>
        <v>Normal</v>
      </c>
      <c r="M842" s="18" t="s">
        <v>27</v>
      </c>
      <c r="N842" s="18" t="s">
        <v>28</v>
      </c>
    </row>
    <row r="843" hidden="1">
      <c r="A843" s="15" t="str">
        <f>IFERROR(__xludf.DUMMYFUNCTION("""COMPUTED_VALUE"""),"MRNRO0038")</f>
        <v>MRNRO0038</v>
      </c>
      <c r="B843" s="16">
        <f>IFERROR(__xludf.DUMMYFUNCTION("""COMPUTED_VALUE"""),45964.39124854167)</f>
        <v>45964.39125</v>
      </c>
      <c r="C843" s="17">
        <f>IFERROR(__xludf.DUMMYFUNCTION("""COMPUTED_VALUE"""),45964.844183368055)</f>
        <v>45964.84418</v>
      </c>
      <c r="D843" s="15" t="str">
        <f>IFERROR(__xludf.DUMMYFUNCTION("""COMPUTED_VALUE"""),"Building")</f>
        <v>Building</v>
      </c>
      <c r="E843" s="15" t="str">
        <f>IFERROR(__xludf.DUMMYFUNCTION("""COMPUTED_VALUE"""),"-")</f>
        <v>-</v>
      </c>
      <c r="F843" s="15" t="str">
        <f>IFERROR(__xludf.DUMMYFUNCTION("""COMPUTED_VALUE"""),"Ballast Electronic EB-C 228 TL5, 2x28W; Phillips; ;")</f>
        <v>Ballast Electronic EB-C 228 TL5, 2x28W; Phillips; ;</v>
      </c>
      <c r="G843" s="15">
        <f>IFERROR(__xludf.DUMMYFUNCTION("""COMPUTED_VALUE"""),20.0)</f>
        <v>20</v>
      </c>
      <c r="H843" s="15" t="str">
        <f>IFERROR(__xludf.DUMMYFUNCTION("""COMPUTED_VALUE"""),"Pcs")</f>
        <v>Pcs</v>
      </c>
      <c r="I843" s="15" t="str">
        <f>IFERROR(__xludf.DUMMYFUNCTION("""COMPUTED_VALUE"""),"Deliver")</f>
        <v>Deliver</v>
      </c>
      <c r="J843" s="15" t="str">
        <f>IFERROR(__xludf.DUMMYFUNCTION("""COMPUTED_VALUE"""),"-")</f>
        <v>-</v>
      </c>
      <c r="K843" s="15" t="str">
        <f>IFERROR(__xludf.DUMMYFUNCTION("""COMPUTED_VALUE"""),"-")</f>
        <v>-</v>
      </c>
      <c r="L843" s="15" t="str">
        <f>IFERROR(__xludf.DUMMYFUNCTION("""COMPUTED_VALUE"""),"Normal")</f>
        <v>Normal</v>
      </c>
      <c r="M843" s="18" t="s">
        <v>48</v>
      </c>
      <c r="N843" s="18" t="s">
        <v>28</v>
      </c>
    </row>
    <row r="844" hidden="1">
      <c r="A844" s="15" t="str">
        <f>IFERROR(__xludf.DUMMYFUNCTION("""COMPUTED_VALUE"""),"MRNRO0035")</f>
        <v>MRNRO0035</v>
      </c>
      <c r="B844" s="16">
        <f>IFERROR(__xludf.DUMMYFUNCTION("""COMPUTED_VALUE"""),45960.66146262731)</f>
        <v>45960.66146</v>
      </c>
      <c r="C844" s="17">
        <f>IFERROR(__xludf.DUMMYFUNCTION("""COMPUTED_VALUE"""),45964.848315208335)</f>
        <v>45964.84832</v>
      </c>
      <c r="D844" s="15" t="str">
        <f>IFERROR(__xludf.DUMMYFUNCTION("""COMPUTED_VALUE"""),"Exhaust janitor D1-4")</f>
        <v>Exhaust janitor D1-4</v>
      </c>
      <c r="E844" s="15" t="str">
        <f>IFERROR(__xludf.DUMMYFUNCTION("""COMPUTED_VALUE"""),"EJO/2025/10/141")</f>
        <v>EJO/2025/10/141</v>
      </c>
      <c r="F844" s="15" t="str">
        <f>IFERROR(__xludf.DUMMYFUNCTION("""COMPUTED_VALUE"""),"General - Exhaust Fan; KDK; 24CDQNA; 1 unit")</f>
        <v>General - Exhaust Fan; KDK; 24CDQNA; 1 unit</v>
      </c>
      <c r="G844" s="15">
        <f>IFERROR(__xludf.DUMMYFUNCTION("""COMPUTED_VALUE"""),1.0)</f>
        <v>1</v>
      </c>
      <c r="H844" s="15" t="str">
        <f>IFERROR(__xludf.DUMMYFUNCTION("""COMPUTED_VALUE"""),"pcs")</f>
        <v>pcs</v>
      </c>
      <c r="I844" s="15" t="str">
        <f>IFERROR(__xludf.DUMMYFUNCTION("""COMPUTED_VALUE"""),"Deliver")</f>
        <v>Deliver</v>
      </c>
      <c r="J844" s="15" t="str">
        <f>IFERROR(__xludf.DUMMYFUNCTION("""COMPUTED_VALUE"""),"-")</f>
        <v>-</v>
      </c>
      <c r="K844" s="15" t="str">
        <f>IFERROR(__xludf.DUMMYFUNCTION("""COMPUTED_VALUE"""),"-")</f>
        <v>-</v>
      </c>
      <c r="L844" s="15" t="str">
        <f>IFERROR(__xludf.DUMMYFUNCTION("""COMPUTED_VALUE"""),"Normal")</f>
        <v>Normal</v>
      </c>
      <c r="M844" s="18" t="s">
        <v>48</v>
      </c>
      <c r="N844" s="18" t="s">
        <v>28</v>
      </c>
    </row>
    <row r="845" hidden="1">
      <c r="A845" s="15" t="str">
        <f>IFERROR(__xludf.DUMMYFUNCTION("""COMPUTED_VALUE"""),"SFHRO0030")</f>
        <v>SFHRO0030</v>
      </c>
      <c r="B845" s="16">
        <f>IFERROR(__xludf.DUMMYFUNCTION("""COMPUTED_VALUE"""),45965.746508738426)</f>
        <v>45965.74651</v>
      </c>
      <c r="C845" s="17">
        <f>IFERROR(__xludf.DUMMYFUNCTION("""COMPUTED_VALUE"""),45966.9799687037)</f>
        <v>45966.97997</v>
      </c>
      <c r="D845" s="15" t="str">
        <f>IFERROR(__xludf.DUMMYFUNCTION("""COMPUTED_VALUE"""),"lantai 2")</f>
        <v>lantai 2</v>
      </c>
      <c r="E845" s="15" t="str">
        <f>IFERROR(__xludf.DUMMYFUNCTION("""COMPUTED_VALUE"""),"-")</f>
        <v>-</v>
      </c>
      <c r="F845" s="15" t="str">
        <f>IFERROR(__xludf.DUMMYFUNCTION("""COMPUTED_VALUE"""),"Plastik Cor Bagunan;No Brand;;pack size per pcs - Per 10kg")</f>
        <v>Plastik Cor Bagunan;No Brand;;pack size per pcs - Per 10kg</v>
      </c>
      <c r="G845" s="15">
        <f>IFERROR(__xludf.DUMMYFUNCTION("""COMPUTED_VALUE"""),50.0)</f>
        <v>50</v>
      </c>
      <c r="H845" s="15" t="str">
        <f>IFERROR(__xludf.DUMMYFUNCTION("""COMPUTED_VALUE"""),"kg")</f>
        <v>kg</v>
      </c>
      <c r="I845" s="15" t="str">
        <f>IFERROR(__xludf.DUMMYFUNCTION("""COMPUTED_VALUE"""),"Deliver")</f>
        <v>Deliver</v>
      </c>
      <c r="J845" s="15" t="str">
        <f>IFERROR(__xludf.DUMMYFUNCTION("""COMPUTED_VALUE"""),"-")</f>
        <v>-</v>
      </c>
      <c r="K845" s="15" t="str">
        <f>IFERROR(__xludf.DUMMYFUNCTION("""COMPUTED_VALUE"""),"-")</f>
        <v>-</v>
      </c>
      <c r="L845" s="15" t="str">
        <f>IFERROR(__xludf.DUMMYFUNCTION("""COMPUTED_VALUE"""),"Normal")</f>
        <v>Normal</v>
      </c>
      <c r="M845" s="18" t="s">
        <v>27</v>
      </c>
      <c r="N845" s="18" t="s">
        <v>28</v>
      </c>
    </row>
    <row r="846" hidden="1">
      <c r="A846" s="15" t="str">
        <f>IFERROR(__xludf.DUMMYFUNCTION("""COMPUTED_VALUE"""),"MRNRO0040")</f>
        <v>MRNRO0040</v>
      </c>
      <c r="B846" s="16">
        <f>IFERROR(__xludf.DUMMYFUNCTION("""COMPUTED_VALUE"""),45971.32446430556)</f>
        <v>45971.32446</v>
      </c>
      <c r="C846" s="17">
        <f>IFERROR(__xludf.DUMMYFUNCTION("""COMPUTED_VALUE"""),45972.585108796295)</f>
        <v>45972.58511</v>
      </c>
      <c r="D846" s="15" t="str">
        <f>IFERROR(__xludf.DUMMYFUNCTION("""COMPUTED_VALUE"""),"heat pump")</f>
        <v>heat pump</v>
      </c>
      <c r="E846" s="15" t="str">
        <f>IFERROR(__xludf.DUMMYFUNCTION("""COMPUTED_VALUE"""),"EJO/2025/07/105")</f>
        <v>EJO/2025/07/105</v>
      </c>
      <c r="F846" s="15" t="str">
        <f>IFERROR(__xludf.DUMMYFUNCTION("""COMPUTED_VALUE"""),"Freon R410A; Dupont; ;")</f>
        <v>Freon R410A; Dupont; ;</v>
      </c>
      <c r="G846" s="15">
        <f>IFERROR(__xludf.DUMMYFUNCTION("""COMPUTED_VALUE"""),2.0)</f>
        <v>2</v>
      </c>
      <c r="H846" s="15" t="str">
        <f>IFERROR(__xludf.DUMMYFUNCTION("""COMPUTED_VALUE"""),"klg")</f>
        <v>klg</v>
      </c>
      <c r="I846" s="15" t="str">
        <f>IFERROR(__xludf.DUMMYFUNCTION("""COMPUTED_VALUE"""),"Deliver")</f>
        <v>Deliver</v>
      </c>
      <c r="J846" s="15" t="str">
        <f>IFERROR(__xludf.DUMMYFUNCTION("""COMPUTED_VALUE"""),"-")</f>
        <v>-</v>
      </c>
      <c r="K846" s="15" t="str">
        <f>IFERROR(__xludf.DUMMYFUNCTION("""COMPUTED_VALUE"""),"-")</f>
        <v>-</v>
      </c>
      <c r="L846" s="15" t="str">
        <f>IFERROR(__xludf.DUMMYFUNCTION("""COMPUTED_VALUE"""),"Normal")</f>
        <v>Normal</v>
      </c>
      <c r="M846" s="18" t="s">
        <v>48</v>
      </c>
      <c r="N846" s="18" t="s">
        <v>28</v>
      </c>
    </row>
    <row r="847" hidden="1">
      <c r="A847" s="15" t="str">
        <f>IFERROR(__xludf.DUMMYFUNCTION("""COMPUTED_VALUE"""),"MRNRO0039")</f>
        <v>MRNRO0039</v>
      </c>
      <c r="B847" s="16">
        <f>IFERROR(__xludf.DUMMYFUNCTION("""COMPUTED_VALUE"""),45971.323612430555)</f>
        <v>45971.32361</v>
      </c>
      <c r="C847" s="17">
        <f>IFERROR(__xludf.DUMMYFUNCTION("""COMPUTED_VALUE"""),45972.58524197917)</f>
        <v>45972.58524</v>
      </c>
      <c r="D847" s="15" t="str">
        <f>IFERROR(__xludf.DUMMYFUNCTION("""COMPUTED_VALUE"""),"Wicc wip")</f>
        <v>Wicc wip</v>
      </c>
      <c r="E847" s="15" t="str">
        <f>IFERROR(__xludf.DUMMYFUNCTION("""COMPUTED_VALUE"""),"EJO/2025/07/105")</f>
        <v>EJO/2025/07/105</v>
      </c>
      <c r="F847" s="15" t="str">
        <f>IFERROR(__xludf.DUMMYFUNCTION("""COMPUTED_VALUE"""),"Chemours - Freon 404A;; ; ;")</f>
        <v>Chemours - Freon 404A;; ; ;</v>
      </c>
      <c r="G847" s="15">
        <f>IFERROR(__xludf.DUMMYFUNCTION("""COMPUTED_VALUE"""),2.0)</f>
        <v>2</v>
      </c>
      <c r="H847" s="15" t="str">
        <f>IFERROR(__xludf.DUMMYFUNCTION("""COMPUTED_VALUE"""),"klg")</f>
        <v>klg</v>
      </c>
      <c r="I847" s="15" t="str">
        <f>IFERROR(__xludf.DUMMYFUNCTION("""COMPUTED_VALUE"""),"Deliver")</f>
        <v>Deliver</v>
      </c>
      <c r="J847" s="15" t="str">
        <f>IFERROR(__xludf.DUMMYFUNCTION("""COMPUTED_VALUE"""),"-")</f>
        <v>-</v>
      </c>
      <c r="K847" s="15" t="str">
        <f>IFERROR(__xludf.DUMMYFUNCTION("""COMPUTED_VALUE"""),"-")</f>
        <v>-</v>
      </c>
      <c r="L847" s="15" t="str">
        <f>IFERROR(__xludf.DUMMYFUNCTION("""COMPUTED_VALUE"""),"Normal")</f>
        <v>Normal</v>
      </c>
      <c r="M847" s="18" t="s">
        <v>48</v>
      </c>
      <c r="N847" s="18" t="s">
        <v>28</v>
      </c>
    </row>
    <row r="848" hidden="1">
      <c r="A848" s="15" t="str">
        <f>IFERROR(__xludf.DUMMYFUNCTION("""COMPUTED_VALUE"""),"RIABR0115")</f>
        <v>RIABR0115</v>
      </c>
      <c r="B848" s="16">
        <f>IFERROR(__xludf.DUMMYFUNCTION("""COMPUTED_VALUE"""),45972.40130546296)</f>
        <v>45972.40131</v>
      </c>
      <c r="C848" s="17">
        <f>IFERROR(__xludf.DUMMYFUNCTION("""COMPUTED_VALUE"""),45972.59004099537)</f>
        <v>45972.59004</v>
      </c>
      <c r="D848" s="15" t="str">
        <f>IFERROR(__xludf.DUMMYFUNCTION("""COMPUTED_VALUE"""),"All Area")</f>
        <v>All Area</v>
      </c>
      <c r="E848" s="15" t="str">
        <f>IFERROR(__xludf.DUMMYFUNCTION("""COMPUTED_VALUE"""),"-")</f>
        <v>-</v>
      </c>
      <c r="F848" s="15" t="str">
        <f>IFERROR(__xludf.DUMMYFUNCTION("""COMPUTED_VALUE"""),"Head Lamp")</f>
        <v>Head Lamp</v>
      </c>
      <c r="G848" s="15">
        <f>IFERROR(__xludf.DUMMYFUNCTION("""COMPUTED_VALUE"""),3.0)</f>
        <v>3</v>
      </c>
      <c r="H848" s="15" t="str">
        <f>IFERROR(__xludf.DUMMYFUNCTION("""COMPUTED_VALUE"""),"Pcs")</f>
        <v>Pcs</v>
      </c>
      <c r="I848" s="15" t="str">
        <f>IFERROR(__xludf.DUMMYFUNCTION("""COMPUTED_VALUE"""),"Deliver")</f>
        <v>Deliver</v>
      </c>
      <c r="J848" s="15" t="str">
        <f>IFERROR(__xludf.DUMMYFUNCTION("""COMPUTED_VALUE"""),"121704044 - APPROVED")</f>
        <v>121704044 - APPROVED</v>
      </c>
      <c r="K848" s="15" t="str">
        <f>IFERROR(__xludf.DUMMYFUNCTION("""COMPUTED_VALUE"""),"GL2604023")</f>
        <v>GL2604023</v>
      </c>
      <c r="L848" s="15" t="str">
        <f>IFERROR(__xludf.DUMMYFUNCTION("""COMPUTED_VALUE"""),"Normal")</f>
        <v>Normal</v>
      </c>
      <c r="M848" s="18" t="s">
        <v>32</v>
      </c>
      <c r="N848" s="18" t="s">
        <v>28</v>
      </c>
    </row>
    <row r="849" hidden="1">
      <c r="A849" s="15" t="str">
        <f>IFERROR(__xludf.DUMMYFUNCTION("""COMPUTED_VALUE"""),"AAARO0014")</f>
        <v>AAARO0014</v>
      </c>
      <c r="B849" s="16">
        <f>IFERROR(__xludf.DUMMYFUNCTION("""COMPUTED_VALUE"""),46255.82219748843)</f>
        <v>46255.8222</v>
      </c>
      <c r="C849" s="17">
        <f>IFERROR(__xludf.DUMMYFUNCTION("""COMPUTED_VALUE"""),45976.21481107639)</f>
        <v>45976.21481</v>
      </c>
      <c r="D849" s="15" t="str">
        <f>IFERROR(__xludf.DUMMYFUNCTION("""COMPUTED_VALUE"""),"AHU cRABS sensor TE 0111")</f>
        <v>AHU cRABS sensor TE 0111</v>
      </c>
      <c r="E849" s="15" t="str">
        <f>IFERROR(__xludf.DUMMYFUNCTION("""COMPUTED_VALUE"""),"EJO/2025/10/51")</f>
        <v>EJO/2025/10/51</v>
      </c>
      <c r="F849" s="15" t="str">
        <f>IFERROR(__xludf.DUMMYFUNCTION("""COMPUTED_VALUE"""),"RTD - Single Element. Built according to directive 94/9/CE ATEX II 2GD Ex d IIC T6; Temperature Rang; ; ;")</f>
        <v>RTD - Single Element. Built according to directive 94/9/CE ATEX II 2GD Ex d IIC T6; Temperature Rang; ; ;</v>
      </c>
      <c r="G849" s="15">
        <f>IFERROR(__xludf.DUMMYFUNCTION("""COMPUTED_VALUE"""),2.0)</f>
        <v>2</v>
      </c>
      <c r="H849" s="15" t="str">
        <f>IFERROR(__xludf.DUMMYFUNCTION("""COMPUTED_VALUE"""),"unit")</f>
        <v>unit</v>
      </c>
      <c r="I849" s="15" t="str">
        <f>IFERROR(__xludf.DUMMYFUNCTION("""COMPUTED_VALUE"""),"PO Open")</f>
        <v>PO Open</v>
      </c>
      <c r="J849" s="15" t="str">
        <f>IFERROR(__xludf.DUMMYFUNCTION("""COMPUTED_VALUE"""),"121703647 - APPROVED")</f>
        <v>121703647 - APPROVED</v>
      </c>
      <c r="K849" s="15" t="str">
        <f>IFERROR(__xludf.DUMMYFUNCTION("""COMPUTED_VALUE"""),"GL2601027")</f>
        <v>GL2601027</v>
      </c>
      <c r="L849" s="15" t="str">
        <f>IFERROR(__xludf.DUMMYFUNCTION("""COMPUTED_VALUE"""),"Normal")</f>
        <v>Normal</v>
      </c>
      <c r="M849" s="18" t="s">
        <v>47</v>
      </c>
      <c r="N849" s="18" t="s">
        <v>30</v>
      </c>
    </row>
    <row r="850" hidden="1">
      <c r="A850" s="15" t="str">
        <f>IFERROR(__xludf.DUMMYFUNCTION("""COMPUTED_VALUE"""),"INNRO0009")</f>
        <v>INNRO0009</v>
      </c>
      <c r="B850" s="16">
        <f>IFERROR(__xludf.DUMMYFUNCTION("""COMPUTED_VALUE"""),45960.979109988424)</f>
        <v>45960.97911</v>
      </c>
      <c r="C850" s="17">
        <f>IFERROR(__xludf.DUMMYFUNCTION("""COMPUTED_VALUE"""),45976.21555721064)</f>
        <v>45976.21556</v>
      </c>
      <c r="D850" s="15" t="str">
        <f>IFERROR(__xludf.DUMMYFUNCTION("""COMPUTED_VALUE"""),"Washing")</f>
        <v>Washing</v>
      </c>
      <c r="E850" s="15" t="str">
        <f>IFERROR(__xludf.DUMMYFUNCTION("""COMPUTED_VALUE"""),"NA")</f>
        <v>NA</v>
      </c>
      <c r="F850" s="15" t="str">
        <f>IFERROR(__xludf.DUMMYFUNCTION("""COMPUTED_VALUE"""),"Misumi - HXNHFFLT-SUS-M5-10; ; ;")</f>
        <v>Misumi - HXNHFFLT-SUS-M5-10; ; ;</v>
      </c>
      <c r="G850" s="15">
        <f>IFERROR(__xludf.DUMMYFUNCTION("""COMPUTED_VALUE"""),20.0)</f>
        <v>20</v>
      </c>
      <c r="H850" s="15" t="str">
        <f>IFERROR(__xludf.DUMMYFUNCTION("""COMPUTED_VALUE"""),"Pcs")</f>
        <v>Pcs</v>
      </c>
      <c r="I850" s="15" t="str">
        <f>IFERROR(__xludf.DUMMYFUNCTION("""COMPUTED_VALUE"""),"Deliver")</f>
        <v>Deliver</v>
      </c>
      <c r="J850" s="15" t="str">
        <f>IFERROR(__xludf.DUMMYFUNCTION("""COMPUTED_VALUE"""),"-")</f>
        <v>-</v>
      </c>
      <c r="K850" s="15" t="str">
        <f>IFERROR(__xludf.DUMMYFUNCTION("""COMPUTED_VALUE"""),"-")</f>
        <v>-</v>
      </c>
      <c r="L850" s="15" t="str">
        <f>IFERROR(__xludf.DUMMYFUNCTION("""COMPUTED_VALUE"""),"Normal")</f>
        <v>Normal</v>
      </c>
      <c r="M850" s="18" t="s">
        <v>51</v>
      </c>
      <c r="N850" s="18" t="s">
        <v>30</v>
      </c>
    </row>
    <row r="851" hidden="1">
      <c r="A851" s="15" t="str">
        <f>IFERROR(__xludf.DUMMYFUNCTION("""COMPUTED_VALUE"""),"INNBR0046")</f>
        <v>INNBR0046</v>
      </c>
      <c r="B851" s="16">
        <f>IFERROR(__xludf.DUMMYFUNCTION("""COMPUTED_VALUE"""),45958.6625225)</f>
        <v>45958.66252</v>
      </c>
      <c r="C851" s="17">
        <f>IFERROR(__xludf.DUMMYFUNCTION("""COMPUTED_VALUE"""),45976.21706649305)</f>
        <v>45976.21707</v>
      </c>
      <c r="D851" s="15" t="str">
        <f>IFERROR(__xludf.DUMMYFUNCTION("""COMPUTED_VALUE"""),"HPLC 4")</f>
        <v>HPLC 4</v>
      </c>
      <c r="E851" s="15" t="str">
        <f>IFERROR(__xludf.DUMMYFUNCTION("""COMPUTED_VALUE"""),"EJO/2025/10/104")</f>
        <v>EJO/2025/10/104</v>
      </c>
      <c r="F851" s="15" t="str">
        <f>IFERROR(__xludf.DUMMYFUNCTION("""COMPUTED_VALUE"""),"Engine, Heater/Cooler P/N : 700002139")</f>
        <v>Engine, Heater/Cooler P/N : 700002139</v>
      </c>
      <c r="G851" s="15">
        <f>IFERROR(__xludf.DUMMYFUNCTION("""COMPUTED_VALUE"""),2.0)</f>
        <v>2</v>
      </c>
      <c r="H851" s="15" t="str">
        <f>IFERROR(__xludf.DUMMYFUNCTION("""COMPUTED_VALUE"""),"Unit")</f>
        <v>Unit</v>
      </c>
      <c r="I851" s="15" t="str">
        <f>IFERROR(__xludf.DUMMYFUNCTION("""COMPUTED_VALUE"""),"Deliver")</f>
        <v>Deliver</v>
      </c>
      <c r="J851" s="15" t="str">
        <f>IFERROR(__xludf.DUMMYFUNCTION("""COMPUTED_VALUE"""),"121704003 - APPROVED")</f>
        <v>121704003 - APPROVED</v>
      </c>
      <c r="K851" s="15" t="str">
        <f>IFERROR(__xludf.DUMMYFUNCTION("""COMPUTED_VALUE"""),"GL2603470")</f>
        <v>GL2603470</v>
      </c>
      <c r="L851" s="15" t="str">
        <f>IFERROR(__xludf.DUMMYFUNCTION("""COMPUTED_VALUE"""),"Normal")</f>
        <v>Normal</v>
      </c>
      <c r="M851" s="18" t="s">
        <v>51</v>
      </c>
      <c r="N851" s="18" t="s">
        <v>30</v>
      </c>
    </row>
    <row r="852" hidden="1">
      <c r="A852" s="15" t="str">
        <f>IFERROR(__xludf.DUMMYFUNCTION("""COMPUTED_VALUE"""),"INNJA0005")</f>
        <v>INNJA0005</v>
      </c>
      <c r="B852" s="16">
        <f>IFERROR(__xludf.DUMMYFUNCTION("""COMPUTED_VALUE"""),45958.82183883102)</f>
        <v>45958.82184</v>
      </c>
      <c r="C852" s="17">
        <f>IFERROR(__xludf.DUMMYFUNCTION("""COMPUTED_VALUE"""),45976.217802499996)</f>
        <v>45976.2178</v>
      </c>
      <c r="D852" s="15" t="str">
        <f>IFERROR(__xludf.DUMMYFUNCTION("""COMPUTED_VALUE"""),"Crabs")</f>
        <v>Crabs</v>
      </c>
      <c r="E852" s="15" t="str">
        <f>IFERROR(__xludf.DUMMYFUNCTION("""COMPUTED_VALUE"""),"NA")</f>
        <v>NA</v>
      </c>
      <c r="F852" s="15" t="str">
        <f>IFERROR(__xludf.DUMMYFUNCTION("""COMPUTED_VALUE"""),"Rescreening Membrane 60 micron CR2")</f>
        <v>Rescreening Membrane 60 micron CR2</v>
      </c>
      <c r="G852" s="15">
        <f>IFERROR(__xludf.DUMMYFUNCTION("""COMPUTED_VALUE"""),1.0)</f>
        <v>1</v>
      </c>
      <c r="H852" s="15" t="str">
        <f>IFERROR(__xludf.DUMMYFUNCTION("""COMPUTED_VALUE"""),"Unit")</f>
        <v>Unit</v>
      </c>
      <c r="I852" s="15" t="str">
        <f>IFERROR(__xludf.DUMMYFUNCTION("""COMPUTED_VALUE"""),"Deliver")</f>
        <v>Deliver</v>
      </c>
      <c r="J852" s="15" t="str">
        <f>IFERROR(__xludf.DUMMYFUNCTION("""COMPUTED_VALUE"""),"-")</f>
        <v>-</v>
      </c>
      <c r="K852" s="15" t="str">
        <f>IFERROR(__xludf.DUMMYFUNCTION("""COMPUTED_VALUE"""),"-")</f>
        <v>-</v>
      </c>
      <c r="L852" s="15" t="str">
        <f>IFERROR(__xludf.DUMMYFUNCTION("""COMPUTED_VALUE"""),"Normal")</f>
        <v>Normal</v>
      </c>
      <c r="M852" s="18" t="s">
        <v>51</v>
      </c>
      <c r="N852" s="18" t="s">
        <v>30</v>
      </c>
    </row>
    <row r="853" hidden="1">
      <c r="A853" s="15" t="str">
        <f>IFERROR(__xludf.DUMMYFUNCTION("""COMPUTED_VALUE"""),"ANOBR0040")</f>
        <v>ANOBR0040</v>
      </c>
      <c r="B853" s="16">
        <f>IFERROR(__xludf.DUMMYFUNCTION("""COMPUTED_VALUE"""),45953.6555884838)</f>
        <v>45953.65559</v>
      </c>
      <c r="C853" s="17">
        <f>IFERROR(__xludf.DUMMYFUNCTION("""COMPUTED_VALUE"""),45976.21846325231)</f>
        <v>45976.21846</v>
      </c>
      <c r="D853" s="15" t="str">
        <f>IFERROR(__xludf.DUMMYFUNCTION("""COMPUTED_VALUE"""),"Dispensing isolator Steril")</f>
        <v>Dispensing isolator Steril</v>
      </c>
      <c r="E853" s="15" t="str">
        <f>IFERROR(__xludf.DUMMYFUNCTION("""COMPUTED_VALUE"""),"EJO/2025/10/41")</f>
        <v>EJO/2025/10/41</v>
      </c>
      <c r="F853" s="15" t="str">
        <f>IFERROR(__xludf.DUMMYFUNCTION("""COMPUTED_VALUE"""),"baut pengunci pintu ")</f>
        <v>baut pengunci pintu </v>
      </c>
      <c r="G853" s="15">
        <f>IFERROR(__xludf.DUMMYFUNCTION("""COMPUTED_VALUE"""),1.0)</f>
        <v>1</v>
      </c>
      <c r="H853" s="15" t="str">
        <f>IFERROR(__xludf.DUMMYFUNCTION("""COMPUTED_VALUE"""),"box")</f>
        <v>box</v>
      </c>
      <c r="I853" s="15" t="str">
        <f>IFERROR(__xludf.DUMMYFUNCTION("""COMPUTED_VALUE"""),"Deliver")</f>
        <v>Deliver</v>
      </c>
      <c r="J853" s="15" t="str">
        <f>IFERROR(__xludf.DUMMYFUNCTION("""COMPUTED_VALUE"""),"121703993 - APPROVED")</f>
        <v>121703993 - APPROVED</v>
      </c>
      <c r="K853" s="15" t="str">
        <f>IFERROR(__xludf.DUMMYFUNCTION("""COMPUTED_VALUE"""),"GL2604482")</f>
        <v>GL2604482</v>
      </c>
      <c r="L853" s="15" t="str">
        <f>IFERROR(__xludf.DUMMYFUNCTION("""COMPUTED_VALUE"""),"Normal")</f>
        <v>Normal</v>
      </c>
      <c r="M853" s="18" t="s">
        <v>49</v>
      </c>
      <c r="N853" s="18" t="s">
        <v>30</v>
      </c>
    </row>
    <row r="854" hidden="1">
      <c r="A854" s="15" t="str">
        <f>IFERROR(__xludf.DUMMYFUNCTION("""COMPUTED_VALUE"""),"ROSBR0043")</f>
        <v>ROSBR0043</v>
      </c>
      <c r="B854" s="16">
        <f>IFERROR(__xludf.DUMMYFUNCTION("""COMPUTED_VALUE"""),45952.64881773148)</f>
        <v>45952.64882</v>
      </c>
      <c r="C854" s="17">
        <f>IFERROR(__xludf.DUMMYFUNCTION("""COMPUTED_VALUE"""),45976.21925439815)</f>
        <v>45976.21925</v>
      </c>
      <c r="D854" s="15" t="str">
        <f>IFERROR(__xludf.DUMMYFUNCTION("""COMPUTED_VALUE"""),"cover kabel timbangan isolator sampling ")</f>
        <v>cover kabel timbangan isolator sampling </v>
      </c>
      <c r="E854" s="15" t="str">
        <f>IFERROR(__xludf.DUMMYFUNCTION("""COMPUTED_VALUE"""),"EJO/2025/10/37")</f>
        <v>EJO/2025/10/37</v>
      </c>
      <c r="F854" s="15" t="str">
        <f>IFERROR(__xludf.DUMMYFUNCTION("""COMPUTED_VALUE"""),"Cover kabel timbangan ")</f>
        <v>Cover kabel timbangan </v>
      </c>
      <c r="G854" s="15">
        <f>IFERROR(__xludf.DUMMYFUNCTION("""COMPUTED_VALUE"""),1.0)</f>
        <v>1</v>
      </c>
      <c r="H854" s="15" t="str">
        <f>IFERROR(__xludf.DUMMYFUNCTION("""COMPUTED_VALUE"""),"set")</f>
        <v>set</v>
      </c>
      <c r="I854" s="15" t="str">
        <f>IFERROR(__xludf.DUMMYFUNCTION("""COMPUTED_VALUE"""),"Deliver")</f>
        <v>Deliver</v>
      </c>
      <c r="J854" s="15" t="str">
        <f>IFERROR(__xludf.DUMMYFUNCTION("""COMPUTED_VALUE"""),"121703635 - APPROVED")</f>
        <v>121703635 - APPROVED</v>
      </c>
      <c r="K854" s="15" t="str">
        <f>IFERROR(__xludf.DUMMYFUNCTION("""COMPUTED_VALUE"""),"GL2602365")</f>
        <v>GL2602365</v>
      </c>
      <c r="L854" s="15" t="str">
        <f>IFERROR(__xludf.DUMMYFUNCTION("""COMPUTED_VALUE"""),"Normal")</f>
        <v>Normal</v>
      </c>
      <c r="M854" s="18" t="s">
        <v>29</v>
      </c>
      <c r="N854" s="18" t="s">
        <v>30</v>
      </c>
    </row>
    <row r="855" hidden="1">
      <c r="A855" s="15" t="str">
        <f>IFERROR(__xludf.DUMMYFUNCTION("""COMPUTED_VALUE"""),"ROSBR0044")</f>
        <v>ROSBR0044</v>
      </c>
      <c r="B855" s="16">
        <f>IFERROR(__xludf.DUMMYFUNCTION("""COMPUTED_VALUE"""),45958.661331296295)</f>
        <v>45958.66133</v>
      </c>
      <c r="C855" s="17">
        <f>IFERROR(__xludf.DUMMYFUNCTION("""COMPUTED_VALUE"""),45976.21966811343)</f>
        <v>45976.21967</v>
      </c>
      <c r="D855" s="15" t="str">
        <f>IFERROR(__xludf.DUMMYFUNCTION("""COMPUTED_VALUE"""),"Autoclave Service ")</f>
        <v>Autoclave Service </v>
      </c>
      <c r="E855" s="15" t="str">
        <f>IFERROR(__xludf.DUMMYFUNCTION("""COMPUTED_VALUE"""),"NA ")</f>
        <v>NA </v>
      </c>
      <c r="F855" s="15" t="str">
        <f>IFERROR(__xludf.DUMMYFUNCTION("""COMPUTED_VALUE"""),"Oil Seal valve modulating ")</f>
        <v>Oil Seal valve modulating </v>
      </c>
      <c r="G855" s="15">
        <f>IFERROR(__xludf.DUMMYFUNCTION("""COMPUTED_VALUE"""),5.0)</f>
        <v>5</v>
      </c>
      <c r="H855" s="15" t="str">
        <f>IFERROR(__xludf.DUMMYFUNCTION("""COMPUTED_VALUE"""),"pcs")</f>
        <v>pcs</v>
      </c>
      <c r="I855" s="15" t="str">
        <f>IFERROR(__xludf.DUMMYFUNCTION("""COMPUTED_VALUE"""),"Deliver")</f>
        <v>Deliver</v>
      </c>
      <c r="J855" s="15" t="str">
        <f>IFERROR(__xludf.DUMMYFUNCTION("""COMPUTED_VALUE"""),"121703702 - APPROVED")</f>
        <v>121703702 - APPROVED</v>
      </c>
      <c r="K855" s="15" t="str">
        <f>IFERROR(__xludf.DUMMYFUNCTION("""COMPUTED_VALUE"""),"GL2602412")</f>
        <v>GL2602412</v>
      </c>
      <c r="L855" s="15" t="str">
        <f>IFERROR(__xludf.DUMMYFUNCTION("""COMPUTED_VALUE"""),"Normal")</f>
        <v>Normal</v>
      </c>
      <c r="M855" s="18" t="s">
        <v>29</v>
      </c>
      <c r="N855" s="18" t="s">
        <v>30</v>
      </c>
    </row>
    <row r="856" hidden="1">
      <c r="A856" s="15" t="str">
        <f>IFERROR(__xludf.DUMMYFUNCTION("""COMPUTED_VALUE"""),"ROSBR0045")</f>
        <v>ROSBR0045</v>
      </c>
      <c r="B856" s="16">
        <f>IFERROR(__xludf.DUMMYFUNCTION("""COMPUTED_VALUE"""),45965.43246111111)</f>
        <v>45965.43246</v>
      </c>
      <c r="C856" s="17">
        <f>IFERROR(__xludf.DUMMYFUNCTION("""COMPUTED_VALUE"""),45976.22034482639)</f>
        <v>45976.22034</v>
      </c>
      <c r="D856" s="15" t="str">
        <f>IFERROR(__xludf.DUMMYFUNCTION("""COMPUTED_VALUE"""),"plab coating ")</f>
        <v>plab coating </v>
      </c>
      <c r="E856" s="15" t="str">
        <f>IFERROR(__xludf.DUMMYFUNCTION("""COMPUTED_VALUE"""),"NA")</f>
        <v>NA</v>
      </c>
      <c r="F856" s="15" t="str">
        <f>IFERROR(__xludf.DUMMYFUNCTION("""COMPUTED_VALUE"""),"Oring cover Shaft Line washing coating ")</f>
        <v>Oring cover Shaft Line washing coating </v>
      </c>
      <c r="G856" s="15">
        <f>IFERROR(__xludf.DUMMYFUNCTION("""COMPUTED_VALUE"""),5.0)</f>
        <v>5</v>
      </c>
      <c r="H856" s="15" t="str">
        <f>IFERROR(__xludf.DUMMYFUNCTION("""COMPUTED_VALUE"""),"pcs")</f>
        <v>pcs</v>
      </c>
      <c r="I856" s="15" t="str">
        <f>IFERROR(__xludf.DUMMYFUNCTION("""COMPUTED_VALUE"""),"Deliver")</f>
        <v>Deliver</v>
      </c>
      <c r="J856" s="15" t="str">
        <f>IFERROR(__xludf.DUMMYFUNCTION("""COMPUTED_VALUE"""),"121704050 - APPROVED")</f>
        <v>121704050 - APPROVED</v>
      </c>
      <c r="K856" s="15" t="str">
        <f>IFERROR(__xludf.DUMMYFUNCTION("""COMPUTED_VALUE"""),"GL2604486")</f>
        <v>GL2604486</v>
      </c>
      <c r="L856" s="15" t="str">
        <f>IFERROR(__xludf.DUMMYFUNCTION("""COMPUTED_VALUE"""),"Normal")</f>
        <v>Normal</v>
      </c>
      <c r="M856" s="18" t="s">
        <v>29</v>
      </c>
      <c r="N856" s="18" t="s">
        <v>30</v>
      </c>
    </row>
    <row r="857" hidden="1">
      <c r="A857" s="15" t="str">
        <f>IFERROR(__xludf.DUMMYFUNCTION("""COMPUTED_VALUE"""),"ROSBR0049")</f>
        <v>ROSBR0049</v>
      </c>
      <c r="B857" s="16">
        <f>IFERROR(__xludf.DUMMYFUNCTION("""COMPUTED_VALUE"""),45975.9534983912)</f>
        <v>45975.9535</v>
      </c>
      <c r="C857" s="17">
        <f>IFERROR(__xludf.DUMMYFUNCTION("""COMPUTED_VALUE"""),45976.22124277778)</f>
        <v>45976.22124</v>
      </c>
      <c r="D857" s="15" t="str">
        <f>IFERROR(__xludf.DUMMYFUNCTION("""COMPUTED_VALUE"""),"Base Plate Capping")</f>
        <v>Base Plate Capping</v>
      </c>
      <c r="E857" s="15" t="str">
        <f>IFERROR(__xludf.DUMMYFUNCTION("""COMPUTED_VALUE"""),"NA")</f>
        <v>NA</v>
      </c>
      <c r="F857" s="15" t="str">
        <f>IFERROR(__xludf.DUMMYFUNCTION("""COMPUTED_VALUE"""),"Baut L 
hexagon Socket head Cap screws")</f>
        <v>Baut L 
hexagon Socket head Cap screws</v>
      </c>
      <c r="G857" s="15">
        <f>IFERROR(__xludf.DUMMYFUNCTION("""COMPUTED_VALUE"""),50.0)</f>
        <v>50</v>
      </c>
      <c r="H857" s="15" t="str">
        <f>IFERROR(__xludf.DUMMYFUNCTION("""COMPUTED_VALUE"""),"pac/pcs")</f>
        <v>pac/pcs</v>
      </c>
      <c r="I857" s="15" t="str">
        <f>IFERROR(__xludf.DUMMYFUNCTION("""COMPUTED_VALUE"""),"Deliver")</f>
        <v>Deliver</v>
      </c>
      <c r="J857" s="15" t="str">
        <f>IFERROR(__xludf.DUMMYFUNCTION("""COMPUTED_VALUE"""),"121704162 - APPROVED")</f>
        <v>121704162 - APPROVED</v>
      </c>
      <c r="K857" s="15" t="str">
        <f>IFERROR(__xludf.DUMMYFUNCTION("""COMPUTED_VALUE"""),"GL2605332")</f>
        <v>GL2605332</v>
      </c>
      <c r="L857" s="15" t="str">
        <f>IFERROR(__xludf.DUMMYFUNCTION("""COMPUTED_VALUE"""),"Normal")</f>
        <v>Normal</v>
      </c>
      <c r="M857" s="18" t="s">
        <v>29</v>
      </c>
      <c r="N857" s="18" t="s">
        <v>30</v>
      </c>
    </row>
    <row r="858" hidden="1">
      <c r="A858" s="15" t="str">
        <f>IFERROR(__xludf.DUMMYFUNCTION("""COMPUTED_VALUE"""),"NDSRO0009")</f>
        <v>NDSRO0009</v>
      </c>
      <c r="B858" s="16">
        <f>IFERROR(__xludf.DUMMYFUNCTION("""COMPUTED_VALUE"""),45953.85406237269)</f>
        <v>45953.85406</v>
      </c>
      <c r="C858" s="17">
        <f>IFERROR(__xludf.DUMMYFUNCTION("""COMPUTED_VALUE"""),45976.22809709491)</f>
        <v>45976.2281</v>
      </c>
      <c r="D858" s="15" t="str">
        <f>IFERROR(__xludf.DUMMYFUNCTION("""COMPUTED_VALUE"""),"Washing")</f>
        <v>Washing</v>
      </c>
      <c r="E858" s="15" t="str">
        <f>IFERROR(__xludf.DUMMYFUNCTION("""COMPUTED_VALUE"""),"EJO/2025/10/113")</f>
        <v>EJO/2025/10/113</v>
      </c>
      <c r="F858" s="15" t="str">
        <f>IFERROR(__xludf.DUMMYFUNCTION("""COMPUTED_VALUE"""),"Washing RAR4 - Outfeed Teflon Left; ; ;")</f>
        <v>Washing RAR4 - Outfeed Teflon Left; ; ;</v>
      </c>
      <c r="G858" s="15">
        <f>IFERROR(__xludf.DUMMYFUNCTION("""COMPUTED_VALUE"""),1.0)</f>
        <v>1</v>
      </c>
      <c r="H858" s="15" t="str">
        <f>IFERROR(__xludf.DUMMYFUNCTION("""COMPUTED_VALUE"""),"Pcs")</f>
        <v>Pcs</v>
      </c>
      <c r="I858" s="15" t="str">
        <f>IFERROR(__xludf.DUMMYFUNCTION("""COMPUTED_VALUE"""),"Deliver")</f>
        <v>Deliver</v>
      </c>
      <c r="J858" s="15" t="str">
        <f>IFERROR(__xludf.DUMMYFUNCTION("""COMPUTED_VALUE"""),"121703497 - APPROVED")</f>
        <v>121703497 - APPROVED</v>
      </c>
      <c r="K858" s="15" t="str">
        <f>IFERROR(__xludf.DUMMYFUNCTION("""COMPUTED_VALUE"""),"GL2512331")</f>
        <v>GL2512331</v>
      </c>
      <c r="L858" s="15" t="str">
        <f>IFERROR(__xludf.DUMMYFUNCTION("""COMPUTED_VALUE"""),"Normal")</f>
        <v>Normal</v>
      </c>
      <c r="M858" s="18" t="s">
        <v>50</v>
      </c>
      <c r="N858" s="18" t="s">
        <v>30</v>
      </c>
    </row>
    <row r="859" hidden="1">
      <c r="A859" s="15" t="str">
        <f>IFERROR(__xludf.DUMMYFUNCTION("""COMPUTED_VALUE"""),"NDSRO0010")</f>
        <v>NDSRO0010</v>
      </c>
      <c r="B859" s="16">
        <f>IFERROR(__xludf.DUMMYFUNCTION("""COMPUTED_VALUE"""),45953.8545642824)</f>
        <v>45953.85456</v>
      </c>
      <c r="C859" s="17">
        <f>IFERROR(__xludf.DUMMYFUNCTION("""COMPUTED_VALUE"""),45976.22842898148)</f>
        <v>45976.22843</v>
      </c>
      <c r="D859" s="15" t="str">
        <f>IFERROR(__xludf.DUMMYFUNCTION("""COMPUTED_VALUE"""),"Washing")</f>
        <v>Washing</v>
      </c>
      <c r="E859" s="15" t="str">
        <f>IFERROR(__xludf.DUMMYFUNCTION("""COMPUTED_VALUE"""),"EJO/2025/10/113")</f>
        <v>EJO/2025/10/113</v>
      </c>
      <c r="F859" s="15" t="str">
        <f>IFERROR(__xludf.DUMMYFUNCTION("""COMPUTED_VALUE"""),"Washing RAR4 - Outfeed Teflon Right; ; ;")</f>
        <v>Washing RAR4 - Outfeed Teflon Right; ; ;</v>
      </c>
      <c r="G859" s="15">
        <f>IFERROR(__xludf.DUMMYFUNCTION("""COMPUTED_VALUE"""),1.0)</f>
        <v>1</v>
      </c>
      <c r="H859" s="15" t="str">
        <f>IFERROR(__xludf.DUMMYFUNCTION("""COMPUTED_VALUE"""),"Pcs")</f>
        <v>Pcs</v>
      </c>
      <c r="I859" s="15" t="str">
        <f>IFERROR(__xludf.DUMMYFUNCTION("""COMPUTED_VALUE"""),"Deliver")</f>
        <v>Deliver</v>
      </c>
      <c r="J859" s="15" t="str">
        <f>IFERROR(__xludf.DUMMYFUNCTION("""COMPUTED_VALUE"""),"121703497 - APPROVED")</f>
        <v>121703497 - APPROVED</v>
      </c>
      <c r="K859" s="15" t="str">
        <f>IFERROR(__xludf.DUMMYFUNCTION("""COMPUTED_VALUE"""),"GL2512331")</f>
        <v>GL2512331</v>
      </c>
      <c r="L859" s="15" t="str">
        <f>IFERROR(__xludf.DUMMYFUNCTION("""COMPUTED_VALUE"""),"Normal")</f>
        <v>Normal</v>
      </c>
      <c r="M859" s="18" t="s">
        <v>50</v>
      </c>
      <c r="N859" s="18" t="s">
        <v>30</v>
      </c>
    </row>
    <row r="860" hidden="1">
      <c r="A860" s="15" t="str">
        <f>IFERROR(__xludf.DUMMYFUNCTION("""COMPUTED_VALUE"""),"ROSRO0013")</f>
        <v>ROSRO0013</v>
      </c>
      <c r="B860" s="16">
        <f>IFERROR(__xludf.DUMMYFUNCTION("""COMPUTED_VALUE"""),45973.66713084491)</f>
        <v>45973.66713</v>
      </c>
      <c r="C860" s="17">
        <f>IFERROR(__xludf.DUMMYFUNCTION("""COMPUTED_VALUE"""),45976.252246365744)</f>
        <v>45976.25225</v>
      </c>
      <c r="D860" s="15" t="str">
        <f>IFERROR(__xludf.DUMMYFUNCTION("""COMPUTED_VALUE"""),"Autoclave Service fedegari")</f>
        <v>Autoclave Service fedegari</v>
      </c>
      <c r="E860" s="15" t="str">
        <f>IFERROR(__xludf.DUMMYFUNCTION("""COMPUTED_VALUE"""),"-")</f>
        <v>-</v>
      </c>
      <c r="F860" s="15" t="str">
        <f>IFERROR(__xludf.DUMMYFUNCTION("""COMPUTED_VALUE"""),"Autoclave Fedegari FOF / 6 AC - P/N. KK000304-KIT RICAMBI VALV.DN16 ON-OFF")</f>
        <v>Autoclave Fedegari FOF / 6 AC - P/N. KK000304-KIT RICAMBI VALV.DN16 ON-OFF</v>
      </c>
      <c r="G860" s="15">
        <f>IFERROR(__xludf.DUMMYFUNCTION("""COMPUTED_VALUE"""),5.0)</f>
        <v>5</v>
      </c>
      <c r="H860" s="15" t="str">
        <f>IFERROR(__xludf.DUMMYFUNCTION("""COMPUTED_VALUE"""),"pcs")</f>
        <v>pcs</v>
      </c>
      <c r="I860" s="15" t="str">
        <f>IFERROR(__xludf.DUMMYFUNCTION("""COMPUTED_VALUE"""),"Deliver")</f>
        <v>Deliver</v>
      </c>
      <c r="J860" s="15" t="str">
        <f>IFERROR(__xludf.DUMMYFUNCTION("""COMPUTED_VALUE"""),"121703551 - APPROVED")</f>
        <v>121703551 - APPROVED</v>
      </c>
      <c r="K860" s="15" t="str">
        <f>IFERROR(__xludf.DUMMYFUNCTION("""COMPUTED_VALUE"""),"GL2511305")</f>
        <v>GL2511305</v>
      </c>
      <c r="L860" s="15" t="str">
        <f>IFERROR(__xludf.DUMMYFUNCTION("""COMPUTED_VALUE"""),"Normal")</f>
        <v>Normal</v>
      </c>
      <c r="M860" s="18" t="s">
        <v>29</v>
      </c>
      <c r="N860" s="18" t="s">
        <v>30</v>
      </c>
    </row>
    <row r="861" hidden="1">
      <c r="A861" s="15" t="str">
        <f>IFERROR(__xludf.DUMMYFUNCTION("""COMPUTED_VALUE"""),"ROSRO0014")</f>
        <v>ROSRO0014</v>
      </c>
      <c r="B861" s="16">
        <f>IFERROR(__xludf.DUMMYFUNCTION("""COMPUTED_VALUE"""),45975.81316135417)</f>
        <v>45975.81316</v>
      </c>
      <c r="C861" s="17">
        <f>IFERROR(__xludf.DUMMYFUNCTION("""COMPUTED_VALUE"""),45976.25282752315)</f>
        <v>45976.25283</v>
      </c>
      <c r="D861" s="15" t="str">
        <f>IFERROR(__xludf.DUMMYFUNCTION("""COMPUTED_VALUE"""),"Isolator Dispensing Solid ")</f>
        <v>Isolator Dispensing Solid </v>
      </c>
      <c r="E861" s="15" t="str">
        <f>IFERROR(__xludf.DUMMYFUNCTION("""COMPUTED_VALUE"""),"-")</f>
        <v>-</v>
      </c>
      <c r="F861" s="15" t="str">
        <f>IFERROR(__xludf.DUMMYFUNCTION("""COMPUTED_VALUE"""),"General - Isolator Glove CSM Port size 10 Inch (AS : 97800 Y 8.5 E4 5); Austar; AU10Y1532/9AWN; 1 Pc")</f>
        <v>General - Isolator Glove CSM Port size 10 Inch (AS : 97800 Y 8.5 E4 5); Austar; AU10Y1532/9AWN; 1 Pc</v>
      </c>
      <c r="G861" s="15">
        <f>IFERROR(__xludf.DUMMYFUNCTION("""COMPUTED_VALUE"""),20.0)</f>
        <v>20</v>
      </c>
      <c r="H861" s="15" t="str">
        <f>IFERROR(__xludf.DUMMYFUNCTION("""COMPUTED_VALUE"""),"pcs")</f>
        <v>pcs</v>
      </c>
      <c r="I861" s="15" t="str">
        <f>IFERROR(__xludf.DUMMYFUNCTION("""COMPUTED_VALUE"""),"Deliver")</f>
        <v>Deliver</v>
      </c>
      <c r="J861" s="15" t="str">
        <f>IFERROR(__xludf.DUMMYFUNCTION("""COMPUTED_VALUE"""),"121704058 - APPROVED")</f>
        <v>121704058 - APPROVED</v>
      </c>
      <c r="K861" s="15" t="str">
        <f>IFERROR(__xludf.DUMMYFUNCTION("""COMPUTED_VALUE"""),"GL2603066")</f>
        <v>GL2603066</v>
      </c>
      <c r="L861" s="15" t="str">
        <f>IFERROR(__xludf.DUMMYFUNCTION("""COMPUTED_VALUE"""),"Normal")</f>
        <v>Normal</v>
      </c>
      <c r="M861" s="18" t="s">
        <v>29</v>
      </c>
      <c r="N861" s="18" t="s">
        <v>30</v>
      </c>
    </row>
    <row r="862" hidden="1">
      <c r="A862" s="15" t="str">
        <f>IFERROR(__xludf.DUMMYFUNCTION("""COMPUTED_VALUE"""),"MRNBR0088")</f>
        <v>MRNBR0088</v>
      </c>
      <c r="B862" s="16">
        <f>IFERROR(__xludf.DUMMYFUNCTION("""COMPUTED_VALUE"""),45975.690408194445)</f>
        <v>45975.69041</v>
      </c>
      <c r="C862" s="17">
        <f>IFERROR(__xludf.DUMMYFUNCTION("""COMPUTED_VALUE"""),45978.671384050926)</f>
        <v>45978.67138</v>
      </c>
      <c r="D862" s="15" t="str">
        <f>IFERROR(__xludf.DUMMYFUNCTION("""COMPUTED_VALUE"""),"-")</f>
        <v>-</v>
      </c>
      <c r="E862" s="15" t="str">
        <f>IFERROR(__xludf.DUMMYFUNCTION("""COMPUTED_VALUE"""),"EJO/2025/08/114")</f>
        <v>EJO/2025/08/114</v>
      </c>
      <c r="F862" s="15" t="str">
        <f>IFERROR(__xludf.DUMMYFUNCTION("""COMPUTED_VALUE"""),"valve ball")</f>
        <v>valve ball</v>
      </c>
      <c r="G862" s="15">
        <f>IFERROR(__xludf.DUMMYFUNCTION("""COMPUTED_VALUE"""),2.0)</f>
        <v>2</v>
      </c>
      <c r="H862" s="15" t="str">
        <f>IFERROR(__xludf.DUMMYFUNCTION("""COMPUTED_VALUE"""),"pcs")</f>
        <v>pcs</v>
      </c>
      <c r="I862" s="15" t="str">
        <f>IFERROR(__xludf.DUMMYFUNCTION("""COMPUTED_VALUE"""),"Approval PR")</f>
        <v>Approval PR</v>
      </c>
      <c r="J862" s="15" t="str">
        <f>IFERROR(__xludf.DUMMYFUNCTION("""COMPUTED_VALUE"""),"121703994 - INCOMPLETE")</f>
        <v>121703994 - INCOMPLETE</v>
      </c>
      <c r="K862" s="15" t="str">
        <f>IFERROR(__xludf.DUMMYFUNCTION("""COMPUTED_VALUE"""),"-")</f>
        <v>-</v>
      </c>
      <c r="L862" s="15" t="str">
        <f>IFERROR(__xludf.DUMMYFUNCTION("""COMPUTED_VALUE"""),"Normal")</f>
        <v>Normal</v>
      </c>
      <c r="M862" s="18" t="s">
        <v>48</v>
      </c>
      <c r="N862" s="18" t="s">
        <v>28</v>
      </c>
    </row>
    <row r="863" hidden="1">
      <c r="A863" s="15" t="str">
        <f>IFERROR(__xludf.DUMMYFUNCTION("""COMPUTED_VALUE"""),"MRNBR0087")</f>
        <v>MRNBR0087</v>
      </c>
      <c r="B863" s="16">
        <f>IFERROR(__xludf.DUMMYFUNCTION("""COMPUTED_VALUE"""),45975.68165363426)</f>
        <v>45975.68165</v>
      </c>
      <c r="C863" s="17">
        <f>IFERROR(__xludf.DUMMYFUNCTION("""COMPUTED_VALUE"""),45978.67151234954)</f>
        <v>45978.67151</v>
      </c>
      <c r="D863" s="15" t="str">
        <f>IFERROR(__xludf.DUMMYFUNCTION("""COMPUTED_VALUE"""),"hot water")</f>
        <v>hot water</v>
      </c>
      <c r="E863" s="15" t="str">
        <f>IFERROR(__xludf.DUMMYFUNCTION("""COMPUTED_VALUE"""),"EJO/2025/08/114")</f>
        <v>EJO/2025/08/114</v>
      </c>
      <c r="F863" s="15" t="str">
        <f>IFERROR(__xludf.DUMMYFUNCTION("""COMPUTED_VALUE"""),"Valve ball")</f>
        <v>Valve ball</v>
      </c>
      <c r="G863" s="15">
        <f>IFERROR(__xludf.DUMMYFUNCTION("""COMPUTED_VALUE"""),2.0)</f>
        <v>2</v>
      </c>
      <c r="H863" s="15" t="str">
        <f>IFERROR(__xludf.DUMMYFUNCTION("""COMPUTED_VALUE"""),"pcs")</f>
        <v>pcs</v>
      </c>
      <c r="I863" s="15" t="str">
        <f>IFERROR(__xludf.DUMMYFUNCTION("""COMPUTED_VALUE"""),"Approval PR")</f>
        <v>Approval PR</v>
      </c>
      <c r="J863" s="15" t="str">
        <f>IFERROR(__xludf.DUMMYFUNCTION("""COMPUTED_VALUE"""),"121703994 - INCOMPLETE")</f>
        <v>121703994 - INCOMPLETE</v>
      </c>
      <c r="K863" s="15" t="str">
        <f>IFERROR(__xludf.DUMMYFUNCTION("""COMPUTED_VALUE"""),"-")</f>
        <v>-</v>
      </c>
      <c r="L863" s="15" t="str">
        <f>IFERROR(__xludf.DUMMYFUNCTION("""COMPUTED_VALUE"""),"Normal")</f>
        <v>Normal</v>
      </c>
      <c r="M863" s="18" t="s">
        <v>48</v>
      </c>
      <c r="N863" s="18" t="s">
        <v>28</v>
      </c>
    </row>
    <row r="864" hidden="1">
      <c r="A864" s="15" t="str">
        <f>IFERROR(__xludf.DUMMYFUNCTION("""COMPUTED_VALUE"""),"RIABR0122")</f>
        <v>RIABR0122</v>
      </c>
      <c r="B864" s="16">
        <f>IFERROR(__xludf.DUMMYFUNCTION("""COMPUTED_VALUE"""),45979.73319178241)</f>
        <v>45979.73319</v>
      </c>
      <c r="C864" s="17">
        <f>IFERROR(__xludf.DUMMYFUNCTION("""COMPUTED_VALUE"""),45981.88903643519)</f>
        <v>45981.88904</v>
      </c>
      <c r="D864" s="15" t="str">
        <f>IFERROR(__xludf.DUMMYFUNCTION("""COMPUTED_VALUE"""),"Tool")</f>
        <v>Tool</v>
      </c>
      <c r="E864" s="15" t="str">
        <f>IFERROR(__xludf.DUMMYFUNCTION("""COMPUTED_VALUE"""),"-")</f>
        <v>-</v>
      </c>
      <c r="F864" s="15" t="str">
        <f>IFERROR(__xludf.DUMMYFUNCTION("""COMPUTED_VALUE"""),"Tang Buaya")</f>
        <v>Tang Buaya</v>
      </c>
      <c r="G864" s="15">
        <f>IFERROR(__xludf.DUMMYFUNCTION("""COMPUTED_VALUE"""),4.0)</f>
        <v>4</v>
      </c>
      <c r="H864" s="15" t="str">
        <f>IFERROR(__xludf.DUMMYFUNCTION("""COMPUTED_VALUE"""),"Pcs")</f>
        <v>Pcs</v>
      </c>
      <c r="I864" s="15" t="str">
        <f>IFERROR(__xludf.DUMMYFUNCTION("""COMPUTED_VALUE"""),"Deliver")</f>
        <v>Deliver</v>
      </c>
      <c r="J864" s="15" t="str">
        <f>IFERROR(__xludf.DUMMYFUNCTION("""COMPUTED_VALUE"""),"121703995 - APPROVED")</f>
        <v>121703995 - APPROVED</v>
      </c>
      <c r="K864" s="15" t="str">
        <f>IFERROR(__xludf.DUMMYFUNCTION("""COMPUTED_VALUE"""),"GL2604038")</f>
        <v>GL2604038</v>
      </c>
      <c r="L864" s="15" t="str">
        <f>IFERROR(__xludf.DUMMYFUNCTION("""COMPUTED_VALUE"""),"Normal")</f>
        <v>Normal</v>
      </c>
      <c r="M864" s="18" t="s">
        <v>32</v>
      </c>
      <c r="N864" s="18" t="s">
        <v>28</v>
      </c>
    </row>
    <row r="865" hidden="1">
      <c r="A865" s="15" t="str">
        <f>IFERROR(__xludf.DUMMYFUNCTION("""COMPUTED_VALUE"""),"RIABR0121")</f>
        <v>RIABR0121</v>
      </c>
      <c r="B865" s="16">
        <f>IFERROR(__xludf.DUMMYFUNCTION("""COMPUTED_VALUE"""),45979.732386365744)</f>
        <v>45979.73239</v>
      </c>
      <c r="C865" s="17">
        <f>IFERROR(__xludf.DUMMYFUNCTION("""COMPUTED_VALUE"""),45981.88925293982)</f>
        <v>45981.88925</v>
      </c>
      <c r="D865" s="15" t="str">
        <f>IFERROR(__xludf.DUMMYFUNCTION("""COMPUTED_VALUE"""),"AHU OS E1-1")</f>
        <v>AHU OS E1-1</v>
      </c>
      <c r="E865" s="15" t="str">
        <f>IFERROR(__xludf.DUMMYFUNCTION("""COMPUTED_VALUE"""),"-")</f>
        <v>-</v>
      </c>
      <c r="F865" s="15" t="str">
        <f>IFERROR(__xludf.DUMMYFUNCTION("""COMPUTED_VALUE"""),"Magnehelic")</f>
        <v>Magnehelic</v>
      </c>
      <c r="G865" s="15">
        <f>IFERROR(__xludf.DUMMYFUNCTION("""COMPUTED_VALUE"""),3.0)</f>
        <v>3</v>
      </c>
      <c r="H865" s="15" t="str">
        <f>IFERROR(__xludf.DUMMYFUNCTION("""COMPUTED_VALUE"""),"Pcs")</f>
        <v>Pcs</v>
      </c>
      <c r="I865" s="15" t="str">
        <f>IFERROR(__xludf.DUMMYFUNCTION("""COMPUTED_VALUE"""),"Deliver")</f>
        <v>Deliver</v>
      </c>
      <c r="J865" s="15" t="str">
        <f>IFERROR(__xludf.DUMMYFUNCTION("""COMPUTED_VALUE"""),"121704000 - APPROVED")</f>
        <v>121704000 - APPROVED</v>
      </c>
      <c r="K865" s="15" t="str">
        <f>IFERROR(__xludf.DUMMYFUNCTION("""COMPUTED_VALUE"""),"GL2603055")</f>
        <v>GL2603055</v>
      </c>
      <c r="L865" s="15" t="str">
        <f>IFERROR(__xludf.DUMMYFUNCTION("""COMPUTED_VALUE"""),"Normal")</f>
        <v>Normal</v>
      </c>
      <c r="M865" s="18" t="s">
        <v>32</v>
      </c>
      <c r="N865" s="18" t="s">
        <v>28</v>
      </c>
    </row>
    <row r="866" hidden="1">
      <c r="A866" s="15" t="str">
        <f>IFERROR(__xludf.DUMMYFUNCTION("""COMPUTED_VALUE"""),"RIABR0118")</f>
        <v>RIABR0118</v>
      </c>
      <c r="B866" s="16">
        <f>IFERROR(__xludf.DUMMYFUNCTION("""COMPUTED_VALUE"""),45979.72622349537)</f>
        <v>45979.72622</v>
      </c>
      <c r="C866" s="17">
        <f>IFERROR(__xludf.DUMMYFUNCTION("""COMPUTED_VALUE"""),45981.89015611111)</f>
        <v>45981.89016</v>
      </c>
      <c r="D866" s="15" t="str">
        <f>IFERROR(__xludf.DUMMYFUNCTION("""COMPUTED_VALUE"""),"Hot Water")</f>
        <v>Hot Water</v>
      </c>
      <c r="E866" s="15" t="str">
        <f>IFERROR(__xludf.DUMMYFUNCTION("""COMPUTED_VALUE"""),"-")</f>
        <v>-</v>
      </c>
      <c r="F866" s="15" t="str">
        <f>IFERROR(__xludf.DUMMYFUNCTION("""COMPUTED_VALUE"""),"Pressure Gauge + Pressure Transmiter")</f>
        <v>Pressure Gauge + Pressure Transmiter</v>
      </c>
      <c r="G866" s="15">
        <f>IFERROR(__xludf.DUMMYFUNCTION("""COMPUTED_VALUE"""),1.0)</f>
        <v>1</v>
      </c>
      <c r="H866" s="15" t="str">
        <f>IFERROR(__xludf.DUMMYFUNCTION("""COMPUTED_VALUE"""),"Pcs")</f>
        <v>Pcs</v>
      </c>
      <c r="I866" s="15" t="str">
        <f>IFERROR(__xludf.DUMMYFUNCTION("""COMPUTED_VALUE"""),"Deliver")</f>
        <v>Deliver</v>
      </c>
      <c r="J866" s="15" t="str">
        <f>IFERROR(__xludf.DUMMYFUNCTION("""COMPUTED_VALUE"""),"121704043 - APPROVED")</f>
        <v>121704043 - APPROVED</v>
      </c>
      <c r="K866" s="15" t="str">
        <f>IFERROR(__xludf.DUMMYFUNCTION("""COMPUTED_VALUE"""),"GL2604497")</f>
        <v>GL2604497</v>
      </c>
      <c r="L866" s="15" t="str">
        <f>IFERROR(__xludf.DUMMYFUNCTION("""COMPUTED_VALUE"""),"Normal")</f>
        <v>Normal</v>
      </c>
      <c r="M866" s="18" t="s">
        <v>32</v>
      </c>
      <c r="N866" s="18" t="s">
        <v>28</v>
      </c>
    </row>
    <row r="867" hidden="1">
      <c r="A867" s="15" t="str">
        <f>IFERROR(__xludf.DUMMYFUNCTION("""COMPUTED_VALUE"""),"RIABR0117")</f>
        <v>RIABR0117</v>
      </c>
      <c r="B867" s="16">
        <f>IFERROR(__xludf.DUMMYFUNCTION("""COMPUTED_VALUE"""),45979.71473649306)</f>
        <v>45979.71474</v>
      </c>
      <c r="C867" s="17">
        <f>IFERROR(__xludf.DUMMYFUNCTION("""COMPUTED_VALUE"""),45981.89031020833)</f>
        <v>45981.89031</v>
      </c>
      <c r="D867" s="15" t="str">
        <f>IFERROR(__xludf.DUMMYFUNCTION("""COMPUTED_VALUE"""),"Cooling Water")</f>
        <v>Cooling Water</v>
      </c>
      <c r="E867" s="15" t="str">
        <f>IFERROR(__xludf.DUMMYFUNCTION("""COMPUTED_VALUE"""),"-")</f>
        <v>-</v>
      </c>
      <c r="F867" s="15" t="str">
        <f>IFERROR(__xludf.DUMMYFUNCTION("""COMPUTED_VALUE"""),"Mechseal")</f>
        <v>Mechseal</v>
      </c>
      <c r="G867" s="15">
        <f>IFERROR(__xludf.DUMMYFUNCTION("""COMPUTED_VALUE"""),1.0)</f>
        <v>1</v>
      </c>
      <c r="H867" s="15" t="str">
        <f>IFERROR(__xludf.DUMMYFUNCTION("""COMPUTED_VALUE"""),"Set")</f>
        <v>Set</v>
      </c>
      <c r="I867" s="15" t="str">
        <f>IFERROR(__xludf.DUMMYFUNCTION("""COMPUTED_VALUE"""),"Deliver")</f>
        <v>Deliver</v>
      </c>
      <c r="J867" s="15" t="str">
        <f>IFERROR(__xludf.DUMMYFUNCTION("""COMPUTED_VALUE"""),"121703646 - APPROVED")</f>
        <v>121703646 - APPROVED</v>
      </c>
      <c r="K867" s="15" t="str">
        <f>IFERROR(__xludf.DUMMYFUNCTION("""COMPUTED_VALUE"""),"GL2601017")</f>
        <v>GL2601017</v>
      </c>
      <c r="L867" s="15" t="str">
        <f>IFERROR(__xludf.DUMMYFUNCTION("""COMPUTED_VALUE"""),"Normal")</f>
        <v>Normal</v>
      </c>
      <c r="M867" s="18" t="s">
        <v>32</v>
      </c>
      <c r="N867" s="18" t="s">
        <v>28</v>
      </c>
    </row>
    <row r="868" hidden="1">
      <c r="A868" s="15" t="str">
        <f>IFERROR(__xludf.DUMMYFUNCTION("""COMPUTED_VALUE"""),"RIABR0116")</f>
        <v>RIABR0116</v>
      </c>
      <c r="B868" s="16">
        <f>IFERROR(__xludf.DUMMYFUNCTION("""COMPUTED_VALUE"""),45979.67283787037)</f>
        <v>45979.67284</v>
      </c>
      <c r="C868" s="17">
        <f>IFERROR(__xludf.DUMMYFUNCTION("""COMPUTED_VALUE"""),45981.890449907405)</f>
        <v>45981.89045</v>
      </c>
      <c r="D868" s="15" t="str">
        <f>IFERROR(__xludf.DUMMYFUNCTION("""COMPUTED_VALUE"""),"PWG")</f>
        <v>PWG</v>
      </c>
      <c r="E868" s="15" t="str">
        <f>IFERROR(__xludf.DUMMYFUNCTION("""COMPUTED_VALUE"""),"EJO/2025/09/16")</f>
        <v>EJO/2025/09/16</v>
      </c>
      <c r="F868" s="15" t="str">
        <f>IFERROR(__xludf.DUMMYFUNCTION("""COMPUTED_VALUE"""),"Pressure Gauge")</f>
        <v>Pressure Gauge</v>
      </c>
      <c r="G868" s="15">
        <f>IFERROR(__xludf.DUMMYFUNCTION("""COMPUTED_VALUE"""),1.0)</f>
        <v>1</v>
      </c>
      <c r="H868" s="15" t="str">
        <f>IFERROR(__xludf.DUMMYFUNCTION("""COMPUTED_VALUE"""),"Pcs")</f>
        <v>Pcs</v>
      </c>
      <c r="I868" s="15" t="str">
        <f>IFERROR(__xludf.DUMMYFUNCTION("""COMPUTED_VALUE"""),"Deliver")</f>
        <v>Deliver</v>
      </c>
      <c r="J868" s="15" t="str">
        <f>IFERROR(__xludf.DUMMYFUNCTION("""COMPUTED_VALUE"""),"-")</f>
        <v>-</v>
      </c>
      <c r="K868" s="15" t="str">
        <f>IFERROR(__xludf.DUMMYFUNCTION("""COMPUTED_VALUE"""),"-")</f>
        <v>-</v>
      </c>
      <c r="L868" s="15" t="str">
        <f>IFERROR(__xludf.DUMMYFUNCTION("""COMPUTED_VALUE"""),"Normal")</f>
        <v>Normal</v>
      </c>
      <c r="M868" s="18" t="s">
        <v>32</v>
      </c>
      <c r="N868" s="18" t="s">
        <v>28</v>
      </c>
    </row>
    <row r="869" hidden="1">
      <c r="A869" s="15" t="str">
        <f>IFERROR(__xludf.DUMMYFUNCTION("""COMPUTED_VALUE"""),"MOBBR0049")</f>
        <v>MOBBR0049</v>
      </c>
      <c r="B869" s="16">
        <f>IFERROR(__xludf.DUMMYFUNCTION("""COMPUTED_VALUE"""),45993.49638828704)</f>
        <v>45993.49639</v>
      </c>
      <c r="C869" s="17">
        <f>IFERROR(__xludf.DUMMYFUNCTION("""COMPUTED_VALUE"""),46002.46435789352)</f>
        <v>46002.46436</v>
      </c>
      <c r="D869" s="15" t="str">
        <f>IFERROR(__xludf.DUMMYFUNCTION("""COMPUTED_VALUE"""),"Pneumatic Fitting")</f>
        <v>Pneumatic Fitting</v>
      </c>
      <c r="E869" s="15" t="str">
        <f>IFERROR(__xludf.DUMMYFUNCTION("""COMPUTED_VALUE"""),"-")</f>
        <v>-</v>
      </c>
      <c r="F869" s="15" t="str">
        <f>IFERROR(__xludf.DUMMYFUNCTION("""COMPUTED_VALUE"""),"QS")</f>
        <v>QS</v>
      </c>
      <c r="G869" s="15">
        <f>IFERROR(__xludf.DUMMYFUNCTION("""COMPUTED_VALUE"""),10.0)</f>
        <v>10</v>
      </c>
      <c r="H869" s="15" t="str">
        <f>IFERROR(__xludf.DUMMYFUNCTION("""COMPUTED_VALUE"""),"Pcs")</f>
        <v>Pcs</v>
      </c>
      <c r="I869" s="15" t="str">
        <f>IFERROR(__xludf.DUMMYFUNCTION("""COMPUTED_VALUE"""),"Deliver")</f>
        <v>Deliver</v>
      </c>
      <c r="J869" s="15" t="str">
        <f>IFERROR(__xludf.DUMMYFUNCTION("""COMPUTED_VALUE"""),"121703989 - APPROVED")</f>
        <v>121703989 - APPROVED</v>
      </c>
      <c r="K869" s="15" t="str">
        <f>IFERROR(__xludf.DUMMYFUNCTION("""COMPUTED_VALUE"""),"GL2604306")</f>
        <v>GL2604306</v>
      </c>
      <c r="L869" s="15" t="str">
        <f>IFERROR(__xludf.DUMMYFUNCTION("""COMPUTED_VALUE"""),"Normal")</f>
        <v>Normal</v>
      </c>
      <c r="M869" s="18" t="s">
        <v>31</v>
      </c>
      <c r="N869" s="18" t="s">
        <v>28</v>
      </c>
    </row>
    <row r="870" hidden="1">
      <c r="A870" s="15" t="str">
        <f>IFERROR(__xludf.DUMMYFUNCTION("""COMPUTED_VALUE"""),"MOBBR0051")</f>
        <v>MOBBR0051</v>
      </c>
      <c r="B870" s="16">
        <f>IFERROR(__xludf.DUMMYFUNCTION("""COMPUTED_VALUE"""),45993.499915659726)</f>
        <v>45993.49992</v>
      </c>
      <c r="C870" s="17">
        <f>IFERROR(__xludf.DUMMYFUNCTION("""COMPUTED_VALUE"""),46002.464720613425)</f>
        <v>46002.46472</v>
      </c>
      <c r="D870" s="15" t="str">
        <f>IFERROR(__xludf.DUMMYFUNCTION("""COMPUTED_VALUE"""),"Pneumatic Fitting")</f>
        <v>Pneumatic Fitting</v>
      </c>
      <c r="E870" s="15" t="str">
        <f>IFERROR(__xludf.DUMMYFUNCTION("""COMPUTED_VALUE"""),"-")</f>
        <v>-</v>
      </c>
      <c r="F870" s="15" t="str">
        <f>IFERROR(__xludf.DUMMYFUNCTION("""COMPUTED_VALUE"""),"QS")</f>
        <v>QS</v>
      </c>
      <c r="G870" s="15">
        <f>IFERROR(__xludf.DUMMYFUNCTION("""COMPUTED_VALUE"""),10.0)</f>
        <v>10</v>
      </c>
      <c r="H870" s="15" t="str">
        <f>IFERROR(__xludf.DUMMYFUNCTION("""COMPUTED_VALUE"""),"Pcs")</f>
        <v>Pcs</v>
      </c>
      <c r="I870" s="15" t="str">
        <f>IFERROR(__xludf.DUMMYFUNCTION("""COMPUTED_VALUE"""),"Deliver")</f>
        <v>Deliver</v>
      </c>
      <c r="J870" s="15" t="str">
        <f>IFERROR(__xludf.DUMMYFUNCTION("""COMPUTED_VALUE"""),"121703989 - APPROVED")</f>
        <v>121703989 - APPROVED</v>
      </c>
      <c r="K870" s="15" t="str">
        <f>IFERROR(__xludf.DUMMYFUNCTION("""COMPUTED_VALUE"""),"GL2604306")</f>
        <v>GL2604306</v>
      </c>
      <c r="L870" s="15" t="str">
        <f>IFERROR(__xludf.DUMMYFUNCTION("""COMPUTED_VALUE"""),"Normal")</f>
        <v>Normal</v>
      </c>
      <c r="M870" s="18" t="s">
        <v>31</v>
      </c>
      <c r="N870" s="18" t="s">
        <v>28</v>
      </c>
    </row>
    <row r="871" hidden="1">
      <c r="A871" s="15" t="str">
        <f>IFERROR(__xludf.DUMMYFUNCTION("""COMPUTED_VALUE"""),"MRNBR0090")</f>
        <v>MRNBR0090</v>
      </c>
      <c r="B871" s="16">
        <f>IFERROR(__xludf.DUMMYFUNCTION("""COMPUTED_VALUE"""),45995.88686731482)</f>
        <v>45995.88687</v>
      </c>
      <c r="C871" s="17">
        <f>IFERROR(__xludf.DUMMYFUNCTION("""COMPUTED_VALUE"""),46002.465424236114)</f>
        <v>46002.46542</v>
      </c>
      <c r="D871" s="15" t="str">
        <f>IFERROR(__xludf.DUMMYFUNCTION("""COMPUTED_VALUE"""),"AHU F2-4")</f>
        <v>AHU F2-4</v>
      </c>
      <c r="E871" s="15" t="str">
        <f>IFERROR(__xludf.DUMMYFUNCTION("""COMPUTED_VALUE"""),"EJO/2025/11/120")</f>
        <v>EJO/2025/11/120</v>
      </c>
      <c r="F871" s="15" t="str">
        <f>IFERROR(__xludf.DUMMYFUNCTION("""COMPUTED_VALUE"""),"Trafo Step Down")</f>
        <v>Trafo Step Down</v>
      </c>
      <c r="G871" s="15">
        <f>IFERROR(__xludf.DUMMYFUNCTION("""COMPUTED_VALUE"""),1.0)</f>
        <v>1</v>
      </c>
      <c r="H871" s="15" t="str">
        <f>IFERROR(__xludf.DUMMYFUNCTION("""COMPUTED_VALUE"""),"pcs")</f>
        <v>pcs</v>
      </c>
      <c r="I871" s="15" t="str">
        <f>IFERROR(__xludf.DUMMYFUNCTION("""COMPUTED_VALUE"""),"Approval PR")</f>
        <v>Approval PR</v>
      </c>
      <c r="J871" s="15" t="str">
        <f>IFERROR(__xludf.DUMMYFUNCTION("""COMPUTED_VALUE"""),"121703994 - INCOMPLETE")</f>
        <v>121703994 - INCOMPLETE</v>
      </c>
      <c r="K871" s="15" t="str">
        <f>IFERROR(__xludf.DUMMYFUNCTION("""COMPUTED_VALUE"""),"-")</f>
        <v>-</v>
      </c>
      <c r="L871" s="15" t="str">
        <f>IFERROR(__xludf.DUMMYFUNCTION("""COMPUTED_VALUE"""),"Normal")</f>
        <v>Normal</v>
      </c>
      <c r="M871" s="18" t="s">
        <v>48</v>
      </c>
      <c r="N871" s="18" t="s">
        <v>28</v>
      </c>
    </row>
    <row r="872" hidden="1">
      <c r="A872" s="15" t="str">
        <f>IFERROR(__xludf.DUMMYFUNCTION("""COMPUTED_VALUE"""),"MOBRO0065")</f>
        <v>MOBRO0065</v>
      </c>
      <c r="B872" s="16">
        <f>IFERROR(__xludf.DUMMYFUNCTION("""COMPUTED_VALUE"""),45993.49177363426)</f>
        <v>45993.49177</v>
      </c>
      <c r="C872" s="17">
        <f>IFERROR(__xludf.DUMMYFUNCTION("""COMPUTED_VALUE"""),46002.4655977662)</f>
        <v>46002.4656</v>
      </c>
      <c r="D872" s="15" t="str">
        <f>IFERROR(__xludf.DUMMYFUNCTION("""COMPUTED_VALUE"""),"Pneumatic Fitting")</f>
        <v>Pneumatic Fitting</v>
      </c>
      <c r="E872" s="15" t="str">
        <f>IFERROR(__xludf.DUMMYFUNCTION("""COMPUTED_VALUE"""),"-")</f>
        <v>-</v>
      </c>
      <c r="F872" s="15" t="str">
        <f>IFERROR(__xludf.DUMMYFUNCTION("""COMPUTED_VALUE"""),"Pneumatic  Fitting - QS 1/2-10 / PN : 190646 / Festo")</f>
        <v>Pneumatic  Fitting - QS 1/2-10 / PN : 190646 / Festo</v>
      </c>
      <c r="G872" s="15">
        <f>IFERROR(__xludf.DUMMYFUNCTION("""COMPUTED_VALUE"""),10.0)</f>
        <v>10</v>
      </c>
      <c r="H872" s="15" t="str">
        <f>IFERROR(__xludf.DUMMYFUNCTION("""COMPUTED_VALUE"""),"pcs")</f>
        <v>pcs</v>
      </c>
      <c r="I872" s="15" t="str">
        <f>IFERROR(__xludf.DUMMYFUNCTION("""COMPUTED_VALUE"""),"Deliver")</f>
        <v>Deliver</v>
      </c>
      <c r="J872" s="15" t="str">
        <f>IFERROR(__xludf.DUMMYFUNCTION("""COMPUTED_VALUE"""),"121703621 - APPROVED")</f>
        <v>121703621 - APPROVED</v>
      </c>
      <c r="K872" s="15" t="str">
        <f>IFERROR(__xludf.DUMMYFUNCTION("""COMPUTED_VALUE"""),"GL2607381")</f>
        <v>GL2607381</v>
      </c>
      <c r="L872" s="15" t="str">
        <f>IFERROR(__xludf.DUMMYFUNCTION("""COMPUTED_VALUE"""),"Normal")</f>
        <v>Normal</v>
      </c>
      <c r="M872" s="18" t="s">
        <v>31</v>
      </c>
      <c r="N872" s="18" t="s">
        <v>28</v>
      </c>
    </row>
    <row r="873" hidden="1">
      <c r="A873" s="15" t="str">
        <f>IFERROR(__xludf.DUMMYFUNCTION("""COMPUTED_VALUE"""),"MOBRO0066")</f>
        <v>MOBRO0066</v>
      </c>
      <c r="B873" s="16">
        <f>IFERROR(__xludf.DUMMYFUNCTION("""COMPUTED_VALUE"""),45993.49864751157)</f>
        <v>45993.49865</v>
      </c>
      <c r="C873" s="17">
        <f>IFERROR(__xludf.DUMMYFUNCTION("""COMPUTED_VALUE"""),46002.465754884266)</f>
        <v>46002.46575</v>
      </c>
      <c r="D873" s="15" t="str">
        <f>IFERROR(__xludf.DUMMYFUNCTION("""COMPUTED_VALUE"""),"Pneumatic Fitting")</f>
        <v>Pneumatic Fitting</v>
      </c>
      <c r="E873" s="15" t="str">
        <f>IFERROR(__xludf.DUMMYFUNCTION("""COMPUTED_VALUE"""),"-")</f>
        <v>-</v>
      </c>
      <c r="F873" s="15" t="str">
        <f>IFERROR(__xludf.DUMMYFUNCTION("""COMPUTED_VALUE"""),"Pneumatic Fitting - QS 1/4-10 / PN : 153007 / Festo")</f>
        <v>Pneumatic Fitting - QS 1/4-10 / PN : 153007 / Festo</v>
      </c>
      <c r="G873" s="15">
        <f>IFERROR(__xludf.DUMMYFUNCTION("""COMPUTED_VALUE"""),10.0)</f>
        <v>10</v>
      </c>
      <c r="H873" s="15" t="str">
        <f>IFERROR(__xludf.DUMMYFUNCTION("""COMPUTED_VALUE"""),"pcs")</f>
        <v>pcs</v>
      </c>
      <c r="I873" s="15" t="str">
        <f>IFERROR(__xludf.DUMMYFUNCTION("""COMPUTED_VALUE"""),"Deliver")</f>
        <v>Deliver</v>
      </c>
      <c r="J873" s="15" t="str">
        <f>IFERROR(__xludf.DUMMYFUNCTION("""COMPUTED_VALUE"""),"121703621 - APPROVED")</f>
        <v>121703621 - APPROVED</v>
      </c>
      <c r="K873" s="15" t="str">
        <f>IFERROR(__xludf.DUMMYFUNCTION("""COMPUTED_VALUE"""),"GL2607381")</f>
        <v>GL2607381</v>
      </c>
      <c r="L873" s="15" t="str">
        <f>IFERROR(__xludf.DUMMYFUNCTION("""COMPUTED_VALUE"""),"Normal")</f>
        <v>Normal</v>
      </c>
      <c r="M873" s="18" t="s">
        <v>31</v>
      </c>
      <c r="N873" s="18" t="s">
        <v>28</v>
      </c>
    </row>
    <row r="874" hidden="1">
      <c r="A874" s="15" t="str">
        <f>IFERROR(__xludf.DUMMYFUNCTION("""COMPUTED_VALUE"""),"MOBRO0067")</f>
        <v>MOBRO0067</v>
      </c>
      <c r="B874" s="16">
        <f>IFERROR(__xludf.DUMMYFUNCTION("""COMPUTED_VALUE"""),45993.49905060185)</f>
        <v>45993.49905</v>
      </c>
      <c r="C874" s="17">
        <f>IFERROR(__xludf.DUMMYFUNCTION("""COMPUTED_VALUE"""),46002.46588460648)</f>
        <v>46002.46588</v>
      </c>
      <c r="D874" s="15" t="str">
        <f>IFERROR(__xludf.DUMMYFUNCTION("""COMPUTED_VALUE"""),"Pneumatic Fitting")</f>
        <v>Pneumatic Fitting</v>
      </c>
      <c r="E874" s="15" t="str">
        <f>IFERROR(__xludf.DUMMYFUNCTION("""COMPUTED_VALUE"""),"-")</f>
        <v>-</v>
      </c>
      <c r="F874" s="15" t="str">
        <f>IFERROR(__xludf.DUMMYFUNCTION("""COMPUTED_VALUE"""),"General - Push-in Fitting, QS-1/4-6; Festo; 153003; 1 pcs")</f>
        <v>General - Push-in Fitting, QS-1/4-6; Festo; 153003; 1 pcs</v>
      </c>
      <c r="G874" s="15">
        <f>IFERROR(__xludf.DUMMYFUNCTION("""COMPUTED_VALUE"""),10.0)</f>
        <v>10</v>
      </c>
      <c r="H874" s="15" t="str">
        <f>IFERROR(__xludf.DUMMYFUNCTION("""COMPUTED_VALUE"""),"pcs")</f>
        <v>pcs</v>
      </c>
      <c r="I874" s="15" t="str">
        <f>IFERROR(__xludf.DUMMYFUNCTION("""COMPUTED_VALUE"""),"Deliver")</f>
        <v>Deliver</v>
      </c>
      <c r="J874" s="15" t="str">
        <f>IFERROR(__xludf.DUMMYFUNCTION("""COMPUTED_VALUE"""),"121703621 - APPROVED")</f>
        <v>121703621 - APPROVED</v>
      </c>
      <c r="K874" s="15" t="str">
        <f>IFERROR(__xludf.DUMMYFUNCTION("""COMPUTED_VALUE"""),"GL2607381")</f>
        <v>GL2607381</v>
      </c>
      <c r="L874" s="15" t="str">
        <f>IFERROR(__xludf.DUMMYFUNCTION("""COMPUTED_VALUE"""),"Normal")</f>
        <v>Normal</v>
      </c>
      <c r="M874" s="18" t="s">
        <v>31</v>
      </c>
      <c r="N874" s="18" t="s">
        <v>28</v>
      </c>
    </row>
    <row r="875" hidden="1">
      <c r="A875" s="15" t="str">
        <f>IFERROR(__xludf.DUMMYFUNCTION("""COMPUTED_VALUE"""),"MOBRO0068")</f>
        <v>MOBRO0068</v>
      </c>
      <c r="B875" s="16">
        <f>IFERROR(__xludf.DUMMYFUNCTION("""COMPUTED_VALUE"""),45993.5010647338)</f>
        <v>45993.50106</v>
      </c>
      <c r="C875" s="17">
        <f>IFERROR(__xludf.DUMMYFUNCTION("""COMPUTED_VALUE"""),46002.466014502315)</f>
        <v>46002.46601</v>
      </c>
      <c r="D875" s="15" t="str">
        <f>IFERROR(__xludf.DUMMYFUNCTION("""COMPUTED_VALUE"""),"Pneumatic Fitting")</f>
        <v>Pneumatic Fitting</v>
      </c>
      <c r="E875" s="15" t="str">
        <f>IFERROR(__xludf.DUMMYFUNCTION("""COMPUTED_VALUE"""),"-")</f>
        <v>-</v>
      </c>
      <c r="F875" s="15" t="str">
        <f>IFERROR(__xludf.DUMMYFUNCTION("""COMPUTED_VALUE"""),"FESTO - QS-10-8 Push In Connector p/n 153039")</f>
        <v>FESTO - QS-10-8 Push In Connector p/n 153039</v>
      </c>
      <c r="G875" s="15">
        <f>IFERROR(__xludf.DUMMYFUNCTION("""COMPUTED_VALUE"""),10.0)</f>
        <v>10</v>
      </c>
      <c r="H875" s="15" t="str">
        <f>IFERROR(__xludf.DUMMYFUNCTION("""COMPUTED_VALUE"""),"pcs")</f>
        <v>pcs</v>
      </c>
      <c r="I875" s="15" t="str">
        <f>IFERROR(__xludf.DUMMYFUNCTION("""COMPUTED_VALUE"""),"Deliver")</f>
        <v>Deliver</v>
      </c>
      <c r="J875" s="15" t="str">
        <f>IFERROR(__xludf.DUMMYFUNCTION("""COMPUTED_VALUE"""),"121703724 - APPROVED")</f>
        <v>121703724 - APPROVED</v>
      </c>
      <c r="K875" s="15" t="str">
        <f>IFERROR(__xludf.DUMMYFUNCTION("""COMPUTED_VALUE"""),"GL2607381")</f>
        <v>GL2607381</v>
      </c>
      <c r="L875" s="15" t="str">
        <f>IFERROR(__xludf.DUMMYFUNCTION("""COMPUTED_VALUE"""),"Normal")</f>
        <v>Normal</v>
      </c>
      <c r="M875" s="18" t="s">
        <v>31</v>
      </c>
      <c r="N875" s="18" t="s">
        <v>28</v>
      </c>
    </row>
    <row r="876" hidden="1">
      <c r="A876" s="15" t="str">
        <f>IFERROR(__xludf.DUMMYFUNCTION("""COMPUTED_VALUE"""),"MOBRO0069")</f>
        <v>MOBRO0069</v>
      </c>
      <c r="B876" s="16">
        <f>IFERROR(__xludf.DUMMYFUNCTION("""COMPUTED_VALUE"""),45993.50336865741)</f>
        <v>45993.50337</v>
      </c>
      <c r="C876" s="17">
        <f>IFERROR(__xludf.DUMMYFUNCTION("""COMPUTED_VALUE"""),46002.46614402778)</f>
        <v>46002.46614</v>
      </c>
      <c r="D876" s="15" t="str">
        <f>IFERROR(__xludf.DUMMYFUNCTION("""COMPUTED_VALUE"""),"Pneumatic Fitting")</f>
        <v>Pneumatic Fitting</v>
      </c>
      <c r="E876" s="15" t="str">
        <f>IFERROR(__xludf.DUMMYFUNCTION("""COMPUTED_VALUE"""),"-")</f>
        <v>-</v>
      </c>
      <c r="F876" s="15" t="str">
        <f>IFERROR(__xludf.DUMMYFUNCTION("""COMPUTED_VALUE"""),"General - Push-in Connector, QS-8-6; Festo; 153038; 1 pcs")</f>
        <v>General - Push-in Connector, QS-8-6; Festo; 153038; 1 pcs</v>
      </c>
      <c r="G876" s="15">
        <f>IFERROR(__xludf.DUMMYFUNCTION("""COMPUTED_VALUE"""),10.0)</f>
        <v>10</v>
      </c>
      <c r="H876" s="15" t="str">
        <f>IFERROR(__xludf.DUMMYFUNCTION("""COMPUTED_VALUE"""),"pcs")</f>
        <v>pcs</v>
      </c>
      <c r="I876" s="15" t="str">
        <f>IFERROR(__xludf.DUMMYFUNCTION("""COMPUTED_VALUE"""),"Deliver")</f>
        <v>Deliver</v>
      </c>
      <c r="J876" s="15" t="str">
        <f>IFERROR(__xludf.DUMMYFUNCTION("""COMPUTED_VALUE"""),"121703621 - APPROVED")</f>
        <v>121703621 - APPROVED</v>
      </c>
      <c r="K876" s="15" t="str">
        <f>IFERROR(__xludf.DUMMYFUNCTION("""COMPUTED_VALUE"""),"GL2607381")</f>
        <v>GL2607381</v>
      </c>
      <c r="L876" s="15" t="str">
        <f>IFERROR(__xludf.DUMMYFUNCTION("""COMPUTED_VALUE"""),"Normal")</f>
        <v>Normal</v>
      </c>
      <c r="M876" s="18" t="s">
        <v>31</v>
      </c>
      <c r="N876" s="18" t="s">
        <v>28</v>
      </c>
    </row>
    <row r="877" hidden="1">
      <c r="A877" s="15" t="str">
        <f>IFERROR(__xludf.DUMMYFUNCTION("""COMPUTED_VALUE"""),"RIABR0124")</f>
        <v>RIABR0124</v>
      </c>
      <c r="B877" s="16">
        <f>IFERROR(__xludf.DUMMYFUNCTION("""COMPUTED_VALUE"""),46003.3452017824)</f>
        <v>46003.3452</v>
      </c>
      <c r="C877" s="17">
        <f>IFERROR(__xludf.DUMMYFUNCTION("""COMPUTED_VALUE"""),46003.66614560185)</f>
        <v>46003.66615</v>
      </c>
      <c r="D877" s="15" t="str">
        <f>IFERROR(__xludf.DUMMYFUNCTION("""COMPUTED_VALUE"""),"PWG")</f>
        <v>PWG</v>
      </c>
      <c r="E877" s="15" t="str">
        <f>IFERROR(__xludf.DUMMYFUNCTION("""COMPUTED_VALUE"""),"EJO/2025/08/133")</f>
        <v>EJO/2025/08/133</v>
      </c>
      <c r="F877" s="15" t="str">
        <f>IFERROR(__xludf.DUMMYFUNCTION("""COMPUTED_VALUE"""),"Pressure Gauge")</f>
        <v>Pressure Gauge</v>
      </c>
      <c r="G877" s="15">
        <f>IFERROR(__xludf.DUMMYFUNCTION("""COMPUTED_VALUE"""),1.0)</f>
        <v>1</v>
      </c>
      <c r="H877" s="15" t="str">
        <f>IFERROR(__xludf.DUMMYFUNCTION("""COMPUTED_VALUE"""),"Pcs")</f>
        <v>Pcs</v>
      </c>
      <c r="I877" s="15" t="str">
        <f>IFERROR(__xludf.DUMMYFUNCTION("""COMPUTED_VALUE"""),"Deliver")</f>
        <v>Deliver</v>
      </c>
      <c r="J877" s="15" t="str">
        <f>IFERROR(__xludf.DUMMYFUNCTION("""COMPUTED_VALUE"""),"-")</f>
        <v>-</v>
      </c>
      <c r="K877" s="15" t="str">
        <f>IFERROR(__xludf.DUMMYFUNCTION("""COMPUTED_VALUE"""),"-")</f>
        <v>-</v>
      </c>
      <c r="L877" s="15" t="str">
        <f>IFERROR(__xludf.DUMMYFUNCTION("""COMPUTED_VALUE"""),"Normal")</f>
        <v>Normal</v>
      </c>
      <c r="M877" s="18" t="s">
        <v>32</v>
      </c>
      <c r="N877" s="18" t="s">
        <v>28</v>
      </c>
    </row>
    <row r="878" hidden="1">
      <c r="A878" s="15" t="str">
        <f>IFERROR(__xludf.DUMMYFUNCTION("""COMPUTED_VALUE"""),"ROSBR0046")</f>
        <v>ROSBR0046</v>
      </c>
      <c r="B878" s="16">
        <f>IFERROR(__xludf.DUMMYFUNCTION("""COMPUTED_VALUE"""),45973.88009362268)</f>
        <v>45973.88009</v>
      </c>
      <c r="C878" s="17">
        <f>IFERROR(__xludf.DUMMYFUNCTION("""COMPUTED_VALUE"""),46010.247716736114)</f>
        <v>46010.24772</v>
      </c>
      <c r="D878" s="15" t="str">
        <f>IFERROR(__xludf.DUMMYFUNCTION("""COMPUTED_VALUE"""),"Membran Crabs ")</f>
        <v>Membran Crabs </v>
      </c>
      <c r="E878" s="15" t="str">
        <f>IFERROR(__xludf.DUMMYFUNCTION("""COMPUTED_VALUE"""),"NA")</f>
        <v>NA</v>
      </c>
      <c r="F878" s="15" t="str">
        <f>IFERROR(__xludf.DUMMYFUNCTION("""COMPUTED_VALUE"""),"tang Riveter nuts guns")</f>
        <v>tang Riveter nuts guns</v>
      </c>
      <c r="G878" s="15">
        <f>IFERROR(__xludf.DUMMYFUNCTION("""COMPUTED_VALUE"""),1.0)</f>
        <v>1</v>
      </c>
      <c r="H878" s="15" t="str">
        <f>IFERROR(__xludf.DUMMYFUNCTION("""COMPUTED_VALUE"""),"set")</f>
        <v>set</v>
      </c>
      <c r="I878" s="15" t="str">
        <f>IFERROR(__xludf.DUMMYFUNCTION("""COMPUTED_VALUE"""),"Deliver")</f>
        <v>Deliver</v>
      </c>
      <c r="J878" s="15" t="str">
        <f>IFERROR(__xludf.DUMMYFUNCTION("""COMPUTED_VALUE"""),"121703995 - APPROVED")</f>
        <v>121703995 - APPROVED</v>
      </c>
      <c r="K878" s="15" t="str">
        <f>IFERROR(__xludf.DUMMYFUNCTION("""COMPUTED_VALUE"""),"GL2604040")</f>
        <v>GL2604040</v>
      </c>
      <c r="L878" s="15" t="str">
        <f>IFERROR(__xludf.DUMMYFUNCTION("""COMPUTED_VALUE"""),"Normal")</f>
        <v>Normal</v>
      </c>
      <c r="M878" s="18" t="s">
        <v>29</v>
      </c>
      <c r="N878" s="18" t="s">
        <v>30</v>
      </c>
    </row>
    <row r="879" hidden="1">
      <c r="A879" s="15" t="str">
        <f>IFERROR(__xludf.DUMMYFUNCTION("""COMPUTED_VALUE"""),"ROSBR0047")</f>
        <v>ROSBR0047</v>
      </c>
      <c r="B879" s="16">
        <f>IFERROR(__xludf.DUMMYFUNCTION("""COMPUTED_VALUE"""),45973.891167546295)</f>
        <v>45973.89117</v>
      </c>
      <c r="C879" s="17">
        <f>IFERROR(__xludf.DUMMYFUNCTION("""COMPUTED_VALUE"""),46010.247950613426)</f>
        <v>46010.24795</v>
      </c>
      <c r="D879" s="15" t="str">
        <f>IFERROR(__xludf.DUMMYFUNCTION("""COMPUTED_VALUE"""),"Membran Crabs ")</f>
        <v>Membran Crabs </v>
      </c>
      <c r="E879" s="15" t="str">
        <f>IFERROR(__xludf.DUMMYFUNCTION("""COMPUTED_VALUE"""),"NA")</f>
        <v>NA</v>
      </c>
      <c r="F879" s="15" t="str">
        <f>IFERROR(__xludf.DUMMYFUNCTION("""COMPUTED_VALUE"""),"Mur nuts rivet ")</f>
        <v>Mur nuts rivet </v>
      </c>
      <c r="G879" s="15">
        <f>IFERROR(__xludf.DUMMYFUNCTION("""COMPUTED_VALUE"""),2.0)</f>
        <v>2</v>
      </c>
      <c r="H879" s="15" t="str">
        <f>IFERROR(__xludf.DUMMYFUNCTION("""COMPUTED_VALUE"""),"pak")</f>
        <v>pak</v>
      </c>
      <c r="I879" s="15" t="str">
        <f>IFERROR(__xludf.DUMMYFUNCTION("""COMPUTED_VALUE"""),"Deliver")</f>
        <v>Deliver</v>
      </c>
      <c r="J879" s="15" t="str">
        <f>IFERROR(__xludf.DUMMYFUNCTION("""COMPUTED_VALUE"""),"121704043 - APPROVED")</f>
        <v>121704043 - APPROVED</v>
      </c>
      <c r="K879" s="15" t="str">
        <f>IFERROR(__xludf.DUMMYFUNCTION("""COMPUTED_VALUE"""),"GL2604490")</f>
        <v>GL2604490</v>
      </c>
      <c r="L879" s="15" t="str">
        <f>IFERROR(__xludf.DUMMYFUNCTION("""COMPUTED_VALUE"""),"Normal")</f>
        <v>Normal</v>
      </c>
      <c r="M879" s="18" t="s">
        <v>29</v>
      </c>
      <c r="N879" s="18" t="s">
        <v>30</v>
      </c>
    </row>
    <row r="880" hidden="1">
      <c r="A880" s="15" t="str">
        <f>IFERROR(__xludf.DUMMYFUNCTION("""COMPUTED_VALUE"""),"ROSBR0048")</f>
        <v>ROSBR0048</v>
      </c>
      <c r="B880" s="16">
        <f>IFERROR(__xludf.DUMMYFUNCTION("""COMPUTED_VALUE"""),45973.923991261574)</f>
        <v>45973.92399</v>
      </c>
      <c r="C880" s="17">
        <f>IFERROR(__xludf.DUMMYFUNCTION("""COMPUTED_VALUE"""),46010.248172638894)</f>
        <v>46010.24817</v>
      </c>
      <c r="D880" s="15" t="str">
        <f>IFERROR(__xludf.DUMMYFUNCTION("""COMPUTED_VALUE"""),"Membran Crabs ")</f>
        <v>Membran Crabs </v>
      </c>
      <c r="E880" s="15" t="str">
        <f>IFERROR(__xludf.DUMMYFUNCTION("""COMPUTED_VALUE"""),"NA")</f>
        <v>NA</v>
      </c>
      <c r="F880" s="15" t="str">
        <f>IFERROR(__xludf.DUMMYFUNCTION("""COMPUTED_VALUE"""),"GB5789 Serrated Flanged Hexagon Bolt Stainless Steel SUS304 M5x16")</f>
        <v>GB5789 Serrated Flanged Hexagon Bolt Stainless Steel SUS304 M5x16</v>
      </c>
      <c r="G880" s="15">
        <f>IFERROR(__xludf.DUMMYFUNCTION("""COMPUTED_VALUE"""),100.0)</f>
        <v>100</v>
      </c>
      <c r="H880" s="15" t="str">
        <f>IFERROR(__xludf.DUMMYFUNCTION("""COMPUTED_VALUE"""),"pcs")</f>
        <v>pcs</v>
      </c>
      <c r="I880" s="15" t="str">
        <f>IFERROR(__xludf.DUMMYFUNCTION("""COMPUTED_VALUE"""),"Approval PR")</f>
        <v>Approval PR</v>
      </c>
      <c r="J880" s="15" t="str">
        <f>IFERROR(__xludf.DUMMYFUNCTION("""COMPUTED_VALUE"""),"121703994 - INCOMPLETE")</f>
        <v>121703994 - INCOMPLETE</v>
      </c>
      <c r="K880" s="15" t="str">
        <f>IFERROR(__xludf.DUMMYFUNCTION("""COMPUTED_VALUE"""),"-")</f>
        <v>-</v>
      </c>
      <c r="L880" s="15" t="str">
        <f>IFERROR(__xludf.DUMMYFUNCTION("""COMPUTED_VALUE"""),"Normal")</f>
        <v>Normal</v>
      </c>
      <c r="M880" s="18" t="s">
        <v>29</v>
      </c>
      <c r="N880" s="18" t="s">
        <v>30</v>
      </c>
    </row>
    <row r="881" hidden="1">
      <c r="A881" s="15" t="str">
        <f>IFERROR(__xludf.DUMMYFUNCTION("""COMPUTED_VALUE"""),"ROSBR0050")</f>
        <v>ROSBR0050</v>
      </c>
      <c r="B881" s="16">
        <f>IFERROR(__xludf.DUMMYFUNCTION("""COMPUTED_VALUE"""),45991.93372652777)</f>
        <v>45991.93373</v>
      </c>
      <c r="C881" s="17">
        <f>IFERROR(__xludf.DUMMYFUNCTION("""COMPUTED_VALUE"""),46010.24990333333)</f>
        <v>46010.2499</v>
      </c>
      <c r="D881" s="15" t="str">
        <f>IFERROR(__xludf.DUMMYFUNCTION("""COMPUTED_VALUE"""),"Bor baterai ")</f>
        <v>Bor baterai </v>
      </c>
      <c r="E881" s="15" t="str">
        <f>IFERROR(__xludf.DUMMYFUNCTION("""COMPUTED_VALUE"""),"NA ")</f>
        <v>NA </v>
      </c>
      <c r="F881" s="15" t="str">
        <f>IFERROR(__xludf.DUMMYFUNCTION("""COMPUTED_VALUE"""),"Mata Bor Socket Hex Nut / Baut Roofing Adaptor")</f>
        <v>Mata Bor Socket Hex Nut / Baut Roofing Adaptor</v>
      </c>
      <c r="G881" s="15">
        <f>IFERROR(__xludf.DUMMYFUNCTION("""COMPUTED_VALUE"""),1.0)</f>
        <v>1</v>
      </c>
      <c r="H881" s="15" t="str">
        <f>IFERROR(__xludf.DUMMYFUNCTION("""COMPUTED_VALUE"""),"Set")</f>
        <v>Set</v>
      </c>
      <c r="I881" s="15" t="str">
        <f>IFERROR(__xludf.DUMMYFUNCTION("""COMPUTED_VALUE"""),"Deliver")</f>
        <v>Deliver</v>
      </c>
      <c r="J881" s="15" t="str">
        <f>IFERROR(__xludf.DUMMYFUNCTION("""COMPUTED_VALUE"""),"121704043 - APPROVED")</f>
        <v>121704043 - APPROVED</v>
      </c>
      <c r="K881" s="15" t="str">
        <f>IFERROR(__xludf.DUMMYFUNCTION("""COMPUTED_VALUE"""),"GL2604497")</f>
        <v>GL2604497</v>
      </c>
      <c r="L881" s="15" t="str">
        <f>IFERROR(__xludf.DUMMYFUNCTION("""COMPUTED_VALUE"""),"Normal")</f>
        <v>Normal</v>
      </c>
      <c r="M881" s="18" t="s">
        <v>29</v>
      </c>
      <c r="N881" s="18" t="s">
        <v>30</v>
      </c>
    </row>
    <row r="882" hidden="1">
      <c r="A882" s="15" t="str">
        <f>IFERROR(__xludf.DUMMYFUNCTION("""COMPUTED_VALUE"""),"ROSRO0015")</f>
        <v>ROSRO0015</v>
      </c>
      <c r="B882" s="16">
        <f>IFERROR(__xludf.DUMMYFUNCTION("""COMPUTED_VALUE"""),45989.63322773148)</f>
        <v>45989.63323</v>
      </c>
      <c r="C882" s="17">
        <f>IFERROR(__xludf.DUMMYFUNCTION("""COMPUTED_VALUE"""),46010.25072570602)</f>
        <v>46010.25073</v>
      </c>
      <c r="D882" s="15" t="str">
        <f>IFERROR(__xludf.DUMMYFUNCTION("""COMPUTED_VALUE"""),"FD")</f>
        <v>FD</v>
      </c>
      <c r="E882" s="15" t="str">
        <f>IFERROR(__xludf.DUMMYFUNCTION("""COMPUTED_VALUE"""),"-")</f>
        <v>-</v>
      </c>
      <c r="F882" s="15" t="str">
        <f>IFERROR(__xludf.DUMMYFUNCTION("""COMPUTED_VALUE"""),"General - Seal Ferrule Teflon 1 1/2inch; No Brand; -; 1 pcs")</f>
        <v>General - Seal Ferrule Teflon 1 1/2inch; No Brand; -; 1 pcs</v>
      </c>
      <c r="G882" s="15">
        <f>IFERROR(__xludf.DUMMYFUNCTION("""COMPUTED_VALUE"""),20.0)</f>
        <v>20</v>
      </c>
      <c r="H882" s="15" t="str">
        <f>IFERROR(__xludf.DUMMYFUNCTION("""COMPUTED_VALUE"""),"pcs ")</f>
        <v>pcs </v>
      </c>
      <c r="I882" s="15" t="str">
        <f>IFERROR(__xludf.DUMMYFUNCTION("""COMPUTED_VALUE"""),"Deliver")</f>
        <v>Deliver</v>
      </c>
      <c r="J882" s="15" t="str">
        <f>IFERROR(__xludf.DUMMYFUNCTION("""COMPUTED_VALUE"""),"-")</f>
        <v>-</v>
      </c>
      <c r="K882" s="15" t="str">
        <f>IFERROR(__xludf.DUMMYFUNCTION("""COMPUTED_VALUE"""),"-")</f>
        <v>-</v>
      </c>
      <c r="L882" s="15" t="str">
        <f>IFERROR(__xludf.DUMMYFUNCTION("""COMPUTED_VALUE"""),"Normal")</f>
        <v>Normal</v>
      </c>
      <c r="M882" s="18" t="s">
        <v>29</v>
      </c>
      <c r="N882" s="18" t="s">
        <v>30</v>
      </c>
    </row>
    <row r="883" hidden="1">
      <c r="A883" s="15" t="str">
        <f>IFERROR(__xludf.DUMMYFUNCTION("""COMPUTED_VALUE"""),"ROSRO0016")</f>
        <v>ROSRO0016</v>
      </c>
      <c r="B883" s="16">
        <f>IFERROR(__xludf.DUMMYFUNCTION("""COMPUTED_VALUE"""),45989.63322773148)</f>
        <v>45989.63323</v>
      </c>
      <c r="C883" s="17">
        <f>IFERROR(__xludf.DUMMYFUNCTION("""COMPUTED_VALUE"""),46010.25090681713)</f>
        <v>46010.25091</v>
      </c>
      <c r="D883" s="15" t="str">
        <f>IFERROR(__xludf.DUMMYFUNCTION("""COMPUTED_VALUE"""),"FD")</f>
        <v>FD</v>
      </c>
      <c r="E883" s="15" t="str">
        <f>IFERROR(__xludf.DUMMYFUNCTION("""COMPUTED_VALUE"""),"-")</f>
        <v>-</v>
      </c>
      <c r="F883" s="15" t="str">
        <f>IFERROR(__xludf.DUMMYFUNCTION("""COMPUTED_VALUE"""),"General - Seal Ferrule Teflon 3/4inch; No Brand; -; 1 pcs")</f>
        <v>General - Seal Ferrule Teflon 3/4inch; No Brand; -; 1 pcs</v>
      </c>
      <c r="G883" s="15">
        <f>IFERROR(__xludf.DUMMYFUNCTION("""COMPUTED_VALUE"""),20.0)</f>
        <v>20</v>
      </c>
      <c r="H883" s="15" t="str">
        <f>IFERROR(__xludf.DUMMYFUNCTION("""COMPUTED_VALUE"""),"pcs")</f>
        <v>pcs</v>
      </c>
      <c r="I883" s="15" t="str">
        <f>IFERROR(__xludf.DUMMYFUNCTION("""COMPUTED_VALUE"""),"Deliver")</f>
        <v>Deliver</v>
      </c>
      <c r="J883" s="15" t="str">
        <f>IFERROR(__xludf.DUMMYFUNCTION("""COMPUTED_VALUE"""),"-")</f>
        <v>-</v>
      </c>
      <c r="K883" s="15" t="str">
        <f>IFERROR(__xludf.DUMMYFUNCTION("""COMPUTED_VALUE"""),"-")</f>
        <v>-</v>
      </c>
      <c r="L883" s="15" t="str">
        <f>IFERROR(__xludf.DUMMYFUNCTION("""COMPUTED_VALUE"""),"Normal")</f>
        <v>Normal</v>
      </c>
      <c r="M883" s="18" t="s">
        <v>29</v>
      </c>
      <c r="N883" s="18" t="s">
        <v>30</v>
      </c>
    </row>
    <row r="884" hidden="1">
      <c r="A884" s="15" t="str">
        <f>IFERROR(__xludf.DUMMYFUNCTION("""COMPUTED_VALUE"""),"ROSRO0017")</f>
        <v>ROSRO0017</v>
      </c>
      <c r="B884" s="16">
        <f>IFERROR(__xludf.DUMMYFUNCTION("""COMPUTED_VALUE"""),45989.63322773148)</f>
        <v>45989.63323</v>
      </c>
      <c r="C884" s="17">
        <f>IFERROR(__xludf.DUMMYFUNCTION("""COMPUTED_VALUE"""),46010.25109759259)</f>
        <v>46010.2511</v>
      </c>
      <c r="D884" s="15" t="str">
        <f>IFERROR(__xludf.DUMMYFUNCTION("""COMPUTED_VALUE"""),"FD")</f>
        <v>FD</v>
      </c>
      <c r="E884" s="15" t="str">
        <f>IFERROR(__xludf.DUMMYFUNCTION("""COMPUTED_VALUE"""),"-")</f>
        <v>-</v>
      </c>
      <c r="F884" s="15" t="str">
        <f>IFERROR(__xludf.DUMMYFUNCTION("""COMPUTED_VALUE"""),"General - Seal Ferrule Teflon 1 1/2inch; No Brand; -; 1 pcs")</f>
        <v>General - Seal Ferrule Teflon 1 1/2inch; No Brand; -; 1 pcs</v>
      </c>
      <c r="G884" s="15">
        <f>IFERROR(__xludf.DUMMYFUNCTION("""COMPUTED_VALUE"""),20.0)</f>
        <v>20</v>
      </c>
      <c r="H884" s="15" t="str">
        <f>IFERROR(__xludf.DUMMYFUNCTION("""COMPUTED_VALUE"""),"pcs")</f>
        <v>pcs</v>
      </c>
      <c r="I884" s="15" t="str">
        <f>IFERROR(__xludf.DUMMYFUNCTION("""COMPUTED_VALUE"""),"Deliver")</f>
        <v>Deliver</v>
      </c>
      <c r="J884" s="15" t="str">
        <f>IFERROR(__xludf.DUMMYFUNCTION("""COMPUTED_VALUE"""),"-")</f>
        <v>-</v>
      </c>
      <c r="K884" s="15" t="str">
        <f>IFERROR(__xludf.DUMMYFUNCTION("""COMPUTED_VALUE"""),"-")</f>
        <v>-</v>
      </c>
      <c r="L884" s="15" t="str">
        <f>IFERROR(__xludf.DUMMYFUNCTION("""COMPUTED_VALUE"""),"Normal")</f>
        <v>Normal</v>
      </c>
      <c r="M884" s="18" t="s">
        <v>29</v>
      </c>
      <c r="N884" s="18" t="s">
        <v>30</v>
      </c>
    </row>
    <row r="885" hidden="1">
      <c r="A885" s="15" t="str">
        <f>IFERROR(__xludf.DUMMYFUNCTION("""COMPUTED_VALUE"""),"ANOBR0041")</f>
        <v>ANOBR0041</v>
      </c>
      <c r="B885" s="16">
        <f>IFERROR(__xludf.DUMMYFUNCTION("""COMPUTED_VALUE"""),46009.38019087963)</f>
        <v>46009.38019</v>
      </c>
      <c r="C885" s="17">
        <f>IFERROR(__xludf.DUMMYFUNCTION("""COMPUTED_VALUE"""),46010.25740143519)</f>
        <v>46010.2574</v>
      </c>
      <c r="D885" s="15" t="str">
        <f>IFERROR(__xludf.DUMMYFUNCTION("""COMPUTED_VALUE"""),"Chiler Blistering")</f>
        <v>Chiler Blistering</v>
      </c>
      <c r="E885" s="15" t="str">
        <f>IFERROR(__xludf.DUMMYFUNCTION("""COMPUTED_VALUE"""),"-")</f>
        <v>-</v>
      </c>
      <c r="F885" s="15" t="str">
        <f>IFERROR(__xludf.DUMMYFUNCTION("""COMPUTED_VALUE"""),"Elbow Ornamen SS 201 dia. 4""")</f>
        <v>Elbow Ornamen SS 201 dia. 4"</v>
      </c>
      <c r="G885" s="15">
        <f>IFERROR(__xludf.DUMMYFUNCTION("""COMPUTED_VALUE"""),2.0)</f>
        <v>2</v>
      </c>
      <c r="H885" s="15" t="str">
        <f>IFERROR(__xludf.DUMMYFUNCTION("""COMPUTED_VALUE"""),"PCS")</f>
        <v>PCS</v>
      </c>
      <c r="I885" s="15" t="str">
        <f>IFERROR(__xludf.DUMMYFUNCTION("""COMPUTED_VALUE"""),"Deliver")</f>
        <v>Deliver</v>
      </c>
      <c r="J885" s="15" t="str">
        <f>IFERROR(__xludf.DUMMYFUNCTION("""COMPUTED_VALUE"""),"121703618 - APPROVED")</f>
        <v>121703618 - APPROVED</v>
      </c>
      <c r="K885" s="15" t="str">
        <f>IFERROR(__xludf.DUMMYFUNCTION("""COMPUTED_VALUE"""),"GL2512049")</f>
        <v>GL2512049</v>
      </c>
      <c r="L885" s="15" t="str">
        <f>IFERROR(__xludf.DUMMYFUNCTION("""COMPUTED_VALUE"""),"Normal")</f>
        <v>Normal</v>
      </c>
      <c r="M885" s="18" t="s">
        <v>49</v>
      </c>
      <c r="N885" s="18" t="s">
        <v>30</v>
      </c>
    </row>
    <row r="886" hidden="1">
      <c r="A886" s="15" t="str">
        <f>IFERROR(__xludf.DUMMYFUNCTION("""COMPUTED_VALUE"""),"ANOBR0042")</f>
        <v>ANOBR0042</v>
      </c>
      <c r="B886" s="16">
        <f>IFERROR(__xludf.DUMMYFUNCTION("""COMPUTED_VALUE"""),46009.391036678244)</f>
        <v>46009.39104</v>
      </c>
      <c r="C886" s="17">
        <f>IFERROR(__xludf.DUMMYFUNCTION("""COMPUTED_VALUE"""),46010.25768833333)</f>
        <v>46010.25769</v>
      </c>
      <c r="D886" s="15" t="str">
        <f>IFERROR(__xludf.DUMMYFUNCTION("""COMPUTED_VALUE"""),"Chiler Blistering")</f>
        <v>Chiler Blistering</v>
      </c>
      <c r="E886" s="15" t="str">
        <f>IFERROR(__xludf.DUMMYFUNCTION("""COMPUTED_VALUE"""),"-")</f>
        <v>-</v>
      </c>
      <c r="F886" s="15" t="str">
        <f>IFERROR(__xludf.DUMMYFUNCTION("""COMPUTED_VALUE"""),"03-Round Pipe Hanger with Blue Rubber Seat and Base SS 304 dia. 4""")</f>
        <v>03-Round Pipe Hanger with Blue Rubber Seat and Base SS 304 dia. 4"</v>
      </c>
      <c r="G886" s="15">
        <f>IFERROR(__xludf.DUMMYFUNCTION("""COMPUTED_VALUE"""),3.0)</f>
        <v>3</v>
      </c>
      <c r="H886" s="15" t="str">
        <f>IFERROR(__xludf.DUMMYFUNCTION("""COMPUTED_VALUE"""),"PCS")</f>
        <v>PCS</v>
      </c>
      <c r="I886" s="15" t="str">
        <f>IFERROR(__xludf.DUMMYFUNCTION("""COMPUTED_VALUE"""),"Deliver")</f>
        <v>Deliver</v>
      </c>
      <c r="J886" s="15" t="str">
        <f>IFERROR(__xludf.DUMMYFUNCTION("""COMPUTED_VALUE"""),"121703618 - APPROVED")</f>
        <v>121703618 - APPROVED</v>
      </c>
      <c r="K886" s="15" t="str">
        <f>IFERROR(__xludf.DUMMYFUNCTION("""COMPUTED_VALUE"""),"GL2512049")</f>
        <v>GL2512049</v>
      </c>
      <c r="L886" s="15" t="str">
        <f>IFERROR(__xludf.DUMMYFUNCTION("""COMPUTED_VALUE"""),"Normal")</f>
        <v>Normal</v>
      </c>
      <c r="M886" s="18" t="s">
        <v>49</v>
      </c>
      <c r="N886" s="18" t="s">
        <v>30</v>
      </c>
    </row>
    <row r="887" hidden="1">
      <c r="A887" s="15" t="str">
        <f>IFERROR(__xludf.DUMMYFUNCTION("""COMPUTED_VALUE"""),"RIARO0056")</f>
        <v>RIARO0056</v>
      </c>
      <c r="B887" s="16">
        <f>IFERROR(__xludf.DUMMYFUNCTION("""COMPUTED_VALUE"""),46008.262979189814)</f>
        <v>46008.26298</v>
      </c>
      <c r="C887" s="17">
        <f>IFERROR(__xludf.DUMMYFUNCTION("""COMPUTED_VALUE"""),46010.406650717596)</f>
        <v>46010.40665</v>
      </c>
      <c r="D887" s="15" t="str">
        <f>IFERROR(__xludf.DUMMYFUNCTION("""COMPUTED_VALUE"""),"PW SKID")</f>
        <v>PW SKID</v>
      </c>
      <c r="E887" s="15" t="str">
        <f>IFERROR(__xludf.DUMMYFUNCTION("""COMPUTED_VALUE"""),"EJO/2025/10/146")</f>
        <v>EJO/2025/10/146</v>
      </c>
      <c r="F887" s="15" t="str">
        <f>IFERROR(__xludf.DUMMYFUNCTION("""COMPUTED_VALUE"""),"General - UV Lamp SD55-320W; Hanovia; 130071-0320-C; 1 pc")</f>
        <v>General - UV Lamp SD55-320W; Hanovia; 130071-0320-C; 1 pc</v>
      </c>
      <c r="G887" s="15">
        <f>IFERROR(__xludf.DUMMYFUNCTION("""COMPUTED_VALUE"""),2.0)</f>
        <v>2</v>
      </c>
      <c r="H887" s="15" t="str">
        <f>IFERROR(__xludf.DUMMYFUNCTION("""COMPUTED_VALUE"""),"Pcs")</f>
        <v>Pcs</v>
      </c>
      <c r="I887" s="15" t="str">
        <f>IFERROR(__xludf.DUMMYFUNCTION("""COMPUTED_VALUE"""),"Deliver")</f>
        <v>Deliver</v>
      </c>
      <c r="J887" s="15" t="str">
        <f>IFERROR(__xludf.DUMMYFUNCTION("""COMPUTED_VALUE"""),"-")</f>
        <v>-</v>
      </c>
      <c r="K887" s="15" t="str">
        <f>IFERROR(__xludf.DUMMYFUNCTION("""COMPUTED_VALUE"""),"-")</f>
        <v>-</v>
      </c>
      <c r="L887" s="15" t="str">
        <f>IFERROR(__xludf.DUMMYFUNCTION("""COMPUTED_VALUE"""),"Normal")</f>
        <v>Normal</v>
      </c>
      <c r="M887" s="18" t="s">
        <v>32</v>
      </c>
      <c r="N887" s="18" t="s">
        <v>28</v>
      </c>
    </row>
    <row r="888" hidden="1">
      <c r="A888" s="15" t="str">
        <f>IFERROR(__xludf.DUMMYFUNCTION("""COMPUTED_VALUE"""),"RIABR0125")</f>
        <v>RIABR0125</v>
      </c>
      <c r="B888" s="16">
        <f>IFERROR(__xludf.DUMMYFUNCTION("""COMPUTED_VALUE"""),46008.26701225694)</f>
        <v>46008.26701</v>
      </c>
      <c r="C888" s="17">
        <f>IFERROR(__xludf.DUMMYFUNCTION("""COMPUTED_VALUE"""),46010.40679681714)</f>
        <v>46010.4068</v>
      </c>
      <c r="D888" s="15" t="str">
        <f>IFERROR(__xludf.DUMMYFUNCTION("""COMPUTED_VALUE"""),"BIBO C1-3")</f>
        <v>BIBO C1-3</v>
      </c>
      <c r="E888" s="15" t="str">
        <f>IFERROR(__xludf.DUMMYFUNCTION("""COMPUTED_VALUE"""),"EJO/2025/11/121")</f>
        <v>EJO/2025/11/121</v>
      </c>
      <c r="F888" s="15" t="str">
        <f>IFERROR(__xludf.DUMMYFUNCTION("""COMPUTED_VALUE"""),"Magnehelic")</f>
        <v>Magnehelic</v>
      </c>
      <c r="G888" s="15">
        <f>IFERROR(__xludf.DUMMYFUNCTION("""COMPUTED_VALUE"""),3.0)</f>
        <v>3</v>
      </c>
      <c r="H888" s="15" t="str">
        <f>IFERROR(__xludf.DUMMYFUNCTION("""COMPUTED_VALUE"""),"Pcs")</f>
        <v>Pcs</v>
      </c>
      <c r="I888" s="15" t="str">
        <f>IFERROR(__xludf.DUMMYFUNCTION("""COMPUTED_VALUE"""),"Deliver")</f>
        <v>Deliver</v>
      </c>
      <c r="J888" s="15" t="str">
        <f>IFERROR(__xludf.DUMMYFUNCTION("""COMPUTED_VALUE"""),"121703763 - APPROVED")</f>
        <v>121703763 - APPROVED</v>
      </c>
      <c r="K888" s="15" t="str">
        <f>IFERROR(__xludf.DUMMYFUNCTION("""COMPUTED_VALUE"""),"GL2602016")</f>
        <v>GL2602016</v>
      </c>
      <c r="L888" s="15" t="str">
        <f>IFERROR(__xludf.DUMMYFUNCTION("""COMPUTED_VALUE"""),"Normal")</f>
        <v>Normal</v>
      </c>
      <c r="M888" s="18" t="s">
        <v>32</v>
      </c>
      <c r="N888" s="18" t="s">
        <v>28</v>
      </c>
    </row>
    <row r="889" hidden="1">
      <c r="A889" s="15" t="str">
        <f>IFERROR(__xludf.DUMMYFUNCTION("""COMPUTED_VALUE"""),"RIABR0126")</f>
        <v>RIABR0126</v>
      </c>
      <c r="B889" s="16">
        <f>IFERROR(__xludf.DUMMYFUNCTION("""COMPUTED_VALUE"""),46008.26784240741)</f>
        <v>46008.26784</v>
      </c>
      <c r="C889" s="17">
        <f>IFERROR(__xludf.DUMMYFUNCTION("""COMPUTED_VALUE"""),46010.407085046296)</f>
        <v>46010.40709</v>
      </c>
      <c r="D889" s="15" t="str">
        <f>IFERROR(__xludf.DUMMYFUNCTION("""COMPUTED_VALUE"""),"AHU OS E1-1")</f>
        <v>AHU OS E1-1</v>
      </c>
      <c r="E889" s="15" t="str">
        <f>IFERROR(__xludf.DUMMYFUNCTION("""COMPUTED_VALUE"""),"-")</f>
        <v>-</v>
      </c>
      <c r="F889" s="15" t="str">
        <f>IFERROR(__xludf.DUMMYFUNCTION("""COMPUTED_VALUE"""),"Magnehelic")</f>
        <v>Magnehelic</v>
      </c>
      <c r="G889" s="15">
        <f>IFERROR(__xludf.DUMMYFUNCTION("""COMPUTED_VALUE"""),3.0)</f>
        <v>3</v>
      </c>
      <c r="H889" s="15" t="str">
        <f>IFERROR(__xludf.DUMMYFUNCTION("""COMPUTED_VALUE"""),"Pcs")</f>
        <v>Pcs</v>
      </c>
      <c r="I889" s="15" t="str">
        <f>IFERROR(__xludf.DUMMYFUNCTION("""COMPUTED_VALUE"""),"Deliver")</f>
        <v>Deliver</v>
      </c>
      <c r="J889" s="15" t="str">
        <f>IFERROR(__xludf.DUMMYFUNCTION("""COMPUTED_VALUE"""),"121704178 - APPROVED")</f>
        <v>121704178 - APPROVED</v>
      </c>
      <c r="K889" s="15" t="str">
        <f>IFERROR(__xludf.DUMMYFUNCTION("""COMPUTED_VALUE"""),"GL2605004")</f>
        <v>GL2605004</v>
      </c>
      <c r="L889" s="15" t="str">
        <f>IFERROR(__xludf.DUMMYFUNCTION("""COMPUTED_VALUE"""),"Normal")</f>
        <v>Normal</v>
      </c>
      <c r="M889" s="18" t="s">
        <v>32</v>
      </c>
      <c r="N889" s="18" t="s">
        <v>28</v>
      </c>
    </row>
    <row r="890" hidden="1">
      <c r="A890" s="15" t="str">
        <f>IFERROR(__xludf.DUMMYFUNCTION("""COMPUTED_VALUE"""),"RIABR0127")</f>
        <v>RIABR0127</v>
      </c>
      <c r="B890" s="16">
        <f>IFERROR(__xludf.DUMMYFUNCTION("""COMPUTED_VALUE"""),46008.26853159723)</f>
        <v>46008.26853</v>
      </c>
      <c r="C890" s="17">
        <f>IFERROR(__xludf.DUMMYFUNCTION("""COMPUTED_VALUE"""),46010.40723341436)</f>
        <v>46010.40723</v>
      </c>
      <c r="D890" s="15" t="str">
        <f>IFERROR(__xludf.DUMMYFUNCTION("""COMPUTED_VALUE"""),"AHU OS E1-1")</f>
        <v>AHU OS E1-1</v>
      </c>
      <c r="E890" s="15" t="str">
        <f>IFERROR(__xludf.DUMMYFUNCTION("""COMPUTED_VALUE"""),"-")</f>
        <v>-</v>
      </c>
      <c r="F890" s="15" t="str">
        <f>IFERROR(__xludf.DUMMYFUNCTION("""COMPUTED_VALUE"""),"Magnehelic")</f>
        <v>Magnehelic</v>
      </c>
      <c r="G890" s="15">
        <f>IFERROR(__xludf.DUMMYFUNCTION("""COMPUTED_VALUE"""),3.0)</f>
        <v>3</v>
      </c>
      <c r="H890" s="15" t="str">
        <f>IFERROR(__xludf.DUMMYFUNCTION("""COMPUTED_VALUE"""),"Pcs")</f>
        <v>Pcs</v>
      </c>
      <c r="I890" s="15" t="str">
        <f>IFERROR(__xludf.DUMMYFUNCTION("""COMPUTED_VALUE"""),"Deliver")</f>
        <v>Deliver</v>
      </c>
      <c r="J890" s="15" t="str">
        <f>IFERROR(__xludf.DUMMYFUNCTION("""COMPUTED_VALUE"""),"-")</f>
        <v>-</v>
      </c>
      <c r="K890" s="15" t="str">
        <f>IFERROR(__xludf.DUMMYFUNCTION("""COMPUTED_VALUE"""),"-")</f>
        <v>-</v>
      </c>
      <c r="L890" s="15" t="str">
        <f>IFERROR(__xludf.DUMMYFUNCTION("""COMPUTED_VALUE"""),"Normal")</f>
        <v>Normal</v>
      </c>
      <c r="M890" s="18" t="s">
        <v>32</v>
      </c>
      <c r="N890" s="18" t="s">
        <v>28</v>
      </c>
    </row>
    <row r="891" hidden="1">
      <c r="A891" s="15" t="str">
        <f>IFERROR(__xludf.DUMMYFUNCTION("""COMPUTED_VALUE"""),"MRNBR0091")</f>
        <v>MRNBR0091</v>
      </c>
      <c r="B891" s="16">
        <f>IFERROR(__xludf.DUMMYFUNCTION("""COMPUTED_VALUE"""),46005.657085555555)</f>
        <v>46005.65709</v>
      </c>
      <c r="C891" s="17">
        <f>IFERROR(__xludf.DUMMYFUNCTION("""COMPUTED_VALUE"""),46010.40739758102)</f>
        <v>46010.4074</v>
      </c>
      <c r="D891" s="15" t="str">
        <f>IFERROR(__xludf.DUMMYFUNCTION("""COMPUTED_VALUE"""),"Deep frezzer API")</f>
        <v>Deep frezzer API</v>
      </c>
      <c r="E891" s="15" t="str">
        <f>IFERROR(__xludf.DUMMYFUNCTION("""COMPUTED_VALUE"""),"EJO/2025/10/02")</f>
        <v>EJO/2025/10/02</v>
      </c>
      <c r="F891" s="15" t="str">
        <f>IFERROR(__xludf.DUMMYFUNCTION("""COMPUTED_VALUE"""),"Dinamo fan")</f>
        <v>Dinamo fan</v>
      </c>
      <c r="G891" s="15">
        <f>IFERROR(__xludf.DUMMYFUNCTION("""COMPUTED_VALUE"""),5.0)</f>
        <v>5</v>
      </c>
      <c r="H891" s="15" t="str">
        <f>IFERROR(__xludf.DUMMYFUNCTION("""COMPUTED_VALUE"""),"pcs")</f>
        <v>pcs</v>
      </c>
      <c r="I891" s="15" t="str">
        <f>IFERROR(__xludf.DUMMYFUNCTION("""COMPUTED_VALUE"""),"Deliver")</f>
        <v>Deliver</v>
      </c>
      <c r="J891" s="15" t="str">
        <f>IFERROR(__xludf.DUMMYFUNCTION("""COMPUTED_VALUE"""),"121704162 - APPROVED")</f>
        <v>121704162 - APPROVED</v>
      </c>
      <c r="K891" s="15" t="str">
        <f>IFERROR(__xludf.DUMMYFUNCTION("""COMPUTED_VALUE"""),"GL2605332")</f>
        <v>GL2605332</v>
      </c>
      <c r="L891" s="15" t="str">
        <f>IFERROR(__xludf.DUMMYFUNCTION("""COMPUTED_VALUE"""),"Normal")</f>
        <v>Normal</v>
      </c>
      <c r="M891" s="18" t="s">
        <v>48</v>
      </c>
      <c r="N891" s="18" t="s">
        <v>28</v>
      </c>
    </row>
    <row r="892" hidden="1">
      <c r="A892" s="15" t="str">
        <f>IFERROR(__xludf.DUMMYFUNCTION("""COMPUTED_VALUE"""),"RIABR0128")</f>
        <v>RIABR0128</v>
      </c>
      <c r="B892" s="16">
        <f>IFERROR(__xludf.DUMMYFUNCTION("""COMPUTED_VALUE"""),46010.25584149305)</f>
        <v>46010.25584</v>
      </c>
      <c r="C892" s="17">
        <f>IFERROR(__xludf.DUMMYFUNCTION("""COMPUTED_VALUE"""),46010.412136817125)</f>
        <v>46010.41214</v>
      </c>
      <c r="D892" s="15" t="str">
        <f>IFERROR(__xludf.DUMMYFUNCTION("""COMPUTED_VALUE"""),"All Area")</f>
        <v>All Area</v>
      </c>
      <c r="E892" s="15" t="str">
        <f>IFERROR(__xludf.DUMMYFUNCTION("""COMPUTED_VALUE"""),"-")</f>
        <v>-</v>
      </c>
      <c r="F892" s="15" t="str">
        <f>IFERROR(__xludf.DUMMYFUNCTION("""COMPUTED_VALUE"""),"Ventilator Portable")</f>
        <v>Ventilator Portable</v>
      </c>
      <c r="G892" s="15">
        <f>IFERROR(__xludf.DUMMYFUNCTION("""COMPUTED_VALUE"""),2.0)</f>
        <v>2</v>
      </c>
      <c r="H892" s="15" t="str">
        <f>IFERROR(__xludf.DUMMYFUNCTION("""COMPUTED_VALUE"""),"Set")</f>
        <v>Set</v>
      </c>
      <c r="I892" s="15" t="str">
        <f>IFERROR(__xludf.DUMMYFUNCTION("""COMPUTED_VALUE"""),"Deliver")</f>
        <v>Deliver</v>
      </c>
      <c r="J892" s="15" t="str">
        <f>IFERROR(__xludf.DUMMYFUNCTION("""COMPUTED_VALUE"""),"121704447 - APPROVED")</f>
        <v>121704447 - APPROVED</v>
      </c>
      <c r="K892" s="15" t="str">
        <f>IFERROR(__xludf.DUMMYFUNCTION("""COMPUTED_VALUE"""),"GL2608397")</f>
        <v>GL2608397</v>
      </c>
      <c r="L892" s="15" t="str">
        <f>IFERROR(__xludf.DUMMYFUNCTION("""COMPUTED_VALUE"""),"Normal")</f>
        <v>Normal</v>
      </c>
      <c r="M892" s="18" t="s">
        <v>32</v>
      </c>
      <c r="N892" s="18" t="s">
        <v>28</v>
      </c>
    </row>
    <row r="893" hidden="1">
      <c r="A893" s="15" t="str">
        <f>IFERROR(__xludf.DUMMYFUNCTION("""COMPUTED_VALUE"""),"INNBR0047")</f>
        <v>INNBR0047</v>
      </c>
      <c r="B893" s="16">
        <f>IFERROR(__xludf.DUMMYFUNCTION("""COMPUTED_VALUE"""),46009.3948921875)</f>
        <v>46009.39489</v>
      </c>
      <c r="C893" s="17">
        <f>IFERROR(__xludf.DUMMYFUNCTION("""COMPUTED_VALUE"""),46010.86646377314)</f>
        <v>46010.86646</v>
      </c>
      <c r="D893" s="15" t="str">
        <f>IFERROR(__xludf.DUMMYFUNCTION("""COMPUTED_VALUE"""),"HPLC 3")</f>
        <v>HPLC 3</v>
      </c>
      <c r="E893" s="15" t="str">
        <f>IFERROR(__xludf.DUMMYFUNCTION("""COMPUTED_VALUE"""),"EJO/2025/09/91")</f>
        <v>EJO/2025/09/91</v>
      </c>
      <c r="F893" s="15" t="str">
        <f>IFERROR(__xludf.DUMMYFUNCTION("""COMPUTED_VALUE"""),"WAT073109 SYRINGE, 250 uL W/ SHRINK WRAP PLUNGER")</f>
        <v>WAT073109 SYRINGE, 250 uL W/ SHRINK WRAP PLUNGER</v>
      </c>
      <c r="G893" s="15">
        <f>IFERROR(__xludf.DUMMYFUNCTION("""COMPUTED_VALUE"""),1.0)</f>
        <v>1</v>
      </c>
      <c r="H893" s="15" t="str">
        <f>IFERROR(__xludf.DUMMYFUNCTION("""COMPUTED_VALUE"""),"Pcs")</f>
        <v>Pcs</v>
      </c>
      <c r="I893" s="15" t="str">
        <f>IFERROR(__xludf.DUMMYFUNCTION("""COMPUTED_VALUE"""),"Deliver")</f>
        <v>Deliver</v>
      </c>
      <c r="J893" s="15" t="str">
        <f>IFERROR(__xludf.DUMMYFUNCTION("""COMPUTED_VALUE"""),"121704161 - APPROVED")</f>
        <v>121704161 - APPROVED</v>
      </c>
      <c r="K893" s="15" t="str">
        <f>IFERROR(__xludf.DUMMYFUNCTION("""COMPUTED_VALUE"""),"GL2604316")</f>
        <v>GL2604316</v>
      </c>
      <c r="L893" s="15" t="str">
        <f>IFERROR(__xludf.DUMMYFUNCTION("""COMPUTED_VALUE"""),"Normal")</f>
        <v>Normal</v>
      </c>
      <c r="M893" s="18" t="s">
        <v>51</v>
      </c>
      <c r="N893" s="18" t="s">
        <v>30</v>
      </c>
    </row>
    <row r="894" hidden="1">
      <c r="A894" s="15" t="str">
        <f>IFERROR(__xludf.DUMMYFUNCTION("""COMPUTED_VALUE"""),"RIABR0131")</f>
        <v>RIABR0131</v>
      </c>
      <c r="B894" s="16">
        <f>IFERROR(__xludf.DUMMYFUNCTION("""COMPUTED_VALUE"""),46010.26237335648)</f>
        <v>46010.26237</v>
      </c>
      <c r="C894" s="17">
        <f>IFERROR(__xludf.DUMMYFUNCTION("""COMPUTED_VALUE"""),46015.37696512731)</f>
        <v>46015.37697</v>
      </c>
      <c r="D894" s="15" t="str">
        <f>IFERROR(__xludf.DUMMYFUNCTION("""COMPUTED_VALUE"""),"All Area")</f>
        <v>All Area</v>
      </c>
      <c r="E894" s="15" t="str">
        <f>IFERROR(__xludf.DUMMYFUNCTION("""COMPUTED_VALUE"""),"-")</f>
        <v>-</v>
      </c>
      <c r="F894" s="15" t="str">
        <f>IFERROR(__xludf.DUMMYFUNCTION("""COMPUTED_VALUE"""),"MCB Finder")</f>
        <v>MCB Finder</v>
      </c>
      <c r="G894" s="15">
        <f>IFERROR(__xludf.DUMMYFUNCTION("""COMPUTED_VALUE"""),1.0)</f>
        <v>1</v>
      </c>
      <c r="H894" s="15" t="str">
        <f>IFERROR(__xludf.DUMMYFUNCTION("""COMPUTED_VALUE"""),"Set")</f>
        <v>Set</v>
      </c>
      <c r="I894" s="15" t="str">
        <f>IFERROR(__xludf.DUMMYFUNCTION("""COMPUTED_VALUE"""),"Deliver")</f>
        <v>Deliver</v>
      </c>
      <c r="J894" s="15" t="str">
        <f>IFERROR(__xludf.DUMMYFUNCTION("""COMPUTED_VALUE"""),"121703997 - APPROVED")</f>
        <v>121703997 - APPROVED</v>
      </c>
      <c r="K894" s="15" t="str">
        <f>IFERROR(__xludf.DUMMYFUNCTION("""COMPUTED_VALUE"""),"GL2604492")</f>
        <v>GL2604492</v>
      </c>
      <c r="L894" s="15" t="str">
        <f>IFERROR(__xludf.DUMMYFUNCTION("""COMPUTED_VALUE"""),"Normal")</f>
        <v>Normal</v>
      </c>
      <c r="M894" s="18" t="s">
        <v>32</v>
      </c>
      <c r="N894" s="18" t="s">
        <v>28</v>
      </c>
    </row>
    <row r="895" hidden="1">
      <c r="A895" s="15" t="str">
        <f>IFERROR(__xludf.DUMMYFUNCTION("""COMPUTED_VALUE"""),"RIABR0132")</f>
        <v>RIABR0132</v>
      </c>
      <c r="B895" s="16">
        <f>IFERROR(__xludf.DUMMYFUNCTION("""COMPUTED_VALUE"""),46010.26792935185)</f>
        <v>46010.26793</v>
      </c>
      <c r="C895" s="17">
        <f>IFERROR(__xludf.DUMMYFUNCTION("""COMPUTED_VALUE"""),46015.42953011574)</f>
        <v>46015.42953</v>
      </c>
      <c r="D895" s="15" t="str">
        <f>IFERROR(__xludf.DUMMYFUNCTION("""COMPUTED_VALUE"""),"All Area")</f>
        <v>All Area</v>
      </c>
      <c r="E895" s="15" t="str">
        <f>IFERROR(__xludf.DUMMYFUNCTION("""COMPUTED_VALUE"""),"-")</f>
        <v>-</v>
      </c>
      <c r="F895" s="15" t="str">
        <f>IFERROR(__xludf.DUMMYFUNCTION("""COMPUTED_VALUE"""),"Stop Kontak Tester")</f>
        <v>Stop Kontak Tester</v>
      </c>
      <c r="G895" s="15">
        <f>IFERROR(__xludf.DUMMYFUNCTION("""COMPUTED_VALUE"""),2.0)</f>
        <v>2</v>
      </c>
      <c r="H895" s="15" t="str">
        <f>IFERROR(__xludf.DUMMYFUNCTION("""COMPUTED_VALUE"""),"Pcs")</f>
        <v>Pcs</v>
      </c>
      <c r="I895" s="15" t="str">
        <f>IFERROR(__xludf.DUMMYFUNCTION("""COMPUTED_VALUE"""),"Deliver")</f>
        <v>Deliver</v>
      </c>
      <c r="J895" s="15" t="str">
        <f>IFERROR(__xludf.DUMMYFUNCTION("""COMPUTED_VALUE"""),"121704043 - APPROVED")</f>
        <v>121704043 - APPROVED</v>
      </c>
      <c r="K895" s="15" t="str">
        <f>IFERROR(__xludf.DUMMYFUNCTION("""COMPUTED_VALUE"""),"GL2604492")</f>
        <v>GL2604492</v>
      </c>
      <c r="L895" s="15" t="str">
        <f>IFERROR(__xludf.DUMMYFUNCTION("""COMPUTED_VALUE"""),"Normal")</f>
        <v>Normal</v>
      </c>
      <c r="M895" s="18" t="s">
        <v>32</v>
      </c>
      <c r="N895" s="18" t="s">
        <v>28</v>
      </c>
    </row>
    <row r="896" hidden="1">
      <c r="A896" s="15" t="str">
        <f>IFERROR(__xludf.DUMMYFUNCTION("""COMPUTED_VALUE"""),"RIABR0133")</f>
        <v>RIABR0133</v>
      </c>
      <c r="B896" s="16">
        <f>IFERROR(__xludf.DUMMYFUNCTION("""COMPUTED_VALUE"""),46010.27164604166)</f>
        <v>46010.27165</v>
      </c>
      <c r="C896" s="17">
        <f>IFERROR(__xludf.DUMMYFUNCTION("""COMPUTED_VALUE"""),46015.47676028935)</f>
        <v>46015.47676</v>
      </c>
      <c r="D896" s="15" t="str">
        <f>IFERROR(__xludf.DUMMYFUNCTION("""COMPUTED_VALUE"""),"All Area")</f>
        <v>All Area</v>
      </c>
      <c r="E896" s="15" t="str">
        <f>IFERROR(__xludf.DUMMYFUNCTION("""COMPUTED_VALUE"""),"-")</f>
        <v>-</v>
      </c>
      <c r="F896" s="15" t="str">
        <f>IFERROR(__xludf.DUMMYFUNCTION("""COMPUTED_VALUE"""),"Thermal Mobile Cam")</f>
        <v>Thermal Mobile Cam</v>
      </c>
      <c r="G896" s="15">
        <f>IFERROR(__xludf.DUMMYFUNCTION("""COMPUTED_VALUE"""),1.0)</f>
        <v>1</v>
      </c>
      <c r="H896" s="15" t="str">
        <f>IFERROR(__xludf.DUMMYFUNCTION("""COMPUTED_VALUE"""),"Pcs")</f>
        <v>Pcs</v>
      </c>
      <c r="I896" s="15" t="str">
        <f>IFERROR(__xludf.DUMMYFUNCTION("""COMPUTED_VALUE"""),"Approval PR")</f>
        <v>Approval PR</v>
      </c>
      <c r="J896" s="15" t="str">
        <f>IFERROR(__xludf.DUMMYFUNCTION("""COMPUTED_VALUE"""),"121703999 - INCOMPLETE")</f>
        <v>121703999 - INCOMPLETE</v>
      </c>
      <c r="K896" s="15" t="str">
        <f>IFERROR(__xludf.DUMMYFUNCTION("""COMPUTED_VALUE"""),"-")</f>
        <v>-</v>
      </c>
      <c r="L896" s="15" t="str">
        <f>IFERROR(__xludf.DUMMYFUNCTION("""COMPUTED_VALUE"""),"Normal")</f>
        <v>Normal</v>
      </c>
      <c r="M896" s="18" t="s">
        <v>32</v>
      </c>
      <c r="N896" s="18" t="s">
        <v>28</v>
      </c>
    </row>
    <row r="897" hidden="1">
      <c r="A897" s="15" t="str">
        <f>IFERROR(__xludf.DUMMYFUNCTION("""COMPUTED_VALUE"""),"BDURO0001")</f>
        <v>BDURO0001</v>
      </c>
      <c r="B897" s="16">
        <f>IFERROR(__xludf.DUMMYFUNCTION("""COMPUTED_VALUE"""),46017.09970445602)</f>
        <v>46017.0997</v>
      </c>
      <c r="C897" s="17">
        <f>IFERROR(__xludf.DUMMYFUNCTION("""COMPUTED_VALUE"""),46020.413390601854)</f>
        <v>46020.41339</v>
      </c>
      <c r="D897" s="15" t="str">
        <f>IFERROR(__xludf.DUMMYFUNCTION("""COMPUTED_VALUE"""),"inkubator 1 (Micro Lab)")</f>
        <v>inkubator 1 (Micro Lab)</v>
      </c>
      <c r="E897" s="15" t="str">
        <f>IFERROR(__xludf.DUMMYFUNCTION("""COMPUTED_VALUE"""),"EJO/2025/11/117")</f>
        <v>EJO/2025/11/117</v>
      </c>
      <c r="F897" s="15" t="str">
        <f>IFERROR(__xludf.DUMMYFUNCTION("""COMPUTED_VALUE"""),"General - Lampu TL LED T5 16 W 6000 K; No Brand; -; 1 unt")</f>
        <v>General - Lampu TL LED T5 16 W 6000 K; No Brand; -; 1 unt</v>
      </c>
      <c r="G897" s="15">
        <f>IFERROR(__xludf.DUMMYFUNCTION("""COMPUTED_VALUE"""),5.0)</f>
        <v>5</v>
      </c>
      <c r="H897" s="15" t="str">
        <f>IFERROR(__xludf.DUMMYFUNCTION("""COMPUTED_VALUE"""),"pcs")</f>
        <v>pcs</v>
      </c>
      <c r="I897" s="15" t="str">
        <f>IFERROR(__xludf.DUMMYFUNCTION("""COMPUTED_VALUE"""),"Deliver")</f>
        <v>Deliver</v>
      </c>
      <c r="J897" s="15" t="str">
        <f>IFERROR(__xludf.DUMMYFUNCTION("""COMPUTED_VALUE"""),"-")</f>
        <v>-</v>
      </c>
      <c r="K897" s="15" t="str">
        <f>IFERROR(__xludf.DUMMYFUNCTION("""COMPUTED_VALUE"""),"-")</f>
        <v>-</v>
      </c>
      <c r="L897" s="15" t="str">
        <f>IFERROR(__xludf.DUMMYFUNCTION("""COMPUTED_VALUE"""),"Normal")</f>
        <v>Normal</v>
      </c>
      <c r="M897" s="18" t="s">
        <v>55</v>
      </c>
      <c r="N897" s="18" t="s">
        <v>28</v>
      </c>
    </row>
    <row r="898" hidden="1">
      <c r="A898" s="15" t="str">
        <f>IFERROR(__xludf.DUMMYFUNCTION("""COMPUTED_VALUE"""),"NDSBR0034")</f>
        <v>NDSBR0034</v>
      </c>
      <c r="B898" s="16">
        <f>IFERROR(__xludf.DUMMYFUNCTION("""COMPUTED_VALUE"""),45977.83608590278)</f>
        <v>45977.83609</v>
      </c>
      <c r="C898" s="17">
        <f>IFERROR(__xludf.DUMMYFUNCTION("""COMPUTED_VALUE"""),46027.74721570601)</f>
        <v>46027.74722</v>
      </c>
      <c r="D898" s="15" t="str">
        <f>IFERROR(__xludf.DUMMYFUNCTION("""COMPUTED_VALUE"""),"Chiller Blister")</f>
        <v>Chiller Blister</v>
      </c>
      <c r="E898" s="15" t="str">
        <f>IFERROR(__xludf.DUMMYFUNCTION("""COMPUTED_VALUE"""),"-")</f>
        <v>-</v>
      </c>
      <c r="F898" s="15" t="str">
        <f>IFERROR(__xludf.DUMMYFUNCTION("""COMPUTED_VALUE"""),"Sensor Suhu Chiller")</f>
        <v>Sensor Suhu Chiller</v>
      </c>
      <c r="G898" s="15">
        <f>IFERROR(__xludf.DUMMYFUNCTION("""COMPUTED_VALUE"""),2.0)</f>
        <v>2</v>
      </c>
      <c r="H898" s="15" t="str">
        <f>IFERROR(__xludf.DUMMYFUNCTION("""COMPUTED_VALUE"""),"Pcs")</f>
        <v>Pcs</v>
      </c>
      <c r="I898" s="15" t="str">
        <f>IFERROR(__xludf.DUMMYFUNCTION("""COMPUTED_VALUE"""),"PR Open")</f>
        <v>PR Open</v>
      </c>
      <c r="J898" s="15" t="str">
        <f>IFERROR(__xludf.DUMMYFUNCTION("""COMPUTED_VALUE"""),"121704548 - APPROVED")</f>
        <v>121704548 - APPROVED</v>
      </c>
      <c r="K898" s="15" t="str">
        <f>IFERROR(__xludf.DUMMYFUNCTION("""COMPUTED_VALUE"""),"GL2609434")</f>
        <v>GL2609434</v>
      </c>
      <c r="L898" s="15" t="str">
        <f>IFERROR(__xludf.DUMMYFUNCTION("""COMPUTED_VALUE"""),"Normal")</f>
        <v>Normal</v>
      </c>
      <c r="M898" s="18" t="s">
        <v>50</v>
      </c>
      <c r="N898" s="18" t="s">
        <v>30</v>
      </c>
    </row>
    <row r="899" hidden="1">
      <c r="A899" s="15" t="str">
        <f>IFERROR(__xludf.DUMMYFUNCTION("""COMPUTED_VALUE"""),"NDSBR0046")</f>
        <v>NDSBR0046</v>
      </c>
      <c r="B899" s="16">
        <f>IFERROR(__xludf.DUMMYFUNCTION("""COMPUTED_VALUE"""),46010.59134186342)</f>
        <v>46010.59134</v>
      </c>
      <c r="C899" s="17">
        <f>IFERROR(__xludf.DUMMYFUNCTION("""COMPUTED_VALUE"""),46027.76048601852)</f>
        <v>46027.76049</v>
      </c>
      <c r="D899" s="15" t="str">
        <f>IFERROR(__xludf.DUMMYFUNCTION("""COMPUTED_VALUE"""),"Intermediat OSD")</f>
        <v>Intermediat OSD</v>
      </c>
      <c r="E899" s="15" t="str">
        <f>IFERROR(__xludf.DUMMYFUNCTION("""COMPUTED_VALUE"""),"EJO/2025/10/180")</f>
        <v>EJO/2025/10/180</v>
      </c>
      <c r="F899" s="15" t="str">
        <f>IFERROR(__xludf.DUMMYFUNCTION("""COMPUTED_VALUE"""),"Bracket Timbangan VGA")</f>
        <v>Bracket Timbangan VGA</v>
      </c>
      <c r="G899" s="15">
        <f>IFERROR(__xludf.DUMMYFUNCTION("""COMPUTED_VALUE"""),1.0)</f>
        <v>1</v>
      </c>
      <c r="H899" s="15" t="str">
        <f>IFERROR(__xludf.DUMMYFUNCTION("""COMPUTED_VALUE"""),"PCS")</f>
        <v>PCS</v>
      </c>
      <c r="I899" s="15" t="str">
        <f>IFERROR(__xludf.DUMMYFUNCTION("""COMPUTED_VALUE"""),"Deliver")</f>
        <v>Deliver</v>
      </c>
      <c r="J899" s="15" t="str">
        <f>IFERROR(__xludf.DUMMYFUNCTION("""COMPUTED_VALUE"""),"121703987 - APPROVED")</f>
        <v>121703987 - APPROVED</v>
      </c>
      <c r="K899" s="15" t="str">
        <f>IFERROR(__xludf.DUMMYFUNCTION("""COMPUTED_VALUE"""),"GL2603054")</f>
        <v>GL2603054</v>
      </c>
      <c r="L899" s="15" t="str">
        <f>IFERROR(__xludf.DUMMYFUNCTION("""COMPUTED_VALUE"""),"Normal")</f>
        <v>Normal</v>
      </c>
      <c r="M899" s="18" t="s">
        <v>50</v>
      </c>
      <c r="N899" s="18" t="s">
        <v>30</v>
      </c>
    </row>
    <row r="900" hidden="1">
      <c r="A900" s="15" t="str">
        <f>IFERROR(__xludf.DUMMYFUNCTION("""COMPUTED_VALUE"""),"NDSBR0038")</f>
        <v>NDSBR0038</v>
      </c>
      <c r="B900" s="16">
        <f>IFERROR(__xludf.DUMMYFUNCTION("""COMPUTED_VALUE"""),45980.92822083333)</f>
        <v>45980.92822</v>
      </c>
      <c r="C900" s="17">
        <f>IFERROR(__xludf.DUMMYFUNCTION("""COMPUTED_VALUE"""),46027.76283961805)</f>
        <v>46027.76284</v>
      </c>
      <c r="D900" s="15" t="str">
        <f>IFERROR(__xludf.DUMMYFUNCTION("""COMPUTED_VALUE"""),"Cartoning")</f>
        <v>Cartoning</v>
      </c>
      <c r="E900" s="15" t="str">
        <f>IFERROR(__xludf.DUMMYFUNCTION("""COMPUTED_VALUE"""),"EJO/2025/11/109")</f>
        <v>EJO/2025/11/109</v>
      </c>
      <c r="F900" s="15" t="str">
        <f>IFERROR(__xludf.DUMMYFUNCTION("""COMPUTED_VALUE"""),"Metal Finger")</f>
        <v>Metal Finger</v>
      </c>
      <c r="G900" s="15">
        <f>IFERROR(__xludf.DUMMYFUNCTION("""COMPUTED_VALUE"""),5.0)</f>
        <v>5</v>
      </c>
      <c r="H900" s="15" t="str">
        <f>IFERROR(__xludf.DUMMYFUNCTION("""COMPUTED_VALUE"""),"Pcs")</f>
        <v>Pcs</v>
      </c>
      <c r="I900" s="15" t="str">
        <f>IFERROR(__xludf.DUMMYFUNCTION("""COMPUTED_VALUE"""),"Deliver")</f>
        <v>Deliver</v>
      </c>
      <c r="J900" s="15" t="str">
        <f>IFERROR(__xludf.DUMMYFUNCTION("""COMPUTED_VALUE"""),"121704045 - APPROVED")</f>
        <v>121704045 - APPROVED</v>
      </c>
      <c r="K900" s="15" t="str">
        <f>IFERROR(__xludf.DUMMYFUNCTION("""COMPUTED_VALUE"""),"GL2604004")</f>
        <v>GL2604004</v>
      </c>
      <c r="L900" s="15" t="str">
        <f>IFERROR(__xludf.DUMMYFUNCTION("""COMPUTED_VALUE"""),"Normal")</f>
        <v>Normal</v>
      </c>
      <c r="M900" s="18" t="s">
        <v>50</v>
      </c>
      <c r="N900" s="18" t="s">
        <v>30</v>
      </c>
    </row>
    <row r="901" hidden="1">
      <c r="A901" s="15" t="str">
        <f>IFERROR(__xludf.DUMMYFUNCTION("""COMPUTED_VALUE"""),"NDSBR0039")</f>
        <v>NDSBR0039</v>
      </c>
      <c r="B901" s="16">
        <f>IFERROR(__xludf.DUMMYFUNCTION("""COMPUTED_VALUE"""),45980.92952231481)</f>
        <v>45980.92952</v>
      </c>
      <c r="C901" s="17">
        <f>IFERROR(__xludf.DUMMYFUNCTION("""COMPUTED_VALUE"""),46027.763134085646)</f>
        <v>46027.76313</v>
      </c>
      <c r="D901" s="15" t="str">
        <f>IFERROR(__xludf.DUMMYFUNCTION("""COMPUTED_VALUE"""),"Cartoning")</f>
        <v>Cartoning</v>
      </c>
      <c r="E901" s="15" t="str">
        <f>IFERROR(__xludf.DUMMYFUNCTION("""COMPUTED_VALUE"""),"EJO/2025/11/109")</f>
        <v>EJO/2025/11/109</v>
      </c>
      <c r="F901" s="15" t="str">
        <f>IFERROR(__xludf.DUMMYFUNCTION("""COMPUTED_VALUE"""),"Metal Finger")</f>
        <v>Metal Finger</v>
      </c>
      <c r="G901" s="15">
        <f>IFERROR(__xludf.DUMMYFUNCTION("""COMPUTED_VALUE"""),2.0)</f>
        <v>2</v>
      </c>
      <c r="H901" s="15" t="str">
        <f>IFERROR(__xludf.DUMMYFUNCTION("""COMPUTED_VALUE"""),"Pcs")</f>
        <v>Pcs</v>
      </c>
      <c r="I901" s="15" t="str">
        <f>IFERROR(__xludf.DUMMYFUNCTION("""COMPUTED_VALUE"""),"Deliver")</f>
        <v>Deliver</v>
      </c>
      <c r="J901" s="15" t="str">
        <f>IFERROR(__xludf.DUMMYFUNCTION("""COMPUTED_VALUE"""),"121704045 - APPROVED")</f>
        <v>121704045 - APPROVED</v>
      </c>
      <c r="K901" s="15" t="str">
        <f>IFERROR(__xludf.DUMMYFUNCTION("""COMPUTED_VALUE"""),"GL2604004")</f>
        <v>GL2604004</v>
      </c>
      <c r="L901" s="15" t="str">
        <f>IFERROR(__xludf.DUMMYFUNCTION("""COMPUTED_VALUE"""),"Normal")</f>
        <v>Normal</v>
      </c>
      <c r="M901" s="18" t="s">
        <v>50</v>
      </c>
      <c r="N901" s="18" t="s">
        <v>30</v>
      </c>
    </row>
    <row r="902" hidden="1">
      <c r="A902" s="15" t="str">
        <f>IFERROR(__xludf.DUMMYFUNCTION("""COMPUTED_VALUE"""),"NDSBR0040")</f>
        <v>NDSBR0040</v>
      </c>
      <c r="B902" s="16">
        <f>IFERROR(__xludf.DUMMYFUNCTION("""COMPUTED_VALUE"""),45981.6397477662)</f>
        <v>45981.63975</v>
      </c>
      <c r="C902" s="17">
        <f>IFERROR(__xludf.DUMMYFUNCTION("""COMPUTED_VALUE"""),46027.763552268516)</f>
        <v>46027.76355</v>
      </c>
      <c r="D902" s="15" t="str">
        <f>IFERROR(__xludf.DUMMYFUNCTION("""COMPUTED_VALUE"""),"Washing Tunnel")</f>
        <v>Washing Tunnel</v>
      </c>
      <c r="E902" s="15" t="str">
        <f>IFERROR(__xludf.DUMMYFUNCTION("""COMPUTED_VALUE"""),"EJO/2025/11/10")</f>
        <v>EJO/2025/11/10</v>
      </c>
      <c r="F902" s="15" t="str">
        <f>IFERROR(__xludf.DUMMYFUNCTION("""COMPUTED_VALUE"""),"Manual Valve Washing")</f>
        <v>Manual Valve Washing</v>
      </c>
      <c r="G902" s="15">
        <f>IFERROR(__xludf.DUMMYFUNCTION("""COMPUTED_VALUE"""),1.0)</f>
        <v>1</v>
      </c>
      <c r="H902" s="15" t="str">
        <f>IFERROR(__xludf.DUMMYFUNCTION("""COMPUTED_VALUE"""),"Pcs")</f>
        <v>Pcs</v>
      </c>
      <c r="I902" s="15" t="str">
        <f>IFERROR(__xludf.DUMMYFUNCTION("""COMPUTED_VALUE"""),"Deliver")</f>
        <v>Deliver</v>
      </c>
      <c r="J902" s="15" t="str">
        <f>IFERROR(__xludf.DUMMYFUNCTION("""COMPUTED_VALUE"""),"121704021 - APPROVED")</f>
        <v>121704021 - APPROVED</v>
      </c>
      <c r="K902" s="15" t="str">
        <f>IFERROR(__xludf.DUMMYFUNCTION("""COMPUTED_VALUE"""),"GL2604487")</f>
        <v>GL2604487</v>
      </c>
      <c r="L902" s="15" t="str">
        <f>IFERROR(__xludf.DUMMYFUNCTION("""COMPUTED_VALUE"""),"Normal")</f>
        <v>Normal</v>
      </c>
      <c r="M902" s="18" t="s">
        <v>50</v>
      </c>
      <c r="N902" s="18" t="s">
        <v>30</v>
      </c>
    </row>
    <row r="903" hidden="1">
      <c r="A903" s="15" t="str">
        <f>IFERROR(__xludf.DUMMYFUNCTION("""COMPUTED_VALUE"""),"NDSBR0041")</f>
        <v>NDSBR0041</v>
      </c>
      <c r="B903" s="16">
        <f>IFERROR(__xludf.DUMMYFUNCTION("""COMPUTED_VALUE"""),45981.64048634259)</f>
        <v>45981.64049</v>
      </c>
      <c r="C903" s="17">
        <f>IFERROR(__xludf.DUMMYFUNCTION("""COMPUTED_VALUE"""),46027.76376793982)</f>
        <v>46027.76377</v>
      </c>
      <c r="D903" s="15" t="str">
        <f>IFERROR(__xludf.DUMMYFUNCTION("""COMPUTED_VALUE"""),"Washing Tunnel")</f>
        <v>Washing Tunnel</v>
      </c>
      <c r="E903" s="15" t="str">
        <f>IFERROR(__xludf.DUMMYFUNCTION("""COMPUTED_VALUE"""),"EJO/2025/11/10")</f>
        <v>EJO/2025/11/10</v>
      </c>
      <c r="F903" s="15" t="str">
        <f>IFERROR(__xludf.DUMMYFUNCTION("""COMPUTED_VALUE"""),"Manual Valve Washing")</f>
        <v>Manual Valve Washing</v>
      </c>
      <c r="G903" s="15">
        <f>IFERROR(__xludf.DUMMYFUNCTION("""COMPUTED_VALUE"""),1.0)</f>
        <v>1</v>
      </c>
      <c r="H903" s="15" t="str">
        <f>IFERROR(__xludf.DUMMYFUNCTION("""COMPUTED_VALUE"""),"Pcs")</f>
        <v>Pcs</v>
      </c>
      <c r="I903" s="15" t="str">
        <f>IFERROR(__xludf.DUMMYFUNCTION("""COMPUTED_VALUE"""),"Deliver")</f>
        <v>Deliver</v>
      </c>
      <c r="J903" s="15" t="str">
        <f>IFERROR(__xludf.DUMMYFUNCTION("""COMPUTED_VALUE"""),"121704021 - APPROVED")</f>
        <v>121704021 - APPROVED</v>
      </c>
      <c r="K903" s="15" t="str">
        <f>IFERROR(__xludf.DUMMYFUNCTION("""COMPUTED_VALUE"""),"GL2604487")</f>
        <v>GL2604487</v>
      </c>
      <c r="L903" s="15" t="str">
        <f>IFERROR(__xludf.DUMMYFUNCTION("""COMPUTED_VALUE"""),"Normal")</f>
        <v>Normal</v>
      </c>
      <c r="M903" s="18" t="s">
        <v>50</v>
      </c>
      <c r="N903" s="18" t="s">
        <v>30</v>
      </c>
    </row>
    <row r="904" hidden="1">
      <c r="A904" s="15" t="str">
        <f>IFERROR(__xludf.DUMMYFUNCTION("""COMPUTED_VALUE"""),"NDSBR0035")</f>
        <v>NDSBR0035</v>
      </c>
      <c r="B904" s="16">
        <f>IFERROR(__xludf.DUMMYFUNCTION("""COMPUTED_VALUE"""),45979.66681965278)</f>
        <v>45979.66682</v>
      </c>
      <c r="C904" s="17">
        <f>IFERROR(__xludf.DUMMYFUNCTION("""COMPUTED_VALUE"""),46027.764268391205)</f>
        <v>46027.76427</v>
      </c>
      <c r="D904" s="15" t="str">
        <f>IFERROR(__xludf.DUMMYFUNCTION("""COMPUTED_VALUE"""),"Washing Tunnel")</f>
        <v>Washing Tunnel</v>
      </c>
      <c r="E904" s="15" t="str">
        <f>IFERROR(__xludf.DUMMYFUNCTION("""COMPUTED_VALUE"""),"EJO/2025/11/10")</f>
        <v>EJO/2025/11/10</v>
      </c>
      <c r="F904" s="15" t="str">
        <f>IFERROR(__xludf.DUMMYFUNCTION("""COMPUTED_VALUE"""),"Kabel Duct")</f>
        <v>Kabel Duct</v>
      </c>
      <c r="G904" s="15">
        <f>IFERROR(__xludf.DUMMYFUNCTION("""COMPUTED_VALUE"""),1.0)</f>
        <v>1</v>
      </c>
      <c r="H904" s="15" t="str">
        <f>IFERROR(__xludf.DUMMYFUNCTION("""COMPUTED_VALUE"""),"Pcs")</f>
        <v>Pcs</v>
      </c>
      <c r="I904" s="15" t="str">
        <f>IFERROR(__xludf.DUMMYFUNCTION("""COMPUTED_VALUE"""),"Deliver")</f>
        <v>Deliver</v>
      </c>
      <c r="J904" s="15" t="str">
        <f>IFERROR(__xludf.DUMMYFUNCTION("""COMPUTED_VALUE"""),"121704020 - APPROVED")</f>
        <v>121704020 - APPROVED</v>
      </c>
      <c r="K904" s="15" t="str">
        <f>IFERROR(__xludf.DUMMYFUNCTION("""COMPUTED_VALUE"""),"GL2603478")</f>
        <v>GL2603478</v>
      </c>
      <c r="L904" s="15" t="str">
        <f>IFERROR(__xludf.DUMMYFUNCTION("""COMPUTED_VALUE"""),"Normal")</f>
        <v>Normal</v>
      </c>
      <c r="M904" s="18" t="s">
        <v>50</v>
      </c>
      <c r="N904" s="18" t="s">
        <v>30</v>
      </c>
    </row>
    <row r="905" hidden="1">
      <c r="A905" s="15" t="str">
        <f>IFERROR(__xludf.DUMMYFUNCTION("""COMPUTED_VALUE"""),"NDSRO0014")</f>
        <v>NDSRO0014</v>
      </c>
      <c r="B905" s="16">
        <f>IFERROR(__xludf.DUMMYFUNCTION("""COMPUTED_VALUE"""),46026.93657457176)</f>
        <v>46026.93657</v>
      </c>
      <c r="C905" s="17">
        <f>IFERROR(__xludf.DUMMYFUNCTION("""COMPUTED_VALUE"""),46027.765782083334)</f>
        <v>46027.76578</v>
      </c>
      <c r="D905" s="15" t="str">
        <f>IFERROR(__xludf.DUMMYFUNCTION("""COMPUTED_VALUE"""),"Filling Steriline")</f>
        <v>Filling Steriline</v>
      </c>
      <c r="E905" s="15" t="str">
        <f>IFERROR(__xludf.DUMMYFUNCTION("""COMPUTED_VALUE"""),"-")</f>
        <v>-</v>
      </c>
      <c r="F905" s="15" t="str">
        <f>IFERROR(__xludf.DUMMYFUNCTION("""COMPUTED_VALUE"""),"General - Silicone Gasket for Ferrule dia. 3/4""; -; -; 1 Pc")</f>
        <v>General - Silicone Gasket for Ferrule dia. 3/4"; -; -; 1 Pc</v>
      </c>
      <c r="G905" s="15">
        <f>IFERROR(__xludf.DUMMYFUNCTION("""COMPUTED_VALUE"""),50.0)</f>
        <v>50</v>
      </c>
      <c r="H905" s="15" t="str">
        <f>IFERROR(__xludf.DUMMYFUNCTION("""COMPUTED_VALUE"""),"pcs")</f>
        <v>pcs</v>
      </c>
      <c r="I905" s="15" t="str">
        <f>IFERROR(__xludf.DUMMYFUNCTION("""COMPUTED_VALUE"""),"Deliver")</f>
        <v>Deliver</v>
      </c>
      <c r="J905" s="15" t="str">
        <f>IFERROR(__xludf.DUMMYFUNCTION("""COMPUTED_VALUE"""),"-")</f>
        <v>-</v>
      </c>
      <c r="K905" s="15" t="str">
        <f>IFERROR(__xludf.DUMMYFUNCTION("""COMPUTED_VALUE"""),"-")</f>
        <v>-</v>
      </c>
      <c r="L905" s="15" t="str">
        <f>IFERROR(__xludf.DUMMYFUNCTION("""COMPUTED_VALUE"""),"Normal")</f>
        <v>Normal</v>
      </c>
      <c r="M905" s="18" t="s">
        <v>50</v>
      </c>
      <c r="N905" s="18" t="s">
        <v>30</v>
      </c>
    </row>
    <row r="906" hidden="1">
      <c r="A906" s="15" t="str">
        <f>IFERROR(__xludf.DUMMYFUNCTION("""COMPUTED_VALUE"""),"NDSRO0015")</f>
        <v>NDSRO0015</v>
      </c>
      <c r="B906" s="16">
        <f>IFERROR(__xludf.DUMMYFUNCTION("""COMPUTED_VALUE"""),46026.937808634255)</f>
        <v>46026.93781</v>
      </c>
      <c r="C906" s="17">
        <f>IFERROR(__xludf.DUMMYFUNCTION("""COMPUTED_VALUE"""),46027.76602829862)</f>
        <v>46027.76603</v>
      </c>
      <c r="D906" s="15" t="str">
        <f>IFERROR(__xludf.DUMMYFUNCTION("""COMPUTED_VALUE"""),"Produksi")</f>
        <v>Produksi</v>
      </c>
      <c r="E906" s="15" t="str">
        <f>IFERROR(__xludf.DUMMYFUNCTION("""COMPUTED_VALUE"""),"-")</f>
        <v>-</v>
      </c>
      <c r="F906" s="15" t="str">
        <f>IFERROR(__xludf.DUMMYFUNCTION("""COMPUTED_VALUE"""),"General - Baut L, SS, M5 x 20 mm + Mur + Ring; No Brand; -; 1 pcs")</f>
        <v>General - Baut L, SS, M5 x 20 mm + Mur + Ring; No Brand; -; 1 pcs</v>
      </c>
      <c r="G906" s="15">
        <f>IFERROR(__xludf.DUMMYFUNCTION("""COMPUTED_VALUE"""),100.0)</f>
        <v>100</v>
      </c>
      <c r="H906" s="15" t="str">
        <f>IFERROR(__xludf.DUMMYFUNCTION("""COMPUTED_VALUE"""),"Pcs")</f>
        <v>Pcs</v>
      </c>
      <c r="I906" s="15" t="str">
        <f>IFERROR(__xludf.DUMMYFUNCTION("""COMPUTED_VALUE"""),"Deliver")</f>
        <v>Deliver</v>
      </c>
      <c r="J906" s="15" t="str">
        <f>IFERROR(__xludf.DUMMYFUNCTION("""COMPUTED_VALUE"""),"-")</f>
        <v>-</v>
      </c>
      <c r="K906" s="15" t="str">
        <f>IFERROR(__xludf.DUMMYFUNCTION("""COMPUTED_VALUE"""),"-")</f>
        <v>-</v>
      </c>
      <c r="L906" s="15" t="str">
        <f>IFERROR(__xludf.DUMMYFUNCTION("""COMPUTED_VALUE"""),"Normal")</f>
        <v>Normal</v>
      </c>
      <c r="M906" s="18" t="s">
        <v>50</v>
      </c>
      <c r="N906" s="18" t="s">
        <v>30</v>
      </c>
    </row>
    <row r="907" hidden="1">
      <c r="A907" s="15" t="str">
        <f>IFERROR(__xludf.DUMMYFUNCTION("""COMPUTED_VALUE"""),"AAARO0015")</f>
        <v>AAARO0015</v>
      </c>
      <c r="B907" s="16">
        <f>IFERROR(__xludf.DUMMYFUNCTION("""COMPUTED_VALUE"""),46255.82219748843)</f>
        <v>46255.8222</v>
      </c>
      <c r="C907" s="17">
        <f>IFERROR(__xludf.DUMMYFUNCTION("""COMPUTED_VALUE"""),46027.77861059028)</f>
        <v>46027.77861</v>
      </c>
      <c r="D907" s="15" t="str">
        <f>IFERROR(__xludf.DUMMYFUNCTION("""COMPUTED_VALUE"""),"Washing")</f>
        <v>Washing</v>
      </c>
      <c r="E907" s="15" t="str">
        <f>IFERROR(__xludf.DUMMYFUNCTION("""COMPUTED_VALUE"""),"NA")</f>
        <v>NA</v>
      </c>
      <c r="F907" s="15" t="str">
        <f>IFERROR(__xludf.DUMMYFUNCTION("""COMPUTED_VALUE"""),"DOOR SAFETY SWITCHES ; SCHMERSAL ; PROXIMITY SENSOR , BNS-260 FOR DOOR")</f>
        <v>DOOR SAFETY SWITCHES ; SCHMERSAL ; PROXIMITY SENSOR , BNS-260 FOR DOOR</v>
      </c>
      <c r="G907" s="15">
        <f>IFERROR(__xludf.DUMMYFUNCTION("""COMPUTED_VALUE"""),2.0)</f>
        <v>2</v>
      </c>
      <c r="H907" s="15" t="str">
        <f>IFERROR(__xludf.DUMMYFUNCTION("""COMPUTED_VALUE"""),"pcs")</f>
        <v>pcs</v>
      </c>
      <c r="I907" s="15" t="str">
        <f>IFERROR(__xludf.DUMMYFUNCTION("""COMPUTED_VALUE"""),"Proses PR")</f>
        <v>Proses PR</v>
      </c>
      <c r="J907" s="15" t="str">
        <f>IFERROR(__xludf.DUMMYFUNCTION("""COMPUTED_VALUE"""),"-")</f>
        <v>-</v>
      </c>
      <c r="K907" s="15" t="str">
        <f>IFERROR(__xludf.DUMMYFUNCTION("""COMPUTED_VALUE"""),"-")</f>
        <v>-</v>
      </c>
      <c r="L907" s="15" t="str">
        <f>IFERROR(__xludf.DUMMYFUNCTION("""COMPUTED_VALUE"""),"Normal")</f>
        <v>Normal</v>
      </c>
      <c r="M907" s="18" t="s">
        <v>47</v>
      </c>
      <c r="N907" s="18" t="s">
        <v>30</v>
      </c>
    </row>
    <row r="908" hidden="1">
      <c r="A908" s="15" t="str">
        <f>IFERROR(__xludf.DUMMYFUNCTION("""COMPUTED_VALUE"""),"AAARO0016")</f>
        <v>AAARO0016</v>
      </c>
      <c r="B908" s="16">
        <f>IFERROR(__xludf.DUMMYFUNCTION("""COMPUTED_VALUE"""),46255.82219748843)</f>
        <v>46255.8222</v>
      </c>
      <c r="C908" s="17">
        <f>IFERROR(__xludf.DUMMYFUNCTION("""COMPUTED_VALUE"""),46027.77878659722)</f>
        <v>46027.77879</v>
      </c>
      <c r="D908" s="15" t="str">
        <f>IFERROR(__xludf.DUMMYFUNCTION("""COMPUTED_VALUE"""),"Washing")</f>
        <v>Washing</v>
      </c>
      <c r="E908" s="15" t="str">
        <f>IFERROR(__xludf.DUMMYFUNCTION("""COMPUTED_VALUE"""),"NA")</f>
        <v>NA</v>
      </c>
      <c r="F908" s="15" t="str">
        <f>IFERROR(__xludf.DUMMYFUNCTION("""COMPUTED_VALUE"""),"DOOR SAFETY SWITCHES ; SCHMERSAL ; PROXIMITY SENSOR , BNS-260 FOR DOOR")</f>
        <v>DOOR SAFETY SWITCHES ; SCHMERSAL ; PROXIMITY SENSOR , BNS-260 FOR DOOR</v>
      </c>
      <c r="G908" s="15">
        <f>IFERROR(__xludf.DUMMYFUNCTION("""COMPUTED_VALUE"""),2.0)</f>
        <v>2</v>
      </c>
      <c r="H908" s="15" t="str">
        <f>IFERROR(__xludf.DUMMYFUNCTION("""COMPUTED_VALUE"""),"pcs")</f>
        <v>pcs</v>
      </c>
      <c r="I908" s="15" t="str">
        <f>IFERROR(__xludf.DUMMYFUNCTION("""COMPUTED_VALUE"""),"Proses PR")</f>
        <v>Proses PR</v>
      </c>
      <c r="J908" s="15" t="str">
        <f>IFERROR(__xludf.DUMMYFUNCTION("""COMPUTED_VALUE"""),"-")</f>
        <v>-</v>
      </c>
      <c r="K908" s="15" t="str">
        <f>IFERROR(__xludf.DUMMYFUNCTION("""COMPUTED_VALUE"""),"-")</f>
        <v>-</v>
      </c>
      <c r="L908" s="15" t="str">
        <f>IFERROR(__xludf.DUMMYFUNCTION("""COMPUTED_VALUE"""),"Normal")</f>
        <v>Normal</v>
      </c>
      <c r="M908" s="18" t="s">
        <v>47</v>
      </c>
      <c r="N908" s="18" t="s">
        <v>30</v>
      </c>
    </row>
    <row r="909" hidden="1">
      <c r="A909" s="15" t="str">
        <f>IFERROR(__xludf.DUMMYFUNCTION("""COMPUTED_VALUE"""),"AAARO0017")</f>
        <v>AAARO0017</v>
      </c>
      <c r="B909" s="16">
        <f>IFERROR(__xludf.DUMMYFUNCTION("""COMPUTED_VALUE"""),46255.82219748843)</f>
        <v>46255.8222</v>
      </c>
      <c r="C909" s="17">
        <f>IFERROR(__xludf.DUMMYFUNCTION("""COMPUTED_VALUE"""),46027.779032129634)</f>
        <v>46027.77903</v>
      </c>
      <c r="D909" s="15" t="str">
        <f>IFERROR(__xludf.DUMMYFUNCTION("""COMPUTED_VALUE"""),"Washing")</f>
        <v>Washing</v>
      </c>
      <c r="E909" s="15" t="str">
        <f>IFERROR(__xludf.DUMMYFUNCTION("""COMPUTED_VALUE"""),"NA")</f>
        <v>NA</v>
      </c>
      <c r="F909" s="15" t="str">
        <f>IFERROR(__xludf.DUMMYFUNCTION("""COMPUTED_VALUE"""),"DOOR SAFETY SWITCHES ; SCHMERSAL ; MAGNET BPS-260")</f>
        <v>DOOR SAFETY SWITCHES ; SCHMERSAL ; MAGNET BPS-260</v>
      </c>
      <c r="G909" s="15">
        <f>IFERROR(__xludf.DUMMYFUNCTION("""COMPUTED_VALUE"""),2.0)</f>
        <v>2</v>
      </c>
      <c r="H909" s="15" t="str">
        <f>IFERROR(__xludf.DUMMYFUNCTION("""COMPUTED_VALUE"""),"pcs")</f>
        <v>pcs</v>
      </c>
      <c r="I909" s="15" t="str">
        <f>IFERROR(__xludf.DUMMYFUNCTION("""COMPUTED_VALUE"""),"Deliver")</f>
        <v>Deliver</v>
      </c>
      <c r="J909" s="15" t="str">
        <f>IFERROR(__xludf.DUMMYFUNCTION("""COMPUTED_VALUE"""),"121703438 - APPROVED")</f>
        <v>121703438 - APPROVED</v>
      </c>
      <c r="K909" s="15" t="str">
        <f>IFERROR(__xludf.DUMMYFUNCTION("""COMPUTED_VALUE"""),"GL2511060")</f>
        <v>GL2511060</v>
      </c>
      <c r="L909" s="15" t="str">
        <f>IFERROR(__xludf.DUMMYFUNCTION("""COMPUTED_VALUE"""),"Normal")</f>
        <v>Normal</v>
      </c>
      <c r="M909" s="18" t="s">
        <v>47</v>
      </c>
      <c r="N909" s="18" t="s">
        <v>30</v>
      </c>
    </row>
    <row r="910" hidden="1">
      <c r="A910" s="15" t="str">
        <f>IFERROR(__xludf.DUMMYFUNCTION("""COMPUTED_VALUE"""),"ROSBR0052")</f>
        <v>ROSBR0052</v>
      </c>
      <c r="B910" s="16">
        <f>IFERROR(__xludf.DUMMYFUNCTION("""COMPUTED_VALUE"""),46017.358376909724)</f>
        <v>46017.35838</v>
      </c>
      <c r="C910" s="17">
        <f>IFERROR(__xludf.DUMMYFUNCTION("""COMPUTED_VALUE"""),46027.7848984375)</f>
        <v>46027.7849</v>
      </c>
      <c r="D910" s="15" t="str">
        <f>IFERROR(__xludf.DUMMYFUNCTION("""COMPUTED_VALUE"""),"Cylinder Outfeed Washing ")</f>
        <v>Cylinder Outfeed Washing </v>
      </c>
      <c r="E910" s="15" t="str">
        <f>IFERROR(__xludf.DUMMYFUNCTION("""COMPUTED_VALUE"""),"NA")</f>
        <v>NA</v>
      </c>
      <c r="F910" s="15" t="str">
        <f>IFERROR(__xludf.DUMMYFUNCTION("""COMPUTED_VALUE"""),"Push-in fitting")</f>
        <v>Push-in fitting</v>
      </c>
      <c r="G910" s="15">
        <f>IFERROR(__xludf.DUMMYFUNCTION("""COMPUTED_VALUE"""),10.0)</f>
        <v>10</v>
      </c>
      <c r="H910" s="15" t="str">
        <f>IFERROR(__xludf.DUMMYFUNCTION("""COMPUTED_VALUE"""),"pcs")</f>
        <v>pcs</v>
      </c>
      <c r="I910" s="15" t="str">
        <f>IFERROR(__xludf.DUMMYFUNCTION("""COMPUTED_VALUE"""),"Approval Item Code")</f>
        <v>Approval Item Code</v>
      </c>
      <c r="J910" s="15" t="str">
        <f>IFERROR(__xludf.DUMMYFUNCTION("""COMPUTED_VALUE"""),"-")</f>
        <v>-</v>
      </c>
      <c r="K910" s="15" t="str">
        <f>IFERROR(__xludf.DUMMYFUNCTION("""COMPUTED_VALUE"""),"-")</f>
        <v>-</v>
      </c>
      <c r="L910" s="15" t="str">
        <f>IFERROR(__xludf.DUMMYFUNCTION("""COMPUTED_VALUE"""),"Normal")</f>
        <v>Normal</v>
      </c>
      <c r="M910" s="18" t="s">
        <v>29</v>
      </c>
      <c r="N910" s="18" t="s">
        <v>30</v>
      </c>
    </row>
    <row r="911" hidden="1">
      <c r="A911" s="15" t="str">
        <f>IFERROR(__xludf.DUMMYFUNCTION("""COMPUTED_VALUE"""),"ROSBR0053")</f>
        <v>ROSBR0053</v>
      </c>
      <c r="B911" s="16">
        <f>IFERROR(__xludf.DUMMYFUNCTION("""COMPUTED_VALUE"""),46017.3594032176)</f>
        <v>46017.3594</v>
      </c>
      <c r="C911" s="17">
        <f>IFERROR(__xludf.DUMMYFUNCTION("""COMPUTED_VALUE"""),46027.785303564815)</f>
        <v>46027.7853</v>
      </c>
      <c r="D911" s="15" t="str">
        <f>IFERROR(__xludf.DUMMYFUNCTION("""COMPUTED_VALUE"""),"Cylinder Outfeed Washing ")</f>
        <v>Cylinder Outfeed Washing </v>
      </c>
      <c r="E911" s="15" t="str">
        <f>IFERROR(__xludf.DUMMYFUNCTION("""COMPUTED_VALUE"""),"NA")</f>
        <v>NA</v>
      </c>
      <c r="F911" s="15" t="str">
        <f>IFERROR(__xludf.DUMMYFUNCTION("""COMPUTED_VALUE"""),"Push-in fitting")</f>
        <v>Push-in fitting</v>
      </c>
      <c r="G911" s="15">
        <f>IFERROR(__xludf.DUMMYFUNCTION("""COMPUTED_VALUE"""),10.0)</f>
        <v>10</v>
      </c>
      <c r="H911" s="15" t="str">
        <f>IFERROR(__xludf.DUMMYFUNCTION("""COMPUTED_VALUE"""),"pcs")</f>
        <v>pcs</v>
      </c>
      <c r="I911" s="15" t="str">
        <f>IFERROR(__xludf.DUMMYFUNCTION("""COMPUTED_VALUE"""),"Deliver")</f>
        <v>Deliver</v>
      </c>
      <c r="J911" s="15" t="str">
        <f>IFERROR(__xludf.DUMMYFUNCTION("""COMPUTED_VALUE"""),"121704041 - APPROVED")</f>
        <v>121704041 - APPROVED</v>
      </c>
      <c r="K911" s="15" t="str">
        <f>IFERROR(__xludf.DUMMYFUNCTION("""COMPUTED_VALUE"""),"GL2604306")</f>
        <v>GL2604306</v>
      </c>
      <c r="L911" s="15" t="str">
        <f>IFERROR(__xludf.DUMMYFUNCTION("""COMPUTED_VALUE"""),"Normal")</f>
        <v>Normal</v>
      </c>
      <c r="M911" s="18" t="s">
        <v>29</v>
      </c>
      <c r="N911" s="18" t="s">
        <v>30</v>
      </c>
    </row>
    <row r="912" hidden="1">
      <c r="A912" s="15" t="str">
        <f>IFERROR(__xludf.DUMMYFUNCTION("""COMPUTED_VALUE"""),"ROSBR0055")</f>
        <v>ROSBR0055</v>
      </c>
      <c r="B912" s="16">
        <f>IFERROR(__xludf.DUMMYFUNCTION("""COMPUTED_VALUE"""),46024.655250138894)</f>
        <v>46024.65525</v>
      </c>
      <c r="C912" s="17">
        <f>IFERROR(__xludf.DUMMYFUNCTION("""COMPUTED_VALUE"""),46027.78761982639)</f>
        <v>46027.78762</v>
      </c>
      <c r="D912" s="15" t="str">
        <f>IFERROR(__xludf.DUMMYFUNCTION("""COMPUTED_VALUE"""),"Stoper rubber filling ")</f>
        <v>Stoper rubber filling </v>
      </c>
      <c r="E912" s="15" t="str">
        <f>IFERROR(__xludf.DUMMYFUNCTION("""COMPUTED_VALUE"""),"NA")</f>
        <v>NA</v>
      </c>
      <c r="F912" s="15" t="str">
        <f>IFERROR(__xludf.DUMMYFUNCTION("""COMPUTED_VALUE"""),"Oring Head stoper rubber")</f>
        <v>Oring Head stoper rubber</v>
      </c>
      <c r="G912" s="15">
        <f>IFERROR(__xludf.DUMMYFUNCTION("""COMPUTED_VALUE"""),20.0)</f>
        <v>20</v>
      </c>
      <c r="H912" s="15" t="str">
        <f>IFERROR(__xludf.DUMMYFUNCTION("""COMPUTED_VALUE"""),"pcs")</f>
        <v>pcs</v>
      </c>
      <c r="I912" s="15" t="str">
        <f>IFERROR(__xludf.DUMMYFUNCTION("""COMPUTED_VALUE"""),"PR Open")</f>
        <v>PR Open</v>
      </c>
      <c r="J912" s="15" t="str">
        <f>IFERROR(__xludf.DUMMYFUNCTION("""COMPUTED_VALUE"""),"121704555 - APPROVED")</f>
        <v>121704555 - APPROVED</v>
      </c>
      <c r="K912" s="15" t="str">
        <f>IFERROR(__xludf.DUMMYFUNCTION("""COMPUTED_VALUE"""),"-")</f>
        <v>-</v>
      </c>
      <c r="L912" s="15" t="str">
        <f>IFERROR(__xludf.DUMMYFUNCTION("""COMPUTED_VALUE"""),"Normal")</f>
        <v>Normal</v>
      </c>
      <c r="M912" s="18" t="s">
        <v>29</v>
      </c>
      <c r="N912" s="18" t="s">
        <v>30</v>
      </c>
    </row>
    <row r="913" hidden="1">
      <c r="A913" s="15" t="str">
        <f>IFERROR(__xludf.DUMMYFUNCTION("""COMPUTED_VALUE"""),"ROSBR0056")</f>
        <v>ROSBR0056</v>
      </c>
      <c r="B913" s="16">
        <f>IFERROR(__xludf.DUMMYFUNCTION("""COMPUTED_VALUE"""),46024.97027935185)</f>
        <v>46024.97028</v>
      </c>
      <c r="C913" s="17">
        <f>IFERROR(__xludf.DUMMYFUNCTION("""COMPUTED_VALUE"""),46027.788053888886)</f>
        <v>46027.78805</v>
      </c>
      <c r="D913" s="15" t="str">
        <f>IFERROR(__xludf.DUMMYFUNCTION("""COMPUTED_VALUE"""),"BOD 3")</f>
        <v>BOD 3</v>
      </c>
      <c r="E913" s="15" t="str">
        <f>IFERROR(__xludf.DUMMYFUNCTION("""COMPUTED_VALUE"""),"NA")</f>
        <v>NA</v>
      </c>
      <c r="F913" s="15" t="str">
        <f>IFERROR(__xludf.DUMMYFUNCTION("""COMPUTED_VALUE"""),"Swinghandle BOD 3")</f>
        <v>Swinghandle BOD 3</v>
      </c>
      <c r="G913" s="15">
        <f>IFERROR(__xludf.DUMMYFUNCTION("""COMPUTED_VALUE"""),2.0)</f>
        <v>2</v>
      </c>
      <c r="H913" s="15" t="str">
        <f>IFERROR(__xludf.DUMMYFUNCTION("""COMPUTED_VALUE"""),"set")</f>
        <v>set</v>
      </c>
      <c r="I913" s="15" t="str">
        <f>IFERROR(__xludf.DUMMYFUNCTION("""COMPUTED_VALUE"""),"Deliver")</f>
        <v>Deliver</v>
      </c>
      <c r="J913" s="15" t="str">
        <f>IFERROR(__xludf.DUMMYFUNCTION("""COMPUTED_VALUE"""),"121703822 - APPROVED")</f>
        <v>121703822 - APPROVED</v>
      </c>
      <c r="K913" s="15" t="str">
        <f>IFERROR(__xludf.DUMMYFUNCTION("""COMPUTED_VALUE"""),"GL2603003")</f>
        <v>GL2603003</v>
      </c>
      <c r="L913" s="15" t="str">
        <f>IFERROR(__xludf.DUMMYFUNCTION("""COMPUTED_VALUE"""),"Normal")</f>
        <v>Normal</v>
      </c>
      <c r="M913" s="18" t="s">
        <v>29</v>
      </c>
      <c r="N913" s="18" t="s">
        <v>30</v>
      </c>
    </row>
    <row r="914" hidden="1">
      <c r="A914" s="15" t="str">
        <f>IFERROR(__xludf.DUMMYFUNCTION("""COMPUTED_VALUE"""),"ROSBR0057")</f>
        <v>ROSBR0057</v>
      </c>
      <c r="B914" s="16">
        <f>IFERROR(__xludf.DUMMYFUNCTION("""COMPUTED_VALUE"""),46029.51480841436)</f>
        <v>46029.51481</v>
      </c>
      <c r="C914" s="17">
        <f>IFERROR(__xludf.DUMMYFUNCTION("""COMPUTED_VALUE"""),46030.50310611111)</f>
        <v>46030.50311</v>
      </c>
      <c r="D914" s="15" t="str">
        <f>IFERROR(__xludf.DUMMYFUNCTION("""COMPUTED_VALUE"""),"Paku rivet ")</f>
        <v>Paku rivet </v>
      </c>
      <c r="E914" s="15" t="str">
        <f>IFERROR(__xludf.DUMMYFUNCTION("""COMPUTED_VALUE"""),"NA")</f>
        <v>NA</v>
      </c>
      <c r="F914" s="15" t="str">
        <f>IFERROR(__xludf.DUMMYFUNCTION("""COMPUTED_VALUE"""),"Paku rivet ")</f>
        <v>Paku rivet </v>
      </c>
      <c r="G914" s="15">
        <f>IFERROR(__xludf.DUMMYFUNCTION("""COMPUTED_VALUE"""),1.0)</f>
        <v>1</v>
      </c>
      <c r="H914" s="15" t="str">
        <f>IFERROR(__xludf.DUMMYFUNCTION("""COMPUTED_VALUE"""),"pac")</f>
        <v>pac</v>
      </c>
      <c r="I914" s="15" t="str">
        <f>IFERROR(__xludf.DUMMYFUNCTION("""COMPUTED_VALUE"""),"Deliver")</f>
        <v>Deliver</v>
      </c>
      <c r="J914" s="15" t="str">
        <f>IFERROR(__xludf.DUMMYFUNCTION("""COMPUTED_VALUE"""),"121704369 - APPROVED")</f>
        <v>121704369 - APPROVED</v>
      </c>
      <c r="K914" s="15" t="str">
        <f>IFERROR(__xludf.DUMMYFUNCTION("""COMPUTED_VALUE"""),"GL2607378")</f>
        <v>GL2607378</v>
      </c>
      <c r="L914" s="15" t="str">
        <f>IFERROR(__xludf.DUMMYFUNCTION("""COMPUTED_VALUE"""),"Normal")</f>
        <v>Normal</v>
      </c>
      <c r="M914" s="18" t="s">
        <v>29</v>
      </c>
      <c r="N914" s="18" t="s">
        <v>30</v>
      </c>
    </row>
    <row r="915" hidden="1">
      <c r="A915" s="15" t="str">
        <f>IFERROR(__xludf.DUMMYFUNCTION("""COMPUTED_VALUE"""),"ROSBR0058")</f>
        <v>ROSBR0058</v>
      </c>
      <c r="B915" s="16">
        <f>IFERROR(__xludf.DUMMYFUNCTION("""COMPUTED_VALUE"""),46029.51480841436)</f>
        <v>46029.51481</v>
      </c>
      <c r="C915" s="17">
        <f>IFERROR(__xludf.DUMMYFUNCTION("""COMPUTED_VALUE"""),46030.503285046296)</f>
        <v>46030.50329</v>
      </c>
      <c r="D915" s="15" t="str">
        <f>IFERROR(__xludf.DUMMYFUNCTION("""COMPUTED_VALUE"""),"Paku rivet ")</f>
        <v>Paku rivet </v>
      </c>
      <c r="E915" s="15" t="str">
        <f>IFERROR(__xludf.DUMMYFUNCTION("""COMPUTED_VALUE"""),"NA")</f>
        <v>NA</v>
      </c>
      <c r="F915" s="15" t="str">
        <f>IFERROR(__xludf.DUMMYFUNCTION("""COMPUTED_VALUE"""),"Paku rivet ")</f>
        <v>Paku rivet </v>
      </c>
      <c r="G915" s="15">
        <f>IFERROR(__xludf.DUMMYFUNCTION("""COMPUTED_VALUE"""),1.0)</f>
        <v>1</v>
      </c>
      <c r="H915" s="15" t="str">
        <f>IFERROR(__xludf.DUMMYFUNCTION("""COMPUTED_VALUE"""),"pac")</f>
        <v>pac</v>
      </c>
      <c r="I915" s="15" t="str">
        <f>IFERROR(__xludf.DUMMYFUNCTION("""COMPUTED_VALUE"""),"Deliver")</f>
        <v>Deliver</v>
      </c>
      <c r="J915" s="15" t="str">
        <f>IFERROR(__xludf.DUMMYFUNCTION("""COMPUTED_VALUE"""),"121704369 - APPROVED")</f>
        <v>121704369 - APPROVED</v>
      </c>
      <c r="K915" s="15" t="str">
        <f>IFERROR(__xludf.DUMMYFUNCTION("""COMPUTED_VALUE"""),"GL2607378")</f>
        <v>GL2607378</v>
      </c>
      <c r="L915" s="15" t="str">
        <f>IFERROR(__xludf.DUMMYFUNCTION("""COMPUTED_VALUE"""),"Normal")</f>
        <v>Normal</v>
      </c>
      <c r="M915" s="18" t="s">
        <v>29</v>
      </c>
      <c r="N915" s="18" t="s">
        <v>30</v>
      </c>
    </row>
    <row r="916" hidden="1">
      <c r="A916" s="15" t="str">
        <f>IFERROR(__xludf.DUMMYFUNCTION("""COMPUTED_VALUE"""),"ROSBR0060")</f>
        <v>ROSBR0060</v>
      </c>
      <c r="B916" s="16">
        <f>IFERROR(__xludf.DUMMYFUNCTION("""COMPUTED_VALUE"""),46029.52208690972)</f>
        <v>46029.52209</v>
      </c>
      <c r="C916" s="17">
        <f>IFERROR(__xludf.DUMMYFUNCTION("""COMPUTED_VALUE"""),46030.56064773148)</f>
        <v>46030.56065</v>
      </c>
      <c r="D916" s="15" t="str">
        <f>IFERROR(__xludf.DUMMYFUNCTION("""COMPUTED_VALUE"""),"Kunci L bintang ")</f>
        <v>Kunci L bintang </v>
      </c>
      <c r="E916" s="15" t="str">
        <f>IFERROR(__xludf.DUMMYFUNCTION("""COMPUTED_VALUE"""),"NA")</f>
        <v>NA</v>
      </c>
      <c r="F916" s="15" t="str">
        <f>IFERROR(__xludf.DUMMYFUNCTION("""COMPUTED_VALUE"""),"KUNCI L BINTANG SET LUBANG")</f>
        <v>KUNCI L BINTANG SET LUBANG</v>
      </c>
      <c r="G916" s="15">
        <f>IFERROR(__xludf.DUMMYFUNCTION("""COMPUTED_VALUE"""),1.0)</f>
        <v>1</v>
      </c>
      <c r="H916" s="15" t="str">
        <f>IFERROR(__xludf.DUMMYFUNCTION("""COMPUTED_VALUE"""),"set")</f>
        <v>set</v>
      </c>
      <c r="I916" s="15" t="str">
        <f>IFERROR(__xludf.DUMMYFUNCTION("""COMPUTED_VALUE"""),"Deliver")</f>
        <v>Deliver</v>
      </c>
      <c r="J916" s="15" t="str">
        <f>IFERROR(__xludf.DUMMYFUNCTION("""COMPUTED_VALUE"""),"121703826 - APPROVED")</f>
        <v>121703826 - APPROVED</v>
      </c>
      <c r="K916" s="15" t="str">
        <f>IFERROR(__xludf.DUMMYFUNCTION("""COMPUTED_VALUE"""),"GL2603049")</f>
        <v>GL2603049</v>
      </c>
      <c r="L916" s="15" t="str">
        <f>IFERROR(__xludf.DUMMYFUNCTION("""COMPUTED_VALUE"""),"Normal")</f>
        <v>Normal</v>
      </c>
      <c r="M916" s="18" t="s">
        <v>29</v>
      </c>
      <c r="N916" s="18" t="s">
        <v>30</v>
      </c>
    </row>
    <row r="917" hidden="1">
      <c r="A917" s="15" t="str">
        <f>IFERROR(__xludf.DUMMYFUNCTION("""COMPUTED_VALUE"""),"ROSBR0061")</f>
        <v>ROSBR0061</v>
      </c>
      <c r="B917" s="16">
        <f>IFERROR(__xludf.DUMMYFUNCTION("""COMPUTED_VALUE"""),46029.583617199074)</f>
        <v>46029.58362</v>
      </c>
      <c r="C917" s="17">
        <f>IFERROR(__xludf.DUMMYFUNCTION("""COMPUTED_VALUE"""),46030.56394912037)</f>
        <v>46030.56395</v>
      </c>
      <c r="D917" s="15" t="str">
        <f>IFERROR(__xludf.DUMMYFUNCTION("""COMPUTED_VALUE"""),"Obeng minus dan plus")</f>
        <v>Obeng minus dan plus</v>
      </c>
      <c r="E917" s="15" t="str">
        <f>IFERROR(__xludf.DUMMYFUNCTION("""COMPUTED_VALUE"""),"NA")</f>
        <v>NA</v>
      </c>
      <c r="F917" s="15" t="str">
        <f>IFERROR(__xludf.DUMMYFUNCTION("""COMPUTED_VALUE"""),"Krisbow Screwdriver Obeng Plus &amp; Minus 8 Pcs - Kuning Lrsst8")</f>
        <v>Krisbow Screwdriver Obeng Plus &amp; Minus 8 Pcs - Kuning Lrsst8</v>
      </c>
      <c r="G917" s="15">
        <f>IFERROR(__xludf.DUMMYFUNCTION("""COMPUTED_VALUE"""),2.0)</f>
        <v>2</v>
      </c>
      <c r="H917" s="15" t="str">
        <f>IFERROR(__xludf.DUMMYFUNCTION("""COMPUTED_VALUE"""),"set")</f>
        <v>set</v>
      </c>
      <c r="I917" s="15" t="str">
        <f>IFERROR(__xludf.DUMMYFUNCTION("""COMPUTED_VALUE"""),"PR Open")</f>
        <v>PR Open</v>
      </c>
      <c r="J917" s="15" t="str">
        <f>IFERROR(__xludf.DUMMYFUNCTION("""COMPUTED_VALUE"""),"121704550 - APPROVED")</f>
        <v>121704550 - APPROVED</v>
      </c>
      <c r="K917" s="15" t="str">
        <f>IFERROR(__xludf.DUMMYFUNCTION("""COMPUTED_VALUE"""),"-")</f>
        <v>-</v>
      </c>
      <c r="L917" s="15" t="str">
        <f>IFERROR(__xludf.DUMMYFUNCTION("""COMPUTED_VALUE"""),"Normal")</f>
        <v>Normal</v>
      </c>
      <c r="M917" s="18" t="s">
        <v>29</v>
      </c>
      <c r="N917" s="18" t="s">
        <v>30</v>
      </c>
    </row>
    <row r="918" hidden="1">
      <c r="A918" s="15" t="str">
        <f>IFERROR(__xludf.DUMMYFUNCTION("""COMPUTED_VALUE"""),"ROSBR0062")</f>
        <v>ROSBR0062</v>
      </c>
      <c r="B918" s="16">
        <f>IFERROR(__xludf.DUMMYFUNCTION("""COMPUTED_VALUE"""),46029.58978219907)</f>
        <v>46029.58978</v>
      </c>
      <c r="C918" s="17">
        <f>IFERROR(__xludf.DUMMYFUNCTION("""COMPUTED_VALUE"""),46030.564154328706)</f>
        <v>46030.56415</v>
      </c>
      <c r="D918" s="15" t="str">
        <f>IFERROR(__xludf.DUMMYFUNCTION("""COMPUTED_VALUE"""),"Tang tekiro bengkok")</f>
        <v>Tang tekiro bengkok</v>
      </c>
      <c r="E918" s="15" t="str">
        <f>IFERROR(__xludf.DUMMYFUNCTION("""COMPUTED_VALUE"""),"NA ")</f>
        <v>NA </v>
      </c>
      <c r="F918" s="15" t="str">
        <f>IFERROR(__xludf.DUMMYFUNCTION("""COMPUTED_VALUE"""),"TEKIRO TANG BUAYA BENGKOK 10 INCH /")</f>
        <v>TEKIRO TANG BUAYA BENGKOK 10 INCH /</v>
      </c>
      <c r="G918" s="15">
        <f>IFERROR(__xludf.DUMMYFUNCTION("""COMPUTED_VALUE"""),2.0)</f>
        <v>2</v>
      </c>
      <c r="H918" s="15" t="str">
        <f>IFERROR(__xludf.DUMMYFUNCTION("""COMPUTED_VALUE"""),"pcs")</f>
        <v>pcs</v>
      </c>
      <c r="I918" s="15" t="str">
        <f>IFERROR(__xludf.DUMMYFUNCTION("""COMPUTED_VALUE"""),"PO Open")</f>
        <v>PO Open</v>
      </c>
      <c r="J918" s="15" t="str">
        <f>IFERROR(__xludf.DUMMYFUNCTION("""COMPUTED_VALUE"""),"121704379 - APPROVED")</f>
        <v>121704379 - APPROVED</v>
      </c>
      <c r="K918" s="15" t="str">
        <f>IFERROR(__xludf.DUMMYFUNCTION("""COMPUTED_VALUE"""),"GL2608001")</f>
        <v>GL2608001</v>
      </c>
      <c r="L918" s="15" t="str">
        <f>IFERROR(__xludf.DUMMYFUNCTION("""COMPUTED_VALUE"""),"Normal")</f>
        <v>Normal</v>
      </c>
      <c r="M918" s="18" t="s">
        <v>29</v>
      </c>
      <c r="N918" s="18" t="s">
        <v>30</v>
      </c>
    </row>
    <row r="919" hidden="1">
      <c r="A919" s="15" t="str">
        <f>IFERROR(__xludf.DUMMYFUNCTION("""COMPUTED_VALUE"""),"ROSBR0064")</f>
        <v>ROSBR0064</v>
      </c>
      <c r="B919" s="16">
        <f>IFERROR(__xludf.DUMMYFUNCTION("""COMPUTED_VALUE"""),46030.47601230324)</f>
        <v>46030.47601</v>
      </c>
      <c r="C919" s="17">
        <f>IFERROR(__xludf.DUMMYFUNCTION("""COMPUTED_VALUE"""),46030.564615104166)</f>
        <v>46030.56462</v>
      </c>
      <c r="D919" s="15" t="str">
        <f>IFERROR(__xludf.DUMMYFUNCTION("""COMPUTED_VALUE"""),"Gloove Port Orabs ")</f>
        <v>Gloove Port Orabs </v>
      </c>
      <c r="E919" s="15" t="str">
        <f>IFERROR(__xludf.DUMMYFUNCTION("""COMPUTED_VALUE"""),"NA")</f>
        <v>NA</v>
      </c>
      <c r="F919" s="15" t="str">
        <f>IFERROR(__xludf.DUMMYFUNCTION("""COMPUTED_VALUE"""),"O-Ring Sleeve Orabs  Gloove port ")</f>
        <v>O-Ring Sleeve Orabs  Gloove port </v>
      </c>
      <c r="G919" s="15">
        <f>IFERROR(__xludf.DUMMYFUNCTION("""COMPUTED_VALUE"""),5.0)</f>
        <v>5</v>
      </c>
      <c r="H919" s="15" t="str">
        <f>IFERROR(__xludf.DUMMYFUNCTION("""COMPUTED_VALUE"""),"pcs")</f>
        <v>pcs</v>
      </c>
      <c r="I919" s="15" t="str">
        <f>IFERROR(__xludf.DUMMYFUNCTION("""COMPUTED_VALUE"""),"Deliver")</f>
        <v>Deliver</v>
      </c>
      <c r="J919" s="15" t="str">
        <f>IFERROR(__xludf.DUMMYFUNCTION("""COMPUTED_VALUE"""),"121704179 - APPROVED")</f>
        <v>121704179 - APPROVED</v>
      </c>
      <c r="K919" s="15" t="str">
        <f>IFERROR(__xludf.DUMMYFUNCTION("""COMPUTED_VALUE"""),"GL2605005")</f>
        <v>GL2605005</v>
      </c>
      <c r="L919" s="15" t="str">
        <f>IFERROR(__xludf.DUMMYFUNCTION("""COMPUTED_VALUE"""),"Normal")</f>
        <v>Normal</v>
      </c>
      <c r="M919" s="18" t="s">
        <v>29</v>
      </c>
      <c r="N919" s="18" t="s">
        <v>30</v>
      </c>
    </row>
    <row r="920" hidden="1">
      <c r="A920" s="15" t="str">
        <f>IFERROR(__xludf.DUMMYFUNCTION("""COMPUTED_VALUE"""),"ROSBR0065")</f>
        <v>ROSBR0065</v>
      </c>
      <c r="B920" s="16">
        <f>IFERROR(__xludf.DUMMYFUNCTION("""COMPUTED_VALUE"""),46030.476465057865)</f>
        <v>46030.47647</v>
      </c>
      <c r="C920" s="17">
        <f>IFERROR(__xludf.DUMMYFUNCTION("""COMPUTED_VALUE"""),46030.564990555555)</f>
        <v>46030.56499</v>
      </c>
      <c r="D920" s="15" t="str">
        <f>IFERROR(__xludf.DUMMYFUNCTION("""COMPUTED_VALUE"""),"Gloove Port Orabs ")</f>
        <v>Gloove Port Orabs </v>
      </c>
      <c r="E920" s="15" t="str">
        <f>IFERROR(__xludf.DUMMYFUNCTION("""COMPUTED_VALUE"""),"NA ")</f>
        <v>NA </v>
      </c>
      <c r="F920" s="15" t="str">
        <f>IFERROR(__xludf.DUMMYFUNCTION("""COMPUTED_VALUE"""),"O-ring Gloove port Orabs ")</f>
        <v>O-ring Gloove port Orabs </v>
      </c>
      <c r="G920" s="15">
        <f>IFERROR(__xludf.DUMMYFUNCTION("""COMPUTED_VALUE"""),10.0)</f>
        <v>10</v>
      </c>
      <c r="H920" s="15" t="str">
        <f>IFERROR(__xludf.DUMMYFUNCTION("""COMPUTED_VALUE"""),"pcs")</f>
        <v>pcs</v>
      </c>
      <c r="I920" s="15" t="str">
        <f>IFERROR(__xludf.DUMMYFUNCTION("""COMPUTED_VALUE"""),"Deliver")</f>
        <v>Deliver</v>
      </c>
      <c r="J920" s="15" t="str">
        <f>IFERROR(__xludf.DUMMYFUNCTION("""COMPUTED_VALUE"""),"121704179 - APPROVED")</f>
        <v>121704179 - APPROVED</v>
      </c>
      <c r="K920" s="15" t="str">
        <f>IFERROR(__xludf.DUMMYFUNCTION("""COMPUTED_VALUE"""),"GL2605005")</f>
        <v>GL2605005</v>
      </c>
      <c r="L920" s="15" t="str">
        <f>IFERROR(__xludf.DUMMYFUNCTION("""COMPUTED_VALUE"""),"Normal")</f>
        <v>Normal</v>
      </c>
      <c r="M920" s="18" t="s">
        <v>29</v>
      </c>
      <c r="N920" s="18" t="s">
        <v>30</v>
      </c>
    </row>
    <row r="921" hidden="1">
      <c r="A921" s="15" t="str">
        <f>IFERROR(__xludf.DUMMYFUNCTION("""COMPUTED_VALUE"""),"ROSBR0066")</f>
        <v>ROSBR0066</v>
      </c>
      <c r="B921" s="16">
        <f>IFERROR(__xludf.DUMMYFUNCTION("""COMPUTED_VALUE"""),46030.49320335648)</f>
        <v>46030.4932</v>
      </c>
      <c r="C921" s="17">
        <f>IFERROR(__xludf.DUMMYFUNCTION("""COMPUTED_VALUE"""),46030.56648543981)</f>
        <v>46030.56649</v>
      </c>
      <c r="D921" s="15" t="str">
        <f>IFERROR(__xludf.DUMMYFUNCTION("""COMPUTED_VALUE"""),"Toolbox Maintenance ")</f>
        <v>Toolbox Maintenance </v>
      </c>
      <c r="E921" s="15" t="str">
        <f>IFERROR(__xludf.DUMMYFUNCTION("""COMPUTED_VALUE"""),"NA")</f>
        <v>NA</v>
      </c>
      <c r="F921" s="15" t="str">
        <f>IFERROR(__xludf.DUMMYFUNCTION("""COMPUTED_VALUE"""),"TEKIRO TANG POTONG 6 INCH (N - R)")</f>
        <v>TEKIRO TANG POTONG 6 INCH (N - R)</v>
      </c>
      <c r="G921" s="15">
        <f>IFERROR(__xludf.DUMMYFUNCTION("""COMPUTED_VALUE"""),1.0)</f>
        <v>1</v>
      </c>
      <c r="H921" s="15" t="str">
        <f>IFERROR(__xludf.DUMMYFUNCTION("""COMPUTED_VALUE"""),"pcs")</f>
        <v>pcs</v>
      </c>
      <c r="I921" s="15" t="str">
        <f>IFERROR(__xludf.DUMMYFUNCTION("""COMPUTED_VALUE"""),"PO Open")</f>
        <v>PO Open</v>
      </c>
      <c r="J921" s="15" t="str">
        <f>IFERROR(__xludf.DUMMYFUNCTION("""COMPUTED_VALUE"""),"121704362 - APPROVED")</f>
        <v>121704362 - APPROVED</v>
      </c>
      <c r="K921" s="15" t="str">
        <f>IFERROR(__xludf.DUMMYFUNCTION("""COMPUTED_VALUE"""),"GL2609003")</f>
        <v>GL2609003</v>
      </c>
      <c r="L921" s="15" t="str">
        <f>IFERROR(__xludf.DUMMYFUNCTION("""COMPUTED_VALUE"""),"Normal")</f>
        <v>Normal</v>
      </c>
      <c r="M921" s="18" t="s">
        <v>29</v>
      </c>
      <c r="N921" s="18" t="s">
        <v>30</v>
      </c>
    </row>
    <row r="922" hidden="1">
      <c r="A922" s="15" t="str">
        <f>IFERROR(__xludf.DUMMYFUNCTION("""COMPUTED_VALUE"""),"ROSBR0067")</f>
        <v>ROSBR0067</v>
      </c>
      <c r="B922" s="16">
        <f>IFERROR(__xludf.DUMMYFUNCTION("""COMPUTED_VALUE"""),46030.493779143515)</f>
        <v>46030.49378</v>
      </c>
      <c r="C922" s="17">
        <f>IFERROR(__xludf.DUMMYFUNCTION("""COMPUTED_VALUE"""),46030.56670899306)</f>
        <v>46030.56671</v>
      </c>
      <c r="D922" s="15" t="str">
        <f>IFERROR(__xludf.DUMMYFUNCTION("""COMPUTED_VALUE"""),"Toolbox Maintenance ")</f>
        <v>Toolbox Maintenance </v>
      </c>
      <c r="E922" s="15" t="str">
        <f>IFERROR(__xludf.DUMMYFUNCTION("""COMPUTED_VALUE"""),"NA")</f>
        <v>NA</v>
      </c>
      <c r="F922" s="15" t="str">
        <f>IFERROR(__xludf.DUMMYFUNCTION("""COMPUTED_VALUE"""),"TEKIRO TANG KOMBINASI 7 INCH (N - R")</f>
        <v>TEKIRO TANG KOMBINASI 7 INCH (N - R</v>
      </c>
      <c r="G922" s="15">
        <f>IFERROR(__xludf.DUMMYFUNCTION("""COMPUTED_VALUE"""),2.0)</f>
        <v>2</v>
      </c>
      <c r="H922" s="15" t="str">
        <f>IFERROR(__xludf.DUMMYFUNCTION("""COMPUTED_VALUE"""),"pcs")</f>
        <v>pcs</v>
      </c>
      <c r="I922" s="15" t="str">
        <f>IFERROR(__xludf.DUMMYFUNCTION("""COMPUTED_VALUE"""),"PR Open")</f>
        <v>PR Open</v>
      </c>
      <c r="J922" s="15" t="str">
        <f>IFERROR(__xludf.DUMMYFUNCTION("""COMPUTED_VALUE"""),"121704550 - APPROVED")</f>
        <v>121704550 - APPROVED</v>
      </c>
      <c r="K922" s="15" t="str">
        <f>IFERROR(__xludf.DUMMYFUNCTION("""COMPUTED_VALUE"""),"-")</f>
        <v>-</v>
      </c>
      <c r="L922" s="15" t="str">
        <f>IFERROR(__xludf.DUMMYFUNCTION("""COMPUTED_VALUE"""),"Normal")</f>
        <v>Normal</v>
      </c>
      <c r="M922" s="18" t="s">
        <v>29</v>
      </c>
      <c r="N922" s="18" t="s">
        <v>30</v>
      </c>
    </row>
    <row r="923" hidden="1">
      <c r="A923" s="15" t="str">
        <f>IFERROR(__xludf.DUMMYFUNCTION("""COMPUTED_VALUE"""),"ROSBR0068")</f>
        <v>ROSBR0068</v>
      </c>
      <c r="B923" s="16">
        <f>IFERROR(__xludf.DUMMYFUNCTION("""COMPUTED_VALUE"""),46030.495596469904)</f>
        <v>46030.4956</v>
      </c>
      <c r="C923" s="17">
        <f>IFERROR(__xludf.DUMMYFUNCTION("""COMPUTED_VALUE"""),46030.56706429399)</f>
        <v>46030.56706</v>
      </c>
      <c r="D923" s="15" t="str">
        <f>IFERROR(__xludf.DUMMYFUNCTION("""COMPUTED_VALUE"""),"Toolbox Maintenance ")</f>
        <v>Toolbox Maintenance </v>
      </c>
      <c r="E923" s="15" t="str">
        <f>IFERROR(__xludf.DUMMYFUNCTION("""COMPUTED_VALUE"""),"NA")</f>
        <v>NA</v>
      </c>
      <c r="F923" s="15" t="str">
        <f>IFERROR(__xludf.DUMMYFUNCTION("""COMPUTED_VALUE"""),"TEKIRO TANG LANCIP 6 INCH (N - R)")</f>
        <v>TEKIRO TANG LANCIP 6 INCH (N - R)</v>
      </c>
      <c r="G923" s="15">
        <f>IFERROR(__xludf.DUMMYFUNCTION("""COMPUTED_VALUE"""),1.0)</f>
        <v>1</v>
      </c>
      <c r="H923" s="15" t="str">
        <f>IFERROR(__xludf.DUMMYFUNCTION("""COMPUTED_VALUE"""),"Pcs")</f>
        <v>Pcs</v>
      </c>
      <c r="I923" s="15" t="str">
        <f>IFERROR(__xludf.DUMMYFUNCTION("""COMPUTED_VALUE"""),"PR Open")</f>
        <v>PR Open</v>
      </c>
      <c r="J923" s="15" t="str">
        <f>IFERROR(__xludf.DUMMYFUNCTION("""COMPUTED_VALUE"""),"121704550 - APPROVED")</f>
        <v>121704550 - APPROVED</v>
      </c>
      <c r="K923" s="15" t="str">
        <f>IFERROR(__xludf.DUMMYFUNCTION("""COMPUTED_VALUE"""),"GL2609433")</f>
        <v>GL2609433</v>
      </c>
      <c r="L923" s="15" t="str">
        <f>IFERROR(__xludf.DUMMYFUNCTION("""COMPUTED_VALUE"""),"Normal")</f>
        <v>Normal</v>
      </c>
      <c r="M923" s="18" t="s">
        <v>29</v>
      </c>
      <c r="N923" s="18" t="s">
        <v>30</v>
      </c>
    </row>
    <row r="924" hidden="1">
      <c r="A924" s="15" t="str">
        <f>IFERROR(__xludf.DUMMYFUNCTION("""COMPUTED_VALUE"""),"ANOBR0045")</f>
        <v>ANOBR0045</v>
      </c>
      <c r="B924" s="16">
        <f>IFERROR(__xludf.DUMMYFUNCTION("""COMPUTED_VALUE"""),46031.64408528935)</f>
        <v>46031.64409</v>
      </c>
      <c r="C924" s="17">
        <f>IFERROR(__xludf.DUMMYFUNCTION("""COMPUTED_VALUE"""),46034.29268427083)</f>
        <v>46034.29268</v>
      </c>
      <c r="D924" s="15" t="str">
        <f>IFERROR(__xludf.DUMMYFUNCTION("""COMPUTED_VALUE"""),"passbox capping")</f>
        <v>passbox capping</v>
      </c>
      <c r="E924" s="15" t="str">
        <f>IFERROR(__xludf.DUMMYFUNCTION("""COMPUTED_VALUE"""),"EJO/2026/01/16")</f>
        <v>EJO/2026/01/16</v>
      </c>
      <c r="F924" s="15" t="str">
        <f>IFERROR(__xludf.DUMMYFUNCTION("""COMPUTED_VALUE"""),"lampu passbox capping")</f>
        <v>lampu passbox capping</v>
      </c>
      <c r="G924" s="15">
        <f>IFERROR(__xludf.DUMMYFUNCTION("""COMPUTED_VALUE"""),3.0)</f>
        <v>3</v>
      </c>
      <c r="H924" s="15" t="str">
        <f>IFERROR(__xludf.DUMMYFUNCTION("""COMPUTED_VALUE"""),"PCS")</f>
        <v>PCS</v>
      </c>
      <c r="I924" s="15" t="str">
        <f>IFERROR(__xludf.DUMMYFUNCTION("""COMPUTED_VALUE"""),"PR Open")</f>
        <v>PR Open</v>
      </c>
      <c r="J924" s="15" t="str">
        <f>IFERROR(__xludf.DUMMYFUNCTION("""COMPUTED_VALUE"""),"121704550 - APPROVED")</f>
        <v>121704550 - APPROVED</v>
      </c>
      <c r="K924" s="15" t="str">
        <f>IFERROR(__xludf.DUMMYFUNCTION("""COMPUTED_VALUE"""),"GL2609434")</f>
        <v>GL2609434</v>
      </c>
      <c r="L924" s="15" t="str">
        <f>IFERROR(__xludf.DUMMYFUNCTION("""COMPUTED_VALUE"""),"Normal")</f>
        <v>Normal</v>
      </c>
      <c r="M924" s="18" t="s">
        <v>49</v>
      </c>
      <c r="N924" s="18" t="s">
        <v>30</v>
      </c>
    </row>
    <row r="925" hidden="1">
      <c r="A925" s="15" t="str">
        <f>IFERROR(__xludf.DUMMYFUNCTION("""COMPUTED_VALUE"""),"ROSBR0069")</f>
        <v>ROSBR0069</v>
      </c>
      <c r="B925" s="16">
        <f>IFERROR(__xludf.DUMMYFUNCTION("""COMPUTED_VALUE"""),46030.84627806713)</f>
        <v>46030.84628</v>
      </c>
      <c r="C925" s="17">
        <f>IFERROR(__xludf.DUMMYFUNCTION("""COMPUTED_VALUE"""),46034.295567407404)</f>
        <v>46034.29557</v>
      </c>
      <c r="D925" s="15" t="str">
        <f>IFERROR(__xludf.DUMMYFUNCTION("""COMPUTED_VALUE"""),"Toolbox Maintenance ")</f>
        <v>Toolbox Maintenance </v>
      </c>
      <c r="E925" s="15" t="str">
        <f>IFERROR(__xludf.DUMMYFUNCTION("""COMPUTED_VALUE"""),"NA")</f>
        <v>NA</v>
      </c>
      <c r="F925" s="15" t="str">
        <f>IFERROR(__xludf.DUMMYFUNCTION("""COMPUTED_VALUE"""),"OBENG KETOK SET TEKIRO IMPACT DRIVE 11 PCS")</f>
        <v>OBENG KETOK SET TEKIRO IMPACT DRIVE 11 PCS</v>
      </c>
      <c r="G925" s="15">
        <f>IFERROR(__xludf.DUMMYFUNCTION("""COMPUTED_VALUE"""),1.0)</f>
        <v>1</v>
      </c>
      <c r="H925" s="15" t="str">
        <f>IFERROR(__xludf.DUMMYFUNCTION("""COMPUTED_VALUE"""),"Set")</f>
        <v>Set</v>
      </c>
      <c r="I925" s="15" t="str">
        <f>IFERROR(__xludf.DUMMYFUNCTION("""COMPUTED_VALUE"""),"PR Open")</f>
        <v>PR Open</v>
      </c>
      <c r="J925" s="15" t="str">
        <f>IFERROR(__xludf.DUMMYFUNCTION("""COMPUTED_VALUE"""),"121704550 - APPROVED")</f>
        <v>121704550 - APPROVED</v>
      </c>
      <c r="K925" s="15" t="str">
        <f>IFERROR(__xludf.DUMMYFUNCTION("""COMPUTED_VALUE"""),"GL2609434")</f>
        <v>GL2609434</v>
      </c>
      <c r="L925" s="15" t="str">
        <f>IFERROR(__xludf.DUMMYFUNCTION("""COMPUTED_VALUE"""),"Normal")</f>
        <v>Normal</v>
      </c>
      <c r="M925" s="18" t="s">
        <v>29</v>
      </c>
      <c r="N925" s="18" t="s">
        <v>30</v>
      </c>
    </row>
    <row r="926" hidden="1">
      <c r="A926" s="15" t="str">
        <f>IFERROR(__xludf.DUMMYFUNCTION("""COMPUTED_VALUE"""),"ANOBR0046")</f>
        <v>ANOBR0046</v>
      </c>
      <c r="B926" s="16">
        <f>IFERROR(__xludf.DUMMYFUNCTION("""COMPUTED_VALUE"""),46034.490454375)</f>
        <v>46034.49045</v>
      </c>
      <c r="C926" s="17">
        <f>IFERROR(__xludf.DUMMYFUNCTION("""COMPUTED_VALUE"""),46035.97370027778)</f>
        <v>46035.9737</v>
      </c>
      <c r="D926" s="15" t="str">
        <f>IFERROR(__xludf.DUMMYFUNCTION("""COMPUTED_VALUE"""),"Chiler Blistering")</f>
        <v>Chiler Blistering</v>
      </c>
      <c r="E926" s="15" t="str">
        <f>IFERROR(__xludf.DUMMYFUNCTION("""COMPUTED_VALUE"""),"-")</f>
        <v>-</v>
      </c>
      <c r="F926" s="15" t="str">
        <f>IFERROR(__xludf.DUMMYFUNCTION("""COMPUTED_VALUE"""),"ferrule 1 set ss304 dia 4""")</f>
        <v>ferrule 1 set ss304 dia 4"</v>
      </c>
      <c r="G926" s="15">
        <f>IFERROR(__xludf.DUMMYFUNCTION("""COMPUTED_VALUE"""),1.0)</f>
        <v>1</v>
      </c>
      <c r="H926" s="15" t="str">
        <f>IFERROR(__xludf.DUMMYFUNCTION("""COMPUTED_VALUE"""),"set")</f>
        <v>set</v>
      </c>
      <c r="I926" s="15" t="str">
        <f>IFERROR(__xludf.DUMMYFUNCTION("""COMPUTED_VALUE"""),"Deliver")</f>
        <v>Deliver</v>
      </c>
      <c r="J926" s="15" t="str">
        <f>IFERROR(__xludf.DUMMYFUNCTION("""COMPUTED_VALUE"""),"-")</f>
        <v>-</v>
      </c>
      <c r="K926" s="15" t="str">
        <f>IFERROR(__xludf.DUMMYFUNCTION("""COMPUTED_VALUE"""),"-")</f>
        <v>-</v>
      </c>
      <c r="L926" s="15" t="str">
        <f>IFERROR(__xludf.DUMMYFUNCTION("""COMPUTED_VALUE"""),"Normal")</f>
        <v>Normal</v>
      </c>
      <c r="M926" s="18" t="s">
        <v>49</v>
      </c>
      <c r="N926" s="18" t="s">
        <v>30</v>
      </c>
    </row>
    <row r="927" hidden="1">
      <c r="A927" s="15" t="str">
        <f>IFERROR(__xludf.DUMMYFUNCTION("""COMPUTED_VALUE"""),"ANOBR0048")</f>
        <v>ANOBR0048</v>
      </c>
      <c r="B927" s="16">
        <f>IFERROR(__xludf.DUMMYFUNCTION("""COMPUTED_VALUE"""),46034.8150003588)</f>
        <v>46034.815</v>
      </c>
      <c r="C927" s="17">
        <f>IFERROR(__xludf.DUMMYFUNCTION("""COMPUTED_VALUE"""),46036.00451738426)</f>
        <v>46036.00452</v>
      </c>
      <c r="D927" s="15" t="str">
        <f>IFERROR(__xludf.DUMMYFUNCTION("""COMPUTED_VALUE"""),"Chiler Blistering")</f>
        <v>Chiler Blistering</v>
      </c>
      <c r="E927" s="15" t="str">
        <f>IFERROR(__xludf.DUMMYFUNCTION("""COMPUTED_VALUE"""),"-")</f>
        <v>-</v>
      </c>
      <c r="F927" s="15" t="str">
        <f>IFERROR(__xludf.DUMMYFUNCTION("""COMPUTED_VALUE"""),"rifet nut M10")</f>
        <v>rifet nut M10</v>
      </c>
      <c r="G927" s="15">
        <f>IFERROR(__xludf.DUMMYFUNCTION("""COMPUTED_VALUE"""),1.0)</f>
        <v>1</v>
      </c>
      <c r="H927" s="15" t="str">
        <f>IFERROR(__xludf.DUMMYFUNCTION("""COMPUTED_VALUE"""),"PCS")</f>
        <v>PCS</v>
      </c>
      <c r="I927" s="15" t="str">
        <f>IFERROR(__xludf.DUMMYFUNCTION("""COMPUTED_VALUE"""),"Deliver")</f>
        <v>Deliver</v>
      </c>
      <c r="J927" s="15" t="str">
        <f>IFERROR(__xludf.DUMMYFUNCTION("""COMPUTED_VALUE"""),"121704162 - APPROVED")</f>
        <v>121704162 - APPROVED</v>
      </c>
      <c r="K927" s="15" t="str">
        <f>IFERROR(__xludf.DUMMYFUNCTION("""COMPUTED_VALUE"""),"GL2605325")</f>
        <v>GL2605325</v>
      </c>
      <c r="L927" s="15" t="str">
        <f>IFERROR(__xludf.DUMMYFUNCTION("""COMPUTED_VALUE"""),"Normal")</f>
        <v>Normal</v>
      </c>
      <c r="M927" s="18" t="s">
        <v>49</v>
      </c>
      <c r="N927" s="18" t="s">
        <v>30</v>
      </c>
    </row>
    <row r="928" hidden="1">
      <c r="A928" s="15" t="str">
        <f>IFERROR(__xludf.DUMMYFUNCTION("""COMPUTED_VALUE"""),"MOBBR0053")</f>
        <v>MOBBR0053</v>
      </c>
      <c r="B928" s="16">
        <f>IFERROR(__xludf.DUMMYFUNCTION("""COMPUTED_VALUE"""),46035.70894765046)</f>
        <v>46035.70895</v>
      </c>
      <c r="C928" s="17">
        <f>IFERROR(__xludf.DUMMYFUNCTION("""COMPUTED_VALUE"""),46036.53418136574)</f>
        <v>46036.53418</v>
      </c>
      <c r="D928" s="15" t="str">
        <f>IFERROR(__xludf.DUMMYFUNCTION("""COMPUTED_VALUE"""),"Gas QC")</f>
        <v>Gas QC</v>
      </c>
      <c r="E928" s="15" t="str">
        <f>IFERROR(__xludf.DUMMYFUNCTION("""COMPUTED_VALUE"""),"Menyusul")</f>
        <v>Menyusul</v>
      </c>
      <c r="F928" s="15" t="str">
        <f>IFERROR(__xludf.DUMMYFUNCTION("""COMPUTED_VALUE"""),"Valve")</f>
        <v>Valve</v>
      </c>
      <c r="G928" s="15">
        <f>IFERROR(__xludf.DUMMYFUNCTION("""COMPUTED_VALUE"""),1.0)</f>
        <v>1</v>
      </c>
      <c r="H928" s="15" t="str">
        <f>IFERROR(__xludf.DUMMYFUNCTION("""COMPUTED_VALUE"""),"Pcs")</f>
        <v>Pcs</v>
      </c>
      <c r="I928" s="15" t="str">
        <f>IFERROR(__xludf.DUMMYFUNCTION("""COMPUTED_VALUE"""),"Mencari Penawaran")</f>
        <v>Mencari Penawaran</v>
      </c>
      <c r="J928" s="15" t="str">
        <f>IFERROR(__xludf.DUMMYFUNCTION("""COMPUTED_VALUE"""),"-")</f>
        <v>-</v>
      </c>
      <c r="K928" s="15" t="str">
        <f>IFERROR(__xludf.DUMMYFUNCTION("""COMPUTED_VALUE"""),"-")</f>
        <v>-</v>
      </c>
      <c r="L928" s="15" t="str">
        <f>IFERROR(__xludf.DUMMYFUNCTION("""COMPUTED_VALUE"""),"Normal")</f>
        <v>Normal</v>
      </c>
      <c r="M928" s="18" t="s">
        <v>31</v>
      </c>
      <c r="N928" s="18" t="s">
        <v>28</v>
      </c>
    </row>
    <row r="929" hidden="1">
      <c r="A929" s="15" t="str">
        <f>IFERROR(__xludf.DUMMYFUNCTION("""COMPUTED_VALUE"""),"MOBBR0052")</f>
        <v>MOBBR0052</v>
      </c>
      <c r="B929" s="16">
        <f>IFERROR(__xludf.DUMMYFUNCTION("""COMPUTED_VALUE"""),46035.70744361111)</f>
        <v>46035.70744</v>
      </c>
      <c r="C929" s="17">
        <f>IFERROR(__xludf.DUMMYFUNCTION("""COMPUTED_VALUE"""),46036.53435172454)</f>
        <v>46036.53435</v>
      </c>
      <c r="D929" s="15" t="str">
        <f>IFERROR(__xludf.DUMMYFUNCTION("""COMPUTED_VALUE"""),"Hot water")</f>
        <v>Hot water</v>
      </c>
      <c r="E929" s="15" t="str">
        <f>IFERROR(__xludf.DUMMYFUNCTION("""COMPUTED_VALUE"""),"Menyusul")</f>
        <v>Menyusul</v>
      </c>
      <c r="F929" s="15" t="str">
        <f>IFERROR(__xludf.DUMMYFUNCTION("""COMPUTED_VALUE"""),"PRV")</f>
        <v>PRV</v>
      </c>
      <c r="G929" s="15">
        <f>IFERROR(__xludf.DUMMYFUNCTION("""COMPUTED_VALUE"""),1.0)</f>
        <v>1</v>
      </c>
      <c r="H929" s="15" t="str">
        <f>IFERROR(__xludf.DUMMYFUNCTION("""COMPUTED_VALUE"""),"Pcs")</f>
        <v>Pcs</v>
      </c>
      <c r="I929" s="15" t="str">
        <f>IFERROR(__xludf.DUMMYFUNCTION("""COMPUTED_VALUE"""),"Deliver")</f>
        <v>Deliver</v>
      </c>
      <c r="J929" s="15" t="str">
        <f>IFERROR(__xludf.DUMMYFUNCTION("""COMPUTED_VALUE"""),"121704381 - APPROVED")</f>
        <v>121704381 - APPROVED</v>
      </c>
      <c r="K929" s="15" t="str">
        <f>IFERROR(__xludf.DUMMYFUNCTION("""COMPUTED_VALUE"""),"GL2607010")</f>
        <v>GL2607010</v>
      </c>
      <c r="L929" s="15" t="str">
        <f>IFERROR(__xludf.DUMMYFUNCTION("""COMPUTED_VALUE"""),"Normal")</f>
        <v>Normal</v>
      </c>
      <c r="M929" s="18" t="s">
        <v>31</v>
      </c>
      <c r="N929" s="18" t="s">
        <v>28</v>
      </c>
    </row>
    <row r="930" hidden="1">
      <c r="A930" s="15" t="str">
        <f>IFERROR(__xludf.DUMMYFUNCTION("""COMPUTED_VALUE"""),"MRNBR0095")</f>
        <v>MRNBR0095</v>
      </c>
      <c r="B930" s="16">
        <f>IFERROR(__xludf.DUMMYFUNCTION("""COMPUTED_VALUE"""),46032.83897131944)</f>
        <v>46032.83897</v>
      </c>
      <c r="C930" s="17">
        <f>IFERROR(__xludf.DUMMYFUNCTION("""COMPUTED_VALUE"""),46036.53501658564)</f>
        <v>46036.53502</v>
      </c>
      <c r="D930" s="15" t="str">
        <f>IFERROR(__xludf.DUMMYFUNCTION("""COMPUTED_VALUE"""),"pipa hot water")</f>
        <v>pipa hot water</v>
      </c>
      <c r="E930" s="15" t="str">
        <f>IFERROR(__xludf.DUMMYFUNCTION("""COMPUTED_VALUE"""),"EJO/2025/07/105")</f>
        <v>EJO/2025/07/105</v>
      </c>
      <c r="F930" s="15" t="str">
        <f>IFERROR(__xludf.DUMMYFUNCTION("""COMPUTED_VALUE"""),"Pipa hot water")</f>
        <v>Pipa hot water</v>
      </c>
      <c r="G930" s="15">
        <f>IFERROR(__xludf.DUMMYFUNCTION("""COMPUTED_VALUE"""),5.0)</f>
        <v>5</v>
      </c>
      <c r="H930" s="15" t="str">
        <f>IFERROR(__xludf.DUMMYFUNCTION("""COMPUTED_VALUE"""),"pcs")</f>
        <v>pcs</v>
      </c>
      <c r="I930" s="15" t="str">
        <f>IFERROR(__xludf.DUMMYFUNCTION("""COMPUTED_VALUE"""),"PR Open")</f>
        <v>PR Open</v>
      </c>
      <c r="J930" s="15" t="str">
        <f>IFERROR(__xludf.DUMMYFUNCTION("""COMPUTED_VALUE"""),"121704549 - APPROVED")</f>
        <v>121704549 - APPROVED</v>
      </c>
      <c r="K930" s="15" t="str">
        <f>IFERROR(__xludf.DUMMYFUNCTION("""COMPUTED_VALUE"""),"-")</f>
        <v>-</v>
      </c>
      <c r="L930" s="15" t="str">
        <f>IFERROR(__xludf.DUMMYFUNCTION("""COMPUTED_VALUE"""),"Normal")</f>
        <v>Normal</v>
      </c>
      <c r="M930" s="18" t="s">
        <v>48</v>
      </c>
      <c r="N930" s="18" t="s">
        <v>28</v>
      </c>
    </row>
    <row r="931" hidden="1">
      <c r="A931" s="15" t="str">
        <f>IFERROR(__xludf.DUMMYFUNCTION("""COMPUTED_VALUE"""),"MRNBR0094")</f>
        <v>MRNBR0094</v>
      </c>
      <c r="B931" s="16">
        <f>IFERROR(__xludf.DUMMYFUNCTION("""COMPUTED_VALUE"""),46032.83837027778)</f>
        <v>46032.83837</v>
      </c>
      <c r="C931" s="17">
        <f>IFERROR(__xludf.DUMMYFUNCTION("""COMPUTED_VALUE"""),46036.535237881944)</f>
        <v>46036.53524</v>
      </c>
      <c r="D931" s="15" t="str">
        <f>IFERROR(__xludf.DUMMYFUNCTION("""COMPUTED_VALUE"""),"pipa hot water")</f>
        <v>pipa hot water</v>
      </c>
      <c r="E931" s="15" t="str">
        <f>IFERROR(__xludf.DUMMYFUNCTION("""COMPUTED_VALUE"""),"EJO/2025/07/105")</f>
        <v>EJO/2025/07/105</v>
      </c>
      <c r="F931" s="15" t="str">
        <f>IFERROR(__xludf.DUMMYFUNCTION("""COMPUTED_VALUE"""),"Pipa hot water")</f>
        <v>Pipa hot water</v>
      </c>
      <c r="G931" s="15">
        <f>IFERROR(__xludf.DUMMYFUNCTION("""COMPUTED_VALUE"""),5.0)</f>
        <v>5</v>
      </c>
      <c r="H931" s="15" t="str">
        <f>IFERROR(__xludf.DUMMYFUNCTION("""COMPUTED_VALUE"""),"pcs")</f>
        <v>pcs</v>
      </c>
      <c r="I931" s="15" t="str">
        <f>IFERROR(__xludf.DUMMYFUNCTION("""COMPUTED_VALUE"""),"PR Open")</f>
        <v>PR Open</v>
      </c>
      <c r="J931" s="15" t="str">
        <f>IFERROR(__xludf.DUMMYFUNCTION("""COMPUTED_VALUE"""),"121704549 - APPROVED")</f>
        <v>121704549 - APPROVED</v>
      </c>
      <c r="K931" s="15" t="str">
        <f>IFERROR(__xludf.DUMMYFUNCTION("""COMPUTED_VALUE"""),"-")</f>
        <v>-</v>
      </c>
      <c r="L931" s="15" t="str">
        <f>IFERROR(__xludf.DUMMYFUNCTION("""COMPUTED_VALUE"""),"Normal")</f>
        <v>Normal</v>
      </c>
      <c r="M931" s="18" t="s">
        <v>48</v>
      </c>
      <c r="N931" s="18" t="s">
        <v>28</v>
      </c>
    </row>
    <row r="932" hidden="1">
      <c r="A932" s="15" t="str">
        <f>IFERROR(__xludf.DUMMYFUNCTION("""COMPUTED_VALUE"""),"MRNBR0093")</f>
        <v>MRNBR0093</v>
      </c>
      <c r="B932" s="16">
        <f>IFERROR(__xludf.DUMMYFUNCTION("""COMPUTED_VALUE"""),46032.83043792824)</f>
        <v>46032.83044</v>
      </c>
      <c r="C932" s="17">
        <f>IFERROR(__xludf.DUMMYFUNCTION("""COMPUTED_VALUE"""),46036.53548401621)</f>
        <v>46036.53548</v>
      </c>
      <c r="D932" s="15" t="str">
        <f>IFERROR(__xludf.DUMMYFUNCTION("""COMPUTED_VALUE"""),"pipa hot water")</f>
        <v>pipa hot water</v>
      </c>
      <c r="E932" s="15" t="str">
        <f>IFERROR(__xludf.DUMMYFUNCTION("""COMPUTED_VALUE"""),"EJO/2025/07/105")</f>
        <v>EJO/2025/07/105</v>
      </c>
      <c r="F932" s="15" t="str">
        <f>IFERROR(__xludf.DUMMYFUNCTION("""COMPUTED_VALUE"""),"Pipa hot water")</f>
        <v>Pipa hot water</v>
      </c>
      <c r="G932" s="15">
        <f>IFERROR(__xludf.DUMMYFUNCTION("""COMPUTED_VALUE"""),5.0)</f>
        <v>5</v>
      </c>
      <c r="H932" s="15" t="str">
        <f>IFERROR(__xludf.DUMMYFUNCTION("""COMPUTED_VALUE"""),"pcs")</f>
        <v>pcs</v>
      </c>
      <c r="I932" s="15" t="str">
        <f>IFERROR(__xludf.DUMMYFUNCTION("""COMPUTED_VALUE"""),"PR Open")</f>
        <v>PR Open</v>
      </c>
      <c r="J932" s="15" t="str">
        <f>IFERROR(__xludf.DUMMYFUNCTION("""COMPUTED_VALUE"""),"121704549 - APPROVED")</f>
        <v>121704549 - APPROVED</v>
      </c>
      <c r="K932" s="15" t="str">
        <f>IFERROR(__xludf.DUMMYFUNCTION("""COMPUTED_VALUE"""),"-")</f>
        <v>-</v>
      </c>
      <c r="L932" s="15" t="str">
        <f>IFERROR(__xludf.DUMMYFUNCTION("""COMPUTED_VALUE"""),"Normal")</f>
        <v>Normal</v>
      </c>
      <c r="M932" s="18" t="s">
        <v>48</v>
      </c>
      <c r="N932" s="18" t="s">
        <v>28</v>
      </c>
    </row>
    <row r="933" hidden="1">
      <c r="A933" s="15" t="str">
        <f>IFERROR(__xludf.DUMMYFUNCTION("""COMPUTED_VALUE"""),"MRNBR0092")</f>
        <v>MRNBR0092</v>
      </c>
      <c r="B933" s="16">
        <f>IFERROR(__xludf.DUMMYFUNCTION("""COMPUTED_VALUE"""),46032.826918113424)</f>
        <v>46032.82692</v>
      </c>
      <c r="C933" s="17">
        <f>IFERROR(__xludf.DUMMYFUNCTION("""COMPUTED_VALUE"""),46036.536320949075)</f>
        <v>46036.53632</v>
      </c>
      <c r="D933" s="15" t="str">
        <f>IFERROR(__xludf.DUMMYFUNCTION("""COMPUTED_VALUE"""),"pipa hot water")</f>
        <v>pipa hot water</v>
      </c>
      <c r="E933" s="15" t="str">
        <f>IFERROR(__xludf.DUMMYFUNCTION("""COMPUTED_VALUE"""),"EJO/2025/07/105")</f>
        <v>EJO/2025/07/105</v>
      </c>
      <c r="F933" s="15" t="str">
        <f>IFERROR(__xludf.DUMMYFUNCTION("""COMPUTED_VALUE"""),"Tee SS lass")</f>
        <v>Tee SS lass</v>
      </c>
      <c r="G933" s="15">
        <f>IFERROR(__xludf.DUMMYFUNCTION("""COMPUTED_VALUE"""),4.0)</f>
        <v>4</v>
      </c>
      <c r="H933" s="15" t="str">
        <f>IFERROR(__xludf.DUMMYFUNCTION("""COMPUTED_VALUE"""),"pcs")</f>
        <v>pcs</v>
      </c>
      <c r="I933" s="15" t="str">
        <f>IFERROR(__xludf.DUMMYFUNCTION("""COMPUTED_VALUE"""),"PR Open")</f>
        <v>PR Open</v>
      </c>
      <c r="J933" s="15" t="str">
        <f>IFERROR(__xludf.DUMMYFUNCTION("""COMPUTED_VALUE"""),"121704549 - APPROVED")</f>
        <v>121704549 - APPROVED</v>
      </c>
      <c r="K933" s="15" t="str">
        <f>IFERROR(__xludf.DUMMYFUNCTION("""COMPUTED_VALUE"""),"GL2609021")</f>
        <v>GL2609021</v>
      </c>
      <c r="L933" s="15" t="str">
        <f>IFERROR(__xludf.DUMMYFUNCTION("""COMPUTED_VALUE"""),"Normal")</f>
        <v>Normal</v>
      </c>
      <c r="M933" s="18" t="s">
        <v>48</v>
      </c>
      <c r="N933" s="18" t="s">
        <v>28</v>
      </c>
    </row>
    <row r="934" hidden="1">
      <c r="A934" s="15" t="str">
        <f>IFERROR(__xludf.DUMMYFUNCTION("""COMPUTED_VALUE"""),"BDURO0002")</f>
        <v>BDURO0002</v>
      </c>
      <c r="B934" s="16">
        <f>IFERROR(__xludf.DUMMYFUNCTION("""COMPUTED_VALUE"""),46031.41487912037)</f>
        <v>46031.41488</v>
      </c>
      <c r="C934" s="17">
        <f>IFERROR(__xludf.DUMMYFUNCTION("""COMPUTED_VALUE"""),46036.53648556713)</f>
        <v>46036.53649</v>
      </c>
      <c r="D934" s="15" t="str">
        <f>IFERROR(__xludf.DUMMYFUNCTION("""COMPUTED_VALUE"""),"HO")</f>
        <v>HO</v>
      </c>
      <c r="E934" s="15" t="str">
        <f>IFERROR(__xludf.DUMMYFUNCTION("""COMPUTED_VALUE"""),"EJO/2026/01/28")</f>
        <v>EJO/2026/01/28</v>
      </c>
      <c r="F934" s="15" t="str">
        <f>IFERROR(__xludf.DUMMYFUNCTION("""COMPUTED_VALUE"""),"Terminal Krustin 6 Terminal; ; ;")</f>
        <v>Terminal Krustin 6 Terminal; ; ;</v>
      </c>
      <c r="G934" s="15">
        <f>IFERROR(__xludf.DUMMYFUNCTION("""COMPUTED_VALUE"""),1.0)</f>
        <v>1</v>
      </c>
      <c r="H934" s="15" t="str">
        <f>IFERROR(__xludf.DUMMYFUNCTION("""COMPUTED_VALUE"""),"Pack")</f>
        <v>Pack</v>
      </c>
      <c r="I934" s="15" t="str">
        <f>IFERROR(__xludf.DUMMYFUNCTION("""COMPUTED_VALUE"""),"Deliver")</f>
        <v>Deliver</v>
      </c>
      <c r="J934" s="15" t="str">
        <f>IFERROR(__xludf.DUMMYFUNCTION("""COMPUTED_VALUE"""),"121703725 - APPROVED")</f>
        <v>121703725 - APPROVED</v>
      </c>
      <c r="K934" s="15" t="str">
        <f>IFERROR(__xludf.DUMMYFUNCTION("""COMPUTED_VALUE"""),"GL2603434")</f>
        <v>GL2603434</v>
      </c>
      <c r="L934" s="15" t="str">
        <f>IFERROR(__xludf.DUMMYFUNCTION("""COMPUTED_VALUE"""),"Normal")</f>
        <v>Normal</v>
      </c>
      <c r="M934" s="18" t="s">
        <v>55</v>
      </c>
      <c r="N934" s="18" t="s">
        <v>28</v>
      </c>
    </row>
    <row r="935" hidden="1">
      <c r="A935" s="15" t="str">
        <f>IFERROR(__xludf.DUMMYFUNCTION("""COMPUTED_VALUE"""),"RIARO0057")</f>
        <v>RIARO0057</v>
      </c>
      <c r="B935" s="16">
        <f>IFERROR(__xludf.DUMMYFUNCTION("""COMPUTED_VALUE"""),46036.444023090284)</f>
        <v>46036.44402</v>
      </c>
      <c r="C935" s="17">
        <f>IFERROR(__xludf.DUMMYFUNCTION("""COMPUTED_VALUE"""),46037.41094502315)</f>
        <v>46037.41095</v>
      </c>
      <c r="D935" s="15" t="str">
        <f>IFERROR(__xludf.DUMMYFUNCTION("""COMPUTED_VALUE"""),"P Pen 1")</f>
        <v>P Pen 1</v>
      </c>
      <c r="E935" s="15" t="str">
        <f>IFERROR(__xludf.DUMMYFUNCTION("""COMPUTED_VALUE"""),"EJO/2026/01/33")</f>
        <v>EJO/2026/01/33</v>
      </c>
      <c r="F935" s="15" t="str">
        <f>IFERROR(__xludf.DUMMYFUNCTION("""COMPUTED_VALUE"""),"General - Terminal Block, 10 mm; Fort; -; 1 pcs")</f>
        <v>General - Terminal Block, 10 mm; Fort; -; 1 pcs</v>
      </c>
      <c r="G935" s="15">
        <f>IFERROR(__xludf.DUMMYFUNCTION("""COMPUTED_VALUE"""),10.0)</f>
        <v>10</v>
      </c>
      <c r="H935" s="15" t="str">
        <f>IFERROR(__xludf.DUMMYFUNCTION("""COMPUTED_VALUE"""),"Pcs")</f>
        <v>Pcs</v>
      </c>
      <c r="I935" s="15" t="str">
        <f>IFERROR(__xludf.DUMMYFUNCTION("""COMPUTED_VALUE"""),"Deliver")</f>
        <v>Deliver</v>
      </c>
      <c r="J935" s="15" t="str">
        <f>IFERROR(__xludf.DUMMYFUNCTION("""COMPUTED_VALUE"""),"121703726 - APPROVED")</f>
        <v>121703726 - APPROVED</v>
      </c>
      <c r="K935" s="15" t="str">
        <f>IFERROR(__xludf.DUMMYFUNCTION("""COMPUTED_VALUE"""),"GL2602413")</f>
        <v>GL2602413</v>
      </c>
      <c r="L935" s="15" t="str">
        <f>IFERROR(__xludf.DUMMYFUNCTION("""COMPUTED_VALUE"""),"Normal")</f>
        <v>Normal</v>
      </c>
      <c r="M935" s="18" t="s">
        <v>32</v>
      </c>
      <c r="N935" s="18" t="s">
        <v>28</v>
      </c>
    </row>
    <row r="936" hidden="1">
      <c r="A936" s="15" t="str">
        <f>IFERROR(__xludf.DUMMYFUNCTION("""COMPUTED_VALUE"""),"RIARO0058")</f>
        <v>RIARO0058</v>
      </c>
      <c r="B936" s="16">
        <f>IFERROR(__xludf.DUMMYFUNCTION("""COMPUTED_VALUE"""),46036.44468798611)</f>
        <v>46036.44469</v>
      </c>
      <c r="C936" s="17">
        <f>IFERROR(__xludf.DUMMYFUNCTION("""COMPUTED_VALUE"""),46037.41119987268)</f>
        <v>46037.4112</v>
      </c>
      <c r="D936" s="15" t="str">
        <f>IFERROR(__xludf.DUMMYFUNCTION("""COMPUTED_VALUE"""),"P Pen 1")</f>
        <v>P Pen 1</v>
      </c>
      <c r="E936" s="15" t="str">
        <f>IFERROR(__xludf.DUMMYFUNCTION("""COMPUTED_VALUE"""),"EJO/2026/01/33")</f>
        <v>EJO/2026/01/33</v>
      </c>
      <c r="F936" s="15" t="str">
        <f>IFERROR(__xludf.DUMMYFUNCTION("""COMPUTED_VALUE"""),"General - MCB 1 PHASE 25 AMPERE; Schneider; -; 1 Pc")</f>
        <v>General - MCB 1 PHASE 25 AMPERE; Schneider; -; 1 Pc</v>
      </c>
      <c r="G936" s="15">
        <f>IFERROR(__xludf.DUMMYFUNCTION("""COMPUTED_VALUE"""),5.0)</f>
        <v>5</v>
      </c>
      <c r="H936" s="15" t="str">
        <f>IFERROR(__xludf.DUMMYFUNCTION("""COMPUTED_VALUE"""),"Pcs")</f>
        <v>Pcs</v>
      </c>
      <c r="I936" s="15" t="str">
        <f>IFERROR(__xludf.DUMMYFUNCTION("""COMPUTED_VALUE"""),"Deliver")</f>
        <v>Deliver</v>
      </c>
      <c r="J936" s="15" t="str">
        <f>IFERROR(__xludf.DUMMYFUNCTION("""COMPUTED_VALUE"""),"121703726 - APPROVED")</f>
        <v>121703726 - APPROVED</v>
      </c>
      <c r="K936" s="15" t="str">
        <f>IFERROR(__xludf.DUMMYFUNCTION("""COMPUTED_VALUE"""),"GL2602414")</f>
        <v>GL2602414</v>
      </c>
      <c r="L936" s="15" t="str">
        <f>IFERROR(__xludf.DUMMYFUNCTION("""COMPUTED_VALUE"""),"Normal")</f>
        <v>Normal</v>
      </c>
      <c r="M936" s="18" t="s">
        <v>32</v>
      </c>
      <c r="N936" s="18" t="s">
        <v>28</v>
      </c>
    </row>
    <row r="937" hidden="1">
      <c r="A937" s="15" t="str">
        <f>IFERROR(__xludf.DUMMYFUNCTION("""COMPUTED_VALUE"""),"RIABR0134")</f>
        <v>RIABR0134</v>
      </c>
      <c r="B937" s="16">
        <f>IFERROR(__xludf.DUMMYFUNCTION("""COMPUTED_VALUE"""),46036.4085400463)</f>
        <v>46036.40854</v>
      </c>
      <c r="C937" s="17">
        <f>IFERROR(__xludf.DUMMYFUNCTION("""COMPUTED_VALUE"""),46037.41147682871)</f>
        <v>46037.41148</v>
      </c>
      <c r="D937" s="15" t="str">
        <f>IFERROR(__xludf.DUMMYFUNCTION("""COMPUTED_VALUE"""),"N2 Generator")</f>
        <v>N2 Generator</v>
      </c>
      <c r="E937" s="15" t="str">
        <f>IFERROR(__xludf.DUMMYFUNCTION("""COMPUTED_VALUE"""),"EJO/2026/01/78")</f>
        <v>EJO/2026/01/78</v>
      </c>
      <c r="F937" s="15" t="str">
        <f>IFERROR(__xludf.DUMMYFUNCTION("""COMPUTED_VALUE"""),"Sensor Flow")</f>
        <v>Sensor Flow</v>
      </c>
      <c r="G937" s="15">
        <f>IFERROR(__xludf.DUMMYFUNCTION("""COMPUTED_VALUE"""),2.0)</f>
        <v>2</v>
      </c>
      <c r="H937" s="15" t="str">
        <f>IFERROR(__xludf.DUMMYFUNCTION("""COMPUTED_VALUE"""),"Pcs")</f>
        <v>Pcs</v>
      </c>
      <c r="I937" s="15" t="str">
        <f>IFERROR(__xludf.DUMMYFUNCTION("""COMPUTED_VALUE"""),"Deliver")</f>
        <v>Deliver</v>
      </c>
      <c r="J937" s="15" t="str">
        <f>IFERROR(__xludf.DUMMYFUNCTION("""COMPUTED_VALUE"""),"-")</f>
        <v>-</v>
      </c>
      <c r="K937" s="15" t="str">
        <f>IFERROR(__xludf.DUMMYFUNCTION("""COMPUTED_VALUE"""),"-")</f>
        <v>-</v>
      </c>
      <c r="L937" s="15" t="str">
        <f>IFERROR(__xludf.DUMMYFUNCTION("""COMPUTED_VALUE"""),"Normal")</f>
        <v>Normal</v>
      </c>
      <c r="M937" s="18" t="s">
        <v>32</v>
      </c>
      <c r="N937" s="18" t="s">
        <v>28</v>
      </c>
    </row>
    <row r="938" hidden="1">
      <c r="A938" s="15" t="str">
        <f>IFERROR(__xludf.DUMMYFUNCTION("""COMPUTED_VALUE"""),"RIARO0059")</f>
        <v>RIARO0059</v>
      </c>
      <c r="B938" s="16">
        <f>IFERROR(__xludf.DUMMYFUNCTION("""COMPUTED_VALUE"""),46036.46866061343)</f>
        <v>46036.46866</v>
      </c>
      <c r="C938" s="17">
        <f>IFERROR(__xludf.DUMMYFUNCTION("""COMPUTED_VALUE"""),46037.41499431713)</f>
        <v>46037.41499</v>
      </c>
      <c r="D938" s="15" t="str">
        <f>IFERROR(__xludf.DUMMYFUNCTION("""COMPUTED_VALUE"""),"All Area")</f>
        <v>All Area</v>
      </c>
      <c r="E938" s="15" t="str">
        <f>IFERROR(__xludf.DUMMYFUNCTION("""COMPUTED_VALUE"""),"-")</f>
        <v>-</v>
      </c>
      <c r="F938" s="15" t="str">
        <f>IFERROR(__xludf.DUMMYFUNCTION("""COMPUTED_VALUE"""),"OMRON - Relay MY4N 220/240VAC")</f>
        <v>OMRON - Relay MY4N 220/240VAC</v>
      </c>
      <c r="G938" s="15">
        <f>IFERROR(__xludf.DUMMYFUNCTION("""COMPUTED_VALUE"""),20.0)</f>
        <v>20</v>
      </c>
      <c r="H938" s="15" t="str">
        <f>IFERROR(__xludf.DUMMYFUNCTION("""COMPUTED_VALUE"""),"Pcs")</f>
        <v>Pcs</v>
      </c>
      <c r="I938" s="15" t="str">
        <f>IFERROR(__xludf.DUMMYFUNCTION("""COMPUTED_VALUE"""),"Deliver")</f>
        <v>Deliver</v>
      </c>
      <c r="J938" s="15" t="str">
        <f>IFERROR(__xludf.DUMMYFUNCTION("""COMPUTED_VALUE"""),"-")</f>
        <v>-</v>
      </c>
      <c r="K938" s="15" t="str">
        <f>IFERROR(__xludf.DUMMYFUNCTION("""COMPUTED_VALUE"""),"-")</f>
        <v>-</v>
      </c>
      <c r="L938" s="15" t="str">
        <f>IFERROR(__xludf.DUMMYFUNCTION("""COMPUTED_VALUE"""),"Normal")</f>
        <v>Normal</v>
      </c>
      <c r="M938" s="18" t="s">
        <v>32</v>
      </c>
      <c r="N938" s="18" t="s">
        <v>28</v>
      </c>
    </row>
    <row r="939" hidden="1">
      <c r="A939" s="15" t="str">
        <f>IFERROR(__xludf.DUMMYFUNCTION("""COMPUTED_VALUE"""),"RIARO0060")</f>
        <v>RIARO0060</v>
      </c>
      <c r="B939" s="16">
        <f>IFERROR(__xludf.DUMMYFUNCTION("""COMPUTED_VALUE"""),46036.47074423611)</f>
        <v>46036.47074</v>
      </c>
      <c r="C939" s="17">
        <f>IFERROR(__xludf.DUMMYFUNCTION("""COMPUTED_VALUE"""),46037.41515930556)</f>
        <v>46037.41516</v>
      </c>
      <c r="D939" s="15" t="str">
        <f>IFERROR(__xludf.DUMMYFUNCTION("""COMPUTED_VALUE"""),"All Area")</f>
        <v>All Area</v>
      </c>
      <c r="E939" s="15" t="str">
        <f>IFERROR(__xludf.DUMMYFUNCTION("""COMPUTED_VALUE"""),"-")</f>
        <v>-</v>
      </c>
      <c r="F939" s="15" t="str">
        <f>IFERROR(__xludf.DUMMYFUNCTION("""COMPUTED_VALUE"""),"General - Power Supply 220 VAC 12 VDC, 3 Ampere; -; -; 1 Pc")</f>
        <v>General - Power Supply 220 VAC 12 VDC, 3 Ampere; -; -; 1 Pc</v>
      </c>
      <c r="G939" s="15">
        <f>IFERROR(__xludf.DUMMYFUNCTION("""COMPUTED_VALUE"""),3.0)</f>
        <v>3</v>
      </c>
      <c r="H939" s="15" t="str">
        <f>IFERROR(__xludf.DUMMYFUNCTION("""COMPUTED_VALUE"""),"Pcs")</f>
        <v>Pcs</v>
      </c>
      <c r="I939" s="15" t="str">
        <f>IFERROR(__xludf.DUMMYFUNCTION("""COMPUTED_VALUE"""),"Deliver")</f>
        <v>Deliver</v>
      </c>
      <c r="J939" s="15" t="str">
        <f>IFERROR(__xludf.DUMMYFUNCTION("""COMPUTED_VALUE"""),"121703726 - APPROVED")</f>
        <v>121703726 - APPROVED</v>
      </c>
      <c r="K939" s="15" t="str">
        <f>IFERROR(__xludf.DUMMYFUNCTION("""COMPUTED_VALUE"""),"GL2602413")</f>
        <v>GL2602413</v>
      </c>
      <c r="L939" s="15" t="str">
        <f>IFERROR(__xludf.DUMMYFUNCTION("""COMPUTED_VALUE"""),"Normal")</f>
        <v>Normal</v>
      </c>
      <c r="M939" s="18" t="s">
        <v>32</v>
      </c>
      <c r="N939" s="18" t="s">
        <v>28</v>
      </c>
    </row>
    <row r="940" hidden="1">
      <c r="A940" s="15" t="str">
        <f>IFERROR(__xludf.DUMMYFUNCTION("""COMPUTED_VALUE"""),"RIARO0061")</f>
        <v>RIARO0061</v>
      </c>
      <c r="B940" s="16">
        <f>IFERROR(__xludf.DUMMYFUNCTION("""COMPUTED_VALUE"""),46036.47156795138)</f>
        <v>46036.47157</v>
      </c>
      <c r="C940" s="17">
        <f>IFERROR(__xludf.DUMMYFUNCTION("""COMPUTED_VALUE"""),46037.41543246528)</f>
        <v>46037.41543</v>
      </c>
      <c r="D940" s="15" t="str">
        <f>IFERROR(__xludf.DUMMYFUNCTION("""COMPUTED_VALUE"""),"All Area")</f>
        <v>All Area</v>
      </c>
      <c r="E940" s="15" t="str">
        <f>IFERROR(__xludf.DUMMYFUNCTION("""COMPUTED_VALUE"""),"-")</f>
        <v>-</v>
      </c>
      <c r="F940" s="15" t="str">
        <f>IFERROR(__xludf.DUMMYFUNCTION("""COMPUTED_VALUE"""),"UV lamp for TOC Sievers M500; TOC Sievers; ; pack size per pc")</f>
        <v>UV lamp for TOC Sievers M500; TOC Sievers; ; pack size per pc</v>
      </c>
      <c r="G940" s="15">
        <f>IFERROR(__xludf.DUMMYFUNCTION("""COMPUTED_VALUE"""),2.0)</f>
        <v>2</v>
      </c>
      <c r="H940" s="15" t="str">
        <f>IFERROR(__xludf.DUMMYFUNCTION("""COMPUTED_VALUE"""),"Pcs")</f>
        <v>Pcs</v>
      </c>
      <c r="I940" s="15" t="str">
        <f>IFERROR(__xludf.DUMMYFUNCTION("""COMPUTED_VALUE"""),"Deliver")</f>
        <v>Deliver</v>
      </c>
      <c r="J940" s="15" t="str">
        <f>IFERROR(__xludf.DUMMYFUNCTION("""COMPUTED_VALUE"""),"121703729 - APPROVED")</f>
        <v>121703729 - APPROVED</v>
      </c>
      <c r="K940" s="15" t="str">
        <f>IFERROR(__xludf.DUMMYFUNCTION("""COMPUTED_VALUE"""),"GL2602392")</f>
        <v>GL2602392</v>
      </c>
      <c r="L940" s="15" t="str">
        <f>IFERROR(__xludf.DUMMYFUNCTION("""COMPUTED_VALUE"""),"Normal")</f>
        <v>Normal</v>
      </c>
      <c r="M940" s="18" t="s">
        <v>32</v>
      </c>
      <c r="N940" s="18" t="s">
        <v>28</v>
      </c>
    </row>
    <row r="941" hidden="1">
      <c r="A941" s="15" t="str">
        <f>IFERROR(__xludf.DUMMYFUNCTION("""COMPUTED_VALUE"""),"MRNRO0041")</f>
        <v>MRNRO0041</v>
      </c>
      <c r="B941" s="16">
        <f>IFERROR(__xludf.DUMMYFUNCTION("""COMPUTED_VALUE"""),46036.28344309027)</f>
        <v>46036.28344</v>
      </c>
      <c r="C941" s="17">
        <f>IFERROR(__xludf.DUMMYFUNCTION("""COMPUTED_VALUE"""),46037.415664236105)</f>
        <v>46037.41566</v>
      </c>
      <c r="D941" s="15" t="str">
        <f>IFERROR(__xludf.DUMMYFUNCTION("""COMPUTED_VALUE"""),"selang wastafel")</f>
        <v>selang wastafel</v>
      </c>
      <c r="E941" s="15" t="str">
        <f>IFERROR(__xludf.DUMMYFUNCTION("""COMPUTED_VALUE"""),"EJO/2026/01/74")</f>
        <v>EJO/2026/01/74</v>
      </c>
      <c r="F941" s="15" t="str">
        <f>IFERROR(__xludf.DUMMYFUNCTION("""COMPUTED_VALUE"""),"General - Stang Sealant; Tekiro; -; 1 Pc")</f>
        <v>General - Stang Sealant; Tekiro; -; 1 Pc</v>
      </c>
      <c r="G941" s="15">
        <f>IFERROR(__xludf.DUMMYFUNCTION("""COMPUTED_VALUE"""),4.0)</f>
        <v>4</v>
      </c>
      <c r="H941" s="15" t="str">
        <f>IFERROR(__xludf.DUMMYFUNCTION("""COMPUTED_VALUE"""),"pcs")</f>
        <v>pcs</v>
      </c>
      <c r="I941" s="15" t="str">
        <f>IFERROR(__xludf.DUMMYFUNCTION("""COMPUTED_VALUE"""),"Deliver")</f>
        <v>Deliver</v>
      </c>
      <c r="J941" s="15" t="str">
        <f>IFERROR(__xludf.DUMMYFUNCTION("""COMPUTED_VALUE"""),"121703727 - APPROVED")</f>
        <v>121703727 - APPROVED</v>
      </c>
      <c r="K941" s="15" t="str">
        <f>IFERROR(__xludf.DUMMYFUNCTION("""COMPUTED_VALUE"""),"GL2603434")</f>
        <v>GL2603434</v>
      </c>
      <c r="L941" s="15" t="str">
        <f>IFERROR(__xludf.DUMMYFUNCTION("""COMPUTED_VALUE"""),"Normal")</f>
        <v>Normal</v>
      </c>
      <c r="M941" s="18" t="s">
        <v>48</v>
      </c>
      <c r="N941" s="18" t="s">
        <v>28</v>
      </c>
    </row>
    <row r="942" hidden="1">
      <c r="A942" s="15" t="str">
        <f>IFERROR(__xludf.DUMMYFUNCTION("""COMPUTED_VALUE"""),"RIARO0062")</f>
        <v>RIARO0062</v>
      </c>
      <c r="B942" s="16">
        <f>IFERROR(__xludf.DUMMYFUNCTION("""COMPUTED_VALUE"""),46036.47243618056)</f>
        <v>46036.47244</v>
      </c>
      <c r="C942" s="17">
        <f>IFERROR(__xludf.DUMMYFUNCTION("""COMPUTED_VALUE"""),46037.415839884256)</f>
        <v>46037.41584</v>
      </c>
      <c r="D942" s="15" t="str">
        <f>IFERROR(__xludf.DUMMYFUNCTION("""COMPUTED_VALUE"""),"All Area")</f>
        <v>All Area</v>
      </c>
      <c r="E942" s="15" t="str">
        <f>IFERROR(__xludf.DUMMYFUNCTION("""COMPUTED_VALUE"""),"-")</f>
        <v>-</v>
      </c>
      <c r="F942" s="15" t="str">
        <f>IFERROR(__xludf.DUMMYFUNCTION("""COMPUTED_VALUE"""),"General - Kabel NYAF Uk. 1 x 0.75mm, Warna Merah; Supreme; -; 100meter/roll")</f>
        <v>General - Kabel NYAF Uk. 1 x 0.75mm, Warna Merah; Supreme; -; 100meter/roll</v>
      </c>
      <c r="G942" s="15">
        <f>IFERROR(__xludf.DUMMYFUNCTION("""COMPUTED_VALUE"""),1.0)</f>
        <v>1</v>
      </c>
      <c r="H942" s="15" t="str">
        <f>IFERROR(__xludf.DUMMYFUNCTION("""COMPUTED_VALUE"""),"Roll")</f>
        <v>Roll</v>
      </c>
      <c r="I942" s="15" t="str">
        <f>IFERROR(__xludf.DUMMYFUNCTION("""COMPUTED_VALUE"""),"Deliver")</f>
        <v>Deliver</v>
      </c>
      <c r="J942" s="15" t="str">
        <f>IFERROR(__xludf.DUMMYFUNCTION("""COMPUTED_VALUE"""),"121703725 - APPROVED")</f>
        <v>121703725 - APPROVED</v>
      </c>
      <c r="K942" s="15" t="str">
        <f>IFERROR(__xludf.DUMMYFUNCTION("""COMPUTED_VALUE"""),"GL2603431")</f>
        <v>GL2603431</v>
      </c>
      <c r="L942" s="15" t="str">
        <f>IFERROR(__xludf.DUMMYFUNCTION("""COMPUTED_VALUE"""),"Normal")</f>
        <v>Normal</v>
      </c>
      <c r="M942" s="18" t="s">
        <v>32</v>
      </c>
      <c r="N942" s="18" t="s">
        <v>28</v>
      </c>
    </row>
    <row r="943" hidden="1">
      <c r="A943" s="15" t="str">
        <f>IFERROR(__xludf.DUMMYFUNCTION("""COMPUTED_VALUE"""),"RIABR0135")</f>
        <v>RIABR0135</v>
      </c>
      <c r="B943" s="16">
        <f>IFERROR(__xludf.DUMMYFUNCTION("""COMPUTED_VALUE"""),46036.413528125)</f>
        <v>46036.41353</v>
      </c>
      <c r="C943" s="17">
        <f>IFERROR(__xludf.DUMMYFUNCTION("""COMPUTED_VALUE"""),46037.415978807876)</f>
        <v>46037.41598</v>
      </c>
      <c r="D943" s="15" t="str">
        <f>IFERROR(__xludf.DUMMYFUNCTION("""COMPUTED_VALUE"""),"All Area")</f>
        <v>All Area</v>
      </c>
      <c r="E943" s="15" t="str">
        <f>IFERROR(__xludf.DUMMYFUNCTION("""COMPUTED_VALUE"""),"-")</f>
        <v>-</v>
      </c>
      <c r="F943" s="15" t="str">
        <f>IFERROR(__xludf.DUMMYFUNCTION("""COMPUTED_VALUE"""),"Blower")</f>
        <v>Blower</v>
      </c>
      <c r="G943" s="15">
        <f>IFERROR(__xludf.DUMMYFUNCTION("""COMPUTED_VALUE"""),1.0)</f>
        <v>1</v>
      </c>
      <c r="H943" s="15" t="str">
        <f>IFERROR(__xludf.DUMMYFUNCTION("""COMPUTED_VALUE"""),"Set")</f>
        <v>Set</v>
      </c>
      <c r="I943" s="15" t="str">
        <f>IFERROR(__xludf.DUMMYFUNCTION("""COMPUTED_VALUE"""),"Mencari Penawaran")</f>
        <v>Mencari Penawaran</v>
      </c>
      <c r="J943" s="15" t="str">
        <f>IFERROR(__xludf.DUMMYFUNCTION("""COMPUTED_VALUE"""),"-")</f>
        <v>-</v>
      </c>
      <c r="K943" s="15" t="str">
        <f>IFERROR(__xludf.DUMMYFUNCTION("""COMPUTED_VALUE"""),"-")</f>
        <v>-</v>
      </c>
      <c r="L943" s="15" t="str">
        <f>IFERROR(__xludf.DUMMYFUNCTION("""COMPUTED_VALUE"""),"Normal")</f>
        <v>Normal</v>
      </c>
      <c r="M943" s="18" t="s">
        <v>32</v>
      </c>
      <c r="N943" s="18" t="s">
        <v>28</v>
      </c>
    </row>
    <row r="944" hidden="1">
      <c r="A944" s="15" t="str">
        <f>IFERROR(__xludf.DUMMYFUNCTION("""COMPUTED_VALUE"""),"RIARO0063")</f>
        <v>RIARO0063</v>
      </c>
      <c r="B944" s="16">
        <f>IFERROR(__xludf.DUMMYFUNCTION("""COMPUTED_VALUE"""),46036.47279770833)</f>
        <v>46036.4728</v>
      </c>
      <c r="C944" s="17">
        <f>IFERROR(__xludf.DUMMYFUNCTION("""COMPUTED_VALUE"""),46037.416485879636)</f>
        <v>46037.41649</v>
      </c>
      <c r="D944" s="15" t="str">
        <f>IFERROR(__xludf.DUMMYFUNCTION("""COMPUTED_VALUE"""),"All Area")</f>
        <v>All Area</v>
      </c>
      <c r="E944" s="15" t="str">
        <f>IFERROR(__xludf.DUMMYFUNCTION("""COMPUTED_VALUE"""),"-")</f>
        <v>-</v>
      </c>
      <c r="F944" s="15" t="str">
        <f>IFERROR(__xludf.DUMMYFUNCTION("""COMPUTED_VALUE"""),"General - Kabel NYAF 1x0.75mm, Warna Biru; JEMBO; -; 1 meter")</f>
        <v>General - Kabel NYAF 1x0.75mm, Warna Biru; JEMBO; -; 1 meter</v>
      </c>
      <c r="G944" s="15">
        <f>IFERROR(__xludf.DUMMYFUNCTION("""COMPUTED_VALUE"""),1.0)</f>
        <v>1</v>
      </c>
      <c r="H944" s="15" t="str">
        <f>IFERROR(__xludf.DUMMYFUNCTION("""COMPUTED_VALUE"""),"Roll")</f>
        <v>Roll</v>
      </c>
      <c r="I944" s="15" t="str">
        <f>IFERROR(__xludf.DUMMYFUNCTION("""COMPUTED_VALUE"""),"Deliver")</f>
        <v>Deliver</v>
      </c>
      <c r="J944" s="15" t="str">
        <f>IFERROR(__xludf.DUMMYFUNCTION("""COMPUTED_VALUE"""),"-")</f>
        <v>-</v>
      </c>
      <c r="K944" s="15" t="str">
        <f>IFERROR(__xludf.DUMMYFUNCTION("""COMPUTED_VALUE"""),"-")</f>
        <v>-</v>
      </c>
      <c r="L944" s="15" t="str">
        <f>IFERROR(__xludf.DUMMYFUNCTION("""COMPUTED_VALUE"""),"Normal")</f>
        <v>Normal</v>
      </c>
      <c r="M944" s="18" t="s">
        <v>32</v>
      </c>
      <c r="N944" s="18" t="s">
        <v>28</v>
      </c>
    </row>
    <row r="945" hidden="1">
      <c r="A945" s="15" t="str">
        <f>IFERROR(__xludf.DUMMYFUNCTION("""COMPUTED_VALUE"""),"RIARO0064")</f>
        <v>RIARO0064</v>
      </c>
      <c r="B945" s="16">
        <f>IFERROR(__xludf.DUMMYFUNCTION("""COMPUTED_VALUE"""),46036.47339395833)</f>
        <v>46036.47339</v>
      </c>
      <c r="C945" s="17">
        <f>IFERROR(__xludf.DUMMYFUNCTION("""COMPUTED_VALUE"""),46037.41664415509)</f>
        <v>46037.41664</v>
      </c>
      <c r="D945" s="15" t="str">
        <f>IFERROR(__xludf.DUMMYFUNCTION("""COMPUTED_VALUE"""),"All Area")</f>
        <v>All Area</v>
      </c>
      <c r="E945" s="15" t="str">
        <f>IFERROR(__xludf.DUMMYFUNCTION("""COMPUTED_VALUE"""),"-")</f>
        <v>-</v>
      </c>
      <c r="F945" s="15" t="str">
        <f>IFERROR(__xludf.DUMMYFUNCTION("""COMPUTED_VALUE"""),"General - Terminal Block, 6 mm; Fort; -; 1 pcs")</f>
        <v>General - Terminal Block, 6 mm; Fort; -; 1 pcs</v>
      </c>
      <c r="G945" s="15">
        <f>IFERROR(__xludf.DUMMYFUNCTION("""COMPUTED_VALUE"""),1.0)</f>
        <v>1</v>
      </c>
      <c r="H945" s="15" t="str">
        <f>IFERROR(__xludf.DUMMYFUNCTION("""COMPUTED_VALUE"""),"Pack")</f>
        <v>Pack</v>
      </c>
      <c r="I945" s="15" t="str">
        <f>IFERROR(__xludf.DUMMYFUNCTION("""COMPUTED_VALUE"""),"Deliver")</f>
        <v>Deliver</v>
      </c>
      <c r="J945" s="15" t="str">
        <f>IFERROR(__xludf.DUMMYFUNCTION("""COMPUTED_VALUE"""),"121703726 - APPROVED")</f>
        <v>121703726 - APPROVED</v>
      </c>
      <c r="K945" s="15" t="str">
        <f>IFERROR(__xludf.DUMMYFUNCTION("""COMPUTED_VALUE"""),"GL2602413")</f>
        <v>GL2602413</v>
      </c>
      <c r="L945" s="15" t="str">
        <f>IFERROR(__xludf.DUMMYFUNCTION("""COMPUTED_VALUE"""),"Normal")</f>
        <v>Normal</v>
      </c>
      <c r="M945" s="18" t="s">
        <v>32</v>
      </c>
      <c r="N945" s="18" t="s">
        <v>28</v>
      </c>
    </row>
    <row r="946" hidden="1">
      <c r="A946" s="15" t="str">
        <f>IFERROR(__xludf.DUMMYFUNCTION("""COMPUTED_VALUE"""),"RIAJA0004")</f>
        <v>RIAJA0004</v>
      </c>
      <c r="B946" s="16">
        <f>IFERROR(__xludf.DUMMYFUNCTION("""COMPUTED_VALUE"""),46034.81376619213)</f>
        <v>46034.81377</v>
      </c>
      <c r="C946" s="17">
        <f>IFERROR(__xludf.DUMMYFUNCTION("""COMPUTED_VALUE"""),46037.4172609838)</f>
        <v>46037.41726</v>
      </c>
      <c r="D946" s="15" t="str">
        <f>IFERROR(__xludf.DUMMYFUNCTION("""COMPUTED_VALUE"""),"Panel Distribusi")</f>
        <v>Panel Distribusi</v>
      </c>
      <c r="E946" s="15" t="str">
        <f>IFERROR(__xludf.DUMMYFUNCTION("""COMPUTED_VALUE"""),"EJO/2026/01/03")</f>
        <v>EJO/2026/01/03</v>
      </c>
      <c r="F946" s="15" t="str">
        <f>IFERROR(__xludf.DUMMYFUNCTION("""COMPUTED_VALUE"""),"Jasa Power Meter")</f>
        <v>Jasa Power Meter</v>
      </c>
      <c r="G946" s="15">
        <f>IFERROR(__xludf.DUMMYFUNCTION("""COMPUTED_VALUE"""),1.0)</f>
        <v>1</v>
      </c>
      <c r="H946" s="15" t="str">
        <f>IFERROR(__xludf.DUMMYFUNCTION("""COMPUTED_VALUE"""),"Set")</f>
        <v>Set</v>
      </c>
      <c r="I946" s="15" t="str">
        <f>IFERROR(__xludf.DUMMYFUNCTION("""COMPUTED_VALUE"""),"Deliver")</f>
        <v>Deliver</v>
      </c>
      <c r="J946" s="15" t="str">
        <f>IFERROR(__xludf.DUMMYFUNCTION("""COMPUTED_VALUE"""),"121703874 - APPROVED")</f>
        <v>121703874 - APPROVED</v>
      </c>
      <c r="K946" s="15" t="str">
        <f>IFERROR(__xludf.DUMMYFUNCTION("""COMPUTED_VALUE"""),"-")</f>
        <v>-</v>
      </c>
      <c r="L946" s="15" t="str">
        <f>IFERROR(__xludf.DUMMYFUNCTION("""COMPUTED_VALUE"""),"Normal")</f>
        <v>Normal</v>
      </c>
      <c r="M946" s="18" t="s">
        <v>32</v>
      </c>
      <c r="N946" s="18" t="s">
        <v>28</v>
      </c>
    </row>
    <row r="947" hidden="1">
      <c r="A947" s="15" t="str">
        <f>IFERROR(__xludf.DUMMYFUNCTION("""COMPUTED_VALUE"""),"MFHRO0233")</f>
        <v>MFHRO0233</v>
      </c>
      <c r="B947" s="16">
        <f>IFERROR(__xludf.DUMMYFUNCTION("""COMPUTED_VALUE"""),46047.42031945602)</f>
        <v>46047.42032</v>
      </c>
      <c r="C947" s="17">
        <f>IFERROR(__xludf.DUMMYFUNCTION("""COMPUTED_VALUE"""),46047.87531369213)</f>
        <v>46047.87531</v>
      </c>
      <c r="D947" s="15" t="str">
        <f>IFERROR(__xludf.DUMMYFUNCTION("""COMPUTED_VALUE"""),"Granulasi")</f>
        <v>Granulasi</v>
      </c>
      <c r="E947" s="15" t="str">
        <f>IFERROR(__xludf.DUMMYFUNCTION("""COMPUTED_VALUE"""),"-")</f>
        <v>-</v>
      </c>
      <c r="F947" s="15" t="str">
        <f>IFERROR(__xludf.DUMMYFUNCTION("""COMPUTED_VALUE"""),"Integrated Granulation Line - Temperature Probe PT-100 55mm Long 3 Wire 1/10 DIN 316L")</f>
        <v>Integrated Granulation Line - Temperature Probe PT-100 55mm Long 3 Wire 1/10 DIN 316L</v>
      </c>
      <c r="G947" s="15">
        <f>IFERROR(__xludf.DUMMYFUNCTION("""COMPUTED_VALUE"""),1.0)</f>
        <v>1</v>
      </c>
      <c r="H947" s="15" t="str">
        <f>IFERROR(__xludf.DUMMYFUNCTION("""COMPUTED_VALUE"""),"Pieces")</f>
        <v>Pieces</v>
      </c>
      <c r="I947" s="15" t="str">
        <f>IFERROR(__xludf.DUMMYFUNCTION("""COMPUTED_VALUE"""),"Deliver")</f>
        <v>Deliver</v>
      </c>
      <c r="J947" s="15" t="str">
        <f>IFERROR(__xludf.DUMMYFUNCTION("""COMPUTED_VALUE"""),"121703303 - APPROVED")</f>
        <v>121703303 - APPROVED</v>
      </c>
      <c r="K947" s="15" t="str">
        <f>IFERROR(__xludf.DUMMYFUNCTION("""COMPUTED_VALUE"""),"GL2511033")</f>
        <v>GL2511033</v>
      </c>
      <c r="L947" s="15" t="str">
        <f>IFERROR(__xludf.DUMMYFUNCTION("""COMPUTED_VALUE"""),"Normal")</f>
        <v>Normal</v>
      </c>
      <c r="M947" s="18" t="s">
        <v>53</v>
      </c>
      <c r="N947" s="18" t="s">
        <v>54</v>
      </c>
    </row>
    <row r="948" hidden="1">
      <c r="A948" s="15" t="str">
        <f>IFERROR(__xludf.DUMMYFUNCTION("""COMPUTED_VALUE"""),"MFHRO0234")</f>
        <v>MFHRO0234</v>
      </c>
      <c r="B948" s="16">
        <f>IFERROR(__xludf.DUMMYFUNCTION("""COMPUTED_VALUE"""),46047.42031945602)</f>
        <v>46047.42032</v>
      </c>
      <c r="C948" s="17">
        <f>IFERROR(__xludf.DUMMYFUNCTION("""COMPUTED_VALUE"""),46047.875399745375)</f>
        <v>46047.8754</v>
      </c>
      <c r="D948" s="15" t="str">
        <f>IFERROR(__xludf.DUMMYFUNCTION("""COMPUTED_VALUE"""),"Granulasi")</f>
        <v>Granulasi</v>
      </c>
      <c r="E948" s="15" t="str">
        <f>IFERROR(__xludf.DUMMYFUNCTION("""COMPUTED_VALUE"""),"-")</f>
        <v>-</v>
      </c>
      <c r="F948" s="15" t="str">
        <f>IFERROR(__xludf.DUMMYFUNCTION("""COMPUTED_VALUE"""),"Integrated Granulation Line - Blowback Cone Seal PTFE")</f>
        <v>Integrated Granulation Line - Blowback Cone Seal PTFE</v>
      </c>
      <c r="G948" s="15">
        <f>IFERROR(__xludf.DUMMYFUNCTION("""COMPUTED_VALUE"""),4.0)</f>
        <v>4</v>
      </c>
      <c r="H948" s="15" t="str">
        <f>IFERROR(__xludf.DUMMYFUNCTION("""COMPUTED_VALUE"""),"Pieces")</f>
        <v>Pieces</v>
      </c>
      <c r="I948" s="15" t="str">
        <f>IFERROR(__xludf.DUMMYFUNCTION("""COMPUTED_VALUE"""),"Deliver")</f>
        <v>Deliver</v>
      </c>
      <c r="J948" s="15" t="str">
        <f>IFERROR(__xludf.DUMMYFUNCTION("""COMPUTED_VALUE"""),"121703303 - APPROVED")</f>
        <v>121703303 - APPROVED</v>
      </c>
      <c r="K948" s="15" t="str">
        <f>IFERROR(__xludf.DUMMYFUNCTION("""COMPUTED_VALUE"""),"GL2511033")</f>
        <v>GL2511033</v>
      </c>
      <c r="L948" s="15" t="str">
        <f>IFERROR(__xludf.DUMMYFUNCTION("""COMPUTED_VALUE"""),"Normal")</f>
        <v>Normal</v>
      </c>
      <c r="M948" s="18" t="s">
        <v>53</v>
      </c>
      <c r="N948" s="18" t="s">
        <v>54</v>
      </c>
    </row>
    <row r="949" hidden="1">
      <c r="A949" s="15" t="str">
        <f>IFERROR(__xludf.DUMMYFUNCTION("""COMPUTED_VALUE"""),"MFHRO0235")</f>
        <v>MFHRO0235</v>
      </c>
      <c r="B949" s="16">
        <f>IFERROR(__xludf.DUMMYFUNCTION("""COMPUTED_VALUE"""),46047.42031945602)</f>
        <v>46047.42032</v>
      </c>
      <c r="C949" s="17">
        <f>IFERROR(__xludf.DUMMYFUNCTION("""COMPUTED_VALUE"""),46047.87549583333)</f>
        <v>46047.8755</v>
      </c>
      <c r="D949" s="15" t="str">
        <f>IFERROR(__xludf.DUMMYFUNCTION("""COMPUTED_VALUE"""),"Granulasi")</f>
        <v>Granulasi</v>
      </c>
      <c r="E949" s="15" t="str">
        <f>IFERROR(__xludf.DUMMYFUNCTION("""COMPUTED_VALUE"""),"-")</f>
        <v>-</v>
      </c>
      <c r="F949" s="15" t="str">
        <f>IFERROR(__xludf.DUMMYFUNCTION("""COMPUTED_VALUE"""),"Integrated Granulation Line - Temperature Probe Product 72mm Bayonet 3 Wire Cable=5m")</f>
        <v>Integrated Granulation Line - Temperature Probe Product 72mm Bayonet 3 Wire Cable=5m</v>
      </c>
      <c r="G949" s="15">
        <f>IFERROR(__xludf.DUMMYFUNCTION("""COMPUTED_VALUE"""),1.0)</f>
        <v>1</v>
      </c>
      <c r="H949" s="15" t="str">
        <f>IFERROR(__xludf.DUMMYFUNCTION("""COMPUTED_VALUE"""),"Pieces")</f>
        <v>Pieces</v>
      </c>
      <c r="I949" s="15" t="str">
        <f>IFERROR(__xludf.DUMMYFUNCTION("""COMPUTED_VALUE"""),"Deliver")</f>
        <v>Deliver</v>
      </c>
      <c r="J949" s="15" t="str">
        <f>IFERROR(__xludf.DUMMYFUNCTION("""COMPUTED_VALUE"""),"121703303 - APPROVED")</f>
        <v>121703303 - APPROVED</v>
      </c>
      <c r="K949" s="15" t="str">
        <f>IFERROR(__xludf.DUMMYFUNCTION("""COMPUTED_VALUE"""),"GL2511033")</f>
        <v>GL2511033</v>
      </c>
      <c r="L949" s="15" t="str">
        <f>IFERROR(__xludf.DUMMYFUNCTION("""COMPUTED_VALUE"""),"Normal")</f>
        <v>Normal</v>
      </c>
      <c r="M949" s="18" t="s">
        <v>53</v>
      </c>
      <c r="N949" s="18" t="s">
        <v>54</v>
      </c>
    </row>
    <row r="950" hidden="1">
      <c r="A950" s="15" t="str">
        <f>IFERROR(__xludf.DUMMYFUNCTION("""COMPUTED_VALUE"""),"MFHRO0236")</f>
        <v>MFHRO0236</v>
      </c>
      <c r="B950" s="16">
        <f>IFERROR(__xludf.DUMMYFUNCTION("""COMPUTED_VALUE"""),46047.42031945602)</f>
        <v>46047.42032</v>
      </c>
      <c r="C950" s="17">
        <f>IFERROR(__xludf.DUMMYFUNCTION("""COMPUTED_VALUE"""),46047.87558901621)</f>
        <v>46047.87559</v>
      </c>
      <c r="D950" s="15" t="str">
        <f>IFERROR(__xludf.DUMMYFUNCTION("""COMPUTED_VALUE"""),"Granulasi")</f>
        <v>Granulasi</v>
      </c>
      <c r="E950" s="15" t="str">
        <f>IFERROR(__xludf.DUMMYFUNCTION("""COMPUTED_VALUE"""),"-")</f>
        <v>-</v>
      </c>
      <c r="F950" s="15" t="str">
        <f>IFERROR(__xludf.DUMMYFUNCTION("""COMPUTED_VALUE"""),"Integrated Granulation Line - Temperature Probe Product 72mm Bayonet 3 Wire Cable=5m")</f>
        <v>Integrated Granulation Line - Temperature Probe Product 72mm Bayonet 3 Wire Cable=5m</v>
      </c>
      <c r="G950" s="15">
        <f>IFERROR(__xludf.DUMMYFUNCTION("""COMPUTED_VALUE"""),1.0)</f>
        <v>1</v>
      </c>
      <c r="H950" s="15" t="str">
        <f>IFERROR(__xludf.DUMMYFUNCTION("""COMPUTED_VALUE"""),"Pieces")</f>
        <v>Pieces</v>
      </c>
      <c r="I950" s="15" t="str">
        <f>IFERROR(__xludf.DUMMYFUNCTION("""COMPUTED_VALUE"""),"Deliver")</f>
        <v>Deliver</v>
      </c>
      <c r="J950" s="15" t="str">
        <f>IFERROR(__xludf.DUMMYFUNCTION("""COMPUTED_VALUE"""),"121703303 - APPROVED")</f>
        <v>121703303 - APPROVED</v>
      </c>
      <c r="K950" s="15" t="str">
        <f>IFERROR(__xludf.DUMMYFUNCTION("""COMPUTED_VALUE"""),"GL2511033")</f>
        <v>GL2511033</v>
      </c>
      <c r="L950" s="15" t="str">
        <f>IFERROR(__xludf.DUMMYFUNCTION("""COMPUTED_VALUE"""),"Normal")</f>
        <v>Normal</v>
      </c>
      <c r="M950" s="18" t="s">
        <v>53</v>
      </c>
      <c r="N950" s="18" t="s">
        <v>54</v>
      </c>
    </row>
    <row r="951" hidden="1">
      <c r="A951" s="15" t="str">
        <f>IFERROR(__xludf.DUMMYFUNCTION("""COMPUTED_VALUE"""),"MFHRO0237")</f>
        <v>MFHRO0237</v>
      </c>
      <c r="B951" s="16">
        <f>IFERROR(__xludf.DUMMYFUNCTION("""COMPUTED_VALUE"""),46047.42031945602)</f>
        <v>46047.42032</v>
      </c>
      <c r="C951" s="17">
        <f>IFERROR(__xludf.DUMMYFUNCTION("""COMPUTED_VALUE"""),46047.87568431713)</f>
        <v>46047.87568</v>
      </c>
      <c r="D951" s="15" t="str">
        <f>IFERROR(__xludf.DUMMYFUNCTION("""COMPUTED_VALUE"""),"Granulasi")</f>
        <v>Granulasi</v>
      </c>
      <c r="E951" s="15" t="str">
        <f>IFERROR(__xludf.DUMMYFUNCTION("""COMPUTED_VALUE"""),"-")</f>
        <v>-</v>
      </c>
      <c r="F951" s="15" t="str">
        <f>IFERROR(__xludf.DUMMYFUNCTION("""COMPUTED_VALUE"""),"Integrated Granulation Line - Collar HC100")</f>
        <v>Integrated Granulation Line - Collar HC100</v>
      </c>
      <c r="G951" s="15">
        <f>IFERROR(__xludf.DUMMYFUNCTION("""COMPUTED_VALUE"""),4.0)</f>
        <v>4</v>
      </c>
      <c r="H951" s="15" t="str">
        <f>IFERROR(__xludf.DUMMYFUNCTION("""COMPUTED_VALUE"""),"Pieces")</f>
        <v>Pieces</v>
      </c>
      <c r="I951" s="15" t="str">
        <f>IFERROR(__xludf.DUMMYFUNCTION("""COMPUTED_VALUE"""),"Deliver")</f>
        <v>Deliver</v>
      </c>
      <c r="J951" s="15" t="str">
        <f>IFERROR(__xludf.DUMMYFUNCTION("""COMPUTED_VALUE"""),"121703303 - APPROVED")</f>
        <v>121703303 - APPROVED</v>
      </c>
      <c r="K951" s="15" t="str">
        <f>IFERROR(__xludf.DUMMYFUNCTION("""COMPUTED_VALUE"""),"GL2511033")</f>
        <v>GL2511033</v>
      </c>
      <c r="L951" s="15" t="str">
        <f>IFERROR(__xludf.DUMMYFUNCTION("""COMPUTED_VALUE"""),"Normal")</f>
        <v>Normal</v>
      </c>
      <c r="M951" s="18" t="s">
        <v>53</v>
      </c>
      <c r="N951" s="18" t="s">
        <v>54</v>
      </c>
    </row>
    <row r="952" hidden="1">
      <c r="A952" s="15" t="str">
        <f>IFERROR(__xludf.DUMMYFUNCTION("""COMPUTED_VALUE"""),"MFHRO0238")</f>
        <v>MFHRO0238</v>
      </c>
      <c r="B952" s="16">
        <f>IFERROR(__xludf.DUMMYFUNCTION("""COMPUTED_VALUE"""),46047.42031945602)</f>
        <v>46047.42032</v>
      </c>
      <c r="C952" s="17">
        <f>IFERROR(__xludf.DUMMYFUNCTION("""COMPUTED_VALUE"""),46047.87576725695)</f>
        <v>46047.87577</v>
      </c>
      <c r="D952" s="15" t="str">
        <f>IFERROR(__xludf.DUMMYFUNCTION("""COMPUTED_VALUE"""),"Granulasi")</f>
        <v>Granulasi</v>
      </c>
      <c r="E952" s="15" t="str">
        <f>IFERROR(__xludf.DUMMYFUNCTION("""COMPUTED_VALUE"""),"-")</f>
        <v>-</v>
      </c>
      <c r="F952" s="15" t="str">
        <f>IFERROR(__xludf.DUMMYFUNCTION("""COMPUTED_VALUE"""),"Integrated Granulation Line - Flap Disc Seal MC DN100 (2.M10.0110X)")</f>
        <v>Integrated Granulation Line - Flap Disc Seal MC DN100 (2.M10.0110X)</v>
      </c>
      <c r="G952" s="15">
        <f>IFERROR(__xludf.DUMMYFUNCTION("""COMPUTED_VALUE"""),2.0)</f>
        <v>2</v>
      </c>
      <c r="H952" s="15" t="str">
        <f>IFERROR(__xludf.DUMMYFUNCTION("""COMPUTED_VALUE"""),"Pieces")</f>
        <v>Pieces</v>
      </c>
      <c r="I952" s="15" t="str">
        <f>IFERROR(__xludf.DUMMYFUNCTION("""COMPUTED_VALUE"""),"Deliver")</f>
        <v>Deliver</v>
      </c>
      <c r="J952" s="15" t="str">
        <f>IFERROR(__xludf.DUMMYFUNCTION("""COMPUTED_VALUE"""),"121703303 - APPROVED")</f>
        <v>121703303 - APPROVED</v>
      </c>
      <c r="K952" s="15" t="str">
        <f>IFERROR(__xludf.DUMMYFUNCTION("""COMPUTED_VALUE"""),"GL2511033")</f>
        <v>GL2511033</v>
      </c>
      <c r="L952" s="15" t="str">
        <f>IFERROR(__xludf.DUMMYFUNCTION("""COMPUTED_VALUE"""),"Normal")</f>
        <v>Normal</v>
      </c>
      <c r="M952" s="18" t="s">
        <v>53</v>
      </c>
      <c r="N952" s="18" t="s">
        <v>54</v>
      </c>
    </row>
    <row r="953" hidden="1">
      <c r="A953" s="15" t="str">
        <f>IFERROR(__xludf.DUMMYFUNCTION("""COMPUTED_VALUE"""),"MFHRO0239")</f>
        <v>MFHRO0239</v>
      </c>
      <c r="B953" s="16">
        <f>IFERROR(__xludf.DUMMYFUNCTION("""COMPUTED_VALUE"""),46047.42031945602)</f>
        <v>46047.42032</v>
      </c>
      <c r="C953" s="17">
        <f>IFERROR(__xludf.DUMMYFUNCTION("""COMPUTED_VALUE"""),46047.87588208333)</f>
        <v>46047.87588</v>
      </c>
      <c r="D953" s="15" t="str">
        <f>IFERROR(__xludf.DUMMYFUNCTION("""COMPUTED_VALUE"""),"Granulasi")</f>
        <v>Granulasi</v>
      </c>
      <c r="E953" s="15" t="str">
        <f>IFERROR(__xludf.DUMMYFUNCTION("""COMPUTED_VALUE"""),"-")</f>
        <v>-</v>
      </c>
      <c r="F953" s="15" t="str">
        <f>IFERROR(__xludf.DUMMYFUNCTION("""COMPUTED_VALUE"""),"Integrated Granulation Line - Temperature Probe CIP 60mm MK3: 3 Wire")</f>
        <v>Integrated Granulation Line - Temperature Probe CIP 60mm MK3: 3 Wire</v>
      </c>
      <c r="G953" s="15">
        <f>IFERROR(__xludf.DUMMYFUNCTION("""COMPUTED_VALUE"""),1.0)</f>
        <v>1</v>
      </c>
      <c r="H953" s="15" t="str">
        <f>IFERROR(__xludf.DUMMYFUNCTION("""COMPUTED_VALUE"""),"Pieces")</f>
        <v>Pieces</v>
      </c>
      <c r="I953" s="15" t="str">
        <f>IFERROR(__xludf.DUMMYFUNCTION("""COMPUTED_VALUE"""),"Deliver")</f>
        <v>Deliver</v>
      </c>
      <c r="J953" s="15" t="str">
        <f>IFERROR(__xludf.DUMMYFUNCTION("""COMPUTED_VALUE"""),"121703303 - APPROVED")</f>
        <v>121703303 - APPROVED</v>
      </c>
      <c r="K953" s="15" t="str">
        <f>IFERROR(__xludf.DUMMYFUNCTION("""COMPUTED_VALUE"""),"GL2511033")</f>
        <v>GL2511033</v>
      </c>
      <c r="L953" s="15" t="str">
        <f>IFERROR(__xludf.DUMMYFUNCTION("""COMPUTED_VALUE"""),"Normal")</f>
        <v>Normal</v>
      </c>
      <c r="M953" s="18" t="s">
        <v>53</v>
      </c>
      <c r="N953" s="18" t="s">
        <v>54</v>
      </c>
    </row>
    <row r="954" hidden="1">
      <c r="A954" s="15" t="str">
        <f>IFERROR(__xludf.DUMMYFUNCTION("""COMPUTED_VALUE"""),"MFHRO0240")</f>
        <v>MFHRO0240</v>
      </c>
      <c r="B954" s="16">
        <f>IFERROR(__xludf.DUMMYFUNCTION("""COMPUTED_VALUE"""),46047.42031945602)</f>
        <v>46047.42032</v>
      </c>
      <c r="C954" s="17">
        <f>IFERROR(__xludf.DUMMYFUNCTION("""COMPUTED_VALUE"""),46047.87597414352)</f>
        <v>46047.87597</v>
      </c>
      <c r="D954" s="15" t="str">
        <f>IFERROR(__xludf.DUMMYFUNCTION("""COMPUTED_VALUE"""),"Granulasi")</f>
        <v>Granulasi</v>
      </c>
      <c r="E954" s="15" t="str">
        <f>IFERROR(__xludf.DUMMYFUNCTION("""COMPUTED_VALUE"""),"-")</f>
        <v>-</v>
      </c>
      <c r="F954" s="15" t="str">
        <f>IFERROR(__xludf.DUMMYFUNCTION("""COMPUTED_VALUE"""),"Integrated Granulation Line - Housing Seal MC DN 100")</f>
        <v>Integrated Granulation Line - Housing Seal MC DN 100</v>
      </c>
      <c r="G954" s="15">
        <f>IFERROR(__xludf.DUMMYFUNCTION("""COMPUTED_VALUE"""),1.0)</f>
        <v>1</v>
      </c>
      <c r="H954" s="15" t="str">
        <f>IFERROR(__xludf.DUMMYFUNCTION("""COMPUTED_VALUE"""),"Pieces")</f>
        <v>Pieces</v>
      </c>
      <c r="I954" s="15" t="str">
        <f>IFERROR(__xludf.DUMMYFUNCTION("""COMPUTED_VALUE"""),"Deliver")</f>
        <v>Deliver</v>
      </c>
      <c r="J954" s="15" t="str">
        <f>IFERROR(__xludf.DUMMYFUNCTION("""COMPUTED_VALUE"""),"121703303 - APPROVED")</f>
        <v>121703303 - APPROVED</v>
      </c>
      <c r="K954" s="15" t="str">
        <f>IFERROR(__xludf.DUMMYFUNCTION("""COMPUTED_VALUE"""),"GL2511033")</f>
        <v>GL2511033</v>
      </c>
      <c r="L954" s="15" t="str">
        <f>IFERROR(__xludf.DUMMYFUNCTION("""COMPUTED_VALUE"""),"Normal")</f>
        <v>Normal</v>
      </c>
      <c r="M954" s="18" t="s">
        <v>53</v>
      </c>
      <c r="N954" s="18" t="s">
        <v>54</v>
      </c>
    </row>
    <row r="955" hidden="1">
      <c r="A955" s="15" t="str">
        <f>IFERROR(__xludf.DUMMYFUNCTION("""COMPUTED_VALUE"""),"MFHRO0241")</f>
        <v>MFHRO0241</v>
      </c>
      <c r="B955" s="16">
        <f>IFERROR(__xludf.DUMMYFUNCTION("""COMPUTED_VALUE"""),46047.42031945602)</f>
        <v>46047.42032</v>
      </c>
      <c r="C955" s="17">
        <f>IFERROR(__xludf.DUMMYFUNCTION("""COMPUTED_VALUE"""),46047.876055312496)</f>
        <v>46047.87606</v>
      </c>
      <c r="D955" s="15" t="str">
        <f>IFERROR(__xludf.DUMMYFUNCTION("""COMPUTED_VALUE"""),"Granulasi")</f>
        <v>Granulasi</v>
      </c>
      <c r="E955" s="15" t="str">
        <f>IFERROR(__xludf.DUMMYFUNCTION("""COMPUTED_VALUE"""),"-")</f>
        <v>-</v>
      </c>
      <c r="F955" s="15" t="str">
        <f>IFERROR(__xludf.DUMMYFUNCTION("""COMPUTED_VALUE"""),"Integrated Granulation Line - Inflatable Seal CIP G281 S2P Dm=286mm Silicone Transparent")</f>
        <v>Integrated Granulation Line - Inflatable Seal CIP G281 S2P Dm=286mm Silicone Transparent</v>
      </c>
      <c r="G955" s="15">
        <f>IFERROR(__xludf.DUMMYFUNCTION("""COMPUTED_VALUE"""),1.0)</f>
        <v>1</v>
      </c>
      <c r="H955" s="15" t="str">
        <f>IFERROR(__xludf.DUMMYFUNCTION("""COMPUTED_VALUE"""),"Pieces")</f>
        <v>Pieces</v>
      </c>
      <c r="I955" s="15" t="str">
        <f>IFERROR(__xludf.DUMMYFUNCTION("""COMPUTED_VALUE"""),"Deliver")</f>
        <v>Deliver</v>
      </c>
      <c r="J955" s="15" t="str">
        <f>IFERROR(__xludf.DUMMYFUNCTION("""COMPUTED_VALUE"""),"121703303 - APPROVED")</f>
        <v>121703303 - APPROVED</v>
      </c>
      <c r="K955" s="15" t="str">
        <f>IFERROR(__xludf.DUMMYFUNCTION("""COMPUTED_VALUE"""),"GL2511033")</f>
        <v>GL2511033</v>
      </c>
      <c r="L955" s="15" t="str">
        <f>IFERROR(__xludf.DUMMYFUNCTION("""COMPUTED_VALUE"""),"Normal")</f>
        <v>Normal</v>
      </c>
      <c r="M955" s="18" t="s">
        <v>53</v>
      </c>
      <c r="N955" s="18" t="s">
        <v>54</v>
      </c>
    </row>
    <row r="956" hidden="1">
      <c r="A956" s="21" t="str">
        <f>IFERROR(__xludf.DUMMYFUNCTION("""COMPUTED_VALUE"""),"MFHRO0242")</f>
        <v>MFHRO0242</v>
      </c>
      <c r="B956" s="16">
        <f>IFERROR(__xludf.DUMMYFUNCTION("""COMPUTED_VALUE"""),46047.42031945602)</f>
        <v>46047.42032</v>
      </c>
      <c r="C956" s="17">
        <f>IFERROR(__xludf.DUMMYFUNCTION("""COMPUTED_VALUE"""),46047.876140266206)</f>
        <v>46047.87614</v>
      </c>
      <c r="D956" s="15" t="str">
        <f>IFERROR(__xludf.DUMMYFUNCTION("""COMPUTED_VALUE"""),"Granulasi")</f>
        <v>Granulasi</v>
      </c>
      <c r="E956" s="15" t="str">
        <f>IFERROR(__xludf.DUMMYFUNCTION("""COMPUTED_VALUE"""),"-")</f>
        <v>-</v>
      </c>
      <c r="F956" s="15" t="str">
        <f>IFERROR(__xludf.DUMMYFUNCTION("""COMPUTED_VALUE"""),"Integrated Granulation Line - Inflatable Seal CIP G281 S2F Dm=474mm Silicone Transparent")</f>
        <v>Integrated Granulation Line - Inflatable Seal CIP G281 S2F Dm=474mm Silicone Transparent</v>
      </c>
      <c r="G956" s="15">
        <f>IFERROR(__xludf.DUMMYFUNCTION("""COMPUTED_VALUE"""),1.0)</f>
        <v>1</v>
      </c>
      <c r="H956" s="15" t="str">
        <f>IFERROR(__xludf.DUMMYFUNCTION("""COMPUTED_VALUE"""),"Pieces")</f>
        <v>Pieces</v>
      </c>
      <c r="I956" s="15" t="str">
        <f>IFERROR(__xludf.DUMMYFUNCTION("""COMPUTED_VALUE"""),"Deliver")</f>
        <v>Deliver</v>
      </c>
      <c r="J956" s="15" t="str">
        <f>IFERROR(__xludf.DUMMYFUNCTION("""COMPUTED_VALUE"""),"121703303 - APPROVED")</f>
        <v>121703303 - APPROVED</v>
      </c>
      <c r="K956" s="15" t="str">
        <f>IFERROR(__xludf.DUMMYFUNCTION("""COMPUTED_VALUE"""),"GL2511033")</f>
        <v>GL2511033</v>
      </c>
      <c r="L956" s="15" t="str">
        <f>IFERROR(__xludf.DUMMYFUNCTION("""COMPUTED_VALUE"""),"Normal")</f>
        <v>Normal</v>
      </c>
      <c r="M956" s="18" t="s">
        <v>53</v>
      </c>
      <c r="N956" s="18" t="s">
        <v>54</v>
      </c>
    </row>
    <row r="957" hidden="1">
      <c r="A957" s="15" t="str">
        <f>IFERROR(__xludf.DUMMYFUNCTION("""COMPUTED_VALUE"""),"MFHRO0243")</f>
        <v>MFHRO0243</v>
      </c>
      <c r="B957" s="16">
        <f>IFERROR(__xludf.DUMMYFUNCTION("""COMPUTED_VALUE"""),46047.42031945602)</f>
        <v>46047.42032</v>
      </c>
      <c r="C957" s="17">
        <f>IFERROR(__xludf.DUMMYFUNCTION("""COMPUTED_VALUE"""),46047.87622724537)</f>
        <v>46047.87623</v>
      </c>
      <c r="D957" s="15" t="str">
        <f>IFERROR(__xludf.DUMMYFUNCTION("""COMPUTED_VALUE"""),"Granulasi")</f>
        <v>Granulasi</v>
      </c>
      <c r="E957" s="15" t="str">
        <f>IFERROR(__xludf.DUMMYFUNCTION("""COMPUTED_VALUE"""),"-")</f>
        <v>-</v>
      </c>
      <c r="F957" s="15" t="str">
        <f>IFERROR(__xludf.DUMMYFUNCTION("""COMPUTED_VALUE"""),"Integrated Granulation Line - Inflatable Seal CIP FC111VS DS=117.2mm Silicone Transparent")</f>
        <v>Integrated Granulation Line - Inflatable Seal CIP FC111VS DS=117.2mm Silicone Transparent</v>
      </c>
      <c r="G957" s="15">
        <f>IFERROR(__xludf.DUMMYFUNCTION("""COMPUTED_VALUE"""),1.0)</f>
        <v>1</v>
      </c>
      <c r="H957" s="15" t="str">
        <f>IFERROR(__xludf.DUMMYFUNCTION("""COMPUTED_VALUE"""),"Pieces")</f>
        <v>Pieces</v>
      </c>
      <c r="I957" s="15" t="str">
        <f>IFERROR(__xludf.DUMMYFUNCTION("""COMPUTED_VALUE"""),"Deliver")</f>
        <v>Deliver</v>
      </c>
      <c r="J957" s="15" t="str">
        <f>IFERROR(__xludf.DUMMYFUNCTION("""COMPUTED_VALUE"""),"121703307 - APPROVED")</f>
        <v>121703307 - APPROVED</v>
      </c>
      <c r="K957" s="15" t="str">
        <f>IFERROR(__xludf.DUMMYFUNCTION("""COMPUTED_VALUE"""),"GL2511033")</f>
        <v>GL2511033</v>
      </c>
      <c r="L957" s="15" t="str">
        <f>IFERROR(__xludf.DUMMYFUNCTION("""COMPUTED_VALUE"""),"Normal")</f>
        <v>Normal</v>
      </c>
      <c r="M957" s="18" t="s">
        <v>53</v>
      </c>
      <c r="N957" s="18" t="s">
        <v>54</v>
      </c>
    </row>
    <row r="958" hidden="1">
      <c r="A958" s="15" t="str">
        <f>IFERROR(__xludf.DUMMYFUNCTION("""COMPUTED_VALUE"""),"MFHRO0244")</f>
        <v>MFHRO0244</v>
      </c>
      <c r="B958" s="16">
        <f>IFERROR(__xludf.DUMMYFUNCTION("""COMPUTED_VALUE"""),46047.42031945602)</f>
        <v>46047.42032</v>
      </c>
      <c r="C958" s="17">
        <f>IFERROR(__xludf.DUMMYFUNCTION("""COMPUTED_VALUE"""),46047.876308969906)</f>
        <v>46047.87631</v>
      </c>
      <c r="D958" s="15" t="str">
        <f>IFERROR(__xludf.DUMMYFUNCTION("""COMPUTED_VALUE"""),"Granulasi")</f>
        <v>Granulasi</v>
      </c>
      <c r="E958" s="15" t="str">
        <f>IFERROR(__xludf.DUMMYFUNCTION("""COMPUTED_VALUE"""),"-")</f>
        <v>-</v>
      </c>
      <c r="F958" s="15" t="str">
        <f>IFERROR(__xludf.DUMMYFUNCTION("""COMPUTED_VALUE"""),"Integrated Granulation Line - Inflatable Seal CIP FC111VS DS=340.2mm Silicone Transparent")</f>
        <v>Integrated Granulation Line - Inflatable Seal CIP FC111VS DS=340.2mm Silicone Transparent</v>
      </c>
      <c r="G958" s="15">
        <f>IFERROR(__xludf.DUMMYFUNCTION("""COMPUTED_VALUE"""),1.0)</f>
        <v>1</v>
      </c>
      <c r="H958" s="15" t="str">
        <f>IFERROR(__xludf.DUMMYFUNCTION("""COMPUTED_VALUE"""),"Pieces")</f>
        <v>Pieces</v>
      </c>
      <c r="I958" s="15" t="str">
        <f>IFERROR(__xludf.DUMMYFUNCTION("""COMPUTED_VALUE"""),"Deliver")</f>
        <v>Deliver</v>
      </c>
      <c r="J958" s="15" t="str">
        <f>IFERROR(__xludf.DUMMYFUNCTION("""COMPUTED_VALUE"""),"121703307 - APPROVED")</f>
        <v>121703307 - APPROVED</v>
      </c>
      <c r="K958" s="15" t="str">
        <f>IFERROR(__xludf.DUMMYFUNCTION("""COMPUTED_VALUE"""),"GL2511033")</f>
        <v>GL2511033</v>
      </c>
      <c r="L958" s="15" t="str">
        <f>IFERROR(__xludf.DUMMYFUNCTION("""COMPUTED_VALUE"""),"Normal")</f>
        <v>Normal</v>
      </c>
      <c r="M958" s="18" t="s">
        <v>53</v>
      </c>
      <c r="N958" s="18" t="s">
        <v>54</v>
      </c>
    </row>
    <row r="959" hidden="1">
      <c r="A959" s="15" t="str">
        <f>IFERROR(__xludf.DUMMYFUNCTION("""COMPUTED_VALUE"""),"MFHRO0245")</f>
        <v>MFHRO0245</v>
      </c>
      <c r="B959" s="16">
        <f>IFERROR(__xludf.DUMMYFUNCTION("""COMPUTED_VALUE"""),46047.42031945602)</f>
        <v>46047.42032</v>
      </c>
      <c r="C959" s="17">
        <f>IFERROR(__xludf.DUMMYFUNCTION("""COMPUTED_VALUE"""),46047.87643633102)</f>
        <v>46047.87644</v>
      </c>
      <c r="D959" s="15" t="str">
        <f>IFERROR(__xludf.DUMMYFUNCTION("""COMPUTED_VALUE"""),"Granulasi")</f>
        <v>Granulasi</v>
      </c>
      <c r="E959" s="15" t="str">
        <f>IFERROR(__xludf.DUMMYFUNCTION("""COMPUTED_VALUE"""),"-")</f>
        <v>-</v>
      </c>
      <c r="F959" s="15" t="str">
        <f>IFERROR(__xludf.DUMMYFUNCTION("""COMPUTED_VALUE"""),"Integrated Granulation Line - Inflatable Seal Filter Ring ER/ABB 1 Valve MK3 Size 2; GEA; 214261; 1 Pc")</f>
        <v>Integrated Granulation Line - Inflatable Seal Filter Ring ER/ABB 1 Valve MK3 Size 2; GEA; 214261; 1 Pc</v>
      </c>
      <c r="G959" s="15">
        <f>IFERROR(__xludf.DUMMYFUNCTION("""COMPUTED_VALUE"""),1.0)</f>
        <v>1</v>
      </c>
      <c r="H959" s="15" t="str">
        <f>IFERROR(__xludf.DUMMYFUNCTION("""COMPUTED_VALUE"""),"Pieces")</f>
        <v>Pieces</v>
      </c>
      <c r="I959" s="15" t="str">
        <f>IFERROR(__xludf.DUMMYFUNCTION("""COMPUTED_VALUE"""),"Deliver")</f>
        <v>Deliver</v>
      </c>
      <c r="J959" s="15" t="str">
        <f>IFERROR(__xludf.DUMMYFUNCTION("""COMPUTED_VALUE"""),"121703307 - APPROVED")</f>
        <v>121703307 - APPROVED</v>
      </c>
      <c r="K959" s="15" t="str">
        <f>IFERROR(__xludf.DUMMYFUNCTION("""COMPUTED_VALUE"""),"GL2511033")</f>
        <v>GL2511033</v>
      </c>
      <c r="L959" s="15" t="str">
        <f>IFERROR(__xludf.DUMMYFUNCTION("""COMPUTED_VALUE"""),"Normal")</f>
        <v>Normal</v>
      </c>
      <c r="M959" s="18" t="s">
        <v>53</v>
      </c>
      <c r="N959" s="18" t="s">
        <v>54</v>
      </c>
    </row>
    <row r="960" hidden="1">
      <c r="A960" s="15" t="str">
        <f>IFERROR(__xludf.DUMMYFUNCTION("""COMPUTED_VALUE"""),"MFHRO0246")</f>
        <v>MFHRO0246</v>
      </c>
      <c r="B960" s="16">
        <f>IFERROR(__xludf.DUMMYFUNCTION("""COMPUTED_VALUE"""),46047.42031945602)</f>
        <v>46047.42032</v>
      </c>
      <c r="C960" s="17">
        <f>IFERROR(__xludf.DUMMYFUNCTION("""COMPUTED_VALUE"""),46047.87687172453)</f>
        <v>46047.87687</v>
      </c>
      <c r="D960" s="15" t="str">
        <f>IFERROR(__xludf.DUMMYFUNCTION("""COMPUTED_VALUE"""),"Granulasi")</f>
        <v>Granulasi</v>
      </c>
      <c r="E960" s="15" t="str">
        <f>IFERROR(__xludf.DUMMYFUNCTION("""COMPUTED_VALUE"""),"-")</f>
        <v>-</v>
      </c>
      <c r="F960" s="15" t="str">
        <f>IFERROR(__xludf.DUMMYFUNCTION("""COMPUTED_VALUE"""),"Integrated Granulation Line - Bellow V3 MC DN100 L=292x2 EPDM White; GEA; 179947; 1 Pc")</f>
        <v>Integrated Granulation Line - Bellow V3 MC DN100 L=292x2 EPDM White; GEA; 179947; 1 Pc</v>
      </c>
      <c r="G960" s="15">
        <f>IFERROR(__xludf.DUMMYFUNCTION("""COMPUTED_VALUE"""),1.0)</f>
        <v>1</v>
      </c>
      <c r="H960" s="15" t="str">
        <f>IFERROR(__xludf.DUMMYFUNCTION("""COMPUTED_VALUE"""),"Pieces")</f>
        <v>Pieces</v>
      </c>
      <c r="I960" s="15" t="str">
        <f>IFERROR(__xludf.DUMMYFUNCTION("""COMPUTED_VALUE"""),"Deliver")</f>
        <v>Deliver</v>
      </c>
      <c r="J960" s="15" t="str">
        <f>IFERROR(__xludf.DUMMYFUNCTION("""COMPUTED_VALUE"""),"121703307 - APPROVED")</f>
        <v>121703307 - APPROVED</v>
      </c>
      <c r="K960" s="15" t="str">
        <f>IFERROR(__xludf.DUMMYFUNCTION("""COMPUTED_VALUE"""),"GL2511033")</f>
        <v>GL2511033</v>
      </c>
      <c r="L960" s="15" t="str">
        <f>IFERROR(__xludf.DUMMYFUNCTION("""COMPUTED_VALUE"""),"Normal")</f>
        <v>Normal</v>
      </c>
      <c r="M960" s="18" t="s">
        <v>53</v>
      </c>
      <c r="N960" s="18" t="s">
        <v>54</v>
      </c>
    </row>
    <row r="961" hidden="1">
      <c r="A961" s="15" t="str">
        <f>IFERROR(__xludf.DUMMYFUNCTION("""COMPUTED_VALUE"""),"MFHRO0247")</f>
        <v>MFHRO0247</v>
      </c>
      <c r="B961" s="16">
        <f>IFERROR(__xludf.DUMMYFUNCTION("""COMPUTED_VALUE"""),46047.83255263889)</f>
        <v>46047.83255</v>
      </c>
      <c r="C961" s="17">
        <f>IFERROR(__xludf.DUMMYFUNCTION("""COMPUTED_VALUE"""),46047.87701018518)</f>
        <v>46047.87701</v>
      </c>
      <c r="D961" s="15" t="str">
        <f>IFERROR(__xludf.DUMMYFUNCTION("""COMPUTED_VALUE"""),"Building")</f>
        <v>Building</v>
      </c>
      <c r="E961" s="15" t="str">
        <f>IFERROR(__xludf.DUMMYFUNCTION("""COMPUTED_VALUE"""),"-")</f>
        <v>-</v>
      </c>
      <c r="F961" s="15" t="str">
        <f>IFERROR(__xludf.DUMMYFUNCTION("""COMPUTED_VALUE"""),"General - Door Sticker T30-X; Austar; -; 1 pc")</f>
        <v>General - Door Sticker T30-X; Austar; -; 1 pc</v>
      </c>
      <c r="G961" s="15">
        <f>IFERROR(__xludf.DUMMYFUNCTION("""COMPUTED_VALUE"""),20.0)</f>
        <v>20</v>
      </c>
      <c r="H961" s="15" t="str">
        <f>IFERROR(__xludf.DUMMYFUNCTION("""COMPUTED_VALUE"""),"Pieces")</f>
        <v>Pieces</v>
      </c>
      <c r="I961" s="15" t="str">
        <f>IFERROR(__xludf.DUMMYFUNCTION("""COMPUTED_VALUE"""),"Deliver")</f>
        <v>Deliver</v>
      </c>
      <c r="J961" s="15" t="str">
        <f>IFERROR(__xludf.DUMMYFUNCTION("""COMPUTED_VALUE"""),"121703406 - APPROVED")</f>
        <v>121703406 - APPROVED</v>
      </c>
      <c r="K961" s="15" t="str">
        <f>IFERROR(__xludf.DUMMYFUNCTION("""COMPUTED_VALUE"""),"GL2511030")</f>
        <v>GL2511030</v>
      </c>
      <c r="L961" s="15" t="str">
        <f>IFERROR(__xludf.DUMMYFUNCTION("""COMPUTED_VALUE"""),"Normal")</f>
        <v>Normal</v>
      </c>
      <c r="M961" s="18" t="s">
        <v>53</v>
      </c>
      <c r="N961" s="18" t="s">
        <v>54</v>
      </c>
    </row>
    <row r="962" hidden="1">
      <c r="A962" s="15" t="str">
        <f>IFERROR(__xludf.DUMMYFUNCTION("""COMPUTED_VALUE"""),"MFHRO0248")</f>
        <v>MFHRO0248</v>
      </c>
      <c r="B962" s="16">
        <f>IFERROR(__xludf.DUMMYFUNCTION("""COMPUTED_VALUE"""),46047.83255263889)</f>
        <v>46047.83255</v>
      </c>
      <c r="C962" s="17">
        <f>IFERROR(__xludf.DUMMYFUNCTION("""COMPUTED_VALUE"""),46047.87711084491)</f>
        <v>46047.87711</v>
      </c>
      <c r="D962" s="15" t="str">
        <f>IFERROR(__xludf.DUMMYFUNCTION("""COMPUTED_VALUE"""),"FD")</f>
        <v>FD</v>
      </c>
      <c r="E962" s="15" t="str">
        <f>IFERROR(__xludf.DUMMYFUNCTION("""COMPUTED_VALUE"""),"-")</f>
        <v>-</v>
      </c>
      <c r="F962" s="15" t="str">
        <f>IFERROR(__xludf.DUMMYFUNCTION("""COMPUTED_VALUE"""),"General - Diaphragm Grade ER SQUARE Type A EPDM Diaphragm Screw; Saunders; DP008ER; 1 Pc")</f>
        <v>General - Diaphragm Grade ER SQUARE Type A EPDM Diaphragm Screw; Saunders; DP008ER; 1 Pc</v>
      </c>
      <c r="G962" s="15">
        <f>IFERROR(__xludf.DUMMYFUNCTION("""COMPUTED_VALUE"""),3.0)</f>
        <v>3</v>
      </c>
      <c r="H962" s="15" t="str">
        <f>IFERROR(__xludf.DUMMYFUNCTION("""COMPUTED_VALUE"""),"Pieces")</f>
        <v>Pieces</v>
      </c>
      <c r="I962" s="15" t="str">
        <f>IFERROR(__xludf.DUMMYFUNCTION("""COMPUTED_VALUE"""),"Deliver")</f>
        <v>Deliver</v>
      </c>
      <c r="J962" s="15" t="str">
        <f>IFERROR(__xludf.DUMMYFUNCTION("""COMPUTED_VALUE"""),"121703434 - APPROVED")</f>
        <v>121703434 - APPROVED</v>
      </c>
      <c r="K962" s="15" t="str">
        <f>IFERROR(__xludf.DUMMYFUNCTION("""COMPUTED_VALUE"""),"GL2512319")</f>
        <v>GL2512319</v>
      </c>
      <c r="L962" s="15" t="str">
        <f>IFERROR(__xludf.DUMMYFUNCTION("""COMPUTED_VALUE"""),"Normal")</f>
        <v>Normal</v>
      </c>
      <c r="M962" s="18" t="s">
        <v>53</v>
      </c>
      <c r="N962" s="18" t="s">
        <v>54</v>
      </c>
    </row>
    <row r="963" hidden="1">
      <c r="A963" s="15" t="str">
        <f>IFERROR(__xludf.DUMMYFUNCTION("""COMPUTED_VALUE"""),"MFHRO0249")</f>
        <v>MFHRO0249</v>
      </c>
      <c r="B963" s="16">
        <f>IFERROR(__xludf.DUMMYFUNCTION("""COMPUTED_VALUE"""),46047.83255263889)</f>
        <v>46047.83255</v>
      </c>
      <c r="C963" s="17">
        <f>IFERROR(__xludf.DUMMYFUNCTION("""COMPUTED_VALUE"""),46047.877210393526)</f>
        <v>46047.87721</v>
      </c>
      <c r="D963" s="15" t="str">
        <f>IFERROR(__xludf.DUMMYFUNCTION("""COMPUTED_VALUE"""),"Autoclave")</f>
        <v>Autoclave</v>
      </c>
      <c r="E963" s="15" t="str">
        <f>IFERROR(__xludf.DUMMYFUNCTION("""COMPUTED_VALUE"""),"-")</f>
        <v>-</v>
      </c>
      <c r="F963" s="15" t="str">
        <f>IFERROR(__xludf.DUMMYFUNCTION("""COMPUTED_VALUE"""),"Autoclave Service NA2247AU - Pressure Transducer MOD. PBMH 24; Fedegari; CD230063; 1 Pc")</f>
        <v>Autoclave Service NA2247AU - Pressure Transducer MOD. PBMH 24; Fedegari; CD230063; 1 Pc</v>
      </c>
      <c r="G963" s="15">
        <f>IFERROR(__xludf.DUMMYFUNCTION("""COMPUTED_VALUE"""),1.0)</f>
        <v>1</v>
      </c>
      <c r="H963" s="15" t="str">
        <f>IFERROR(__xludf.DUMMYFUNCTION("""COMPUTED_VALUE"""),"Pieces")</f>
        <v>Pieces</v>
      </c>
      <c r="I963" s="15" t="str">
        <f>IFERROR(__xludf.DUMMYFUNCTION("""COMPUTED_VALUE"""),"Deliver")</f>
        <v>Deliver</v>
      </c>
      <c r="J963" s="15" t="str">
        <f>IFERROR(__xludf.DUMMYFUNCTION("""COMPUTED_VALUE"""),"121703435 - APPROVED")</f>
        <v>121703435 - APPROVED</v>
      </c>
      <c r="K963" s="15" t="str">
        <f>IFERROR(__xludf.DUMMYFUNCTION("""COMPUTED_VALUE"""),"GL2511305")</f>
        <v>GL2511305</v>
      </c>
      <c r="L963" s="15" t="str">
        <f>IFERROR(__xludf.DUMMYFUNCTION("""COMPUTED_VALUE"""),"Normal")</f>
        <v>Normal</v>
      </c>
      <c r="M963" s="18" t="s">
        <v>53</v>
      </c>
      <c r="N963" s="18" t="s">
        <v>54</v>
      </c>
    </row>
    <row r="964" hidden="1">
      <c r="A964" s="15" t="str">
        <f>IFERROR(__xludf.DUMMYFUNCTION("""COMPUTED_VALUE"""),"MFHRO0250")</f>
        <v>MFHRO0250</v>
      </c>
      <c r="B964" s="16">
        <f>IFERROR(__xludf.DUMMYFUNCTION("""COMPUTED_VALUE"""),46047.83255263889)</f>
        <v>46047.83255</v>
      </c>
      <c r="C964" s="17">
        <f>IFERROR(__xludf.DUMMYFUNCTION("""COMPUTED_VALUE"""),46047.877314722224)</f>
        <v>46047.87731</v>
      </c>
      <c r="D964" s="15" t="str">
        <f>IFERROR(__xludf.DUMMYFUNCTION("""COMPUTED_VALUE"""),"Autoclave")</f>
        <v>Autoclave</v>
      </c>
      <c r="E964" s="15" t="str">
        <f>IFERROR(__xludf.DUMMYFUNCTION("""COMPUTED_VALUE"""),"-")</f>
        <v>-</v>
      </c>
      <c r="F964" s="15" t="str">
        <f>IFERROR(__xludf.DUMMYFUNCTION("""COMPUTED_VALUE"""),"Autoclave FVA2/A1 - SILICONE GASKET FO-5 900X1300; Fedegari; PP600076; 1 Pc")</f>
        <v>Autoclave FVA2/A1 - SILICONE GASKET FO-5 900X1300; Fedegari; PP600076; 1 Pc</v>
      </c>
      <c r="G964" s="15">
        <f>IFERROR(__xludf.DUMMYFUNCTION("""COMPUTED_VALUE"""),1.0)</f>
        <v>1</v>
      </c>
      <c r="H964" s="15" t="str">
        <f>IFERROR(__xludf.DUMMYFUNCTION("""COMPUTED_VALUE"""),"Pieces")</f>
        <v>Pieces</v>
      </c>
      <c r="I964" s="15" t="str">
        <f>IFERROR(__xludf.DUMMYFUNCTION("""COMPUTED_VALUE"""),"Deliver")</f>
        <v>Deliver</v>
      </c>
      <c r="J964" s="15" t="str">
        <f>IFERROR(__xludf.DUMMYFUNCTION("""COMPUTED_VALUE"""),"121703435 - APPROVED")</f>
        <v>121703435 - APPROVED</v>
      </c>
      <c r="K964" s="15" t="str">
        <f>IFERROR(__xludf.DUMMYFUNCTION("""COMPUTED_VALUE"""),"GL2511305")</f>
        <v>GL2511305</v>
      </c>
      <c r="L964" s="15" t="str">
        <f>IFERROR(__xludf.DUMMYFUNCTION("""COMPUTED_VALUE"""),"Normal")</f>
        <v>Normal</v>
      </c>
      <c r="M964" s="18" t="s">
        <v>53</v>
      </c>
      <c r="N964" s="18" t="s">
        <v>54</v>
      </c>
    </row>
    <row r="965" hidden="1">
      <c r="A965" s="15" t="str">
        <f>IFERROR(__xludf.DUMMYFUNCTION("""COMPUTED_VALUE"""),"MFHRO0251")</f>
        <v>MFHRO0251</v>
      </c>
      <c r="B965" s="16">
        <f>IFERROR(__xludf.DUMMYFUNCTION("""COMPUTED_VALUE"""),46047.83255263889)</f>
        <v>46047.83255</v>
      </c>
      <c r="C965" s="17">
        <f>IFERROR(__xludf.DUMMYFUNCTION("""COMPUTED_VALUE"""),46047.87740561343)</f>
        <v>46047.87741</v>
      </c>
      <c r="D965" s="15" t="str">
        <f>IFERROR(__xludf.DUMMYFUNCTION("""COMPUTED_VALUE"""),"Autoclave")</f>
        <v>Autoclave</v>
      </c>
      <c r="E965" s="15" t="str">
        <f>IFERROR(__xludf.DUMMYFUNCTION("""COMPUTED_VALUE"""),"-")</f>
        <v>-</v>
      </c>
      <c r="F965" s="15" t="str">
        <f>IFERROR(__xludf.DUMMYFUNCTION("""COMPUTED_VALUE"""),"Autoclave Service NA2247AU - Pressure Switch Alco Controls PS3-AJR 0.8-1 bar Assy; Fedegari; GP00045; 1 Pc")</f>
        <v>Autoclave Service NA2247AU - Pressure Switch Alco Controls PS3-AJR 0.8-1 bar Assy; Fedegari; GP00045; 1 Pc</v>
      </c>
      <c r="G965" s="15">
        <f>IFERROR(__xludf.DUMMYFUNCTION("""COMPUTED_VALUE"""),1.0)</f>
        <v>1</v>
      </c>
      <c r="H965" s="15" t="str">
        <f>IFERROR(__xludf.DUMMYFUNCTION("""COMPUTED_VALUE"""),"Pieces")</f>
        <v>Pieces</v>
      </c>
      <c r="I965" s="15" t="str">
        <f>IFERROR(__xludf.DUMMYFUNCTION("""COMPUTED_VALUE"""),"Deliver")</f>
        <v>Deliver</v>
      </c>
      <c r="J965" s="15" t="str">
        <f>IFERROR(__xludf.DUMMYFUNCTION("""COMPUTED_VALUE"""),"121703437 - APPROVED")</f>
        <v>121703437 - APPROVED</v>
      </c>
      <c r="K965" s="15" t="str">
        <f>IFERROR(__xludf.DUMMYFUNCTION("""COMPUTED_VALUE"""),"GL2511305")</f>
        <v>GL2511305</v>
      </c>
      <c r="L965" s="15" t="str">
        <f>IFERROR(__xludf.DUMMYFUNCTION("""COMPUTED_VALUE"""),"Normal")</f>
        <v>Normal</v>
      </c>
      <c r="M965" s="18" t="s">
        <v>53</v>
      </c>
      <c r="N965" s="18" t="s">
        <v>54</v>
      </c>
    </row>
    <row r="966" hidden="1">
      <c r="A966" s="15" t="str">
        <f>IFERROR(__xludf.DUMMYFUNCTION("""COMPUTED_VALUE"""),"MFHRO0252")</f>
        <v>MFHRO0252</v>
      </c>
      <c r="B966" s="16">
        <f>IFERROR(__xludf.DUMMYFUNCTION("""COMPUTED_VALUE"""),46047.83255263889)</f>
        <v>46047.83255</v>
      </c>
      <c r="C966" s="17">
        <f>IFERROR(__xludf.DUMMYFUNCTION("""COMPUTED_VALUE"""),46047.87749519676)</f>
        <v>46047.8775</v>
      </c>
      <c r="D966" s="15" t="str">
        <f>IFERROR(__xludf.DUMMYFUNCTION("""COMPUTED_VALUE"""),"Autoclave")</f>
        <v>Autoclave</v>
      </c>
      <c r="E966" s="15" t="str">
        <f>IFERROR(__xludf.DUMMYFUNCTION("""COMPUTED_VALUE"""),"-")</f>
        <v>-</v>
      </c>
      <c r="F966" s="15" t="str">
        <f>IFERROR(__xludf.DUMMYFUNCTION("""COMPUTED_VALUE"""),"Autoclave Service NA2247AU - O ring 15.47x3.53; Fedegari; CC150170; 1 Pc")</f>
        <v>Autoclave Service NA2247AU - O ring 15.47x3.53; Fedegari; CC150170; 1 Pc</v>
      </c>
      <c r="G966" s="15">
        <f>IFERROR(__xludf.DUMMYFUNCTION("""COMPUTED_VALUE"""),5.0)</f>
        <v>5</v>
      </c>
      <c r="H966" s="15" t="str">
        <f>IFERROR(__xludf.DUMMYFUNCTION("""COMPUTED_VALUE"""),"Pieces")</f>
        <v>Pieces</v>
      </c>
      <c r="I966" s="15" t="str">
        <f>IFERROR(__xludf.DUMMYFUNCTION("""COMPUTED_VALUE"""),"Deliver")</f>
        <v>Deliver</v>
      </c>
      <c r="J966" s="15" t="str">
        <f>IFERROR(__xludf.DUMMYFUNCTION("""COMPUTED_VALUE"""),"121703437 - APPROVED")</f>
        <v>121703437 - APPROVED</v>
      </c>
      <c r="K966" s="15" t="str">
        <f>IFERROR(__xludf.DUMMYFUNCTION("""COMPUTED_VALUE"""),"GL2511305")</f>
        <v>GL2511305</v>
      </c>
      <c r="L966" s="15" t="str">
        <f>IFERROR(__xludf.DUMMYFUNCTION("""COMPUTED_VALUE"""),"Normal")</f>
        <v>Normal</v>
      </c>
      <c r="M966" s="18" t="s">
        <v>53</v>
      </c>
      <c r="N966" s="18" t="s">
        <v>54</v>
      </c>
    </row>
    <row r="967" hidden="1">
      <c r="A967" s="15" t="str">
        <f>IFERROR(__xludf.DUMMYFUNCTION("""COMPUTED_VALUE"""),"MFHRO0253")</f>
        <v>MFHRO0253</v>
      </c>
      <c r="B967" s="16">
        <f>IFERROR(__xludf.DUMMYFUNCTION("""COMPUTED_VALUE"""),46047.83255263889)</f>
        <v>46047.83255</v>
      </c>
      <c r="C967" s="17">
        <f>IFERROR(__xludf.DUMMYFUNCTION("""COMPUTED_VALUE"""),46047.87764648148)</f>
        <v>46047.87765</v>
      </c>
      <c r="D967" s="15" t="str">
        <f>IFERROR(__xludf.DUMMYFUNCTION("""COMPUTED_VALUE"""),"Autoclave")</f>
        <v>Autoclave</v>
      </c>
      <c r="E967" s="15" t="str">
        <f>IFERROR(__xludf.DUMMYFUNCTION("""COMPUTED_VALUE"""),"-")</f>
        <v>-</v>
      </c>
      <c r="F967" s="15" t="str">
        <f>IFERROR(__xludf.DUMMYFUNCTION("""COMPUTED_VALUE"""),"Autoclave Service NA2247AU - O ring 34.52x3.53; Fedegari; CC150171; 1 Pc")</f>
        <v>Autoclave Service NA2247AU - O ring 34.52x3.53; Fedegari; CC150171; 1 Pc</v>
      </c>
      <c r="G967" s="15">
        <f>IFERROR(__xludf.DUMMYFUNCTION("""COMPUTED_VALUE"""),5.0)</f>
        <v>5</v>
      </c>
      <c r="H967" s="15" t="str">
        <f>IFERROR(__xludf.DUMMYFUNCTION("""COMPUTED_VALUE"""),"Pieces")</f>
        <v>Pieces</v>
      </c>
      <c r="I967" s="15" t="str">
        <f>IFERROR(__xludf.DUMMYFUNCTION("""COMPUTED_VALUE"""),"Deliver")</f>
        <v>Deliver</v>
      </c>
      <c r="J967" s="15" t="str">
        <f>IFERROR(__xludf.DUMMYFUNCTION("""COMPUTED_VALUE"""),"121703437 - APPROVED")</f>
        <v>121703437 - APPROVED</v>
      </c>
      <c r="K967" s="15" t="str">
        <f>IFERROR(__xludf.DUMMYFUNCTION("""COMPUTED_VALUE"""),"GL2511305")</f>
        <v>GL2511305</v>
      </c>
      <c r="L967" s="15" t="str">
        <f>IFERROR(__xludf.DUMMYFUNCTION("""COMPUTED_VALUE"""),"Normal")</f>
        <v>Normal</v>
      </c>
      <c r="M967" s="18" t="s">
        <v>53</v>
      </c>
      <c r="N967" s="18" t="s">
        <v>54</v>
      </c>
    </row>
    <row r="968" hidden="1">
      <c r="A968" s="15" t="str">
        <f>IFERROR(__xludf.DUMMYFUNCTION("""COMPUTED_VALUE"""),"MFHRO0254")</f>
        <v>MFHRO0254</v>
      </c>
      <c r="B968" s="16">
        <f>IFERROR(__xludf.DUMMYFUNCTION("""COMPUTED_VALUE"""),46047.83255263889)</f>
        <v>46047.83255</v>
      </c>
      <c r="C968" s="17">
        <f>IFERROR(__xludf.DUMMYFUNCTION("""COMPUTED_VALUE"""),46047.8777390162)</f>
        <v>46047.87774</v>
      </c>
      <c r="D968" s="15" t="str">
        <f>IFERROR(__xludf.DUMMYFUNCTION("""COMPUTED_VALUE"""),"cRABS")</f>
        <v>cRABS</v>
      </c>
      <c r="E968" s="15" t="str">
        <f>IFERROR(__xludf.DUMMYFUNCTION("""COMPUTED_VALUE"""),"-")</f>
        <v>-</v>
      </c>
      <c r="F968" s="15" t="str">
        <f>IFERROR(__xludf.DUMMYFUNCTION("""COMPUTED_VALUE"""),"cRABS Z064CR - DOOR SAFETY SWITCHES ; SCHMERSAL ; MAGNET BPS-260; ; 14061; 1 Pc")</f>
        <v>cRABS Z064CR - DOOR SAFETY SWITCHES ; SCHMERSAL ; MAGNET BPS-260; ; 14061; 1 Pc</v>
      </c>
      <c r="G968" s="15">
        <f>IFERROR(__xludf.DUMMYFUNCTION("""COMPUTED_VALUE"""),1.0)</f>
        <v>1</v>
      </c>
      <c r="H968" s="15" t="str">
        <f>IFERROR(__xludf.DUMMYFUNCTION("""COMPUTED_VALUE"""),"Pieces")</f>
        <v>Pieces</v>
      </c>
      <c r="I968" s="15" t="str">
        <f>IFERROR(__xludf.DUMMYFUNCTION("""COMPUTED_VALUE"""),"Deliver")</f>
        <v>Deliver</v>
      </c>
      <c r="J968" s="15" t="str">
        <f>IFERROR(__xludf.DUMMYFUNCTION("""COMPUTED_VALUE"""),"121703438 - APPROVED")</f>
        <v>121703438 - APPROVED</v>
      </c>
      <c r="K968" s="15" t="str">
        <f>IFERROR(__xludf.DUMMYFUNCTION("""COMPUTED_VALUE"""),"GL2511060")</f>
        <v>GL2511060</v>
      </c>
      <c r="L968" s="15" t="str">
        <f>IFERROR(__xludf.DUMMYFUNCTION("""COMPUTED_VALUE"""),"Normal")</f>
        <v>Normal</v>
      </c>
      <c r="M968" s="18" t="s">
        <v>53</v>
      </c>
      <c r="N968" s="18" t="s">
        <v>54</v>
      </c>
    </row>
    <row r="969" hidden="1">
      <c r="A969" s="15" t="str">
        <f>IFERROR(__xludf.DUMMYFUNCTION("""COMPUTED_VALUE"""),"MFHRO0255")</f>
        <v>MFHRO0255</v>
      </c>
      <c r="B969" s="16">
        <f>IFERROR(__xludf.DUMMYFUNCTION("""COMPUTED_VALUE"""),46047.83255263889)</f>
        <v>46047.83255</v>
      </c>
      <c r="C969" s="17">
        <f>IFERROR(__xludf.DUMMYFUNCTION("""COMPUTED_VALUE"""),46047.87865111111)</f>
        <v>46047.87865</v>
      </c>
      <c r="D969" s="15" t="str">
        <f>IFERROR(__xludf.DUMMYFUNCTION("""COMPUTED_VALUE"""),"Washing")</f>
        <v>Washing</v>
      </c>
      <c r="E969" s="15" t="str">
        <f>IFERROR(__xludf.DUMMYFUNCTION("""COMPUTED_VALUE"""),"-")</f>
        <v>-</v>
      </c>
      <c r="F969" s="15" t="str">
        <f>IFERROR(__xludf.DUMMYFUNCTION("""COMPUTED_VALUE"""),"Washing RAR4 - Needle PW, OD.15mmx123mm, Material SS 319; ; ;")</f>
        <v>Washing RAR4 - Needle PW, OD.15mmx123mm, Material SS 319; ; ;</v>
      </c>
      <c r="G969" s="15">
        <f>IFERROR(__xludf.DUMMYFUNCTION("""COMPUTED_VALUE"""),1.0)</f>
        <v>1</v>
      </c>
      <c r="H969" s="15" t="str">
        <f>IFERROR(__xludf.DUMMYFUNCTION("""COMPUTED_VALUE"""),"Pieces")</f>
        <v>Pieces</v>
      </c>
      <c r="I969" s="15" t="str">
        <f>IFERROR(__xludf.DUMMYFUNCTION("""COMPUTED_VALUE"""),"Deliver")</f>
        <v>Deliver</v>
      </c>
      <c r="J969" s="15" t="str">
        <f>IFERROR(__xludf.DUMMYFUNCTION("""COMPUTED_VALUE"""),"121703439 - APPROVED")</f>
        <v>121703439 - APPROVED</v>
      </c>
      <c r="K969" s="15" t="str">
        <f>IFERROR(__xludf.DUMMYFUNCTION("""COMPUTED_VALUE"""),"GL2512331")</f>
        <v>GL2512331</v>
      </c>
      <c r="L969" s="15" t="str">
        <f>IFERROR(__xludf.DUMMYFUNCTION("""COMPUTED_VALUE"""),"Normal")</f>
        <v>Normal</v>
      </c>
      <c r="M969" s="18" t="s">
        <v>53</v>
      </c>
      <c r="N969" s="18" t="s">
        <v>54</v>
      </c>
    </row>
    <row r="970" hidden="1">
      <c r="A970" s="15" t="str">
        <f>IFERROR(__xludf.DUMMYFUNCTION("""COMPUTED_VALUE"""),"MFHRO0256")</f>
        <v>MFHRO0256</v>
      </c>
      <c r="B970" s="16">
        <f>IFERROR(__xludf.DUMMYFUNCTION("""COMPUTED_VALUE"""),46047.83255263889)</f>
        <v>46047.83255</v>
      </c>
      <c r="C970" s="17">
        <f>IFERROR(__xludf.DUMMYFUNCTION("""COMPUTED_VALUE"""),46047.878765636575)</f>
        <v>46047.87877</v>
      </c>
      <c r="D970" s="15" t="str">
        <f>IFERROR(__xludf.DUMMYFUNCTION("""COMPUTED_VALUE"""),"Hepa")</f>
        <v>Hepa</v>
      </c>
      <c r="E970" s="15" t="str">
        <f>IFERROR(__xludf.DUMMYFUNCTION("""COMPUTED_VALUE"""),"-")</f>
        <v>-</v>
      </c>
      <c r="F970" s="15" t="str">
        <f>IFERROR(__xludf.DUMMYFUNCTION("""COMPUTED_VALUE"""),"HB Series (H13) :592x592x292mm Minimum efficiency : 99,99% on 0,3 micron Rec.final resistance:50; IAF; ;")</f>
        <v>HB Series (H13) :592x592x292mm Minimum efficiency : 99,99% on 0,3 micron Rec.final resistance:50; IAF; ;</v>
      </c>
      <c r="G970" s="15">
        <f>IFERROR(__xludf.DUMMYFUNCTION("""COMPUTED_VALUE"""),6.0)</f>
        <v>6</v>
      </c>
      <c r="H970" s="15" t="str">
        <f>IFERROR(__xludf.DUMMYFUNCTION("""COMPUTED_VALUE"""),"Pieces")</f>
        <v>Pieces</v>
      </c>
      <c r="I970" s="15" t="str">
        <f>IFERROR(__xludf.DUMMYFUNCTION("""COMPUTED_VALUE"""),"Deliver")</f>
        <v>Deliver</v>
      </c>
      <c r="J970" s="15" t="str">
        <f>IFERROR(__xludf.DUMMYFUNCTION("""COMPUTED_VALUE"""),"-")</f>
        <v>-</v>
      </c>
      <c r="K970" s="15" t="str">
        <f>IFERROR(__xludf.DUMMYFUNCTION("""COMPUTED_VALUE"""),"-")</f>
        <v>-</v>
      </c>
      <c r="L970" s="15" t="str">
        <f>IFERROR(__xludf.DUMMYFUNCTION("""COMPUTED_VALUE"""),"Normal")</f>
        <v>Normal</v>
      </c>
      <c r="M970" s="18" t="s">
        <v>53</v>
      </c>
      <c r="N970" s="18" t="s">
        <v>54</v>
      </c>
    </row>
    <row r="971" hidden="1">
      <c r="A971" s="15" t="str">
        <f>IFERROR(__xludf.DUMMYFUNCTION("""COMPUTED_VALUE"""),"MFHRO0257")</f>
        <v>MFHRO0257</v>
      </c>
      <c r="B971" s="16">
        <f>IFERROR(__xludf.DUMMYFUNCTION("""COMPUTED_VALUE"""),46047.83255263889)</f>
        <v>46047.83255</v>
      </c>
      <c r="C971" s="17">
        <f>IFERROR(__xludf.DUMMYFUNCTION("""COMPUTED_VALUE"""),46047.878867453706)</f>
        <v>46047.87887</v>
      </c>
      <c r="D971" s="15" t="str">
        <f>IFERROR(__xludf.DUMMYFUNCTION("""COMPUTED_VALUE"""),"Hepa")</f>
        <v>Hepa</v>
      </c>
      <c r="E971" s="15" t="str">
        <f>IFERROR(__xludf.DUMMYFUNCTION("""COMPUTED_VALUE"""),"-")</f>
        <v>-</v>
      </c>
      <c r="F971" s="15" t="str">
        <f>IFERROR(__xludf.DUMMYFUNCTION("""COMPUTED_VALUE"""),"General - IAF HB Series (H13) Minimum eff.: 99.99% on 0.3 micron, Size: 305 x 305 x 292mm; IAF; -; 1 pc")</f>
        <v>General - IAF HB Series (H13) Minimum eff.: 99.99% on 0.3 micron, Size: 305 x 305 x 292mm; IAF; -; 1 pc</v>
      </c>
      <c r="G971" s="15">
        <f>IFERROR(__xludf.DUMMYFUNCTION("""COMPUTED_VALUE"""),1.0)</f>
        <v>1</v>
      </c>
      <c r="H971" s="15" t="str">
        <f>IFERROR(__xludf.DUMMYFUNCTION("""COMPUTED_VALUE"""),"Pieces")</f>
        <v>Pieces</v>
      </c>
      <c r="I971" s="15" t="str">
        <f>IFERROR(__xludf.DUMMYFUNCTION("""COMPUTED_VALUE"""),"Deliver")</f>
        <v>Deliver</v>
      </c>
      <c r="J971" s="15" t="str">
        <f>IFERROR(__xludf.DUMMYFUNCTION("""COMPUTED_VALUE"""),"-")</f>
        <v>-</v>
      </c>
      <c r="K971" s="15" t="str">
        <f>IFERROR(__xludf.DUMMYFUNCTION("""COMPUTED_VALUE"""),"-")</f>
        <v>-</v>
      </c>
      <c r="L971" s="15" t="str">
        <f>IFERROR(__xludf.DUMMYFUNCTION("""COMPUTED_VALUE"""),"Normal")</f>
        <v>Normal</v>
      </c>
      <c r="M971" s="18" t="s">
        <v>53</v>
      </c>
      <c r="N971" s="18" t="s">
        <v>54</v>
      </c>
    </row>
    <row r="972" hidden="1">
      <c r="A972" s="15" t="str">
        <f>IFERROR(__xludf.DUMMYFUNCTION("""COMPUTED_VALUE"""),"MFHRO0258")</f>
        <v>MFHRO0258</v>
      </c>
      <c r="B972" s="16">
        <f>IFERROR(__xludf.DUMMYFUNCTION("""COMPUTED_VALUE"""),46047.83255263889)</f>
        <v>46047.83255</v>
      </c>
      <c r="C972" s="17">
        <f>IFERROR(__xludf.DUMMYFUNCTION("""COMPUTED_VALUE"""),46047.87908853009)</f>
        <v>46047.87909</v>
      </c>
      <c r="D972" s="15" t="str">
        <f>IFERROR(__xludf.DUMMYFUNCTION("""COMPUTED_VALUE"""),"FD")</f>
        <v>FD</v>
      </c>
      <c r="E972" s="15" t="str">
        <f>IFERROR(__xludf.DUMMYFUNCTION("""COMPUTED_VALUE"""),"-")</f>
        <v>-</v>
      </c>
      <c r="F972" s="15" t="str">
        <f>IFERROR(__xludf.DUMMYFUNCTION("""COMPUTED_VALUE"""),"Freeze Dryer MBE1207 - Mechanical Positioner Switch 50-0406-12610-532 P/n: EB14-00072; BRAY; ;")</f>
        <v>Freeze Dryer MBE1207 - Mechanical Positioner Switch 50-0406-12610-532 P/n: EB14-00072; BRAY; ;</v>
      </c>
      <c r="G972" s="15">
        <f>IFERROR(__xludf.DUMMYFUNCTION("""COMPUTED_VALUE"""),2.0)</f>
        <v>2</v>
      </c>
      <c r="H972" s="15" t="str">
        <f>IFERROR(__xludf.DUMMYFUNCTION("""COMPUTED_VALUE"""),"Pieces")</f>
        <v>Pieces</v>
      </c>
      <c r="I972" s="15" t="str">
        <f>IFERROR(__xludf.DUMMYFUNCTION("""COMPUTED_VALUE"""),"Deliver")</f>
        <v>Deliver</v>
      </c>
      <c r="J972" s="15" t="str">
        <f>IFERROR(__xludf.DUMMYFUNCTION("""COMPUTED_VALUE"""),"-")</f>
        <v>-</v>
      </c>
      <c r="K972" s="15" t="str">
        <f>IFERROR(__xludf.DUMMYFUNCTION("""COMPUTED_VALUE"""),"-")</f>
        <v>-</v>
      </c>
      <c r="L972" s="15" t="str">
        <f>IFERROR(__xludf.DUMMYFUNCTION("""COMPUTED_VALUE"""),"Normal")</f>
        <v>Normal</v>
      </c>
      <c r="M972" s="18" t="s">
        <v>53</v>
      </c>
      <c r="N972" s="18" t="s">
        <v>54</v>
      </c>
    </row>
    <row r="973" hidden="1">
      <c r="A973" s="15" t="str">
        <f>IFERROR(__xludf.DUMMYFUNCTION("""COMPUTED_VALUE"""),"MFHRO0259")</f>
        <v>MFHRO0259</v>
      </c>
      <c r="B973" s="16">
        <f>IFERROR(__xludf.DUMMYFUNCTION("""COMPUTED_VALUE"""),46047.83255263889)</f>
        <v>46047.83255</v>
      </c>
      <c r="C973" s="17">
        <f>IFERROR(__xludf.DUMMYFUNCTION("""COMPUTED_VALUE"""),46047.87958181713)</f>
        <v>46047.87958</v>
      </c>
      <c r="D973" s="15" t="str">
        <f>IFERROR(__xludf.DUMMYFUNCTION("""COMPUTED_VALUE"""),"Washing")</f>
        <v>Washing</v>
      </c>
      <c r="E973" s="15" t="str">
        <f>IFERROR(__xludf.DUMMYFUNCTION("""COMPUTED_VALUE"""),"-")</f>
        <v>-</v>
      </c>
      <c r="F973" s="15" t="str">
        <f>IFERROR(__xludf.DUMMYFUNCTION("""COMPUTED_VALUE"""),"Washing RAR4 - Steel Ball / Gotri 2.5mm; -; -; 1 pck = 100pc")</f>
        <v>Washing RAR4 - Steel Ball / Gotri 2.5mm; -; -; 1 pck = 100pc</v>
      </c>
      <c r="G973" s="15">
        <f>IFERROR(__xludf.DUMMYFUNCTION("""COMPUTED_VALUE"""),1.0)</f>
        <v>1</v>
      </c>
      <c r="H973" s="15" t="str">
        <f>IFERROR(__xludf.DUMMYFUNCTION("""COMPUTED_VALUE"""),"Pack")</f>
        <v>Pack</v>
      </c>
      <c r="I973" s="15" t="str">
        <f>IFERROR(__xludf.DUMMYFUNCTION("""COMPUTED_VALUE"""),"Deliver")</f>
        <v>Deliver</v>
      </c>
      <c r="J973" s="15" t="str">
        <f>IFERROR(__xludf.DUMMYFUNCTION("""COMPUTED_VALUE"""),"-")</f>
        <v>-</v>
      </c>
      <c r="K973" s="15" t="str">
        <f>IFERROR(__xludf.DUMMYFUNCTION("""COMPUTED_VALUE"""),"-")</f>
        <v>-</v>
      </c>
      <c r="L973" s="15" t="str">
        <f>IFERROR(__xludf.DUMMYFUNCTION("""COMPUTED_VALUE"""),"Normal")</f>
        <v>Normal</v>
      </c>
      <c r="M973" s="18" t="s">
        <v>53</v>
      </c>
      <c r="N973" s="18" t="s">
        <v>54</v>
      </c>
    </row>
    <row r="974" hidden="1">
      <c r="A974" s="15" t="str">
        <f>IFERROR(__xludf.DUMMYFUNCTION("""COMPUTED_VALUE"""),"MFHRO0260")</f>
        <v>MFHRO0260</v>
      </c>
      <c r="B974" s="16">
        <f>IFERROR(__xludf.DUMMYFUNCTION("""COMPUTED_VALUE"""),46047.83255263889)</f>
        <v>46047.83255</v>
      </c>
      <c r="C974" s="17">
        <f>IFERROR(__xludf.DUMMYFUNCTION("""COMPUTED_VALUE"""),46047.87972491898)</f>
        <v>46047.87972</v>
      </c>
      <c r="D974" s="15" t="str">
        <f>IFERROR(__xludf.DUMMYFUNCTION("""COMPUTED_VALUE"""),"Filling")</f>
        <v>Filling</v>
      </c>
      <c r="E974" s="15" t="str">
        <f>IFERROR(__xludf.DUMMYFUNCTION("""COMPUTED_VALUE"""),"-")</f>
        <v>-</v>
      </c>
      <c r="F974" s="15" t="str">
        <f>IFERROR(__xludf.DUMMYFUNCTION("""COMPUTED_VALUE"""),"Filling VFM100 - PROXIMITY SENSOR, DATALOGIC  M12 NON FLUSH SHORT PNP NO IS-12-D1-S2; ; 204170; 1 Pc")</f>
        <v>Filling VFM100 - PROXIMITY SENSOR, DATALOGIC  M12 NON FLUSH SHORT PNP NO IS-12-D1-S2; ; 204170; 1 Pc</v>
      </c>
      <c r="G974" s="15">
        <f>IFERROR(__xludf.DUMMYFUNCTION("""COMPUTED_VALUE"""),1.0)</f>
        <v>1</v>
      </c>
      <c r="H974" s="15" t="str">
        <f>IFERROR(__xludf.DUMMYFUNCTION("""COMPUTED_VALUE"""),"Pieces")</f>
        <v>Pieces</v>
      </c>
      <c r="I974" s="15" t="str">
        <f>IFERROR(__xludf.DUMMYFUNCTION("""COMPUTED_VALUE"""),"Deliver")</f>
        <v>Deliver</v>
      </c>
      <c r="J974" s="15" t="str">
        <f>IFERROR(__xludf.DUMMYFUNCTION("""COMPUTED_VALUE"""),"121703490 - APPROVED")</f>
        <v>121703490 - APPROVED</v>
      </c>
      <c r="K974" s="15" t="str">
        <f>IFERROR(__xludf.DUMMYFUNCTION("""COMPUTED_VALUE"""),"GL2511060")</f>
        <v>GL2511060</v>
      </c>
      <c r="L974" s="15" t="str">
        <f>IFERROR(__xludf.DUMMYFUNCTION("""COMPUTED_VALUE"""),"Normal")</f>
        <v>Normal</v>
      </c>
      <c r="M974" s="18" t="s">
        <v>53</v>
      </c>
      <c r="N974" s="18" t="s">
        <v>54</v>
      </c>
    </row>
    <row r="975" hidden="1">
      <c r="A975" s="15" t="str">
        <f>IFERROR(__xludf.DUMMYFUNCTION("""COMPUTED_VALUE"""),"MFHRO0261")</f>
        <v>MFHRO0261</v>
      </c>
      <c r="B975" s="16">
        <f>IFERROR(__xludf.DUMMYFUNCTION("""COMPUTED_VALUE"""),46047.83255263889)</f>
        <v>46047.83255</v>
      </c>
      <c r="C975" s="17">
        <f>IFERROR(__xludf.DUMMYFUNCTION("""COMPUTED_VALUE"""),46047.879826250006)</f>
        <v>46047.87983</v>
      </c>
      <c r="D975" s="15" t="str">
        <f>IFERROR(__xludf.DUMMYFUNCTION("""COMPUTED_VALUE"""),"Filling")</f>
        <v>Filling</v>
      </c>
      <c r="E975" s="15" t="str">
        <f>IFERROR(__xludf.DUMMYFUNCTION("""COMPUTED_VALUE"""),"-")</f>
        <v>-</v>
      </c>
      <c r="F975" s="15" t="str">
        <f>IFERROR(__xludf.DUMMYFUNCTION("""COMPUTED_VALUE"""),"Filling VFM100 - PROXIMITY SENSOR, DATALOGIC  M8 FLUSH 2X PNP NC IS-08-G2-S1; ; 204172; 1 Pc")</f>
        <v>Filling VFM100 - PROXIMITY SENSOR, DATALOGIC  M8 FLUSH 2X PNP NC IS-08-G2-S1; ; 204172; 1 Pc</v>
      </c>
      <c r="G975" s="15">
        <f>IFERROR(__xludf.DUMMYFUNCTION("""COMPUTED_VALUE"""),1.0)</f>
        <v>1</v>
      </c>
      <c r="H975" s="15" t="str">
        <f>IFERROR(__xludf.DUMMYFUNCTION("""COMPUTED_VALUE"""),"Pieces")</f>
        <v>Pieces</v>
      </c>
      <c r="I975" s="15" t="str">
        <f>IFERROR(__xludf.DUMMYFUNCTION("""COMPUTED_VALUE"""),"Deliver")</f>
        <v>Deliver</v>
      </c>
      <c r="J975" s="15" t="str">
        <f>IFERROR(__xludf.DUMMYFUNCTION("""COMPUTED_VALUE"""),"121703490 - APPROVED")</f>
        <v>121703490 - APPROVED</v>
      </c>
      <c r="K975" s="15" t="str">
        <f>IFERROR(__xludf.DUMMYFUNCTION("""COMPUTED_VALUE"""),"GL2511060")</f>
        <v>GL2511060</v>
      </c>
      <c r="L975" s="15" t="str">
        <f>IFERROR(__xludf.DUMMYFUNCTION("""COMPUTED_VALUE"""),"Normal")</f>
        <v>Normal</v>
      </c>
      <c r="M975" s="18" t="s">
        <v>53</v>
      </c>
      <c r="N975" s="18" t="s">
        <v>54</v>
      </c>
    </row>
    <row r="976" hidden="1">
      <c r="A976" s="15" t="str">
        <f>IFERROR(__xludf.DUMMYFUNCTION("""COMPUTED_VALUE"""),"MFHRO0262")</f>
        <v>MFHRO0262</v>
      </c>
      <c r="B976" s="16">
        <f>IFERROR(__xludf.DUMMYFUNCTION("""COMPUTED_VALUE"""),46047.83255263889)</f>
        <v>46047.83255</v>
      </c>
      <c r="C976" s="17">
        <f>IFERROR(__xludf.DUMMYFUNCTION("""COMPUTED_VALUE"""),46047.88061021991)</f>
        <v>46047.88061</v>
      </c>
      <c r="D976" s="15" t="str">
        <f>IFERROR(__xludf.DUMMYFUNCTION("""COMPUTED_VALUE"""),"cRABS")</f>
        <v>cRABS</v>
      </c>
      <c r="E976" s="15" t="str">
        <f>IFERROR(__xludf.DUMMYFUNCTION("""COMPUTED_VALUE"""),"-")</f>
        <v>-</v>
      </c>
      <c r="F976" s="15" t="str">
        <f>IFERROR(__xludf.DUMMYFUNCTION("""COMPUTED_VALUE"""),"cRABS Z064CR - SENSOR PROXIMITY M12 NON FLUSH SHORT PNP NO ; DATA LOGIC; ; 204171; 1 Pc")</f>
        <v>cRABS Z064CR - SENSOR PROXIMITY M12 NON FLUSH SHORT PNP NO ; DATA LOGIC; ; 204171; 1 Pc</v>
      </c>
      <c r="G976" s="15">
        <f>IFERROR(__xludf.DUMMYFUNCTION("""COMPUTED_VALUE"""),1.0)</f>
        <v>1</v>
      </c>
      <c r="H976" s="15" t="str">
        <f>IFERROR(__xludf.DUMMYFUNCTION("""COMPUTED_VALUE"""),"Pieces")</f>
        <v>Pieces</v>
      </c>
      <c r="I976" s="15" t="str">
        <f>IFERROR(__xludf.DUMMYFUNCTION("""COMPUTED_VALUE"""),"Deliver")</f>
        <v>Deliver</v>
      </c>
      <c r="J976" s="15" t="str">
        <f>IFERROR(__xludf.DUMMYFUNCTION("""COMPUTED_VALUE"""),"121703490 - APPROVED")</f>
        <v>121703490 - APPROVED</v>
      </c>
      <c r="K976" s="15" t="str">
        <f>IFERROR(__xludf.DUMMYFUNCTION("""COMPUTED_VALUE"""),"GL2511060")</f>
        <v>GL2511060</v>
      </c>
      <c r="L976" s="15" t="str">
        <f>IFERROR(__xludf.DUMMYFUNCTION("""COMPUTED_VALUE"""),"Normal")</f>
        <v>Normal</v>
      </c>
      <c r="M976" s="18" t="s">
        <v>53</v>
      </c>
      <c r="N976" s="18" t="s">
        <v>54</v>
      </c>
    </row>
    <row r="977" hidden="1">
      <c r="A977" s="15" t="str">
        <f>IFERROR(__xludf.DUMMYFUNCTION("""COMPUTED_VALUE"""),"MFHRO0263")</f>
        <v>MFHRO0263</v>
      </c>
      <c r="B977" s="16">
        <f>IFERROR(__xludf.DUMMYFUNCTION("""COMPUTED_VALUE"""),46047.83255263889)</f>
        <v>46047.83255</v>
      </c>
      <c r="C977" s="17">
        <f>IFERROR(__xludf.DUMMYFUNCTION("""COMPUTED_VALUE"""),46047.88071666667)</f>
        <v>46047.88072</v>
      </c>
      <c r="D977" s="15" t="str">
        <f>IFERROR(__xludf.DUMMYFUNCTION("""COMPUTED_VALUE"""),"EDM")</f>
        <v>EDM</v>
      </c>
      <c r="E977" s="15" t="str">
        <f>IFERROR(__xludf.DUMMYFUNCTION("""COMPUTED_VALUE"""),"-")</f>
        <v>-</v>
      </c>
      <c r="F977" s="15" t="str">
        <f>IFERROR(__xludf.DUMMYFUNCTION("""COMPUTED_VALUE"""),"EDM EDM1 - C.A. BLOWING VALVE ACTUATOR, Univer, 6869, CL-302A, Valve CL 1/8"" 3 ways 2 positions, N.C; ; 6869; 1 Pc")</f>
        <v>EDM EDM1 - C.A. BLOWING VALVE ACTUATOR, Univer, 6869, CL-302A, Valve CL 1/8" 3 ways 2 positions, N.C; ; 6869; 1 Pc</v>
      </c>
      <c r="G977" s="15">
        <f>IFERROR(__xludf.DUMMYFUNCTION("""COMPUTED_VALUE"""),2.0)</f>
        <v>2</v>
      </c>
      <c r="H977" s="15" t="str">
        <f>IFERROR(__xludf.DUMMYFUNCTION("""COMPUTED_VALUE"""),"Pieces")</f>
        <v>Pieces</v>
      </c>
      <c r="I977" s="15" t="str">
        <f>IFERROR(__xludf.DUMMYFUNCTION("""COMPUTED_VALUE"""),"Deliver")</f>
        <v>Deliver</v>
      </c>
      <c r="J977" s="15" t="str">
        <f>IFERROR(__xludf.DUMMYFUNCTION("""COMPUTED_VALUE"""),"121703490 - APPROVED")</f>
        <v>121703490 - APPROVED</v>
      </c>
      <c r="K977" s="15" t="str">
        <f>IFERROR(__xludf.DUMMYFUNCTION("""COMPUTED_VALUE"""),"GL2511060")</f>
        <v>GL2511060</v>
      </c>
      <c r="L977" s="15" t="str">
        <f>IFERROR(__xludf.DUMMYFUNCTION("""COMPUTED_VALUE"""),"Normal")</f>
        <v>Normal</v>
      </c>
      <c r="M977" s="18" t="s">
        <v>53</v>
      </c>
      <c r="N977" s="18" t="s">
        <v>54</v>
      </c>
    </row>
    <row r="978" hidden="1">
      <c r="A978" s="15" t="str">
        <f>IFERROR(__xludf.DUMMYFUNCTION("""COMPUTED_VALUE"""),"MFHRO0264")</f>
        <v>MFHRO0264</v>
      </c>
      <c r="B978" s="16">
        <f>IFERROR(__xludf.DUMMYFUNCTION("""COMPUTED_VALUE"""),46047.83255263889)</f>
        <v>46047.83255</v>
      </c>
      <c r="C978" s="17">
        <f>IFERROR(__xludf.DUMMYFUNCTION("""COMPUTED_VALUE"""),46047.88087262731)</f>
        <v>46047.88087</v>
      </c>
      <c r="D978" s="15" t="str">
        <f>IFERROR(__xludf.DUMMYFUNCTION("""COMPUTED_VALUE"""),"Filling")</f>
        <v>Filling</v>
      </c>
      <c r="E978" s="15" t="str">
        <f>IFERROR(__xludf.DUMMYFUNCTION("""COMPUTED_VALUE"""),"-")</f>
        <v>-</v>
      </c>
      <c r="F978" s="15" t="str">
        <f>IFERROR(__xludf.DUMMYFUNCTION("""COMPUTED_VALUE"""),"Filling VFM100 - TEMPERATURE PROBE ;  MODEL PT100 SINGLE ELEMENT, 3 WIRES, DIAMETER 3MM, LENGTH 250M; Jumo; 29274; 1 Pc")</f>
        <v>Filling VFM100 - TEMPERATURE PROBE ;  MODEL PT100 SINGLE ELEMENT, 3 WIRES, DIAMETER 3MM, LENGTH 250M; Jumo; 29274; 1 Pc</v>
      </c>
      <c r="G978" s="15">
        <f>IFERROR(__xludf.DUMMYFUNCTION("""COMPUTED_VALUE"""),1.0)</f>
        <v>1</v>
      </c>
      <c r="H978" s="15" t="str">
        <f>IFERROR(__xludf.DUMMYFUNCTION("""COMPUTED_VALUE"""),"Pieces")</f>
        <v>Pieces</v>
      </c>
      <c r="I978" s="15" t="str">
        <f>IFERROR(__xludf.DUMMYFUNCTION("""COMPUTED_VALUE"""),"Deliver")</f>
        <v>Deliver</v>
      </c>
      <c r="J978" s="15" t="str">
        <f>IFERROR(__xludf.DUMMYFUNCTION("""COMPUTED_VALUE"""),"121703490 - APPROVED")</f>
        <v>121703490 - APPROVED</v>
      </c>
      <c r="K978" s="15" t="str">
        <f>IFERROR(__xludf.DUMMYFUNCTION("""COMPUTED_VALUE"""),"GL2511060")</f>
        <v>GL2511060</v>
      </c>
      <c r="L978" s="15" t="str">
        <f>IFERROR(__xludf.DUMMYFUNCTION("""COMPUTED_VALUE"""),"Normal")</f>
        <v>Normal</v>
      </c>
      <c r="M978" s="18" t="s">
        <v>53</v>
      </c>
      <c r="N978" s="18" t="s">
        <v>54</v>
      </c>
    </row>
    <row r="979" hidden="1">
      <c r="A979" s="15" t="str">
        <f>IFERROR(__xludf.DUMMYFUNCTION("""COMPUTED_VALUE"""),"MFHRO0265")</f>
        <v>MFHRO0265</v>
      </c>
      <c r="B979" s="16">
        <f>IFERROR(__xludf.DUMMYFUNCTION("""COMPUTED_VALUE"""),46047.83255263889)</f>
        <v>46047.83255</v>
      </c>
      <c r="C979" s="17">
        <f>IFERROR(__xludf.DUMMYFUNCTION("""COMPUTED_VALUE"""),46047.880961030096)</f>
        <v>46047.88096</v>
      </c>
      <c r="D979" s="15" t="str">
        <f>IFERROR(__xludf.DUMMYFUNCTION("""COMPUTED_VALUE"""),"Filling")</f>
        <v>Filling</v>
      </c>
      <c r="E979" s="15" t="str">
        <f>IFERROR(__xludf.DUMMYFUNCTION("""COMPUTED_VALUE"""),"-")</f>
        <v>-</v>
      </c>
      <c r="F979" s="15" t="str">
        <f>IFERROR(__xludf.DUMMYFUNCTION("""COMPUTED_VALUE"""),"Filling VFM100 - SENSOR NO 10-30 VDC, 200MA; NITROGEN POST-GAS  FLOW CHECK SENSOR; ; 202196; 1 Pc")</f>
        <v>Filling VFM100 - SENSOR NO 10-30 VDC, 200MA; NITROGEN POST-GAS  FLOW CHECK SENSOR; ; 202196; 1 Pc</v>
      </c>
      <c r="G979" s="15">
        <f>IFERROR(__xludf.DUMMYFUNCTION("""COMPUTED_VALUE"""),1.0)</f>
        <v>1</v>
      </c>
      <c r="H979" s="15" t="str">
        <f>IFERROR(__xludf.DUMMYFUNCTION("""COMPUTED_VALUE"""),"Pieces")</f>
        <v>Pieces</v>
      </c>
      <c r="I979" s="15" t="str">
        <f>IFERROR(__xludf.DUMMYFUNCTION("""COMPUTED_VALUE"""),"Deliver")</f>
        <v>Deliver</v>
      </c>
      <c r="J979" s="15" t="str">
        <f>IFERROR(__xludf.DUMMYFUNCTION("""COMPUTED_VALUE"""),"121703490 - APPROVED")</f>
        <v>121703490 - APPROVED</v>
      </c>
      <c r="K979" s="15" t="str">
        <f>IFERROR(__xludf.DUMMYFUNCTION("""COMPUTED_VALUE"""),"GL2511060")</f>
        <v>GL2511060</v>
      </c>
      <c r="L979" s="15" t="str">
        <f>IFERROR(__xludf.DUMMYFUNCTION("""COMPUTED_VALUE"""),"Normal")</f>
        <v>Normal</v>
      </c>
      <c r="M979" s="18" t="s">
        <v>53</v>
      </c>
      <c r="N979" s="18" t="s">
        <v>54</v>
      </c>
    </row>
    <row r="980" hidden="1">
      <c r="A980" s="15" t="str">
        <f>IFERROR(__xludf.DUMMYFUNCTION("""COMPUTED_VALUE"""),"MFHRO0266")</f>
        <v>MFHRO0266</v>
      </c>
      <c r="B980" s="16">
        <f>IFERROR(__xludf.DUMMYFUNCTION("""COMPUTED_VALUE"""),46047.83255263889)</f>
        <v>46047.83255</v>
      </c>
      <c r="C980" s="17">
        <f>IFERROR(__xludf.DUMMYFUNCTION("""COMPUTED_VALUE"""),46047.88105138889)</f>
        <v>46047.88105</v>
      </c>
      <c r="D980" s="15" t="str">
        <f>IFERROR(__xludf.DUMMYFUNCTION("""COMPUTED_VALUE"""),"Filling")</f>
        <v>Filling</v>
      </c>
      <c r="E980" s="15" t="str">
        <f>IFERROR(__xludf.DUMMYFUNCTION("""COMPUTED_VALUE"""),"-")</f>
        <v>-</v>
      </c>
      <c r="F980" s="15" t="str">
        <f>IFERROR(__xludf.DUMMYFUNCTION("""COMPUTED_VALUE"""),"Filling VFM100 - VACUUM LEVEL SWITCH ; DIGITAL VACUUM LEVEL SWITCH Code: 120511; Vuototecnica; 202545; 1 Pc")</f>
        <v>Filling VFM100 - VACUUM LEVEL SWITCH ; DIGITAL VACUUM LEVEL SWITCH Code: 120511; Vuototecnica; 202545; 1 Pc</v>
      </c>
      <c r="G980" s="15">
        <f>IFERROR(__xludf.DUMMYFUNCTION("""COMPUTED_VALUE"""),1.0)</f>
        <v>1</v>
      </c>
      <c r="H980" s="15" t="str">
        <f>IFERROR(__xludf.DUMMYFUNCTION("""COMPUTED_VALUE"""),"Pieces")</f>
        <v>Pieces</v>
      </c>
      <c r="I980" s="15" t="str">
        <f>IFERROR(__xludf.DUMMYFUNCTION("""COMPUTED_VALUE"""),"Deliver")</f>
        <v>Deliver</v>
      </c>
      <c r="J980" s="15" t="str">
        <f>IFERROR(__xludf.DUMMYFUNCTION("""COMPUTED_VALUE"""),"121703490 - APPROVED")</f>
        <v>121703490 - APPROVED</v>
      </c>
      <c r="K980" s="15" t="str">
        <f>IFERROR(__xludf.DUMMYFUNCTION("""COMPUTED_VALUE"""),"GL2511060")</f>
        <v>GL2511060</v>
      </c>
      <c r="L980" s="15" t="str">
        <f>IFERROR(__xludf.DUMMYFUNCTION("""COMPUTED_VALUE"""),"Normal")</f>
        <v>Normal</v>
      </c>
      <c r="M980" s="18" t="s">
        <v>53</v>
      </c>
      <c r="N980" s="18" t="s">
        <v>54</v>
      </c>
    </row>
    <row r="981" hidden="1">
      <c r="A981" s="15" t="str">
        <f>IFERROR(__xludf.DUMMYFUNCTION("""COMPUTED_VALUE"""),"MFHRO0267")</f>
        <v>MFHRO0267</v>
      </c>
      <c r="B981" s="16">
        <f>IFERROR(__xludf.DUMMYFUNCTION("""COMPUTED_VALUE"""),46047.83255263889)</f>
        <v>46047.83255</v>
      </c>
      <c r="C981" s="17">
        <f>IFERROR(__xludf.DUMMYFUNCTION("""COMPUTED_VALUE"""),46047.881149004636)</f>
        <v>46047.88115</v>
      </c>
      <c r="D981" s="15" t="str">
        <f>IFERROR(__xludf.DUMMYFUNCTION("""COMPUTED_VALUE"""),"Steriline")</f>
        <v>Steriline</v>
      </c>
      <c r="E981" s="15" t="str">
        <f>IFERROR(__xludf.DUMMYFUNCTION("""COMPUTED_VALUE"""),"-")</f>
        <v>-</v>
      </c>
      <c r="F981" s="15" t="str">
        <f>IFERROR(__xludf.DUMMYFUNCTION("""COMPUTED_VALUE"""),"Silicon suction cup 01.11.16 PN: 202082; ; ;")</f>
        <v>Silicon suction cup 01.11.16 PN: 202082; ; ;</v>
      </c>
      <c r="G981" s="15">
        <f>IFERROR(__xludf.DUMMYFUNCTION("""COMPUTED_VALUE"""),100.0)</f>
        <v>100</v>
      </c>
      <c r="H981" s="15" t="str">
        <f>IFERROR(__xludf.DUMMYFUNCTION("""COMPUTED_VALUE"""),"Pieces")</f>
        <v>Pieces</v>
      </c>
      <c r="I981" s="15" t="str">
        <f>IFERROR(__xludf.DUMMYFUNCTION("""COMPUTED_VALUE"""),"Deliver")</f>
        <v>Deliver</v>
      </c>
      <c r="J981" s="15" t="str">
        <f>IFERROR(__xludf.DUMMYFUNCTION("""COMPUTED_VALUE"""),"121703490 - APPROVED")</f>
        <v>121703490 - APPROVED</v>
      </c>
      <c r="K981" s="15" t="str">
        <f>IFERROR(__xludf.DUMMYFUNCTION("""COMPUTED_VALUE"""),"GL2511060")</f>
        <v>GL2511060</v>
      </c>
      <c r="L981" s="15" t="str">
        <f>IFERROR(__xludf.DUMMYFUNCTION("""COMPUTED_VALUE"""),"Normal")</f>
        <v>Normal</v>
      </c>
      <c r="M981" s="18" t="s">
        <v>53</v>
      </c>
      <c r="N981" s="18" t="s">
        <v>54</v>
      </c>
    </row>
    <row r="982" hidden="1">
      <c r="A982" s="15" t="str">
        <f>IFERROR(__xludf.DUMMYFUNCTION("""COMPUTED_VALUE"""),"MFHRO0268")</f>
        <v>MFHRO0268</v>
      </c>
      <c r="B982" s="16">
        <f>IFERROR(__xludf.DUMMYFUNCTION("""COMPUTED_VALUE"""),46047.83255263889)</f>
        <v>46047.83255</v>
      </c>
      <c r="C982" s="17">
        <f>IFERROR(__xludf.DUMMYFUNCTION("""COMPUTED_VALUE"""),46047.88123400463)</f>
        <v>46047.88123</v>
      </c>
      <c r="D982" s="15" t="str">
        <f>IFERROR(__xludf.DUMMYFUNCTION("""COMPUTED_VALUE"""),"EDM")</f>
        <v>EDM</v>
      </c>
      <c r="E982" s="15" t="str">
        <f>IFERROR(__xludf.DUMMYFUNCTION("""COMPUTED_VALUE"""),"-")</f>
        <v>-</v>
      </c>
      <c r="F982" s="15" t="str">
        <f>IFERROR(__xludf.DUMMYFUNCTION("""COMPUTED_VALUE"""),"EDM EDM1 - Pressure transmitter -100 / +100Pa output 4-20 mA 24VDC Precision: +-1% ; Model: PIZ (2 w; ; 16456; 1 Pc")</f>
        <v>EDM EDM1 - Pressure transmitter -100 / +100Pa output 4-20 mA 24VDC Precision: +-1% ; Model: PIZ (2 w; ; 16456; 1 Pc</v>
      </c>
      <c r="G982" s="15">
        <f>IFERROR(__xludf.DUMMYFUNCTION("""COMPUTED_VALUE"""),1.0)</f>
        <v>1</v>
      </c>
      <c r="H982" s="15" t="str">
        <f>IFERROR(__xludf.DUMMYFUNCTION("""COMPUTED_VALUE"""),"Pieces")</f>
        <v>Pieces</v>
      </c>
      <c r="I982" s="15" t="str">
        <f>IFERROR(__xludf.DUMMYFUNCTION("""COMPUTED_VALUE"""),"Deliver")</f>
        <v>Deliver</v>
      </c>
      <c r="J982" s="15" t="str">
        <f>IFERROR(__xludf.DUMMYFUNCTION("""COMPUTED_VALUE"""),"121703490 - APPROVED")</f>
        <v>121703490 - APPROVED</v>
      </c>
      <c r="K982" s="15" t="str">
        <f>IFERROR(__xludf.DUMMYFUNCTION("""COMPUTED_VALUE"""),"GL2511060")</f>
        <v>GL2511060</v>
      </c>
      <c r="L982" s="15" t="str">
        <f>IFERROR(__xludf.DUMMYFUNCTION("""COMPUTED_VALUE"""),"Normal")</f>
        <v>Normal</v>
      </c>
      <c r="M982" s="18" t="s">
        <v>53</v>
      </c>
      <c r="N982" s="18" t="s">
        <v>54</v>
      </c>
    </row>
    <row r="983" hidden="1">
      <c r="A983" s="15" t="str">
        <f>IFERROR(__xludf.DUMMYFUNCTION("""COMPUTED_VALUE"""),"MFHRO0269")</f>
        <v>MFHRO0269</v>
      </c>
      <c r="B983" s="16">
        <f>IFERROR(__xludf.DUMMYFUNCTION("""COMPUTED_VALUE"""),46047.83255263889)</f>
        <v>46047.83255</v>
      </c>
      <c r="C983" s="17">
        <f>IFERROR(__xludf.DUMMYFUNCTION("""COMPUTED_VALUE"""),46047.88131636574)</f>
        <v>46047.88132</v>
      </c>
      <c r="D983" s="15" t="str">
        <f>IFERROR(__xludf.DUMMYFUNCTION("""COMPUTED_VALUE"""),"FD")</f>
        <v>FD</v>
      </c>
      <c r="E983" s="15" t="str">
        <f>IFERROR(__xludf.DUMMYFUNCTION("""COMPUTED_VALUE"""),"-")</f>
        <v>-</v>
      </c>
      <c r="F983" s="15" t="str">
        <f>IFERROR(__xludf.DUMMYFUNCTION("""COMPUTED_VALUE"""),"General - Spare Working Diaphragm EPDM DN 10-20mm Type 612,625; Gemu; 600 10M 17; 1 Pc")</f>
        <v>General - Spare Working Diaphragm EPDM DN 10-20mm Type 612,625; Gemu; 600 10M 17; 1 Pc</v>
      </c>
      <c r="G983" s="15">
        <f>IFERROR(__xludf.DUMMYFUNCTION("""COMPUTED_VALUE"""),3.0)</f>
        <v>3</v>
      </c>
      <c r="H983" s="15" t="str">
        <f>IFERROR(__xludf.DUMMYFUNCTION("""COMPUTED_VALUE"""),"Pieces")</f>
        <v>Pieces</v>
      </c>
      <c r="I983" s="15" t="str">
        <f>IFERROR(__xludf.DUMMYFUNCTION("""COMPUTED_VALUE"""),"Deliver")</f>
        <v>Deliver</v>
      </c>
      <c r="J983" s="15" t="str">
        <f>IFERROR(__xludf.DUMMYFUNCTION("""COMPUTED_VALUE"""),"-")</f>
        <v>-</v>
      </c>
      <c r="K983" s="15" t="str">
        <f>IFERROR(__xludf.DUMMYFUNCTION("""COMPUTED_VALUE"""),"-")</f>
        <v>-</v>
      </c>
      <c r="L983" s="15" t="str">
        <f>IFERROR(__xludf.DUMMYFUNCTION("""COMPUTED_VALUE"""),"Normal")</f>
        <v>Normal</v>
      </c>
      <c r="M983" s="18" t="s">
        <v>53</v>
      </c>
      <c r="N983" s="18" t="s">
        <v>54</v>
      </c>
    </row>
    <row r="984" hidden="1">
      <c r="A984" s="15" t="str">
        <f>IFERROR(__xludf.DUMMYFUNCTION("""COMPUTED_VALUE"""),"MFHRO0270")</f>
        <v>MFHRO0270</v>
      </c>
      <c r="B984" s="16">
        <f>IFERROR(__xludf.DUMMYFUNCTION("""COMPUTED_VALUE"""),46047.83255263889)</f>
        <v>46047.83255</v>
      </c>
      <c r="C984" s="17">
        <f>IFERROR(__xludf.DUMMYFUNCTION("""COMPUTED_VALUE"""),46047.881404571766)</f>
        <v>46047.8814</v>
      </c>
      <c r="D984" s="15" t="str">
        <f>IFERROR(__xludf.DUMMYFUNCTION("""COMPUTED_VALUE"""),"Filling")</f>
        <v>Filling</v>
      </c>
      <c r="E984" s="15" t="str">
        <f>IFERROR(__xludf.DUMMYFUNCTION("""COMPUTED_VALUE"""),"-")</f>
        <v>-</v>
      </c>
      <c r="F984" s="15" t="str">
        <f>IFERROR(__xludf.DUMMYFUNCTION("""COMPUTED_VALUE"""),"Filling VFM100 - Vacuump pump Vane balde; VT 4.16; Becker; 90134700007; 1 Pack")</f>
        <v>Filling VFM100 - Vacuump pump Vane balde; VT 4.16; Becker; 90134700007; 1 Pack</v>
      </c>
      <c r="G984" s="15">
        <f>IFERROR(__xludf.DUMMYFUNCTION("""COMPUTED_VALUE"""),1.0)</f>
        <v>1</v>
      </c>
      <c r="H984" s="15" t="str">
        <f>IFERROR(__xludf.DUMMYFUNCTION("""COMPUTED_VALUE"""),"Pack")</f>
        <v>Pack</v>
      </c>
      <c r="I984" s="15" t="str">
        <f>IFERROR(__xludf.DUMMYFUNCTION("""COMPUTED_VALUE"""),"Deliver")</f>
        <v>Deliver</v>
      </c>
      <c r="J984" s="15" t="str">
        <f>IFERROR(__xludf.DUMMYFUNCTION("""COMPUTED_VALUE"""),"-")</f>
        <v>-</v>
      </c>
      <c r="K984" s="15" t="str">
        <f>IFERROR(__xludf.DUMMYFUNCTION("""COMPUTED_VALUE"""),"-")</f>
        <v>-</v>
      </c>
      <c r="L984" s="15" t="str">
        <f>IFERROR(__xludf.DUMMYFUNCTION("""COMPUTED_VALUE"""),"Normal")</f>
        <v>Normal</v>
      </c>
      <c r="M984" s="18" t="s">
        <v>53</v>
      </c>
      <c r="N984" s="18" t="s">
        <v>54</v>
      </c>
    </row>
    <row r="985" hidden="1">
      <c r="A985" s="15" t="str">
        <f>IFERROR(__xludf.DUMMYFUNCTION("""COMPUTED_VALUE"""),"MFHRO0272")</f>
        <v>MFHRO0272</v>
      </c>
      <c r="B985" s="16">
        <f>IFERROR(__xludf.DUMMYFUNCTION("""COMPUTED_VALUE"""),46047.83255263889)</f>
        <v>46047.83255</v>
      </c>
      <c r="C985" s="17">
        <f>IFERROR(__xludf.DUMMYFUNCTION("""COMPUTED_VALUE"""),46047.88253253472)</f>
        <v>46047.88253</v>
      </c>
      <c r="D985" s="15" t="str">
        <f>IFERROR(__xludf.DUMMYFUNCTION("""COMPUTED_VALUE"""),"Lab")</f>
        <v>Lab</v>
      </c>
      <c r="E985" s="15" t="str">
        <f>IFERROR(__xludf.DUMMYFUNCTION("""COMPUTED_VALUE"""),"-")</f>
        <v>-</v>
      </c>
      <c r="F985" s="15" t="str">
        <f>IFERROR(__xludf.DUMMYFUNCTION("""COMPUTED_VALUE"""),"Electrode holder uPlace; Mettler Toledo; 30019823;")</f>
        <v>Electrode holder uPlace; Mettler Toledo; 30019823;</v>
      </c>
      <c r="G985" s="15">
        <f>IFERROR(__xludf.DUMMYFUNCTION("""COMPUTED_VALUE"""),1.0)</f>
        <v>1</v>
      </c>
      <c r="H985" s="15" t="str">
        <f>IFERROR(__xludf.DUMMYFUNCTION("""COMPUTED_VALUE"""),"Unit")</f>
        <v>Unit</v>
      </c>
      <c r="I985" s="15" t="str">
        <f>IFERROR(__xludf.DUMMYFUNCTION("""COMPUTED_VALUE"""),"Deliver")</f>
        <v>Deliver</v>
      </c>
      <c r="J985" s="15" t="str">
        <f>IFERROR(__xludf.DUMMYFUNCTION("""COMPUTED_VALUE"""),"-")</f>
        <v>-</v>
      </c>
      <c r="K985" s="15" t="str">
        <f>IFERROR(__xludf.DUMMYFUNCTION("""COMPUTED_VALUE"""),"-")</f>
        <v>-</v>
      </c>
      <c r="L985" s="15" t="str">
        <f>IFERROR(__xludf.DUMMYFUNCTION("""COMPUTED_VALUE"""),"Normal")</f>
        <v>Normal</v>
      </c>
      <c r="M985" s="18" t="s">
        <v>53</v>
      </c>
      <c r="N985" s="18" t="s">
        <v>54</v>
      </c>
    </row>
    <row r="986" hidden="1">
      <c r="A986" s="15" t="str">
        <f>IFERROR(__xludf.DUMMYFUNCTION("""COMPUTED_VALUE"""),"MFHRO0273")</f>
        <v>MFHRO0273</v>
      </c>
      <c r="B986" s="16">
        <f>IFERROR(__xludf.DUMMYFUNCTION("""COMPUTED_VALUE"""),46047.83255263889)</f>
        <v>46047.83255</v>
      </c>
      <c r="C986" s="17">
        <f>IFERROR(__xludf.DUMMYFUNCTION("""COMPUTED_VALUE"""),46047.88265777777)</f>
        <v>46047.88266</v>
      </c>
      <c r="D986" s="15" t="str">
        <f>IFERROR(__xludf.DUMMYFUNCTION("""COMPUTED_VALUE"""),"AHU")</f>
        <v>AHU</v>
      </c>
      <c r="E986" s="15" t="str">
        <f>IFERROR(__xludf.DUMMYFUNCTION("""COMPUTED_VALUE"""),"-")</f>
        <v>-</v>
      </c>
      <c r="F986" s="15" t="str">
        <f>IFERROR(__xludf.DUMMYFUNCTION("""COMPUTED_VALUE"""),"General - Replacement VVF42,80-80C 2-port seat Valve, Flanged, PN10, DN80, kvs 80 (Body Valve); Siemens; -; 1 pc")</f>
        <v>General - Replacement VVF42,80-80C 2-port seat Valve, Flanged, PN10, DN80, kvs 80 (Body Valve); Siemens; -; 1 pc</v>
      </c>
      <c r="G986" s="15">
        <f>IFERROR(__xludf.DUMMYFUNCTION("""COMPUTED_VALUE"""),1.0)</f>
        <v>1</v>
      </c>
      <c r="H986" s="15" t="str">
        <f>IFERROR(__xludf.DUMMYFUNCTION("""COMPUTED_VALUE"""),"Pieces")</f>
        <v>Pieces</v>
      </c>
      <c r="I986" s="15" t="str">
        <f>IFERROR(__xludf.DUMMYFUNCTION("""COMPUTED_VALUE"""),"Deliver")</f>
        <v>Deliver</v>
      </c>
      <c r="J986" s="15" t="str">
        <f>IFERROR(__xludf.DUMMYFUNCTION("""COMPUTED_VALUE"""),"121703552 - APPROVED")</f>
        <v>121703552 - APPROVED</v>
      </c>
      <c r="K986" s="15" t="str">
        <f>IFERROR(__xludf.DUMMYFUNCTION("""COMPUTED_VALUE"""),"GL2512018")</f>
        <v>GL2512018</v>
      </c>
      <c r="L986" s="15" t="str">
        <f>IFERROR(__xludf.DUMMYFUNCTION("""COMPUTED_VALUE"""),"Normal")</f>
        <v>Normal</v>
      </c>
      <c r="M986" s="18" t="s">
        <v>53</v>
      </c>
      <c r="N986" s="18" t="s">
        <v>54</v>
      </c>
    </row>
    <row r="987" hidden="1">
      <c r="A987" s="15" t="str">
        <f>IFERROR(__xludf.DUMMYFUNCTION("""COMPUTED_VALUE"""),"MFHRO0274")</f>
        <v>MFHRO0274</v>
      </c>
      <c r="B987" s="16">
        <f>IFERROR(__xludf.DUMMYFUNCTION("""COMPUTED_VALUE"""),46047.83255263889)</f>
        <v>46047.83255</v>
      </c>
      <c r="C987" s="17">
        <f>IFERROR(__xludf.DUMMYFUNCTION("""COMPUTED_VALUE"""),46047.8827600463)</f>
        <v>46047.88276</v>
      </c>
      <c r="D987" s="15" t="str">
        <f>IFERROR(__xludf.DUMMYFUNCTION("""COMPUTED_VALUE"""),"Sparepart")</f>
        <v>Sparepart</v>
      </c>
      <c r="E987" s="15" t="str">
        <f>IFERROR(__xludf.DUMMYFUNCTION("""COMPUTED_VALUE"""),"-")</f>
        <v>-</v>
      </c>
      <c r="F987" s="15" t="str">
        <f>IFERROR(__xludf.DUMMYFUNCTION("""COMPUTED_VALUE"""),"General - Terminal Viking Grounding 4mm; Legrand; -; 1 pc")</f>
        <v>General - Terminal Viking Grounding 4mm; Legrand; -; 1 pc</v>
      </c>
      <c r="G987" s="15">
        <f>IFERROR(__xludf.DUMMYFUNCTION("""COMPUTED_VALUE"""),10.0)</f>
        <v>10</v>
      </c>
      <c r="H987" s="15" t="str">
        <f>IFERROR(__xludf.DUMMYFUNCTION("""COMPUTED_VALUE"""),"Pieces")</f>
        <v>Pieces</v>
      </c>
      <c r="I987" s="15" t="str">
        <f>IFERROR(__xludf.DUMMYFUNCTION("""COMPUTED_VALUE"""),"Deliver")</f>
        <v>Deliver</v>
      </c>
      <c r="J987" s="15" t="str">
        <f>IFERROR(__xludf.DUMMYFUNCTION("""COMPUTED_VALUE"""),"-")</f>
        <v>-</v>
      </c>
      <c r="K987" s="15" t="str">
        <f>IFERROR(__xludf.DUMMYFUNCTION("""COMPUTED_VALUE"""),"-")</f>
        <v>-</v>
      </c>
      <c r="L987" s="15" t="str">
        <f>IFERROR(__xludf.DUMMYFUNCTION("""COMPUTED_VALUE"""),"Normal")</f>
        <v>Normal</v>
      </c>
      <c r="M987" s="18" t="s">
        <v>53</v>
      </c>
      <c r="N987" s="18" t="s">
        <v>54</v>
      </c>
    </row>
    <row r="988" hidden="1">
      <c r="A988" s="15" t="str">
        <f>IFERROR(__xludf.DUMMYFUNCTION("""COMPUTED_VALUE"""),"MFHRO0275")</f>
        <v>MFHRO0275</v>
      </c>
      <c r="B988" s="16">
        <f>IFERROR(__xludf.DUMMYFUNCTION("""COMPUTED_VALUE"""),46047.83255263889)</f>
        <v>46047.83255</v>
      </c>
      <c r="C988" s="17">
        <f>IFERROR(__xludf.DUMMYFUNCTION("""COMPUTED_VALUE"""),46047.882836655095)</f>
        <v>46047.88284</v>
      </c>
      <c r="D988" s="15" t="str">
        <f>IFERROR(__xludf.DUMMYFUNCTION("""COMPUTED_VALUE"""),"Sparepart")</f>
        <v>Sparepart</v>
      </c>
      <c r="E988" s="15" t="str">
        <f>IFERROR(__xludf.DUMMYFUNCTION("""COMPUTED_VALUE"""),"-")</f>
        <v>-</v>
      </c>
      <c r="F988" s="15" t="str">
        <f>IFERROR(__xludf.DUMMYFUNCTION("""COMPUTED_VALUE"""),"Cellotape / Lakban Kertas 1 inch warna Putih ; No Brand ; pack size per pcs")</f>
        <v>Cellotape / Lakban Kertas 1 inch warna Putih ; No Brand ; pack size per pcs</v>
      </c>
      <c r="G988" s="15">
        <f>IFERROR(__xludf.DUMMYFUNCTION("""COMPUTED_VALUE"""),60.0)</f>
        <v>60</v>
      </c>
      <c r="H988" s="15" t="str">
        <f>IFERROR(__xludf.DUMMYFUNCTION("""COMPUTED_VALUE"""),"Roll")</f>
        <v>Roll</v>
      </c>
      <c r="I988" s="15" t="str">
        <f>IFERROR(__xludf.DUMMYFUNCTION("""COMPUTED_VALUE"""),"Deliver")</f>
        <v>Deliver</v>
      </c>
      <c r="J988" s="15" t="str">
        <f>IFERROR(__xludf.DUMMYFUNCTION("""COMPUTED_VALUE"""),"-")</f>
        <v>-</v>
      </c>
      <c r="K988" s="15" t="str">
        <f>IFERROR(__xludf.DUMMYFUNCTION("""COMPUTED_VALUE"""),"-")</f>
        <v>-</v>
      </c>
      <c r="L988" s="15" t="str">
        <f>IFERROR(__xludf.DUMMYFUNCTION("""COMPUTED_VALUE"""),"Normal")</f>
        <v>Normal</v>
      </c>
      <c r="M988" s="18" t="s">
        <v>53</v>
      </c>
      <c r="N988" s="18" t="s">
        <v>54</v>
      </c>
    </row>
    <row r="989" hidden="1">
      <c r="A989" s="15" t="str">
        <f>IFERROR(__xludf.DUMMYFUNCTION("""COMPUTED_VALUE"""),"MFHRO0276")</f>
        <v>MFHRO0276</v>
      </c>
      <c r="B989" s="16">
        <f>IFERROR(__xludf.DUMMYFUNCTION("""COMPUTED_VALUE"""),46047.83255263889)</f>
        <v>46047.83255</v>
      </c>
      <c r="C989" s="17">
        <f>IFERROR(__xludf.DUMMYFUNCTION("""COMPUTED_VALUE"""),46047.88293373842)</f>
        <v>46047.88293</v>
      </c>
      <c r="D989" s="15" t="str">
        <f>IFERROR(__xludf.DUMMYFUNCTION("""COMPUTED_VALUE"""),"Sparepart")</f>
        <v>Sparepart</v>
      </c>
      <c r="E989" s="15" t="str">
        <f>IFERROR(__xludf.DUMMYFUNCTION("""COMPUTED_VALUE"""),"-")</f>
        <v>-</v>
      </c>
      <c r="F989" s="15" t="str">
        <f>IFERROR(__xludf.DUMMYFUNCTION("""COMPUTED_VALUE"""),"Cellotape / Lakban Kertas 1 inch warna Putih ; No Brand ; pack size per pcs")</f>
        <v>Cellotape / Lakban Kertas 1 inch warna Putih ; No Brand ; pack size per pcs</v>
      </c>
      <c r="G989" s="15">
        <f>IFERROR(__xludf.DUMMYFUNCTION("""COMPUTED_VALUE"""),60.0)</f>
        <v>60</v>
      </c>
      <c r="H989" s="15" t="str">
        <f>IFERROR(__xludf.DUMMYFUNCTION("""COMPUTED_VALUE"""),"Roll")</f>
        <v>Roll</v>
      </c>
      <c r="I989" s="15" t="str">
        <f>IFERROR(__xludf.DUMMYFUNCTION("""COMPUTED_VALUE"""),"Deliver")</f>
        <v>Deliver</v>
      </c>
      <c r="J989" s="15" t="str">
        <f>IFERROR(__xludf.DUMMYFUNCTION("""COMPUTED_VALUE"""),"121703588 - APPROVED")</f>
        <v>121703588 - APPROVED</v>
      </c>
      <c r="K989" s="15" t="str">
        <f>IFERROR(__xludf.DUMMYFUNCTION("""COMPUTED_VALUE"""),"GL2602012")</f>
        <v>GL2602012</v>
      </c>
      <c r="L989" s="15" t="str">
        <f>IFERROR(__xludf.DUMMYFUNCTION("""COMPUTED_VALUE"""),"Normal")</f>
        <v>Normal</v>
      </c>
      <c r="M989" s="18" t="s">
        <v>53</v>
      </c>
      <c r="N989" s="18" t="s">
        <v>54</v>
      </c>
    </row>
    <row r="990" hidden="1">
      <c r="A990" s="15" t="str">
        <f>IFERROR(__xludf.DUMMYFUNCTION("""COMPUTED_VALUE"""),"MFHRO0277")</f>
        <v>MFHRO0277</v>
      </c>
      <c r="B990" s="16">
        <f>IFERROR(__xludf.DUMMYFUNCTION("""COMPUTED_VALUE"""),46047.83255263889)</f>
        <v>46047.83255</v>
      </c>
      <c r="C990" s="17">
        <f>IFERROR(__xludf.DUMMYFUNCTION("""COMPUTED_VALUE"""),46047.88303206019)</f>
        <v>46047.88303</v>
      </c>
      <c r="D990" s="15" t="str">
        <f>IFERROR(__xludf.DUMMYFUNCTION("""COMPUTED_VALUE"""),"GC")</f>
        <v>GC</v>
      </c>
      <c r="E990" s="15" t="str">
        <f>IFERROR(__xludf.DUMMYFUNCTION("""COMPUTED_VALUE"""),"-")</f>
        <v>-</v>
      </c>
      <c r="F990" s="15" t="str">
        <f>IFERROR(__xludf.DUMMYFUNCTION("""COMPUTED_VALUE"""),"OQ/PV headspace sample ;Agilent;  PN :   5182-9733; Agilent; 5182-9733; 1 pcs/pack")</f>
        <v>OQ/PV headspace sample ;Agilent;  PN :   5182-9733; Agilent; 5182-9733; 1 pcs/pack</v>
      </c>
      <c r="G990" s="15">
        <f>IFERROR(__xludf.DUMMYFUNCTION("""COMPUTED_VALUE"""),1.0)</f>
        <v>1</v>
      </c>
      <c r="H990" s="15" t="str">
        <f>IFERROR(__xludf.DUMMYFUNCTION("""COMPUTED_VALUE"""),"Pack")</f>
        <v>Pack</v>
      </c>
      <c r="I990" s="15" t="str">
        <f>IFERROR(__xludf.DUMMYFUNCTION("""COMPUTED_VALUE"""),"Deliver")</f>
        <v>Deliver</v>
      </c>
      <c r="J990" s="15" t="str">
        <f>IFERROR(__xludf.DUMMYFUNCTION("""COMPUTED_VALUE"""),"-")</f>
        <v>-</v>
      </c>
      <c r="K990" s="15" t="str">
        <f>IFERROR(__xludf.DUMMYFUNCTION("""COMPUTED_VALUE"""),"-")</f>
        <v>-</v>
      </c>
      <c r="L990" s="15" t="str">
        <f>IFERROR(__xludf.DUMMYFUNCTION("""COMPUTED_VALUE"""),"Normal")</f>
        <v>Normal</v>
      </c>
      <c r="M990" s="18" t="s">
        <v>53</v>
      </c>
      <c r="N990" s="18" t="s">
        <v>54</v>
      </c>
    </row>
    <row r="991" hidden="1">
      <c r="A991" s="15" t="str">
        <f>IFERROR(__xludf.DUMMYFUNCTION("""COMPUTED_VALUE"""),"MFHRO0279")</f>
        <v>MFHRO0279</v>
      </c>
      <c r="B991" s="16">
        <f>IFERROR(__xludf.DUMMYFUNCTION("""COMPUTED_VALUE"""),46047.83255263889)</f>
        <v>46047.83255</v>
      </c>
      <c r="C991" s="17">
        <f>IFERROR(__xludf.DUMMYFUNCTION("""COMPUTED_VALUE"""),46047.88342787037)</f>
        <v>46047.88343</v>
      </c>
      <c r="D991" s="15" t="str">
        <f>IFERROR(__xludf.DUMMYFUNCTION("""COMPUTED_VALUE"""),"Sparepart")</f>
        <v>Sparepart</v>
      </c>
      <c r="E991" s="15" t="str">
        <f>IFERROR(__xludf.DUMMYFUNCTION("""COMPUTED_VALUE"""),"-")</f>
        <v>-</v>
      </c>
      <c r="F991" s="15" t="str">
        <f>IFERROR(__xludf.DUMMYFUNCTION("""COMPUTED_VALUE"""),"Gas Oksigen (O2) ; 6 M3; Refill; Industrial Grade; Purity ? 99.95%")</f>
        <v>Gas Oksigen (O2) ; 6 M3; Refill; Industrial Grade; Purity ? 99.95%</v>
      </c>
      <c r="G991" s="15">
        <f>IFERROR(__xludf.DUMMYFUNCTION("""COMPUTED_VALUE"""),1.0)</f>
        <v>1</v>
      </c>
      <c r="H991" s="15" t="str">
        <f>IFERROR(__xludf.DUMMYFUNCTION("""COMPUTED_VALUE"""),"Tube")</f>
        <v>Tube</v>
      </c>
      <c r="I991" s="15" t="str">
        <f>IFERROR(__xludf.DUMMYFUNCTION("""COMPUTED_VALUE"""),"Deliver")</f>
        <v>Deliver</v>
      </c>
      <c r="J991" s="15" t="str">
        <f>IFERROR(__xludf.DUMMYFUNCTION("""COMPUTED_VALUE"""),"-")</f>
        <v>-</v>
      </c>
      <c r="K991" s="15" t="str">
        <f>IFERROR(__xludf.DUMMYFUNCTION("""COMPUTED_VALUE"""),"-")</f>
        <v>-</v>
      </c>
      <c r="L991" s="15" t="str">
        <f>IFERROR(__xludf.DUMMYFUNCTION("""COMPUTED_VALUE"""),"Normal")</f>
        <v>Normal</v>
      </c>
      <c r="M991" s="18" t="s">
        <v>53</v>
      </c>
      <c r="N991" s="18" t="s">
        <v>54</v>
      </c>
    </row>
    <row r="992" hidden="1">
      <c r="A992" s="15" t="str">
        <f>IFERROR(__xludf.DUMMYFUNCTION("""COMPUTED_VALUE"""),"MFHRO0280")</f>
        <v>MFHRO0280</v>
      </c>
      <c r="B992" s="16">
        <f>IFERROR(__xludf.DUMMYFUNCTION("""COMPUTED_VALUE"""),46047.83255263889)</f>
        <v>46047.83255</v>
      </c>
      <c r="C992" s="17">
        <f>IFERROR(__xludf.DUMMYFUNCTION("""COMPUTED_VALUE"""),46047.88351827546)</f>
        <v>46047.88352</v>
      </c>
      <c r="D992" s="15" t="str">
        <f>IFERROR(__xludf.DUMMYFUNCTION("""COMPUTED_VALUE"""),"Sparepart")</f>
        <v>Sparepart</v>
      </c>
      <c r="E992" s="15" t="str">
        <f>IFERROR(__xludf.DUMMYFUNCTION("""COMPUTED_VALUE"""),"-")</f>
        <v>-</v>
      </c>
      <c r="F992" s="15" t="str">
        <f>IFERROR(__xludf.DUMMYFUNCTION("""COMPUTED_VALUE"""),"Gas Acetylene (C2H2), Industrial Grade, 2kg; ; ;")</f>
        <v>Gas Acetylene (C2H2), Industrial Grade, 2kg; ; ;</v>
      </c>
      <c r="G992" s="15">
        <f>IFERROR(__xludf.DUMMYFUNCTION("""COMPUTED_VALUE"""),1.0)</f>
        <v>1</v>
      </c>
      <c r="H992" s="15" t="str">
        <f>IFERROR(__xludf.DUMMYFUNCTION("""COMPUTED_VALUE"""),"Tube")</f>
        <v>Tube</v>
      </c>
      <c r="I992" s="15" t="str">
        <f>IFERROR(__xludf.DUMMYFUNCTION("""COMPUTED_VALUE"""),"Deliver")</f>
        <v>Deliver</v>
      </c>
      <c r="J992" s="15" t="str">
        <f>IFERROR(__xludf.DUMMYFUNCTION("""COMPUTED_VALUE"""),"-")</f>
        <v>-</v>
      </c>
      <c r="K992" s="15" t="str">
        <f>IFERROR(__xludf.DUMMYFUNCTION("""COMPUTED_VALUE"""),"-")</f>
        <v>-</v>
      </c>
      <c r="L992" s="15" t="str">
        <f>IFERROR(__xludf.DUMMYFUNCTION("""COMPUTED_VALUE"""),"Normal")</f>
        <v>Normal</v>
      </c>
      <c r="M992" s="18" t="s">
        <v>53</v>
      </c>
      <c r="N992" s="18" t="s">
        <v>54</v>
      </c>
    </row>
    <row r="993" hidden="1">
      <c r="A993" s="15" t="str">
        <f>IFERROR(__xludf.DUMMYFUNCTION("""COMPUTED_VALUE"""),"MFHRO0281")</f>
        <v>MFHRO0281</v>
      </c>
      <c r="B993" s="16">
        <f>IFERROR(__xludf.DUMMYFUNCTION("""COMPUTED_VALUE"""),46047.83255263889)</f>
        <v>46047.83255</v>
      </c>
      <c r="C993" s="17">
        <f>IFERROR(__xludf.DUMMYFUNCTION("""COMPUTED_VALUE"""),46047.88361155093)</f>
        <v>46047.88361</v>
      </c>
      <c r="D993" s="15" t="str">
        <f>IFERROR(__xludf.DUMMYFUNCTION("""COMPUTED_VALUE"""),"BSC")</f>
        <v>BSC</v>
      </c>
      <c r="E993" s="15" t="str">
        <f>IFERROR(__xludf.DUMMYFUNCTION("""COMPUTED_VALUE"""),"-")</f>
        <v>-</v>
      </c>
      <c r="F993" s="15" t="str">
        <f>IFERROR(__xludf.DUMMYFUNCTION("""COMPUTED_VALUE"""),"General - Isolator Glove Smaller glove CSM  (AS : E10330 Y 7 E4); Austar; ; 1 Pc")</f>
        <v>General - Isolator Glove Smaller glove CSM  (AS : E10330 Y 7 E4); Austar; ; 1 Pc</v>
      </c>
      <c r="G993" s="15">
        <f>IFERROR(__xludf.DUMMYFUNCTION("""COMPUTED_VALUE"""),40.0)</f>
        <v>40</v>
      </c>
      <c r="H993" s="15" t="str">
        <f>IFERROR(__xludf.DUMMYFUNCTION("""COMPUTED_VALUE"""),"Unit")</f>
        <v>Unit</v>
      </c>
      <c r="I993" s="15" t="str">
        <f>IFERROR(__xludf.DUMMYFUNCTION("""COMPUTED_VALUE"""),"Deliver")</f>
        <v>Deliver</v>
      </c>
      <c r="J993" s="15" t="str">
        <f>IFERROR(__xludf.DUMMYFUNCTION("""COMPUTED_VALUE"""),"121703794 - APPROVED")</f>
        <v>121703794 - APPROVED</v>
      </c>
      <c r="K993" s="15" t="str">
        <f>IFERROR(__xludf.DUMMYFUNCTION("""COMPUTED_VALUE"""),"GL2602020")</f>
        <v>GL2602020</v>
      </c>
      <c r="L993" s="15" t="str">
        <f>IFERROR(__xludf.DUMMYFUNCTION("""COMPUTED_VALUE"""),"Normal")</f>
        <v>Normal</v>
      </c>
      <c r="M993" s="18" t="s">
        <v>53</v>
      </c>
      <c r="N993" s="18" t="s">
        <v>54</v>
      </c>
    </row>
    <row r="994" hidden="1">
      <c r="A994" s="15" t="str">
        <f>IFERROR(__xludf.DUMMYFUNCTION("""COMPUTED_VALUE"""),"MFHRO0282")</f>
        <v>MFHRO0282</v>
      </c>
      <c r="B994" s="16">
        <f>IFERROR(__xludf.DUMMYFUNCTION("""COMPUTED_VALUE"""),46047.83255263889)</f>
        <v>46047.83255</v>
      </c>
      <c r="C994" s="17">
        <f>IFERROR(__xludf.DUMMYFUNCTION("""COMPUTED_VALUE"""),46047.88370524305)</f>
        <v>46047.88371</v>
      </c>
      <c r="D994" s="15" t="str">
        <f>IFERROR(__xludf.DUMMYFUNCTION("""COMPUTED_VALUE"""),"Isolator")</f>
        <v>Isolator</v>
      </c>
      <c r="E994" s="15" t="str">
        <f>IFERROR(__xludf.DUMMYFUNCTION("""COMPUTED_VALUE"""),"-")</f>
        <v>-</v>
      </c>
      <c r="F994" s="15" t="str">
        <f>IFERROR(__xludf.DUMMYFUNCTION("""COMPUTED_VALUE"""),"General - Sleeves M200/90 Y 550 E4 Bt5/5 BJ, Material : CSM; Shape : 200/90; Thickness (mm) : 4/10; Leng; Piercan; 1643; 1 Pc")</f>
        <v>General - Sleeves M200/90 Y 550 E4 Bt5/5 BJ, Material : CSM; Shape : 200/90; Thickness (mm) : 4/10; Leng; Piercan; 1643; 1 Pc</v>
      </c>
      <c r="G994" s="15">
        <f>IFERROR(__xludf.DUMMYFUNCTION("""COMPUTED_VALUE"""),20.0)</f>
        <v>20</v>
      </c>
      <c r="H994" s="15" t="str">
        <f>IFERROR(__xludf.DUMMYFUNCTION("""COMPUTED_VALUE"""),"Unit")</f>
        <v>Unit</v>
      </c>
      <c r="I994" s="15" t="str">
        <f>IFERROR(__xludf.DUMMYFUNCTION("""COMPUTED_VALUE"""),"Deliver")</f>
        <v>Deliver</v>
      </c>
      <c r="J994" s="15" t="str">
        <f>IFERROR(__xludf.DUMMYFUNCTION("""COMPUTED_VALUE"""),"121703873 - APPROVED")</f>
        <v>121703873 - APPROVED</v>
      </c>
      <c r="K994" s="15" t="str">
        <f>IFERROR(__xludf.DUMMYFUNCTION("""COMPUTED_VALUE"""),"GL2601346")</f>
        <v>GL2601346</v>
      </c>
      <c r="L994" s="15" t="str">
        <f>IFERROR(__xludf.DUMMYFUNCTION("""COMPUTED_VALUE"""),"Normal")</f>
        <v>Normal</v>
      </c>
      <c r="M994" s="18" t="s">
        <v>53</v>
      </c>
      <c r="N994" s="18" t="s">
        <v>54</v>
      </c>
    </row>
    <row r="995" hidden="1">
      <c r="A995" s="15" t="str">
        <f>IFERROR(__xludf.DUMMYFUNCTION("""COMPUTED_VALUE"""),"MFHRO0283")</f>
        <v>MFHRO0283</v>
      </c>
      <c r="B995" s="16">
        <f>IFERROR(__xludf.DUMMYFUNCTION("""COMPUTED_VALUE"""),46047.83255263889)</f>
        <v>46047.83255</v>
      </c>
      <c r="C995" s="17">
        <f>IFERROR(__xludf.DUMMYFUNCTION("""COMPUTED_VALUE"""),46047.883841875)</f>
        <v>46047.88384</v>
      </c>
      <c r="D995" s="15" t="str">
        <f>IFERROR(__xludf.DUMMYFUNCTION("""COMPUTED_VALUE"""),"Sparepart")</f>
        <v>Sparepart</v>
      </c>
      <c r="E995" s="15" t="str">
        <f>IFERROR(__xludf.DUMMYFUNCTION("""COMPUTED_VALUE"""),"-")</f>
        <v>-</v>
      </c>
      <c r="F995" s="15" t="str">
        <f>IFERROR(__xludf.DUMMYFUNCTION("""COMPUTED_VALUE"""),"General - Elbow Ornamen SS201 dia. 4 inch; No Brand; -; 1 pc")</f>
        <v>General - Elbow Ornamen SS201 dia. 4 inch; No Brand; -; 1 pc</v>
      </c>
      <c r="G995" s="15">
        <f>IFERROR(__xludf.DUMMYFUNCTION("""COMPUTED_VALUE"""),2.0)</f>
        <v>2</v>
      </c>
      <c r="H995" s="15" t="str">
        <f>IFERROR(__xludf.DUMMYFUNCTION("""COMPUTED_VALUE"""),"Pieces")</f>
        <v>Pieces</v>
      </c>
      <c r="I995" s="15" t="str">
        <f>IFERROR(__xludf.DUMMYFUNCTION("""COMPUTED_VALUE"""),"Deliver")</f>
        <v>Deliver</v>
      </c>
      <c r="J995" s="15" t="str">
        <f>IFERROR(__xludf.DUMMYFUNCTION("""COMPUTED_VALUE"""),"121703618 - APPROVED")</f>
        <v>121703618 - APPROVED</v>
      </c>
      <c r="K995" s="15" t="str">
        <f>IFERROR(__xludf.DUMMYFUNCTION("""COMPUTED_VALUE"""),"GL2512049")</f>
        <v>GL2512049</v>
      </c>
      <c r="L995" s="15" t="str">
        <f>IFERROR(__xludf.DUMMYFUNCTION("""COMPUTED_VALUE"""),"Normal")</f>
        <v>Normal</v>
      </c>
      <c r="M995" s="18" t="s">
        <v>53</v>
      </c>
      <c r="N995" s="18" t="s">
        <v>54</v>
      </c>
    </row>
    <row r="996" hidden="1">
      <c r="A996" s="15" t="str">
        <f>IFERROR(__xludf.DUMMYFUNCTION("""COMPUTED_VALUE"""),"MFHRO0284")</f>
        <v>MFHRO0284</v>
      </c>
      <c r="B996" s="16">
        <f>IFERROR(__xludf.DUMMYFUNCTION("""COMPUTED_VALUE"""),46047.83255263889)</f>
        <v>46047.83255</v>
      </c>
      <c r="C996" s="17">
        <f>IFERROR(__xludf.DUMMYFUNCTION("""COMPUTED_VALUE"""),46047.88392417824)</f>
        <v>46047.88392</v>
      </c>
      <c r="D996" s="15" t="str">
        <f>IFERROR(__xludf.DUMMYFUNCTION("""COMPUTED_VALUE"""),"Sparepart")</f>
        <v>Sparepart</v>
      </c>
      <c r="E996" s="15" t="str">
        <f>IFERROR(__xludf.DUMMYFUNCTION("""COMPUTED_VALUE"""),"-")</f>
        <v>-</v>
      </c>
      <c r="F996" s="15" t="str">
        <f>IFERROR(__xludf.DUMMYFUNCTION("""COMPUTED_VALUE"""),"General - Round Pipe Hanger with Blue Rubber Seat and Base SS304 dia. 4 inch; No Brand; -; 1 pc")</f>
        <v>General - Round Pipe Hanger with Blue Rubber Seat and Base SS304 dia. 4 inch; No Brand; -; 1 pc</v>
      </c>
      <c r="G996" s="15">
        <f>IFERROR(__xludf.DUMMYFUNCTION("""COMPUTED_VALUE"""),3.0)</f>
        <v>3</v>
      </c>
      <c r="H996" s="15" t="str">
        <f>IFERROR(__xludf.DUMMYFUNCTION("""COMPUTED_VALUE"""),"Pieces")</f>
        <v>Pieces</v>
      </c>
      <c r="I996" s="15" t="str">
        <f>IFERROR(__xludf.DUMMYFUNCTION("""COMPUTED_VALUE"""),"Deliver")</f>
        <v>Deliver</v>
      </c>
      <c r="J996" s="15" t="str">
        <f>IFERROR(__xludf.DUMMYFUNCTION("""COMPUTED_VALUE"""),"121703618 - APPROVED")</f>
        <v>121703618 - APPROVED</v>
      </c>
      <c r="K996" s="15" t="str">
        <f>IFERROR(__xludf.DUMMYFUNCTION("""COMPUTED_VALUE"""),"GL2512049")</f>
        <v>GL2512049</v>
      </c>
      <c r="L996" s="15" t="str">
        <f>IFERROR(__xludf.DUMMYFUNCTION("""COMPUTED_VALUE"""),"Normal")</f>
        <v>Normal</v>
      </c>
      <c r="M996" s="18" t="s">
        <v>53</v>
      </c>
      <c r="N996" s="18" t="s">
        <v>54</v>
      </c>
    </row>
    <row r="997" hidden="1">
      <c r="A997" s="15" t="str">
        <f>IFERROR(__xludf.DUMMYFUNCTION("""COMPUTED_VALUE"""),"MFHRO0285")</f>
        <v>MFHRO0285</v>
      </c>
      <c r="B997" s="16">
        <f>IFERROR(__xludf.DUMMYFUNCTION("""COMPUTED_VALUE"""),46047.83255263889)</f>
        <v>46047.83255</v>
      </c>
      <c r="C997" s="17">
        <f>IFERROR(__xludf.DUMMYFUNCTION("""COMPUTED_VALUE"""),46047.88400871527)</f>
        <v>46047.88401</v>
      </c>
      <c r="D997" s="15" t="str">
        <f>IFERROR(__xludf.DUMMYFUNCTION("""COMPUTED_VALUE"""),"Sparepart")</f>
        <v>Sparepart</v>
      </c>
      <c r="E997" s="15" t="str">
        <f>IFERROR(__xludf.DUMMYFUNCTION("""COMPUTED_VALUE"""),"-")</f>
        <v>-</v>
      </c>
      <c r="F997" s="15" t="str">
        <f>IFERROR(__xludf.DUMMYFUNCTION("""COMPUTED_VALUE"""),"FESTO - Push In Fitting QS-1/2-10 part number 190646")</f>
        <v>FESTO - Push In Fitting QS-1/2-10 part number 190646</v>
      </c>
      <c r="G997" s="15">
        <f>IFERROR(__xludf.DUMMYFUNCTION("""COMPUTED_VALUE"""),10.0)</f>
        <v>10</v>
      </c>
      <c r="H997" s="15" t="str">
        <f>IFERROR(__xludf.DUMMYFUNCTION("""COMPUTED_VALUE"""),"Pieces")</f>
        <v>Pieces</v>
      </c>
      <c r="I997" s="15" t="str">
        <f>IFERROR(__xludf.DUMMYFUNCTION("""COMPUTED_VALUE"""),"Deliver")</f>
        <v>Deliver</v>
      </c>
      <c r="J997" s="15" t="str">
        <f>IFERROR(__xludf.DUMMYFUNCTION("""COMPUTED_VALUE"""),"121703621 - APPROVED")</f>
        <v>121703621 - APPROVED</v>
      </c>
      <c r="K997" s="15" t="str">
        <f>IFERROR(__xludf.DUMMYFUNCTION("""COMPUTED_VALUE"""),"GL2607381")</f>
        <v>GL2607381</v>
      </c>
      <c r="L997" s="15" t="str">
        <f>IFERROR(__xludf.DUMMYFUNCTION("""COMPUTED_VALUE"""),"Normal")</f>
        <v>Normal</v>
      </c>
      <c r="M997" s="18" t="s">
        <v>53</v>
      </c>
      <c r="N997" s="18" t="s">
        <v>54</v>
      </c>
    </row>
    <row r="998" hidden="1">
      <c r="A998" s="15" t="str">
        <f>IFERROR(__xludf.DUMMYFUNCTION("""COMPUTED_VALUE"""),"MFHRO0286")</f>
        <v>MFHRO0286</v>
      </c>
      <c r="B998" s="16">
        <f>IFERROR(__xludf.DUMMYFUNCTION("""COMPUTED_VALUE"""),46047.83255263889)</f>
        <v>46047.83255</v>
      </c>
      <c r="C998" s="17">
        <f>IFERROR(__xludf.DUMMYFUNCTION("""COMPUTED_VALUE"""),46047.884374166664)</f>
        <v>46047.88437</v>
      </c>
      <c r="D998" s="15" t="str">
        <f>IFERROR(__xludf.DUMMYFUNCTION("""COMPUTED_VALUE"""),"Sparepart")</f>
        <v>Sparepart</v>
      </c>
      <c r="E998" s="15" t="str">
        <f>IFERROR(__xludf.DUMMYFUNCTION("""COMPUTED_VALUE"""),"-")</f>
        <v>-</v>
      </c>
      <c r="F998" s="15" t="str">
        <f>IFERROR(__xludf.DUMMYFUNCTION("""COMPUTED_VALUE"""),"Pneumatic Fitting - QS 1/4-10 / PN : 153007 / Festo")</f>
        <v>Pneumatic Fitting - QS 1/4-10 / PN : 153007 / Festo</v>
      </c>
      <c r="G998" s="15">
        <f>IFERROR(__xludf.DUMMYFUNCTION("""COMPUTED_VALUE"""),10.0)</f>
        <v>10</v>
      </c>
      <c r="H998" s="15" t="str">
        <f>IFERROR(__xludf.DUMMYFUNCTION("""COMPUTED_VALUE"""),"Pieces")</f>
        <v>Pieces</v>
      </c>
      <c r="I998" s="15" t="str">
        <f>IFERROR(__xludf.DUMMYFUNCTION("""COMPUTED_VALUE"""),"Deliver")</f>
        <v>Deliver</v>
      </c>
      <c r="J998" s="15" t="str">
        <f>IFERROR(__xludf.DUMMYFUNCTION("""COMPUTED_VALUE"""),"121703621 - APPROVED")</f>
        <v>121703621 - APPROVED</v>
      </c>
      <c r="K998" s="15" t="str">
        <f>IFERROR(__xludf.DUMMYFUNCTION("""COMPUTED_VALUE"""),"GL2607381")</f>
        <v>GL2607381</v>
      </c>
      <c r="L998" s="15" t="str">
        <f>IFERROR(__xludf.DUMMYFUNCTION("""COMPUTED_VALUE"""),"Normal")</f>
        <v>Normal</v>
      </c>
      <c r="M998" s="18" t="s">
        <v>53</v>
      </c>
      <c r="N998" s="18" t="s">
        <v>54</v>
      </c>
    </row>
    <row r="999" hidden="1">
      <c r="A999" s="15" t="str">
        <f>IFERROR(__xludf.DUMMYFUNCTION("""COMPUTED_VALUE"""),"MFHRO0287")</f>
        <v>MFHRO0287</v>
      </c>
      <c r="B999" s="16">
        <f>IFERROR(__xludf.DUMMYFUNCTION("""COMPUTED_VALUE"""),46047.83255263889)</f>
        <v>46047.83255</v>
      </c>
      <c r="C999" s="17">
        <f>IFERROR(__xludf.DUMMYFUNCTION("""COMPUTED_VALUE"""),46047.884557627316)</f>
        <v>46047.88456</v>
      </c>
      <c r="D999" s="15" t="str">
        <f>IFERROR(__xludf.DUMMYFUNCTION("""COMPUTED_VALUE"""),"Sparepart")</f>
        <v>Sparepart</v>
      </c>
      <c r="E999" s="15" t="str">
        <f>IFERROR(__xludf.DUMMYFUNCTION("""COMPUTED_VALUE"""),"-")</f>
        <v>-</v>
      </c>
      <c r="F999" s="15" t="str">
        <f>IFERROR(__xludf.DUMMYFUNCTION("""COMPUTED_VALUE"""),"General - Push-in Fitting, QS-1/4-6; Festo; 153003; 1 pcs")</f>
        <v>General - Push-in Fitting, QS-1/4-6; Festo; 153003; 1 pcs</v>
      </c>
      <c r="G999" s="15">
        <f>IFERROR(__xludf.DUMMYFUNCTION("""COMPUTED_VALUE"""),10.0)</f>
        <v>10</v>
      </c>
      <c r="H999" s="15" t="str">
        <f>IFERROR(__xludf.DUMMYFUNCTION("""COMPUTED_VALUE"""),"Pieces")</f>
        <v>Pieces</v>
      </c>
      <c r="I999" s="15" t="str">
        <f>IFERROR(__xludf.DUMMYFUNCTION("""COMPUTED_VALUE"""),"Deliver")</f>
        <v>Deliver</v>
      </c>
      <c r="J999" s="15" t="str">
        <f>IFERROR(__xludf.DUMMYFUNCTION("""COMPUTED_VALUE"""),"121703621 - APPROVED")</f>
        <v>121703621 - APPROVED</v>
      </c>
      <c r="K999" s="15" t="str">
        <f>IFERROR(__xludf.DUMMYFUNCTION("""COMPUTED_VALUE"""),"GL2607381")</f>
        <v>GL2607381</v>
      </c>
      <c r="L999" s="15" t="str">
        <f>IFERROR(__xludf.DUMMYFUNCTION("""COMPUTED_VALUE"""),"Normal")</f>
        <v>Normal</v>
      </c>
      <c r="M999" s="18" t="s">
        <v>53</v>
      </c>
      <c r="N999" s="18" t="s">
        <v>54</v>
      </c>
    </row>
    <row r="1000" hidden="1">
      <c r="A1000" s="15" t="str">
        <f>IFERROR(__xludf.DUMMYFUNCTION("""COMPUTED_VALUE"""),"MFHRO0288")</f>
        <v>MFHRO0288</v>
      </c>
      <c r="B1000" s="16">
        <f>IFERROR(__xludf.DUMMYFUNCTION("""COMPUTED_VALUE"""),46047.83255263889)</f>
        <v>46047.83255</v>
      </c>
      <c r="C1000" s="17">
        <f>IFERROR(__xludf.DUMMYFUNCTION("""COMPUTED_VALUE"""),46047.88485293981)</f>
        <v>46047.88485</v>
      </c>
      <c r="D1000" s="15" t="str">
        <f>IFERROR(__xludf.DUMMYFUNCTION("""COMPUTED_VALUE"""),"Sparepart")</f>
        <v>Sparepart</v>
      </c>
      <c r="E1000" s="15" t="str">
        <f>IFERROR(__xludf.DUMMYFUNCTION("""COMPUTED_VALUE"""),"-")</f>
        <v>-</v>
      </c>
      <c r="F1000" s="15" t="str">
        <f>IFERROR(__xludf.DUMMYFUNCTION("""COMPUTED_VALUE"""),"General - Push-in Connector, QS-8-6; Festo; 153038; 1 pcs")</f>
        <v>General - Push-in Connector, QS-8-6; Festo; 153038; 1 pcs</v>
      </c>
      <c r="G1000" s="15">
        <f>IFERROR(__xludf.DUMMYFUNCTION("""COMPUTED_VALUE"""),10.0)</f>
        <v>10</v>
      </c>
      <c r="H1000" s="15" t="str">
        <f>IFERROR(__xludf.DUMMYFUNCTION("""COMPUTED_VALUE"""),"Pieces")</f>
        <v>Pieces</v>
      </c>
      <c r="I1000" s="15" t="str">
        <f>IFERROR(__xludf.DUMMYFUNCTION("""COMPUTED_VALUE"""),"Deliver")</f>
        <v>Deliver</v>
      </c>
      <c r="J1000" s="15" t="str">
        <f>IFERROR(__xludf.DUMMYFUNCTION("""COMPUTED_VALUE"""),"121703621 - APPROVED")</f>
        <v>121703621 - APPROVED</v>
      </c>
      <c r="K1000" s="15" t="str">
        <f>IFERROR(__xludf.DUMMYFUNCTION("""COMPUTED_VALUE"""),"GL2607381")</f>
        <v>GL2607381</v>
      </c>
      <c r="L1000" s="15" t="str">
        <f>IFERROR(__xludf.DUMMYFUNCTION("""COMPUTED_VALUE"""),"Normal")</f>
        <v>Normal</v>
      </c>
      <c r="M1000" s="18" t="s">
        <v>53</v>
      </c>
      <c r="N1000" s="18" t="s">
        <v>54</v>
      </c>
    </row>
    <row r="1001" hidden="1">
      <c r="A1001" s="15" t="str">
        <f>IFERROR(__xludf.DUMMYFUNCTION("""COMPUTED_VALUE"""),"MFHRO0289")</f>
        <v>MFHRO0289</v>
      </c>
      <c r="B1001" s="16">
        <f>IFERROR(__xludf.DUMMYFUNCTION("""COMPUTED_VALUE"""),46047.83255263889)</f>
        <v>46047.83255</v>
      </c>
      <c r="C1001" s="17">
        <f>IFERROR(__xludf.DUMMYFUNCTION("""COMPUTED_VALUE"""),46047.884947523155)</f>
        <v>46047.88495</v>
      </c>
      <c r="D1001" s="15" t="str">
        <f>IFERROR(__xludf.DUMMYFUNCTION("""COMPUTED_VALUE"""),"Sparepart")</f>
        <v>Sparepart</v>
      </c>
      <c r="E1001" s="15" t="str">
        <f>IFERROR(__xludf.DUMMYFUNCTION("""COMPUTED_VALUE"""),"-")</f>
        <v>-</v>
      </c>
      <c r="F1001" s="15" t="str">
        <f>IFERROR(__xludf.DUMMYFUNCTION("""COMPUTED_VALUE"""),"General - Seal Ferrule Teflon 1inch; No Brand; -; 1 pcs")</f>
        <v>General - Seal Ferrule Teflon 1inch; No Brand; -; 1 pcs</v>
      </c>
      <c r="G1001" s="15">
        <f>IFERROR(__xludf.DUMMYFUNCTION("""COMPUTED_VALUE"""),20.0)</f>
        <v>20</v>
      </c>
      <c r="H1001" s="15" t="str">
        <f>IFERROR(__xludf.DUMMYFUNCTION("""COMPUTED_VALUE"""),"Pieces")</f>
        <v>Pieces</v>
      </c>
      <c r="I1001" s="15" t="str">
        <f>IFERROR(__xludf.DUMMYFUNCTION("""COMPUTED_VALUE"""),"Deliver")</f>
        <v>Deliver</v>
      </c>
      <c r="J1001" s="15" t="str">
        <f>IFERROR(__xludf.DUMMYFUNCTION("""COMPUTED_VALUE"""),"-")</f>
        <v>-</v>
      </c>
      <c r="K1001" s="15" t="str">
        <f>IFERROR(__xludf.DUMMYFUNCTION("""COMPUTED_VALUE"""),"-")</f>
        <v>-</v>
      </c>
      <c r="L1001" s="15" t="str">
        <f>IFERROR(__xludf.DUMMYFUNCTION("""COMPUTED_VALUE"""),"Normal")</f>
        <v>Normal</v>
      </c>
      <c r="M1001" s="18" t="s">
        <v>53</v>
      </c>
      <c r="N1001" s="18" t="s">
        <v>54</v>
      </c>
    </row>
    <row r="1002" hidden="1">
      <c r="A1002" s="15" t="str">
        <f>IFERROR(__xludf.DUMMYFUNCTION("""COMPUTED_VALUE"""),"MFHRO0290")</f>
        <v>MFHRO0290</v>
      </c>
      <c r="B1002" s="16">
        <f>IFERROR(__xludf.DUMMYFUNCTION("""COMPUTED_VALUE"""),46047.83255263889)</f>
        <v>46047.83255</v>
      </c>
      <c r="C1002" s="17">
        <f>IFERROR(__xludf.DUMMYFUNCTION("""COMPUTED_VALUE"""),46047.8850933912)</f>
        <v>46047.88509</v>
      </c>
      <c r="D1002" s="15" t="str">
        <f>IFERROR(__xludf.DUMMYFUNCTION("""COMPUTED_VALUE"""),"Sparepart")</f>
        <v>Sparepart</v>
      </c>
      <c r="E1002" s="15" t="str">
        <f>IFERROR(__xludf.DUMMYFUNCTION("""COMPUTED_VALUE"""),"-")</f>
        <v>-</v>
      </c>
      <c r="F1002" s="15" t="str">
        <f>IFERROR(__xludf.DUMMYFUNCTION("""COMPUTED_VALUE"""),"General - Seal Ferrule Teflon 3/4inch; No Brand; -; 1 pcs")</f>
        <v>General - Seal Ferrule Teflon 3/4inch; No Brand; -; 1 pcs</v>
      </c>
      <c r="G1002" s="15">
        <f>IFERROR(__xludf.DUMMYFUNCTION("""COMPUTED_VALUE"""),20.0)</f>
        <v>20</v>
      </c>
      <c r="H1002" s="15" t="str">
        <f>IFERROR(__xludf.DUMMYFUNCTION("""COMPUTED_VALUE"""),"Pieces")</f>
        <v>Pieces</v>
      </c>
      <c r="I1002" s="15" t="str">
        <f>IFERROR(__xludf.DUMMYFUNCTION("""COMPUTED_VALUE"""),"Deliver")</f>
        <v>Deliver</v>
      </c>
      <c r="J1002" s="15" t="str">
        <f>IFERROR(__xludf.DUMMYFUNCTION("""COMPUTED_VALUE"""),"-")</f>
        <v>-</v>
      </c>
      <c r="K1002" s="15" t="str">
        <f>IFERROR(__xludf.DUMMYFUNCTION("""COMPUTED_VALUE"""),"-")</f>
        <v>-</v>
      </c>
      <c r="L1002" s="15" t="str">
        <f>IFERROR(__xludf.DUMMYFUNCTION("""COMPUTED_VALUE"""),"Normal")</f>
        <v>Normal</v>
      </c>
      <c r="M1002" s="18" t="s">
        <v>53</v>
      </c>
      <c r="N1002" s="18" t="s">
        <v>54</v>
      </c>
    </row>
    <row r="1003" hidden="1">
      <c r="A1003" s="15" t="str">
        <f>IFERROR(__xludf.DUMMYFUNCTION("""COMPUTED_VALUE"""),"MFHRO0291")</f>
        <v>MFHRO0291</v>
      </c>
      <c r="B1003" s="16">
        <f>IFERROR(__xludf.DUMMYFUNCTION("""COMPUTED_VALUE"""),46047.83255263889)</f>
        <v>46047.83255</v>
      </c>
      <c r="C1003" s="17">
        <f>IFERROR(__xludf.DUMMYFUNCTION("""COMPUTED_VALUE"""),46047.88520282408)</f>
        <v>46047.8852</v>
      </c>
      <c r="D1003" s="15" t="str">
        <f>IFERROR(__xludf.DUMMYFUNCTION("""COMPUTED_VALUE"""),"WWTP")</f>
        <v>WWTP</v>
      </c>
      <c r="E1003" s="15" t="str">
        <f>IFERROR(__xludf.DUMMYFUNCTION("""COMPUTED_VALUE"""),"-")</f>
        <v>-</v>
      </c>
      <c r="F1003" s="15" t="str">
        <f>IFERROR(__xludf.DUMMYFUNCTION("""COMPUTED_VALUE"""),"Chemical - Sodium Hiphoclorite; No Brand; -; 1 Liter")</f>
        <v>Chemical - Sodium Hiphoclorite; No Brand; -; 1 Liter</v>
      </c>
      <c r="G1003" s="15">
        <f>IFERROR(__xludf.DUMMYFUNCTION("""COMPUTED_VALUE"""),840.0)</f>
        <v>840</v>
      </c>
      <c r="H1003" s="15" t="str">
        <f>IFERROR(__xludf.DUMMYFUNCTION("""COMPUTED_VALUE"""),"Liter")</f>
        <v>Liter</v>
      </c>
      <c r="I1003" s="15" t="str">
        <f>IFERROR(__xludf.DUMMYFUNCTION("""COMPUTED_VALUE"""),"Deliver")</f>
        <v>Deliver</v>
      </c>
      <c r="J1003" s="15" t="str">
        <f>IFERROR(__xludf.DUMMYFUNCTION("""COMPUTED_VALUE"""),"-")</f>
        <v>-</v>
      </c>
      <c r="K1003" s="15" t="str">
        <f>IFERROR(__xludf.DUMMYFUNCTION("""COMPUTED_VALUE"""),"-")</f>
        <v>-</v>
      </c>
      <c r="L1003" s="15" t="str">
        <f>IFERROR(__xludf.DUMMYFUNCTION("""COMPUTED_VALUE"""),"Normal")</f>
        <v>Normal</v>
      </c>
      <c r="M1003" s="18" t="s">
        <v>53</v>
      </c>
      <c r="N1003" s="18" t="s">
        <v>54</v>
      </c>
    </row>
    <row r="1004" hidden="1">
      <c r="A1004" s="15" t="str">
        <f>IFERROR(__xludf.DUMMYFUNCTION("""COMPUTED_VALUE"""),"MFHRO0292")</f>
        <v>MFHRO0292</v>
      </c>
      <c r="B1004" s="16">
        <f>IFERROR(__xludf.DUMMYFUNCTION("""COMPUTED_VALUE"""),46047.83255263889)</f>
        <v>46047.83255</v>
      </c>
      <c r="C1004" s="17">
        <f>IFERROR(__xludf.DUMMYFUNCTION("""COMPUTED_VALUE"""),46047.8852915162)</f>
        <v>46047.88529</v>
      </c>
      <c r="D1004" s="15" t="str">
        <f>IFERROR(__xludf.DUMMYFUNCTION("""COMPUTED_VALUE"""),"WWTP")</f>
        <v>WWTP</v>
      </c>
      <c r="E1004" s="15" t="str">
        <f>IFERROR(__xludf.DUMMYFUNCTION("""COMPUTED_VALUE"""),"-")</f>
        <v>-</v>
      </c>
      <c r="F1004" s="15" t="str">
        <f>IFERROR(__xludf.DUMMYFUNCTION("""COMPUTED_VALUE"""),"Chemical - Sodium Hiphoclorite; No Brand; -; 1 Liter")</f>
        <v>Chemical - Sodium Hiphoclorite; No Brand; -; 1 Liter</v>
      </c>
      <c r="G1004" s="15">
        <f>IFERROR(__xludf.DUMMYFUNCTION("""COMPUTED_VALUE"""),840.0)</f>
        <v>840</v>
      </c>
      <c r="H1004" s="15" t="str">
        <f>IFERROR(__xludf.DUMMYFUNCTION("""COMPUTED_VALUE"""),"Liter")</f>
        <v>Liter</v>
      </c>
      <c r="I1004" s="15" t="str">
        <f>IFERROR(__xludf.DUMMYFUNCTION("""COMPUTED_VALUE"""),"Deliver")</f>
        <v>Deliver</v>
      </c>
      <c r="J1004" s="15" t="str">
        <f>IFERROR(__xludf.DUMMYFUNCTION("""COMPUTED_VALUE"""),"121703624 - APPROVED")</f>
        <v>121703624 - APPROVED</v>
      </c>
      <c r="K1004" s="15" t="str">
        <f>IFERROR(__xludf.DUMMYFUNCTION("""COMPUTED_VALUE"""),"GL2601009")</f>
        <v>GL2601009</v>
      </c>
      <c r="L1004" s="15" t="str">
        <f>IFERROR(__xludf.DUMMYFUNCTION("""COMPUTED_VALUE"""),"Normal")</f>
        <v>Normal</v>
      </c>
      <c r="M1004" s="18" t="s">
        <v>53</v>
      </c>
      <c r="N1004" s="18" t="s">
        <v>54</v>
      </c>
    </row>
    <row r="1005" hidden="1">
      <c r="A1005" s="15" t="str">
        <f>IFERROR(__xludf.DUMMYFUNCTION("""COMPUTED_VALUE"""),"MFHRO0293")</f>
        <v>MFHRO0293</v>
      </c>
      <c r="B1005" s="16">
        <f>IFERROR(__xludf.DUMMYFUNCTION("""COMPUTED_VALUE"""),46047.83255263889)</f>
        <v>46047.83255</v>
      </c>
      <c r="C1005" s="17">
        <f>IFERROR(__xludf.DUMMYFUNCTION("""COMPUTED_VALUE"""),46047.88556269676)</f>
        <v>46047.88556</v>
      </c>
      <c r="D1005" s="15" t="str">
        <f>IFERROR(__xludf.DUMMYFUNCTION("""COMPUTED_VALUE"""),"WWTP")</f>
        <v>WWTP</v>
      </c>
      <c r="E1005" s="15" t="str">
        <f>IFERROR(__xludf.DUMMYFUNCTION("""COMPUTED_VALUE"""),"-")</f>
        <v>-</v>
      </c>
      <c r="F1005" s="15" t="str">
        <f>IFERROR(__xludf.DUMMYFUNCTION("""COMPUTED_VALUE"""),"Sodium metabisulfit")</f>
        <v>Sodium metabisulfit</v>
      </c>
      <c r="G1005" s="15">
        <f>IFERROR(__xludf.DUMMYFUNCTION("""COMPUTED_VALUE"""),3.0)</f>
        <v>3</v>
      </c>
      <c r="H1005" s="15" t="str">
        <f>IFERROR(__xludf.DUMMYFUNCTION("""COMPUTED_VALUE"""),"Pieces")</f>
        <v>Pieces</v>
      </c>
      <c r="I1005" s="15" t="str">
        <f>IFERROR(__xludf.DUMMYFUNCTION("""COMPUTED_VALUE"""),"Deliver")</f>
        <v>Deliver</v>
      </c>
      <c r="J1005" s="15" t="str">
        <f>IFERROR(__xludf.DUMMYFUNCTION("""COMPUTED_VALUE"""),"121703624 - APPROVED")</f>
        <v>121703624 - APPROVED</v>
      </c>
      <c r="K1005" s="15" t="str">
        <f>IFERROR(__xludf.DUMMYFUNCTION("""COMPUTED_VALUE"""),"GL2601012")</f>
        <v>GL2601012</v>
      </c>
      <c r="L1005" s="15" t="str">
        <f>IFERROR(__xludf.DUMMYFUNCTION("""COMPUTED_VALUE"""),"Normal")</f>
        <v>Normal</v>
      </c>
      <c r="M1005" s="18" t="s">
        <v>53</v>
      </c>
      <c r="N1005" s="18" t="s">
        <v>54</v>
      </c>
    </row>
    <row r="1006" hidden="1">
      <c r="A1006" s="15" t="str">
        <f>IFERROR(__xludf.DUMMYFUNCTION("""COMPUTED_VALUE"""),"MFHRO0294")</f>
        <v>MFHRO0294</v>
      </c>
      <c r="B1006" s="16">
        <f>IFERROR(__xludf.DUMMYFUNCTION("""COMPUTED_VALUE"""),46047.83255263889)</f>
        <v>46047.83255</v>
      </c>
      <c r="C1006" s="17">
        <f>IFERROR(__xludf.DUMMYFUNCTION("""COMPUTED_VALUE"""),46047.88567846065)</f>
        <v>46047.88568</v>
      </c>
      <c r="D1006" s="15" t="str">
        <f>IFERROR(__xludf.DUMMYFUNCTION("""COMPUTED_VALUE"""),"WWTP")</f>
        <v>WWTP</v>
      </c>
      <c r="E1006" s="15" t="str">
        <f>IFERROR(__xludf.DUMMYFUNCTION("""COMPUTED_VALUE"""),"-")</f>
        <v>-</v>
      </c>
      <c r="F1006" s="15" t="str">
        <f>IFERROR(__xludf.DUMMYFUNCTION("""COMPUTED_VALUE"""),"Sodium metabisulfit")</f>
        <v>Sodium metabisulfit</v>
      </c>
      <c r="G1006" s="15">
        <f>IFERROR(__xludf.DUMMYFUNCTION("""COMPUTED_VALUE"""),3.0)</f>
        <v>3</v>
      </c>
      <c r="H1006" s="15" t="str">
        <f>IFERROR(__xludf.DUMMYFUNCTION("""COMPUTED_VALUE"""),"Pieces")</f>
        <v>Pieces</v>
      </c>
      <c r="I1006" s="15" t="str">
        <f>IFERROR(__xludf.DUMMYFUNCTION("""COMPUTED_VALUE"""),"PO Open")</f>
        <v>PO Open</v>
      </c>
      <c r="J1006" s="15" t="str">
        <f>IFERROR(__xludf.DUMMYFUNCTION("""COMPUTED_VALUE"""),"121703624 - APPROVED")</f>
        <v>121703624 - APPROVED</v>
      </c>
      <c r="K1006" s="15" t="str">
        <f>IFERROR(__xludf.DUMMYFUNCTION("""COMPUTED_VALUE"""),"GL2601012")</f>
        <v>GL2601012</v>
      </c>
      <c r="L1006" s="15" t="str">
        <f>IFERROR(__xludf.DUMMYFUNCTION("""COMPUTED_VALUE"""),"Normal")</f>
        <v>Normal</v>
      </c>
      <c r="M1006" s="18" t="s">
        <v>53</v>
      </c>
      <c r="N1006" s="18" t="s">
        <v>54</v>
      </c>
    </row>
    <row r="1007" hidden="1">
      <c r="A1007" s="15" t="str">
        <f>IFERROR(__xludf.DUMMYFUNCTION("""COMPUTED_VALUE"""),"MFHRO0295")</f>
        <v>MFHRO0295</v>
      </c>
      <c r="B1007" s="16">
        <f>IFERROR(__xludf.DUMMYFUNCTION("""COMPUTED_VALUE"""),46047.83255263889)</f>
        <v>46047.83255</v>
      </c>
      <c r="C1007" s="17">
        <f>IFERROR(__xludf.DUMMYFUNCTION("""COMPUTED_VALUE"""),46047.88580788195)</f>
        <v>46047.88581</v>
      </c>
      <c r="D1007" s="15" t="str">
        <f>IFERROR(__xludf.DUMMYFUNCTION("""COMPUTED_VALUE"""),"Washing")</f>
        <v>Washing</v>
      </c>
      <c r="E1007" s="15" t="str">
        <f>IFERROR(__xludf.DUMMYFUNCTION("""COMPUTED_VALUE"""),"-")</f>
        <v>-</v>
      </c>
      <c r="F1007" s="15" t="str">
        <f>IFERROR(__xludf.DUMMYFUNCTION("""COMPUTED_VALUE"""),"General - Oring Silicone Merah 23x18x2.5 mm; -; -; 1 Pc")</f>
        <v>General - Oring Silicone Merah 23x18x2.5 mm; -; -; 1 Pc</v>
      </c>
      <c r="G1007" s="15">
        <f>IFERROR(__xludf.DUMMYFUNCTION("""COMPUTED_VALUE"""),270.0)</f>
        <v>270</v>
      </c>
      <c r="H1007" s="15" t="str">
        <f>IFERROR(__xludf.DUMMYFUNCTION("""COMPUTED_VALUE"""),"Pieces")</f>
        <v>Pieces</v>
      </c>
      <c r="I1007" s="15" t="str">
        <f>IFERROR(__xludf.DUMMYFUNCTION("""COMPUTED_VALUE"""),"Deliver")</f>
        <v>Deliver</v>
      </c>
      <c r="J1007" s="15" t="str">
        <f>IFERROR(__xludf.DUMMYFUNCTION("""COMPUTED_VALUE"""),"-")</f>
        <v>-</v>
      </c>
      <c r="K1007" s="15" t="str">
        <f>IFERROR(__xludf.DUMMYFUNCTION("""COMPUTED_VALUE"""),"-")</f>
        <v>-</v>
      </c>
      <c r="L1007" s="15" t="str">
        <f>IFERROR(__xludf.DUMMYFUNCTION("""COMPUTED_VALUE"""),"Normal")</f>
        <v>Normal</v>
      </c>
      <c r="M1007" s="18" t="s">
        <v>53</v>
      </c>
      <c r="N1007" s="18" t="s">
        <v>54</v>
      </c>
    </row>
    <row r="1008" hidden="1">
      <c r="A1008" s="15" t="str">
        <f>IFERROR(__xludf.DUMMYFUNCTION("""COMPUTED_VALUE"""),"MFHRO0296")</f>
        <v>MFHRO0296</v>
      </c>
      <c r="B1008" s="16">
        <f>IFERROR(__xludf.DUMMYFUNCTION("""COMPUTED_VALUE"""),46047.83255263889)</f>
        <v>46047.83255</v>
      </c>
      <c r="C1008" s="17">
        <f>IFERROR(__xludf.DUMMYFUNCTION("""COMPUTED_VALUE"""),46047.8859977199)</f>
        <v>46047.886</v>
      </c>
      <c r="D1008" s="15" t="str">
        <f>IFERROR(__xludf.DUMMYFUNCTION("""COMPUTED_VALUE"""),"Washing")</f>
        <v>Washing</v>
      </c>
      <c r="E1008" s="15" t="str">
        <f>IFERROR(__xludf.DUMMYFUNCTION("""COMPUTED_VALUE"""),"-")</f>
        <v>-</v>
      </c>
      <c r="F1008" s="15" t="str">
        <f>IFERROR(__xludf.DUMMYFUNCTION("""COMPUTED_VALUE"""),"General - Oring Silicone Merah 23x18x2.5 mm; -; -; 1 Pc")</f>
        <v>General - Oring Silicone Merah 23x18x2.5 mm; -; -; 1 Pc</v>
      </c>
      <c r="G1008" s="15">
        <f>IFERROR(__xludf.DUMMYFUNCTION("""COMPUTED_VALUE"""),270.0)</f>
        <v>270</v>
      </c>
      <c r="H1008" s="15" t="str">
        <f>IFERROR(__xludf.DUMMYFUNCTION("""COMPUTED_VALUE"""),"Pieces")</f>
        <v>Pieces</v>
      </c>
      <c r="I1008" s="15" t="str">
        <f>IFERROR(__xludf.DUMMYFUNCTION("""COMPUTED_VALUE"""),"Deliver")</f>
        <v>Deliver</v>
      </c>
      <c r="J1008" s="15" t="str">
        <f>IFERROR(__xludf.DUMMYFUNCTION("""COMPUTED_VALUE"""),"121703628 - APPROVED")</f>
        <v>121703628 - APPROVED</v>
      </c>
      <c r="K1008" s="15" t="str">
        <f>IFERROR(__xludf.DUMMYFUNCTION("""COMPUTED_VALUE"""),"GL2601347")</f>
        <v>GL2601347</v>
      </c>
      <c r="L1008" s="15" t="str">
        <f>IFERROR(__xludf.DUMMYFUNCTION("""COMPUTED_VALUE"""),"Normal")</f>
        <v>Normal</v>
      </c>
      <c r="M1008" s="18" t="s">
        <v>53</v>
      </c>
      <c r="N1008" s="18" t="s">
        <v>54</v>
      </c>
    </row>
    <row r="1009" hidden="1">
      <c r="A1009" s="15" t="str">
        <f>IFERROR(__xludf.DUMMYFUNCTION("""COMPUTED_VALUE"""),"MFHRO0297")</f>
        <v>MFHRO0297</v>
      </c>
      <c r="B1009" s="16">
        <f>IFERROR(__xludf.DUMMYFUNCTION("""COMPUTED_VALUE"""),46047.83255263889)</f>
        <v>46047.83255</v>
      </c>
      <c r="C1009" s="17">
        <f>IFERROR(__xludf.DUMMYFUNCTION("""COMPUTED_VALUE"""),46047.88606954861)</f>
        <v>46047.88607</v>
      </c>
      <c r="D1009" s="15" t="str">
        <f>IFERROR(__xludf.DUMMYFUNCTION("""COMPUTED_VALUE"""),"Filling")</f>
        <v>Filling</v>
      </c>
      <c r="E1009" s="15" t="str">
        <f>IFERROR(__xludf.DUMMYFUNCTION("""COMPUTED_VALUE"""),"-")</f>
        <v>-</v>
      </c>
      <c r="F1009" s="15" t="str">
        <f>IFERROR(__xludf.DUMMYFUNCTION("""COMPUTED_VALUE"""),"General - Pulsed DC Ionising Bar Hyperion 929IPS Length 325mm; Steriline; 1096041; 1 Pc")</f>
        <v>General - Pulsed DC Ionising Bar Hyperion 929IPS Length 325mm; Steriline; 1096041; 1 Pc</v>
      </c>
      <c r="G1009" s="15">
        <f>IFERROR(__xludf.DUMMYFUNCTION("""COMPUTED_VALUE"""),1.0)</f>
        <v>1</v>
      </c>
      <c r="H1009" s="15" t="str">
        <f>IFERROR(__xludf.DUMMYFUNCTION("""COMPUTED_VALUE"""),"Pieces")</f>
        <v>Pieces</v>
      </c>
      <c r="I1009" s="15" t="str">
        <f>IFERROR(__xludf.DUMMYFUNCTION("""COMPUTED_VALUE"""),"Deliver")</f>
        <v>Deliver</v>
      </c>
      <c r="J1009" s="15" t="str">
        <f>IFERROR(__xludf.DUMMYFUNCTION("""COMPUTED_VALUE"""),"121703633 - APPROVED")</f>
        <v>121703633 - APPROVED</v>
      </c>
      <c r="K1009" s="15" t="str">
        <f>IFERROR(__xludf.DUMMYFUNCTION("""COMPUTED_VALUE"""),"GL2601027")</f>
        <v>GL2601027</v>
      </c>
      <c r="L1009" s="15" t="str">
        <f>IFERROR(__xludf.DUMMYFUNCTION("""COMPUTED_VALUE"""),"Normal")</f>
        <v>Normal</v>
      </c>
      <c r="M1009" s="18" t="s">
        <v>53</v>
      </c>
      <c r="N1009" s="18" t="s">
        <v>54</v>
      </c>
    </row>
    <row r="1010" hidden="1">
      <c r="A1010" s="15" t="str">
        <f>IFERROR(__xludf.DUMMYFUNCTION("""COMPUTED_VALUE"""),"MFHRO0298")</f>
        <v>MFHRO0298</v>
      </c>
      <c r="B1010" s="16">
        <f>IFERROR(__xludf.DUMMYFUNCTION("""COMPUTED_VALUE"""),46047.83255263889)</f>
        <v>46047.83255</v>
      </c>
      <c r="C1010" s="17">
        <f>IFERROR(__xludf.DUMMYFUNCTION("""COMPUTED_VALUE"""),46047.886155914355)</f>
        <v>46047.88616</v>
      </c>
      <c r="D1010" s="15" t="str">
        <f>IFERROR(__xludf.DUMMYFUNCTION("""COMPUTED_VALUE"""),"cRABS")</f>
        <v>cRABS</v>
      </c>
      <c r="E1010" s="15" t="str">
        <f>IFERROR(__xludf.DUMMYFUNCTION("""COMPUTED_VALUE"""),"-")</f>
        <v>-</v>
      </c>
      <c r="F1010" s="15" t="str">
        <f>IFERROR(__xludf.DUMMYFUNCTION("""COMPUTED_VALUE"""),"cRABS Z064CR - Transmitter for Temperature Probe HC2-xxx; -; 64938; 1 Pc")</f>
        <v>cRABS Z064CR - Transmitter for Temperature Probe HC2-xxx; -; 64938; 1 Pc</v>
      </c>
      <c r="G1010" s="15">
        <f>IFERROR(__xludf.DUMMYFUNCTION("""COMPUTED_VALUE"""),1.0)</f>
        <v>1</v>
      </c>
      <c r="H1010" s="15" t="str">
        <f>IFERROR(__xludf.DUMMYFUNCTION("""COMPUTED_VALUE"""),"Pieces")</f>
        <v>Pieces</v>
      </c>
      <c r="I1010" s="15" t="str">
        <f>IFERROR(__xludf.DUMMYFUNCTION("""COMPUTED_VALUE"""),"Deliver")</f>
        <v>Deliver</v>
      </c>
      <c r="J1010" s="15" t="str">
        <f>IFERROR(__xludf.DUMMYFUNCTION("""COMPUTED_VALUE"""),"121703633 - APPROVED")</f>
        <v>121703633 - APPROVED</v>
      </c>
      <c r="K1010" s="15" t="str">
        <f>IFERROR(__xludf.DUMMYFUNCTION("""COMPUTED_VALUE"""),"GL2601027")</f>
        <v>GL2601027</v>
      </c>
      <c r="L1010" s="15" t="str">
        <f>IFERROR(__xludf.DUMMYFUNCTION("""COMPUTED_VALUE"""),"Normal")</f>
        <v>Normal</v>
      </c>
      <c r="M1010" s="18" t="s">
        <v>53</v>
      </c>
      <c r="N1010" s="18" t="s">
        <v>54</v>
      </c>
    </row>
    <row r="1011" hidden="1">
      <c r="A1011" s="15" t="str">
        <f>IFERROR(__xludf.DUMMYFUNCTION("""COMPUTED_VALUE"""),"MFHRO0299")</f>
        <v>MFHRO0299</v>
      </c>
      <c r="B1011" s="16">
        <f>IFERROR(__xludf.DUMMYFUNCTION("""COMPUTED_VALUE"""),46047.83255263889)</f>
        <v>46047.83255</v>
      </c>
      <c r="C1011" s="17">
        <f>IFERROR(__xludf.DUMMYFUNCTION("""COMPUTED_VALUE"""),46047.88625157407)</f>
        <v>46047.88625</v>
      </c>
      <c r="D1011" s="15" t="str">
        <f>IFERROR(__xludf.DUMMYFUNCTION("""COMPUTED_VALUE"""),"cRABS")</f>
        <v>cRABS</v>
      </c>
      <c r="E1011" s="15" t="str">
        <f>IFERROR(__xludf.DUMMYFUNCTION("""COMPUTED_VALUE"""),"-")</f>
        <v>-</v>
      </c>
      <c r="F1011" s="15" t="str">
        <f>IFERROR(__xludf.DUMMYFUNCTION("""COMPUTED_VALUE"""),"cRABS Z064CR - Digital Probe for Humidity and Temperature; -; 64939; 1 Pc")</f>
        <v>cRABS Z064CR - Digital Probe for Humidity and Temperature; -; 64939; 1 Pc</v>
      </c>
      <c r="G1011" s="15">
        <f>IFERROR(__xludf.DUMMYFUNCTION("""COMPUTED_VALUE"""),1.0)</f>
        <v>1</v>
      </c>
      <c r="H1011" s="15" t="str">
        <f>IFERROR(__xludf.DUMMYFUNCTION("""COMPUTED_VALUE"""),"Pieces")</f>
        <v>Pieces</v>
      </c>
      <c r="I1011" s="15" t="str">
        <f>IFERROR(__xludf.DUMMYFUNCTION("""COMPUTED_VALUE"""),"Deliver")</f>
        <v>Deliver</v>
      </c>
      <c r="J1011" s="15" t="str">
        <f>IFERROR(__xludf.DUMMYFUNCTION("""COMPUTED_VALUE"""),"121703633 - APPROVED")</f>
        <v>121703633 - APPROVED</v>
      </c>
      <c r="K1011" s="15" t="str">
        <f>IFERROR(__xludf.DUMMYFUNCTION("""COMPUTED_VALUE"""),"GL2601027")</f>
        <v>GL2601027</v>
      </c>
      <c r="L1011" s="15" t="str">
        <f>IFERROR(__xludf.DUMMYFUNCTION("""COMPUTED_VALUE"""),"Normal")</f>
        <v>Normal</v>
      </c>
      <c r="M1011" s="18" t="s">
        <v>53</v>
      </c>
      <c r="N1011" s="18" t="s">
        <v>54</v>
      </c>
    </row>
    <row r="1012" hidden="1">
      <c r="A1012" s="15" t="str">
        <f>IFERROR(__xludf.DUMMYFUNCTION("""COMPUTED_VALUE"""),"MFHRO0301")</f>
        <v>MFHRO0301</v>
      </c>
      <c r="B1012" s="16">
        <f>IFERROR(__xludf.DUMMYFUNCTION("""COMPUTED_VALUE"""),46047.83255263889)</f>
        <v>46047.83255</v>
      </c>
      <c r="C1012" s="17">
        <f>IFERROR(__xludf.DUMMYFUNCTION("""COMPUTED_VALUE"""),46047.887844004625)</f>
        <v>46047.88784</v>
      </c>
      <c r="D1012" s="15" t="str">
        <f>IFERROR(__xludf.DUMMYFUNCTION("""COMPUTED_VALUE"""),"Sparepart")</f>
        <v>Sparepart</v>
      </c>
      <c r="E1012" s="15" t="str">
        <f>IFERROR(__xludf.DUMMYFUNCTION("""COMPUTED_VALUE"""),"-")</f>
        <v>-</v>
      </c>
      <c r="F1012" s="15" t="str">
        <f>IFERROR(__xludf.DUMMYFUNCTION("""COMPUTED_VALUE"""),"Gas Nitrogen (N2); 6 M3; Refill; Ultra High Purity (UHP); Purity ? 99.999%")</f>
        <v>Gas Nitrogen (N2); 6 M3; Refill; Ultra High Purity (UHP); Purity ? 99.999%</v>
      </c>
      <c r="G1012" s="15">
        <f>IFERROR(__xludf.DUMMYFUNCTION("""COMPUTED_VALUE"""),2.0)</f>
        <v>2</v>
      </c>
      <c r="H1012" s="15" t="str">
        <f>IFERROR(__xludf.DUMMYFUNCTION("""COMPUTED_VALUE"""),"Tube")</f>
        <v>Tube</v>
      </c>
      <c r="I1012" s="15" t="str">
        <f>IFERROR(__xludf.DUMMYFUNCTION("""COMPUTED_VALUE"""),"Deliver")</f>
        <v>Deliver</v>
      </c>
      <c r="J1012" s="15" t="str">
        <f>IFERROR(__xludf.DUMMYFUNCTION("""COMPUTED_VALUE"""),"121703633 - APPROVED")</f>
        <v>121703633 - APPROVED</v>
      </c>
      <c r="K1012" s="15" t="str">
        <f>IFERROR(__xludf.DUMMYFUNCTION("""COMPUTED_VALUE"""),"GL2601027")</f>
        <v>GL2601027</v>
      </c>
      <c r="L1012" s="15" t="str">
        <f>IFERROR(__xludf.DUMMYFUNCTION("""COMPUTED_VALUE"""),"Normal")</f>
        <v>Normal</v>
      </c>
      <c r="M1012" s="18" t="s">
        <v>53</v>
      </c>
      <c r="N1012" s="18" t="s">
        <v>54</v>
      </c>
    </row>
    <row r="1013" hidden="1">
      <c r="A1013" s="15" t="str">
        <f>IFERROR(__xludf.DUMMYFUNCTION("""COMPUTED_VALUE"""),"MFHRO0302")</f>
        <v>MFHRO0302</v>
      </c>
      <c r="B1013" s="16">
        <f>IFERROR(__xludf.DUMMYFUNCTION("""COMPUTED_VALUE"""),46047.83255263889)</f>
        <v>46047.83255</v>
      </c>
      <c r="C1013" s="17">
        <f>IFERROR(__xludf.DUMMYFUNCTION("""COMPUTED_VALUE"""),46047.8879287963)</f>
        <v>46047.88793</v>
      </c>
      <c r="D1013" s="15" t="str">
        <f>IFERROR(__xludf.DUMMYFUNCTION("""COMPUTED_VALUE"""),"Sparepart")</f>
        <v>Sparepart</v>
      </c>
      <c r="E1013" s="15" t="str">
        <f>IFERROR(__xludf.DUMMYFUNCTION("""COMPUTED_VALUE"""),"-")</f>
        <v>-</v>
      </c>
      <c r="F1013" s="15" t="str">
        <f>IFERROR(__xludf.DUMMYFUNCTION("""COMPUTED_VALUE"""),"Gas Nitrogen (N2); 6 M3; Refill; Ultra High Purity (UHP); Purity ? 99.999%")</f>
        <v>Gas Nitrogen (N2); 6 M3; Refill; Ultra High Purity (UHP); Purity ? 99.999%</v>
      </c>
      <c r="G1013" s="15">
        <f>IFERROR(__xludf.DUMMYFUNCTION("""COMPUTED_VALUE"""),3.0)</f>
        <v>3</v>
      </c>
      <c r="H1013" s="15" t="str">
        <f>IFERROR(__xludf.DUMMYFUNCTION("""COMPUTED_VALUE"""),"Tube")</f>
        <v>Tube</v>
      </c>
      <c r="I1013" s="15" t="str">
        <f>IFERROR(__xludf.DUMMYFUNCTION("""COMPUTED_VALUE"""),"Deliver")</f>
        <v>Deliver</v>
      </c>
      <c r="J1013" s="15" t="str">
        <f>IFERROR(__xludf.DUMMYFUNCTION("""COMPUTED_VALUE"""),"121703634 - APPROVED")</f>
        <v>121703634 - APPROVED</v>
      </c>
      <c r="K1013" s="15" t="str">
        <f>IFERROR(__xludf.DUMMYFUNCTION("""COMPUTED_VALUE"""),"GL2602398")</f>
        <v>GL2602398</v>
      </c>
      <c r="L1013" s="15" t="str">
        <f>IFERROR(__xludf.DUMMYFUNCTION("""COMPUTED_VALUE"""),"Normal")</f>
        <v>Normal</v>
      </c>
      <c r="M1013" s="18" t="s">
        <v>53</v>
      </c>
      <c r="N1013" s="18" t="s">
        <v>54</v>
      </c>
    </row>
    <row r="1014" hidden="1">
      <c r="A1014" s="15" t="str">
        <f>IFERROR(__xludf.DUMMYFUNCTION("""COMPUTED_VALUE"""),"MFHRO0303")</f>
        <v>MFHRO0303</v>
      </c>
      <c r="B1014" s="16">
        <f>IFERROR(__xludf.DUMMYFUNCTION("""COMPUTED_VALUE"""),46047.83255263889)</f>
        <v>46047.83255</v>
      </c>
      <c r="C1014" s="17">
        <f>IFERROR(__xludf.DUMMYFUNCTION("""COMPUTED_VALUE"""),46047.888012222225)</f>
        <v>46047.88801</v>
      </c>
      <c r="D1014" s="15" t="str">
        <f>IFERROR(__xludf.DUMMYFUNCTION("""COMPUTED_VALUE"""),"Sparepart")</f>
        <v>Sparepart</v>
      </c>
      <c r="E1014" s="15" t="str">
        <f>IFERROR(__xludf.DUMMYFUNCTION("""COMPUTED_VALUE"""),"-")</f>
        <v>-</v>
      </c>
      <c r="F1014" s="15" t="str">
        <f>IFERROR(__xludf.DUMMYFUNCTION("""COMPUTED_VALUE"""),"General - Contact cleaner WD 40; No Brand; -; 382gr/can")</f>
        <v>General - Contact cleaner WD 40; No Brand; -; 382gr/can</v>
      </c>
      <c r="G1014" s="15">
        <f>IFERROR(__xludf.DUMMYFUNCTION("""COMPUTED_VALUE"""),3.0)</f>
        <v>3</v>
      </c>
      <c r="H1014" s="15" t="str">
        <f>IFERROR(__xludf.DUMMYFUNCTION("""COMPUTED_VALUE"""),"Pieces")</f>
        <v>Pieces</v>
      </c>
      <c r="I1014" s="15" t="str">
        <f>IFERROR(__xludf.DUMMYFUNCTION("""COMPUTED_VALUE"""),"Deliver")</f>
        <v>Deliver</v>
      </c>
      <c r="J1014" s="15" t="str">
        <f>IFERROR(__xludf.DUMMYFUNCTION("""COMPUTED_VALUE"""),"-")</f>
        <v>-</v>
      </c>
      <c r="K1014" s="15" t="str">
        <f>IFERROR(__xludf.DUMMYFUNCTION("""COMPUTED_VALUE"""),"-")</f>
        <v>-</v>
      </c>
      <c r="L1014" s="15" t="str">
        <f>IFERROR(__xludf.DUMMYFUNCTION("""COMPUTED_VALUE"""),"Normal")</f>
        <v>Normal</v>
      </c>
      <c r="M1014" s="18" t="s">
        <v>53</v>
      </c>
      <c r="N1014" s="18" t="s">
        <v>54</v>
      </c>
    </row>
    <row r="1015" hidden="1">
      <c r="A1015" s="15" t="str">
        <f>IFERROR(__xludf.DUMMYFUNCTION("""COMPUTED_VALUE"""),"MFHRO0304")</f>
        <v>MFHRO0304</v>
      </c>
      <c r="B1015" s="16">
        <f>IFERROR(__xludf.DUMMYFUNCTION("""COMPUTED_VALUE"""),46047.83255263889)</f>
        <v>46047.83255</v>
      </c>
      <c r="C1015" s="17">
        <f>IFERROR(__xludf.DUMMYFUNCTION("""COMPUTED_VALUE"""),46047.88812454861)</f>
        <v>46047.88812</v>
      </c>
      <c r="D1015" s="15" t="str">
        <f>IFERROR(__xludf.DUMMYFUNCTION("""COMPUTED_VALUE"""),"Tools")</f>
        <v>Tools</v>
      </c>
      <c r="E1015" s="15" t="str">
        <f>IFERROR(__xludf.DUMMYFUNCTION("""COMPUTED_VALUE"""),"-")</f>
        <v>-</v>
      </c>
      <c r="F1015" s="15" t="str">
        <f>IFERROR(__xludf.DUMMYFUNCTION("""COMPUTED_VALUE"""),"Kunci L Mini Set; Tekiro; HK-EL1198; 7 pc/set")</f>
        <v>Kunci L Mini Set; Tekiro; HK-EL1198; 7 pc/set</v>
      </c>
      <c r="G1015" s="15">
        <f>IFERROR(__xludf.DUMMYFUNCTION("""COMPUTED_VALUE"""),1.0)</f>
        <v>1</v>
      </c>
      <c r="H1015" s="15" t="str">
        <f>IFERROR(__xludf.DUMMYFUNCTION("""COMPUTED_VALUE"""),"Set")</f>
        <v>Set</v>
      </c>
      <c r="I1015" s="15" t="str">
        <f>IFERROR(__xludf.DUMMYFUNCTION("""COMPUTED_VALUE"""),"Deliver")</f>
        <v>Deliver</v>
      </c>
      <c r="J1015" s="15" t="str">
        <f>IFERROR(__xludf.DUMMYFUNCTION("""COMPUTED_VALUE"""),"-")</f>
        <v>-</v>
      </c>
      <c r="K1015" s="15" t="str">
        <f>IFERROR(__xludf.DUMMYFUNCTION("""COMPUTED_VALUE"""),"-")</f>
        <v>-</v>
      </c>
      <c r="L1015" s="15" t="str">
        <f>IFERROR(__xludf.DUMMYFUNCTION("""COMPUTED_VALUE"""),"Normal")</f>
        <v>Normal</v>
      </c>
      <c r="M1015" s="18" t="s">
        <v>53</v>
      </c>
      <c r="N1015" s="18" t="s">
        <v>54</v>
      </c>
    </row>
    <row r="1016" hidden="1">
      <c r="A1016" s="15" t="str">
        <f>IFERROR(__xludf.DUMMYFUNCTION("""COMPUTED_VALUE"""),"MFHRO0305")</f>
        <v>MFHRO0305</v>
      </c>
      <c r="B1016" s="16">
        <f>IFERROR(__xludf.DUMMYFUNCTION("""COMPUTED_VALUE"""),46047.83255263889)</f>
        <v>46047.83255</v>
      </c>
      <c r="C1016" s="17">
        <f>IFERROR(__xludf.DUMMYFUNCTION("""COMPUTED_VALUE"""),46047.88821753472)</f>
        <v>46047.88822</v>
      </c>
      <c r="D1016" s="15" t="str">
        <f>IFERROR(__xludf.DUMMYFUNCTION("""COMPUTED_VALUE"""),"BSC")</f>
        <v>BSC</v>
      </c>
      <c r="E1016" s="15" t="str">
        <f>IFERROR(__xludf.DUMMYFUNCTION("""COMPUTED_VALUE"""),"-")</f>
        <v>-</v>
      </c>
      <c r="F1016" s="15" t="str">
        <f>IFERROR(__xludf.DUMMYFUNCTION("""COMPUTED_VALUE"""),"General - Isolator Gloves 000080 E10330 CNS 7 E3 5 Neoprene No Staining; Piercan; SG010138; 1 Pc")</f>
        <v>General - Isolator Gloves 000080 E10330 CNS 7 E3 5 Neoprene No Staining; Piercan; SG010138; 1 Pc</v>
      </c>
      <c r="G1016" s="15">
        <f>IFERROR(__xludf.DUMMYFUNCTION("""COMPUTED_VALUE"""),30.0)</f>
        <v>30</v>
      </c>
      <c r="H1016" s="15" t="str">
        <f>IFERROR(__xludf.DUMMYFUNCTION("""COMPUTED_VALUE"""),"Pieces")</f>
        <v>Pieces</v>
      </c>
      <c r="I1016" s="15" t="str">
        <f>IFERROR(__xludf.DUMMYFUNCTION("""COMPUTED_VALUE"""),"Deliver")</f>
        <v>Deliver</v>
      </c>
      <c r="J1016" s="15" t="str">
        <f>IFERROR(__xludf.DUMMYFUNCTION("""COMPUTED_VALUE"""),"121703645 - APPROVED")</f>
        <v>121703645 - APPROVED</v>
      </c>
      <c r="K1016" s="15" t="str">
        <f>IFERROR(__xludf.DUMMYFUNCTION("""COMPUTED_VALUE"""),"GL2602027")</f>
        <v>GL2602027</v>
      </c>
      <c r="L1016" s="15" t="str">
        <f>IFERROR(__xludf.DUMMYFUNCTION("""COMPUTED_VALUE"""),"Normal")</f>
        <v>Normal</v>
      </c>
      <c r="M1016" s="18" t="s">
        <v>53</v>
      </c>
      <c r="N1016" s="18" t="s">
        <v>54</v>
      </c>
    </row>
    <row r="1017" hidden="1">
      <c r="A1017" s="15" t="str">
        <f>IFERROR(__xludf.DUMMYFUNCTION("""COMPUTED_VALUE"""),"MFHRO0306")</f>
        <v>MFHRO0306</v>
      </c>
      <c r="B1017" s="16">
        <f>IFERROR(__xludf.DUMMYFUNCTION("""COMPUTED_VALUE"""),46047.83255263889)</f>
        <v>46047.83255</v>
      </c>
      <c r="C1017" s="17">
        <f>IFERROR(__xludf.DUMMYFUNCTION("""COMPUTED_VALUE"""),46047.88831909722)</f>
        <v>46047.88832</v>
      </c>
      <c r="D1017" s="15" t="str">
        <f>IFERROR(__xludf.DUMMYFUNCTION("""COMPUTED_VALUE"""),"TOC")</f>
        <v>TOC</v>
      </c>
      <c r="E1017" s="15" t="str">
        <f>IFERROR(__xludf.DUMMYFUNCTION("""COMPUTED_VALUE"""),"-")</f>
        <v>-</v>
      </c>
      <c r="F1017" s="15" t="str">
        <f>IFERROR(__xludf.DUMMYFUNCTION("""COMPUTED_VALUE"""),"Replacement Filter 60 Micron; Sievers; c/n CHTF94402; 1 pc")</f>
        <v>Replacement Filter 60 Micron; Sievers; c/n CHTF94402; 1 pc</v>
      </c>
      <c r="G1017" s="15">
        <f>IFERROR(__xludf.DUMMYFUNCTION("""COMPUTED_VALUE"""),1.0)</f>
        <v>1</v>
      </c>
      <c r="H1017" s="15" t="str">
        <f>IFERROR(__xludf.DUMMYFUNCTION("""COMPUTED_VALUE"""),"Pieces")</f>
        <v>Pieces</v>
      </c>
      <c r="I1017" s="15" t="str">
        <f>IFERROR(__xludf.DUMMYFUNCTION("""COMPUTED_VALUE"""),"Deliver")</f>
        <v>Deliver</v>
      </c>
      <c r="J1017" s="15" t="str">
        <f>IFERROR(__xludf.DUMMYFUNCTION("""COMPUTED_VALUE"""),"121703655 - APPROVED")</f>
        <v>121703655 - APPROVED</v>
      </c>
      <c r="K1017" s="15" t="str">
        <f>IFERROR(__xludf.DUMMYFUNCTION("""COMPUTED_VALUE"""),"GL2601346")</f>
        <v>GL2601346</v>
      </c>
      <c r="L1017" s="15" t="str">
        <f>IFERROR(__xludf.DUMMYFUNCTION("""COMPUTED_VALUE"""),"Normal")</f>
        <v>Normal</v>
      </c>
      <c r="M1017" s="18" t="s">
        <v>53</v>
      </c>
      <c r="N1017" s="18" t="s">
        <v>54</v>
      </c>
    </row>
    <row r="1018" hidden="1">
      <c r="A1018" s="15" t="str">
        <f>IFERROR(__xludf.DUMMYFUNCTION("""COMPUTED_VALUE"""),"MFHRO0307")</f>
        <v>MFHRO0307</v>
      </c>
      <c r="B1018" s="16">
        <f>IFERROR(__xludf.DUMMYFUNCTION("""COMPUTED_VALUE"""),46047.83255263889)</f>
        <v>46047.83255</v>
      </c>
      <c r="C1018" s="17">
        <f>IFERROR(__xludf.DUMMYFUNCTION("""COMPUTED_VALUE"""),46047.888406655096)</f>
        <v>46047.88841</v>
      </c>
      <c r="D1018" s="15" t="str">
        <f>IFERROR(__xludf.DUMMYFUNCTION("""COMPUTED_VALUE"""),"TOC")</f>
        <v>TOC</v>
      </c>
      <c r="E1018" s="15" t="str">
        <f>IFERROR(__xludf.DUMMYFUNCTION("""COMPUTED_VALUE"""),"-")</f>
        <v>-</v>
      </c>
      <c r="F1018" s="15" t="str">
        <f>IFERROR(__xludf.DUMMYFUNCTION("""COMPUTED_VALUE"""),"900 Sample pump tubing; Sievers; P/N CATU 96200; 1 pc")</f>
        <v>900 Sample pump tubing; Sievers; P/N CATU 96200; 1 pc</v>
      </c>
      <c r="G1018" s="15">
        <f>IFERROR(__xludf.DUMMYFUNCTION("""COMPUTED_VALUE"""),1.0)</f>
        <v>1</v>
      </c>
      <c r="H1018" s="15" t="str">
        <f>IFERROR(__xludf.DUMMYFUNCTION("""COMPUTED_VALUE"""),"Pieces")</f>
        <v>Pieces</v>
      </c>
      <c r="I1018" s="15" t="str">
        <f>IFERROR(__xludf.DUMMYFUNCTION("""COMPUTED_VALUE"""),"Deliver")</f>
        <v>Deliver</v>
      </c>
      <c r="J1018" s="15" t="str">
        <f>IFERROR(__xludf.DUMMYFUNCTION("""COMPUTED_VALUE"""),"121703656 - APPROVED")</f>
        <v>121703656 - APPROVED</v>
      </c>
      <c r="K1018" s="15" t="str">
        <f>IFERROR(__xludf.DUMMYFUNCTION("""COMPUTED_VALUE"""),"GL2601344")</f>
        <v>GL2601344</v>
      </c>
      <c r="L1018" s="15" t="str">
        <f>IFERROR(__xludf.DUMMYFUNCTION("""COMPUTED_VALUE"""),"Normal")</f>
        <v>Normal</v>
      </c>
      <c r="M1018" s="18" t="s">
        <v>53</v>
      </c>
      <c r="N1018" s="18" t="s">
        <v>54</v>
      </c>
    </row>
    <row r="1019" hidden="1">
      <c r="A1019" s="15" t="str">
        <f>IFERROR(__xludf.DUMMYFUNCTION("""COMPUTED_VALUE"""),"MFHRO0308")</f>
        <v>MFHRO0308</v>
      </c>
      <c r="B1019" s="16">
        <f>IFERROR(__xludf.DUMMYFUNCTION("""COMPUTED_VALUE"""),46047.83255263889)</f>
        <v>46047.83255</v>
      </c>
      <c r="C1019" s="17">
        <f>IFERROR(__xludf.DUMMYFUNCTION("""COMPUTED_VALUE"""),46047.888496782405)</f>
        <v>46047.8885</v>
      </c>
      <c r="D1019" s="15" t="str">
        <f>IFERROR(__xludf.DUMMYFUNCTION("""COMPUTED_VALUE"""),"Sparepart")</f>
        <v>Sparepart</v>
      </c>
      <c r="E1019" s="15" t="str">
        <f>IFERROR(__xludf.DUMMYFUNCTION("""COMPUTED_VALUE"""),"-")</f>
        <v>-</v>
      </c>
      <c r="F1019" s="15" t="str">
        <f>IFERROR(__xludf.DUMMYFUNCTION("""COMPUTED_VALUE"""),"Cleaner - Contact Cleaner CRC CO 2016; No Brand; -; 500ml/Botol")</f>
        <v>Cleaner - Contact Cleaner CRC CO 2016; No Brand; -; 500ml/Botol</v>
      </c>
      <c r="G1019" s="15">
        <f>IFERROR(__xludf.DUMMYFUNCTION("""COMPUTED_VALUE"""),3.0)</f>
        <v>3</v>
      </c>
      <c r="H1019" s="15" t="str">
        <f>IFERROR(__xludf.DUMMYFUNCTION("""COMPUTED_VALUE"""),"Pieces")</f>
        <v>Pieces</v>
      </c>
      <c r="I1019" s="15" t="str">
        <f>IFERROR(__xludf.DUMMYFUNCTION("""COMPUTED_VALUE"""),"Deliver")</f>
        <v>Deliver</v>
      </c>
      <c r="J1019" s="15" t="str">
        <f>IFERROR(__xludf.DUMMYFUNCTION("""COMPUTED_VALUE"""),"121703656 - APPROVED")</f>
        <v>121703656 - APPROVED</v>
      </c>
      <c r="K1019" s="15" t="str">
        <f>IFERROR(__xludf.DUMMYFUNCTION("""COMPUTED_VALUE"""),"GL2601344")</f>
        <v>GL2601344</v>
      </c>
      <c r="L1019" s="15" t="str">
        <f>IFERROR(__xludf.DUMMYFUNCTION("""COMPUTED_VALUE"""),"Normal")</f>
        <v>Normal</v>
      </c>
      <c r="M1019" s="18" t="s">
        <v>53</v>
      </c>
      <c r="N1019" s="18" t="s">
        <v>54</v>
      </c>
    </row>
    <row r="1020" hidden="1">
      <c r="A1020" s="15" t="str">
        <f>IFERROR(__xludf.DUMMYFUNCTION("""COMPUTED_VALUE"""),"MFHRO0309")</f>
        <v>MFHRO0309</v>
      </c>
      <c r="B1020" s="16">
        <f>IFERROR(__xludf.DUMMYFUNCTION("""COMPUTED_VALUE"""),46047.83255263889)</f>
        <v>46047.83255</v>
      </c>
      <c r="C1020" s="17">
        <f>IFERROR(__xludf.DUMMYFUNCTION("""COMPUTED_VALUE"""),46047.88947012732)</f>
        <v>46047.88947</v>
      </c>
      <c r="D1020" s="15" t="str">
        <f>IFERROR(__xludf.DUMMYFUNCTION("""COMPUTED_VALUE"""),"Sparepart")</f>
        <v>Sparepart</v>
      </c>
      <c r="E1020" s="15" t="str">
        <f>IFERROR(__xludf.DUMMYFUNCTION("""COMPUTED_VALUE"""),"-")</f>
        <v>-</v>
      </c>
      <c r="F1020" s="15" t="str">
        <f>IFERROR(__xludf.DUMMYFUNCTION("""COMPUTED_VALUE"""),"General - Double Tape 1"" Merah; 3M; -; 1 Pc")</f>
        <v>General - Double Tape 1" Merah; 3M; -; 1 Pc</v>
      </c>
      <c r="G1020" s="15">
        <f>IFERROR(__xludf.DUMMYFUNCTION("""COMPUTED_VALUE"""),20.0)</f>
        <v>20</v>
      </c>
      <c r="H1020" s="15" t="str">
        <f>IFERROR(__xludf.DUMMYFUNCTION("""COMPUTED_VALUE"""),"Pieces")</f>
        <v>Pieces</v>
      </c>
      <c r="I1020" s="15" t="str">
        <f>IFERROR(__xludf.DUMMYFUNCTION("""COMPUTED_VALUE"""),"Deliver")</f>
        <v>Deliver</v>
      </c>
      <c r="J1020" s="15" t="str">
        <f>IFERROR(__xludf.DUMMYFUNCTION("""COMPUTED_VALUE"""),"-")</f>
        <v>-</v>
      </c>
      <c r="K1020" s="15" t="str">
        <f>IFERROR(__xludf.DUMMYFUNCTION("""COMPUTED_VALUE"""),"-")</f>
        <v>-</v>
      </c>
      <c r="L1020" s="15" t="str">
        <f>IFERROR(__xludf.DUMMYFUNCTION("""COMPUTED_VALUE"""),"Normal")</f>
        <v>Normal</v>
      </c>
      <c r="M1020" s="18" t="s">
        <v>53</v>
      </c>
      <c r="N1020" s="18" t="s">
        <v>54</v>
      </c>
    </row>
    <row r="1021" hidden="1">
      <c r="A1021" s="15" t="str">
        <f>IFERROR(__xludf.DUMMYFUNCTION("""COMPUTED_VALUE"""),"MFHRO0310")</f>
        <v>MFHRO0310</v>
      </c>
      <c r="B1021" s="16">
        <f>IFERROR(__xludf.DUMMYFUNCTION("""COMPUTED_VALUE"""),46047.83255263889)</f>
        <v>46047.83255</v>
      </c>
      <c r="C1021" s="17">
        <f>IFERROR(__xludf.DUMMYFUNCTION("""COMPUTED_VALUE"""),46047.88955186343)</f>
        <v>46047.88955</v>
      </c>
      <c r="D1021" s="15" t="str">
        <f>IFERROR(__xludf.DUMMYFUNCTION("""COMPUTED_VALUE"""),"Sparepart")</f>
        <v>Sparepart</v>
      </c>
      <c r="E1021" s="15" t="str">
        <f>IFERROR(__xludf.DUMMYFUNCTION("""COMPUTED_VALUE"""),"-")</f>
        <v>-</v>
      </c>
      <c r="F1021" s="15" t="str">
        <f>IFERROR(__xludf.DUMMYFUNCTION("""COMPUTED_VALUE"""),"General - Double Tape 1"" Merah; 3M; -; 1 Pc")</f>
        <v>General - Double Tape 1" Merah; 3M; -; 1 Pc</v>
      </c>
      <c r="G1021" s="15">
        <f>IFERROR(__xludf.DUMMYFUNCTION("""COMPUTED_VALUE"""),20.0)</f>
        <v>20</v>
      </c>
      <c r="H1021" s="15" t="str">
        <f>IFERROR(__xludf.DUMMYFUNCTION("""COMPUTED_VALUE"""),"Pieces")</f>
        <v>Pieces</v>
      </c>
      <c r="I1021" s="15" t="str">
        <f>IFERROR(__xludf.DUMMYFUNCTION("""COMPUTED_VALUE"""),"Deliver")</f>
        <v>Deliver</v>
      </c>
      <c r="J1021" s="15" t="str">
        <f>IFERROR(__xludf.DUMMYFUNCTION("""COMPUTED_VALUE"""),"-")</f>
        <v>-</v>
      </c>
      <c r="K1021" s="15" t="str">
        <f>IFERROR(__xludf.DUMMYFUNCTION("""COMPUTED_VALUE"""),"-")</f>
        <v>-</v>
      </c>
      <c r="L1021" s="15" t="str">
        <f>IFERROR(__xludf.DUMMYFUNCTION("""COMPUTED_VALUE"""),"Normal")</f>
        <v>Normal</v>
      </c>
      <c r="M1021" s="18" t="s">
        <v>53</v>
      </c>
      <c r="N1021" s="18" t="s">
        <v>54</v>
      </c>
    </row>
    <row r="1022" hidden="1">
      <c r="A1022" s="15" t="str">
        <f>IFERROR(__xludf.DUMMYFUNCTION("""COMPUTED_VALUE"""),"MFHRO0311")</f>
        <v>MFHRO0311</v>
      </c>
      <c r="B1022" s="16">
        <f>IFERROR(__xludf.DUMMYFUNCTION("""COMPUTED_VALUE"""),46047.83255263889)</f>
        <v>46047.83255</v>
      </c>
      <c r="C1022" s="17">
        <f>IFERROR(__xludf.DUMMYFUNCTION("""COMPUTED_VALUE"""),46047.890022974534)</f>
        <v>46047.89002</v>
      </c>
      <c r="D1022" s="15" t="str">
        <f>IFERROR(__xludf.DUMMYFUNCTION("""COMPUTED_VALUE"""),"AHU")</f>
        <v>AHU</v>
      </c>
      <c r="E1022" s="15" t="str">
        <f>IFERROR(__xludf.DUMMYFUNCTION("""COMPUTED_VALUE"""),"-")</f>
        <v>-</v>
      </c>
      <c r="F1022" s="15" t="str">
        <f>IFERROR(__xludf.DUMMYFUNCTION("""COMPUTED_VALUE"""),"General - Filter IAF MB Series (Medium Filter), efficiency : 60-65 %, Size: 24 x 24 x 12 inch; IAF; -; 1 pcs")</f>
        <v>General - Filter IAF MB Series (Medium Filter), efficiency : 60-65 %, Size: 24 x 24 x 12 inch; IAF; -; 1 pcs</v>
      </c>
      <c r="G1022" s="15">
        <f>IFERROR(__xludf.DUMMYFUNCTION("""COMPUTED_VALUE"""),10.0)</f>
        <v>10</v>
      </c>
      <c r="H1022" s="15" t="str">
        <f>IFERROR(__xludf.DUMMYFUNCTION("""COMPUTED_VALUE"""),"Pieces")</f>
        <v>Pieces</v>
      </c>
      <c r="I1022" s="15" t="str">
        <f>IFERROR(__xludf.DUMMYFUNCTION("""COMPUTED_VALUE"""),"Deliver")</f>
        <v>Deliver</v>
      </c>
      <c r="J1022" s="15" t="str">
        <f>IFERROR(__xludf.DUMMYFUNCTION("""COMPUTED_VALUE"""),"121703670 - APPROVED")</f>
        <v>121703670 - APPROVED</v>
      </c>
      <c r="K1022" s="15" t="str">
        <f>IFERROR(__xludf.DUMMYFUNCTION("""COMPUTED_VALUE"""),"GL2602367")</f>
        <v>GL2602367</v>
      </c>
      <c r="L1022" s="15" t="str">
        <f>IFERROR(__xludf.DUMMYFUNCTION("""COMPUTED_VALUE"""),"Normal")</f>
        <v>Normal</v>
      </c>
      <c r="M1022" s="18" t="s">
        <v>53</v>
      </c>
      <c r="N1022" s="18" t="s">
        <v>54</v>
      </c>
    </row>
    <row r="1023" hidden="1">
      <c r="A1023" s="15" t="str">
        <f>IFERROR(__xludf.DUMMYFUNCTION("""COMPUTED_VALUE"""),"MFHRO0312")</f>
        <v>MFHRO0312</v>
      </c>
      <c r="B1023" s="16">
        <f>IFERROR(__xludf.DUMMYFUNCTION("""COMPUTED_VALUE"""),46047.83255263889)</f>
        <v>46047.83255</v>
      </c>
      <c r="C1023" s="17">
        <f>IFERROR(__xludf.DUMMYFUNCTION("""COMPUTED_VALUE"""),46047.89011894676)</f>
        <v>46047.89012</v>
      </c>
      <c r="D1023" s="15" t="str">
        <f>IFERROR(__xludf.DUMMYFUNCTION("""COMPUTED_VALUE"""),"AHU")</f>
        <v>AHU</v>
      </c>
      <c r="E1023" s="15" t="str">
        <f>IFERROR(__xludf.DUMMYFUNCTION("""COMPUTED_VALUE"""),"-")</f>
        <v>-</v>
      </c>
      <c r="F1023" s="15" t="str">
        <f>IFERROR(__xludf.DUMMYFUNCTION("""COMPUTED_VALUE"""),"General - Filter IAF MB Series (Medium Filter), efficiency : 60-65 %, Size: 12 x 24 x 12 inch; IAF; -; 1 pcs")</f>
        <v>General - Filter IAF MB Series (Medium Filter), efficiency : 60-65 %, Size: 12 x 24 x 12 inch; IAF; -; 1 pcs</v>
      </c>
      <c r="G1023" s="15">
        <f>IFERROR(__xludf.DUMMYFUNCTION("""COMPUTED_VALUE"""),10.0)</f>
        <v>10</v>
      </c>
      <c r="H1023" s="15" t="str">
        <f>IFERROR(__xludf.DUMMYFUNCTION("""COMPUTED_VALUE"""),"Pieces")</f>
        <v>Pieces</v>
      </c>
      <c r="I1023" s="15" t="str">
        <f>IFERROR(__xludf.DUMMYFUNCTION("""COMPUTED_VALUE"""),"Deliver")</f>
        <v>Deliver</v>
      </c>
      <c r="J1023" s="15" t="str">
        <f>IFERROR(__xludf.DUMMYFUNCTION("""COMPUTED_VALUE"""),"121703671 - APPROVED")</f>
        <v>121703671 - APPROVED</v>
      </c>
      <c r="K1023" s="15" t="str">
        <f>IFERROR(__xludf.DUMMYFUNCTION("""COMPUTED_VALUE"""),"GL2602408")</f>
        <v>GL2602408</v>
      </c>
      <c r="L1023" s="15" t="str">
        <f>IFERROR(__xludf.DUMMYFUNCTION("""COMPUTED_VALUE"""),"Normal")</f>
        <v>Normal</v>
      </c>
      <c r="M1023" s="18" t="s">
        <v>53</v>
      </c>
      <c r="N1023" s="18" t="s">
        <v>54</v>
      </c>
    </row>
    <row r="1024" hidden="1">
      <c r="A1024" s="15" t="str">
        <f>IFERROR(__xludf.DUMMYFUNCTION("""COMPUTED_VALUE"""),"MFHRO0313")</f>
        <v>MFHRO0313</v>
      </c>
      <c r="B1024" s="16">
        <f>IFERROR(__xludf.DUMMYFUNCTION("""COMPUTED_VALUE"""),46047.83255263889)</f>
        <v>46047.83255</v>
      </c>
      <c r="C1024" s="17">
        <f>IFERROR(__xludf.DUMMYFUNCTION("""COMPUTED_VALUE"""),46047.8902147338)</f>
        <v>46047.89021</v>
      </c>
      <c r="D1024" s="15" t="str">
        <f>IFERROR(__xludf.DUMMYFUNCTION("""COMPUTED_VALUE"""),"Sparepart")</f>
        <v>Sparepart</v>
      </c>
      <c r="E1024" s="15" t="str">
        <f>IFERROR(__xludf.DUMMYFUNCTION("""COMPUTED_VALUE"""),"-")</f>
        <v>-</v>
      </c>
      <c r="F1024" s="15" t="str">
        <f>IFERROR(__xludf.DUMMYFUNCTION("""COMPUTED_VALUE"""),"General - Ampelas P500; EAGLE; -; 1 pcs")</f>
        <v>General - Ampelas P500; EAGLE; -; 1 pcs</v>
      </c>
      <c r="G1024" s="15">
        <f>IFERROR(__xludf.DUMMYFUNCTION("""COMPUTED_VALUE"""),15.0)</f>
        <v>15</v>
      </c>
      <c r="H1024" s="15" t="str">
        <f>IFERROR(__xludf.DUMMYFUNCTION("""COMPUTED_VALUE"""),"Pieces")</f>
        <v>Pieces</v>
      </c>
      <c r="I1024" s="15" t="str">
        <f>IFERROR(__xludf.DUMMYFUNCTION("""COMPUTED_VALUE"""),"Deliver")</f>
        <v>Deliver</v>
      </c>
      <c r="J1024" s="15" t="str">
        <f>IFERROR(__xludf.DUMMYFUNCTION("""COMPUTED_VALUE"""),"121703671 - APPROVED")</f>
        <v>121703671 - APPROVED</v>
      </c>
      <c r="K1024" s="15" t="str">
        <f>IFERROR(__xludf.DUMMYFUNCTION("""COMPUTED_VALUE"""),"GL2602408")</f>
        <v>GL2602408</v>
      </c>
      <c r="L1024" s="15" t="str">
        <f>IFERROR(__xludf.DUMMYFUNCTION("""COMPUTED_VALUE"""),"Normal")</f>
        <v>Normal</v>
      </c>
      <c r="M1024" s="18" t="s">
        <v>53</v>
      </c>
      <c r="N1024" s="18" t="s">
        <v>54</v>
      </c>
    </row>
    <row r="1025" hidden="1">
      <c r="A1025" s="15" t="str">
        <f>IFERROR(__xludf.DUMMYFUNCTION("""COMPUTED_VALUE"""),"MFHRO0314")</f>
        <v>MFHRO0314</v>
      </c>
      <c r="B1025" s="16">
        <f>IFERROR(__xludf.DUMMYFUNCTION("""COMPUTED_VALUE"""),46047.83255263889)</f>
        <v>46047.83255</v>
      </c>
      <c r="C1025" s="17">
        <f>IFERROR(__xludf.DUMMYFUNCTION("""COMPUTED_VALUE"""),46047.89031847222)</f>
        <v>46047.89032</v>
      </c>
      <c r="D1025" s="15" t="str">
        <f>IFERROR(__xludf.DUMMYFUNCTION("""COMPUTED_VALUE"""),"Sparepart")</f>
        <v>Sparepart</v>
      </c>
      <c r="E1025" s="15" t="str">
        <f>IFERROR(__xludf.DUMMYFUNCTION("""COMPUTED_VALUE"""),"-")</f>
        <v>-</v>
      </c>
      <c r="F1025" s="15" t="str">
        <f>IFERROR(__xludf.DUMMYFUNCTION("""COMPUTED_VALUE"""),"General - Ampelas P500; EAGLE; -; 1 pcs")</f>
        <v>General - Ampelas P500; EAGLE; -; 1 pcs</v>
      </c>
      <c r="G1025" s="15">
        <f>IFERROR(__xludf.DUMMYFUNCTION("""COMPUTED_VALUE"""),15.0)</f>
        <v>15</v>
      </c>
      <c r="H1025" s="15" t="str">
        <f>IFERROR(__xludf.DUMMYFUNCTION("""COMPUTED_VALUE"""),"Pieces")</f>
        <v>Pieces</v>
      </c>
      <c r="I1025" s="15" t="str">
        <f>IFERROR(__xludf.DUMMYFUNCTION("""COMPUTED_VALUE"""),"Deliver")</f>
        <v>Deliver</v>
      </c>
      <c r="J1025" s="15" t="str">
        <f>IFERROR(__xludf.DUMMYFUNCTION("""COMPUTED_VALUE"""),"-")</f>
        <v>-</v>
      </c>
      <c r="K1025" s="15" t="str">
        <f>IFERROR(__xludf.DUMMYFUNCTION("""COMPUTED_VALUE"""),"-")</f>
        <v>-</v>
      </c>
      <c r="L1025" s="15" t="str">
        <f>IFERROR(__xludf.DUMMYFUNCTION("""COMPUTED_VALUE"""),"Normal")</f>
        <v>Normal</v>
      </c>
      <c r="M1025" s="18" t="s">
        <v>53</v>
      </c>
      <c r="N1025" s="18" t="s">
        <v>54</v>
      </c>
    </row>
    <row r="1026" hidden="1">
      <c r="A1026" s="15" t="str">
        <f>IFERROR(__xludf.DUMMYFUNCTION("""COMPUTED_VALUE"""),"MFHRO0315")</f>
        <v>MFHRO0315</v>
      </c>
      <c r="B1026" s="16">
        <f>IFERROR(__xludf.DUMMYFUNCTION("""COMPUTED_VALUE"""),46047.83255263889)</f>
        <v>46047.83255</v>
      </c>
      <c r="C1026" s="17">
        <f>IFERROR(__xludf.DUMMYFUNCTION("""COMPUTED_VALUE"""),46047.89040510417)</f>
        <v>46047.89041</v>
      </c>
      <c r="D1026" s="15" t="str">
        <f>IFERROR(__xludf.DUMMYFUNCTION("""COMPUTED_VALUE"""),"Building")</f>
        <v>Building</v>
      </c>
      <c r="E1026" s="15" t="str">
        <f>IFERROR(__xludf.DUMMYFUNCTION("""COMPUTED_VALUE"""),"-")</f>
        <v>-</v>
      </c>
      <c r="F1026" s="15" t="str">
        <f>IFERROR(__xludf.DUMMYFUNCTION("""COMPUTED_VALUE"""),"General - Lampu LED Downlight 9W DN027B G3 D125, 900 lm, 65k, Putih; Philips; -; 1 pc")</f>
        <v>General - Lampu LED Downlight 9W DN027B G3 D125, 900 lm, 65k, Putih; Philips; -; 1 pc</v>
      </c>
      <c r="G1026" s="15">
        <f>IFERROR(__xludf.DUMMYFUNCTION("""COMPUTED_VALUE"""),50.0)</f>
        <v>50</v>
      </c>
      <c r="H1026" s="15" t="str">
        <f>IFERROR(__xludf.DUMMYFUNCTION("""COMPUTED_VALUE"""),"Pieces")</f>
        <v>Pieces</v>
      </c>
      <c r="I1026" s="15" t="str">
        <f>IFERROR(__xludf.DUMMYFUNCTION("""COMPUTED_VALUE"""),"Deliver")</f>
        <v>Deliver</v>
      </c>
      <c r="J1026" s="15" t="str">
        <f>IFERROR(__xludf.DUMMYFUNCTION("""COMPUTED_VALUE"""),"-")</f>
        <v>-</v>
      </c>
      <c r="K1026" s="15" t="str">
        <f>IFERROR(__xludf.DUMMYFUNCTION("""COMPUTED_VALUE"""),"-")</f>
        <v>-</v>
      </c>
      <c r="L1026" s="15" t="str">
        <f>IFERROR(__xludf.DUMMYFUNCTION("""COMPUTED_VALUE"""),"Normal")</f>
        <v>Normal</v>
      </c>
      <c r="M1026" s="18" t="s">
        <v>53</v>
      </c>
      <c r="N1026" s="18" t="s">
        <v>54</v>
      </c>
    </row>
    <row r="1027" hidden="1">
      <c r="A1027" s="15" t="str">
        <f>IFERROR(__xludf.DUMMYFUNCTION("""COMPUTED_VALUE"""),"MFHRO0316")</f>
        <v>MFHRO0316</v>
      </c>
      <c r="B1027" s="16">
        <f>IFERROR(__xludf.DUMMYFUNCTION("""COMPUTED_VALUE"""),46047.83255263889)</f>
        <v>46047.83255</v>
      </c>
      <c r="C1027" s="17">
        <f>IFERROR(__xludf.DUMMYFUNCTION("""COMPUTED_VALUE"""),46047.89049831018)</f>
        <v>46047.8905</v>
      </c>
      <c r="D1027" s="15" t="str">
        <f>IFERROR(__xludf.DUMMYFUNCTION("""COMPUTED_VALUE"""),"Washing")</f>
        <v>Washing</v>
      </c>
      <c r="E1027" s="15" t="str">
        <f>IFERROR(__xludf.DUMMYFUNCTION("""COMPUTED_VALUE"""),"-")</f>
        <v>-</v>
      </c>
      <c r="F1027" s="15" t="str">
        <f>IFERROR(__xludf.DUMMYFUNCTION("""COMPUTED_VALUE"""),"Washing RAR4 - Steel Ball / Gotri 2.5mm; -; -; 1 pck = 100pc")</f>
        <v>Washing RAR4 - Steel Ball / Gotri 2.5mm; -; -; 1 pck = 100pc</v>
      </c>
      <c r="G1027" s="15">
        <f>IFERROR(__xludf.DUMMYFUNCTION("""COMPUTED_VALUE"""),1.0)</f>
        <v>1</v>
      </c>
      <c r="H1027" s="15" t="str">
        <f>IFERROR(__xludf.DUMMYFUNCTION("""COMPUTED_VALUE"""),"Pack")</f>
        <v>Pack</v>
      </c>
      <c r="I1027" s="15" t="str">
        <f>IFERROR(__xludf.DUMMYFUNCTION("""COMPUTED_VALUE"""),"Deliver")</f>
        <v>Deliver</v>
      </c>
      <c r="J1027" s="15" t="str">
        <f>IFERROR(__xludf.DUMMYFUNCTION("""COMPUTED_VALUE"""),"-")</f>
        <v>-</v>
      </c>
      <c r="K1027" s="15" t="str">
        <f>IFERROR(__xludf.DUMMYFUNCTION("""COMPUTED_VALUE"""),"-")</f>
        <v>-</v>
      </c>
      <c r="L1027" s="15" t="str">
        <f>IFERROR(__xludf.DUMMYFUNCTION("""COMPUTED_VALUE"""),"Normal")</f>
        <v>Normal</v>
      </c>
      <c r="M1027" s="18" t="s">
        <v>53</v>
      </c>
      <c r="N1027" s="18" t="s">
        <v>54</v>
      </c>
    </row>
    <row r="1028" hidden="1">
      <c r="A1028" s="15" t="str">
        <f>IFERROR(__xludf.DUMMYFUNCTION("""COMPUTED_VALUE"""),"MFHRO0317")</f>
        <v>MFHRO0317</v>
      </c>
      <c r="B1028" s="16">
        <f>IFERROR(__xludf.DUMMYFUNCTION("""COMPUTED_VALUE"""),46047.83255263889)</f>
        <v>46047.83255</v>
      </c>
      <c r="C1028" s="17">
        <f>IFERROR(__xludf.DUMMYFUNCTION("""COMPUTED_VALUE"""),46047.890604340275)</f>
        <v>46047.8906</v>
      </c>
      <c r="D1028" s="15" t="str">
        <f>IFERROR(__xludf.DUMMYFUNCTION("""COMPUTED_VALUE"""),"FD")</f>
        <v>FD</v>
      </c>
      <c r="E1028" s="15" t="str">
        <f>IFERROR(__xludf.DUMMYFUNCTION("""COMPUTED_VALUE"""),"-")</f>
        <v>-</v>
      </c>
      <c r="F1028" s="15" t="str">
        <f>IFERROR(__xludf.DUMMYFUNCTION("""COMPUTED_VALUE"""),"General - Diaphragm 40 mm ER Grade EPDM; Saunders; DA040ER M4; 1 Pc")</f>
        <v>General - Diaphragm 40 mm ER Grade EPDM; Saunders; DA040ER M4; 1 Pc</v>
      </c>
      <c r="G1028" s="15">
        <f>IFERROR(__xludf.DUMMYFUNCTION("""COMPUTED_VALUE"""),24.0)</f>
        <v>24</v>
      </c>
      <c r="H1028" s="15" t="str">
        <f>IFERROR(__xludf.DUMMYFUNCTION("""COMPUTED_VALUE"""),"Pieces")</f>
        <v>Pieces</v>
      </c>
      <c r="I1028" s="15" t="str">
        <f>IFERROR(__xludf.DUMMYFUNCTION("""COMPUTED_VALUE"""),"Deliver")</f>
        <v>Deliver</v>
      </c>
      <c r="J1028" s="15" t="str">
        <f>IFERROR(__xludf.DUMMYFUNCTION("""COMPUTED_VALUE"""),"-")</f>
        <v>-</v>
      </c>
      <c r="K1028" s="15" t="str">
        <f>IFERROR(__xludf.DUMMYFUNCTION("""COMPUTED_VALUE"""),"-")</f>
        <v>-</v>
      </c>
      <c r="L1028" s="15" t="str">
        <f>IFERROR(__xludf.DUMMYFUNCTION("""COMPUTED_VALUE"""),"Normal")</f>
        <v>Normal</v>
      </c>
      <c r="M1028" s="18" t="s">
        <v>53</v>
      </c>
      <c r="N1028" s="18" t="s">
        <v>54</v>
      </c>
    </row>
    <row r="1029" hidden="1">
      <c r="A1029" s="15" t="str">
        <f>IFERROR(__xludf.DUMMYFUNCTION("""COMPUTED_VALUE"""),"MFHRO0318")</f>
        <v>MFHRO0318</v>
      </c>
      <c r="B1029" s="16">
        <f>IFERROR(__xludf.DUMMYFUNCTION("""COMPUTED_VALUE"""),46047.83255263889)</f>
        <v>46047.83255</v>
      </c>
      <c r="C1029" s="17">
        <f>IFERROR(__xludf.DUMMYFUNCTION("""COMPUTED_VALUE"""),46047.89109675926)</f>
        <v>46047.8911</v>
      </c>
      <c r="D1029" s="15" t="str">
        <f>IFERROR(__xludf.DUMMYFUNCTION("""COMPUTED_VALUE"""),"FD")</f>
        <v>FD</v>
      </c>
      <c r="E1029" s="15" t="str">
        <f>IFERROR(__xludf.DUMMYFUNCTION("""COMPUTED_VALUE"""),"-")</f>
        <v>-</v>
      </c>
      <c r="F1029" s="15" t="str">
        <f>IFERROR(__xludf.DUMMYFUNCTION("""COMPUTED_VALUE"""),"General - Diaphragm 25 mm ER Grade EPDM; Saunders; DA025ER M4; 1 Pc")</f>
        <v>General - Diaphragm 25 mm ER Grade EPDM; Saunders; DA025ER M4; 1 Pc</v>
      </c>
      <c r="G1029" s="15">
        <f>IFERROR(__xludf.DUMMYFUNCTION("""COMPUTED_VALUE"""),40.0)</f>
        <v>40</v>
      </c>
      <c r="H1029" s="15" t="str">
        <f>IFERROR(__xludf.DUMMYFUNCTION("""COMPUTED_VALUE"""),"Pieces")</f>
        <v>Pieces</v>
      </c>
      <c r="I1029" s="15" t="str">
        <f>IFERROR(__xludf.DUMMYFUNCTION("""COMPUTED_VALUE"""),"Deliver")</f>
        <v>Deliver</v>
      </c>
      <c r="J1029" s="15" t="str">
        <f>IFERROR(__xludf.DUMMYFUNCTION("""COMPUTED_VALUE"""),"121703688 - APPROVED")</f>
        <v>121703688 - APPROVED</v>
      </c>
      <c r="K1029" s="15" t="str">
        <f>IFERROR(__xludf.DUMMYFUNCTION("""COMPUTED_VALUE"""),"GL2602004")</f>
        <v>GL2602004</v>
      </c>
      <c r="L1029" s="15" t="str">
        <f>IFERROR(__xludf.DUMMYFUNCTION("""COMPUTED_VALUE"""),"Normal")</f>
        <v>Normal</v>
      </c>
      <c r="M1029" s="18" t="s">
        <v>53</v>
      </c>
      <c r="N1029" s="18" t="s">
        <v>54</v>
      </c>
    </row>
    <row r="1030" hidden="1">
      <c r="A1030" s="15" t="str">
        <f>IFERROR(__xludf.DUMMYFUNCTION("""COMPUTED_VALUE"""),"MFHRO0319")</f>
        <v>MFHRO0319</v>
      </c>
      <c r="B1030" s="16">
        <f>IFERROR(__xludf.DUMMYFUNCTION("""COMPUTED_VALUE"""),46047.83255263889)</f>
        <v>46047.83255</v>
      </c>
      <c r="C1030" s="17">
        <f>IFERROR(__xludf.DUMMYFUNCTION("""COMPUTED_VALUE"""),46047.891193449075)</f>
        <v>46047.89119</v>
      </c>
      <c r="D1030" s="15" t="str">
        <f>IFERROR(__xludf.DUMMYFUNCTION("""COMPUTED_VALUE"""),"FD")</f>
        <v>FD</v>
      </c>
      <c r="E1030" s="15" t="str">
        <f>IFERROR(__xludf.DUMMYFUNCTION("""COMPUTED_VALUE"""),"-")</f>
        <v>-</v>
      </c>
      <c r="F1030" s="15" t="str">
        <f>IFERROR(__xludf.DUMMYFUNCTION("""COMPUTED_VALUE"""),"General - Diaphragm Grade ER SQUARE Type A EPDM Diaphragm Screw; Saunders; DP008ER; 1 Pc")</f>
        <v>General - Diaphragm Grade ER SQUARE Type A EPDM Diaphragm Screw; Saunders; DP008ER; 1 Pc</v>
      </c>
      <c r="G1030" s="15">
        <f>IFERROR(__xludf.DUMMYFUNCTION("""COMPUTED_VALUE"""),4.0)</f>
        <v>4</v>
      </c>
      <c r="H1030" s="15" t="str">
        <f>IFERROR(__xludf.DUMMYFUNCTION("""COMPUTED_VALUE"""),"Pieces")</f>
        <v>Pieces</v>
      </c>
      <c r="I1030" s="15" t="str">
        <f>IFERROR(__xludf.DUMMYFUNCTION("""COMPUTED_VALUE"""),"Deliver")</f>
        <v>Deliver</v>
      </c>
      <c r="J1030" s="15" t="str">
        <f>IFERROR(__xludf.DUMMYFUNCTION("""COMPUTED_VALUE"""),"121703688 - APPROVED")</f>
        <v>121703688 - APPROVED</v>
      </c>
      <c r="K1030" s="15" t="str">
        <f>IFERROR(__xludf.DUMMYFUNCTION("""COMPUTED_VALUE"""),"GL2602004")</f>
        <v>GL2602004</v>
      </c>
      <c r="L1030" s="15" t="str">
        <f>IFERROR(__xludf.DUMMYFUNCTION("""COMPUTED_VALUE"""),"Normal")</f>
        <v>Normal</v>
      </c>
      <c r="M1030" s="18" t="s">
        <v>53</v>
      </c>
      <c r="N1030" s="18" t="s">
        <v>54</v>
      </c>
    </row>
    <row r="1031" hidden="1">
      <c r="A1031" s="15" t="str">
        <f>IFERROR(__xludf.DUMMYFUNCTION("""COMPUTED_VALUE"""),"MFHRO0320")</f>
        <v>MFHRO0320</v>
      </c>
      <c r="B1031" s="16">
        <f>IFERROR(__xludf.DUMMYFUNCTION("""COMPUTED_VALUE"""),46047.83255263889)</f>
        <v>46047.83255</v>
      </c>
      <c r="C1031" s="17">
        <f>IFERROR(__xludf.DUMMYFUNCTION("""COMPUTED_VALUE"""),46047.89131820602)</f>
        <v>46047.89132</v>
      </c>
      <c r="D1031" s="15" t="str">
        <f>IFERROR(__xludf.DUMMYFUNCTION("""COMPUTED_VALUE"""),"Coating")</f>
        <v>Coating</v>
      </c>
      <c r="E1031" s="15" t="str">
        <f>IFERROR(__xludf.DUMMYFUNCTION("""COMPUTED_VALUE"""),"-")</f>
        <v>-</v>
      </c>
      <c r="F1031" s="15" t="str">
        <f>IFERROR(__xludf.DUMMYFUNCTION("""COMPUTED_VALUE"""),"Coating PLAB - Inflatable Silicone Sealing Ring; ; GDA040193; 1 Pc")</f>
        <v>Coating PLAB - Inflatable Silicone Sealing Ring; ; GDA040193; 1 Pc</v>
      </c>
      <c r="G1031" s="15">
        <f>IFERROR(__xludf.DUMMYFUNCTION("""COMPUTED_VALUE"""),1.0)</f>
        <v>1</v>
      </c>
      <c r="H1031" s="15" t="str">
        <f>IFERROR(__xludf.DUMMYFUNCTION("""COMPUTED_VALUE"""),"Pieces")</f>
        <v>Pieces</v>
      </c>
      <c r="I1031" s="15" t="str">
        <f>IFERROR(__xludf.DUMMYFUNCTION("""COMPUTED_VALUE"""),"Deliver")</f>
        <v>Deliver</v>
      </c>
      <c r="J1031" s="15" t="str">
        <f>IFERROR(__xludf.DUMMYFUNCTION("""COMPUTED_VALUE"""),"121703688 - APPROVED")</f>
        <v>121703688 - APPROVED</v>
      </c>
      <c r="K1031" s="15" t="str">
        <f>IFERROR(__xludf.DUMMYFUNCTION("""COMPUTED_VALUE"""),"GL2602004")</f>
        <v>GL2602004</v>
      </c>
      <c r="L1031" s="15" t="str">
        <f>IFERROR(__xludf.DUMMYFUNCTION("""COMPUTED_VALUE"""),"Normal")</f>
        <v>Normal</v>
      </c>
      <c r="M1031" s="18" t="s">
        <v>53</v>
      </c>
      <c r="N1031" s="18" t="s">
        <v>54</v>
      </c>
    </row>
    <row r="1032" hidden="1">
      <c r="A1032" s="15" t="str">
        <f>IFERROR(__xludf.DUMMYFUNCTION("""COMPUTED_VALUE"""),"MFHRO0321")</f>
        <v>MFHRO0321</v>
      </c>
      <c r="B1032" s="16">
        <f>IFERROR(__xludf.DUMMYFUNCTION("""COMPUTED_VALUE"""),46047.83255263889)</f>
        <v>46047.83255</v>
      </c>
      <c r="C1032" s="17">
        <f>IFERROR(__xludf.DUMMYFUNCTION("""COMPUTED_VALUE"""),46047.89140552083)</f>
        <v>46047.89141</v>
      </c>
      <c r="D1032" s="15" t="str">
        <f>IFERROR(__xludf.DUMMYFUNCTION("""COMPUTED_VALUE"""),"Coating")</f>
        <v>Coating</v>
      </c>
      <c r="E1032" s="15" t="str">
        <f>IFERROR(__xludf.DUMMYFUNCTION("""COMPUTED_VALUE"""),"-")</f>
        <v>-</v>
      </c>
      <c r="F1032" s="15" t="str">
        <f>IFERROR(__xludf.DUMMYFUNCTION("""COMPUTED_VALUE"""),"Coating PLAB - Directional Control Valve; SMC; VNA101A-F6A; 1 Pc")</f>
        <v>Coating PLAB - Directional Control Valve; SMC; VNA101A-F6A; 1 Pc</v>
      </c>
      <c r="G1032" s="15">
        <f>IFERROR(__xludf.DUMMYFUNCTION("""COMPUTED_VALUE"""),3.0)</f>
        <v>3</v>
      </c>
      <c r="H1032" s="15" t="str">
        <f>IFERROR(__xludf.DUMMYFUNCTION("""COMPUTED_VALUE"""),"Pieces")</f>
        <v>Pieces</v>
      </c>
      <c r="I1032" s="15" t="str">
        <f>IFERROR(__xludf.DUMMYFUNCTION("""COMPUTED_VALUE"""),"Deliver")</f>
        <v>Deliver</v>
      </c>
      <c r="J1032" s="15" t="str">
        <f>IFERROR(__xludf.DUMMYFUNCTION("""COMPUTED_VALUE"""),"121703689 - APPROVED")</f>
        <v>121703689 - APPROVED</v>
      </c>
      <c r="K1032" s="15" t="str">
        <f>IFERROR(__xludf.DUMMYFUNCTION("""COMPUTED_VALUE"""),"GL2602369")</f>
        <v>GL2602369</v>
      </c>
      <c r="L1032" s="15" t="str">
        <f>IFERROR(__xludf.DUMMYFUNCTION("""COMPUTED_VALUE"""),"Normal")</f>
        <v>Normal</v>
      </c>
      <c r="M1032" s="18" t="s">
        <v>53</v>
      </c>
      <c r="N1032" s="18" t="s">
        <v>54</v>
      </c>
    </row>
    <row r="1033" hidden="1">
      <c r="A1033" s="15" t="str">
        <f>IFERROR(__xludf.DUMMYFUNCTION("""COMPUTED_VALUE"""),"MFHRO0322")</f>
        <v>MFHRO0322</v>
      </c>
      <c r="B1033" s="16">
        <f>IFERROR(__xludf.DUMMYFUNCTION("""COMPUTED_VALUE"""),46047.83255263889)</f>
        <v>46047.83255</v>
      </c>
      <c r="C1033" s="17">
        <f>IFERROR(__xludf.DUMMYFUNCTION("""COMPUTED_VALUE"""),46047.89163672453)</f>
        <v>46047.89164</v>
      </c>
      <c r="D1033" s="15" t="str">
        <f>IFERROR(__xludf.DUMMYFUNCTION("""COMPUTED_VALUE"""),"Coating")</f>
        <v>Coating</v>
      </c>
      <c r="E1033" s="15" t="str">
        <f>IFERROR(__xludf.DUMMYFUNCTION("""COMPUTED_VALUE"""),"-")</f>
        <v>-</v>
      </c>
      <c r="F1033" s="15" t="str">
        <f>IFERROR(__xludf.DUMMYFUNCTION("""COMPUTED_VALUE"""),"Coating PLAB - Spare Kit; SMC; VN1-A3AA; ; ; 1 Pc")</f>
        <v>Coating PLAB - Spare Kit; SMC; VN1-A3AA; ; ; 1 Pc</v>
      </c>
      <c r="G1033" s="15">
        <f>IFERROR(__xludf.DUMMYFUNCTION("""COMPUTED_VALUE"""),3.0)</f>
        <v>3</v>
      </c>
      <c r="H1033" s="15" t="str">
        <f>IFERROR(__xludf.DUMMYFUNCTION("""COMPUTED_VALUE"""),"Pieces")</f>
        <v>Pieces</v>
      </c>
      <c r="I1033" s="15" t="str">
        <f>IFERROR(__xludf.DUMMYFUNCTION("""COMPUTED_VALUE"""),"Deliver")</f>
        <v>Deliver</v>
      </c>
      <c r="J1033" s="15" t="str">
        <f>IFERROR(__xludf.DUMMYFUNCTION("""COMPUTED_VALUE"""),"121703690 - APPROVED")</f>
        <v>121703690 - APPROVED</v>
      </c>
      <c r="K1033" s="15" t="str">
        <f>IFERROR(__xludf.DUMMYFUNCTION("""COMPUTED_VALUE"""),"GL2602374")</f>
        <v>GL2602374</v>
      </c>
      <c r="L1033" s="15" t="str">
        <f>IFERROR(__xludf.DUMMYFUNCTION("""COMPUTED_VALUE"""),"Normal")</f>
        <v>Normal</v>
      </c>
      <c r="M1033" s="18" t="s">
        <v>53</v>
      </c>
      <c r="N1033" s="18" t="s">
        <v>54</v>
      </c>
    </row>
    <row r="1034" hidden="1">
      <c r="A1034" s="15" t="str">
        <f>IFERROR(__xludf.DUMMYFUNCTION("""COMPUTED_VALUE"""),"MFHRO0323")</f>
        <v>MFHRO0323</v>
      </c>
      <c r="B1034" s="16">
        <f>IFERROR(__xludf.DUMMYFUNCTION("""COMPUTED_VALUE"""),46047.83255263889)</f>
        <v>46047.83255</v>
      </c>
      <c r="C1034" s="17">
        <f>IFERROR(__xludf.DUMMYFUNCTION("""COMPUTED_VALUE"""),46047.89174789352)</f>
        <v>46047.89175</v>
      </c>
      <c r="D1034" s="15" t="str">
        <f>IFERROR(__xludf.DUMMYFUNCTION("""COMPUTED_VALUE"""),"Coating")</f>
        <v>Coating</v>
      </c>
      <c r="E1034" s="15" t="str">
        <f>IFERROR(__xludf.DUMMYFUNCTION("""COMPUTED_VALUE"""),"-")</f>
        <v>-</v>
      </c>
      <c r="F1034" s="15" t="str">
        <f>IFERROR(__xludf.DUMMYFUNCTION("""COMPUTED_VALUE"""),"Coating PLAB - Spare Kit; SMC; VN1-4AA; ; ; 1 Pc")</f>
        <v>Coating PLAB - Spare Kit; SMC; VN1-4AA; ; ; 1 Pc</v>
      </c>
      <c r="G1034" s="15">
        <f>IFERROR(__xludf.DUMMYFUNCTION("""COMPUTED_VALUE"""),3.0)</f>
        <v>3</v>
      </c>
      <c r="H1034" s="15" t="str">
        <f>IFERROR(__xludf.DUMMYFUNCTION("""COMPUTED_VALUE"""),"Pieces")</f>
        <v>Pieces</v>
      </c>
      <c r="I1034" s="15" t="str">
        <f>IFERROR(__xludf.DUMMYFUNCTION("""COMPUTED_VALUE"""),"Deliver")</f>
        <v>Deliver</v>
      </c>
      <c r="J1034" s="15" t="str">
        <f>IFERROR(__xludf.DUMMYFUNCTION("""COMPUTED_VALUE"""),"121703690 - APPROVED")</f>
        <v>121703690 - APPROVED</v>
      </c>
      <c r="K1034" s="15" t="str">
        <f>IFERROR(__xludf.DUMMYFUNCTION("""COMPUTED_VALUE"""),"GL2602374")</f>
        <v>GL2602374</v>
      </c>
      <c r="L1034" s="15" t="str">
        <f>IFERROR(__xludf.DUMMYFUNCTION("""COMPUTED_VALUE"""),"Normal")</f>
        <v>Normal</v>
      </c>
      <c r="M1034" s="18" t="s">
        <v>53</v>
      </c>
      <c r="N1034" s="18" t="s">
        <v>54</v>
      </c>
    </row>
    <row r="1035" hidden="1">
      <c r="A1035" s="15" t="str">
        <f>IFERROR(__xludf.DUMMYFUNCTION("""COMPUTED_VALUE"""),"MFHRO0324")</f>
        <v>MFHRO0324</v>
      </c>
      <c r="B1035" s="16">
        <f>IFERROR(__xludf.DUMMYFUNCTION("""COMPUTED_VALUE"""),46047.83255263889)</f>
        <v>46047.83255</v>
      </c>
      <c r="C1035" s="17">
        <f>IFERROR(__xludf.DUMMYFUNCTION("""COMPUTED_VALUE"""),46047.89230357639)</f>
        <v>46047.8923</v>
      </c>
      <c r="D1035" s="15" t="str">
        <f>IFERROR(__xludf.DUMMYFUNCTION("""COMPUTED_VALUE"""),"Building")</f>
        <v>Building</v>
      </c>
      <c r="E1035" s="15" t="str">
        <f>IFERROR(__xludf.DUMMYFUNCTION("""COMPUTED_VALUE"""),"-")</f>
        <v>-</v>
      </c>
      <c r="F1035" s="15" t="str">
        <f>IFERROR(__xludf.DUMMYFUNCTION("""COMPUTED_VALUE"""),"General - Drain Sewerage Opener GL-10; No Brand; -; 1 pc")</f>
        <v>General - Drain Sewerage Opener GL-10; No Brand; -; 1 pc</v>
      </c>
      <c r="G1035" s="15">
        <f>IFERROR(__xludf.DUMMYFUNCTION("""COMPUTED_VALUE"""),2.0)</f>
        <v>2</v>
      </c>
      <c r="H1035" s="15" t="str">
        <f>IFERROR(__xludf.DUMMYFUNCTION("""COMPUTED_VALUE"""),"Liter")</f>
        <v>Liter</v>
      </c>
      <c r="I1035" s="15" t="str">
        <f>IFERROR(__xludf.DUMMYFUNCTION("""COMPUTED_VALUE"""),"Deliver")</f>
        <v>Deliver</v>
      </c>
      <c r="J1035" s="15" t="str">
        <f>IFERROR(__xludf.DUMMYFUNCTION("""COMPUTED_VALUE"""),"121703690 - APPROVED")</f>
        <v>121703690 - APPROVED</v>
      </c>
      <c r="K1035" s="15" t="str">
        <f>IFERROR(__xludf.DUMMYFUNCTION("""COMPUTED_VALUE"""),"GL2602374")</f>
        <v>GL2602374</v>
      </c>
      <c r="L1035" s="15" t="str">
        <f>IFERROR(__xludf.DUMMYFUNCTION("""COMPUTED_VALUE"""),"Normal")</f>
        <v>Normal</v>
      </c>
      <c r="M1035" s="18" t="s">
        <v>53</v>
      </c>
      <c r="N1035" s="18" t="s">
        <v>54</v>
      </c>
    </row>
    <row r="1036" hidden="1">
      <c r="A1036" s="15" t="str">
        <f>IFERROR(__xludf.DUMMYFUNCTION("""COMPUTED_VALUE"""),"MFHBR0019")</f>
        <v>MFHBR0019</v>
      </c>
      <c r="B1036" s="16">
        <f>IFERROR(__xludf.DUMMYFUNCTION("""COMPUTED_VALUE"""),46062.37800035879)</f>
        <v>46062.378</v>
      </c>
      <c r="C1036" s="17">
        <f>IFERROR(__xludf.DUMMYFUNCTION("""COMPUTED_VALUE"""),46047.89265155092)</f>
        <v>46047.89265</v>
      </c>
      <c r="D1036" s="15" t="str">
        <f>IFERROR(__xludf.DUMMYFUNCTION("""COMPUTED_VALUE"""),"Coating")</f>
        <v>Coating</v>
      </c>
      <c r="E1036" s="15" t="str">
        <f>IFERROR(__xludf.DUMMYFUNCTION("""COMPUTED_VALUE"""),"EJO/2026/02/01")</f>
        <v>EJO/2026/02/01</v>
      </c>
      <c r="F1036" s="15" t="str">
        <f>IFERROR(__xludf.DUMMYFUNCTION("""COMPUTED_VALUE"""),"Coating PLAB - Directional Control Valve; SMC; VNA101A-F6A; 1 Pc")</f>
        <v>Coating PLAB - Directional Control Valve; SMC; VNA101A-F6A; 1 Pc</v>
      </c>
      <c r="G1036" s="15">
        <f>IFERROR(__xludf.DUMMYFUNCTION("""COMPUTED_VALUE"""),3.0)</f>
        <v>3</v>
      </c>
      <c r="H1036" s="15" t="str">
        <f>IFERROR(__xludf.DUMMYFUNCTION("""COMPUTED_VALUE"""),"Pcs")</f>
        <v>Pcs</v>
      </c>
      <c r="I1036" s="15" t="str">
        <f>IFERROR(__xludf.DUMMYFUNCTION("""COMPUTED_VALUE"""),"Deliver")</f>
        <v>Deliver</v>
      </c>
      <c r="J1036" s="15" t="str">
        <f>IFERROR(__xludf.DUMMYFUNCTION("""COMPUTED_VALUE"""),"-")</f>
        <v>-</v>
      </c>
      <c r="K1036" s="15" t="str">
        <f>IFERROR(__xludf.DUMMYFUNCTION("""COMPUTED_VALUE"""),"-")</f>
        <v>-</v>
      </c>
      <c r="L1036" s="15" t="str">
        <f>IFERROR(__xludf.DUMMYFUNCTION("""COMPUTED_VALUE"""),"Normal")</f>
        <v>Normal</v>
      </c>
      <c r="M1036" s="18" t="s">
        <v>53</v>
      </c>
      <c r="N1036" s="18" t="s">
        <v>54</v>
      </c>
    </row>
    <row r="1037" hidden="1">
      <c r="A1037" s="15" t="str">
        <f>IFERROR(__xludf.DUMMYFUNCTION("""COMPUTED_VALUE"""),"MFHBR0020")</f>
        <v>MFHBR0020</v>
      </c>
      <c r="B1037" s="16">
        <f>IFERROR(__xludf.DUMMYFUNCTION("""COMPUTED_VALUE"""),46062.37783008102)</f>
        <v>46062.37783</v>
      </c>
      <c r="C1037" s="17">
        <f>IFERROR(__xludf.DUMMYFUNCTION("""COMPUTED_VALUE"""),46047.89274121528)</f>
        <v>46047.89274</v>
      </c>
      <c r="D1037" s="15" t="str">
        <f>IFERROR(__xludf.DUMMYFUNCTION("""COMPUTED_VALUE"""),"Building")</f>
        <v>Building</v>
      </c>
      <c r="E1037" s="15" t="str">
        <f>IFERROR(__xludf.DUMMYFUNCTION("""COMPUTED_VALUE"""),"-")</f>
        <v>-</v>
      </c>
      <c r="F1037" s="15" t="str">
        <f>IFERROR(__xludf.DUMMYFUNCTION("""COMPUTED_VALUE"""),"Renovation - Penambahan AHU B1-3")</f>
        <v>Renovation - Penambahan AHU B1-3</v>
      </c>
      <c r="G1037" s="15">
        <f>IFERROR(__xludf.DUMMYFUNCTION("""COMPUTED_VALUE"""),1.0)</f>
        <v>1</v>
      </c>
      <c r="H1037" s="15" t="str">
        <f>IFERROR(__xludf.DUMMYFUNCTION("""COMPUTED_VALUE"""),"Lot")</f>
        <v>Lot</v>
      </c>
      <c r="I1037" s="15" t="str">
        <f>IFERROR(__xludf.DUMMYFUNCTION("""COMPUTED_VALUE"""),"PO Open")</f>
        <v>PO Open</v>
      </c>
      <c r="J1037" s="15" t="str">
        <f>IFERROR(__xludf.DUMMYFUNCTION("""COMPUTED_VALUE"""),"121703291 - APPROVED")</f>
        <v>121703291 - APPROVED</v>
      </c>
      <c r="K1037" s="15" t="str">
        <f>IFERROR(__xludf.DUMMYFUNCTION("""COMPUTED_VALUE"""),"-")</f>
        <v>-</v>
      </c>
      <c r="L1037" s="15" t="str">
        <f>IFERROR(__xludf.DUMMYFUNCTION("""COMPUTED_VALUE"""),"Normal")</f>
        <v>Normal</v>
      </c>
      <c r="M1037" s="18" t="s">
        <v>53</v>
      </c>
      <c r="N1037" s="18" t="s">
        <v>54</v>
      </c>
    </row>
    <row r="1038" hidden="1">
      <c r="A1038" s="15" t="str">
        <f>IFERROR(__xludf.DUMMYFUNCTION("""COMPUTED_VALUE"""),"MFHBR0021")</f>
        <v>MFHBR0021</v>
      </c>
      <c r="B1038" s="16">
        <f>IFERROR(__xludf.DUMMYFUNCTION("""COMPUTED_VALUE"""),46062.37783008102)</f>
        <v>46062.37783</v>
      </c>
      <c r="C1038" s="17">
        <f>IFERROR(__xludf.DUMMYFUNCTION("""COMPUTED_VALUE"""),46047.89282384259)</f>
        <v>46047.89282</v>
      </c>
      <c r="D1038" s="15" t="str">
        <f>IFERROR(__xludf.DUMMYFUNCTION("""COMPUTED_VALUE"""),"FD")</f>
        <v>FD</v>
      </c>
      <c r="E1038" s="15" t="str">
        <f>IFERROR(__xludf.DUMMYFUNCTION("""COMPUTED_VALUE"""),"-")</f>
        <v>-</v>
      </c>
      <c r="F1038" s="15" t="str">
        <f>IFERROR(__xludf.DUMMYFUNCTION("""COMPUTED_VALUE"""),"Machine Equipment; ; ; - Suplai dan Instalasi Sistim Exhaust untuk Chimney, BIBO/Safe Change + Preparasi")</f>
        <v>Machine Equipment; ; ; - Suplai dan Instalasi Sistim Exhaust untuk Chimney, BIBO/Safe Change + Preparasi</v>
      </c>
      <c r="G1038" s="15">
        <f>IFERROR(__xludf.DUMMYFUNCTION("""COMPUTED_VALUE"""),1.0)</f>
        <v>1</v>
      </c>
      <c r="H1038" s="15" t="str">
        <f>IFERROR(__xludf.DUMMYFUNCTION("""COMPUTED_VALUE"""),"Lot")</f>
        <v>Lot</v>
      </c>
      <c r="I1038" s="15" t="str">
        <f>IFERROR(__xludf.DUMMYFUNCTION("""COMPUTED_VALUE"""),"Deliver")</f>
        <v>Deliver</v>
      </c>
      <c r="J1038" s="15" t="str">
        <f>IFERROR(__xludf.DUMMYFUNCTION("""COMPUTED_VALUE"""),"121703500 - APPROVED")</f>
        <v>121703500 - APPROVED</v>
      </c>
      <c r="K1038" s="15" t="str">
        <f>IFERROR(__xludf.DUMMYFUNCTION("""COMPUTED_VALUE"""),"GL2601005")</f>
        <v>GL2601005</v>
      </c>
      <c r="L1038" s="15" t="str">
        <f>IFERROR(__xludf.DUMMYFUNCTION("""COMPUTED_VALUE"""),"Normal")</f>
        <v>Normal</v>
      </c>
      <c r="M1038" s="18" t="s">
        <v>53</v>
      </c>
      <c r="N1038" s="18" t="s">
        <v>54</v>
      </c>
    </row>
    <row r="1039" hidden="1">
      <c r="A1039" s="15" t="str">
        <f>IFERROR(__xludf.DUMMYFUNCTION("""COMPUTED_VALUE"""),"MFHBR0022")</f>
        <v>MFHBR0022</v>
      </c>
      <c r="B1039" s="16">
        <f>IFERROR(__xludf.DUMMYFUNCTION("""COMPUTED_VALUE"""),46062.37783008102)</f>
        <v>46062.37783</v>
      </c>
      <c r="C1039" s="17">
        <f>IFERROR(__xludf.DUMMYFUNCTION("""COMPUTED_VALUE"""),46047.892903368054)</f>
        <v>46047.8929</v>
      </c>
      <c r="D1039" s="15" t="str">
        <f>IFERROR(__xludf.DUMMYFUNCTION("""COMPUTED_VALUE"""),"Water System")</f>
        <v>Water System</v>
      </c>
      <c r="E1039" s="15" t="str">
        <f>IFERROR(__xludf.DUMMYFUNCTION("""COMPUTED_VALUE"""),"-")</f>
        <v>-</v>
      </c>
      <c r="F1039" s="15" t="str">
        <f>IFERROR(__xludf.DUMMYFUNCTION("""COMPUTED_VALUE"""),"Inverter")</f>
        <v>Inverter</v>
      </c>
      <c r="G1039" s="15">
        <f>IFERROR(__xludf.DUMMYFUNCTION("""COMPUTED_VALUE"""),1.0)</f>
        <v>1</v>
      </c>
      <c r="H1039" s="15" t="str">
        <f>IFERROR(__xludf.DUMMYFUNCTION("""COMPUTED_VALUE"""),"Unit")</f>
        <v>Unit</v>
      </c>
      <c r="I1039" s="15" t="str">
        <f>IFERROR(__xludf.DUMMYFUNCTION("""COMPUTED_VALUE"""),"Deliver")</f>
        <v>Deliver</v>
      </c>
      <c r="J1039" s="15" t="str">
        <f>IFERROR(__xludf.DUMMYFUNCTION("""COMPUTED_VALUE"""),"-")</f>
        <v>-</v>
      </c>
      <c r="K1039" s="15" t="str">
        <f>IFERROR(__xludf.DUMMYFUNCTION("""COMPUTED_VALUE"""),"-")</f>
        <v>-</v>
      </c>
      <c r="L1039" s="15" t="str">
        <f>IFERROR(__xludf.DUMMYFUNCTION("""COMPUTED_VALUE"""),"Normal")</f>
        <v>Normal</v>
      </c>
      <c r="M1039" s="18" t="s">
        <v>53</v>
      </c>
      <c r="N1039" s="18" t="s">
        <v>54</v>
      </c>
    </row>
    <row r="1040" hidden="1">
      <c r="A1040" s="15" t="str">
        <f>IFERROR(__xludf.DUMMYFUNCTION("""COMPUTED_VALUE"""),"MFHBR0023")</f>
        <v>MFHBR0023</v>
      </c>
      <c r="B1040" s="16">
        <f>IFERROR(__xludf.DUMMYFUNCTION("""COMPUTED_VALUE"""),46062.37783008102)</f>
        <v>46062.37783</v>
      </c>
      <c r="C1040" s="17">
        <f>IFERROR(__xludf.DUMMYFUNCTION("""COMPUTED_VALUE"""),46047.89297937501)</f>
        <v>46047.89298</v>
      </c>
      <c r="D1040" s="15" t="str">
        <f>IFERROR(__xludf.DUMMYFUNCTION("""COMPUTED_VALUE"""),"Building")</f>
        <v>Building</v>
      </c>
      <c r="E1040" s="15" t="str">
        <f>IFERROR(__xludf.DUMMYFUNCTION("""COMPUTED_VALUE"""),"-")</f>
        <v>-</v>
      </c>
      <c r="F1040" s="15" t="str">
        <f>IFERROR(__xludf.DUMMYFUNCTION("""COMPUTED_VALUE"""),"Machine Equipment; ; ; - Addtitional Project Pipa Utilitas - Addtitional Project Pipa Utilitas - Addtitional Project Pipa Utilitas - Addtitional Project Pipa Utilitas - Addtitional Project Pipa Utilitas - Addtitional Project Pipa Utilitas")</f>
        <v>Machine Equipment; ; ; - Addtitional Project Pipa Utilitas - Addtitional Project Pipa Utilitas - Addtitional Project Pipa Utilitas - Addtitional Project Pipa Utilitas - Addtitional Project Pipa Utilitas - Addtitional Project Pipa Utilitas</v>
      </c>
      <c r="G1040" s="15">
        <f>IFERROR(__xludf.DUMMYFUNCTION("""COMPUTED_VALUE"""),1.0)</f>
        <v>1</v>
      </c>
      <c r="H1040" s="15" t="str">
        <f>IFERROR(__xludf.DUMMYFUNCTION("""COMPUTED_VALUE"""),"Lot")</f>
        <v>Lot</v>
      </c>
      <c r="I1040" s="15" t="str">
        <f>IFERROR(__xludf.DUMMYFUNCTION("""COMPUTED_VALUE"""),"Deliver")</f>
        <v>Deliver</v>
      </c>
      <c r="J1040" s="15" t="str">
        <f>IFERROR(__xludf.DUMMYFUNCTION("""COMPUTED_VALUE"""),"121703584 - APPROVED")</f>
        <v>121703584 - APPROVED</v>
      </c>
      <c r="K1040" s="15" t="str">
        <f>IFERROR(__xludf.DUMMYFUNCTION("""COMPUTED_VALUE"""),"-")</f>
        <v>-</v>
      </c>
      <c r="L1040" s="15" t="str">
        <f>IFERROR(__xludf.DUMMYFUNCTION("""COMPUTED_VALUE"""),"Normal")</f>
        <v>Normal</v>
      </c>
      <c r="M1040" s="18" t="s">
        <v>53</v>
      </c>
      <c r="N1040" s="18" t="s">
        <v>54</v>
      </c>
    </row>
    <row r="1041" hidden="1">
      <c r="A1041" s="15" t="str">
        <f>IFERROR(__xludf.DUMMYFUNCTION("""COMPUTED_VALUE"""),"MFHBR0024")</f>
        <v>MFHBR0024</v>
      </c>
      <c r="B1041" s="16">
        <f>IFERROR(__xludf.DUMMYFUNCTION("""COMPUTED_VALUE"""),46062.37783008102)</f>
        <v>46062.37783</v>
      </c>
      <c r="C1041" s="17">
        <f>IFERROR(__xludf.DUMMYFUNCTION("""COMPUTED_VALUE"""),46047.89306042824)</f>
        <v>46047.89306</v>
      </c>
      <c r="D1041" s="15" t="str">
        <f>IFERROR(__xludf.DUMMYFUNCTION("""COMPUTED_VALUE"""),"Building")</f>
        <v>Building</v>
      </c>
      <c r="E1041" s="15" t="str">
        <f>IFERROR(__xludf.DUMMYFUNCTION("""COMPUTED_VALUE"""),"-")</f>
        <v>-</v>
      </c>
      <c r="F1041" s="15" t="str">
        <f>IFERROR(__xludf.DUMMYFUNCTION("""COMPUTED_VALUE"""),"Flow Meter")</f>
        <v>Flow Meter</v>
      </c>
      <c r="G1041" s="15">
        <f>IFERROR(__xludf.DUMMYFUNCTION("""COMPUTED_VALUE"""),1.0)</f>
        <v>1</v>
      </c>
      <c r="H1041" s="15" t="str">
        <f>IFERROR(__xludf.DUMMYFUNCTION("""COMPUTED_VALUE"""),"Unit")</f>
        <v>Unit</v>
      </c>
      <c r="I1041" s="15" t="str">
        <f>IFERROR(__xludf.DUMMYFUNCTION("""COMPUTED_VALUE"""),"Deliver")</f>
        <v>Deliver</v>
      </c>
      <c r="J1041" s="15" t="str">
        <f>IFERROR(__xludf.DUMMYFUNCTION("""COMPUTED_VALUE"""),"121703597 - APPROVED")</f>
        <v>121703597 - APPROVED</v>
      </c>
      <c r="K1041" s="15" t="str">
        <f>IFERROR(__xludf.DUMMYFUNCTION("""COMPUTED_VALUE"""),"GL2602010")</f>
        <v>GL2602010</v>
      </c>
      <c r="L1041" s="15" t="str">
        <f>IFERROR(__xludf.DUMMYFUNCTION("""COMPUTED_VALUE"""),"Normal")</f>
        <v>Normal</v>
      </c>
      <c r="M1041" s="18" t="s">
        <v>53</v>
      </c>
      <c r="N1041" s="18" t="s">
        <v>54</v>
      </c>
    </row>
    <row r="1042" hidden="1">
      <c r="A1042" s="15" t="str">
        <f>IFERROR(__xludf.DUMMYFUNCTION("""COMPUTED_VALUE"""),"MFHBR0025")</f>
        <v>MFHBR0025</v>
      </c>
      <c r="B1042" s="16">
        <f>IFERROR(__xludf.DUMMYFUNCTION("""COMPUTED_VALUE"""),46062.37783008102)</f>
        <v>46062.37783</v>
      </c>
      <c r="C1042" s="17">
        <f>IFERROR(__xludf.DUMMYFUNCTION("""COMPUTED_VALUE"""),46047.893142835645)</f>
        <v>46047.89314</v>
      </c>
      <c r="D1042" s="15" t="str">
        <f>IFERROR(__xludf.DUMMYFUNCTION("""COMPUTED_VALUE"""),"Building")</f>
        <v>Building</v>
      </c>
      <c r="E1042" s="15" t="str">
        <f>IFERROR(__xludf.DUMMYFUNCTION("""COMPUTED_VALUE"""),"-")</f>
        <v>-</v>
      </c>
      <c r="F1042" s="15" t="str">
        <f>IFERROR(__xludf.DUMMYFUNCTION("""COMPUTED_VALUE"""),"Flow Meter")</f>
        <v>Flow Meter</v>
      </c>
      <c r="G1042" s="15">
        <f>IFERROR(__xludf.DUMMYFUNCTION("""COMPUTED_VALUE"""),1.0)</f>
        <v>1</v>
      </c>
      <c r="H1042" s="15" t="str">
        <f>IFERROR(__xludf.DUMMYFUNCTION("""COMPUTED_VALUE"""),"Unit")</f>
        <v>Unit</v>
      </c>
      <c r="I1042" s="15" t="str">
        <f>IFERROR(__xludf.DUMMYFUNCTION("""COMPUTED_VALUE"""),"Deliver")</f>
        <v>Deliver</v>
      </c>
      <c r="J1042" s="15" t="str">
        <f>IFERROR(__xludf.DUMMYFUNCTION("""COMPUTED_VALUE"""),"121703600 - APPROVED")</f>
        <v>121703600 - APPROVED</v>
      </c>
      <c r="K1042" s="15" t="str">
        <f>IFERROR(__xludf.DUMMYFUNCTION("""COMPUTED_VALUE"""),"GL2602010")</f>
        <v>GL2602010</v>
      </c>
      <c r="L1042" s="15" t="str">
        <f>IFERROR(__xludf.DUMMYFUNCTION("""COMPUTED_VALUE"""),"Normal")</f>
        <v>Normal</v>
      </c>
      <c r="M1042" s="18" t="s">
        <v>53</v>
      </c>
      <c r="N1042" s="18" t="s">
        <v>54</v>
      </c>
    </row>
    <row r="1043" hidden="1">
      <c r="A1043" s="15" t="str">
        <f>IFERROR(__xludf.DUMMYFUNCTION("""COMPUTED_VALUE"""),"MFHBR0026")</f>
        <v>MFHBR0026</v>
      </c>
      <c r="B1043" s="16">
        <f>IFERROR(__xludf.DUMMYFUNCTION("""COMPUTED_VALUE"""),46062.37783008102)</f>
        <v>46062.37783</v>
      </c>
      <c r="C1043" s="17">
        <f>IFERROR(__xludf.DUMMYFUNCTION("""COMPUTED_VALUE"""),46047.893252951384)</f>
        <v>46047.89325</v>
      </c>
      <c r="D1043" s="15" t="str">
        <f>IFERROR(__xludf.DUMMYFUNCTION("""COMPUTED_VALUE"""),"Water System")</f>
        <v>Water System</v>
      </c>
      <c r="E1043" s="15" t="str">
        <f>IFERROR(__xludf.DUMMYFUNCTION("""COMPUTED_VALUE"""),"-")</f>
        <v>-</v>
      </c>
      <c r="F1043" s="15" t="str">
        <f>IFERROR(__xludf.DUMMYFUNCTION("""COMPUTED_VALUE"""),"Pompa")</f>
        <v>Pompa</v>
      </c>
      <c r="G1043" s="15">
        <f>IFERROR(__xludf.DUMMYFUNCTION("""COMPUTED_VALUE"""),1.0)</f>
        <v>1</v>
      </c>
      <c r="H1043" s="15" t="str">
        <f>IFERROR(__xludf.DUMMYFUNCTION("""COMPUTED_VALUE"""),"Unit")</f>
        <v>Unit</v>
      </c>
      <c r="I1043" s="15" t="str">
        <f>IFERROR(__xludf.DUMMYFUNCTION("""COMPUTED_VALUE"""),"Deliver")</f>
        <v>Deliver</v>
      </c>
      <c r="J1043" s="15" t="str">
        <f>IFERROR(__xludf.DUMMYFUNCTION("""COMPUTED_VALUE"""),"121703620 - APPROVED")</f>
        <v>121703620 - APPROVED</v>
      </c>
      <c r="K1043" s="15" t="str">
        <f>IFERROR(__xludf.DUMMYFUNCTION("""COMPUTED_VALUE"""),"GL2601022")</f>
        <v>GL2601022</v>
      </c>
      <c r="L1043" s="15" t="str">
        <f>IFERROR(__xludf.DUMMYFUNCTION("""COMPUTED_VALUE"""),"Normal")</f>
        <v>Normal</v>
      </c>
      <c r="M1043" s="18" t="s">
        <v>53</v>
      </c>
      <c r="N1043" s="18" t="s">
        <v>54</v>
      </c>
    </row>
    <row r="1044" hidden="1">
      <c r="A1044" s="15" t="str">
        <f>IFERROR(__xludf.DUMMYFUNCTION("""COMPUTED_VALUE"""),"MFHBR0027")</f>
        <v>MFHBR0027</v>
      </c>
      <c r="B1044" s="16">
        <f>IFERROR(__xludf.DUMMYFUNCTION("""COMPUTED_VALUE"""),46062.37783008102)</f>
        <v>46062.37783</v>
      </c>
      <c r="C1044" s="17">
        <f>IFERROR(__xludf.DUMMYFUNCTION("""COMPUTED_VALUE"""),46047.893337002315)</f>
        <v>46047.89334</v>
      </c>
      <c r="D1044" s="15" t="str">
        <f>IFERROR(__xludf.DUMMYFUNCTION("""COMPUTED_VALUE"""),"Water System")</f>
        <v>Water System</v>
      </c>
      <c r="E1044" s="15" t="str">
        <f>IFERROR(__xludf.DUMMYFUNCTION("""COMPUTED_VALUE"""),"-")</f>
        <v>-</v>
      </c>
      <c r="F1044" s="15" t="str">
        <f>IFERROR(__xludf.DUMMYFUNCTION("""COMPUTED_VALUE"""),"Upgrade Sensor Ozone")</f>
        <v>Upgrade Sensor Ozone</v>
      </c>
      <c r="G1044" s="15">
        <f>IFERROR(__xludf.DUMMYFUNCTION("""COMPUTED_VALUE"""),1.0)</f>
        <v>1</v>
      </c>
      <c r="H1044" s="15" t="str">
        <f>IFERROR(__xludf.DUMMYFUNCTION("""COMPUTED_VALUE"""),"Unit")</f>
        <v>Unit</v>
      </c>
      <c r="I1044" s="15" t="str">
        <f>IFERROR(__xludf.DUMMYFUNCTION("""COMPUTED_VALUE"""),"Deliver")</f>
        <v>Deliver</v>
      </c>
      <c r="J1044" s="15" t="str">
        <f>IFERROR(__xludf.DUMMYFUNCTION("""COMPUTED_VALUE"""),"121703680 - APPROVED")</f>
        <v>121703680 - APPROVED</v>
      </c>
      <c r="K1044" s="15" t="str">
        <f>IFERROR(__xludf.DUMMYFUNCTION("""COMPUTED_VALUE"""),"GL2602017")</f>
        <v>GL2602017</v>
      </c>
      <c r="L1044" s="15" t="str">
        <f>IFERROR(__xludf.DUMMYFUNCTION("""COMPUTED_VALUE"""),"Normal")</f>
        <v>Normal</v>
      </c>
      <c r="M1044" s="18" t="s">
        <v>53</v>
      </c>
      <c r="N1044" s="18" t="s">
        <v>54</v>
      </c>
    </row>
    <row r="1045" hidden="1">
      <c r="A1045" s="15" t="str">
        <f>IFERROR(__xludf.DUMMYFUNCTION("""COMPUTED_VALUE"""),"MFHBR0028")</f>
        <v>MFHBR0028</v>
      </c>
      <c r="B1045" s="16">
        <f>IFERROR(__xludf.DUMMYFUNCTION("""COMPUTED_VALUE"""),46062.37783008102)</f>
        <v>46062.37783</v>
      </c>
      <c r="C1045" s="17">
        <f>IFERROR(__xludf.DUMMYFUNCTION("""COMPUTED_VALUE"""),46047.89429628472)</f>
        <v>46047.8943</v>
      </c>
      <c r="D1045" s="15" t="str">
        <f>IFERROR(__xludf.DUMMYFUNCTION("""COMPUTED_VALUE"""),"Water System")</f>
        <v>Water System</v>
      </c>
      <c r="E1045" s="15" t="str">
        <f>IFERROR(__xludf.DUMMYFUNCTION("""COMPUTED_VALUE"""),"-")</f>
        <v>-</v>
      </c>
      <c r="F1045" s="15" t="str">
        <f>IFERROR(__xludf.DUMMYFUNCTION("""COMPUTED_VALUE"""),"Upgrade Sensor Ozone")</f>
        <v>Upgrade Sensor Ozone</v>
      </c>
      <c r="G1045" s="15">
        <f>IFERROR(__xludf.DUMMYFUNCTION("""COMPUTED_VALUE"""),1.0)</f>
        <v>1</v>
      </c>
      <c r="H1045" s="15" t="str">
        <f>IFERROR(__xludf.DUMMYFUNCTION("""COMPUTED_VALUE"""),"Unit")</f>
        <v>Unit</v>
      </c>
      <c r="I1045" s="15" t="str">
        <f>IFERROR(__xludf.DUMMYFUNCTION("""COMPUTED_VALUE"""),"Deliver")</f>
        <v>Deliver</v>
      </c>
      <c r="J1045" s="15" t="str">
        <f>IFERROR(__xludf.DUMMYFUNCTION("""COMPUTED_VALUE"""),"121703680 - APPROVED")</f>
        <v>121703680 - APPROVED</v>
      </c>
      <c r="K1045" s="15" t="str">
        <f>IFERROR(__xludf.DUMMYFUNCTION("""COMPUTED_VALUE"""),"GL2602017")</f>
        <v>GL2602017</v>
      </c>
      <c r="L1045" s="15" t="str">
        <f>IFERROR(__xludf.DUMMYFUNCTION("""COMPUTED_VALUE"""),"Normal")</f>
        <v>Normal</v>
      </c>
      <c r="M1045" s="18" t="s">
        <v>53</v>
      </c>
      <c r="N1045" s="18" t="s">
        <v>54</v>
      </c>
    </row>
    <row r="1046" hidden="1">
      <c r="A1046" s="15" t="str">
        <f>IFERROR(__xludf.DUMMYFUNCTION("""COMPUTED_VALUE"""),"MFHBR0030")</f>
        <v>MFHBR0030</v>
      </c>
      <c r="B1046" s="16">
        <f>IFERROR(__xludf.DUMMYFUNCTION("""COMPUTED_VALUE"""),46062.37783008102)</f>
        <v>46062.37783</v>
      </c>
      <c r="C1046" s="17">
        <f>IFERROR(__xludf.DUMMYFUNCTION("""COMPUTED_VALUE"""),46047.89449179398)</f>
        <v>46047.89449</v>
      </c>
      <c r="D1046" s="15" t="str">
        <f>IFERROR(__xludf.DUMMYFUNCTION("""COMPUTED_VALUE"""),"Water System")</f>
        <v>Water System</v>
      </c>
      <c r="E1046" s="15" t="str">
        <f>IFERROR(__xludf.DUMMYFUNCTION("""COMPUTED_VALUE"""),"-")</f>
        <v>-</v>
      </c>
      <c r="F1046" s="15" t="str">
        <f>IFERROR(__xludf.DUMMYFUNCTION("""COMPUTED_VALUE"""),"Upgrade Sensor Ozone")</f>
        <v>Upgrade Sensor Ozone</v>
      </c>
      <c r="G1046" s="15">
        <f>IFERROR(__xludf.DUMMYFUNCTION("""COMPUTED_VALUE"""),1.0)</f>
        <v>1</v>
      </c>
      <c r="H1046" s="15" t="str">
        <f>IFERROR(__xludf.DUMMYFUNCTION("""COMPUTED_VALUE"""),"Unit")</f>
        <v>Unit</v>
      </c>
      <c r="I1046" s="15" t="str">
        <f>IFERROR(__xludf.DUMMYFUNCTION("""COMPUTED_VALUE"""),"Deliver")</f>
        <v>Deliver</v>
      </c>
      <c r="J1046" s="15" t="str">
        <f>IFERROR(__xludf.DUMMYFUNCTION("""COMPUTED_VALUE"""),"121703680 - APPROVED")</f>
        <v>121703680 - APPROVED</v>
      </c>
      <c r="K1046" s="15" t="str">
        <f>IFERROR(__xludf.DUMMYFUNCTION("""COMPUTED_VALUE"""),"GL2602017")</f>
        <v>GL2602017</v>
      </c>
      <c r="L1046" s="15" t="str">
        <f>IFERROR(__xludf.DUMMYFUNCTION("""COMPUTED_VALUE"""),"Normal")</f>
        <v>Normal</v>
      </c>
      <c r="M1046" s="18" t="s">
        <v>53</v>
      </c>
      <c r="N1046" s="18" t="s">
        <v>54</v>
      </c>
    </row>
    <row r="1047" hidden="1">
      <c r="A1047" s="15" t="str">
        <f>IFERROR(__xludf.DUMMYFUNCTION("""COMPUTED_VALUE"""),"MFHBR0031")</f>
        <v>MFHBR0031</v>
      </c>
      <c r="B1047" s="16">
        <f>IFERROR(__xludf.DUMMYFUNCTION("""COMPUTED_VALUE"""),46062.37783008102)</f>
        <v>46062.37783</v>
      </c>
      <c r="C1047" s="17">
        <f>IFERROR(__xludf.DUMMYFUNCTION("""COMPUTED_VALUE"""),46047.894578402775)</f>
        <v>46047.89458</v>
      </c>
      <c r="D1047" s="15" t="str">
        <f>IFERROR(__xludf.DUMMYFUNCTION("""COMPUTED_VALUE"""),"Water System")</f>
        <v>Water System</v>
      </c>
      <c r="E1047" s="15" t="str">
        <f>IFERROR(__xludf.DUMMYFUNCTION("""COMPUTED_VALUE"""),"-")</f>
        <v>-</v>
      </c>
      <c r="F1047" s="15" t="str">
        <f>IFERROR(__xludf.DUMMYFUNCTION("""COMPUTED_VALUE"""),"Upgrade Sensor Ozone")</f>
        <v>Upgrade Sensor Ozone</v>
      </c>
      <c r="G1047" s="15">
        <f>IFERROR(__xludf.DUMMYFUNCTION("""COMPUTED_VALUE"""),1.0)</f>
        <v>1</v>
      </c>
      <c r="H1047" s="15" t="str">
        <f>IFERROR(__xludf.DUMMYFUNCTION("""COMPUTED_VALUE"""),"Unit")</f>
        <v>Unit</v>
      </c>
      <c r="I1047" s="15" t="str">
        <f>IFERROR(__xludf.DUMMYFUNCTION("""COMPUTED_VALUE"""),"PO Open")</f>
        <v>PO Open</v>
      </c>
      <c r="J1047" s="15" t="str">
        <f>IFERROR(__xludf.DUMMYFUNCTION("""COMPUTED_VALUE"""),"121703680 - APPROVED")</f>
        <v>121703680 - APPROVED</v>
      </c>
      <c r="K1047" s="15" t="str">
        <f>IFERROR(__xludf.DUMMYFUNCTION("""COMPUTED_VALUE"""),"GL2602017")</f>
        <v>GL2602017</v>
      </c>
      <c r="L1047" s="15" t="str">
        <f>IFERROR(__xludf.DUMMYFUNCTION("""COMPUTED_VALUE"""),"Normal")</f>
        <v>Normal</v>
      </c>
      <c r="M1047" s="18" t="s">
        <v>53</v>
      </c>
      <c r="N1047" s="18" t="s">
        <v>54</v>
      </c>
    </row>
    <row r="1048" hidden="1">
      <c r="A1048" s="15" t="str">
        <f>IFERROR(__xludf.DUMMYFUNCTION("""COMPUTED_VALUE"""),"MFHBR0032")</f>
        <v>MFHBR0032</v>
      </c>
      <c r="B1048" s="16">
        <f>IFERROR(__xludf.DUMMYFUNCTION("""COMPUTED_VALUE"""),46062.37783008102)</f>
        <v>46062.37783</v>
      </c>
      <c r="C1048" s="17">
        <f>IFERROR(__xludf.DUMMYFUNCTION("""COMPUTED_VALUE"""),46047.8946590162)</f>
        <v>46047.89466</v>
      </c>
      <c r="D1048" s="15" t="str">
        <f>IFERROR(__xludf.DUMMYFUNCTION("""COMPUTED_VALUE"""),"FD")</f>
        <v>FD</v>
      </c>
      <c r="E1048" s="15" t="str">
        <f>IFERROR(__xludf.DUMMYFUNCTION("""COMPUTED_VALUE"""),"-")</f>
        <v>-</v>
      </c>
      <c r="F1048" s="15" t="str">
        <f>IFERROR(__xludf.DUMMYFUNCTION("""COMPUTED_VALUE"""),"Machine Equipment; ; ; - Exhaust Freeze Dryer")</f>
        <v>Machine Equipment; ; ; - Exhaust Freeze Dryer</v>
      </c>
      <c r="G1048" s="15">
        <f>IFERROR(__xludf.DUMMYFUNCTION("""COMPUTED_VALUE"""),1.0)</f>
        <v>1</v>
      </c>
      <c r="H1048" s="15" t="str">
        <f>IFERROR(__xludf.DUMMYFUNCTION("""COMPUTED_VALUE"""),"Unit")</f>
        <v>Unit</v>
      </c>
      <c r="I1048" s="15" t="str">
        <f>IFERROR(__xludf.DUMMYFUNCTION("""COMPUTED_VALUE"""),"PO Open")</f>
        <v>PO Open</v>
      </c>
      <c r="J1048" s="15" t="str">
        <f>IFERROR(__xludf.DUMMYFUNCTION("""COMPUTED_VALUE"""),"121703686 - APPROVED")</f>
        <v>121703686 - APPROVED</v>
      </c>
      <c r="K1048" s="15" t="str">
        <f>IFERROR(__xludf.DUMMYFUNCTION("""COMPUTED_VALUE"""),"-")</f>
        <v>-</v>
      </c>
      <c r="L1048" s="15" t="str">
        <f>IFERROR(__xludf.DUMMYFUNCTION("""COMPUTED_VALUE"""),"Normal")</f>
        <v>Normal</v>
      </c>
      <c r="M1048" s="18" t="s">
        <v>53</v>
      </c>
      <c r="N1048" s="18" t="s">
        <v>54</v>
      </c>
    </row>
    <row r="1049" hidden="1">
      <c r="A1049" s="15" t="str">
        <f>IFERROR(__xludf.DUMMYFUNCTION("""COMPUTED_VALUE"""),"MFHBR0033")</f>
        <v>MFHBR0033</v>
      </c>
      <c r="B1049" s="16">
        <f>IFERROR(__xludf.DUMMYFUNCTION("""COMPUTED_VALUE"""),46062.37783008102)</f>
        <v>46062.37783</v>
      </c>
      <c r="C1049" s="17">
        <f>IFERROR(__xludf.DUMMYFUNCTION("""COMPUTED_VALUE"""),46047.89475114584)</f>
        <v>46047.89475</v>
      </c>
      <c r="D1049" s="15" t="str">
        <f>IFERROR(__xludf.DUMMYFUNCTION("""COMPUTED_VALUE"""),"Office")</f>
        <v>Office</v>
      </c>
      <c r="E1049" s="15" t="str">
        <f>IFERROR(__xludf.DUMMYFUNCTION("""COMPUTED_VALUE"""),"-")</f>
        <v>-</v>
      </c>
      <c r="F1049" s="15" t="str">
        <f>IFERROR(__xludf.DUMMYFUNCTION("""COMPUTED_VALUE"""),"TC ENG")</f>
        <v>TC ENG</v>
      </c>
      <c r="G1049" s="15">
        <f>IFERROR(__xludf.DUMMYFUNCTION("""COMPUTED_VALUE"""),2.0)</f>
        <v>2</v>
      </c>
      <c r="H1049" s="15" t="str">
        <f>IFERROR(__xludf.DUMMYFUNCTION("""COMPUTED_VALUE"""),"Unit")</f>
        <v>Unit</v>
      </c>
      <c r="I1049" s="15" t="str">
        <f>IFERROR(__xludf.DUMMYFUNCTION("""COMPUTED_VALUE"""),"Deliver")</f>
        <v>Deliver</v>
      </c>
      <c r="J1049" s="15" t="str">
        <f>IFERROR(__xludf.DUMMYFUNCTION("""COMPUTED_VALUE"""),"-")</f>
        <v>-</v>
      </c>
      <c r="K1049" s="15" t="str">
        <f>IFERROR(__xludf.DUMMYFUNCTION("""COMPUTED_VALUE"""),"-")</f>
        <v>-</v>
      </c>
      <c r="L1049" s="15" t="str">
        <f>IFERROR(__xludf.DUMMYFUNCTION("""COMPUTED_VALUE"""),"Normal")</f>
        <v>Normal</v>
      </c>
      <c r="M1049" s="18" t="s">
        <v>53</v>
      </c>
      <c r="N1049" s="18" t="s">
        <v>54</v>
      </c>
    </row>
    <row r="1050" hidden="1">
      <c r="A1050" s="15" t="str">
        <f>IFERROR(__xludf.DUMMYFUNCTION("""COMPUTED_VALUE"""),"MFHJA0041")</f>
        <v>MFHJA0041</v>
      </c>
      <c r="B1050" s="16">
        <f>IFERROR(__xludf.DUMMYFUNCTION("""COMPUTED_VALUE"""),46047.86533876158)</f>
        <v>46047.86534</v>
      </c>
      <c r="C1050" s="17">
        <f>IFERROR(__xludf.DUMMYFUNCTION("""COMPUTED_VALUE"""),46047.89723372685)</f>
        <v>46047.89723</v>
      </c>
      <c r="D1050" s="15" t="str">
        <f>IFERROR(__xludf.DUMMYFUNCTION("""COMPUTED_VALUE"""),"Tools")</f>
        <v>Tools</v>
      </c>
      <c r="E1050" s="15" t="str">
        <f>IFERROR(__xludf.DUMMYFUNCTION("""COMPUTED_VALUE"""),"-")</f>
        <v>-</v>
      </c>
      <c r="F1050" s="15" t="str">
        <f>IFERROR(__xludf.DUMMYFUNCTION("""COMPUTED_VALUE"""),"Perbaikan Minicapt")</f>
        <v>Perbaikan Minicapt</v>
      </c>
      <c r="G1050" s="15">
        <f>IFERROR(__xludf.DUMMYFUNCTION("""COMPUTED_VALUE"""),1.0)</f>
        <v>1</v>
      </c>
      <c r="H1050" s="15" t="str">
        <f>IFERROR(__xludf.DUMMYFUNCTION("""COMPUTED_VALUE"""),"Lot")</f>
        <v>Lot</v>
      </c>
      <c r="I1050" s="15" t="str">
        <f>IFERROR(__xludf.DUMMYFUNCTION("""COMPUTED_VALUE"""),"Deliver")</f>
        <v>Deliver</v>
      </c>
      <c r="J1050" s="15" t="str">
        <f>IFERROR(__xludf.DUMMYFUNCTION("""COMPUTED_VALUE"""),"-")</f>
        <v>-</v>
      </c>
      <c r="K1050" s="15" t="str">
        <f>IFERROR(__xludf.DUMMYFUNCTION("""COMPUTED_VALUE"""),"-")</f>
        <v>-</v>
      </c>
      <c r="L1050" s="15" t="str">
        <f>IFERROR(__xludf.DUMMYFUNCTION("""COMPUTED_VALUE"""),"Normal")</f>
        <v>Normal</v>
      </c>
      <c r="M1050" s="18" t="s">
        <v>53</v>
      </c>
      <c r="N1050" s="18" t="s">
        <v>54</v>
      </c>
    </row>
    <row r="1051" hidden="1">
      <c r="A1051" s="15" t="str">
        <f>IFERROR(__xludf.DUMMYFUNCTION("""COMPUTED_VALUE"""),"MFHJA0042")</f>
        <v>MFHJA0042</v>
      </c>
      <c r="B1051" s="16">
        <f>IFERROR(__xludf.DUMMYFUNCTION("""COMPUTED_VALUE"""),46047.866203715275)</f>
        <v>46047.8662</v>
      </c>
      <c r="C1051" s="17">
        <f>IFERROR(__xludf.DUMMYFUNCTION("""COMPUTED_VALUE"""),46047.897349085644)</f>
        <v>46047.89735</v>
      </c>
      <c r="D1051" s="15" t="str">
        <f>IFERROR(__xludf.DUMMYFUNCTION("""COMPUTED_VALUE"""),"Tools")</f>
        <v>Tools</v>
      </c>
      <c r="E1051" s="15" t="str">
        <f>IFERROR(__xludf.DUMMYFUNCTION("""COMPUTED_VALUE"""),"-")</f>
        <v>-</v>
      </c>
      <c r="F1051" s="15" t="str">
        <f>IFERROR(__xludf.DUMMYFUNCTION("""COMPUTED_VALUE"""),"Perbaikan Heating Plate")</f>
        <v>Perbaikan Heating Plate</v>
      </c>
      <c r="G1051" s="15">
        <f>IFERROR(__xludf.DUMMYFUNCTION("""COMPUTED_VALUE"""),1.0)</f>
        <v>1</v>
      </c>
      <c r="H1051" s="15" t="str">
        <f>IFERROR(__xludf.DUMMYFUNCTION("""COMPUTED_VALUE"""),"Lot")</f>
        <v>Lot</v>
      </c>
      <c r="I1051" s="15" t="str">
        <f>IFERROR(__xludf.DUMMYFUNCTION("""COMPUTED_VALUE"""),"PO Open")</f>
        <v>PO Open</v>
      </c>
      <c r="J1051" s="15" t="str">
        <f>IFERROR(__xludf.DUMMYFUNCTION("""COMPUTED_VALUE"""),"121703696 - APPROVED")</f>
        <v>121703696 - APPROVED</v>
      </c>
      <c r="K1051" s="15" t="str">
        <f>IFERROR(__xludf.DUMMYFUNCTION("""COMPUTED_VALUE"""),"GL2602011")</f>
        <v>GL2602011</v>
      </c>
      <c r="L1051" s="15" t="str">
        <f>IFERROR(__xludf.DUMMYFUNCTION("""COMPUTED_VALUE"""),"Normal")</f>
        <v>Normal</v>
      </c>
      <c r="M1051" s="18" t="s">
        <v>53</v>
      </c>
      <c r="N1051" s="18" t="s">
        <v>54</v>
      </c>
    </row>
    <row r="1052" hidden="1">
      <c r="A1052" s="15" t="str">
        <f>IFERROR(__xludf.DUMMYFUNCTION("""COMPUTED_VALUE"""),"MRNRO0043")</f>
        <v>MRNRO0043</v>
      </c>
      <c r="B1052" s="16">
        <f>IFERROR(__xludf.DUMMYFUNCTION("""COMPUTED_VALUE"""),46046.339860555556)</f>
        <v>46046.33986</v>
      </c>
      <c r="C1052" s="17">
        <f>IFERROR(__xludf.DUMMYFUNCTION("""COMPUTED_VALUE"""),46048.60855693287)</f>
        <v>46048.60856</v>
      </c>
      <c r="D1052" s="15" t="str">
        <f>IFERROR(__xludf.DUMMYFUNCTION("""COMPUTED_VALUE"""),"toilet lantai 2")</f>
        <v>toilet lantai 2</v>
      </c>
      <c r="E1052" s="15" t="str">
        <f>IFERROR(__xludf.DUMMYFUNCTION("""COMPUTED_VALUE"""),"EJO/2025/02/01")</f>
        <v>EJO/2025/02/01</v>
      </c>
      <c r="F1052" s="15" t="str">
        <f>IFERROR(__xludf.DUMMYFUNCTION("""COMPUTED_VALUE"""),"Tutup Wastafel TOTO; ; ;")</f>
        <v>Tutup Wastafel TOTO; ; ;</v>
      </c>
      <c r="G1052" s="15">
        <f>IFERROR(__xludf.DUMMYFUNCTION("""COMPUTED_VALUE"""),5.0)</f>
        <v>5</v>
      </c>
      <c r="H1052" s="15" t="str">
        <f>IFERROR(__xludf.DUMMYFUNCTION("""COMPUTED_VALUE"""),"pcs")</f>
        <v>pcs</v>
      </c>
      <c r="I1052" s="15" t="str">
        <f>IFERROR(__xludf.DUMMYFUNCTION("""COMPUTED_VALUE"""),"Deliver")</f>
        <v>Deliver</v>
      </c>
      <c r="J1052" s="15" t="str">
        <f>IFERROR(__xludf.DUMMYFUNCTION("""COMPUTED_VALUE"""),"121703762 - APPROVED")</f>
        <v>121703762 - APPROVED</v>
      </c>
      <c r="K1052" s="15" t="str">
        <f>IFERROR(__xludf.DUMMYFUNCTION("""COMPUTED_VALUE"""),"GL2602027")</f>
        <v>GL2602027</v>
      </c>
      <c r="L1052" s="15" t="str">
        <f>IFERROR(__xludf.DUMMYFUNCTION("""COMPUTED_VALUE"""),"Normal")</f>
        <v>Normal</v>
      </c>
      <c r="M1052" s="18" t="s">
        <v>48</v>
      </c>
      <c r="N1052" s="18" t="s">
        <v>28</v>
      </c>
    </row>
    <row r="1053" hidden="1">
      <c r="A1053" s="15" t="str">
        <f>IFERROR(__xludf.DUMMYFUNCTION("""COMPUTED_VALUE"""),"MRNBR0098")</f>
        <v>MRNBR0098</v>
      </c>
      <c r="B1053" s="16">
        <f>IFERROR(__xludf.DUMMYFUNCTION("""COMPUTED_VALUE"""),46047.86876768519)</f>
        <v>46047.86877</v>
      </c>
      <c r="C1053" s="17">
        <f>IFERROR(__xludf.DUMMYFUNCTION("""COMPUTED_VALUE"""),46048.61972805556)</f>
        <v>46048.61973</v>
      </c>
      <c r="D1053" s="15" t="str">
        <f>IFERROR(__xludf.DUMMYFUNCTION("""COMPUTED_VALUE"""),"Roll opack")</f>
        <v>Roll opack</v>
      </c>
      <c r="E1053" s="15" t="str">
        <f>IFERROR(__xludf.DUMMYFUNCTION("""COMPUTED_VALUE"""),"EJO/2025/12/99")</f>
        <v>EJO/2025/12/99</v>
      </c>
      <c r="F1053" s="15" t="str">
        <f>IFERROR(__xludf.DUMMYFUNCTION("""COMPUTED_VALUE"""),"Rantai")</f>
        <v>Rantai</v>
      </c>
      <c r="G1053" s="15">
        <f>IFERROR(__xludf.DUMMYFUNCTION("""COMPUTED_VALUE"""),1.0)</f>
        <v>1</v>
      </c>
      <c r="H1053" s="15" t="str">
        <f>IFERROR(__xludf.DUMMYFUNCTION("""COMPUTED_VALUE"""),"set")</f>
        <v>set</v>
      </c>
      <c r="I1053" s="15" t="str">
        <f>IFERROR(__xludf.DUMMYFUNCTION("""COMPUTED_VALUE"""),"Deliver")</f>
        <v>Deliver</v>
      </c>
      <c r="J1053" s="15" t="str">
        <f>IFERROR(__xludf.DUMMYFUNCTION("""COMPUTED_VALUE"""),"121704011 - APPROVED")</f>
        <v>121704011 - APPROVED</v>
      </c>
      <c r="K1053" s="15" t="str">
        <f>IFERROR(__xludf.DUMMYFUNCTION("""COMPUTED_VALUE"""),"GL2604487")</f>
        <v>GL2604487</v>
      </c>
      <c r="L1053" s="15" t="str">
        <f>IFERROR(__xludf.DUMMYFUNCTION("""COMPUTED_VALUE"""),"Normal")</f>
        <v>Normal</v>
      </c>
      <c r="M1053" s="18" t="s">
        <v>48</v>
      </c>
      <c r="N1053" s="18" t="s">
        <v>28</v>
      </c>
    </row>
    <row r="1054" hidden="1">
      <c r="A1054" s="15" t="str">
        <f>IFERROR(__xludf.DUMMYFUNCTION("""COMPUTED_VALUE"""),"MRNBR0097")</f>
        <v>MRNBR0097</v>
      </c>
      <c r="B1054" s="16">
        <f>IFERROR(__xludf.DUMMYFUNCTION("""COMPUTED_VALUE"""),46041.41471111111)</f>
        <v>46041.41471</v>
      </c>
      <c r="C1054" s="17">
        <f>IFERROR(__xludf.DUMMYFUNCTION("""COMPUTED_VALUE"""),46048.62226775463)</f>
        <v>46048.62227</v>
      </c>
      <c r="D1054" s="15" t="str">
        <f>IFERROR(__xludf.DUMMYFUNCTION("""COMPUTED_VALUE"""),"Toilet")</f>
        <v>Toilet</v>
      </c>
      <c r="E1054" s="15" t="str">
        <f>IFERROR(__xludf.DUMMYFUNCTION("""COMPUTED_VALUE"""),"EJO/2025/11/139")</f>
        <v>EJO/2025/11/139</v>
      </c>
      <c r="F1054" s="15" t="str">
        <f>IFERROR(__xludf.DUMMYFUNCTION("""COMPUTED_VALUE"""),"Drain cleaner")</f>
        <v>Drain cleaner</v>
      </c>
      <c r="G1054" s="15">
        <f>IFERROR(__xludf.DUMMYFUNCTION("""COMPUTED_VALUE"""),1.0)</f>
        <v>1</v>
      </c>
      <c r="H1054" s="15" t="str">
        <f>IFERROR(__xludf.DUMMYFUNCTION("""COMPUTED_VALUE"""),"unit")</f>
        <v>unit</v>
      </c>
      <c r="I1054" s="15" t="str">
        <f>IFERROR(__xludf.DUMMYFUNCTION("""COMPUTED_VALUE"""),"PR Open")</f>
        <v>PR Open</v>
      </c>
      <c r="J1054" s="15" t="str">
        <f>IFERROR(__xludf.DUMMYFUNCTION("""COMPUTED_VALUE"""),"121704549 - APPROVED")</f>
        <v>121704549 - APPROVED</v>
      </c>
      <c r="K1054" s="15" t="str">
        <f>IFERROR(__xludf.DUMMYFUNCTION("""COMPUTED_VALUE"""),"-")</f>
        <v>-</v>
      </c>
      <c r="L1054" s="15" t="str">
        <f>IFERROR(__xludf.DUMMYFUNCTION("""COMPUTED_VALUE"""),"Normal")</f>
        <v>Normal</v>
      </c>
      <c r="M1054" s="18" t="s">
        <v>48</v>
      </c>
      <c r="N1054" s="18" t="s">
        <v>28</v>
      </c>
    </row>
    <row r="1055" hidden="1">
      <c r="A1055" s="15" t="str">
        <f>IFERROR(__xludf.DUMMYFUNCTION("""COMPUTED_VALUE"""),"MRNBR0096")</f>
        <v>MRNBR0096</v>
      </c>
      <c r="B1055" s="16">
        <f>IFERROR(__xludf.DUMMYFUNCTION("""COMPUTED_VALUE"""),46041.40846489583)</f>
        <v>46041.40846</v>
      </c>
      <c r="C1055" s="17">
        <f>IFERROR(__xludf.DUMMYFUNCTION("""COMPUTED_VALUE"""),46048.6230996412)</f>
        <v>46048.6231</v>
      </c>
      <c r="D1055" s="15" t="str">
        <f>IFERROR(__xludf.DUMMYFUNCTION("""COMPUTED_VALUE"""),"POU IPC")</f>
        <v>POU IPC</v>
      </c>
      <c r="E1055" s="15" t="str">
        <f>IFERROR(__xludf.DUMMYFUNCTION("""COMPUTED_VALUE"""),"EJO/2025/09/129")</f>
        <v>EJO/2025/09/129</v>
      </c>
      <c r="F1055" s="15" t="str">
        <f>IFERROR(__xludf.DUMMYFUNCTION("""COMPUTED_VALUE"""),"Diaphragm valve")</f>
        <v>Diaphragm valve</v>
      </c>
      <c r="G1055" s="15">
        <f>IFERROR(__xludf.DUMMYFUNCTION("""COMPUTED_VALUE"""),2.0)</f>
        <v>2</v>
      </c>
      <c r="H1055" s="15" t="str">
        <f>IFERROR(__xludf.DUMMYFUNCTION("""COMPUTED_VALUE"""),"pcs")</f>
        <v>pcs</v>
      </c>
      <c r="I1055" s="15" t="str">
        <f>IFERROR(__xludf.DUMMYFUNCTION("""COMPUTED_VALUE"""),"Deliver")</f>
        <v>Deliver</v>
      </c>
      <c r="J1055" s="15" t="str">
        <f>IFERROR(__xludf.DUMMYFUNCTION("""COMPUTED_VALUE"""),"121704361 - APPROVED")</f>
        <v>121704361 - APPROVED</v>
      </c>
      <c r="K1055" s="15" t="str">
        <f>IFERROR(__xludf.DUMMYFUNCTION("""COMPUTED_VALUE"""),"GL2607375")</f>
        <v>GL2607375</v>
      </c>
      <c r="L1055" s="15" t="str">
        <f>IFERROR(__xludf.DUMMYFUNCTION("""COMPUTED_VALUE"""),"Normal")</f>
        <v>Normal</v>
      </c>
      <c r="M1055" s="18" t="s">
        <v>48</v>
      </c>
      <c r="N1055" s="18" t="s">
        <v>28</v>
      </c>
    </row>
    <row r="1056" hidden="1">
      <c r="A1056" s="15" t="str">
        <f>IFERROR(__xludf.DUMMYFUNCTION("""COMPUTED_VALUE"""),"RIABR0136")</f>
        <v>RIABR0136</v>
      </c>
      <c r="B1056" s="16">
        <f>IFERROR(__xludf.DUMMYFUNCTION("""COMPUTED_VALUE"""),46044.487892129626)</f>
        <v>46044.48789</v>
      </c>
      <c r="C1056" s="17">
        <f>IFERROR(__xludf.DUMMYFUNCTION("""COMPUTED_VALUE"""),46048.62328075231)</f>
        <v>46048.62328</v>
      </c>
      <c r="D1056" s="15" t="str">
        <f>IFERROR(__xludf.DUMMYFUNCTION("""COMPUTED_VALUE"""),"Power Stacker Warehouse")</f>
        <v>Power Stacker Warehouse</v>
      </c>
      <c r="E1056" s="15" t="str">
        <f>IFERROR(__xludf.DUMMYFUNCTION("""COMPUTED_VALUE"""),"EJO/2026/01/140")</f>
        <v>EJO/2026/01/140</v>
      </c>
      <c r="F1056" s="15" t="str">
        <f>IFERROR(__xludf.DUMMYFUNCTION("""COMPUTED_VALUE"""),"Baterai")</f>
        <v>Baterai</v>
      </c>
      <c r="G1056" s="15">
        <f>IFERROR(__xludf.DUMMYFUNCTION("""COMPUTED_VALUE"""),2.0)</f>
        <v>2</v>
      </c>
      <c r="H1056" s="15" t="str">
        <f>IFERROR(__xludf.DUMMYFUNCTION("""COMPUTED_VALUE"""),"Pcs")</f>
        <v>Pcs</v>
      </c>
      <c r="I1056" s="15" t="str">
        <f>IFERROR(__xludf.DUMMYFUNCTION("""COMPUTED_VALUE"""),"Deliver")</f>
        <v>Deliver</v>
      </c>
      <c r="J1056" s="15" t="str">
        <f>IFERROR(__xludf.DUMMYFUNCTION("""COMPUTED_VALUE"""),"121704012 - APPROVED")</f>
        <v>121704012 - APPROVED</v>
      </c>
      <c r="K1056" s="15" t="str">
        <f>IFERROR(__xludf.DUMMYFUNCTION("""COMPUTED_VALUE"""),"GL2604497")</f>
        <v>GL2604497</v>
      </c>
      <c r="L1056" s="15" t="str">
        <f>IFERROR(__xludf.DUMMYFUNCTION("""COMPUTED_VALUE"""),"Normal")</f>
        <v>Normal</v>
      </c>
      <c r="M1056" s="18" t="s">
        <v>32</v>
      </c>
      <c r="N1056" s="18" t="s">
        <v>28</v>
      </c>
    </row>
    <row r="1057" hidden="1">
      <c r="A1057" s="15" t="str">
        <f>IFERROR(__xludf.DUMMYFUNCTION("""COMPUTED_VALUE"""),"SFHRO0031")</f>
        <v>SFHRO0031</v>
      </c>
      <c r="B1057" s="16">
        <f>IFERROR(__xludf.DUMMYFUNCTION("""COMPUTED_VALUE"""),46043.286751932865)</f>
        <v>46043.28675</v>
      </c>
      <c r="C1057" s="17">
        <f>IFERROR(__xludf.DUMMYFUNCTION("""COMPUTED_VALUE"""),46048.623725833335)</f>
        <v>46048.62373</v>
      </c>
      <c r="D1057" s="15" t="str">
        <f>IFERROR(__xludf.DUMMYFUNCTION("""COMPUTED_VALUE"""),"LANTAI 2")</f>
        <v>LANTAI 2</v>
      </c>
      <c r="E1057" s="15" t="str">
        <f>IFERROR(__xludf.DUMMYFUNCTION("""COMPUTED_VALUE"""),"-")</f>
        <v>-</v>
      </c>
      <c r="F1057" s="15" t="str">
        <f>IFERROR(__xludf.DUMMYFUNCTION("""COMPUTED_VALUE"""),"Keramik Roman Warna Putih 40 x 40 cm;Roman;CN: 447106;pack size per pack")</f>
        <v>Keramik Roman Warna Putih 40 x 40 cm;Roman;CN: 447106;pack size per pack</v>
      </c>
      <c r="G1057" s="15">
        <f>IFERROR(__xludf.DUMMYFUNCTION("""COMPUTED_VALUE"""),6.0)</f>
        <v>6</v>
      </c>
      <c r="H1057" s="15" t="str">
        <f>IFERROR(__xludf.DUMMYFUNCTION("""COMPUTED_VALUE"""),"dus")</f>
        <v>dus</v>
      </c>
      <c r="I1057" s="15" t="str">
        <f>IFERROR(__xludf.DUMMYFUNCTION("""COMPUTED_VALUE"""),"Deliver")</f>
        <v>Deliver</v>
      </c>
      <c r="J1057" s="15" t="str">
        <f>IFERROR(__xludf.DUMMYFUNCTION("""COMPUTED_VALUE"""),"121703772 - APPROVED")</f>
        <v>121703772 - APPROVED</v>
      </c>
      <c r="K1057" s="15" t="str">
        <f>IFERROR(__xludf.DUMMYFUNCTION("""COMPUTED_VALUE"""),"GL2602027")</f>
        <v>GL2602027</v>
      </c>
      <c r="L1057" s="15" t="str">
        <f>IFERROR(__xludf.DUMMYFUNCTION("""COMPUTED_VALUE"""),"Normal")</f>
        <v>Normal</v>
      </c>
      <c r="M1057" s="18" t="s">
        <v>27</v>
      </c>
      <c r="N1057" s="18" t="s">
        <v>28</v>
      </c>
    </row>
    <row r="1058" hidden="1">
      <c r="A1058" s="15" t="str">
        <f>IFERROR(__xludf.DUMMYFUNCTION("""COMPUTED_VALUE"""),"MOBRO0070")</f>
        <v>MOBRO0070</v>
      </c>
      <c r="B1058" s="16">
        <f>IFERROR(__xludf.DUMMYFUNCTION("""COMPUTED_VALUE"""),46034.655956574075)</f>
        <v>46034.65596</v>
      </c>
      <c r="C1058" s="17">
        <f>IFERROR(__xludf.DUMMYFUNCTION("""COMPUTED_VALUE"""),46048.63076128472)</f>
        <v>46048.63076</v>
      </c>
      <c r="D1058" s="15" t="str">
        <f>IFERROR(__xludf.DUMMYFUNCTION("""COMPUTED_VALUE"""),"PSG")</f>
        <v>PSG</v>
      </c>
      <c r="E1058" s="15" t="str">
        <f>IFERROR(__xludf.DUMMYFUNCTION("""COMPUTED_VALUE"""),"-")</f>
        <v>-</v>
      </c>
      <c r="F1058" s="15" t="str">
        <f>IFERROR(__xludf.DUMMYFUNCTION("""COMPUTED_VALUE"""),"General - Thermostatic Steam Trap LV6-CE DN20 SS; TLV; -; 1 Pc")</f>
        <v>General - Thermostatic Steam Trap LV6-CE DN20 SS; TLV; -; 1 Pc</v>
      </c>
      <c r="G1058" s="15">
        <f>IFERROR(__xludf.DUMMYFUNCTION("""COMPUTED_VALUE"""),1.0)</f>
        <v>1</v>
      </c>
      <c r="H1058" s="15" t="str">
        <f>IFERROR(__xludf.DUMMYFUNCTION("""COMPUTED_VALUE"""),"Pcs")</f>
        <v>Pcs</v>
      </c>
      <c r="I1058" s="15" t="str">
        <f>IFERROR(__xludf.DUMMYFUNCTION("""COMPUTED_VALUE"""),"Deliver")</f>
        <v>Deliver</v>
      </c>
      <c r="J1058" s="15" t="str">
        <f>IFERROR(__xludf.DUMMYFUNCTION("""COMPUTED_VALUE"""),"121703753 - APPROVED")</f>
        <v>121703753 - APPROVED</v>
      </c>
      <c r="K1058" s="15" t="str">
        <f>IFERROR(__xludf.DUMMYFUNCTION("""COMPUTED_VALUE"""),"GL2602014")</f>
        <v>GL2602014</v>
      </c>
      <c r="L1058" s="15" t="str">
        <f>IFERROR(__xludf.DUMMYFUNCTION("""COMPUTED_VALUE"""),"Normal")</f>
        <v>Normal</v>
      </c>
      <c r="M1058" s="18" t="s">
        <v>31</v>
      </c>
      <c r="N1058" s="18" t="s">
        <v>28</v>
      </c>
    </row>
    <row r="1059" hidden="1">
      <c r="A1059" s="15" t="str">
        <f>IFERROR(__xludf.DUMMYFUNCTION("""COMPUTED_VALUE"""),"INNRO0010")</f>
        <v>INNRO0010</v>
      </c>
      <c r="B1059" s="16">
        <f>IFERROR(__xludf.DUMMYFUNCTION("""COMPUTED_VALUE"""),46017.12780109954)</f>
        <v>46017.1278</v>
      </c>
      <c r="C1059" s="17">
        <f>IFERROR(__xludf.DUMMYFUNCTION("""COMPUTED_VALUE"""),46049.87946181713)</f>
        <v>46049.87946</v>
      </c>
      <c r="D1059" s="15" t="str">
        <f>IFERROR(__xludf.DUMMYFUNCTION("""COMPUTED_VALUE"""),"Filling")</f>
        <v>Filling</v>
      </c>
      <c r="E1059" s="15" t="str">
        <f>IFERROR(__xludf.DUMMYFUNCTION("""COMPUTED_VALUE"""),"EJO/2025/10/69")</f>
        <v>EJO/2025/10/69</v>
      </c>
      <c r="F1059" s="15" t="str">
        <f>IFERROR(__xludf.DUMMYFUNCTION("""COMPUTED_VALUE"""),"General - Pulsed DC Ionising Bar Hyperion 929IPS Length 325mm; Steriline; 1096041; 1 Pc")</f>
        <v>General - Pulsed DC Ionising Bar Hyperion 929IPS Length 325mm; Steriline; 1096041; 1 Pc</v>
      </c>
      <c r="G1059" s="15">
        <f>IFERROR(__xludf.DUMMYFUNCTION("""COMPUTED_VALUE"""),1.0)</f>
        <v>1</v>
      </c>
      <c r="H1059" s="15" t="str">
        <f>IFERROR(__xludf.DUMMYFUNCTION("""COMPUTED_VALUE"""),"Pcs")</f>
        <v>Pcs</v>
      </c>
      <c r="I1059" s="15" t="str">
        <f>IFERROR(__xludf.DUMMYFUNCTION("""COMPUTED_VALUE"""),"Deliver")</f>
        <v>Deliver</v>
      </c>
      <c r="J1059" s="15" t="str">
        <f>IFERROR(__xludf.DUMMYFUNCTION("""COMPUTED_VALUE"""),"121703633 - APPROVED")</f>
        <v>121703633 - APPROVED</v>
      </c>
      <c r="K1059" s="15" t="str">
        <f>IFERROR(__xludf.DUMMYFUNCTION("""COMPUTED_VALUE"""),"GL2601027")</f>
        <v>GL2601027</v>
      </c>
      <c r="L1059" s="15" t="str">
        <f>IFERROR(__xludf.DUMMYFUNCTION("""COMPUTED_VALUE"""),"Urgent")</f>
        <v>Urgent</v>
      </c>
      <c r="M1059" s="18" t="s">
        <v>51</v>
      </c>
      <c r="N1059" s="18" t="s">
        <v>30</v>
      </c>
    </row>
    <row r="1060" hidden="1">
      <c r="A1060" s="15" t="str">
        <f>IFERROR(__xludf.DUMMYFUNCTION("""COMPUTED_VALUE"""),"NDSBR0049")</f>
        <v>NDSBR0049</v>
      </c>
      <c r="B1060" s="16">
        <f>IFERROR(__xludf.DUMMYFUNCTION("""COMPUTED_VALUE"""),46043.298426030095)</f>
        <v>46043.29843</v>
      </c>
      <c r="C1060" s="17">
        <f>IFERROR(__xludf.DUMMYFUNCTION("""COMPUTED_VALUE"""),46050.261325590276)</f>
        <v>46050.26133</v>
      </c>
      <c r="D1060" s="15" t="str">
        <f>IFERROR(__xludf.DUMMYFUNCTION("""COMPUTED_VALUE"""),"Fumehood")</f>
        <v>Fumehood</v>
      </c>
      <c r="E1060" s="15" t="str">
        <f>IFERROR(__xludf.DUMMYFUNCTION("""COMPUTED_VALUE"""),"EJO/2026/01/52")</f>
        <v>EJO/2026/01/52</v>
      </c>
      <c r="F1060" s="15" t="str">
        <f>IFERROR(__xludf.DUMMYFUNCTION("""COMPUTED_VALUE"""),"Lampu LED 25 Watt")</f>
        <v>Lampu LED 25 Watt</v>
      </c>
      <c r="G1060" s="15">
        <f>IFERROR(__xludf.DUMMYFUNCTION("""COMPUTED_VALUE"""),3.0)</f>
        <v>3</v>
      </c>
      <c r="H1060" s="15" t="str">
        <f>IFERROR(__xludf.DUMMYFUNCTION("""COMPUTED_VALUE"""),"Pcs")</f>
        <v>Pcs</v>
      </c>
      <c r="I1060" s="15" t="str">
        <f>IFERROR(__xludf.DUMMYFUNCTION("""COMPUTED_VALUE"""),"PR Open")</f>
        <v>PR Open</v>
      </c>
      <c r="J1060" s="15" t="str">
        <f>IFERROR(__xludf.DUMMYFUNCTION("""COMPUTED_VALUE"""),"121704549 - APPROVED")</f>
        <v>121704549 - APPROVED</v>
      </c>
      <c r="K1060" s="15" t="str">
        <f>IFERROR(__xludf.DUMMYFUNCTION("""COMPUTED_VALUE"""),"-")</f>
        <v>-</v>
      </c>
      <c r="L1060" s="15" t="str">
        <f>IFERROR(__xludf.DUMMYFUNCTION("""COMPUTED_VALUE"""),"Normal")</f>
        <v>Normal</v>
      </c>
      <c r="M1060" s="18" t="s">
        <v>50</v>
      </c>
      <c r="N1060" s="18" t="s">
        <v>30</v>
      </c>
    </row>
    <row r="1061" hidden="1">
      <c r="A1061" s="15" t="str">
        <f>IFERROR(__xludf.DUMMYFUNCTION("""COMPUTED_VALUE"""),"NDSBR0050")</f>
        <v>NDSBR0050</v>
      </c>
      <c r="B1061" s="16">
        <f>IFERROR(__xludf.DUMMYFUNCTION("""COMPUTED_VALUE"""),46045.720527638885)</f>
        <v>46045.72053</v>
      </c>
      <c r="C1061" s="17">
        <f>IFERROR(__xludf.DUMMYFUNCTION("""COMPUTED_VALUE"""),46050.27945408565)</f>
        <v>46050.27945</v>
      </c>
      <c r="D1061" s="15" t="str">
        <f>IFERROR(__xludf.DUMMYFUNCTION("""COMPUTED_VALUE"""),"Blister")</f>
        <v>Blister</v>
      </c>
      <c r="E1061" s="15" t="str">
        <f>IFERROR(__xludf.DUMMYFUNCTION("""COMPUTED_VALUE"""),"EJO/2025/10/130")</f>
        <v>EJO/2025/10/130</v>
      </c>
      <c r="F1061" s="15" t="str">
        <f>IFERROR(__xludf.DUMMYFUNCTION("""COMPUTED_VALUE"""),"Cover Seluncuran Pass through")</f>
        <v>Cover Seluncuran Pass through</v>
      </c>
      <c r="G1061" s="15">
        <f>IFERROR(__xludf.DUMMYFUNCTION("""COMPUTED_VALUE"""),1.0)</f>
        <v>1</v>
      </c>
      <c r="H1061" s="15" t="str">
        <f>IFERROR(__xludf.DUMMYFUNCTION("""COMPUTED_VALUE"""),"Pcs")</f>
        <v>Pcs</v>
      </c>
      <c r="I1061" s="15" t="str">
        <f>IFERROR(__xludf.DUMMYFUNCTION("""COMPUTED_VALUE"""),"Deliver")</f>
        <v>Deliver</v>
      </c>
      <c r="J1061" s="15" t="str">
        <f>IFERROR(__xludf.DUMMYFUNCTION("""COMPUTED_VALUE"""),"121704032 - APPROVED")</f>
        <v>121704032 - APPROVED</v>
      </c>
      <c r="K1061" s="15" t="str">
        <f>IFERROR(__xludf.DUMMYFUNCTION("""COMPUTED_VALUE"""),"GL2603478")</f>
        <v>GL2603478</v>
      </c>
      <c r="L1061" s="15" t="str">
        <f>IFERROR(__xludf.DUMMYFUNCTION("""COMPUTED_VALUE"""),"Normal")</f>
        <v>Normal</v>
      </c>
      <c r="M1061" s="18" t="s">
        <v>50</v>
      </c>
      <c r="N1061" s="18" t="s">
        <v>30</v>
      </c>
    </row>
    <row r="1062" hidden="1">
      <c r="A1062" s="15" t="str">
        <f>IFERROR(__xludf.DUMMYFUNCTION("""COMPUTED_VALUE"""),"AAABR0029")</f>
        <v>AAABR0029</v>
      </c>
      <c r="B1062" s="16">
        <f>IFERROR(__xludf.DUMMYFUNCTION("""COMPUTED_VALUE"""),46027.6861356713)</f>
        <v>46027.68614</v>
      </c>
      <c r="C1062" s="17">
        <f>IFERROR(__xludf.DUMMYFUNCTION("""COMPUTED_VALUE"""),46050.27985724537)</f>
        <v>46050.27986</v>
      </c>
      <c r="D1062" s="15" t="str">
        <f>IFERROR(__xludf.DUMMYFUNCTION("""COMPUTED_VALUE"""),"dissolution tester")</f>
        <v>dissolution tester</v>
      </c>
      <c r="E1062" s="15" t="str">
        <f>IFERROR(__xludf.DUMMYFUNCTION("""COMPUTED_VALUE"""),"Menyusul")</f>
        <v>Menyusul</v>
      </c>
      <c r="F1062" s="15" t="str">
        <f>IFERROR(__xludf.DUMMYFUNCTION("""COMPUTED_VALUE"""),"refill board DSR auto sampler ")</f>
        <v>refill board DSR auto sampler </v>
      </c>
      <c r="G1062" s="15">
        <f>IFERROR(__xludf.DUMMYFUNCTION("""COMPUTED_VALUE"""),1.0)</f>
        <v>1</v>
      </c>
      <c r="H1062" s="15" t="str">
        <f>IFERROR(__xludf.DUMMYFUNCTION("""COMPUTED_VALUE"""),"unit")</f>
        <v>unit</v>
      </c>
      <c r="I1062" s="15" t="str">
        <f>IFERROR(__xludf.DUMMYFUNCTION("""COMPUTED_VALUE"""),"Deliver")</f>
        <v>Deliver</v>
      </c>
      <c r="J1062" s="15" t="str">
        <f>IFERROR(__xludf.DUMMYFUNCTION("""COMPUTED_VALUE"""),"121703904 - APPROVED")</f>
        <v>121703904 - APPROVED</v>
      </c>
      <c r="K1062" s="15" t="str">
        <f>IFERROR(__xludf.DUMMYFUNCTION("""COMPUTED_VALUE"""),"GL2603022")</f>
        <v>GL2603022</v>
      </c>
      <c r="L1062" s="15" t="str">
        <f>IFERROR(__xludf.DUMMYFUNCTION("""COMPUTED_VALUE"""),"Normal")</f>
        <v>Normal</v>
      </c>
      <c r="M1062" s="18" t="s">
        <v>47</v>
      </c>
      <c r="N1062" s="18" t="s">
        <v>30</v>
      </c>
    </row>
    <row r="1063" hidden="1">
      <c r="A1063" s="15" t="str">
        <f>IFERROR(__xludf.DUMMYFUNCTION("""COMPUTED_VALUE"""),"SFHRO0033")</f>
        <v>SFHRO0033</v>
      </c>
      <c r="B1063" s="16">
        <f>IFERROR(__xludf.DUMMYFUNCTION("""COMPUTED_VALUE"""),46049.853237523144)</f>
        <v>46049.85324</v>
      </c>
      <c r="C1063" s="17">
        <f>IFERROR(__xludf.DUMMYFUNCTION("""COMPUTED_VALUE"""),46050.706826365735)</f>
        <v>46050.70683</v>
      </c>
      <c r="D1063" s="15" t="str">
        <f>IFERROR(__xludf.DUMMYFUNCTION("""COMPUTED_VALUE"""),"lantai 3")</f>
        <v>lantai 3</v>
      </c>
      <c r="E1063" s="15" t="str">
        <f>IFERROR(__xludf.DUMMYFUNCTION("""COMPUTED_VALUE"""),"-")</f>
        <v>-</v>
      </c>
      <c r="F1063" s="15" t="str">
        <f>IFERROR(__xludf.DUMMYFUNCTION("""COMPUTED_VALUE"""),"Polyfloor PFT-213 Light blue @ 20 KG")</f>
        <v>Polyfloor PFT-213 Light blue @ 20 KG</v>
      </c>
      <c r="G1063" s="15">
        <f>IFERROR(__xludf.DUMMYFUNCTION("""COMPUTED_VALUE"""),4.0)</f>
        <v>4</v>
      </c>
      <c r="H1063" s="15" t="str">
        <f>IFERROR(__xludf.DUMMYFUNCTION("""COMPUTED_VALUE"""),"pel")</f>
        <v>pel</v>
      </c>
      <c r="I1063" s="15" t="str">
        <f>IFERROR(__xludf.DUMMYFUNCTION("""COMPUTED_VALUE"""),"Deliver")</f>
        <v>Deliver</v>
      </c>
      <c r="J1063" s="15" t="str">
        <f>IFERROR(__xludf.DUMMYFUNCTION("""COMPUTED_VALUE"""),"121703773 - APPROVED")</f>
        <v>121703773 - APPROVED</v>
      </c>
      <c r="K1063" s="15" t="str">
        <f>IFERROR(__xludf.DUMMYFUNCTION("""COMPUTED_VALUE"""),"GL2603052")</f>
        <v>GL2603052</v>
      </c>
      <c r="L1063" s="15" t="str">
        <f>IFERROR(__xludf.DUMMYFUNCTION("""COMPUTED_VALUE"""),"Normal")</f>
        <v>Normal</v>
      </c>
      <c r="M1063" s="18" t="s">
        <v>27</v>
      </c>
      <c r="N1063" s="18" t="s">
        <v>28</v>
      </c>
    </row>
    <row r="1064" hidden="1">
      <c r="A1064" s="15" t="str">
        <f>IFERROR(__xludf.DUMMYFUNCTION("""COMPUTED_VALUE"""),"SFHRO0032")</f>
        <v>SFHRO0032</v>
      </c>
      <c r="B1064" s="16">
        <f>IFERROR(__xludf.DUMMYFUNCTION("""COMPUTED_VALUE"""),46049.64311123842)</f>
        <v>46049.64311</v>
      </c>
      <c r="C1064" s="17">
        <f>IFERROR(__xludf.DUMMYFUNCTION("""COMPUTED_VALUE"""),46050.707077499996)</f>
        <v>46050.70708</v>
      </c>
      <c r="D1064" s="15" t="str">
        <f>IFERROR(__xludf.DUMMYFUNCTION("""COMPUTED_VALUE"""),"lantai 2")</f>
        <v>lantai 2</v>
      </c>
      <c r="E1064" s="15" t="str">
        <f>IFERROR(__xludf.DUMMYFUNCTION("""COMPUTED_VALUE"""),"-")</f>
        <v>-</v>
      </c>
      <c r="F1064" s="15" t="str">
        <f>IFERROR(__xludf.DUMMYFUNCTION("""COMPUTED_VALUE"""),"Cat Weathershield Day Break;Dulux;Type 40544M Day Break;pack size per 20L pail")</f>
        <v>Cat Weathershield Day Break;Dulux;Type 40544M Day Break;pack size per 20L pail</v>
      </c>
      <c r="G1064" s="15">
        <f>IFERROR(__xludf.DUMMYFUNCTION("""COMPUTED_VALUE"""),3.0)</f>
        <v>3</v>
      </c>
      <c r="H1064" s="15" t="str">
        <f>IFERROR(__xludf.DUMMYFUNCTION("""COMPUTED_VALUE"""),"pel")</f>
        <v>pel</v>
      </c>
      <c r="I1064" s="15" t="str">
        <f>IFERROR(__xludf.DUMMYFUNCTION("""COMPUTED_VALUE"""),"Deliver")</f>
        <v>Deliver</v>
      </c>
      <c r="J1064" s="15" t="str">
        <f>IFERROR(__xludf.DUMMYFUNCTION("""COMPUTED_VALUE"""),"121703774 - APPROVED")</f>
        <v>121703774 - APPROVED</v>
      </c>
      <c r="K1064" s="15" t="str">
        <f>IFERROR(__xludf.DUMMYFUNCTION("""COMPUTED_VALUE"""),"GL2604011")</f>
        <v>GL2604011</v>
      </c>
      <c r="L1064" s="15" t="str">
        <f>IFERROR(__xludf.DUMMYFUNCTION("""COMPUTED_VALUE"""),"Normal")</f>
        <v>Normal</v>
      </c>
      <c r="M1064" s="18" t="s">
        <v>27</v>
      </c>
      <c r="N1064" s="18" t="s">
        <v>28</v>
      </c>
    </row>
    <row r="1065" hidden="1">
      <c r="A1065" s="15" t="str">
        <f>IFERROR(__xludf.DUMMYFUNCTION("""COMPUTED_VALUE"""),"MOBRO0076")</f>
        <v>MOBRO0076</v>
      </c>
      <c r="B1065" s="16">
        <f>IFERROR(__xludf.DUMMYFUNCTION("""COMPUTED_VALUE"""),46045.911177141206)</f>
        <v>46045.91118</v>
      </c>
      <c r="C1065" s="17">
        <f>IFERROR(__xludf.DUMMYFUNCTION("""COMPUTED_VALUE"""),46050.70725399306)</f>
        <v>46050.70725</v>
      </c>
      <c r="D1065" s="15" t="str">
        <f>IFERROR(__xludf.DUMMYFUNCTION("""COMPUTED_VALUE"""),"Pneumatic Fitting")</f>
        <v>Pneumatic Fitting</v>
      </c>
      <c r="E1065" s="15" t="str">
        <f>IFERROR(__xludf.DUMMYFUNCTION("""COMPUTED_VALUE"""),"-")</f>
        <v>-</v>
      </c>
      <c r="F1065" s="15" t="str">
        <f>IFERROR(__xludf.DUMMYFUNCTION("""COMPUTED_VALUE"""),"FESTO - Push In Connector QS-8 p/n 153033")</f>
        <v>FESTO - Push In Connector QS-8 p/n 153033</v>
      </c>
      <c r="G1065" s="15">
        <f>IFERROR(__xludf.DUMMYFUNCTION("""COMPUTED_VALUE"""),10.0)</f>
        <v>10</v>
      </c>
      <c r="H1065" s="15" t="str">
        <f>IFERROR(__xludf.DUMMYFUNCTION("""COMPUTED_VALUE"""),"Pcs")</f>
        <v>Pcs</v>
      </c>
      <c r="I1065" s="15" t="str">
        <f>IFERROR(__xludf.DUMMYFUNCTION("""COMPUTED_VALUE"""),"Deliver")</f>
        <v>Deliver</v>
      </c>
      <c r="J1065" s="15" t="str">
        <f>IFERROR(__xludf.DUMMYFUNCTION("""COMPUTED_VALUE"""),"121703989 - APPROVED")</f>
        <v>121703989 - APPROVED</v>
      </c>
      <c r="K1065" s="15" t="str">
        <f>IFERROR(__xludf.DUMMYFUNCTION("""COMPUTED_VALUE"""),"GL2604306")</f>
        <v>GL2604306</v>
      </c>
      <c r="L1065" s="15" t="str">
        <f>IFERROR(__xludf.DUMMYFUNCTION("""COMPUTED_VALUE"""),"Normal")</f>
        <v>Normal</v>
      </c>
      <c r="M1065" s="18" t="s">
        <v>31</v>
      </c>
      <c r="N1065" s="18" t="s">
        <v>28</v>
      </c>
    </row>
    <row r="1066" hidden="1">
      <c r="A1066" s="15" t="str">
        <f>IFERROR(__xludf.DUMMYFUNCTION("""COMPUTED_VALUE"""),"MOBRO0075")</f>
        <v>MOBRO0075</v>
      </c>
      <c r="B1066" s="16">
        <f>IFERROR(__xludf.DUMMYFUNCTION("""COMPUTED_VALUE"""),46045.90941965278)</f>
        <v>46045.90942</v>
      </c>
      <c r="C1066" s="17">
        <f>IFERROR(__xludf.DUMMYFUNCTION("""COMPUTED_VALUE"""),46050.70740409722)</f>
        <v>46050.7074</v>
      </c>
      <c r="D1066" s="15" t="str">
        <f>IFERROR(__xludf.DUMMYFUNCTION("""COMPUTED_VALUE"""),"Pneumatic Fitting")</f>
        <v>Pneumatic Fitting</v>
      </c>
      <c r="E1066" s="15" t="str">
        <f>IFERROR(__xludf.DUMMYFUNCTION("""COMPUTED_VALUE"""),"-")</f>
        <v>-</v>
      </c>
      <c r="F1066" s="15" t="str">
        <f>IFERROR(__xludf.DUMMYFUNCTION("""COMPUTED_VALUE"""),"General - Push-in Connector, QS-6; Festo; 153032; 1 pcs")</f>
        <v>General - Push-in Connector, QS-6; Festo; 153032; 1 pcs</v>
      </c>
      <c r="G1066" s="15">
        <f>IFERROR(__xludf.DUMMYFUNCTION("""COMPUTED_VALUE"""),10.0)</f>
        <v>10</v>
      </c>
      <c r="H1066" s="15" t="str">
        <f>IFERROR(__xludf.DUMMYFUNCTION("""COMPUTED_VALUE"""),"Pcs")</f>
        <v>Pcs</v>
      </c>
      <c r="I1066" s="15" t="str">
        <f>IFERROR(__xludf.DUMMYFUNCTION("""COMPUTED_VALUE"""),"Deliver")</f>
        <v>Deliver</v>
      </c>
      <c r="J1066" s="15" t="str">
        <f>IFERROR(__xludf.DUMMYFUNCTION("""COMPUTED_VALUE"""),"121703775 - APPROVED")</f>
        <v>121703775 - APPROVED</v>
      </c>
      <c r="K1066" s="15" t="str">
        <f>IFERROR(__xludf.DUMMYFUNCTION("""COMPUTED_VALUE"""),"GL2607381")</f>
        <v>GL2607381</v>
      </c>
      <c r="L1066" s="15" t="str">
        <f>IFERROR(__xludf.DUMMYFUNCTION("""COMPUTED_VALUE"""),"Normal")</f>
        <v>Normal</v>
      </c>
      <c r="M1066" s="18" t="s">
        <v>31</v>
      </c>
      <c r="N1066" s="18" t="s">
        <v>28</v>
      </c>
    </row>
    <row r="1067" hidden="1">
      <c r="A1067" s="15" t="str">
        <f>IFERROR(__xludf.DUMMYFUNCTION("""COMPUTED_VALUE"""),"MOBRO0074")</f>
        <v>MOBRO0074</v>
      </c>
      <c r="B1067" s="16">
        <f>IFERROR(__xludf.DUMMYFUNCTION("""COMPUTED_VALUE"""),46045.90941965278)</f>
        <v>46045.90942</v>
      </c>
      <c r="C1067" s="17">
        <f>IFERROR(__xludf.DUMMYFUNCTION("""COMPUTED_VALUE"""),46050.707543090284)</f>
        <v>46050.70754</v>
      </c>
      <c r="D1067" s="15" t="str">
        <f>IFERROR(__xludf.DUMMYFUNCTION("""COMPUTED_VALUE"""),"Pneumatic Fitting")</f>
        <v>Pneumatic Fitting</v>
      </c>
      <c r="E1067" s="15" t="str">
        <f>IFERROR(__xludf.DUMMYFUNCTION("""COMPUTED_VALUE"""),"-")</f>
        <v>-</v>
      </c>
      <c r="F1067" s="15" t="str">
        <f>IFERROR(__xludf.DUMMYFUNCTION("""COMPUTED_VALUE"""),"General - Push-in Connector, QS-10; Festo; 153034; 1 pcs")</f>
        <v>General - Push-in Connector, QS-10; Festo; 153034; 1 pcs</v>
      </c>
      <c r="G1067" s="15">
        <f>IFERROR(__xludf.DUMMYFUNCTION("""COMPUTED_VALUE"""),10.0)</f>
        <v>10</v>
      </c>
      <c r="H1067" s="15" t="str">
        <f>IFERROR(__xludf.DUMMYFUNCTION("""COMPUTED_VALUE"""),"Pcs")</f>
        <v>Pcs</v>
      </c>
      <c r="I1067" s="15" t="str">
        <f>IFERROR(__xludf.DUMMYFUNCTION("""COMPUTED_VALUE"""),"Deliver")</f>
        <v>Deliver</v>
      </c>
      <c r="J1067" s="15" t="str">
        <f>IFERROR(__xludf.DUMMYFUNCTION("""COMPUTED_VALUE"""),"121703775 - APPROVED")</f>
        <v>121703775 - APPROVED</v>
      </c>
      <c r="K1067" s="15" t="str">
        <f>IFERROR(__xludf.DUMMYFUNCTION("""COMPUTED_VALUE"""),"GL2607381")</f>
        <v>GL2607381</v>
      </c>
      <c r="L1067" s="15" t="str">
        <f>IFERROR(__xludf.DUMMYFUNCTION("""COMPUTED_VALUE"""),"Normal")</f>
        <v>Normal</v>
      </c>
      <c r="M1067" s="18" t="s">
        <v>31</v>
      </c>
      <c r="N1067" s="18" t="s">
        <v>28</v>
      </c>
    </row>
    <row r="1068" hidden="1">
      <c r="A1068" s="15" t="str">
        <f>IFERROR(__xludf.DUMMYFUNCTION("""COMPUTED_VALUE"""),"MOBRO0072")</f>
        <v>MOBRO0072</v>
      </c>
      <c r="B1068" s="16">
        <f>IFERROR(__xludf.DUMMYFUNCTION("""COMPUTED_VALUE"""),46045.90758798611)</f>
        <v>46045.90759</v>
      </c>
      <c r="C1068" s="17">
        <f>IFERROR(__xludf.DUMMYFUNCTION("""COMPUTED_VALUE"""),46050.70790432871)</f>
        <v>46050.7079</v>
      </c>
      <c r="D1068" s="15" t="str">
        <f>IFERROR(__xludf.DUMMYFUNCTION("""COMPUTED_VALUE"""),"Pneumatic Fitting")</f>
        <v>Pneumatic Fitting</v>
      </c>
      <c r="E1068" s="15" t="str">
        <f>IFERROR(__xludf.DUMMYFUNCTION("""COMPUTED_VALUE"""),"-")</f>
        <v>-</v>
      </c>
      <c r="F1068" s="15" t="str">
        <f>IFERROR(__xludf.DUMMYFUNCTION("""COMPUTED_VALUE"""),"FESTO - QS-10-8 Push In Connector p/n 153039")</f>
        <v>FESTO - QS-10-8 Push In Connector p/n 153039</v>
      </c>
      <c r="G1068" s="15">
        <f>IFERROR(__xludf.DUMMYFUNCTION("""COMPUTED_VALUE"""),10.0)</f>
        <v>10</v>
      </c>
      <c r="H1068" s="15" t="str">
        <f>IFERROR(__xludf.DUMMYFUNCTION("""COMPUTED_VALUE"""),"Pcs")</f>
        <v>Pcs</v>
      </c>
      <c r="I1068" s="15" t="str">
        <f>IFERROR(__xludf.DUMMYFUNCTION("""COMPUTED_VALUE"""),"Deliver")</f>
        <v>Deliver</v>
      </c>
      <c r="J1068" s="15" t="str">
        <f>IFERROR(__xludf.DUMMYFUNCTION("""COMPUTED_VALUE"""),"121703991 - APPROVED")</f>
        <v>121703991 - APPROVED</v>
      </c>
      <c r="K1068" s="15" t="str">
        <f>IFERROR(__xludf.DUMMYFUNCTION("""COMPUTED_VALUE"""),"GL2604306")</f>
        <v>GL2604306</v>
      </c>
      <c r="L1068" s="15" t="str">
        <f>IFERROR(__xludf.DUMMYFUNCTION("""COMPUTED_VALUE"""),"Normal")</f>
        <v>Normal</v>
      </c>
      <c r="M1068" s="18" t="s">
        <v>31</v>
      </c>
      <c r="N1068" s="18" t="s">
        <v>28</v>
      </c>
    </row>
    <row r="1069" hidden="1">
      <c r="A1069" s="15" t="str">
        <f>IFERROR(__xludf.DUMMYFUNCTION("""COMPUTED_VALUE"""),"MOBRO0071")</f>
        <v>MOBRO0071</v>
      </c>
      <c r="B1069" s="16">
        <f>IFERROR(__xludf.DUMMYFUNCTION("""COMPUTED_VALUE"""),46045.90621429399)</f>
        <v>46045.90621</v>
      </c>
      <c r="C1069" s="17">
        <f>IFERROR(__xludf.DUMMYFUNCTION("""COMPUTED_VALUE"""),46050.708044293984)</f>
        <v>46050.70804</v>
      </c>
      <c r="D1069" s="15" t="str">
        <f>IFERROR(__xludf.DUMMYFUNCTION("""COMPUTED_VALUE"""),"Pneumatic Fitting")</f>
        <v>Pneumatic Fitting</v>
      </c>
      <c r="E1069" s="15" t="str">
        <f>IFERROR(__xludf.DUMMYFUNCTION("""COMPUTED_VALUE"""),"-")</f>
        <v>-</v>
      </c>
      <c r="F1069" s="15" t="str">
        <f>IFERROR(__xludf.DUMMYFUNCTION("""COMPUTED_VALUE"""),"General - Push-in Connector, QS-8-6; Festo; 153038; 1 pcs")</f>
        <v>General - Push-in Connector, QS-8-6; Festo; 153038; 1 pcs</v>
      </c>
      <c r="G1069" s="15">
        <f>IFERROR(__xludf.DUMMYFUNCTION("""COMPUTED_VALUE"""),10.0)</f>
        <v>10</v>
      </c>
      <c r="H1069" s="15" t="str">
        <f>IFERROR(__xludf.DUMMYFUNCTION("""COMPUTED_VALUE"""),"Pcs")</f>
        <v>Pcs</v>
      </c>
      <c r="I1069" s="15" t="str">
        <f>IFERROR(__xludf.DUMMYFUNCTION("""COMPUTED_VALUE"""),"Deliver")</f>
        <v>Deliver</v>
      </c>
      <c r="J1069" s="15" t="str">
        <f>IFERROR(__xludf.DUMMYFUNCTION("""COMPUTED_VALUE"""),"121703775 - APPROVED")</f>
        <v>121703775 - APPROVED</v>
      </c>
      <c r="K1069" s="15" t="str">
        <f>IFERROR(__xludf.DUMMYFUNCTION("""COMPUTED_VALUE"""),"GL2607381")</f>
        <v>GL2607381</v>
      </c>
      <c r="L1069" s="15" t="str">
        <f>IFERROR(__xludf.DUMMYFUNCTION("""COMPUTED_VALUE"""),"Normal")</f>
        <v>Normal</v>
      </c>
      <c r="M1069" s="18" t="s">
        <v>31</v>
      </c>
      <c r="N1069" s="18" t="s">
        <v>28</v>
      </c>
    </row>
    <row r="1070" hidden="1">
      <c r="A1070" s="15" t="str">
        <f>IFERROR(__xludf.DUMMYFUNCTION("""COMPUTED_VALUE"""),"SFHBR0043")</f>
        <v>SFHBR0043</v>
      </c>
      <c r="B1070" s="16">
        <f>IFERROR(__xludf.DUMMYFUNCTION("""COMPUTED_VALUE"""),46049.929765520836)</f>
        <v>46049.92977</v>
      </c>
      <c r="C1070" s="17">
        <f>IFERROR(__xludf.DUMMYFUNCTION("""COMPUTED_VALUE"""),46050.719330763895)</f>
        <v>46050.71933</v>
      </c>
      <c r="D1070" s="15" t="str">
        <f>IFERROR(__xludf.DUMMYFUNCTION("""COMPUTED_VALUE"""),"lantai 2")</f>
        <v>lantai 2</v>
      </c>
      <c r="E1070" s="15" t="str">
        <f>IFERROR(__xludf.DUMMYFUNCTION("""COMPUTED_VALUE"""),"EJO/2025/05/64")</f>
        <v>EJO/2025/05/64</v>
      </c>
      <c r="F1070" s="15" t="str">
        <f>IFERROR(__xludf.DUMMYFUNCTION("""COMPUTED_VALUE"""),"Cat Epoxy lantai PROPAN POLYFLOOR PRIMER PFP-241 2K SB(20KG - SET)")</f>
        <v>Cat Epoxy lantai PROPAN POLYFLOOR PRIMER PFP-241 2K SB(20KG - SET)</v>
      </c>
      <c r="G1070" s="15">
        <f>IFERROR(__xludf.DUMMYFUNCTION("""COMPUTED_VALUE"""),2.0)</f>
        <v>2</v>
      </c>
      <c r="H1070" s="15" t="str">
        <f>IFERROR(__xludf.DUMMYFUNCTION("""COMPUTED_VALUE"""),"pel")</f>
        <v>pel</v>
      </c>
      <c r="I1070" s="15" t="str">
        <f>IFERROR(__xludf.DUMMYFUNCTION("""COMPUTED_VALUE"""),"Deliver")</f>
        <v>Deliver</v>
      </c>
      <c r="J1070" s="15" t="str">
        <f>IFERROR(__xludf.DUMMYFUNCTION("""COMPUTED_VALUE"""),"121704378 - APPROVED")</f>
        <v>121704378 - APPROVED</v>
      </c>
      <c r="K1070" s="15" t="str">
        <f>IFERROR(__xludf.DUMMYFUNCTION("""COMPUTED_VALUE"""),"GL2607024")</f>
        <v>GL2607024</v>
      </c>
      <c r="L1070" s="15" t="str">
        <f>IFERROR(__xludf.DUMMYFUNCTION("""COMPUTED_VALUE"""),"Normal")</f>
        <v>Normal</v>
      </c>
      <c r="M1070" s="18" t="s">
        <v>27</v>
      </c>
      <c r="N1070" s="18" t="s">
        <v>28</v>
      </c>
    </row>
    <row r="1071" hidden="1">
      <c r="A1071" s="15" t="str">
        <f>IFERROR(__xludf.DUMMYFUNCTION("""COMPUTED_VALUE"""),"NDSBR0051")</f>
        <v>NDSBR0051</v>
      </c>
      <c r="B1071" s="16">
        <f>IFERROR(__xludf.DUMMYFUNCTION("""COMPUTED_VALUE"""),46050.58623450232)</f>
        <v>46050.58623</v>
      </c>
      <c r="C1071" s="17">
        <f>IFERROR(__xludf.DUMMYFUNCTION("""COMPUTED_VALUE"""),46050.873435023146)</f>
        <v>46050.87344</v>
      </c>
      <c r="D1071" s="15" t="str">
        <f>IFERROR(__xludf.DUMMYFUNCTION("""COMPUTED_VALUE"""),"Blister")</f>
        <v>Blister</v>
      </c>
      <c r="E1071" s="15" t="str">
        <f>IFERROR(__xludf.DUMMYFUNCTION("""COMPUTED_VALUE"""),"EJO/2026/02/18")</f>
        <v>EJO/2026/02/18</v>
      </c>
      <c r="F1071" s="15" t="str">
        <f>IFERROR(__xludf.DUMMYFUNCTION("""COMPUTED_VALUE"""),"Filter Regulator")</f>
        <v>Filter Regulator</v>
      </c>
      <c r="G1071" s="15">
        <f>IFERROR(__xludf.DUMMYFUNCTION("""COMPUTED_VALUE"""),1.0)</f>
        <v>1</v>
      </c>
      <c r="H1071" s="15" t="str">
        <f>IFERROR(__xludf.DUMMYFUNCTION("""COMPUTED_VALUE"""),"Pcs")</f>
        <v>Pcs</v>
      </c>
      <c r="I1071" s="15" t="str">
        <f>IFERROR(__xludf.DUMMYFUNCTION("""COMPUTED_VALUE"""),"Deliver")</f>
        <v>Deliver</v>
      </c>
      <c r="J1071" s="15" t="str">
        <f>IFERROR(__xludf.DUMMYFUNCTION("""COMPUTED_VALUE"""),"121704049 - APPROVED")</f>
        <v>121704049 - APPROVED</v>
      </c>
      <c r="K1071" s="15" t="str">
        <f>IFERROR(__xludf.DUMMYFUNCTION("""COMPUTED_VALUE"""),"GL2604489")</f>
        <v>GL2604489</v>
      </c>
      <c r="L1071" s="15" t="str">
        <f>IFERROR(__xludf.DUMMYFUNCTION("""COMPUTED_VALUE"""),"Normal")</f>
        <v>Normal</v>
      </c>
      <c r="M1071" s="18" t="s">
        <v>50</v>
      </c>
      <c r="N1071" s="18" t="s">
        <v>30</v>
      </c>
    </row>
    <row r="1072" hidden="1">
      <c r="A1072" s="15" t="str">
        <f>IFERROR(__xludf.DUMMYFUNCTION("""COMPUTED_VALUE"""),"NDSRO0017")</f>
        <v>NDSRO0017</v>
      </c>
      <c r="B1072" s="16">
        <f>IFERROR(__xludf.DUMMYFUNCTION("""COMPUTED_VALUE"""),46045.714394386574)</f>
        <v>46045.71439</v>
      </c>
      <c r="C1072" s="17">
        <f>IFERROR(__xludf.DUMMYFUNCTION("""COMPUTED_VALUE"""),46050.87978135417)</f>
        <v>46050.87978</v>
      </c>
      <c r="D1072" s="15" t="str">
        <f>IFERROR(__xludf.DUMMYFUNCTION("""COMPUTED_VALUE"""),"Circulation fan")</f>
        <v>Circulation fan</v>
      </c>
      <c r="E1072" s="15" t="str">
        <f>IFERROR(__xludf.DUMMYFUNCTION("""COMPUTED_VALUE"""),"-")</f>
        <v>-</v>
      </c>
      <c r="F1072" s="15" t="str">
        <f>IFERROR(__xludf.DUMMYFUNCTION("""COMPUTED_VALUE"""),"Bearing 6202 ZZ - P/N : -  pc")</f>
        <v>Bearing 6202 ZZ - P/N : -  pc</v>
      </c>
      <c r="G1072" s="15">
        <f>IFERROR(__xludf.DUMMYFUNCTION("""COMPUTED_VALUE"""),10.0)</f>
        <v>10</v>
      </c>
      <c r="H1072" s="15" t="str">
        <f>IFERROR(__xludf.DUMMYFUNCTION("""COMPUTED_VALUE"""),"pcs")</f>
        <v>pcs</v>
      </c>
      <c r="I1072" s="15" t="str">
        <f>IFERROR(__xludf.DUMMYFUNCTION("""COMPUTED_VALUE"""),"Deliver")</f>
        <v>Deliver</v>
      </c>
      <c r="J1072" s="15" t="str">
        <f>IFERROR(__xludf.DUMMYFUNCTION("""COMPUTED_VALUE"""),"121703769 - APPROVED")</f>
        <v>121703769 - APPROVED</v>
      </c>
      <c r="K1072" s="15" t="str">
        <f>IFERROR(__xludf.DUMMYFUNCTION("""COMPUTED_VALUE"""),"GL2602409")</f>
        <v>GL2602409</v>
      </c>
      <c r="L1072" s="15" t="str">
        <f>IFERROR(__xludf.DUMMYFUNCTION("""COMPUTED_VALUE"""),"Normal")</f>
        <v>Normal</v>
      </c>
      <c r="M1072" s="18" t="s">
        <v>50</v>
      </c>
      <c r="N1072" s="18" t="s">
        <v>30</v>
      </c>
    </row>
    <row r="1073" hidden="1">
      <c r="A1073" s="15" t="str">
        <f>IFERROR(__xludf.DUMMYFUNCTION("""COMPUTED_VALUE"""),"NDSBR0027")</f>
        <v>NDSBR0027</v>
      </c>
      <c r="B1073" s="16">
        <f>IFERROR(__xludf.DUMMYFUNCTION("""COMPUTED_VALUE"""),45924.918901412035)</f>
        <v>45924.9189</v>
      </c>
      <c r="C1073" s="17">
        <f>IFERROR(__xludf.DUMMYFUNCTION("""COMPUTED_VALUE"""),46050.88074798611)</f>
        <v>46050.88075</v>
      </c>
      <c r="D1073" s="15" t="str">
        <f>IFERROR(__xludf.DUMMYFUNCTION("""COMPUTED_VALUE"""),"Blister")</f>
        <v>Blister</v>
      </c>
      <c r="E1073" s="15" t="str">
        <f>IFERROR(__xludf.DUMMYFUNCTION("""COMPUTED_VALUE"""),"EJO/2025/09/118")</f>
        <v>EJO/2025/09/118</v>
      </c>
      <c r="F1073" s="15" t="str">
        <f>IFERROR(__xludf.DUMMYFUNCTION("""COMPUTED_VALUE"""),"Teflon Forming 568")</f>
        <v>Teflon Forming 568</v>
      </c>
      <c r="G1073" s="15">
        <f>IFERROR(__xludf.DUMMYFUNCTION("""COMPUTED_VALUE"""),30.0)</f>
        <v>30</v>
      </c>
      <c r="H1073" s="15" t="str">
        <f>IFERROR(__xludf.DUMMYFUNCTION("""COMPUTED_VALUE"""),"pcs")</f>
        <v>pcs</v>
      </c>
      <c r="I1073" s="15" t="str">
        <f>IFERROR(__xludf.DUMMYFUNCTION("""COMPUTED_VALUE"""),"Deliver")</f>
        <v>Deliver</v>
      </c>
      <c r="J1073" s="15" t="str">
        <f>IFERROR(__xludf.DUMMYFUNCTION("""COMPUTED_VALUE"""),"121704017 - APPROVED")</f>
        <v>121704017 - APPROVED</v>
      </c>
      <c r="K1073" s="15" t="str">
        <f>IFERROR(__xludf.DUMMYFUNCTION("""COMPUTED_VALUE"""),"GL2603478")</f>
        <v>GL2603478</v>
      </c>
      <c r="L1073" s="15" t="str">
        <f>IFERROR(__xludf.DUMMYFUNCTION("""COMPUTED_VALUE"""),"Normal")</f>
        <v>Normal</v>
      </c>
      <c r="M1073" s="18" t="s">
        <v>50</v>
      </c>
      <c r="N1073" s="18" t="s">
        <v>30</v>
      </c>
    </row>
    <row r="1074" hidden="1">
      <c r="A1074" s="15" t="str">
        <f>IFERROR(__xludf.DUMMYFUNCTION("""COMPUTED_VALUE"""),"NDSBR0028")</f>
        <v>NDSBR0028</v>
      </c>
      <c r="B1074" s="16">
        <f>IFERROR(__xludf.DUMMYFUNCTION("""COMPUTED_VALUE"""),45924.920813888886)</f>
        <v>45924.92081</v>
      </c>
      <c r="C1074" s="17">
        <f>IFERROR(__xludf.DUMMYFUNCTION("""COMPUTED_VALUE"""),46050.88103100695)</f>
        <v>46050.88103</v>
      </c>
      <c r="D1074" s="15" t="str">
        <f>IFERROR(__xludf.DUMMYFUNCTION("""COMPUTED_VALUE"""),"Blister")</f>
        <v>Blister</v>
      </c>
      <c r="E1074" s="15" t="str">
        <f>IFERROR(__xludf.DUMMYFUNCTION("""COMPUTED_VALUE"""),"EJO/2025/09/118")</f>
        <v>EJO/2025/09/118</v>
      </c>
      <c r="F1074" s="15" t="str">
        <f>IFERROR(__xludf.DUMMYFUNCTION("""COMPUTED_VALUE"""),"Teflon Forming 569")</f>
        <v>Teflon Forming 569</v>
      </c>
      <c r="G1074" s="15">
        <f>IFERROR(__xludf.DUMMYFUNCTION("""COMPUTED_VALUE"""),30.0)</f>
        <v>30</v>
      </c>
      <c r="H1074" s="15" t="str">
        <f>IFERROR(__xludf.DUMMYFUNCTION("""COMPUTED_VALUE"""),"Pcs")</f>
        <v>Pcs</v>
      </c>
      <c r="I1074" s="15" t="str">
        <f>IFERROR(__xludf.DUMMYFUNCTION("""COMPUTED_VALUE"""),"Deliver")</f>
        <v>Deliver</v>
      </c>
      <c r="J1074" s="15" t="str">
        <f>IFERROR(__xludf.DUMMYFUNCTION("""COMPUTED_VALUE"""),"121704017 - APPROVED")</f>
        <v>121704017 - APPROVED</v>
      </c>
      <c r="K1074" s="15" t="str">
        <f>IFERROR(__xludf.DUMMYFUNCTION("""COMPUTED_VALUE"""),"GL2603478")</f>
        <v>GL2603478</v>
      </c>
      <c r="L1074" s="15" t="str">
        <f>IFERROR(__xludf.DUMMYFUNCTION("""COMPUTED_VALUE"""),"Normal")</f>
        <v>Normal</v>
      </c>
      <c r="M1074" s="18" t="s">
        <v>50</v>
      </c>
      <c r="N1074" s="18" t="s">
        <v>30</v>
      </c>
    </row>
    <row r="1075" hidden="1">
      <c r="A1075" s="15" t="str">
        <f>IFERROR(__xludf.DUMMYFUNCTION("""COMPUTED_VALUE"""),"ANOBR0047")</f>
        <v>ANOBR0047</v>
      </c>
      <c r="B1075" s="16">
        <f>IFERROR(__xludf.DUMMYFUNCTION("""COMPUTED_VALUE"""),46034.81387712963)</f>
        <v>46034.81388</v>
      </c>
      <c r="C1075" s="17">
        <f>IFERROR(__xludf.DUMMYFUNCTION("""COMPUTED_VALUE"""),46050.88258842593)</f>
        <v>46050.88259</v>
      </c>
      <c r="D1075" s="15" t="str">
        <f>IFERROR(__xludf.DUMMYFUNCTION("""COMPUTED_VALUE"""),"Chiler Blistering")</f>
        <v>Chiler Blistering</v>
      </c>
      <c r="E1075" s="15" t="str">
        <f>IFERROR(__xludf.DUMMYFUNCTION("""COMPUTED_VALUE"""),"-")</f>
        <v>-</v>
      </c>
      <c r="F1075" s="15" t="str">
        <f>IFERROR(__xludf.DUMMYFUNCTION("""COMPUTED_VALUE"""),"rifet nut M10")</f>
        <v>rifet nut M10</v>
      </c>
      <c r="G1075" s="15">
        <f>IFERROR(__xludf.DUMMYFUNCTION("""COMPUTED_VALUE"""),1.0)</f>
        <v>1</v>
      </c>
      <c r="H1075" s="15" t="str">
        <f>IFERROR(__xludf.DUMMYFUNCTION("""COMPUTED_VALUE"""),"PACK")</f>
        <v>PACK</v>
      </c>
      <c r="I1075" s="15" t="str">
        <f>IFERROR(__xludf.DUMMYFUNCTION("""COMPUTED_VALUE"""),"Deliver")</f>
        <v>Deliver</v>
      </c>
      <c r="J1075" s="15" t="str">
        <f>IFERROR(__xludf.DUMMYFUNCTION("""COMPUTED_VALUE"""),"121704004 - APPROVED")</f>
        <v>121704004 - APPROVED</v>
      </c>
      <c r="K1075" s="15" t="str">
        <f>IFERROR(__xludf.DUMMYFUNCTION("""COMPUTED_VALUE"""),"GL2604490")</f>
        <v>GL2604490</v>
      </c>
      <c r="L1075" s="15" t="str">
        <f>IFERROR(__xludf.DUMMYFUNCTION("""COMPUTED_VALUE"""),"Normal")</f>
        <v>Normal</v>
      </c>
      <c r="M1075" s="18" t="s">
        <v>49</v>
      </c>
      <c r="N1075" s="18" t="s">
        <v>30</v>
      </c>
    </row>
    <row r="1076" hidden="1">
      <c r="A1076" s="15" t="str">
        <f>IFERROR(__xludf.DUMMYFUNCTION("""COMPUTED_VALUE"""),"ANOBR0049")</f>
        <v>ANOBR0049</v>
      </c>
      <c r="B1076" s="16">
        <f>IFERROR(__xludf.DUMMYFUNCTION("""COMPUTED_VALUE"""),46043.96991226852)</f>
        <v>46043.96991</v>
      </c>
      <c r="C1076" s="17">
        <f>IFERROR(__xludf.DUMMYFUNCTION("""COMPUTED_VALUE"""),46050.88319275463)</f>
        <v>46050.88319</v>
      </c>
      <c r="D1076" s="15" t="str">
        <f>IFERROR(__xludf.DUMMYFUNCTION("""COMPUTED_VALUE"""),"Isolator sampling")</f>
        <v>Isolator sampling</v>
      </c>
      <c r="E1076" s="15" t="str">
        <f>IFERROR(__xludf.DUMMYFUNCTION("""COMPUTED_VALUE"""),"EJO/2025/12/105")</f>
        <v>EJO/2025/12/105</v>
      </c>
      <c r="F1076" s="15" t="str">
        <f>IFERROR(__xludf.DUMMYFUNCTION("""COMPUTED_VALUE"""),"manual valve 1.5 inch")</f>
        <v>manual valve 1.5 inch</v>
      </c>
      <c r="G1076" s="15">
        <f>IFERROR(__xludf.DUMMYFUNCTION("""COMPUTED_VALUE"""),2.0)</f>
        <v>2</v>
      </c>
      <c r="H1076" s="15" t="str">
        <f>IFERROR(__xludf.DUMMYFUNCTION("""COMPUTED_VALUE"""),"PCS")</f>
        <v>PCS</v>
      </c>
      <c r="I1076" s="15" t="str">
        <f>IFERROR(__xludf.DUMMYFUNCTION("""COMPUTED_VALUE"""),"Proses PR")</f>
        <v>Proses PR</v>
      </c>
      <c r="J1076" s="15" t="str">
        <f>IFERROR(__xludf.DUMMYFUNCTION("""COMPUTED_VALUE"""),"-")</f>
        <v>-</v>
      </c>
      <c r="K1076" s="15" t="str">
        <f>IFERROR(__xludf.DUMMYFUNCTION("""COMPUTED_VALUE"""),"-")</f>
        <v>-</v>
      </c>
      <c r="L1076" s="15" t="str">
        <f>IFERROR(__xludf.DUMMYFUNCTION("""COMPUTED_VALUE"""),"Normal")</f>
        <v>Normal</v>
      </c>
      <c r="M1076" s="18" t="s">
        <v>49</v>
      </c>
      <c r="N1076" s="18" t="s">
        <v>30</v>
      </c>
    </row>
    <row r="1077" hidden="1">
      <c r="A1077" s="15" t="str">
        <f>IFERROR(__xludf.DUMMYFUNCTION("""COMPUTED_VALUE"""),"ROSBR0071")</f>
        <v>ROSBR0071</v>
      </c>
      <c r="B1077" s="16">
        <f>IFERROR(__xludf.DUMMYFUNCTION("""COMPUTED_VALUE"""),46035.65811038194)</f>
        <v>46035.65811</v>
      </c>
      <c r="C1077" s="17">
        <f>IFERROR(__xludf.DUMMYFUNCTION("""COMPUTED_VALUE"""),46050.88850653935)</f>
        <v>46050.88851</v>
      </c>
      <c r="D1077" s="15" t="str">
        <f>IFERROR(__xludf.DUMMYFUNCTION("""COMPUTED_VALUE"""),"Washing ")</f>
        <v>Washing </v>
      </c>
      <c r="E1077" s="15" t="str">
        <f>IFERROR(__xludf.DUMMYFUNCTION("""COMPUTED_VALUE"""),"NA")</f>
        <v>NA</v>
      </c>
      <c r="F1077" s="15" t="str">
        <f>IFERROR(__xludf.DUMMYFUNCTION("""COMPUTED_VALUE"""),"Tubing ")</f>
        <v>Tubing </v>
      </c>
      <c r="G1077" s="15">
        <f>IFERROR(__xludf.DUMMYFUNCTION("""COMPUTED_VALUE"""),100.0)</f>
        <v>100</v>
      </c>
      <c r="H1077" s="15" t="str">
        <f>IFERROR(__xludf.DUMMYFUNCTION("""COMPUTED_VALUE"""),"meter")</f>
        <v>meter</v>
      </c>
      <c r="I1077" s="15" t="str">
        <f>IFERROR(__xludf.DUMMYFUNCTION("""COMPUTED_VALUE"""),"Approval Item Code")</f>
        <v>Approval Item Code</v>
      </c>
      <c r="J1077" s="15" t="str">
        <f>IFERROR(__xludf.DUMMYFUNCTION("""COMPUTED_VALUE"""),"-")</f>
        <v>-</v>
      </c>
      <c r="K1077" s="15" t="str">
        <f>IFERROR(__xludf.DUMMYFUNCTION("""COMPUTED_VALUE"""),"-")</f>
        <v>-</v>
      </c>
      <c r="L1077" s="15" t="str">
        <f>IFERROR(__xludf.DUMMYFUNCTION("""COMPUTED_VALUE"""),"Normal")</f>
        <v>Normal</v>
      </c>
      <c r="M1077" s="18" t="s">
        <v>29</v>
      </c>
      <c r="N1077" s="18" t="s">
        <v>30</v>
      </c>
    </row>
    <row r="1078" hidden="1">
      <c r="A1078" s="15" t="str">
        <f>IFERROR(__xludf.DUMMYFUNCTION("""COMPUTED_VALUE"""),"ROSBR0070")</f>
        <v>ROSBR0070</v>
      </c>
      <c r="B1078" s="16">
        <f>IFERROR(__xludf.DUMMYFUNCTION("""COMPUTED_VALUE"""),46035.65791913194)</f>
        <v>46035.65792</v>
      </c>
      <c r="C1078" s="17">
        <f>IFERROR(__xludf.DUMMYFUNCTION("""COMPUTED_VALUE"""),46050.9528146875)</f>
        <v>46050.95281</v>
      </c>
      <c r="D1078" s="15" t="str">
        <f>IFERROR(__xludf.DUMMYFUNCTION("""COMPUTED_VALUE"""),"Washing ")</f>
        <v>Washing </v>
      </c>
      <c r="E1078" s="15" t="str">
        <f>IFERROR(__xludf.DUMMYFUNCTION("""COMPUTED_VALUE"""),"NA")</f>
        <v>NA</v>
      </c>
      <c r="F1078" s="15" t="str">
        <f>IFERROR(__xludf.DUMMYFUNCTION("""COMPUTED_VALUE"""),"Tubing ")</f>
        <v>Tubing </v>
      </c>
      <c r="G1078" s="15">
        <f>IFERROR(__xludf.DUMMYFUNCTION("""COMPUTED_VALUE"""),100.0)</f>
        <v>100</v>
      </c>
      <c r="H1078" s="15" t="str">
        <f>IFERROR(__xludf.DUMMYFUNCTION("""COMPUTED_VALUE"""),"meter")</f>
        <v>meter</v>
      </c>
      <c r="I1078" s="15" t="str">
        <f>IFERROR(__xludf.DUMMYFUNCTION("""COMPUTED_VALUE"""),"Approval Item Code")</f>
        <v>Approval Item Code</v>
      </c>
      <c r="J1078" s="15" t="str">
        <f>IFERROR(__xludf.DUMMYFUNCTION("""COMPUTED_VALUE"""),"-")</f>
        <v>-</v>
      </c>
      <c r="K1078" s="15" t="str">
        <f>IFERROR(__xludf.DUMMYFUNCTION("""COMPUTED_VALUE"""),"-")</f>
        <v>-</v>
      </c>
      <c r="L1078" s="15" t="str">
        <f>IFERROR(__xludf.DUMMYFUNCTION("""COMPUTED_VALUE"""),"Normal")</f>
        <v>Normal</v>
      </c>
      <c r="M1078" s="18" t="s">
        <v>29</v>
      </c>
      <c r="N1078" s="18" t="s">
        <v>30</v>
      </c>
    </row>
    <row r="1079" hidden="1">
      <c r="A1079" s="15" t="str">
        <f>IFERROR(__xludf.DUMMYFUNCTION("""COMPUTED_VALUE"""),"ROSBR0072")</f>
        <v>ROSBR0072</v>
      </c>
      <c r="B1079" s="16">
        <f>IFERROR(__xludf.DUMMYFUNCTION("""COMPUTED_VALUE"""),46035.65954763888)</f>
        <v>46035.65955</v>
      </c>
      <c r="C1079" s="17">
        <f>IFERROR(__xludf.DUMMYFUNCTION("""COMPUTED_VALUE"""),46050.953058865736)</f>
        <v>46050.95306</v>
      </c>
      <c r="D1079" s="15" t="str">
        <f>IFERROR(__xludf.DUMMYFUNCTION("""COMPUTED_VALUE"""),"Washing ")</f>
        <v>Washing </v>
      </c>
      <c r="E1079" s="15" t="str">
        <f>IFERROR(__xludf.DUMMYFUNCTION("""COMPUTED_VALUE"""),"NA")</f>
        <v>NA</v>
      </c>
      <c r="F1079" s="15" t="str">
        <f>IFERROR(__xludf.DUMMYFUNCTION("""COMPUTED_VALUE"""),"Tubing ")</f>
        <v>Tubing </v>
      </c>
      <c r="G1079" s="15">
        <f>IFERROR(__xludf.DUMMYFUNCTION("""COMPUTED_VALUE"""),100.0)</f>
        <v>100</v>
      </c>
      <c r="H1079" s="15" t="str">
        <f>IFERROR(__xludf.DUMMYFUNCTION("""COMPUTED_VALUE"""),"meter")</f>
        <v>meter</v>
      </c>
      <c r="I1079" s="15" t="str">
        <f>IFERROR(__xludf.DUMMYFUNCTION("""COMPUTED_VALUE"""),"Proses PR")</f>
        <v>Proses PR</v>
      </c>
      <c r="J1079" s="15" t="str">
        <f>IFERROR(__xludf.DUMMYFUNCTION("""COMPUTED_VALUE"""),"-")</f>
        <v>-</v>
      </c>
      <c r="K1079" s="15" t="str">
        <f>IFERROR(__xludf.DUMMYFUNCTION("""COMPUTED_VALUE"""),"-")</f>
        <v>-</v>
      </c>
      <c r="L1079" s="15" t="str">
        <f>IFERROR(__xludf.DUMMYFUNCTION("""COMPUTED_VALUE"""),"Normal")</f>
        <v>Normal</v>
      </c>
      <c r="M1079" s="18" t="s">
        <v>29</v>
      </c>
      <c r="N1079" s="18" t="s">
        <v>30</v>
      </c>
    </row>
    <row r="1080" hidden="1">
      <c r="A1080" s="15" t="str">
        <f>IFERROR(__xludf.DUMMYFUNCTION("""COMPUTED_VALUE"""),"ROSBR0073")</f>
        <v>ROSBR0073</v>
      </c>
      <c r="B1080" s="16">
        <f>IFERROR(__xludf.DUMMYFUNCTION("""COMPUTED_VALUE"""),46040.00858920139)</f>
        <v>46040.00859</v>
      </c>
      <c r="C1080" s="17">
        <f>IFERROR(__xludf.DUMMYFUNCTION("""COMPUTED_VALUE"""),46050.953702453706)</f>
        <v>46050.9537</v>
      </c>
      <c r="D1080" s="15" t="str">
        <f>IFERROR(__xludf.DUMMYFUNCTION("""COMPUTED_VALUE"""),"Filling")</f>
        <v>Filling</v>
      </c>
      <c r="E1080" s="15" t="str">
        <f>IFERROR(__xludf.DUMMYFUNCTION("""COMPUTED_VALUE"""),"EJO/2026/01/71")</f>
        <v>EJO/2026/01/71</v>
      </c>
      <c r="F1080" s="15" t="str">
        <f>IFERROR(__xludf.DUMMYFUNCTION("""COMPUTED_VALUE"""),"Gasket ferrule ")</f>
        <v>Gasket ferrule </v>
      </c>
      <c r="G1080" s="15">
        <f>IFERROR(__xludf.DUMMYFUNCTION("""COMPUTED_VALUE"""),25.0)</f>
        <v>25</v>
      </c>
      <c r="H1080" s="15" t="str">
        <f>IFERROR(__xludf.DUMMYFUNCTION("""COMPUTED_VALUE"""),"pcs")</f>
        <v>pcs</v>
      </c>
      <c r="I1080" s="15" t="str">
        <f>IFERROR(__xludf.DUMMYFUNCTION("""COMPUTED_VALUE"""),"PO Open")</f>
        <v>PO Open</v>
      </c>
      <c r="J1080" s="15" t="str">
        <f>IFERROR(__xludf.DUMMYFUNCTION("""COMPUTED_VALUE"""),"121704090 - APPROVED")</f>
        <v>121704090 - APPROVED</v>
      </c>
      <c r="K1080" s="15" t="str">
        <f>IFERROR(__xludf.DUMMYFUNCTION("""COMPUTED_VALUE"""),"GL2604022")</f>
        <v>GL2604022</v>
      </c>
      <c r="L1080" s="15" t="str">
        <f>IFERROR(__xludf.DUMMYFUNCTION("""COMPUTED_VALUE"""),"Normal")</f>
        <v>Normal</v>
      </c>
      <c r="M1080" s="18" t="s">
        <v>29</v>
      </c>
      <c r="N1080" s="18" t="s">
        <v>30</v>
      </c>
    </row>
    <row r="1081" hidden="1">
      <c r="A1081" s="15" t="str">
        <f>IFERROR(__xludf.DUMMYFUNCTION("""COMPUTED_VALUE"""),"ROSBR0074")</f>
        <v>ROSBR0074</v>
      </c>
      <c r="B1081" s="16">
        <f>IFERROR(__xludf.DUMMYFUNCTION("""COMPUTED_VALUE"""),46040.02310868056)</f>
        <v>46040.02311</v>
      </c>
      <c r="C1081" s="17">
        <f>IFERROR(__xludf.DUMMYFUNCTION("""COMPUTED_VALUE"""),46050.954008472225)</f>
        <v>46050.95401</v>
      </c>
      <c r="D1081" s="15" t="str">
        <f>IFERROR(__xludf.DUMMYFUNCTION("""COMPUTED_VALUE"""),"capping")</f>
        <v>capping</v>
      </c>
      <c r="E1081" s="15" t="str">
        <f>IFERROR(__xludf.DUMMYFUNCTION("""COMPUTED_VALUE"""),"NA")</f>
        <v>NA</v>
      </c>
      <c r="F1081" s="15" t="str">
        <f>IFERROR(__xludf.DUMMYFUNCTION("""COMPUTED_VALUE"""),"Oring capping zometa")</f>
        <v>Oring capping zometa</v>
      </c>
      <c r="G1081" s="15">
        <f>IFERROR(__xludf.DUMMYFUNCTION("""COMPUTED_VALUE"""),25.0)</f>
        <v>25</v>
      </c>
      <c r="H1081" s="15" t="str">
        <f>IFERROR(__xludf.DUMMYFUNCTION("""COMPUTED_VALUE"""),"pcs")</f>
        <v>pcs</v>
      </c>
      <c r="I1081" s="15" t="str">
        <f>IFERROR(__xludf.DUMMYFUNCTION("""COMPUTED_VALUE"""),"Proses PR")</f>
        <v>Proses PR</v>
      </c>
      <c r="J1081" s="15" t="str">
        <f>IFERROR(__xludf.DUMMYFUNCTION("""COMPUTED_VALUE"""),"-")</f>
        <v>-</v>
      </c>
      <c r="K1081" s="15" t="str">
        <f>IFERROR(__xludf.DUMMYFUNCTION("""COMPUTED_VALUE"""),"-")</f>
        <v>-</v>
      </c>
      <c r="L1081" s="15" t="str">
        <f>IFERROR(__xludf.DUMMYFUNCTION("""COMPUTED_VALUE"""),"Normal")</f>
        <v>Normal</v>
      </c>
      <c r="M1081" s="18" t="s">
        <v>29</v>
      </c>
      <c r="N1081" s="18" t="s">
        <v>30</v>
      </c>
    </row>
    <row r="1082" hidden="1">
      <c r="A1082" s="15" t="str">
        <f>IFERROR(__xludf.DUMMYFUNCTION("""COMPUTED_VALUE"""),"ROSBR0075")</f>
        <v>ROSBR0075</v>
      </c>
      <c r="B1082" s="16">
        <f>IFERROR(__xludf.DUMMYFUNCTION("""COMPUTED_VALUE"""),46045.70816630787)</f>
        <v>46045.70817</v>
      </c>
      <c r="C1082" s="17">
        <f>IFERROR(__xludf.DUMMYFUNCTION("""COMPUTED_VALUE"""),46050.95464265046)</f>
        <v>46050.95464</v>
      </c>
      <c r="D1082" s="15" t="str">
        <f>IFERROR(__xludf.DUMMYFUNCTION("""COMPUTED_VALUE"""),"Washing ")</f>
        <v>Washing </v>
      </c>
      <c r="E1082" s="15" t="str">
        <f>IFERROR(__xludf.DUMMYFUNCTION("""COMPUTED_VALUE"""),"NA")</f>
        <v>NA</v>
      </c>
      <c r="F1082" s="15" t="str">
        <f>IFERROR(__xludf.DUMMYFUNCTION("""COMPUTED_VALUE"""),"Shaft Puhser Washing")</f>
        <v>Shaft Puhser Washing</v>
      </c>
      <c r="G1082" s="15">
        <f>IFERROR(__xludf.DUMMYFUNCTION("""COMPUTED_VALUE"""),1.0)</f>
        <v>1</v>
      </c>
      <c r="H1082" s="15" t="str">
        <f>IFERROR(__xludf.DUMMYFUNCTION("""COMPUTED_VALUE"""),"set")</f>
        <v>set</v>
      </c>
      <c r="I1082" s="15" t="str">
        <f>IFERROR(__xludf.DUMMYFUNCTION("""COMPUTED_VALUE"""),"PO Open")</f>
        <v>PO Open</v>
      </c>
      <c r="J1082" s="15" t="str">
        <f>IFERROR(__xludf.DUMMYFUNCTION("""COMPUTED_VALUE"""),"121704357 - APPROVED")</f>
        <v>121704357 - APPROVED</v>
      </c>
      <c r="K1082" s="15" t="str">
        <f>IFERROR(__xludf.DUMMYFUNCTION("""COMPUTED_VALUE"""),"GL2607372")</f>
        <v>GL2607372</v>
      </c>
      <c r="L1082" s="15" t="str">
        <f>IFERROR(__xludf.DUMMYFUNCTION("""COMPUTED_VALUE"""),"Normal")</f>
        <v>Normal</v>
      </c>
      <c r="M1082" s="18" t="s">
        <v>29</v>
      </c>
      <c r="N1082" s="18" t="s">
        <v>30</v>
      </c>
    </row>
    <row r="1083" hidden="1">
      <c r="A1083" s="15" t="str">
        <f>IFERROR(__xludf.DUMMYFUNCTION("""COMPUTED_VALUE"""),"ROSBR0076")</f>
        <v>ROSBR0076</v>
      </c>
      <c r="B1083" s="16">
        <f>IFERROR(__xludf.DUMMYFUNCTION("""COMPUTED_VALUE"""),46046.32567832176)</f>
        <v>46046.32568</v>
      </c>
      <c r="C1083" s="17">
        <f>IFERROR(__xludf.DUMMYFUNCTION("""COMPUTED_VALUE"""),46050.95491854166)</f>
        <v>46050.95492</v>
      </c>
      <c r="D1083" s="15" t="str">
        <f>IFERROR(__xludf.DUMMYFUNCTION("""COMPUTED_VALUE"""),"Autoclave Service ")</f>
        <v>Autoclave Service </v>
      </c>
      <c r="E1083" s="15" t="str">
        <f>IFERROR(__xludf.DUMMYFUNCTION("""COMPUTED_VALUE"""),"NA ")</f>
        <v>NA </v>
      </c>
      <c r="F1083" s="15" t="str">
        <f>IFERROR(__xludf.DUMMYFUNCTION("""COMPUTED_VALUE"""),"Oil Seal valve modulating ")</f>
        <v>Oil Seal valve modulating </v>
      </c>
      <c r="G1083" s="15">
        <f>IFERROR(__xludf.DUMMYFUNCTION("""COMPUTED_VALUE"""),20.0)</f>
        <v>20</v>
      </c>
      <c r="H1083" s="15" t="str">
        <f>IFERROR(__xludf.DUMMYFUNCTION("""COMPUTED_VALUE"""),"pcs")</f>
        <v>pcs</v>
      </c>
      <c r="I1083" s="15" t="str">
        <f>IFERROR(__xludf.DUMMYFUNCTION("""COMPUTED_VALUE"""),"Proses PR")</f>
        <v>Proses PR</v>
      </c>
      <c r="J1083" s="15" t="str">
        <f>IFERROR(__xludf.DUMMYFUNCTION("""COMPUTED_VALUE"""),"-")</f>
        <v>-</v>
      </c>
      <c r="K1083" s="15" t="str">
        <f>IFERROR(__xludf.DUMMYFUNCTION("""COMPUTED_VALUE"""),"-")</f>
        <v>-</v>
      </c>
      <c r="L1083" s="15" t="str">
        <f>IFERROR(__xludf.DUMMYFUNCTION("""COMPUTED_VALUE"""),"Normal")</f>
        <v>Normal</v>
      </c>
      <c r="M1083" s="18" t="s">
        <v>29</v>
      </c>
      <c r="N1083" s="18" t="s">
        <v>30</v>
      </c>
    </row>
    <row r="1084" hidden="1">
      <c r="A1084" s="15" t="str">
        <f>IFERROR(__xludf.DUMMYFUNCTION("""COMPUTED_VALUE"""),"ROSBR0077")</f>
        <v>ROSBR0077</v>
      </c>
      <c r="B1084" s="16">
        <f>IFERROR(__xludf.DUMMYFUNCTION("""COMPUTED_VALUE"""),46049.96787770833)</f>
        <v>46049.96788</v>
      </c>
      <c r="C1084" s="17">
        <f>IFERROR(__xludf.DUMMYFUNCTION("""COMPUTED_VALUE"""),46050.95522707176)</f>
        <v>46050.95523</v>
      </c>
      <c r="D1084" s="15" t="str">
        <f>IFERROR(__xludf.DUMMYFUNCTION("""COMPUTED_VALUE"""),"Mixing")</f>
        <v>Mixing</v>
      </c>
      <c r="E1084" s="15" t="str">
        <f>IFERROR(__xludf.DUMMYFUNCTION("""COMPUTED_VALUE"""),"NA")</f>
        <v>NA</v>
      </c>
      <c r="F1084" s="15" t="str">
        <f>IFERROR(__xludf.DUMMYFUNCTION("""COMPUTED_VALUE"""),"Oring port dop Mixing")</f>
        <v>Oring port dop Mixing</v>
      </c>
      <c r="G1084" s="15">
        <f>IFERROR(__xludf.DUMMYFUNCTION("""COMPUTED_VALUE"""),10.0)</f>
        <v>10</v>
      </c>
      <c r="H1084" s="15" t="str">
        <f>IFERROR(__xludf.DUMMYFUNCTION("""COMPUTED_VALUE"""),"Pcs")</f>
        <v>Pcs</v>
      </c>
      <c r="I1084" s="15" t="str">
        <f>IFERROR(__xludf.DUMMYFUNCTION("""COMPUTED_VALUE"""),"PR Open")</f>
        <v>PR Open</v>
      </c>
      <c r="J1084" s="15" t="str">
        <f>IFERROR(__xludf.DUMMYFUNCTION("""COMPUTED_VALUE"""),"121704555 - APPROVED")</f>
        <v>121704555 - APPROVED</v>
      </c>
      <c r="K1084" s="15" t="str">
        <f>IFERROR(__xludf.DUMMYFUNCTION("""COMPUTED_VALUE"""),"-")</f>
        <v>-</v>
      </c>
      <c r="L1084" s="15" t="str">
        <f>IFERROR(__xludf.DUMMYFUNCTION("""COMPUTED_VALUE"""),"Normal")</f>
        <v>Normal</v>
      </c>
      <c r="M1084" s="18" t="s">
        <v>29</v>
      </c>
      <c r="N1084" s="18" t="s">
        <v>30</v>
      </c>
    </row>
    <row r="1085" hidden="1">
      <c r="A1085" s="15" t="str">
        <f>IFERROR(__xludf.DUMMYFUNCTION("""COMPUTED_VALUE"""),"ROSRO0018")</f>
        <v>ROSRO0018</v>
      </c>
      <c r="B1085" s="16">
        <f>IFERROR(__xludf.DUMMYFUNCTION("""COMPUTED_VALUE"""),46044.58087050926)</f>
        <v>46044.58087</v>
      </c>
      <c r="C1085" s="17">
        <f>IFERROR(__xludf.DUMMYFUNCTION("""COMPUTED_VALUE"""),46050.98289292824)</f>
        <v>46050.98289</v>
      </c>
      <c r="D1085" s="15" t="str">
        <f>IFERROR(__xludf.DUMMYFUNCTION("""COMPUTED_VALUE"""),"Washing")</f>
        <v>Washing</v>
      </c>
      <c r="E1085" s="15" t="str">
        <f>IFERROR(__xludf.DUMMYFUNCTION("""COMPUTED_VALUE"""),"-")</f>
        <v>-</v>
      </c>
      <c r="F1085" s="15" t="str">
        <f>IFERROR(__xludf.DUMMYFUNCTION("""COMPUTED_VALUE"""),"General - Air Gripper; SMC; MHZJ2 20DS X43 X81B; 1 Pc")</f>
        <v>General - Air Gripper; SMC; MHZJ2 20DS X43 X81B; 1 Pc</v>
      </c>
      <c r="G1085" s="15">
        <f>IFERROR(__xludf.DUMMYFUNCTION("""COMPUTED_VALUE"""),5.0)</f>
        <v>5</v>
      </c>
      <c r="H1085" s="15" t="str">
        <f>IFERROR(__xludf.DUMMYFUNCTION("""COMPUTED_VALUE"""),"set")</f>
        <v>set</v>
      </c>
      <c r="I1085" s="15" t="str">
        <f>IFERROR(__xludf.DUMMYFUNCTION("""COMPUTED_VALUE"""),"Deliver")</f>
        <v>Deliver</v>
      </c>
      <c r="J1085" s="15" t="str">
        <f>IFERROR(__xludf.DUMMYFUNCTION("""COMPUTED_VALUE"""),"121703776 - APPROVED")</f>
        <v>121703776 - APPROVED</v>
      </c>
      <c r="K1085" s="15" t="str">
        <f>IFERROR(__xludf.DUMMYFUNCTION("""COMPUTED_VALUE"""),"GL2602410")</f>
        <v>GL2602410</v>
      </c>
      <c r="L1085" s="15" t="str">
        <f>IFERROR(__xludf.DUMMYFUNCTION("""COMPUTED_VALUE"""),"Normal")</f>
        <v>Normal</v>
      </c>
      <c r="M1085" s="18" t="s">
        <v>29</v>
      </c>
      <c r="N1085" s="18" t="s">
        <v>30</v>
      </c>
    </row>
    <row r="1086" hidden="1">
      <c r="A1086" s="15" t="str">
        <f>IFERROR(__xludf.DUMMYFUNCTION("""COMPUTED_VALUE"""),"ROSRO0019")</f>
        <v>ROSRO0019</v>
      </c>
      <c r="B1086" s="16">
        <f>IFERROR(__xludf.DUMMYFUNCTION("""COMPUTED_VALUE"""),46045.70816622685)</f>
        <v>46045.70817</v>
      </c>
      <c r="C1086" s="17">
        <f>IFERROR(__xludf.DUMMYFUNCTION("""COMPUTED_VALUE"""),46050.98385613426)</f>
        <v>46050.98386</v>
      </c>
      <c r="D1086" s="15" t="str">
        <f>IFERROR(__xludf.DUMMYFUNCTION("""COMPUTED_VALUE"""),"Autoclave ")</f>
        <v>Autoclave </v>
      </c>
      <c r="E1086" s="15" t="str">
        <f>IFERROR(__xludf.DUMMYFUNCTION("""COMPUTED_VALUE"""),"-")</f>
        <v>-</v>
      </c>
      <c r="F1086" s="15" t="str">
        <f>IFERROR(__xludf.DUMMYFUNCTION("""COMPUTED_VALUE"""),"Autoclave Fedegari FOF / 6 AC - Transition Joint RTD Sensor RTJ201 (SG-060503) PT100 4W Duplex; Radix; RTJ201-1-C-D-3-0-NA-XNA-05-00070-10-Si-PN-XXX; 1 Pc")</f>
        <v>Autoclave Fedegari FOF / 6 AC - Transition Joint RTD Sensor RTJ201 (SG-060503) PT100 4W Duplex; Radix; RTJ201-1-C-D-3-0-NA-XNA-05-00070-10-Si-PN-XXX; 1 Pc</v>
      </c>
      <c r="G1086" s="15">
        <f>IFERROR(__xludf.DUMMYFUNCTION("""COMPUTED_VALUE"""),5.0)</f>
        <v>5</v>
      </c>
      <c r="H1086" s="15" t="str">
        <f>IFERROR(__xludf.DUMMYFUNCTION("""COMPUTED_VALUE"""),"set")</f>
        <v>set</v>
      </c>
      <c r="I1086" s="15" t="str">
        <f>IFERROR(__xludf.DUMMYFUNCTION("""COMPUTED_VALUE"""),"Deliver")</f>
        <v>Deliver</v>
      </c>
      <c r="J1086" s="15" t="str">
        <f>IFERROR(__xludf.DUMMYFUNCTION("""COMPUTED_VALUE"""),"121703876 - APPROVED")</f>
        <v>121703876 - APPROVED</v>
      </c>
      <c r="K1086" s="15" t="str">
        <f>IFERROR(__xludf.DUMMYFUNCTION("""COMPUTED_VALUE"""),"GL2603010")</f>
        <v>GL2603010</v>
      </c>
      <c r="L1086" s="15" t="str">
        <f>IFERROR(__xludf.DUMMYFUNCTION("""COMPUTED_VALUE"""),"Normal")</f>
        <v>Normal</v>
      </c>
      <c r="M1086" s="18" t="s">
        <v>29</v>
      </c>
      <c r="N1086" s="18" t="s">
        <v>30</v>
      </c>
    </row>
    <row r="1087" hidden="1">
      <c r="A1087" s="15" t="str">
        <f>IFERROR(__xludf.DUMMYFUNCTION("""COMPUTED_VALUE"""),"KFFBR0001")</f>
        <v>KFFBR0001</v>
      </c>
      <c r="B1087" s="16">
        <f>IFERROR(__xludf.DUMMYFUNCTION("""COMPUTED_VALUE"""),46050.964547442134)</f>
        <v>46050.96455</v>
      </c>
      <c r="C1087" s="17">
        <f>IFERROR(__xludf.DUMMYFUNCTION("""COMPUTED_VALUE"""),46051.06442122685)</f>
        <v>46051.06442</v>
      </c>
      <c r="D1087" s="15" t="str">
        <f>IFERROR(__xludf.DUMMYFUNCTION("""COMPUTED_VALUE"""),"Blistering OSD ")</f>
        <v>Blistering OSD </v>
      </c>
      <c r="E1087" s="15" t="str">
        <f>IFERROR(__xludf.DUMMYFUNCTION("""COMPUTED_VALUE"""),"EJO/2026/01/100")</f>
        <v>EJO/2026/01/100</v>
      </c>
      <c r="F1087" s="15" t="str">
        <f>IFERROR(__xludf.DUMMYFUNCTION("""COMPUTED_VALUE"""),"penggaris siku")</f>
        <v>penggaris siku</v>
      </c>
      <c r="G1087" s="15">
        <f>IFERROR(__xludf.DUMMYFUNCTION("""COMPUTED_VALUE"""),1.0)</f>
        <v>1</v>
      </c>
      <c r="H1087" s="15" t="str">
        <f>IFERROR(__xludf.DUMMYFUNCTION("""COMPUTED_VALUE"""),"pcs")</f>
        <v>pcs</v>
      </c>
      <c r="I1087" s="15" t="str">
        <f>IFERROR(__xludf.DUMMYFUNCTION("""COMPUTED_VALUE"""),"Proses PR")</f>
        <v>Proses PR</v>
      </c>
      <c r="J1087" s="15" t="str">
        <f>IFERROR(__xludf.DUMMYFUNCTION("""COMPUTED_VALUE"""),"-")</f>
        <v>-</v>
      </c>
      <c r="K1087" s="15" t="str">
        <f>IFERROR(__xludf.DUMMYFUNCTION("""COMPUTED_VALUE"""),"-")</f>
        <v>-</v>
      </c>
      <c r="L1087" s="15" t="str">
        <f>IFERROR(__xludf.DUMMYFUNCTION("""COMPUTED_VALUE"""),"Normal")</f>
        <v>Normal</v>
      </c>
      <c r="M1087" s="18" t="s">
        <v>56</v>
      </c>
      <c r="N1087" s="18" t="s">
        <v>30</v>
      </c>
    </row>
    <row r="1088" hidden="1">
      <c r="A1088" s="15" t="str">
        <f>IFERROR(__xludf.DUMMYFUNCTION("""COMPUTED_VALUE"""),"AAABR0030")</f>
        <v>AAABR0030</v>
      </c>
      <c r="B1088" s="16">
        <f>IFERROR(__xludf.DUMMYFUNCTION("""COMPUTED_VALUE"""),46045.74914045139)</f>
        <v>46045.74914</v>
      </c>
      <c r="C1088" s="17">
        <f>IFERROR(__xludf.DUMMYFUNCTION("""COMPUTED_VALUE"""),46060.91357710648)</f>
        <v>46060.91358</v>
      </c>
      <c r="D1088" s="15" t="str">
        <f>IFERROR(__xludf.DUMMYFUNCTION("""COMPUTED_VALUE"""),"Huber")</f>
        <v>Huber</v>
      </c>
      <c r="E1088" s="15" t="str">
        <f>IFERROR(__xludf.DUMMYFUNCTION("""COMPUTED_VALUE"""),"Menyusul")</f>
        <v>Menyusul</v>
      </c>
      <c r="F1088" s="15" t="str">
        <f>IFERROR(__xludf.DUMMYFUNCTION("""COMPUTED_VALUE"""),"Skun ferrules")</f>
        <v>Skun ferrules</v>
      </c>
      <c r="G1088" s="15">
        <f>IFERROR(__xludf.DUMMYFUNCTION("""COMPUTED_VALUE"""),2.0)</f>
        <v>2</v>
      </c>
      <c r="H1088" s="15" t="str">
        <f>IFERROR(__xludf.DUMMYFUNCTION("""COMPUTED_VALUE"""),"pack")</f>
        <v>pack</v>
      </c>
      <c r="I1088" s="15" t="str">
        <f>IFERROR(__xludf.DUMMYFUNCTION("""COMPUTED_VALUE"""),"Deliver")</f>
        <v>Deliver</v>
      </c>
      <c r="J1088" s="15" t="str">
        <f>IFERROR(__xludf.DUMMYFUNCTION("""COMPUTED_VALUE"""),"-")</f>
        <v>-</v>
      </c>
      <c r="K1088" s="15" t="str">
        <f>IFERROR(__xludf.DUMMYFUNCTION("""COMPUTED_VALUE"""),"-")</f>
        <v>-</v>
      </c>
      <c r="L1088" s="15" t="str">
        <f>IFERROR(__xludf.DUMMYFUNCTION("""COMPUTED_VALUE"""),"Urgent")</f>
        <v>Urgent</v>
      </c>
      <c r="M1088" s="18" t="s">
        <v>47</v>
      </c>
      <c r="N1088" s="18" t="s">
        <v>30</v>
      </c>
    </row>
    <row r="1089" hidden="1">
      <c r="A1089" s="15" t="str">
        <f>IFERROR(__xludf.DUMMYFUNCTION("""COMPUTED_VALUE"""),"AAABR0031")</f>
        <v>AAABR0031</v>
      </c>
      <c r="B1089" s="16">
        <f>IFERROR(__xludf.DUMMYFUNCTION("""COMPUTED_VALUE"""),46045.74992844908)</f>
        <v>46045.74993</v>
      </c>
      <c r="C1089" s="17">
        <f>IFERROR(__xludf.DUMMYFUNCTION("""COMPUTED_VALUE"""),46060.9137146412)</f>
        <v>46060.91371</v>
      </c>
      <c r="D1089" s="15" t="str">
        <f>IFERROR(__xludf.DUMMYFUNCTION("""COMPUTED_VALUE"""),"Huber")</f>
        <v>Huber</v>
      </c>
      <c r="E1089" s="15" t="str">
        <f>IFERROR(__xludf.DUMMYFUNCTION("""COMPUTED_VALUE"""),"Menyusul")</f>
        <v>Menyusul</v>
      </c>
      <c r="F1089" s="15" t="str">
        <f>IFERROR(__xludf.DUMMYFUNCTION("""COMPUTED_VALUE"""),"skun Y")</f>
        <v>skun Y</v>
      </c>
      <c r="G1089" s="15"/>
      <c r="H1089" s="15" t="str">
        <f>IFERROR(__xludf.DUMMYFUNCTION("""COMPUTED_VALUE"""),"Pack")</f>
        <v>Pack</v>
      </c>
      <c r="I1089" s="15" t="str">
        <f>IFERROR(__xludf.DUMMYFUNCTION("""COMPUTED_VALUE"""),"Deliver")</f>
        <v>Deliver</v>
      </c>
      <c r="J1089" s="15" t="str">
        <f>IFERROR(__xludf.DUMMYFUNCTION("""COMPUTED_VALUE"""),"-")</f>
        <v>-</v>
      </c>
      <c r="K1089" s="15" t="str">
        <f>IFERROR(__xludf.DUMMYFUNCTION("""COMPUTED_VALUE"""),"-")</f>
        <v>-</v>
      </c>
      <c r="L1089" s="15" t="str">
        <f>IFERROR(__xludf.DUMMYFUNCTION("""COMPUTED_VALUE"""),"Urgent")</f>
        <v>Urgent</v>
      </c>
      <c r="M1089" s="18" t="s">
        <v>47</v>
      </c>
      <c r="N1089" s="18" t="s">
        <v>30</v>
      </c>
    </row>
    <row r="1090" hidden="1">
      <c r="A1090" s="15" t="str">
        <f>IFERROR(__xludf.DUMMYFUNCTION("""COMPUTED_VALUE"""),"AAARO0023")</f>
        <v>AAARO0023</v>
      </c>
      <c r="B1090" s="16">
        <f>IFERROR(__xludf.DUMMYFUNCTION("""COMPUTED_VALUE"""),46255.82219748843)</f>
        <v>46255.8222</v>
      </c>
      <c r="C1090" s="17">
        <f>IFERROR(__xludf.DUMMYFUNCTION("""COMPUTED_VALUE"""),46062.367053634254)</f>
        <v>46062.36705</v>
      </c>
      <c r="D1090" s="15" t="str">
        <f>IFERROR(__xludf.DUMMYFUNCTION("""COMPUTED_VALUE"""),"Huber")</f>
        <v>Huber</v>
      </c>
      <c r="E1090" s="15" t="str">
        <f>IFERROR(__xludf.DUMMYFUNCTION("""COMPUTED_VALUE"""),"menyusul")</f>
        <v>menyusul</v>
      </c>
      <c r="F1090" s="15" t="str">
        <f>IFERROR(__xludf.DUMMYFUNCTION("""COMPUTED_VALUE"""),"General - Relay 220-240 VAC; Omron; MY4N; 1 Pc")</f>
        <v>General - Relay 220-240 VAC; Omron; MY4N; 1 Pc</v>
      </c>
      <c r="G1090" s="15">
        <f>IFERROR(__xludf.DUMMYFUNCTION("""COMPUTED_VALUE"""),5.0)</f>
        <v>5</v>
      </c>
      <c r="H1090" s="15" t="str">
        <f>IFERROR(__xludf.DUMMYFUNCTION("""COMPUTED_VALUE"""),"pcs")</f>
        <v>pcs</v>
      </c>
      <c r="I1090" s="15" t="str">
        <f>IFERROR(__xludf.DUMMYFUNCTION("""COMPUTED_VALUE"""),"Deliver")</f>
        <v>Deliver</v>
      </c>
      <c r="J1090" s="15" t="str">
        <f>IFERROR(__xludf.DUMMYFUNCTION("""COMPUTED_VALUE"""),"-")</f>
        <v>-</v>
      </c>
      <c r="K1090" s="15" t="str">
        <f>IFERROR(__xludf.DUMMYFUNCTION("""COMPUTED_VALUE"""),"-")</f>
        <v>-</v>
      </c>
      <c r="L1090" s="15" t="str">
        <f>IFERROR(__xludf.DUMMYFUNCTION("""COMPUTED_VALUE"""),"Urgent")</f>
        <v>Urgent</v>
      </c>
      <c r="M1090" s="18" t="s">
        <v>47</v>
      </c>
      <c r="N1090" s="18" t="s">
        <v>30</v>
      </c>
    </row>
    <row r="1091" hidden="1">
      <c r="A1091" s="15" t="str">
        <f>IFERROR(__xludf.DUMMYFUNCTION("""COMPUTED_VALUE"""),"AAARO0022")</f>
        <v>AAARO0022</v>
      </c>
      <c r="B1091" s="16">
        <f>IFERROR(__xludf.DUMMYFUNCTION("""COMPUTED_VALUE"""),46255.82219748843)</f>
        <v>46255.8222</v>
      </c>
      <c r="C1091" s="17">
        <f>IFERROR(__xludf.DUMMYFUNCTION("""COMPUTED_VALUE"""),46062.36742077546)</f>
        <v>46062.36742</v>
      </c>
      <c r="D1091" s="15" t="str">
        <f>IFERROR(__xludf.DUMMYFUNCTION("""COMPUTED_VALUE"""),"Huber")</f>
        <v>Huber</v>
      </c>
      <c r="E1091" s="15" t="str">
        <f>IFERROR(__xludf.DUMMYFUNCTION("""COMPUTED_VALUE"""),"menyusul")</f>
        <v>menyusul</v>
      </c>
      <c r="F1091" s="15" t="str">
        <f>IFERROR(__xludf.DUMMYFUNCTION("""COMPUTED_VALUE"""),"General - Solid State Relay 3-32 VDC - 330 VAC 25 A; Fotek; SSR 3-32; 1 Pc")</f>
        <v>General - Solid State Relay 3-32 VDC - 330 VAC 25 A; Fotek; SSR 3-32; 1 Pc</v>
      </c>
      <c r="G1091" s="15">
        <f>IFERROR(__xludf.DUMMYFUNCTION("""COMPUTED_VALUE"""),2.0)</f>
        <v>2</v>
      </c>
      <c r="H1091" s="15" t="str">
        <f>IFERROR(__xludf.DUMMYFUNCTION("""COMPUTED_VALUE"""),"pcs")</f>
        <v>pcs</v>
      </c>
      <c r="I1091" s="15" t="str">
        <f>IFERROR(__xludf.DUMMYFUNCTION("""COMPUTED_VALUE"""),"Deliver")</f>
        <v>Deliver</v>
      </c>
      <c r="J1091" s="15" t="str">
        <f>IFERROR(__xludf.DUMMYFUNCTION("""COMPUTED_VALUE"""),"-")</f>
        <v>-</v>
      </c>
      <c r="K1091" s="15" t="str">
        <f>IFERROR(__xludf.DUMMYFUNCTION("""COMPUTED_VALUE"""),"-")</f>
        <v>-</v>
      </c>
      <c r="L1091" s="15" t="str">
        <f>IFERROR(__xludf.DUMMYFUNCTION("""COMPUTED_VALUE"""),"Urgent")</f>
        <v>Urgent</v>
      </c>
      <c r="M1091" s="18" t="s">
        <v>47</v>
      </c>
      <c r="N1091" s="18" t="s">
        <v>30</v>
      </c>
    </row>
    <row r="1092" hidden="1">
      <c r="A1092" s="15" t="str">
        <f>IFERROR(__xludf.DUMMYFUNCTION("""COMPUTED_VALUE"""),"AAARO0021")</f>
        <v>AAARO0021</v>
      </c>
      <c r="B1092" s="16">
        <f>IFERROR(__xludf.DUMMYFUNCTION("""COMPUTED_VALUE"""),46255.82219748843)</f>
        <v>46255.8222</v>
      </c>
      <c r="C1092" s="17">
        <f>IFERROR(__xludf.DUMMYFUNCTION("""COMPUTED_VALUE"""),46062.36783347222)</f>
        <v>46062.36783</v>
      </c>
      <c r="D1092" s="15" t="str">
        <f>IFERROR(__xludf.DUMMYFUNCTION("""COMPUTED_VALUE"""),"Huber")</f>
        <v>Huber</v>
      </c>
      <c r="E1092" s="15" t="str">
        <f>IFERROR(__xludf.DUMMYFUNCTION("""COMPUTED_VALUE"""),"menyusul")</f>
        <v>menyusul</v>
      </c>
      <c r="F1092" s="15" t="str">
        <f>IFERROR(__xludf.DUMMYFUNCTION("""COMPUTED_VALUE"""),"General - Key Selector Switch; Autonics; S2KR-4CK2AM; 1 pc")</f>
        <v>General - Key Selector Switch; Autonics; S2KR-4CK2AM; 1 pc</v>
      </c>
      <c r="G1092" s="15">
        <f>IFERROR(__xludf.DUMMYFUNCTION("""COMPUTED_VALUE"""),2.0)</f>
        <v>2</v>
      </c>
      <c r="H1092" s="15" t="str">
        <f>IFERROR(__xludf.DUMMYFUNCTION("""COMPUTED_VALUE"""),"pcs")</f>
        <v>pcs</v>
      </c>
      <c r="I1092" s="15" t="str">
        <f>IFERROR(__xludf.DUMMYFUNCTION("""COMPUTED_VALUE"""),"Deliver")</f>
        <v>Deliver</v>
      </c>
      <c r="J1092" s="15" t="str">
        <f>IFERROR(__xludf.DUMMYFUNCTION("""COMPUTED_VALUE"""),"-")</f>
        <v>-</v>
      </c>
      <c r="K1092" s="15" t="str">
        <f>IFERROR(__xludf.DUMMYFUNCTION("""COMPUTED_VALUE"""),"-")</f>
        <v>-</v>
      </c>
      <c r="L1092" s="15" t="str">
        <f>IFERROR(__xludf.DUMMYFUNCTION("""COMPUTED_VALUE"""),"Urgent")</f>
        <v>Urgent</v>
      </c>
      <c r="M1092" s="18" t="s">
        <v>47</v>
      </c>
      <c r="N1092" s="18" t="s">
        <v>30</v>
      </c>
    </row>
    <row r="1093" hidden="1">
      <c r="A1093" s="15" t="str">
        <f>IFERROR(__xludf.DUMMYFUNCTION("""COMPUTED_VALUE"""),"AAARO0020")</f>
        <v>AAARO0020</v>
      </c>
      <c r="B1093" s="16">
        <f>IFERROR(__xludf.DUMMYFUNCTION("""COMPUTED_VALUE"""),46255.82219748843)</f>
        <v>46255.8222</v>
      </c>
      <c r="C1093" s="17">
        <f>IFERROR(__xludf.DUMMYFUNCTION("""COMPUTED_VALUE"""),46062.368148738424)</f>
        <v>46062.36815</v>
      </c>
      <c r="D1093" s="15" t="str">
        <f>IFERROR(__xludf.DUMMYFUNCTION("""COMPUTED_VALUE"""),"Huber")</f>
        <v>Huber</v>
      </c>
      <c r="E1093" s="15" t="str">
        <f>IFERROR(__xludf.DUMMYFUNCTION("""COMPUTED_VALUE"""),"menyusul")</f>
        <v>menyusul</v>
      </c>
      <c r="F1093" s="15" t="str">
        <f>IFERROR(__xludf.DUMMYFUNCTION("""COMPUTED_VALUE"""),"General - Panel Box Uk. 20 x 30 x 15cm; No Brand; -; 1 pc")</f>
        <v>General - Panel Box Uk. 20 x 30 x 15cm; No Brand; -; 1 pc</v>
      </c>
      <c r="G1093" s="15">
        <f>IFERROR(__xludf.DUMMYFUNCTION("""COMPUTED_VALUE"""),1.0)</f>
        <v>1</v>
      </c>
      <c r="H1093" s="15" t="str">
        <f>IFERROR(__xludf.DUMMYFUNCTION("""COMPUTED_VALUE"""),"box")</f>
        <v>box</v>
      </c>
      <c r="I1093" s="15" t="str">
        <f>IFERROR(__xludf.DUMMYFUNCTION("""COMPUTED_VALUE"""),"Deliver")</f>
        <v>Deliver</v>
      </c>
      <c r="J1093" s="15" t="str">
        <f>IFERROR(__xludf.DUMMYFUNCTION("""COMPUTED_VALUE"""),"-")</f>
        <v>-</v>
      </c>
      <c r="K1093" s="15" t="str">
        <f>IFERROR(__xludf.DUMMYFUNCTION("""COMPUTED_VALUE"""),"-")</f>
        <v>-</v>
      </c>
      <c r="L1093" s="15" t="str">
        <f>IFERROR(__xludf.DUMMYFUNCTION("""COMPUTED_VALUE"""),"Urgent")</f>
        <v>Urgent</v>
      </c>
      <c r="M1093" s="18" t="s">
        <v>47</v>
      </c>
      <c r="N1093" s="18" t="s">
        <v>30</v>
      </c>
    </row>
    <row r="1094" hidden="1">
      <c r="A1094" s="15" t="str">
        <f>IFERROR(__xludf.DUMMYFUNCTION("""COMPUTED_VALUE"""),"AAARO0018")</f>
        <v>AAARO0018</v>
      </c>
      <c r="B1094" s="16">
        <f>IFERROR(__xludf.DUMMYFUNCTION("""COMPUTED_VALUE"""),46255.82219748843)</f>
        <v>46255.8222</v>
      </c>
      <c r="C1094" s="17">
        <f>IFERROR(__xludf.DUMMYFUNCTION("""COMPUTED_VALUE"""),46062.368777233794)</f>
        <v>46062.36878</v>
      </c>
      <c r="D1094" s="15" t="str">
        <f>IFERROR(__xludf.DUMMYFUNCTION("""COMPUTED_VALUE"""),"Huber")</f>
        <v>Huber</v>
      </c>
      <c r="E1094" s="15" t="str">
        <f>IFERROR(__xludf.DUMMYFUNCTION("""COMPUTED_VALUE"""),"menyusul")</f>
        <v>menyusul</v>
      </c>
      <c r="F1094" s="15" t="str">
        <f>IFERROR(__xludf.DUMMYFUNCTION("""COMPUTED_VALUE"""),"General - Kabel NYAF Uk. 1 x 0.75mm, Warna Merah; Supreme; -; 100meter/roll")</f>
        <v>General - Kabel NYAF Uk. 1 x 0.75mm, Warna Merah; Supreme; -; 100meter/roll</v>
      </c>
      <c r="G1094" s="15">
        <f>IFERROR(__xludf.DUMMYFUNCTION("""COMPUTED_VALUE"""),1.0)</f>
        <v>1</v>
      </c>
      <c r="H1094" s="15" t="str">
        <f>IFERROR(__xludf.DUMMYFUNCTION("""COMPUTED_VALUE"""),"roll")</f>
        <v>roll</v>
      </c>
      <c r="I1094" s="15" t="str">
        <f>IFERROR(__xludf.DUMMYFUNCTION("""COMPUTED_VALUE"""),"Deliver")</f>
        <v>Deliver</v>
      </c>
      <c r="J1094" s="15" t="str">
        <f>IFERROR(__xludf.DUMMYFUNCTION("""COMPUTED_VALUE"""),"-")</f>
        <v>-</v>
      </c>
      <c r="K1094" s="15" t="str">
        <f>IFERROR(__xludf.DUMMYFUNCTION("""COMPUTED_VALUE"""),"-")</f>
        <v>-</v>
      </c>
      <c r="L1094" s="15" t="str">
        <f>IFERROR(__xludf.DUMMYFUNCTION("""COMPUTED_VALUE"""),"Urgent")</f>
        <v>Urgent</v>
      </c>
      <c r="M1094" s="18" t="s">
        <v>47</v>
      </c>
      <c r="N1094" s="18" t="s">
        <v>30</v>
      </c>
    </row>
    <row r="1095" hidden="1">
      <c r="A1095" s="15" t="str">
        <f>IFERROR(__xludf.DUMMYFUNCTION("""COMPUTED_VALUE"""),"MFHBR0034")</f>
        <v>MFHBR0034</v>
      </c>
      <c r="B1095" s="16">
        <f>IFERROR(__xludf.DUMMYFUNCTION("""COMPUTED_VALUE"""),46062.37783008102)</f>
        <v>46062.37783</v>
      </c>
      <c r="C1095" s="17">
        <f>IFERROR(__xludf.DUMMYFUNCTION("""COMPUTED_VALUE"""),46062.37973662037)</f>
        <v>46062.37974</v>
      </c>
      <c r="D1095" s="15" t="str">
        <f>IFERROR(__xludf.DUMMYFUNCTION("""COMPUTED_VALUE"""),"Office")</f>
        <v>Office</v>
      </c>
      <c r="E1095" s="15" t="str">
        <f>IFERROR(__xludf.DUMMYFUNCTION("""COMPUTED_VALUE"""),"-")</f>
        <v>-</v>
      </c>
      <c r="F1095" s="15" t="str">
        <f>IFERROR(__xludf.DUMMYFUNCTION("""COMPUTED_VALUE"""),"TC ENG")</f>
        <v>TC ENG</v>
      </c>
      <c r="G1095" s="15">
        <f>IFERROR(__xludf.DUMMYFUNCTION("""COMPUTED_VALUE"""),2.0)</f>
        <v>2</v>
      </c>
      <c r="H1095" s="15" t="str">
        <f>IFERROR(__xludf.DUMMYFUNCTION("""COMPUTED_VALUE"""),"Unit")</f>
        <v>Unit</v>
      </c>
      <c r="I1095" s="15" t="str">
        <f>IFERROR(__xludf.DUMMYFUNCTION("""COMPUTED_VALUE"""),"Deliver")</f>
        <v>Deliver</v>
      </c>
      <c r="J1095" s="15" t="str">
        <f>IFERROR(__xludf.DUMMYFUNCTION("""COMPUTED_VALUE"""),"121703695 - APPROVED")</f>
        <v>121703695 - APPROVED</v>
      </c>
      <c r="K1095" s="15" t="str">
        <f>IFERROR(__xludf.DUMMYFUNCTION("""COMPUTED_VALUE"""),"GL2603030")</f>
        <v>GL2603030</v>
      </c>
      <c r="L1095" s="15" t="str">
        <f>IFERROR(__xludf.DUMMYFUNCTION("""COMPUTED_VALUE"""),"Normal")</f>
        <v>Normal</v>
      </c>
      <c r="M1095" s="18" t="s">
        <v>53</v>
      </c>
      <c r="N1095" s="18" t="s">
        <v>54</v>
      </c>
    </row>
    <row r="1096" hidden="1">
      <c r="A1096" s="15" t="str">
        <f>IFERROR(__xludf.DUMMYFUNCTION("""COMPUTED_VALUE"""),"MRNRO0044")</f>
        <v>MRNRO0044</v>
      </c>
      <c r="B1096" s="16">
        <f>IFERROR(__xludf.DUMMYFUNCTION("""COMPUTED_VALUE"""),46056.61126896991)</f>
        <v>46056.61127</v>
      </c>
      <c r="C1096" s="17">
        <f>IFERROR(__xludf.DUMMYFUNCTION("""COMPUTED_VALUE"""),46062.39493278936)</f>
        <v>46062.39493</v>
      </c>
      <c r="D1096" s="15" t="str">
        <f>IFERROR(__xludf.DUMMYFUNCTION("""COMPUTED_VALUE"""),"PSG")</f>
        <v>PSG</v>
      </c>
      <c r="E1096" s="15" t="str">
        <f>IFERROR(__xludf.DUMMYFUNCTION("""COMPUTED_VALUE"""),"EJO/2025/08/203")</f>
        <v>EJO/2025/08/203</v>
      </c>
      <c r="F1096" s="15" t="str">
        <f>IFERROR(__xludf.DUMMYFUNCTION("""COMPUTED_VALUE"""),"General - Ferrule SS 316, 1/2inch; No Brand; -; 1 pcs")</f>
        <v>General - Ferrule SS 316, 1/2inch; No Brand; -; 1 pcs</v>
      </c>
      <c r="G1096" s="15">
        <f>IFERROR(__xludf.DUMMYFUNCTION("""COMPUTED_VALUE"""),2.0)</f>
        <v>2</v>
      </c>
      <c r="H1096" s="15" t="str">
        <f>IFERROR(__xludf.DUMMYFUNCTION("""COMPUTED_VALUE"""),"pcs")</f>
        <v>pcs</v>
      </c>
      <c r="I1096" s="15" t="str">
        <f>IFERROR(__xludf.DUMMYFUNCTION("""COMPUTED_VALUE"""),"Deliver")</f>
        <v>Deliver</v>
      </c>
      <c r="J1096" s="15" t="str">
        <f>IFERROR(__xludf.DUMMYFUNCTION("""COMPUTED_VALUE"""),"121703859 - APPROVED")</f>
        <v>121703859 - APPROVED</v>
      </c>
      <c r="K1096" s="15" t="str">
        <f>IFERROR(__xludf.DUMMYFUNCTION("""COMPUTED_VALUE"""),"GL2603430")</f>
        <v>GL2603430</v>
      </c>
      <c r="L1096" s="15" t="str">
        <f>IFERROR(__xludf.DUMMYFUNCTION("""COMPUTED_VALUE"""),"Normal")</f>
        <v>Normal</v>
      </c>
      <c r="M1096" s="18" t="s">
        <v>48</v>
      </c>
      <c r="N1096" s="18" t="s">
        <v>28</v>
      </c>
    </row>
    <row r="1097" hidden="1">
      <c r="A1097" s="15" t="str">
        <f>IFERROR(__xludf.DUMMYFUNCTION("""COMPUTED_VALUE"""),"MRNRO0045")</f>
        <v>MRNRO0045</v>
      </c>
      <c r="B1097" s="16">
        <f>IFERROR(__xludf.DUMMYFUNCTION("""COMPUTED_VALUE"""),46056.61235695602)</f>
        <v>46056.61236</v>
      </c>
      <c r="C1097" s="17">
        <f>IFERROR(__xludf.DUMMYFUNCTION("""COMPUTED_VALUE"""),46062.39511769676)</f>
        <v>46062.39512</v>
      </c>
      <c r="D1097" s="15" t="str">
        <f>IFERROR(__xludf.DUMMYFUNCTION("""COMPUTED_VALUE"""),"PSG")</f>
        <v>PSG</v>
      </c>
      <c r="E1097" s="15" t="str">
        <f>IFERROR(__xludf.DUMMYFUNCTION("""COMPUTED_VALUE"""),"EJO/2025/08/204")</f>
        <v>EJO/2025/08/204</v>
      </c>
      <c r="F1097" s="15" t="str">
        <f>IFERROR(__xludf.DUMMYFUNCTION("""COMPUTED_VALUE"""),"General - Ferrule SS 316L 1inch; No Brand; -; 1 pcs")</f>
        <v>General - Ferrule SS 316L 1inch; No Brand; -; 1 pcs</v>
      </c>
      <c r="G1097" s="15">
        <f>IFERROR(__xludf.DUMMYFUNCTION("""COMPUTED_VALUE"""),2.0)</f>
        <v>2</v>
      </c>
      <c r="H1097" s="15" t="str">
        <f>IFERROR(__xludf.DUMMYFUNCTION("""COMPUTED_VALUE"""),"pcs")</f>
        <v>pcs</v>
      </c>
      <c r="I1097" s="15" t="str">
        <f>IFERROR(__xludf.DUMMYFUNCTION("""COMPUTED_VALUE"""),"Deliver")</f>
        <v>Deliver</v>
      </c>
      <c r="J1097" s="15" t="str">
        <f>IFERROR(__xludf.DUMMYFUNCTION("""COMPUTED_VALUE"""),"121703859 - APPROVED")</f>
        <v>121703859 - APPROVED</v>
      </c>
      <c r="K1097" s="15" t="str">
        <f>IFERROR(__xludf.DUMMYFUNCTION("""COMPUTED_VALUE"""),"GL2602033")</f>
        <v>GL2602033</v>
      </c>
      <c r="L1097" s="15" t="str">
        <f>IFERROR(__xludf.DUMMYFUNCTION("""COMPUTED_VALUE"""),"Normal")</f>
        <v>Normal</v>
      </c>
      <c r="M1097" s="18" t="s">
        <v>48</v>
      </c>
      <c r="N1097" s="18" t="s">
        <v>28</v>
      </c>
    </row>
    <row r="1098" hidden="1">
      <c r="A1098" s="15" t="str">
        <f>IFERROR(__xludf.DUMMYFUNCTION("""COMPUTED_VALUE"""),"MRNRO0046")</f>
        <v>MRNRO0046</v>
      </c>
      <c r="B1098" s="16">
        <f>IFERROR(__xludf.DUMMYFUNCTION("""COMPUTED_VALUE"""),46056.61339070602)</f>
        <v>46056.61339</v>
      </c>
      <c r="C1098" s="17">
        <f>IFERROR(__xludf.DUMMYFUNCTION("""COMPUTED_VALUE"""),46062.395314166664)</f>
        <v>46062.39531</v>
      </c>
      <c r="D1098" s="15" t="str">
        <f>IFERROR(__xludf.DUMMYFUNCTION("""COMPUTED_VALUE"""),"PSG")</f>
        <v>PSG</v>
      </c>
      <c r="E1098" s="15" t="str">
        <f>IFERROR(__xludf.DUMMYFUNCTION("""COMPUTED_VALUE"""),"EJO/2025/08/205")</f>
        <v>EJO/2025/08/205</v>
      </c>
      <c r="F1098" s="15" t="str">
        <f>IFERROR(__xludf.DUMMYFUNCTION("""COMPUTED_VALUE"""),"Elbow SS 316 L dia 1inch")</f>
        <v>Elbow SS 316 L dia 1inch</v>
      </c>
      <c r="G1098" s="15">
        <f>IFERROR(__xludf.DUMMYFUNCTION("""COMPUTED_VALUE"""),6.0)</f>
        <v>6</v>
      </c>
      <c r="H1098" s="15" t="str">
        <f>IFERROR(__xludf.DUMMYFUNCTION("""COMPUTED_VALUE"""),"pcs")</f>
        <v>pcs</v>
      </c>
      <c r="I1098" s="15" t="str">
        <f>IFERROR(__xludf.DUMMYFUNCTION("""COMPUTED_VALUE"""),"Deliver")</f>
        <v>Deliver</v>
      </c>
      <c r="J1098" s="15" t="str">
        <f>IFERROR(__xludf.DUMMYFUNCTION("""COMPUTED_VALUE"""),"121703859 - APPROVED")</f>
        <v>121703859 - APPROVED</v>
      </c>
      <c r="K1098" s="15" t="str">
        <f>IFERROR(__xludf.DUMMYFUNCTION("""COMPUTED_VALUE"""),"GL2603430")</f>
        <v>GL2603430</v>
      </c>
      <c r="L1098" s="15" t="str">
        <f>IFERROR(__xludf.DUMMYFUNCTION("""COMPUTED_VALUE"""),"Normal")</f>
        <v>Normal</v>
      </c>
      <c r="M1098" s="18" t="s">
        <v>48</v>
      </c>
      <c r="N1098" s="18" t="s">
        <v>28</v>
      </c>
    </row>
    <row r="1099" hidden="1">
      <c r="A1099" s="15" t="str">
        <f>IFERROR(__xludf.DUMMYFUNCTION("""COMPUTED_VALUE"""),"RIARO0065")</f>
        <v>RIARO0065</v>
      </c>
      <c r="B1099" s="16">
        <f>IFERROR(__xludf.DUMMYFUNCTION("""COMPUTED_VALUE"""),46055.43885324074)</f>
        <v>46055.43885</v>
      </c>
      <c r="C1099" s="17">
        <f>IFERROR(__xludf.DUMMYFUNCTION("""COMPUTED_VALUE"""),46062.39550218749)</f>
        <v>46062.3955</v>
      </c>
      <c r="D1099" s="15" t="str">
        <f>IFERROR(__xludf.DUMMYFUNCTION("""COMPUTED_VALUE"""),"Dumbwaiter")</f>
        <v>Dumbwaiter</v>
      </c>
      <c r="E1099" s="15" t="str">
        <f>IFERROR(__xludf.DUMMYFUNCTION("""COMPUTED_VALUE"""),"-")</f>
        <v>-</v>
      </c>
      <c r="F1099" s="15" t="str">
        <f>IFERROR(__xludf.DUMMYFUNCTION("""COMPUTED_VALUE"""),"General - Limit Switch IP65; EWIG; E8108; 1 pc")</f>
        <v>General - Limit Switch IP65; EWIG; E8108; 1 pc</v>
      </c>
      <c r="G1099" s="15">
        <f>IFERROR(__xludf.DUMMYFUNCTION("""COMPUTED_VALUE"""),3.0)</f>
        <v>3</v>
      </c>
      <c r="H1099" s="15" t="str">
        <f>IFERROR(__xludf.DUMMYFUNCTION("""COMPUTED_VALUE"""),"Pcs")</f>
        <v>Pcs</v>
      </c>
      <c r="I1099" s="15" t="str">
        <f>IFERROR(__xludf.DUMMYFUNCTION("""COMPUTED_VALUE"""),"Deliver")</f>
        <v>Deliver</v>
      </c>
      <c r="J1099" s="15" t="str">
        <f>IFERROR(__xludf.DUMMYFUNCTION("""COMPUTED_VALUE"""),"121703861 - APPROVED")</f>
        <v>121703861 - APPROVED</v>
      </c>
      <c r="K1099" s="15" t="str">
        <f>IFERROR(__xludf.DUMMYFUNCTION("""COMPUTED_VALUE"""),"GL2603434")</f>
        <v>GL2603434</v>
      </c>
      <c r="L1099" s="15" t="str">
        <f>IFERROR(__xludf.DUMMYFUNCTION("""COMPUTED_VALUE"""),"Normal")</f>
        <v>Normal</v>
      </c>
      <c r="M1099" s="18" t="s">
        <v>32</v>
      </c>
      <c r="N1099" s="18" t="s">
        <v>28</v>
      </c>
    </row>
    <row r="1100" hidden="1">
      <c r="A1100" s="15" t="str">
        <f>IFERROR(__xludf.DUMMYFUNCTION("""COMPUTED_VALUE"""),"ROSBR0079")</f>
        <v>ROSBR0079</v>
      </c>
      <c r="B1100" s="16">
        <f>IFERROR(__xludf.DUMMYFUNCTION("""COMPUTED_VALUE"""),46056.69940715278)</f>
        <v>46056.69941</v>
      </c>
      <c r="C1100" s="17">
        <f>IFERROR(__xludf.DUMMYFUNCTION("""COMPUTED_VALUE"""),46064.99641225695)</f>
        <v>46064.99641</v>
      </c>
      <c r="D1100" s="15" t="str">
        <f>IFERROR(__xludf.DUMMYFUNCTION("""COMPUTED_VALUE"""),"Autoclave preparasi dan decontam 
Lab Micro ")</f>
        <v>Autoclave preparasi dan decontam 
Lab Micro </v>
      </c>
      <c r="E1100" s="15" t="str">
        <f>IFERROR(__xludf.DUMMYFUNCTION("""COMPUTED_VALUE"""),"NA")</f>
        <v>NA</v>
      </c>
      <c r="F1100" s="15" t="str">
        <f>IFERROR(__xludf.DUMMYFUNCTION("""COMPUTED_VALUE"""),"Water Presence Probe Kit and OR Seal")</f>
        <v>Water Presence Probe Kit and OR Seal</v>
      </c>
      <c r="G1100" s="15">
        <f>IFERROR(__xludf.DUMMYFUNCTION("""COMPUTED_VALUE"""),10.0)</f>
        <v>10</v>
      </c>
      <c r="H1100" s="15" t="str">
        <f>IFERROR(__xludf.DUMMYFUNCTION("""COMPUTED_VALUE"""),"Set")</f>
        <v>Set</v>
      </c>
      <c r="I1100" s="15" t="str">
        <f>IFERROR(__xludf.DUMMYFUNCTION("""COMPUTED_VALUE"""),"PO Open")</f>
        <v>PO Open</v>
      </c>
      <c r="J1100" s="15" t="str">
        <f>IFERROR(__xludf.DUMMYFUNCTION("""COMPUTED_VALUE"""),"121704393 - APPROVED")</f>
        <v>121704393 - APPROVED</v>
      </c>
      <c r="K1100" s="15" t="str">
        <f>IFERROR(__xludf.DUMMYFUNCTION("""COMPUTED_VALUE"""),"GL2607373")</f>
        <v>GL2607373</v>
      </c>
      <c r="L1100" s="15" t="str">
        <f>IFERROR(__xludf.DUMMYFUNCTION("""COMPUTED_VALUE"""),"Normal")</f>
        <v>Normal</v>
      </c>
      <c r="M1100" s="18" t="s">
        <v>29</v>
      </c>
      <c r="N1100" s="18" t="s">
        <v>30</v>
      </c>
    </row>
    <row r="1101" hidden="1">
      <c r="A1101" s="15" t="str">
        <f>IFERROR(__xludf.DUMMYFUNCTION("""COMPUTED_VALUE"""),"ROSBR0080")</f>
        <v>ROSBR0080</v>
      </c>
      <c r="B1101" s="16">
        <f>IFERROR(__xludf.DUMMYFUNCTION("""COMPUTED_VALUE"""),46056.709090289354)</f>
        <v>46056.70909</v>
      </c>
      <c r="C1101" s="17">
        <f>IFERROR(__xludf.DUMMYFUNCTION("""COMPUTED_VALUE"""),46064.996788634264)</f>
        <v>46064.99679</v>
      </c>
      <c r="D1101" s="15" t="str">
        <f>IFERROR(__xludf.DUMMYFUNCTION("""COMPUTED_VALUE"""),"Printer head autoclave prepaarasi")</f>
        <v>Printer head autoclave prepaarasi</v>
      </c>
      <c r="E1101" s="15" t="str">
        <f>IFERROR(__xludf.DUMMYFUNCTION("""COMPUTED_VALUE"""),"NA")</f>
        <v>NA</v>
      </c>
      <c r="F1101" s="15" t="str">
        <f>IFERROR(__xludf.DUMMYFUNCTION("""COMPUTED_VALUE"""),"PROFACE PRINTER")</f>
        <v>PROFACE PRINTER</v>
      </c>
      <c r="G1101" s="15">
        <f>IFERROR(__xludf.DUMMYFUNCTION("""COMPUTED_VALUE"""),2.0)</f>
        <v>2</v>
      </c>
      <c r="H1101" s="15" t="str">
        <f>IFERROR(__xludf.DUMMYFUNCTION("""COMPUTED_VALUE"""),"set")</f>
        <v>set</v>
      </c>
      <c r="I1101" s="15" t="str">
        <f>IFERROR(__xludf.DUMMYFUNCTION("""COMPUTED_VALUE"""),"PO Open")</f>
        <v>PO Open</v>
      </c>
      <c r="J1101" s="15" t="str">
        <f>IFERROR(__xludf.DUMMYFUNCTION("""COMPUTED_VALUE"""),"121704159 - APPROVED")</f>
        <v>121704159 - APPROVED</v>
      </c>
      <c r="K1101" s="15" t="str">
        <f>IFERROR(__xludf.DUMMYFUNCTION("""COMPUTED_VALUE"""),"GL2605340")</f>
        <v>GL2605340</v>
      </c>
      <c r="L1101" s="15" t="str">
        <f>IFERROR(__xludf.DUMMYFUNCTION("""COMPUTED_VALUE"""),"Normal")</f>
        <v>Normal</v>
      </c>
      <c r="M1101" s="18" t="s">
        <v>29</v>
      </c>
      <c r="N1101" s="18" t="s">
        <v>30</v>
      </c>
    </row>
    <row r="1102" hidden="1">
      <c r="A1102" s="15" t="str">
        <f>IFERROR(__xludf.DUMMYFUNCTION("""COMPUTED_VALUE"""),"ROSRO0021")</f>
        <v>ROSRO0021</v>
      </c>
      <c r="B1102" s="16">
        <f>IFERROR(__xludf.DUMMYFUNCTION("""COMPUTED_VALUE"""),46056.71664653935)</f>
        <v>46056.71665</v>
      </c>
      <c r="C1102" s="17">
        <f>IFERROR(__xludf.DUMMYFUNCTION("""COMPUTED_VALUE"""),46064.99766043981)</f>
        <v>46064.99766</v>
      </c>
      <c r="D1102" s="15" t="str">
        <f>IFERROR(__xludf.DUMMYFUNCTION("""COMPUTED_VALUE"""),"autoclave preparasi dan decontam")</f>
        <v>autoclave preparasi dan decontam</v>
      </c>
      <c r="E1102" s="15" t="str">
        <f>IFERROR(__xludf.DUMMYFUNCTION("""COMPUTED_VALUE"""),"-")</f>
        <v>-</v>
      </c>
      <c r="F1102" s="15" t="str">
        <f>IFERROR(__xludf.DUMMYFUNCTION("""COMPUTED_VALUE"""),"Autoclave Fedegari FOF / 6 AC - O-RING21.82x3.53 ; p/n CC150010; ; ;")</f>
        <v>Autoclave Fedegari FOF / 6 AC - O-RING21.82x3.53 ; p/n CC150010; ; ;</v>
      </c>
      <c r="G1102" s="15">
        <f>IFERROR(__xludf.DUMMYFUNCTION("""COMPUTED_VALUE"""),20.0)</f>
        <v>20</v>
      </c>
      <c r="H1102" s="15" t="str">
        <f>IFERROR(__xludf.DUMMYFUNCTION("""COMPUTED_VALUE"""),"pcs")</f>
        <v>pcs</v>
      </c>
      <c r="I1102" s="15" t="str">
        <f>IFERROR(__xludf.DUMMYFUNCTION("""COMPUTED_VALUE"""),"Deliver")</f>
        <v>Deliver</v>
      </c>
      <c r="J1102" s="15" t="str">
        <f>IFERROR(__xludf.DUMMYFUNCTION("""COMPUTED_VALUE"""),"121703883 - APPROVED")</f>
        <v>121703883 - APPROVED</v>
      </c>
      <c r="K1102" s="15" t="str">
        <f>IFERROR(__xludf.DUMMYFUNCTION("""COMPUTED_VALUE"""),"GL2603453")</f>
        <v>GL2603453</v>
      </c>
      <c r="L1102" s="15" t="str">
        <f>IFERROR(__xludf.DUMMYFUNCTION("""COMPUTED_VALUE"""),"Normal")</f>
        <v>Normal</v>
      </c>
      <c r="M1102" s="18" t="s">
        <v>29</v>
      </c>
      <c r="N1102" s="18" t="s">
        <v>30</v>
      </c>
    </row>
    <row r="1103" hidden="1">
      <c r="A1103" s="15" t="str">
        <f>IFERROR(__xludf.DUMMYFUNCTION("""COMPUTED_VALUE"""),"AAARO0019")</f>
        <v>AAARO0019</v>
      </c>
      <c r="B1103" s="16">
        <f>IFERROR(__xludf.DUMMYFUNCTION("""COMPUTED_VALUE"""),46255.82219748843)</f>
        <v>46255.8222</v>
      </c>
      <c r="C1103" s="17">
        <f>IFERROR(__xludf.DUMMYFUNCTION("""COMPUTED_VALUE"""),46065.4405296875)</f>
        <v>46065.44053</v>
      </c>
      <c r="D1103" s="15" t="str">
        <f>IFERROR(__xludf.DUMMYFUNCTION("""COMPUTED_VALUE"""),"Huber")</f>
        <v>Huber</v>
      </c>
      <c r="E1103" s="15" t="str">
        <f>IFERROR(__xludf.DUMMYFUNCTION("""COMPUTED_VALUE"""),"menyusul")</f>
        <v>menyusul</v>
      </c>
      <c r="F1103" s="15" t="str">
        <f>IFERROR(__xludf.DUMMYFUNCTION("""COMPUTED_VALUE"""),"General - Kabel NYAF 1x0.75mm, Warna Biru; JEMBO; -; 1 meter")</f>
        <v>General - Kabel NYAF 1x0.75mm, Warna Biru; JEMBO; -; 1 meter</v>
      </c>
      <c r="G1103" s="15">
        <f>IFERROR(__xludf.DUMMYFUNCTION("""COMPUTED_VALUE"""),1.0)</f>
        <v>1</v>
      </c>
      <c r="H1103" s="15" t="str">
        <f>IFERROR(__xludf.DUMMYFUNCTION("""COMPUTED_VALUE"""),"roll")</f>
        <v>roll</v>
      </c>
      <c r="I1103" s="15" t="str">
        <f>IFERROR(__xludf.DUMMYFUNCTION("""COMPUTED_VALUE"""),"Deliver")</f>
        <v>Deliver</v>
      </c>
      <c r="J1103" s="15" t="str">
        <f>IFERROR(__xludf.DUMMYFUNCTION("""COMPUTED_VALUE"""),"-")</f>
        <v>-</v>
      </c>
      <c r="K1103" s="15" t="str">
        <f>IFERROR(__xludf.DUMMYFUNCTION("""COMPUTED_VALUE"""),"-")</f>
        <v>-</v>
      </c>
      <c r="L1103" s="15" t="str">
        <f>IFERROR(__xludf.DUMMYFUNCTION("""COMPUTED_VALUE"""),"Urgent")</f>
        <v>Urgent</v>
      </c>
      <c r="M1103" s="18" t="s">
        <v>47</v>
      </c>
      <c r="N1103" s="18" t="s">
        <v>30</v>
      </c>
    </row>
    <row r="1104" hidden="1">
      <c r="A1104" s="15" t="str">
        <f>IFERROR(__xludf.DUMMYFUNCTION("""COMPUTED_VALUE"""),"KFFBR0004")</f>
        <v>KFFBR0004</v>
      </c>
      <c r="B1104" s="16">
        <f>IFERROR(__xludf.DUMMYFUNCTION("""COMPUTED_VALUE"""),46050.97148141204)</f>
        <v>46050.97148</v>
      </c>
      <c r="C1104" s="17">
        <f>IFERROR(__xludf.DUMMYFUNCTION("""COMPUTED_VALUE"""),46069.62070291666)</f>
        <v>46069.6207</v>
      </c>
      <c r="D1104" s="15" t="str">
        <f>IFERROR(__xludf.DUMMYFUNCTION("""COMPUTED_VALUE"""),"HPLC ")</f>
        <v>HPLC </v>
      </c>
      <c r="E1104" s="15" t="str">
        <f>IFERROR(__xludf.DUMMYFUNCTION("""COMPUTED_VALUE"""),"EJO/2025/09/131")</f>
        <v>EJO/2025/09/131</v>
      </c>
      <c r="F1104" s="15" t="str">
        <f>IFERROR(__xludf.DUMMYFUNCTION("""COMPUTED_VALUE"""),"Plat SS316 ")</f>
        <v>Plat SS316 </v>
      </c>
      <c r="G1104" s="15">
        <f>IFERROR(__xludf.DUMMYFUNCTION("""COMPUTED_VALUE"""),1.0)</f>
        <v>1</v>
      </c>
      <c r="H1104" s="15" t="str">
        <f>IFERROR(__xludf.DUMMYFUNCTION("""COMPUTED_VALUE"""),"sheet")</f>
        <v>sheet</v>
      </c>
      <c r="I1104" s="15" t="str">
        <f>IFERROR(__xludf.DUMMYFUNCTION("""COMPUTED_VALUE"""),"Deliver")</f>
        <v>Deliver</v>
      </c>
      <c r="J1104" s="15" t="str">
        <f>IFERROR(__xludf.DUMMYFUNCTION("""COMPUTED_VALUE"""),"121704162 - APPROVED")</f>
        <v>121704162 - APPROVED</v>
      </c>
      <c r="K1104" s="15" t="str">
        <f>IFERROR(__xludf.DUMMYFUNCTION("""COMPUTED_VALUE"""),"GL2605008")</f>
        <v>GL2605008</v>
      </c>
      <c r="L1104" s="15" t="str">
        <f>IFERROR(__xludf.DUMMYFUNCTION("""COMPUTED_VALUE"""),"Normal")</f>
        <v>Normal</v>
      </c>
      <c r="M1104" s="18" t="s">
        <v>56</v>
      </c>
      <c r="N1104" s="18" t="s">
        <v>30</v>
      </c>
    </row>
    <row r="1105" hidden="1">
      <c r="A1105" s="15" t="str">
        <f>IFERROR(__xludf.DUMMYFUNCTION("""COMPUTED_VALUE"""),"KFFBR0002")</f>
        <v>KFFBR0002</v>
      </c>
      <c r="B1105" s="16">
        <f>IFERROR(__xludf.DUMMYFUNCTION("""COMPUTED_VALUE"""),46050.9636718287)</f>
        <v>46050.96367</v>
      </c>
      <c r="C1105" s="17">
        <f>IFERROR(__xludf.DUMMYFUNCTION("""COMPUTED_VALUE"""),46069.63451960648)</f>
        <v>46069.63452</v>
      </c>
      <c r="D1105" s="15" t="str">
        <f>IFERROR(__xludf.DUMMYFUNCTION("""COMPUTED_VALUE"""),"Capping")</f>
        <v>Capping</v>
      </c>
      <c r="E1105" s="15" t="str">
        <f>IFERROR(__xludf.DUMMYFUNCTION("""COMPUTED_VALUE"""),"EJO/2026/02/33")</f>
        <v>EJO/2026/02/33</v>
      </c>
      <c r="F1105" s="15" t="str">
        <f>IFERROR(__xludf.DUMMYFUNCTION("""COMPUTED_VALUE"""),"Helicoil ")</f>
        <v>Helicoil </v>
      </c>
      <c r="G1105" s="15">
        <f>IFERROR(__xludf.DUMMYFUNCTION("""COMPUTED_VALUE"""),1.0)</f>
        <v>1</v>
      </c>
      <c r="H1105" s="15" t="str">
        <f>IFERROR(__xludf.DUMMYFUNCTION("""COMPUTED_VALUE"""),"set")</f>
        <v>set</v>
      </c>
      <c r="I1105" s="15" t="str">
        <f>IFERROR(__xludf.DUMMYFUNCTION("""COMPUTED_VALUE"""),"PR Open")</f>
        <v>PR Open</v>
      </c>
      <c r="J1105" s="15" t="str">
        <f>IFERROR(__xludf.DUMMYFUNCTION("""COMPUTED_VALUE"""),"121704549 - APPROVED")</f>
        <v>121704549 - APPROVED</v>
      </c>
      <c r="K1105" s="15" t="str">
        <f>IFERROR(__xludf.DUMMYFUNCTION("""COMPUTED_VALUE"""),"GL2609428")</f>
        <v>GL2609428</v>
      </c>
      <c r="L1105" s="15" t="str">
        <f>IFERROR(__xludf.DUMMYFUNCTION("""COMPUTED_VALUE"""),"Normal")</f>
        <v>Normal</v>
      </c>
      <c r="M1105" s="18" t="s">
        <v>56</v>
      </c>
      <c r="N1105" s="18" t="s">
        <v>30</v>
      </c>
    </row>
    <row r="1106" hidden="1">
      <c r="A1106" s="15" t="str">
        <f>IFERROR(__xludf.DUMMYFUNCTION("""COMPUTED_VALUE"""),"ROSRO0022")</f>
        <v>ROSRO0022</v>
      </c>
      <c r="B1106" s="16">
        <f>IFERROR(__xludf.DUMMYFUNCTION("""COMPUTED_VALUE"""),46069.59646663194)</f>
        <v>46069.59647</v>
      </c>
      <c r="C1106" s="17">
        <f>IFERROR(__xludf.DUMMYFUNCTION("""COMPUTED_VALUE"""),46069.648477511575)</f>
        <v>46069.64848</v>
      </c>
      <c r="D1106" s="15" t="str">
        <f>IFERROR(__xludf.DUMMYFUNCTION("""COMPUTED_VALUE"""),"Dsipensing Steril")</f>
        <v>Dsipensing Steril</v>
      </c>
      <c r="E1106" s="15" t="str">
        <f>IFERROR(__xludf.DUMMYFUNCTION("""COMPUTED_VALUE"""),"-")</f>
        <v>-</v>
      </c>
      <c r="F1106" s="15" t="str">
        <f>IFERROR(__xludf.DUMMYFUNCTION("""COMPUTED_VALUE"""),"BEARING R-4HH BRAND EZO")</f>
        <v>BEARING R-4HH BRAND EZO</v>
      </c>
      <c r="G1106" s="15">
        <f>IFERROR(__xludf.DUMMYFUNCTION("""COMPUTED_VALUE"""),20.0)</f>
        <v>20</v>
      </c>
      <c r="H1106" s="15" t="str">
        <f>IFERROR(__xludf.DUMMYFUNCTION("""COMPUTED_VALUE"""),"Pcs")</f>
        <v>Pcs</v>
      </c>
      <c r="I1106" s="15" t="str">
        <f>IFERROR(__xludf.DUMMYFUNCTION("""COMPUTED_VALUE"""),"PO Open")</f>
        <v>PO Open</v>
      </c>
      <c r="J1106" s="15" t="str">
        <f>IFERROR(__xludf.DUMMYFUNCTION("""COMPUTED_VALUE"""),"121704358 - APPROVED")</f>
        <v>121704358 - APPROVED</v>
      </c>
      <c r="K1106" s="15" t="str">
        <f>IFERROR(__xludf.DUMMYFUNCTION("""COMPUTED_VALUE"""),"GL2607382")</f>
        <v>GL2607382</v>
      </c>
      <c r="L1106" s="15" t="str">
        <f>IFERROR(__xludf.DUMMYFUNCTION("""COMPUTED_VALUE"""),"Normal")</f>
        <v>Normal</v>
      </c>
      <c r="M1106" s="18" t="s">
        <v>29</v>
      </c>
      <c r="N1106" s="18" t="s">
        <v>30</v>
      </c>
    </row>
    <row r="1107" hidden="1">
      <c r="A1107" s="15" t="str">
        <f>IFERROR(__xludf.DUMMYFUNCTION("""COMPUTED_VALUE"""),"ROSRO0023")</f>
        <v>ROSRO0023</v>
      </c>
      <c r="B1107" s="16">
        <f>IFERROR(__xludf.DUMMYFUNCTION("""COMPUTED_VALUE"""),46069.60635513889)</f>
        <v>46069.60636</v>
      </c>
      <c r="C1107" s="17">
        <f>IFERROR(__xludf.DUMMYFUNCTION("""COMPUTED_VALUE"""),46069.65314965278)</f>
        <v>46069.65315</v>
      </c>
      <c r="D1107" s="15" t="str">
        <f>IFERROR(__xludf.DUMMYFUNCTION("""COMPUTED_VALUE"""),"WIHC")</f>
        <v>WIHC</v>
      </c>
      <c r="E1107" s="15" t="str">
        <f>IFERROR(__xludf.DUMMYFUNCTION("""COMPUTED_VALUE"""),"-")</f>
        <v>-</v>
      </c>
      <c r="F1107" s="15" t="str">
        <f>IFERROR(__xludf.DUMMYFUNCTION("""COMPUTED_VALUE"""),"General - Terminal Block, 6 mm; Fort; -; 1 pcs")</f>
        <v>General - Terminal Block, 6 mm; Fort; -; 1 pcs</v>
      </c>
      <c r="G1107" s="15">
        <f>IFERROR(__xludf.DUMMYFUNCTION("""COMPUTED_VALUE"""),50.0)</f>
        <v>50</v>
      </c>
      <c r="H1107" s="15" t="str">
        <f>IFERROR(__xludf.DUMMYFUNCTION("""COMPUTED_VALUE"""),"pcs")</f>
        <v>pcs</v>
      </c>
      <c r="I1107" s="15" t="str">
        <f>IFERROR(__xludf.DUMMYFUNCTION("""COMPUTED_VALUE"""),"Deliver")</f>
        <v>Deliver</v>
      </c>
      <c r="J1107" s="15" t="str">
        <f>IFERROR(__xludf.DUMMYFUNCTION("""COMPUTED_VALUE"""),"121703890 - APPROVED")</f>
        <v>121703890 - APPROVED</v>
      </c>
      <c r="K1107" s="15" t="str">
        <f>IFERROR(__xludf.DUMMYFUNCTION("""COMPUTED_VALUE"""),"GL2603456")</f>
        <v>GL2603456</v>
      </c>
      <c r="L1107" s="15" t="str">
        <f>IFERROR(__xludf.DUMMYFUNCTION("""COMPUTED_VALUE"""),"Normal")</f>
        <v>Normal</v>
      </c>
      <c r="M1107" s="18" t="s">
        <v>29</v>
      </c>
      <c r="N1107" s="18" t="s">
        <v>30</v>
      </c>
    </row>
    <row r="1108" hidden="1">
      <c r="A1108" s="15" t="str">
        <f>IFERROR(__xludf.DUMMYFUNCTION("""COMPUTED_VALUE"""),"ROSRO0024")</f>
        <v>ROSRO0024</v>
      </c>
      <c r="B1108" s="16">
        <f>IFERROR(__xludf.DUMMYFUNCTION("""COMPUTED_VALUE"""),46069.60670791667)</f>
        <v>46069.60671</v>
      </c>
      <c r="C1108" s="17">
        <f>IFERROR(__xludf.DUMMYFUNCTION("""COMPUTED_VALUE"""),46069.656917824075)</f>
        <v>46069.65692</v>
      </c>
      <c r="D1108" s="15" t="str">
        <f>IFERROR(__xludf.DUMMYFUNCTION("""COMPUTED_VALUE"""),"-")</f>
        <v>-</v>
      </c>
      <c r="E1108" s="15" t="str">
        <f>IFERROR(__xludf.DUMMYFUNCTION("""COMPUTED_VALUE"""),"-")</f>
        <v>-</v>
      </c>
      <c r="F1108" s="15" t="str">
        <f>IFERROR(__xludf.DUMMYFUNCTION("""COMPUTED_VALUE"""),"General - Terminal Viking Grounding 4mm; Legrand; -; 1 pc")</f>
        <v>General - Terminal Viking Grounding 4mm; Legrand; -; 1 pc</v>
      </c>
      <c r="G1108" s="15">
        <f>IFERROR(__xludf.DUMMYFUNCTION("""COMPUTED_VALUE"""),50.0)</f>
        <v>50</v>
      </c>
      <c r="H1108" s="15" t="str">
        <f>IFERROR(__xludf.DUMMYFUNCTION("""COMPUTED_VALUE"""),"pcs")</f>
        <v>pcs</v>
      </c>
      <c r="I1108" s="15" t="str">
        <f>IFERROR(__xludf.DUMMYFUNCTION("""COMPUTED_VALUE"""),"Deliver")</f>
        <v>Deliver</v>
      </c>
      <c r="J1108" s="15" t="str">
        <f>IFERROR(__xludf.DUMMYFUNCTION("""COMPUTED_VALUE"""),"121703889 - APPROVED")</f>
        <v>121703889 - APPROVED</v>
      </c>
      <c r="K1108" s="15" t="str">
        <f>IFERROR(__xludf.DUMMYFUNCTION("""COMPUTED_VALUE"""),"GL2603451")</f>
        <v>GL2603451</v>
      </c>
      <c r="L1108" s="15" t="str">
        <f>IFERROR(__xludf.DUMMYFUNCTION("""COMPUTED_VALUE"""),"Normal")</f>
        <v>Normal</v>
      </c>
      <c r="M1108" s="18" t="s">
        <v>29</v>
      </c>
      <c r="N1108" s="18" t="s">
        <v>30</v>
      </c>
    </row>
    <row r="1109" hidden="1">
      <c r="A1109" s="15" t="str">
        <f>IFERROR(__xludf.DUMMYFUNCTION("""COMPUTED_VALUE"""),"RIAJA0013")</f>
        <v>RIAJA0013</v>
      </c>
      <c r="B1109" s="16">
        <f>IFERROR(__xludf.DUMMYFUNCTION("""COMPUTED_VALUE"""),46068.6828222338)</f>
        <v>46068.68282</v>
      </c>
      <c r="C1109" s="17">
        <f>IFERROR(__xludf.DUMMYFUNCTION("""COMPUTED_VALUE"""),46072.9809209375)</f>
        <v>46072.98092</v>
      </c>
      <c r="D1109" s="15" t="str">
        <f>IFERROR(__xludf.DUMMYFUNCTION("""COMPUTED_VALUE"""),"Produksi &amp; WWTP")</f>
        <v>Produksi &amp; WWTP</v>
      </c>
      <c r="E1109" s="15" t="str">
        <f>IFERROR(__xludf.DUMMYFUNCTION("""COMPUTED_VALUE"""),"EJO")</f>
        <v>EJO</v>
      </c>
      <c r="F1109" s="15" t="str">
        <f>IFERROR(__xludf.DUMMYFUNCTION("""COMPUTED_VALUE"""),"Preliminaries, APD Safety, dll, Mobilisasi &amp; Demobilisasi, Akomodasi")</f>
        <v>Preliminaries, APD Safety, dll, Mobilisasi &amp; Demobilisasi, Akomodasi</v>
      </c>
      <c r="G1109" s="15">
        <f>IFERROR(__xludf.DUMMYFUNCTION("""COMPUTED_VALUE"""),3.0)</f>
        <v>3</v>
      </c>
      <c r="H1109" s="15" t="str">
        <f>IFERROR(__xludf.DUMMYFUNCTION("""COMPUTED_VALUE"""),"ls")</f>
        <v>ls</v>
      </c>
      <c r="I1109" s="15" t="str">
        <f>IFERROR(__xludf.DUMMYFUNCTION("""COMPUTED_VALUE"""),"Mencari Penawaran")</f>
        <v>Mencari Penawaran</v>
      </c>
      <c r="J1109" s="15" t="str">
        <f>IFERROR(__xludf.DUMMYFUNCTION("""COMPUTED_VALUE"""),"121703988 - CANCELLED")</f>
        <v>121703988 - CANCELLED</v>
      </c>
      <c r="K1109" s="15" t="str">
        <f>IFERROR(__xludf.DUMMYFUNCTION("""COMPUTED_VALUE"""),"-")</f>
        <v>-</v>
      </c>
      <c r="L1109" s="15" t="str">
        <f>IFERROR(__xludf.DUMMYFUNCTION("""COMPUTED_VALUE"""),"Normal")</f>
        <v>Normal</v>
      </c>
      <c r="M1109" s="18" t="s">
        <v>32</v>
      </c>
      <c r="N1109" s="18" t="s">
        <v>28</v>
      </c>
    </row>
    <row r="1110" hidden="1">
      <c r="A1110" s="15" t="str">
        <f>IFERROR(__xludf.DUMMYFUNCTION("""COMPUTED_VALUE"""),"RIAJA0012")</f>
        <v>RIAJA0012</v>
      </c>
      <c r="B1110" s="16">
        <f>IFERROR(__xludf.DUMMYFUNCTION("""COMPUTED_VALUE"""),46068.68217659722)</f>
        <v>46068.68218</v>
      </c>
      <c r="C1110" s="17">
        <f>IFERROR(__xludf.DUMMYFUNCTION("""COMPUTED_VALUE"""),46072.98114244213)</f>
        <v>46072.98114</v>
      </c>
      <c r="D1110" s="15" t="str">
        <f>IFERROR(__xludf.DUMMYFUNCTION("""COMPUTED_VALUE"""),"Condensate WWTP")</f>
        <v>Condensate WWTP</v>
      </c>
      <c r="E1110" s="15" t="str">
        <f>IFERROR(__xludf.DUMMYFUNCTION("""COMPUTED_VALUE"""),"EJO/2026/01/145")</f>
        <v>EJO/2026/01/145</v>
      </c>
      <c r="F1110" s="15" t="str">
        <f>IFERROR(__xludf.DUMMYFUNCTION("""COMPUTED_VALUE"""),"Injeksi Polyurethane")</f>
        <v>Injeksi Polyurethane</v>
      </c>
      <c r="G1110" s="15">
        <f>IFERROR(__xludf.DUMMYFUNCTION("""COMPUTED_VALUE"""),50.0)</f>
        <v>50</v>
      </c>
      <c r="H1110" s="15" t="str">
        <f>IFERROR(__xludf.DUMMYFUNCTION("""COMPUTED_VALUE"""),"titik")</f>
        <v>titik</v>
      </c>
      <c r="I1110" s="15" t="str">
        <f>IFERROR(__xludf.DUMMYFUNCTION("""COMPUTED_VALUE"""),"Mencari Penawaran")</f>
        <v>Mencari Penawaran</v>
      </c>
      <c r="J1110" s="15" t="str">
        <f>IFERROR(__xludf.DUMMYFUNCTION("""COMPUTED_VALUE"""),"121703988 - CANCELLED")</f>
        <v>121703988 - CANCELLED</v>
      </c>
      <c r="K1110" s="15" t="str">
        <f>IFERROR(__xludf.DUMMYFUNCTION("""COMPUTED_VALUE"""),"-")</f>
        <v>-</v>
      </c>
      <c r="L1110" s="15" t="str">
        <f>IFERROR(__xludf.DUMMYFUNCTION("""COMPUTED_VALUE"""),"Normal")</f>
        <v>Normal</v>
      </c>
      <c r="M1110" s="18" t="s">
        <v>32</v>
      </c>
      <c r="N1110" s="18" t="s">
        <v>28</v>
      </c>
    </row>
    <row r="1111" hidden="1">
      <c r="A1111" s="15" t="str">
        <f>IFERROR(__xludf.DUMMYFUNCTION("""COMPUTED_VALUE"""),"RIAJA0011")</f>
        <v>RIAJA0011</v>
      </c>
      <c r="B1111" s="16">
        <f>IFERROR(__xludf.DUMMYFUNCTION("""COMPUTED_VALUE"""),46068.68149923611)</f>
        <v>46068.6815</v>
      </c>
      <c r="C1111" s="17">
        <f>IFERROR(__xludf.DUMMYFUNCTION("""COMPUTED_VALUE"""),46072.981367719905)</f>
        <v>46072.98137</v>
      </c>
      <c r="D1111" s="15" t="str">
        <f>IFERROR(__xludf.DUMMYFUNCTION("""COMPUTED_VALUE"""),"Equalisasi WWTP")</f>
        <v>Equalisasi WWTP</v>
      </c>
      <c r="E1111" s="15" t="str">
        <f>IFERROR(__xludf.DUMMYFUNCTION("""COMPUTED_VALUE"""),"EJO")</f>
        <v>EJO</v>
      </c>
      <c r="F1111" s="15" t="str">
        <f>IFERROR(__xludf.DUMMYFUNCTION("""COMPUTED_VALUE"""),"Kupas aci eksisting")</f>
        <v>Kupas aci eksisting</v>
      </c>
      <c r="G1111" s="15">
        <f>IFERROR(__xludf.DUMMYFUNCTION("""COMPUTED_VALUE"""),95.0)</f>
        <v>95</v>
      </c>
      <c r="H1111" s="15" t="str">
        <f>IFERROR(__xludf.DUMMYFUNCTION("""COMPUTED_VALUE"""),"m3")</f>
        <v>m3</v>
      </c>
      <c r="I1111" s="15" t="str">
        <f>IFERROR(__xludf.DUMMYFUNCTION("""COMPUTED_VALUE"""),"Mencari Penawaran")</f>
        <v>Mencari Penawaran</v>
      </c>
      <c r="J1111" s="15" t="str">
        <f>IFERROR(__xludf.DUMMYFUNCTION("""COMPUTED_VALUE"""),"121703988 - CANCELLED")</f>
        <v>121703988 - CANCELLED</v>
      </c>
      <c r="K1111" s="15" t="str">
        <f>IFERROR(__xludf.DUMMYFUNCTION("""COMPUTED_VALUE"""),"-")</f>
        <v>-</v>
      </c>
      <c r="L1111" s="15" t="str">
        <f>IFERROR(__xludf.DUMMYFUNCTION("""COMPUTED_VALUE"""),"Normal")</f>
        <v>Normal</v>
      </c>
      <c r="M1111" s="18" t="s">
        <v>32</v>
      </c>
      <c r="N1111" s="18" t="s">
        <v>28</v>
      </c>
    </row>
    <row r="1112" hidden="1">
      <c r="A1112" s="15" t="str">
        <f>IFERROR(__xludf.DUMMYFUNCTION("""COMPUTED_VALUE"""),"RIAJA0010")</f>
        <v>RIAJA0010</v>
      </c>
      <c r="B1112" s="16">
        <f>IFERROR(__xludf.DUMMYFUNCTION("""COMPUTED_VALUE"""),46068.68083392361)</f>
        <v>46068.68083</v>
      </c>
      <c r="C1112" s="17">
        <f>IFERROR(__xludf.DUMMYFUNCTION("""COMPUTED_VALUE"""),46072.9816399537)</f>
        <v>46072.98164</v>
      </c>
      <c r="D1112" s="15" t="str">
        <f>IFERROR(__xludf.DUMMYFUNCTION("""COMPUTED_VALUE"""),"Equalisasi WWTP")</f>
        <v>Equalisasi WWTP</v>
      </c>
      <c r="E1112" s="15" t="str">
        <f>IFERROR(__xludf.DUMMYFUNCTION("""COMPUTED_VALUE"""),"EJO")</f>
        <v>EJO</v>
      </c>
      <c r="F1112" s="15" t="str">
        <f>IFERROR(__xludf.DUMMYFUNCTION("""COMPUTED_VALUE"""),"Waterproofing coating Sikagard 7000 CR")</f>
        <v>Waterproofing coating Sikagard 7000 CR</v>
      </c>
      <c r="G1112" s="15">
        <f>IFERROR(__xludf.DUMMYFUNCTION("""COMPUTED_VALUE"""),95.0)</f>
        <v>95</v>
      </c>
      <c r="H1112" s="15" t="str">
        <f>IFERROR(__xludf.DUMMYFUNCTION("""COMPUTED_VALUE"""),"m2")</f>
        <v>m2</v>
      </c>
      <c r="I1112" s="15" t="str">
        <f>IFERROR(__xludf.DUMMYFUNCTION("""COMPUTED_VALUE"""),"Mencari Penawaran")</f>
        <v>Mencari Penawaran</v>
      </c>
      <c r="J1112" s="15" t="str">
        <f>IFERROR(__xludf.DUMMYFUNCTION("""COMPUTED_VALUE"""),"121703988 - CANCELLED")</f>
        <v>121703988 - CANCELLED</v>
      </c>
      <c r="K1112" s="15" t="str">
        <f>IFERROR(__xludf.DUMMYFUNCTION("""COMPUTED_VALUE"""),"-")</f>
        <v>-</v>
      </c>
      <c r="L1112" s="15" t="str">
        <f>IFERROR(__xludf.DUMMYFUNCTION("""COMPUTED_VALUE"""),"Normal")</f>
        <v>Normal</v>
      </c>
      <c r="M1112" s="18" t="s">
        <v>32</v>
      </c>
      <c r="N1112" s="18" t="s">
        <v>28</v>
      </c>
    </row>
    <row r="1113" hidden="1">
      <c r="A1113" s="15" t="str">
        <f>IFERROR(__xludf.DUMMYFUNCTION("""COMPUTED_VALUE"""),"RIAJA0009")</f>
        <v>RIAJA0009</v>
      </c>
      <c r="B1113" s="16">
        <f>IFERROR(__xludf.DUMMYFUNCTION("""COMPUTED_VALUE"""),46068.680233784726)</f>
        <v>46068.68023</v>
      </c>
      <c r="C1113" s="17">
        <f>IFERROR(__xludf.DUMMYFUNCTION("""COMPUTED_VALUE"""),46072.98181056712)</f>
        <v>46072.98181</v>
      </c>
      <c r="D1113" s="15" t="str">
        <f>IFERROR(__xludf.DUMMYFUNCTION("""COMPUTED_VALUE"""),"Sampling Packaging")</f>
        <v>Sampling Packaging</v>
      </c>
      <c r="E1113" s="15" t="str">
        <f>IFERROR(__xludf.DUMMYFUNCTION("""COMPUTED_VALUE"""),"EJO")</f>
        <v>EJO</v>
      </c>
      <c r="F1113" s="15" t="str">
        <f>IFERROR(__xludf.DUMMYFUNCTION("""COMPUTED_VALUE"""),"Recoating Flowcrete FlowSeal UV Satin Coklat 250
micron")</f>
        <v>Recoating Flowcrete FlowSeal UV Satin Coklat 250
micron</v>
      </c>
      <c r="G1113" s="15">
        <f>IFERROR(__xludf.DUMMYFUNCTION("""COMPUTED_VALUE"""),1.0)</f>
        <v>1</v>
      </c>
      <c r="H1113" s="15" t="str">
        <f>IFERROR(__xludf.DUMMYFUNCTION("""COMPUTED_VALUE"""),"ls")</f>
        <v>ls</v>
      </c>
      <c r="I1113" s="15" t="str">
        <f>IFERROR(__xludf.DUMMYFUNCTION("""COMPUTED_VALUE"""),"Mencari Penawaran")</f>
        <v>Mencari Penawaran</v>
      </c>
      <c r="J1113" s="15" t="str">
        <f>IFERROR(__xludf.DUMMYFUNCTION("""COMPUTED_VALUE"""),"121703988 - CANCELLED")</f>
        <v>121703988 - CANCELLED</v>
      </c>
      <c r="K1113" s="15" t="str">
        <f>IFERROR(__xludf.DUMMYFUNCTION("""COMPUTED_VALUE"""),"-")</f>
        <v>-</v>
      </c>
      <c r="L1113" s="15" t="str">
        <f>IFERROR(__xludf.DUMMYFUNCTION("""COMPUTED_VALUE"""),"Normal")</f>
        <v>Normal</v>
      </c>
      <c r="M1113" s="18" t="s">
        <v>32</v>
      </c>
      <c r="N1113" s="18" t="s">
        <v>28</v>
      </c>
    </row>
    <row r="1114" hidden="1">
      <c r="A1114" s="15" t="str">
        <f>IFERROR(__xludf.DUMMYFUNCTION("""COMPUTED_VALUE"""),"RIAJA0008")</f>
        <v>RIAJA0008</v>
      </c>
      <c r="B1114" s="16">
        <f>IFERROR(__xludf.DUMMYFUNCTION("""COMPUTED_VALUE"""),46068.67987681713)</f>
        <v>46068.67988</v>
      </c>
      <c r="C1114" s="17">
        <f>IFERROR(__xludf.DUMMYFUNCTION("""COMPUTED_VALUE"""),46072.98205693287)</f>
        <v>46072.98206</v>
      </c>
      <c r="D1114" s="15" t="str">
        <f>IFERROR(__xludf.DUMMYFUNCTION("""COMPUTED_VALUE"""),"Blister OSD")</f>
        <v>Blister OSD</v>
      </c>
      <c r="E1114" s="15" t="str">
        <f>IFERROR(__xludf.DUMMYFUNCTION("""COMPUTED_VALUE"""),"EJO")</f>
        <v>EJO</v>
      </c>
      <c r="F1114" s="15" t="str">
        <f>IFERROR(__xludf.DUMMYFUNCTION("""COMPUTED_VALUE"""),"Recoating spot-spot Flowcrete FlowSeal UV Satin Ash
Grey 250 micron (plus mortar area coak) (1 m2)")</f>
        <v>Recoating spot-spot Flowcrete FlowSeal UV Satin Ash
Grey 250 micron (plus mortar area coak) (1 m2)</v>
      </c>
      <c r="G1114" s="15">
        <f>IFERROR(__xludf.DUMMYFUNCTION("""COMPUTED_VALUE"""),1.0)</f>
        <v>1</v>
      </c>
      <c r="H1114" s="15" t="str">
        <f>IFERROR(__xludf.DUMMYFUNCTION("""COMPUTED_VALUE"""),"ls")</f>
        <v>ls</v>
      </c>
      <c r="I1114" s="15" t="str">
        <f>IFERROR(__xludf.DUMMYFUNCTION("""COMPUTED_VALUE"""),"Mencari Penawaran")</f>
        <v>Mencari Penawaran</v>
      </c>
      <c r="J1114" s="15" t="str">
        <f>IFERROR(__xludf.DUMMYFUNCTION("""COMPUTED_VALUE"""),"121703988 - CANCELLED")</f>
        <v>121703988 - CANCELLED</v>
      </c>
      <c r="K1114" s="15" t="str">
        <f>IFERROR(__xludf.DUMMYFUNCTION("""COMPUTED_VALUE"""),"-")</f>
        <v>-</v>
      </c>
      <c r="L1114" s="15" t="str">
        <f>IFERROR(__xludf.DUMMYFUNCTION("""COMPUTED_VALUE"""),"Normal")</f>
        <v>Normal</v>
      </c>
      <c r="M1114" s="18" t="s">
        <v>32</v>
      </c>
      <c r="N1114" s="18" t="s">
        <v>28</v>
      </c>
    </row>
    <row r="1115" hidden="1">
      <c r="A1115" s="15" t="str">
        <f>IFERROR(__xludf.DUMMYFUNCTION("""COMPUTED_VALUE"""),"RIAJA0007")</f>
        <v>RIAJA0007</v>
      </c>
      <c r="B1115" s="16">
        <f>IFERROR(__xludf.DUMMYFUNCTION("""COMPUTED_VALUE"""),46068.679214826385)</f>
        <v>46068.67921</v>
      </c>
      <c r="C1115" s="17">
        <f>IFERROR(__xludf.DUMMYFUNCTION("""COMPUTED_VALUE"""),46072.98223894676)</f>
        <v>46072.98224</v>
      </c>
      <c r="D1115" s="15" t="str">
        <f>IFERROR(__xludf.DUMMYFUNCTION("""COMPUTED_VALUE"""),"OSD")</f>
        <v>OSD</v>
      </c>
      <c r="E1115" s="15" t="str">
        <f>IFERROR(__xludf.DUMMYFUNCTION("""COMPUTED_VALUE"""),"EJO/2025/04/105")</f>
        <v>EJO/2025/04/105</v>
      </c>
      <c r="F1115" s="15" t="str">
        <f>IFERROR(__xludf.DUMMYFUNCTION("""COMPUTED_VALUE"""),"Coating curving R5 (2 m)")</f>
        <v>Coating curving R5 (2 m)</v>
      </c>
      <c r="G1115" s="15">
        <f>IFERROR(__xludf.DUMMYFUNCTION("""COMPUTED_VALUE"""),1.0)</f>
        <v>1</v>
      </c>
      <c r="H1115" s="15" t="str">
        <f>IFERROR(__xludf.DUMMYFUNCTION("""COMPUTED_VALUE"""),"ls")</f>
        <v>ls</v>
      </c>
      <c r="I1115" s="15" t="str">
        <f>IFERROR(__xludf.DUMMYFUNCTION("""COMPUTED_VALUE"""),"Mencari Penawaran")</f>
        <v>Mencari Penawaran</v>
      </c>
      <c r="J1115" s="15" t="str">
        <f>IFERROR(__xludf.DUMMYFUNCTION("""COMPUTED_VALUE"""),"121703988 - CANCELLED")</f>
        <v>121703988 - CANCELLED</v>
      </c>
      <c r="K1115" s="15" t="str">
        <f>IFERROR(__xludf.DUMMYFUNCTION("""COMPUTED_VALUE"""),"-")</f>
        <v>-</v>
      </c>
      <c r="L1115" s="15" t="str">
        <f>IFERROR(__xludf.DUMMYFUNCTION("""COMPUTED_VALUE"""),"Normal")</f>
        <v>Normal</v>
      </c>
      <c r="M1115" s="18" t="s">
        <v>32</v>
      </c>
      <c r="N1115" s="18" t="s">
        <v>28</v>
      </c>
    </row>
    <row r="1116" hidden="1">
      <c r="A1116" s="15" t="str">
        <f>IFERROR(__xludf.DUMMYFUNCTION("""COMPUTED_VALUE"""),"RIAJA0006")</f>
        <v>RIAJA0006</v>
      </c>
      <c r="B1116" s="16">
        <f>IFERROR(__xludf.DUMMYFUNCTION("""COMPUTED_VALUE"""),46068.67842951389)</f>
        <v>46068.67843</v>
      </c>
      <c r="C1116" s="17">
        <f>IFERROR(__xludf.DUMMYFUNCTION("""COMPUTED_VALUE"""),46072.982416562496)</f>
        <v>46072.98242</v>
      </c>
      <c r="D1116" s="15" t="str">
        <f>IFERROR(__xludf.DUMMYFUNCTION("""COMPUTED_VALUE"""),"OSD")</f>
        <v>OSD</v>
      </c>
      <c r="E1116" s="15" t="str">
        <f>IFERROR(__xludf.DUMMYFUNCTION("""COMPUTED_VALUE"""),"EJO/2025/04/105")</f>
        <v>EJO/2025/04/105</v>
      </c>
      <c r="F1116" s="15" t="str">
        <f>IFERROR(__xludf.DUMMYFUNCTION("""COMPUTED_VALUE"""),"Recoating Flowcrete FlowSeal UV Satin Ash Grey
250 micron (4.2 m2)")</f>
        <v>Recoating Flowcrete FlowSeal UV Satin Ash Grey
250 micron (4.2 m2)</v>
      </c>
      <c r="G1116" s="15">
        <f>IFERROR(__xludf.DUMMYFUNCTION("""COMPUTED_VALUE"""),1.0)</f>
        <v>1</v>
      </c>
      <c r="H1116" s="15" t="str">
        <f>IFERROR(__xludf.DUMMYFUNCTION("""COMPUTED_VALUE"""),"ls")</f>
        <v>ls</v>
      </c>
      <c r="I1116" s="15" t="str">
        <f>IFERROR(__xludf.DUMMYFUNCTION("""COMPUTED_VALUE"""),"Mencari Penawaran")</f>
        <v>Mencari Penawaran</v>
      </c>
      <c r="J1116" s="15" t="str">
        <f>IFERROR(__xludf.DUMMYFUNCTION("""COMPUTED_VALUE"""),"121703988 - CANCELLED")</f>
        <v>121703988 - CANCELLED</v>
      </c>
      <c r="K1116" s="15" t="str">
        <f>IFERROR(__xludf.DUMMYFUNCTION("""COMPUTED_VALUE"""),"-")</f>
        <v>-</v>
      </c>
      <c r="L1116" s="15" t="str">
        <f>IFERROR(__xludf.DUMMYFUNCTION("""COMPUTED_VALUE"""),"Normal")</f>
        <v>Normal</v>
      </c>
      <c r="M1116" s="18" t="s">
        <v>32</v>
      </c>
      <c r="N1116" s="18" t="s">
        <v>28</v>
      </c>
    </row>
    <row r="1117" hidden="1">
      <c r="A1117" s="15" t="str">
        <f>IFERROR(__xludf.DUMMYFUNCTION("""COMPUTED_VALUE"""),"RIABR0146")</f>
        <v>RIABR0146</v>
      </c>
      <c r="B1117" s="16">
        <f>IFERROR(__xludf.DUMMYFUNCTION("""COMPUTED_VALUE"""),46068.685726678246)</f>
        <v>46068.68573</v>
      </c>
      <c r="C1117" s="17">
        <f>IFERROR(__xludf.DUMMYFUNCTION("""COMPUTED_VALUE"""),46072.982614953704)</f>
        <v>46072.98261</v>
      </c>
      <c r="D1117" s="15" t="str">
        <f>IFERROR(__xludf.DUMMYFUNCTION("""COMPUTED_VALUE"""),"WWTP")</f>
        <v>WWTP</v>
      </c>
      <c r="E1117" s="15" t="str">
        <f>IFERROR(__xludf.DUMMYFUNCTION("""COMPUTED_VALUE"""),"EJO/2025/08/56")</f>
        <v>EJO/2025/08/56</v>
      </c>
      <c r="F1117" s="15" t="str">
        <f>IFERROR(__xludf.DUMMYFUNCTION("""COMPUTED_VALUE"""),"Selector Switch 3 Posisi YW1S-3E20")</f>
        <v>Selector Switch 3 Posisi YW1S-3E20</v>
      </c>
      <c r="G1117" s="15">
        <f>IFERROR(__xludf.DUMMYFUNCTION("""COMPUTED_VALUE"""),3.0)</f>
        <v>3</v>
      </c>
      <c r="H1117" s="15" t="str">
        <f>IFERROR(__xludf.DUMMYFUNCTION("""COMPUTED_VALUE"""),"Pcs")</f>
        <v>Pcs</v>
      </c>
      <c r="I1117" s="15" t="str">
        <f>IFERROR(__xludf.DUMMYFUNCTION("""COMPUTED_VALUE"""),"Deliver")</f>
        <v>Deliver</v>
      </c>
      <c r="J1117" s="15" t="str">
        <f>IFERROR(__xludf.DUMMYFUNCTION("""COMPUTED_VALUE"""),"121704110 - APPROVED")</f>
        <v>121704110 - APPROVED</v>
      </c>
      <c r="K1117" s="15" t="str">
        <f>IFERROR(__xludf.DUMMYFUNCTION("""COMPUTED_VALUE"""),"GL2604318")</f>
        <v>GL2604318</v>
      </c>
      <c r="L1117" s="15" t="str">
        <f>IFERROR(__xludf.DUMMYFUNCTION("""COMPUTED_VALUE"""),"Normal")</f>
        <v>Normal</v>
      </c>
      <c r="M1117" s="18" t="s">
        <v>32</v>
      </c>
      <c r="N1117" s="18" t="s">
        <v>28</v>
      </c>
    </row>
    <row r="1118" hidden="1">
      <c r="A1118" s="15" t="str">
        <f>IFERROR(__xludf.DUMMYFUNCTION("""COMPUTED_VALUE"""),"RIARO0068")</f>
        <v>RIARO0068</v>
      </c>
      <c r="B1118" s="16">
        <f>IFERROR(__xludf.DUMMYFUNCTION("""COMPUTED_VALUE"""),46068.6837164699)</f>
        <v>46068.68372</v>
      </c>
      <c r="C1118" s="17">
        <f>IFERROR(__xludf.DUMMYFUNCTION("""COMPUTED_VALUE"""),46072.98289664352)</f>
        <v>46072.9829</v>
      </c>
      <c r="D1118" s="15" t="str">
        <f>IFERROR(__xludf.DUMMYFUNCTION("""COMPUTED_VALUE"""),"All Area")</f>
        <v>All Area</v>
      </c>
      <c r="E1118" s="15" t="str">
        <f>IFERROR(__xludf.DUMMYFUNCTION("""COMPUTED_VALUE"""),"-")</f>
        <v>-</v>
      </c>
      <c r="F1118" s="15" t="str">
        <f>IFERROR(__xludf.DUMMYFUNCTION("""COMPUTED_VALUE"""),"OMRON - Relay MY4N 220/240VAC")</f>
        <v>OMRON - Relay MY4N 220/240VAC</v>
      </c>
      <c r="G1118" s="15">
        <f>IFERROR(__xludf.DUMMYFUNCTION("""COMPUTED_VALUE"""),20.0)</f>
        <v>20</v>
      </c>
      <c r="H1118" s="15" t="str">
        <f>IFERROR(__xludf.DUMMYFUNCTION("""COMPUTED_VALUE"""),"Pcs")</f>
        <v>Pcs</v>
      </c>
      <c r="I1118" s="15" t="str">
        <f>IFERROR(__xludf.DUMMYFUNCTION("""COMPUTED_VALUE"""),"Deliver")</f>
        <v>Deliver</v>
      </c>
      <c r="J1118" s="15" t="str">
        <f>IFERROR(__xludf.DUMMYFUNCTION("""COMPUTED_VALUE"""),"121703887 - APPROVED")</f>
        <v>121703887 - APPROVED</v>
      </c>
      <c r="K1118" s="15" t="str">
        <f>IFERROR(__xludf.DUMMYFUNCTION("""COMPUTED_VALUE"""),"GL2603454")</f>
        <v>GL2603454</v>
      </c>
      <c r="L1118" s="15" t="str">
        <f>IFERROR(__xludf.DUMMYFUNCTION("""COMPUTED_VALUE"""),"Normal")</f>
        <v>Normal</v>
      </c>
      <c r="M1118" s="18" t="s">
        <v>32</v>
      </c>
      <c r="N1118" s="18" t="s">
        <v>28</v>
      </c>
    </row>
    <row r="1119" hidden="1">
      <c r="A1119" s="15" t="str">
        <f>IFERROR(__xludf.DUMMYFUNCTION("""COMPUTED_VALUE"""),"SFHBR0045")</f>
        <v>SFHBR0045</v>
      </c>
      <c r="B1119" s="16">
        <f>IFERROR(__xludf.DUMMYFUNCTION("""COMPUTED_VALUE"""),46066.44875253472)</f>
        <v>46066.44875</v>
      </c>
      <c r="C1119" s="17">
        <f>IFERROR(__xludf.DUMMYFUNCTION("""COMPUTED_VALUE"""),46072.98365234953)</f>
        <v>46072.98365</v>
      </c>
      <c r="D1119" s="15" t="str">
        <f>IFERROR(__xludf.DUMMYFUNCTION("""COMPUTED_VALUE"""),"lantai 2")</f>
        <v>lantai 2</v>
      </c>
      <c r="E1119" s="15" t="str">
        <f>IFERROR(__xludf.DUMMYFUNCTION("""COMPUTED_VALUE"""),"-")</f>
        <v>-</v>
      </c>
      <c r="F1119" s="15" t="str">
        <f>IFERROR(__xludf.DUMMYFUNCTION("""COMPUTED_VALUE"""),"slot pintu kaca toilet")</f>
        <v>slot pintu kaca toilet</v>
      </c>
      <c r="G1119" s="15">
        <f>IFERROR(__xludf.DUMMYFUNCTION("""COMPUTED_VALUE"""),5.0)</f>
        <v>5</v>
      </c>
      <c r="H1119" s="15" t="str">
        <f>IFERROR(__xludf.DUMMYFUNCTION("""COMPUTED_VALUE"""),"pcs")</f>
        <v>pcs</v>
      </c>
      <c r="I1119" s="15" t="str">
        <f>IFERROR(__xludf.DUMMYFUNCTION("""COMPUTED_VALUE"""),"Approval Item Code")</f>
        <v>Approval Item Code</v>
      </c>
      <c r="J1119" s="15" t="str">
        <f>IFERROR(__xludf.DUMMYFUNCTION("""COMPUTED_VALUE"""),"-")</f>
        <v>-</v>
      </c>
      <c r="K1119" s="15" t="str">
        <f>IFERROR(__xludf.DUMMYFUNCTION("""COMPUTED_VALUE"""),"-")</f>
        <v>-</v>
      </c>
      <c r="L1119" s="15" t="str">
        <f>IFERROR(__xludf.DUMMYFUNCTION("""COMPUTED_VALUE"""),"Normal")</f>
        <v>Normal</v>
      </c>
      <c r="M1119" s="18" t="s">
        <v>27</v>
      </c>
      <c r="N1119" s="18" t="s">
        <v>28</v>
      </c>
    </row>
    <row r="1120" hidden="1">
      <c r="A1120" s="15" t="str">
        <f>IFERROR(__xludf.DUMMYFUNCTION("""COMPUTED_VALUE"""),"SFHBR0044")</f>
        <v>SFHBR0044</v>
      </c>
      <c r="B1120" s="16">
        <f>IFERROR(__xludf.DUMMYFUNCTION("""COMPUTED_VALUE"""),46066.361161863424)</f>
        <v>46066.36116</v>
      </c>
      <c r="C1120" s="17">
        <f>IFERROR(__xludf.DUMMYFUNCTION("""COMPUTED_VALUE"""),46072.98538219907)</f>
        <v>46072.98538</v>
      </c>
      <c r="D1120" s="15" t="str">
        <f>IFERROR(__xludf.DUMMYFUNCTION("""COMPUTED_VALUE"""),"lantai 2")</f>
        <v>lantai 2</v>
      </c>
      <c r="E1120" s="15" t="str">
        <f>IFERROR(__xludf.DUMMYFUNCTION("""COMPUTED_VALUE"""),"-")</f>
        <v>-</v>
      </c>
      <c r="F1120" s="15" t="str">
        <f>IFERROR(__xludf.DUMMYFUNCTION("""COMPUTED_VALUE"""),"kasa flafon")</f>
        <v>kasa flafon</v>
      </c>
      <c r="G1120" s="15">
        <f>IFERROR(__xludf.DUMMYFUNCTION("""COMPUTED_VALUE"""),5.0)</f>
        <v>5</v>
      </c>
      <c r="H1120" s="15" t="str">
        <f>IFERROR(__xludf.DUMMYFUNCTION("""COMPUTED_VALUE"""),"Roll")</f>
        <v>Roll</v>
      </c>
      <c r="I1120" s="15" t="str">
        <f>IFERROR(__xludf.DUMMYFUNCTION("""COMPUTED_VALUE"""),"PR Open")</f>
        <v>PR Open</v>
      </c>
      <c r="J1120" s="15" t="str">
        <f>IFERROR(__xludf.DUMMYFUNCTION("""COMPUTED_VALUE"""),"121704550 - APPROVED")</f>
        <v>121704550 - APPROVED</v>
      </c>
      <c r="K1120" s="15" t="str">
        <f>IFERROR(__xludf.DUMMYFUNCTION("""COMPUTED_VALUE"""),"GL2609434")</f>
        <v>GL2609434</v>
      </c>
      <c r="L1120" s="15" t="str">
        <f>IFERROR(__xludf.DUMMYFUNCTION("""COMPUTED_VALUE"""),"Normal")</f>
        <v>Normal</v>
      </c>
      <c r="M1120" s="18" t="s">
        <v>27</v>
      </c>
      <c r="N1120" s="18" t="s">
        <v>28</v>
      </c>
    </row>
    <row r="1121" hidden="1">
      <c r="A1121" s="15" t="str">
        <f>IFERROR(__xludf.DUMMYFUNCTION("""COMPUTED_VALUE"""),"SFHRO0038")</f>
        <v>SFHRO0038</v>
      </c>
      <c r="B1121" s="16">
        <f>IFERROR(__xludf.DUMMYFUNCTION("""COMPUTED_VALUE"""),46065.402645856484)</f>
        <v>46065.40265</v>
      </c>
      <c r="C1121" s="17">
        <f>IFERROR(__xludf.DUMMYFUNCTION("""COMPUTED_VALUE"""),46072.98568583334)</f>
        <v>46072.98569</v>
      </c>
      <c r="D1121" s="15" t="str">
        <f>IFERROR(__xludf.DUMMYFUNCTION("""COMPUTED_VALUE"""),"lantai 2")</f>
        <v>lantai 2</v>
      </c>
      <c r="E1121" s="15" t="str">
        <f>IFERROR(__xludf.DUMMYFUNCTION("""COMPUTED_VALUE"""),"-")</f>
        <v>-</v>
      </c>
      <c r="F1121" s="15" t="str">
        <f>IFERROR(__xludf.DUMMYFUNCTION("""COMPUTED_VALUE"""),"Kuas uk. 2.5 inch; No Brand; ; pack size per pc")</f>
        <v>Kuas uk. 2.5 inch; No Brand; ; pack size per pc</v>
      </c>
      <c r="G1121" s="15">
        <f>IFERROR(__xludf.DUMMYFUNCTION("""COMPUTED_VALUE"""),5.0)</f>
        <v>5</v>
      </c>
      <c r="H1121" s="15" t="str">
        <f>IFERROR(__xludf.DUMMYFUNCTION("""COMPUTED_VALUE"""),"pcs")</f>
        <v>pcs</v>
      </c>
      <c r="I1121" s="15" t="str">
        <f>IFERROR(__xludf.DUMMYFUNCTION("""COMPUTED_VALUE"""),"Deliver")</f>
        <v>Deliver</v>
      </c>
      <c r="J1121" s="15" t="str">
        <f>IFERROR(__xludf.DUMMYFUNCTION("""COMPUTED_VALUE"""),"121703886 - APPROVED")</f>
        <v>121703886 - APPROVED</v>
      </c>
      <c r="K1121" s="15" t="str">
        <f>IFERROR(__xludf.DUMMYFUNCTION("""COMPUTED_VALUE"""),"GL2604011")</f>
        <v>GL2604011</v>
      </c>
      <c r="L1121" s="15" t="str">
        <f>IFERROR(__xludf.DUMMYFUNCTION("""COMPUTED_VALUE"""),"Normal")</f>
        <v>Normal</v>
      </c>
      <c r="M1121" s="18" t="s">
        <v>27</v>
      </c>
      <c r="N1121" s="18" t="s">
        <v>28</v>
      </c>
    </row>
    <row r="1122" hidden="1">
      <c r="A1122" s="15" t="str">
        <f>IFERROR(__xludf.DUMMYFUNCTION("""COMPUTED_VALUE"""),"SFHRO0037")</f>
        <v>SFHRO0037</v>
      </c>
      <c r="B1122" s="16">
        <f>IFERROR(__xludf.DUMMYFUNCTION("""COMPUTED_VALUE"""),46065.393395879626)</f>
        <v>46065.3934</v>
      </c>
      <c r="C1122" s="17">
        <f>IFERROR(__xludf.DUMMYFUNCTION("""COMPUTED_VALUE"""),46072.9858684838)</f>
        <v>46072.98587</v>
      </c>
      <c r="D1122" s="15" t="str">
        <f>IFERROR(__xludf.DUMMYFUNCTION("""COMPUTED_VALUE"""),"Lantai 2")</f>
        <v>Lantai 2</v>
      </c>
      <c r="E1122" s="15" t="str">
        <f>IFERROR(__xludf.DUMMYFUNCTION("""COMPUTED_VALUE"""),"-")</f>
        <v>-</v>
      </c>
      <c r="F1122" s="15" t="str">
        <f>IFERROR(__xludf.DUMMYFUNCTION("""COMPUTED_VALUE"""),"Kuas Cat Uk. 5 inch;No Brand;;pack size per pcs")</f>
        <v>Kuas Cat Uk. 5 inch;No Brand;;pack size per pcs</v>
      </c>
      <c r="G1122" s="15">
        <f>IFERROR(__xludf.DUMMYFUNCTION("""COMPUTED_VALUE"""),5.0)</f>
        <v>5</v>
      </c>
      <c r="H1122" s="15" t="str">
        <f>IFERROR(__xludf.DUMMYFUNCTION("""COMPUTED_VALUE"""),"pcs")</f>
        <v>pcs</v>
      </c>
      <c r="I1122" s="15" t="str">
        <f>IFERROR(__xludf.DUMMYFUNCTION("""COMPUTED_VALUE"""),"Deliver")</f>
        <v>Deliver</v>
      </c>
      <c r="J1122" s="15" t="str">
        <f>IFERROR(__xludf.DUMMYFUNCTION("""COMPUTED_VALUE"""),"121703892 - APPROVED")</f>
        <v>121703892 - APPROVED</v>
      </c>
      <c r="K1122" s="15" t="str">
        <f>IFERROR(__xludf.DUMMYFUNCTION("""COMPUTED_VALUE"""),"GL2604040")</f>
        <v>GL2604040</v>
      </c>
      <c r="L1122" s="15" t="str">
        <f>IFERROR(__xludf.DUMMYFUNCTION("""COMPUTED_VALUE"""),"Normal")</f>
        <v>Normal</v>
      </c>
      <c r="M1122" s="18" t="s">
        <v>27</v>
      </c>
      <c r="N1122" s="18" t="s">
        <v>28</v>
      </c>
    </row>
    <row r="1123" hidden="1">
      <c r="A1123" s="15" t="str">
        <f>IFERROR(__xludf.DUMMYFUNCTION("""COMPUTED_VALUE"""),"SFHRO0036")</f>
        <v>SFHRO0036</v>
      </c>
      <c r="B1123" s="16">
        <f>IFERROR(__xludf.DUMMYFUNCTION("""COMPUTED_VALUE"""),46065.38918606482)</f>
        <v>46065.38919</v>
      </c>
      <c r="C1123" s="17">
        <f>IFERROR(__xludf.DUMMYFUNCTION("""COMPUTED_VALUE"""),46072.98609488426)</f>
        <v>46072.98609</v>
      </c>
      <c r="D1123" s="15" t="str">
        <f>IFERROR(__xludf.DUMMYFUNCTION("""COMPUTED_VALUE"""),"lantai 2")</f>
        <v>lantai 2</v>
      </c>
      <c r="E1123" s="15" t="str">
        <f>IFERROR(__xludf.DUMMYFUNCTION("""COMPUTED_VALUE"""),"-")</f>
        <v>-</v>
      </c>
      <c r="F1123" s="15" t="str">
        <f>IFERROR(__xludf.DUMMYFUNCTION("""COMPUTED_VALUE"""),"Cat Ftalit 444 Banana Yellow; ; ; 1 Kg per Can")</f>
        <v>Cat Ftalit 444 Banana Yellow; ; ; 1 Kg per Can</v>
      </c>
      <c r="G1123" s="15">
        <f>IFERROR(__xludf.DUMMYFUNCTION("""COMPUTED_VALUE"""),3.0)</f>
        <v>3</v>
      </c>
      <c r="H1123" s="15" t="str">
        <f>IFERROR(__xludf.DUMMYFUNCTION("""COMPUTED_VALUE"""),"kg")</f>
        <v>kg</v>
      </c>
      <c r="I1123" s="15" t="str">
        <f>IFERROR(__xludf.DUMMYFUNCTION("""COMPUTED_VALUE"""),"Deliver")</f>
        <v>Deliver</v>
      </c>
      <c r="J1123" s="15" t="str">
        <f>IFERROR(__xludf.DUMMYFUNCTION("""COMPUTED_VALUE"""),"121703893 - APPROVED")</f>
        <v>121703893 - APPROVED</v>
      </c>
      <c r="K1123" s="15" t="str">
        <f>IFERROR(__xludf.DUMMYFUNCTION("""COMPUTED_VALUE"""),"GL2604011")</f>
        <v>GL2604011</v>
      </c>
      <c r="L1123" s="15" t="str">
        <f>IFERROR(__xludf.DUMMYFUNCTION("""COMPUTED_VALUE"""),"Normal")</f>
        <v>Normal</v>
      </c>
      <c r="M1123" s="18" t="s">
        <v>27</v>
      </c>
      <c r="N1123" s="18" t="s">
        <v>28</v>
      </c>
    </row>
    <row r="1124" hidden="1">
      <c r="A1124" s="15" t="str">
        <f>IFERROR(__xludf.DUMMYFUNCTION("""COMPUTED_VALUE"""),"SFHRO0035")</f>
        <v>SFHRO0035</v>
      </c>
      <c r="B1124" s="16">
        <f>IFERROR(__xludf.DUMMYFUNCTION("""COMPUTED_VALUE"""),46065.38636293981)</f>
        <v>46065.38636</v>
      </c>
      <c r="C1124" s="17">
        <f>IFERROR(__xludf.DUMMYFUNCTION("""COMPUTED_VALUE"""),46072.98625855324)</f>
        <v>46072.98626</v>
      </c>
      <c r="D1124" s="15" t="str">
        <f>IFERROR(__xludf.DUMMYFUNCTION("""COMPUTED_VALUE"""),"lantai 2")</f>
        <v>lantai 2</v>
      </c>
      <c r="E1124" s="15" t="str">
        <f>IFERROR(__xludf.DUMMYFUNCTION("""COMPUTED_VALUE"""),"-")</f>
        <v>-</v>
      </c>
      <c r="F1124" s="15" t="str">
        <f>IFERROR(__xludf.DUMMYFUNCTION("""COMPUTED_VALUE"""),"Limit Switch;; Omron; Part No. D4MC-1000; 1 pc/pack")</f>
        <v>Limit Switch;; Omron; Part No. D4MC-1000; 1 pc/pack</v>
      </c>
      <c r="G1124" s="15">
        <f>IFERROR(__xludf.DUMMYFUNCTION("""COMPUTED_VALUE"""),3.0)</f>
        <v>3</v>
      </c>
      <c r="H1124" s="15" t="str">
        <f>IFERROR(__xludf.DUMMYFUNCTION("""COMPUTED_VALUE"""),"pcs")</f>
        <v>pcs</v>
      </c>
      <c r="I1124" s="15" t="str">
        <f>IFERROR(__xludf.DUMMYFUNCTION("""COMPUTED_VALUE"""),"Deliver")</f>
        <v>Deliver</v>
      </c>
      <c r="J1124" s="15" t="str">
        <f>IFERROR(__xludf.DUMMYFUNCTION("""COMPUTED_VALUE"""),"121703884 - APPROVED")</f>
        <v>121703884 - APPROVED</v>
      </c>
      <c r="K1124" s="15" t="str">
        <f>IFERROR(__xludf.DUMMYFUNCTION("""COMPUTED_VALUE"""),"GL2603042")</f>
        <v>GL2603042</v>
      </c>
      <c r="L1124" s="15" t="str">
        <f>IFERROR(__xludf.DUMMYFUNCTION("""COMPUTED_VALUE"""),"Normal")</f>
        <v>Normal</v>
      </c>
      <c r="M1124" s="18" t="s">
        <v>27</v>
      </c>
      <c r="N1124" s="18" t="s">
        <v>28</v>
      </c>
    </row>
    <row r="1125" hidden="1">
      <c r="A1125" s="15" t="str">
        <f>IFERROR(__xludf.DUMMYFUNCTION("""COMPUTED_VALUE"""),"SFHRO0034")</f>
        <v>SFHRO0034</v>
      </c>
      <c r="B1125" s="16">
        <f>IFERROR(__xludf.DUMMYFUNCTION("""COMPUTED_VALUE"""),46065.385553078704)</f>
        <v>46065.38555</v>
      </c>
      <c r="C1125" s="17">
        <f>IFERROR(__xludf.DUMMYFUNCTION("""COMPUTED_VALUE"""),46072.98640559028)</f>
        <v>46072.98641</v>
      </c>
      <c r="D1125" s="15" t="str">
        <f>IFERROR(__xludf.DUMMYFUNCTION("""COMPUTED_VALUE"""),"lantai 2")</f>
        <v>lantai 2</v>
      </c>
      <c r="E1125" s="15" t="str">
        <f>IFERROR(__xludf.DUMMYFUNCTION("""COMPUTED_VALUE"""),"-")</f>
        <v>-</v>
      </c>
      <c r="F1125" s="15" t="str">
        <f>IFERROR(__xludf.DUMMYFUNCTION("""COMPUTED_VALUE"""),"General - Lem Aibon; No Brand; -; 300 gram/can")</f>
        <v>General - Lem Aibon; No Brand; -; 300 gram/can</v>
      </c>
      <c r="G1125" s="15">
        <f>IFERROR(__xludf.DUMMYFUNCTION("""COMPUTED_VALUE"""),3.0)</f>
        <v>3</v>
      </c>
      <c r="H1125" s="15" t="str">
        <f>IFERROR(__xludf.DUMMYFUNCTION("""COMPUTED_VALUE"""),"kaleng")</f>
        <v>kaleng</v>
      </c>
      <c r="I1125" s="15" t="str">
        <f>IFERROR(__xludf.DUMMYFUNCTION("""COMPUTED_VALUE"""),"Deliver")</f>
        <v>Deliver</v>
      </c>
      <c r="J1125" s="15" t="str">
        <f>IFERROR(__xludf.DUMMYFUNCTION("""COMPUTED_VALUE"""),"121703884 - APPROVED")</f>
        <v>121703884 - APPROVED</v>
      </c>
      <c r="K1125" s="15" t="str">
        <f>IFERROR(__xludf.DUMMYFUNCTION("""COMPUTED_VALUE"""),"GL2603449")</f>
        <v>GL2603449</v>
      </c>
      <c r="L1125" s="15" t="str">
        <f>IFERROR(__xludf.DUMMYFUNCTION("""COMPUTED_VALUE"""),"Normal")</f>
        <v>Normal</v>
      </c>
      <c r="M1125" s="18" t="s">
        <v>27</v>
      </c>
      <c r="N1125" s="18" t="s">
        <v>28</v>
      </c>
    </row>
    <row r="1126" hidden="1">
      <c r="A1126" s="15" t="str">
        <f>IFERROR(__xludf.DUMMYFUNCTION("""COMPUTED_VALUE"""),"RIABR0145")</f>
        <v>RIABR0145</v>
      </c>
      <c r="B1126" s="16">
        <f>IFERROR(__xludf.DUMMYFUNCTION("""COMPUTED_VALUE"""),46062.97194194444)</f>
        <v>46062.97194</v>
      </c>
      <c r="C1126" s="17">
        <f>IFERROR(__xludf.DUMMYFUNCTION("""COMPUTED_VALUE"""),46072.98701711805)</f>
        <v>46072.98702</v>
      </c>
      <c r="D1126" s="15" t="str">
        <f>IFERROR(__xludf.DUMMYFUNCTION("""COMPUTED_VALUE"""),"Hot Water")</f>
        <v>Hot Water</v>
      </c>
      <c r="E1126" s="15" t="str">
        <f>IFERROR(__xludf.DUMMYFUNCTION("""COMPUTED_VALUE"""),"EJO/2026/01/92")</f>
        <v>EJO/2026/01/92</v>
      </c>
      <c r="F1126" s="15" t="str">
        <f>IFERROR(__xludf.DUMMYFUNCTION("""COMPUTED_VALUE"""),"Insulasi")</f>
        <v>Insulasi</v>
      </c>
      <c r="G1126" s="15">
        <f>IFERROR(__xludf.DUMMYFUNCTION("""COMPUTED_VALUE"""),1.0)</f>
        <v>1</v>
      </c>
      <c r="H1126" s="15" t="str">
        <f>IFERROR(__xludf.DUMMYFUNCTION("""COMPUTED_VALUE"""),"Mtr")</f>
        <v>Mtr</v>
      </c>
      <c r="I1126" s="15" t="str">
        <f>IFERROR(__xludf.DUMMYFUNCTION("""COMPUTED_VALUE"""),"PO Open")</f>
        <v>PO Open</v>
      </c>
      <c r="J1126" s="15" t="str">
        <f>IFERROR(__xludf.DUMMYFUNCTION("""COMPUTED_VALUE"""),"121704158 - APPROVED")</f>
        <v>121704158 - APPROVED</v>
      </c>
      <c r="K1126" s="15" t="str">
        <f>IFERROR(__xludf.DUMMYFUNCTION("""COMPUTED_VALUE"""),"GL2606349")</f>
        <v>GL2606349</v>
      </c>
      <c r="L1126" s="15" t="str">
        <f>IFERROR(__xludf.DUMMYFUNCTION("""COMPUTED_VALUE"""),"Normal")</f>
        <v>Normal</v>
      </c>
      <c r="M1126" s="18" t="s">
        <v>32</v>
      </c>
      <c r="N1126" s="18" t="s">
        <v>28</v>
      </c>
    </row>
    <row r="1127" hidden="1">
      <c r="A1127" s="15" t="str">
        <f>IFERROR(__xludf.DUMMYFUNCTION("""COMPUTED_VALUE"""),"RIABR0144")</f>
        <v>RIABR0144</v>
      </c>
      <c r="B1127" s="16">
        <f>IFERROR(__xludf.DUMMYFUNCTION("""COMPUTED_VALUE"""),46062.97194194444)</f>
        <v>46062.97194</v>
      </c>
      <c r="C1127" s="17">
        <f>IFERROR(__xludf.DUMMYFUNCTION("""COMPUTED_VALUE"""),46072.9871616088)</f>
        <v>46072.98716</v>
      </c>
      <c r="D1127" s="15" t="str">
        <f>IFERROR(__xludf.DUMMYFUNCTION("""COMPUTED_VALUE"""),"Hot Water")</f>
        <v>Hot Water</v>
      </c>
      <c r="E1127" s="15" t="str">
        <f>IFERROR(__xludf.DUMMYFUNCTION("""COMPUTED_VALUE"""),"EJO/2026/01/92")</f>
        <v>EJO/2026/01/92</v>
      </c>
      <c r="F1127" s="15" t="str">
        <f>IFERROR(__xludf.DUMMYFUNCTION("""COMPUTED_VALUE"""),"Insulasi")</f>
        <v>Insulasi</v>
      </c>
      <c r="G1127" s="15">
        <f>IFERROR(__xludf.DUMMYFUNCTION("""COMPUTED_VALUE"""),1.0)</f>
        <v>1</v>
      </c>
      <c r="H1127" s="15" t="str">
        <f>IFERROR(__xludf.DUMMYFUNCTION("""COMPUTED_VALUE"""),"Btg")</f>
        <v>Btg</v>
      </c>
      <c r="I1127" s="15" t="str">
        <f>IFERROR(__xludf.DUMMYFUNCTION("""COMPUTED_VALUE"""),"PO Open")</f>
        <v>PO Open</v>
      </c>
      <c r="J1127" s="15" t="str">
        <f>IFERROR(__xludf.DUMMYFUNCTION("""COMPUTED_VALUE"""),"121704158 - APPROVED")</f>
        <v>121704158 - APPROVED</v>
      </c>
      <c r="K1127" s="15" t="str">
        <f>IFERROR(__xludf.DUMMYFUNCTION("""COMPUTED_VALUE"""),"GL2606349")</f>
        <v>GL2606349</v>
      </c>
      <c r="L1127" s="15" t="str">
        <f>IFERROR(__xludf.DUMMYFUNCTION("""COMPUTED_VALUE"""),"Normal")</f>
        <v>Normal</v>
      </c>
      <c r="M1127" s="18" t="s">
        <v>32</v>
      </c>
      <c r="N1127" s="18" t="s">
        <v>28</v>
      </c>
    </row>
    <row r="1128" hidden="1">
      <c r="A1128" s="15" t="str">
        <f>IFERROR(__xludf.DUMMYFUNCTION("""COMPUTED_VALUE"""),"RIABR0143")</f>
        <v>RIABR0143</v>
      </c>
      <c r="B1128" s="16">
        <f>IFERROR(__xludf.DUMMYFUNCTION("""COMPUTED_VALUE"""),46062.97194194444)</f>
        <v>46062.97194</v>
      </c>
      <c r="C1128" s="17">
        <f>IFERROR(__xludf.DUMMYFUNCTION("""COMPUTED_VALUE"""),46072.98739634259)</f>
        <v>46072.9874</v>
      </c>
      <c r="D1128" s="15" t="str">
        <f>IFERROR(__xludf.DUMMYFUNCTION("""COMPUTED_VALUE"""),"Hot Water")</f>
        <v>Hot Water</v>
      </c>
      <c r="E1128" s="15" t="str">
        <f>IFERROR(__xludf.DUMMYFUNCTION("""COMPUTED_VALUE"""),"EJO/2026/01/92")</f>
        <v>EJO/2026/01/92</v>
      </c>
      <c r="F1128" s="15" t="str">
        <f>IFERROR(__xludf.DUMMYFUNCTION("""COMPUTED_VALUE"""),"Insulasi")</f>
        <v>Insulasi</v>
      </c>
      <c r="G1128" s="15">
        <f>IFERROR(__xludf.DUMMYFUNCTION("""COMPUTED_VALUE"""),1.0)</f>
        <v>1</v>
      </c>
      <c r="H1128" s="15" t="str">
        <f>IFERROR(__xludf.DUMMYFUNCTION("""COMPUTED_VALUE"""),"Btg")</f>
        <v>Btg</v>
      </c>
      <c r="I1128" s="15" t="str">
        <f>IFERROR(__xludf.DUMMYFUNCTION("""COMPUTED_VALUE"""),"PO Open")</f>
        <v>PO Open</v>
      </c>
      <c r="J1128" s="15" t="str">
        <f>IFERROR(__xludf.DUMMYFUNCTION("""COMPUTED_VALUE"""),"121704158 - APPROVED")</f>
        <v>121704158 - APPROVED</v>
      </c>
      <c r="K1128" s="15" t="str">
        <f>IFERROR(__xludf.DUMMYFUNCTION("""COMPUTED_VALUE"""),"GL2606349")</f>
        <v>GL2606349</v>
      </c>
      <c r="L1128" s="15" t="str">
        <f>IFERROR(__xludf.DUMMYFUNCTION("""COMPUTED_VALUE"""),"Normal")</f>
        <v>Normal</v>
      </c>
      <c r="M1128" s="18" t="s">
        <v>32</v>
      </c>
      <c r="N1128" s="18" t="s">
        <v>28</v>
      </c>
    </row>
    <row r="1129" hidden="1">
      <c r="A1129" s="15" t="str">
        <f>IFERROR(__xludf.DUMMYFUNCTION("""COMPUTED_VALUE"""),"RIABR0142")</f>
        <v>RIABR0142</v>
      </c>
      <c r="B1129" s="16">
        <f>IFERROR(__xludf.DUMMYFUNCTION("""COMPUTED_VALUE"""),46062.97194194444)</f>
        <v>46062.97194</v>
      </c>
      <c r="C1129" s="17">
        <f>IFERROR(__xludf.DUMMYFUNCTION("""COMPUTED_VALUE"""),46072.98764241898)</f>
        <v>46072.98764</v>
      </c>
      <c r="D1129" s="15" t="str">
        <f>IFERROR(__xludf.DUMMYFUNCTION("""COMPUTED_VALUE"""),"Hot Water")</f>
        <v>Hot Water</v>
      </c>
      <c r="E1129" s="15" t="str">
        <f>IFERROR(__xludf.DUMMYFUNCTION("""COMPUTED_VALUE"""),"EJO/2026/01/92")</f>
        <v>EJO/2026/01/92</v>
      </c>
      <c r="F1129" s="15" t="str">
        <f>IFERROR(__xludf.DUMMYFUNCTION("""COMPUTED_VALUE"""),"Insulasi")</f>
        <v>Insulasi</v>
      </c>
      <c r="G1129" s="15">
        <f>IFERROR(__xludf.DUMMYFUNCTION("""COMPUTED_VALUE"""),3.0)</f>
        <v>3</v>
      </c>
      <c r="H1129" s="15" t="str">
        <f>IFERROR(__xludf.DUMMYFUNCTION("""COMPUTED_VALUE"""),"Btg")</f>
        <v>Btg</v>
      </c>
      <c r="I1129" s="15" t="str">
        <f>IFERROR(__xludf.DUMMYFUNCTION("""COMPUTED_VALUE"""),"PO Open")</f>
        <v>PO Open</v>
      </c>
      <c r="J1129" s="15" t="str">
        <f>IFERROR(__xludf.DUMMYFUNCTION("""COMPUTED_VALUE"""),"121704158 - APPROVED")</f>
        <v>121704158 - APPROVED</v>
      </c>
      <c r="K1129" s="15" t="str">
        <f>IFERROR(__xludf.DUMMYFUNCTION("""COMPUTED_VALUE"""),"GL2606349")</f>
        <v>GL2606349</v>
      </c>
      <c r="L1129" s="15" t="str">
        <f>IFERROR(__xludf.DUMMYFUNCTION("""COMPUTED_VALUE"""),"Normal")</f>
        <v>Normal</v>
      </c>
      <c r="M1129" s="18" t="s">
        <v>32</v>
      </c>
      <c r="N1129" s="18" t="s">
        <v>28</v>
      </c>
    </row>
    <row r="1130" hidden="1">
      <c r="A1130" s="15" t="str">
        <f>IFERROR(__xludf.DUMMYFUNCTION("""COMPUTED_VALUE"""),"RIABR0141")</f>
        <v>RIABR0141</v>
      </c>
      <c r="B1130" s="16">
        <f>IFERROR(__xludf.DUMMYFUNCTION("""COMPUTED_VALUE"""),46062.97194194444)</f>
        <v>46062.97194</v>
      </c>
      <c r="C1130" s="17">
        <f>IFERROR(__xludf.DUMMYFUNCTION("""COMPUTED_VALUE"""),46072.9894259838)</f>
        <v>46072.98943</v>
      </c>
      <c r="D1130" s="15" t="str">
        <f>IFERROR(__xludf.DUMMYFUNCTION("""COMPUTED_VALUE"""),"Hot Water")</f>
        <v>Hot Water</v>
      </c>
      <c r="E1130" s="15" t="str">
        <f>IFERROR(__xludf.DUMMYFUNCTION("""COMPUTED_VALUE"""),"EJO/2026/01/92")</f>
        <v>EJO/2026/01/92</v>
      </c>
      <c r="F1130" s="15" t="str">
        <f>IFERROR(__xludf.DUMMYFUNCTION("""COMPUTED_VALUE"""),"Insulasi")</f>
        <v>Insulasi</v>
      </c>
      <c r="G1130" s="15">
        <f>IFERROR(__xludf.DUMMYFUNCTION("""COMPUTED_VALUE"""),3.0)</f>
        <v>3</v>
      </c>
      <c r="H1130" s="15" t="str">
        <f>IFERROR(__xludf.DUMMYFUNCTION("""COMPUTED_VALUE"""),"Btg")</f>
        <v>Btg</v>
      </c>
      <c r="I1130" s="15" t="str">
        <f>IFERROR(__xludf.DUMMYFUNCTION("""COMPUTED_VALUE"""),"PO Open")</f>
        <v>PO Open</v>
      </c>
      <c r="J1130" s="15" t="str">
        <f>IFERROR(__xludf.DUMMYFUNCTION("""COMPUTED_VALUE"""),"121704158 - APPROVED")</f>
        <v>121704158 - APPROVED</v>
      </c>
      <c r="K1130" s="15" t="str">
        <f>IFERROR(__xludf.DUMMYFUNCTION("""COMPUTED_VALUE"""),"GL2606349")</f>
        <v>GL2606349</v>
      </c>
      <c r="L1130" s="15" t="str">
        <f>IFERROR(__xludf.DUMMYFUNCTION("""COMPUTED_VALUE"""),"Normal")</f>
        <v>Normal</v>
      </c>
      <c r="M1130" s="18" t="s">
        <v>32</v>
      </c>
      <c r="N1130" s="18" t="s">
        <v>28</v>
      </c>
    </row>
    <row r="1131" hidden="1">
      <c r="A1131" s="15" t="str">
        <f>IFERROR(__xludf.DUMMYFUNCTION("""COMPUTED_VALUE"""),"RIABR0140")</f>
        <v>RIABR0140</v>
      </c>
      <c r="B1131" s="16">
        <f>IFERROR(__xludf.DUMMYFUNCTION("""COMPUTED_VALUE"""),46062.97194194444)</f>
        <v>46062.97194</v>
      </c>
      <c r="C1131" s="17">
        <f>IFERROR(__xludf.DUMMYFUNCTION("""COMPUTED_VALUE"""),46072.990085000005)</f>
        <v>46072.99009</v>
      </c>
      <c r="D1131" s="15" t="str">
        <f>IFERROR(__xludf.DUMMYFUNCTION("""COMPUTED_VALUE"""),"Hot Water")</f>
        <v>Hot Water</v>
      </c>
      <c r="E1131" s="15" t="str">
        <f>IFERROR(__xludf.DUMMYFUNCTION("""COMPUTED_VALUE"""),"EJO/2026/01/92")</f>
        <v>EJO/2026/01/92</v>
      </c>
      <c r="F1131" s="15" t="str">
        <f>IFERROR(__xludf.DUMMYFUNCTION("""COMPUTED_VALUE"""),"Insulasi")</f>
        <v>Insulasi</v>
      </c>
      <c r="G1131" s="15">
        <f>IFERROR(__xludf.DUMMYFUNCTION("""COMPUTED_VALUE"""),3.0)</f>
        <v>3</v>
      </c>
      <c r="H1131" s="15" t="str">
        <f>IFERROR(__xludf.DUMMYFUNCTION("""COMPUTED_VALUE"""),"Btg")</f>
        <v>Btg</v>
      </c>
      <c r="I1131" s="15" t="str">
        <f>IFERROR(__xludf.DUMMYFUNCTION("""COMPUTED_VALUE"""),"PO Open")</f>
        <v>PO Open</v>
      </c>
      <c r="J1131" s="15" t="str">
        <f>IFERROR(__xludf.DUMMYFUNCTION("""COMPUTED_VALUE"""),"121704158 - APPROVED")</f>
        <v>121704158 - APPROVED</v>
      </c>
      <c r="K1131" s="15" t="str">
        <f>IFERROR(__xludf.DUMMYFUNCTION("""COMPUTED_VALUE"""),"GL2606349")</f>
        <v>GL2606349</v>
      </c>
      <c r="L1131" s="15" t="str">
        <f>IFERROR(__xludf.DUMMYFUNCTION("""COMPUTED_VALUE"""),"Normal")</f>
        <v>Normal</v>
      </c>
      <c r="M1131" s="18" t="s">
        <v>32</v>
      </c>
      <c r="N1131" s="18" t="s">
        <v>28</v>
      </c>
    </row>
    <row r="1132" hidden="1">
      <c r="A1132" s="15" t="str">
        <f>IFERROR(__xludf.DUMMYFUNCTION("""COMPUTED_VALUE"""),"RIABR0139")</f>
        <v>RIABR0139</v>
      </c>
      <c r="B1132" s="16">
        <f>IFERROR(__xludf.DUMMYFUNCTION("""COMPUTED_VALUE"""),46062.63300458333)</f>
        <v>46062.633</v>
      </c>
      <c r="C1132" s="17">
        <f>IFERROR(__xludf.DUMMYFUNCTION("""COMPUTED_VALUE"""),46072.99029052084)</f>
        <v>46072.99029</v>
      </c>
      <c r="D1132" s="15" t="str">
        <f>IFERROR(__xludf.DUMMYFUNCTION("""COMPUTED_VALUE"""),"WWTP")</f>
        <v>WWTP</v>
      </c>
      <c r="E1132" s="15" t="str">
        <f>IFERROR(__xludf.DUMMYFUNCTION("""COMPUTED_VALUE"""),"EJO/2026/02/70")</f>
        <v>EJO/2026/02/70</v>
      </c>
      <c r="F1132" s="15" t="str">
        <f>IFERROR(__xludf.DUMMYFUNCTION("""COMPUTED_VALUE"""),"Solenoid Valve")</f>
        <v>Solenoid Valve</v>
      </c>
      <c r="G1132" s="15">
        <f>IFERROR(__xludf.DUMMYFUNCTION("""COMPUTED_VALUE"""),2.0)</f>
        <v>2</v>
      </c>
      <c r="H1132" s="15" t="str">
        <f>IFERROR(__xludf.DUMMYFUNCTION("""COMPUTED_VALUE"""),"Pcs")</f>
        <v>Pcs</v>
      </c>
      <c r="I1132" s="15" t="str">
        <f>IFERROR(__xludf.DUMMYFUNCTION("""COMPUTED_VALUE"""),"Deliver")</f>
        <v>Deliver</v>
      </c>
      <c r="J1132" s="15" t="str">
        <f>IFERROR(__xludf.DUMMYFUNCTION("""COMPUTED_VALUE"""),"121704447 - APPROVED")</f>
        <v>121704447 - APPROVED</v>
      </c>
      <c r="K1132" s="15" t="str">
        <f>IFERROR(__xludf.DUMMYFUNCTION("""COMPUTED_VALUE"""),"GL2608397")</f>
        <v>GL2608397</v>
      </c>
      <c r="L1132" s="15" t="str">
        <f>IFERROR(__xludf.DUMMYFUNCTION("""COMPUTED_VALUE"""),"Normal")</f>
        <v>Normal</v>
      </c>
      <c r="M1132" s="18" t="s">
        <v>32</v>
      </c>
      <c r="N1132" s="18" t="s">
        <v>28</v>
      </c>
    </row>
    <row r="1133" hidden="1">
      <c r="A1133" s="15" t="str">
        <f>IFERROR(__xludf.DUMMYFUNCTION("""COMPUTED_VALUE"""),"MOBRO0077")</f>
        <v>MOBRO0077</v>
      </c>
      <c r="B1133" s="16">
        <f>IFERROR(__xludf.DUMMYFUNCTION("""COMPUTED_VALUE"""),46062.43281680556)</f>
        <v>46062.43282</v>
      </c>
      <c r="C1133" s="17">
        <f>IFERROR(__xludf.DUMMYFUNCTION("""COMPUTED_VALUE"""),46072.99076731481)</f>
        <v>46072.99077</v>
      </c>
      <c r="D1133" s="15" t="str">
        <f>IFERROR(__xludf.DUMMYFUNCTION("""COMPUTED_VALUE"""),"PWG")</f>
        <v>PWG</v>
      </c>
      <c r="E1133" s="15" t="str">
        <f>IFERROR(__xludf.DUMMYFUNCTION("""COMPUTED_VALUE"""),"-")</f>
        <v>-</v>
      </c>
      <c r="F1133" s="15" t="str">
        <f>IFERROR(__xludf.DUMMYFUNCTION("""COMPUTED_VALUE"""),"General - Water Hardness Test Kit; No Brand; -; 1 Pc")</f>
        <v>General - Water Hardness Test Kit; No Brand; -; 1 Pc</v>
      </c>
      <c r="G1133" s="15">
        <f>IFERROR(__xludf.DUMMYFUNCTION("""COMPUTED_VALUE"""),3.0)</f>
        <v>3</v>
      </c>
      <c r="H1133" s="15" t="str">
        <f>IFERROR(__xludf.DUMMYFUNCTION("""COMPUTED_VALUE"""),"Pcs")</f>
        <v>Pcs</v>
      </c>
      <c r="I1133" s="15" t="str">
        <f>IFERROR(__xludf.DUMMYFUNCTION("""COMPUTED_VALUE"""),"Deliver")</f>
        <v>Deliver</v>
      </c>
      <c r="J1133" s="15" t="str">
        <f>IFERROR(__xludf.DUMMYFUNCTION("""COMPUTED_VALUE"""),"121703888 - APPROVED")</f>
        <v>121703888 - APPROVED</v>
      </c>
      <c r="K1133" s="15" t="str">
        <f>IFERROR(__xludf.DUMMYFUNCTION("""COMPUTED_VALUE"""),"GL2603449")</f>
        <v>GL2603449</v>
      </c>
      <c r="L1133" s="15" t="str">
        <f>IFERROR(__xludf.DUMMYFUNCTION("""COMPUTED_VALUE"""),"Normal")</f>
        <v>Normal</v>
      </c>
      <c r="M1133" s="18" t="s">
        <v>31</v>
      </c>
      <c r="N1133" s="18" t="s">
        <v>28</v>
      </c>
    </row>
    <row r="1134" hidden="1">
      <c r="A1134" s="15" t="str">
        <f>IFERROR(__xludf.DUMMYFUNCTION("""COMPUTED_VALUE"""),"BDURO0006")</f>
        <v>BDURO0006</v>
      </c>
      <c r="B1134" s="16">
        <f>IFERROR(__xludf.DUMMYFUNCTION("""COMPUTED_VALUE"""),46063.04586870371)</f>
        <v>46063.04587</v>
      </c>
      <c r="C1134" s="17">
        <f>IFERROR(__xludf.DUMMYFUNCTION("""COMPUTED_VALUE"""),46072.99091763889)</f>
        <v>46072.99092</v>
      </c>
      <c r="D1134" s="15" t="str">
        <f>IFERROR(__xludf.DUMMYFUNCTION("""COMPUTED_VALUE"""),"Install jalur ups uplc")</f>
        <v>Install jalur ups uplc</v>
      </c>
      <c r="E1134" s="15" t="str">
        <f>IFERROR(__xludf.DUMMYFUNCTION("""COMPUTED_VALUE"""),"EJO/2025/12/51")</f>
        <v>EJO/2025/12/51</v>
      </c>
      <c r="F1134" s="15" t="str">
        <f>IFERROR(__xludf.DUMMYFUNCTION("""COMPUTED_VALUE"""),"MCB 1 PHASE, SCHNEIDER ELECTRIC, IC60H 10Ka 16 AMPERE")</f>
        <v>MCB 1 PHASE, SCHNEIDER ELECTRIC, IC60H 10Ka 16 AMPERE</v>
      </c>
      <c r="G1134" s="15">
        <f>IFERROR(__xludf.DUMMYFUNCTION("""COMPUTED_VALUE"""),1.0)</f>
        <v>1</v>
      </c>
      <c r="H1134" s="15" t="str">
        <f>IFERROR(__xludf.DUMMYFUNCTION("""COMPUTED_VALUE"""),"Pcs")</f>
        <v>Pcs</v>
      </c>
      <c r="I1134" s="15" t="str">
        <f>IFERROR(__xludf.DUMMYFUNCTION("""COMPUTED_VALUE"""),"Deliver")</f>
        <v>Deliver</v>
      </c>
      <c r="J1134" s="15" t="str">
        <f>IFERROR(__xludf.DUMMYFUNCTION("""COMPUTED_VALUE"""),"121703890 - APPROVED")</f>
        <v>121703890 - APPROVED</v>
      </c>
      <c r="K1134" s="15" t="str">
        <f>IFERROR(__xludf.DUMMYFUNCTION("""COMPUTED_VALUE"""),"GL2603456")</f>
        <v>GL2603456</v>
      </c>
      <c r="L1134" s="15" t="str">
        <f>IFERROR(__xludf.DUMMYFUNCTION("""COMPUTED_VALUE"""),"Normal")</f>
        <v>Normal</v>
      </c>
      <c r="M1134" s="18" t="s">
        <v>55</v>
      </c>
      <c r="N1134" s="18" t="s">
        <v>28</v>
      </c>
    </row>
    <row r="1135" hidden="1">
      <c r="A1135" s="15" t="str">
        <f>IFERROR(__xludf.DUMMYFUNCTION("""COMPUTED_VALUE"""),"BDURO0005")</f>
        <v>BDURO0005</v>
      </c>
      <c r="B1135" s="16">
        <f>IFERROR(__xludf.DUMMYFUNCTION("""COMPUTED_VALUE"""),46063.04584630787)</f>
        <v>46063.04585</v>
      </c>
      <c r="C1135" s="17">
        <f>IFERROR(__xludf.DUMMYFUNCTION("""COMPUTED_VALUE"""),46072.991054004626)</f>
        <v>46072.99105</v>
      </c>
      <c r="D1135" s="15" t="str">
        <f>IFERROR(__xludf.DUMMYFUNCTION("""COMPUTED_VALUE"""),"Install jalur ups clien hplc 5&amp;6")</f>
        <v>Install jalur ups clien hplc 5&amp;6</v>
      </c>
      <c r="E1135" s="15" t="str">
        <f>IFERROR(__xludf.DUMMYFUNCTION("""COMPUTED_VALUE"""),"EJO/2025/12/51")</f>
        <v>EJO/2025/12/51</v>
      </c>
      <c r="F1135" s="15" t="str">
        <f>IFERROR(__xludf.DUMMYFUNCTION("""COMPUTED_VALUE"""),"MCB 1 PHASE, SCHNEIDER ELECTRIC, IC60H 10Ka 16 AMPERE")</f>
        <v>MCB 1 PHASE, SCHNEIDER ELECTRIC, IC60H 10Ka 16 AMPERE</v>
      </c>
      <c r="G1135" s="15">
        <f>IFERROR(__xludf.DUMMYFUNCTION("""COMPUTED_VALUE"""),1.0)</f>
        <v>1</v>
      </c>
      <c r="H1135" s="15" t="str">
        <f>IFERROR(__xludf.DUMMYFUNCTION("""COMPUTED_VALUE"""),"Pcs")</f>
        <v>Pcs</v>
      </c>
      <c r="I1135" s="15" t="str">
        <f>IFERROR(__xludf.DUMMYFUNCTION("""COMPUTED_VALUE"""),"Deliver")</f>
        <v>Deliver</v>
      </c>
      <c r="J1135" s="15" t="str">
        <f>IFERROR(__xludf.DUMMYFUNCTION("""COMPUTED_VALUE"""),"121703890 - APPROVED")</f>
        <v>121703890 - APPROVED</v>
      </c>
      <c r="K1135" s="15" t="str">
        <f>IFERROR(__xludf.DUMMYFUNCTION("""COMPUTED_VALUE"""),"GL2603456")</f>
        <v>GL2603456</v>
      </c>
      <c r="L1135" s="15" t="str">
        <f>IFERROR(__xludf.DUMMYFUNCTION("""COMPUTED_VALUE"""),"Normal")</f>
        <v>Normal</v>
      </c>
      <c r="M1135" s="18" t="s">
        <v>55</v>
      </c>
      <c r="N1135" s="18" t="s">
        <v>28</v>
      </c>
    </row>
    <row r="1136" hidden="1">
      <c r="A1136" s="15" t="str">
        <f>IFERROR(__xludf.DUMMYFUNCTION("""COMPUTED_VALUE"""),"BDURO0004")</f>
        <v>BDURO0004</v>
      </c>
      <c r="B1136" s="16">
        <f>IFERROR(__xludf.DUMMYFUNCTION("""COMPUTED_VALUE"""),46063.045818402774)</f>
        <v>46063.04582</v>
      </c>
      <c r="C1136" s="17">
        <f>IFERROR(__xludf.DUMMYFUNCTION("""COMPUTED_VALUE"""),46072.99117399305)</f>
        <v>46072.99117</v>
      </c>
      <c r="D1136" s="15" t="str">
        <f>IFERROR(__xludf.DUMMYFUNCTION("""COMPUTED_VALUE"""),"Install jalur ups uplc")</f>
        <v>Install jalur ups uplc</v>
      </c>
      <c r="E1136" s="15" t="str">
        <f>IFERROR(__xludf.DUMMYFUNCTION("""COMPUTED_VALUE"""),"EJO/2025/12/51")</f>
        <v>EJO/2025/12/51</v>
      </c>
      <c r="F1136" s="15" t="str">
        <f>IFERROR(__xludf.DUMMYFUNCTION("""COMPUTED_VALUE"""),"General - Kabel NYYHY 3 x 2.5mm; SUPREME; -; 1 meter")</f>
        <v>General - Kabel NYYHY 3 x 2.5mm; SUPREME; -; 1 meter</v>
      </c>
      <c r="G1136" s="15">
        <f>IFERROR(__xludf.DUMMYFUNCTION("""COMPUTED_VALUE"""),80.0)</f>
        <v>80</v>
      </c>
      <c r="H1136" s="15" t="str">
        <f>IFERROR(__xludf.DUMMYFUNCTION("""COMPUTED_VALUE"""),"M")</f>
        <v>M</v>
      </c>
      <c r="I1136" s="15" t="str">
        <f>IFERROR(__xludf.DUMMYFUNCTION("""COMPUTED_VALUE"""),"Deliver")</f>
        <v>Deliver</v>
      </c>
      <c r="J1136" s="15" t="str">
        <f>IFERROR(__xludf.DUMMYFUNCTION("""COMPUTED_VALUE"""),"121703891 - APPROVED")</f>
        <v>121703891 - APPROVED</v>
      </c>
      <c r="K1136" s="15" t="str">
        <f>IFERROR(__xludf.DUMMYFUNCTION("""COMPUTED_VALUE"""),"GL2604492")</f>
        <v>GL2604492</v>
      </c>
      <c r="L1136" s="15" t="str">
        <f>IFERROR(__xludf.DUMMYFUNCTION("""COMPUTED_VALUE"""),"Normal")</f>
        <v>Normal</v>
      </c>
      <c r="M1136" s="18" t="s">
        <v>55</v>
      </c>
      <c r="N1136" s="18" t="s">
        <v>28</v>
      </c>
    </row>
    <row r="1137" hidden="1">
      <c r="A1137" s="15" t="str">
        <f>IFERROR(__xludf.DUMMYFUNCTION("""COMPUTED_VALUE"""),"BDURO0003")</f>
        <v>BDURO0003</v>
      </c>
      <c r="B1137" s="16">
        <f>IFERROR(__xludf.DUMMYFUNCTION("""COMPUTED_VALUE"""),46063.045743229166)</f>
        <v>46063.04574</v>
      </c>
      <c r="C1137" s="17">
        <f>IFERROR(__xludf.DUMMYFUNCTION("""COMPUTED_VALUE"""),46072.99130712963)</f>
        <v>46072.99131</v>
      </c>
      <c r="D1137" s="15" t="str">
        <f>IFERROR(__xludf.DUMMYFUNCTION("""COMPUTED_VALUE"""),"Install jalur ups clien hplc 5&amp;6")</f>
        <v>Install jalur ups clien hplc 5&amp;6</v>
      </c>
      <c r="E1137" s="15" t="str">
        <f>IFERROR(__xludf.DUMMYFUNCTION("""COMPUTED_VALUE"""),"EJO/2025/12/51")</f>
        <v>EJO/2025/12/51</v>
      </c>
      <c r="F1137" s="15" t="str">
        <f>IFERROR(__xludf.DUMMYFUNCTION("""COMPUTED_VALUE"""),"General - Kabel NYYHY 3 x 2.5mm; SUPREME; -; 1 meter")</f>
        <v>General - Kabel NYYHY 3 x 2.5mm; SUPREME; -; 1 meter</v>
      </c>
      <c r="G1137" s="15">
        <f>IFERROR(__xludf.DUMMYFUNCTION("""COMPUTED_VALUE"""),70.0)</f>
        <v>70</v>
      </c>
      <c r="H1137" s="15" t="str">
        <f>IFERROR(__xludf.DUMMYFUNCTION("""COMPUTED_VALUE"""),"M")</f>
        <v>M</v>
      </c>
      <c r="I1137" s="15" t="str">
        <f>IFERROR(__xludf.DUMMYFUNCTION("""COMPUTED_VALUE"""),"Deliver")</f>
        <v>Deliver</v>
      </c>
      <c r="J1137" s="15" t="str">
        <f>IFERROR(__xludf.DUMMYFUNCTION("""COMPUTED_VALUE"""),"121703891 - APPROVED")</f>
        <v>121703891 - APPROVED</v>
      </c>
      <c r="K1137" s="15" t="str">
        <f>IFERROR(__xludf.DUMMYFUNCTION("""COMPUTED_VALUE"""),"GL2604492")</f>
        <v>GL2604492</v>
      </c>
      <c r="L1137" s="15" t="str">
        <f>IFERROR(__xludf.DUMMYFUNCTION("""COMPUTED_VALUE"""),"Normal")</f>
        <v>Normal</v>
      </c>
      <c r="M1137" s="18" t="s">
        <v>55</v>
      </c>
      <c r="N1137" s="18" t="s">
        <v>28</v>
      </c>
    </row>
    <row r="1138" hidden="1">
      <c r="A1138" s="15" t="str">
        <f>IFERROR(__xludf.DUMMYFUNCTION("""COMPUTED_VALUE"""),"SFHRO0039")</f>
        <v>SFHRO0039</v>
      </c>
      <c r="B1138" s="16">
        <f>IFERROR(__xludf.DUMMYFUNCTION("""COMPUTED_VALUE"""),46072.670798680556)</f>
        <v>46072.6708</v>
      </c>
      <c r="C1138" s="17">
        <f>IFERROR(__xludf.DUMMYFUNCTION("""COMPUTED_VALUE"""),46072.99151856482)</f>
        <v>46072.99152</v>
      </c>
      <c r="D1138" s="15" t="str">
        <f>IFERROR(__xludf.DUMMYFUNCTION("""COMPUTED_VALUE"""),"lantai 2")</f>
        <v>lantai 2</v>
      </c>
      <c r="E1138" s="15" t="str">
        <f>IFERROR(__xludf.DUMMYFUNCTION("""COMPUTED_VALUE"""),"-")</f>
        <v>-</v>
      </c>
      <c r="F1138" s="15" t="str">
        <f>IFERROR(__xludf.DUMMYFUNCTION("""COMPUTED_VALUE"""),"Polyfloor PFT-213 Ivory @ 20 KG")</f>
        <v>Polyfloor PFT-213 Ivory @ 20 KG</v>
      </c>
      <c r="G1138" s="15">
        <f>IFERROR(__xludf.DUMMYFUNCTION("""COMPUTED_VALUE"""),2.0)</f>
        <v>2</v>
      </c>
      <c r="H1138" s="15" t="str">
        <f>IFERROR(__xludf.DUMMYFUNCTION("""COMPUTED_VALUE"""),"pel")</f>
        <v>pel</v>
      </c>
      <c r="I1138" s="15" t="str">
        <f>IFERROR(__xludf.DUMMYFUNCTION("""COMPUTED_VALUE"""),"PR Open")</f>
        <v>PR Open</v>
      </c>
      <c r="J1138" s="15" t="str">
        <f>IFERROR(__xludf.DUMMYFUNCTION("""COMPUTED_VALUE"""),"121704564 - APPROVED")</f>
        <v>121704564 - APPROVED</v>
      </c>
      <c r="K1138" s="15" t="str">
        <f>IFERROR(__xludf.DUMMYFUNCTION("""COMPUTED_VALUE"""),"GL2609431")</f>
        <v>GL2609431</v>
      </c>
      <c r="L1138" s="15" t="str">
        <f>IFERROR(__xludf.DUMMYFUNCTION("""COMPUTED_VALUE"""),"Normal")</f>
        <v>Normal</v>
      </c>
      <c r="M1138" s="18" t="s">
        <v>27</v>
      </c>
      <c r="N1138" s="18" t="s">
        <v>28</v>
      </c>
    </row>
    <row r="1139" hidden="1">
      <c r="A1139" s="15" t="str">
        <f>IFERROR(__xludf.DUMMYFUNCTION("""COMPUTED_VALUE"""),"RIABR0147")</f>
        <v>RIABR0147</v>
      </c>
      <c r="B1139" s="16">
        <f>IFERROR(__xludf.DUMMYFUNCTION("""COMPUTED_VALUE"""),46071.63137935185)</f>
        <v>46071.63138</v>
      </c>
      <c r="C1139" s="17">
        <f>IFERROR(__xludf.DUMMYFUNCTION("""COMPUTED_VALUE"""),46072.99164951388)</f>
        <v>46072.99165</v>
      </c>
      <c r="D1139" s="15" t="str">
        <f>IFERROR(__xludf.DUMMYFUNCTION("""COMPUTED_VALUE"""),"Rolling Door")</f>
        <v>Rolling Door</v>
      </c>
      <c r="E1139" s="15" t="str">
        <f>IFERROR(__xludf.DUMMYFUNCTION("""COMPUTED_VALUE"""),"EJO/2026/02/166")</f>
        <v>EJO/2026/02/166</v>
      </c>
      <c r="F1139" s="15" t="str">
        <f>IFERROR(__xludf.DUMMYFUNCTION("""COMPUTED_VALUE"""),"Emergency Stop + Junction Box")</f>
        <v>Emergency Stop + Junction Box</v>
      </c>
      <c r="G1139" s="15">
        <f>IFERROR(__xludf.DUMMYFUNCTION("""COMPUTED_VALUE"""),5.0)</f>
        <v>5</v>
      </c>
      <c r="H1139" s="15" t="str">
        <f>IFERROR(__xludf.DUMMYFUNCTION("""COMPUTED_VALUE"""),"Pcs")</f>
        <v>Pcs</v>
      </c>
      <c r="I1139" s="15" t="str">
        <f>IFERROR(__xludf.DUMMYFUNCTION("""COMPUTED_VALUE"""),"PR Open")</f>
        <v>PR Open</v>
      </c>
      <c r="J1139" s="15" t="str">
        <f>IFERROR(__xludf.DUMMYFUNCTION("""COMPUTED_VALUE"""),"121704549 - APPROVED")</f>
        <v>121704549 - APPROVED</v>
      </c>
      <c r="K1139" s="15" t="str">
        <f>IFERROR(__xludf.DUMMYFUNCTION("""COMPUTED_VALUE"""),"-")</f>
        <v>-</v>
      </c>
      <c r="L1139" s="15" t="str">
        <f>IFERROR(__xludf.DUMMYFUNCTION("""COMPUTED_VALUE"""),"Normal")</f>
        <v>Normal</v>
      </c>
      <c r="M1139" s="18" t="s">
        <v>32</v>
      </c>
      <c r="N1139" s="18" t="s">
        <v>28</v>
      </c>
    </row>
    <row r="1140" hidden="1">
      <c r="A1140" s="15" t="str">
        <f>IFERROR(__xludf.DUMMYFUNCTION("""COMPUTED_VALUE"""),"ROSBR0082")</f>
        <v>ROSBR0082</v>
      </c>
      <c r="B1140" s="16">
        <f>IFERROR(__xludf.DUMMYFUNCTION("""COMPUTED_VALUE"""),46070.42437122685)</f>
        <v>46070.42437</v>
      </c>
      <c r="C1140" s="17">
        <f>IFERROR(__xludf.DUMMYFUNCTION("""COMPUTED_VALUE"""),46077.65953875)</f>
        <v>46077.65954</v>
      </c>
      <c r="D1140" s="15" t="str">
        <f>IFERROR(__xludf.DUMMYFUNCTION("""COMPUTED_VALUE"""),"Isolator Skan ")</f>
        <v>Isolator Skan </v>
      </c>
      <c r="E1140" s="15" t="str">
        <f>IFERROR(__xludf.DUMMYFUNCTION("""COMPUTED_VALUE"""),"2025/11/142")</f>
        <v>2025/11/142</v>
      </c>
      <c r="F1140" s="15" t="str">
        <f>IFERROR(__xludf.DUMMYFUNCTION("""COMPUTED_VALUE"""),"Dudukan equinox New")</f>
        <v>Dudukan equinox New</v>
      </c>
      <c r="G1140" s="15">
        <f>IFERROR(__xludf.DUMMYFUNCTION("""COMPUTED_VALUE"""),1.0)</f>
        <v>1</v>
      </c>
      <c r="H1140" s="15" t="str">
        <f>IFERROR(__xludf.DUMMYFUNCTION("""COMPUTED_VALUE"""),"set")</f>
        <v>set</v>
      </c>
      <c r="I1140" s="15" t="str">
        <f>IFERROR(__xludf.DUMMYFUNCTION("""COMPUTED_VALUE"""),"Deliver")</f>
        <v>Deliver</v>
      </c>
      <c r="J1140" s="15" t="str">
        <f>IFERROR(__xludf.DUMMYFUNCTION("""COMPUTED_VALUE"""),"121704023 - APPROVED")</f>
        <v>121704023 - APPROVED</v>
      </c>
      <c r="K1140" s="15" t="str">
        <f>IFERROR(__xludf.DUMMYFUNCTION("""COMPUTED_VALUE"""),"GL2603054")</f>
        <v>GL2603054</v>
      </c>
      <c r="L1140" s="15" t="str">
        <f>IFERROR(__xludf.DUMMYFUNCTION("""COMPUTED_VALUE"""),"Normal")</f>
        <v>Normal</v>
      </c>
      <c r="M1140" s="18" t="s">
        <v>29</v>
      </c>
      <c r="N1140" s="18" t="s">
        <v>30</v>
      </c>
    </row>
    <row r="1141" hidden="1">
      <c r="A1141" s="15" t="str">
        <f>IFERROR(__xludf.DUMMYFUNCTION("""COMPUTED_VALUE"""),"RIARO0069")</f>
        <v>RIARO0069</v>
      </c>
      <c r="B1141" s="16">
        <f>IFERROR(__xludf.DUMMYFUNCTION("""COMPUTED_VALUE"""),46078.3682403125)</f>
        <v>46078.36824</v>
      </c>
      <c r="C1141" s="17">
        <f>IFERROR(__xludf.DUMMYFUNCTION("""COMPUTED_VALUE"""),46079.61878827546)</f>
        <v>46079.61879</v>
      </c>
      <c r="D1141" s="15" t="str">
        <f>IFERROR(__xludf.DUMMYFUNCTION("""COMPUTED_VALUE"""),"Hot Water ")</f>
        <v>Hot Water </v>
      </c>
      <c r="E1141" s="15" t="str">
        <f>IFERROR(__xludf.DUMMYFUNCTION("""COMPUTED_VALUE"""),"-")</f>
        <v>-</v>
      </c>
      <c r="F1141" s="15" t="str">
        <f>IFERROR(__xludf.DUMMYFUNCTION("""COMPUTED_VALUE"""),"General - Fuse Keramik Double 160A 690VAC Bussman FEE160")</f>
        <v>General - Fuse Keramik Double 160A 690VAC Bussman FEE160</v>
      </c>
      <c r="G1141" s="15">
        <f>IFERROR(__xludf.DUMMYFUNCTION("""COMPUTED_VALUE"""),10.0)</f>
        <v>10</v>
      </c>
      <c r="H1141" s="15" t="str">
        <f>IFERROR(__xludf.DUMMYFUNCTION("""COMPUTED_VALUE"""),"Pcs")</f>
        <v>Pcs</v>
      </c>
      <c r="I1141" s="15" t="str">
        <f>IFERROR(__xludf.DUMMYFUNCTION("""COMPUTED_VALUE"""),"Deliver")</f>
        <v>Deliver</v>
      </c>
      <c r="J1141" s="15" t="str">
        <f>IFERROR(__xludf.DUMMYFUNCTION("""COMPUTED_VALUE"""),"121703997 - APPROVED")</f>
        <v>121703997 - APPROVED</v>
      </c>
      <c r="K1141" s="15" t="str">
        <f>IFERROR(__xludf.DUMMYFUNCTION("""COMPUTED_VALUE"""),"GL2603475")</f>
        <v>GL2603475</v>
      </c>
      <c r="L1141" s="15" t="str">
        <f>IFERROR(__xludf.DUMMYFUNCTION("""COMPUTED_VALUE"""),"Normal")</f>
        <v>Normal</v>
      </c>
      <c r="M1141" s="18" t="s">
        <v>32</v>
      </c>
      <c r="N1141" s="18" t="s">
        <v>28</v>
      </c>
    </row>
    <row r="1142" hidden="1">
      <c r="A1142" s="15" t="str">
        <f>IFERROR(__xludf.DUMMYFUNCTION("""COMPUTED_VALUE"""),"RIARO0070")</f>
        <v>RIARO0070</v>
      </c>
      <c r="B1142" s="16">
        <f>IFERROR(__xludf.DUMMYFUNCTION("""COMPUTED_VALUE"""),46078.369425150464)</f>
        <v>46078.36943</v>
      </c>
      <c r="C1142" s="17">
        <f>IFERROR(__xludf.DUMMYFUNCTION("""COMPUTED_VALUE"""),46079.61913216436)</f>
        <v>46079.61913</v>
      </c>
      <c r="D1142" s="15" t="str">
        <f>IFERROR(__xludf.DUMMYFUNCTION("""COMPUTED_VALUE"""),"Hot Water")</f>
        <v>Hot Water</v>
      </c>
      <c r="E1142" s="15" t="str">
        <f>IFERROR(__xludf.DUMMYFUNCTION("""COMPUTED_VALUE"""),"-")</f>
        <v>-</v>
      </c>
      <c r="F1142" s="15" t="str">
        <f>IFERROR(__xludf.DUMMYFUNCTION("""COMPUTED_VALUE"""),"Cat Pilox 109 - Black")</f>
        <v>Cat Pilox 109 - Black</v>
      </c>
      <c r="G1142" s="15">
        <f>IFERROR(__xludf.DUMMYFUNCTION("""COMPUTED_VALUE"""),10.0)</f>
        <v>10</v>
      </c>
      <c r="H1142" s="15" t="str">
        <f>IFERROR(__xludf.DUMMYFUNCTION("""COMPUTED_VALUE"""),"Pcs")</f>
        <v>Pcs</v>
      </c>
      <c r="I1142" s="15" t="str">
        <f>IFERROR(__xludf.DUMMYFUNCTION("""COMPUTED_VALUE"""),"Deliver")</f>
        <v>Deliver</v>
      </c>
      <c r="J1142" s="15" t="str">
        <f>IFERROR(__xludf.DUMMYFUNCTION("""COMPUTED_VALUE"""),"121703992 - APPROVED")</f>
        <v>121703992 - APPROVED</v>
      </c>
      <c r="K1142" s="15" t="str">
        <f>IFERROR(__xludf.DUMMYFUNCTION("""COMPUTED_VALUE"""),"GL2604011")</f>
        <v>GL2604011</v>
      </c>
      <c r="L1142" s="15" t="str">
        <f>IFERROR(__xludf.DUMMYFUNCTION("""COMPUTED_VALUE"""),"Normal")</f>
        <v>Normal</v>
      </c>
      <c r="M1142" s="18" t="s">
        <v>32</v>
      </c>
      <c r="N1142" s="18" t="s">
        <v>28</v>
      </c>
    </row>
    <row r="1143" hidden="1">
      <c r="A1143" s="15" t="str">
        <f>IFERROR(__xludf.DUMMYFUNCTION("""COMPUTED_VALUE"""),"RIARO0071")</f>
        <v>RIARO0071</v>
      </c>
      <c r="B1143" s="16">
        <f>IFERROR(__xludf.DUMMYFUNCTION("""COMPUTED_VALUE"""),46078.68403574074)</f>
        <v>46078.68404</v>
      </c>
      <c r="C1143" s="17">
        <f>IFERROR(__xludf.DUMMYFUNCTION("""COMPUTED_VALUE"""),46079.61930175926)</f>
        <v>46079.6193</v>
      </c>
      <c r="D1143" s="15" t="str">
        <f>IFERROR(__xludf.DUMMYFUNCTION("""COMPUTED_VALUE"""),"All Area")</f>
        <v>All Area</v>
      </c>
      <c r="E1143" s="15" t="str">
        <f>IFERROR(__xludf.DUMMYFUNCTION("""COMPUTED_VALUE"""),"-")</f>
        <v>-</v>
      </c>
      <c r="F1143" s="15" t="str">
        <f>IFERROR(__xludf.DUMMYFUNCTION("""COMPUTED_VALUE"""),"Cat Pilox 102 - White")</f>
        <v>Cat Pilox 102 - White</v>
      </c>
      <c r="G1143" s="15">
        <f>IFERROR(__xludf.DUMMYFUNCTION("""COMPUTED_VALUE"""),15.0)</f>
        <v>15</v>
      </c>
      <c r="H1143" s="15" t="str">
        <f>IFERROR(__xludf.DUMMYFUNCTION("""COMPUTED_VALUE"""),"Pcs")</f>
        <v>Pcs</v>
      </c>
      <c r="I1143" s="15" t="str">
        <f>IFERROR(__xludf.DUMMYFUNCTION("""COMPUTED_VALUE"""),"Deliver")</f>
        <v>Deliver</v>
      </c>
      <c r="J1143" s="15" t="str">
        <f>IFERROR(__xludf.DUMMYFUNCTION("""COMPUTED_VALUE"""),"121703992 - APPROVED")</f>
        <v>121703992 - APPROVED</v>
      </c>
      <c r="K1143" s="15" t="str">
        <f>IFERROR(__xludf.DUMMYFUNCTION("""COMPUTED_VALUE"""),"GL2604011")</f>
        <v>GL2604011</v>
      </c>
      <c r="L1143" s="15" t="str">
        <f>IFERROR(__xludf.DUMMYFUNCTION("""COMPUTED_VALUE"""),"Normal")</f>
        <v>Normal</v>
      </c>
      <c r="M1143" s="18" t="s">
        <v>32</v>
      </c>
      <c r="N1143" s="18" t="s">
        <v>28</v>
      </c>
    </row>
    <row r="1144" hidden="1">
      <c r="A1144" s="15" t="str">
        <f>IFERROR(__xludf.DUMMYFUNCTION("""COMPUTED_VALUE"""),"RIABR0148")</f>
        <v>RIABR0148</v>
      </c>
      <c r="B1144" s="16">
        <f>IFERROR(__xludf.DUMMYFUNCTION("""COMPUTED_VALUE"""),46078.68495199074)</f>
        <v>46078.68495</v>
      </c>
      <c r="C1144" s="17">
        <f>IFERROR(__xludf.DUMMYFUNCTION("""COMPUTED_VALUE"""),46079.619517465275)</f>
        <v>46079.61952</v>
      </c>
      <c r="D1144" s="15" t="str">
        <f>IFERROR(__xludf.DUMMYFUNCTION("""COMPUTED_VALUE"""),"All Area")</f>
        <v>All Area</v>
      </c>
      <c r="E1144" s="15" t="str">
        <f>IFERROR(__xludf.DUMMYFUNCTION("""COMPUTED_VALUE"""),"-")</f>
        <v>-</v>
      </c>
      <c r="F1144" s="15" t="str">
        <f>IFERROR(__xludf.DUMMYFUNCTION("""COMPUTED_VALUE"""),"Pilox")</f>
        <v>Pilox</v>
      </c>
      <c r="G1144" s="15">
        <f>IFERROR(__xludf.DUMMYFUNCTION("""COMPUTED_VALUE"""),5.0)</f>
        <v>5</v>
      </c>
      <c r="H1144" s="15" t="str">
        <f>IFERROR(__xludf.DUMMYFUNCTION("""COMPUTED_VALUE"""),"Pcs")</f>
        <v>Pcs</v>
      </c>
      <c r="I1144" s="15" t="str">
        <f>IFERROR(__xludf.DUMMYFUNCTION("""COMPUTED_VALUE"""),"Deliver")</f>
        <v>Deliver</v>
      </c>
      <c r="J1144" s="15" t="str">
        <f>IFERROR(__xludf.DUMMYFUNCTION("""COMPUTED_VALUE"""),"121704452 - APPROVED")</f>
        <v>121704452 - APPROVED</v>
      </c>
      <c r="K1144" s="15" t="str">
        <f>IFERROR(__xludf.DUMMYFUNCTION("""COMPUTED_VALUE"""),"GL2608399")</f>
        <v>GL2608399</v>
      </c>
      <c r="L1144" s="15" t="str">
        <f>IFERROR(__xludf.DUMMYFUNCTION("""COMPUTED_VALUE"""),"Normal")</f>
        <v>Normal</v>
      </c>
      <c r="M1144" s="18" t="s">
        <v>32</v>
      </c>
      <c r="N1144" s="18" t="s">
        <v>28</v>
      </c>
    </row>
    <row r="1145" hidden="1">
      <c r="A1145" s="15" t="str">
        <f>IFERROR(__xludf.DUMMYFUNCTION("""COMPUTED_VALUE"""),"RIABR0149")</f>
        <v>RIABR0149</v>
      </c>
      <c r="B1145" s="16">
        <f>IFERROR(__xludf.DUMMYFUNCTION("""COMPUTED_VALUE"""),46078.68613465278)</f>
        <v>46078.68613</v>
      </c>
      <c r="C1145" s="17">
        <f>IFERROR(__xludf.DUMMYFUNCTION("""COMPUTED_VALUE"""),46079.619705613426)</f>
        <v>46079.61971</v>
      </c>
      <c r="D1145" s="15" t="str">
        <f>IFERROR(__xludf.DUMMYFUNCTION("""COMPUTED_VALUE"""),"All Area")</f>
        <v>All Area</v>
      </c>
      <c r="E1145" s="15" t="str">
        <f>IFERROR(__xludf.DUMMYFUNCTION("""COMPUTED_VALUE"""),"-")</f>
        <v>-</v>
      </c>
      <c r="F1145" s="15" t="str">
        <f>IFERROR(__xludf.DUMMYFUNCTION("""COMPUTED_VALUE"""),"Pilox")</f>
        <v>Pilox</v>
      </c>
      <c r="G1145" s="15">
        <f>IFERROR(__xludf.DUMMYFUNCTION("""COMPUTED_VALUE"""),3.0)</f>
        <v>3</v>
      </c>
      <c r="H1145" s="15" t="str">
        <f>IFERROR(__xludf.DUMMYFUNCTION("""COMPUTED_VALUE"""),"Pcs")</f>
        <v>Pcs</v>
      </c>
      <c r="I1145" s="15" t="str">
        <f>IFERROR(__xludf.DUMMYFUNCTION("""COMPUTED_VALUE"""),"Deliver")</f>
        <v>Deliver</v>
      </c>
      <c r="J1145" s="15" t="str">
        <f>IFERROR(__xludf.DUMMYFUNCTION("""COMPUTED_VALUE"""),"121704452 - APPROVED")</f>
        <v>121704452 - APPROVED</v>
      </c>
      <c r="K1145" s="15" t="str">
        <f>IFERROR(__xludf.DUMMYFUNCTION("""COMPUTED_VALUE"""),"GL2608399")</f>
        <v>GL2608399</v>
      </c>
      <c r="L1145" s="15" t="str">
        <f>IFERROR(__xludf.DUMMYFUNCTION("""COMPUTED_VALUE"""),"Normal")</f>
        <v>Normal</v>
      </c>
      <c r="M1145" s="18" t="s">
        <v>32</v>
      </c>
      <c r="N1145" s="18" t="s">
        <v>28</v>
      </c>
    </row>
    <row r="1146" hidden="1">
      <c r="A1146" s="15" t="str">
        <f>IFERROR(__xludf.DUMMYFUNCTION("""COMPUTED_VALUE"""),"RIABR0150")</f>
        <v>RIABR0150</v>
      </c>
      <c r="B1146" s="16">
        <f>IFERROR(__xludf.DUMMYFUNCTION("""COMPUTED_VALUE"""),46078.68657689815)</f>
        <v>46078.68658</v>
      </c>
      <c r="C1146" s="17">
        <f>IFERROR(__xludf.DUMMYFUNCTION("""COMPUTED_VALUE"""),46079.61984962963)</f>
        <v>46079.61985</v>
      </c>
      <c r="D1146" s="15" t="str">
        <f>IFERROR(__xludf.DUMMYFUNCTION("""COMPUTED_VALUE"""),"All Area")</f>
        <v>All Area</v>
      </c>
      <c r="E1146" s="15" t="str">
        <f>IFERROR(__xludf.DUMMYFUNCTION("""COMPUTED_VALUE"""),"-")</f>
        <v>-</v>
      </c>
      <c r="F1146" s="15" t="str">
        <f>IFERROR(__xludf.DUMMYFUNCTION("""COMPUTED_VALUE"""),"Pilox")</f>
        <v>Pilox</v>
      </c>
      <c r="G1146" s="15">
        <f>IFERROR(__xludf.DUMMYFUNCTION("""COMPUTED_VALUE"""),5.0)</f>
        <v>5</v>
      </c>
      <c r="H1146" s="15" t="str">
        <f>IFERROR(__xludf.DUMMYFUNCTION("""COMPUTED_VALUE"""),"Pcs")</f>
        <v>Pcs</v>
      </c>
      <c r="I1146" s="15" t="str">
        <f>IFERROR(__xludf.DUMMYFUNCTION("""COMPUTED_VALUE"""),"Deliver")</f>
        <v>Deliver</v>
      </c>
      <c r="J1146" s="15" t="str">
        <f>IFERROR(__xludf.DUMMYFUNCTION("""COMPUTED_VALUE"""),"121704452 - APPROVED")</f>
        <v>121704452 - APPROVED</v>
      </c>
      <c r="K1146" s="15" t="str">
        <f>IFERROR(__xludf.DUMMYFUNCTION("""COMPUTED_VALUE"""),"GL2608399")</f>
        <v>GL2608399</v>
      </c>
      <c r="L1146" s="15" t="str">
        <f>IFERROR(__xludf.DUMMYFUNCTION("""COMPUTED_VALUE"""),"Normal")</f>
        <v>Normal</v>
      </c>
      <c r="M1146" s="18" t="s">
        <v>32</v>
      </c>
      <c r="N1146" s="18" t="s">
        <v>28</v>
      </c>
    </row>
    <row r="1147" hidden="1">
      <c r="A1147" s="15" t="str">
        <f>IFERROR(__xludf.DUMMYFUNCTION("""COMPUTED_VALUE"""),"RIABR0151")</f>
        <v>RIABR0151</v>
      </c>
      <c r="B1147" s="16">
        <f>IFERROR(__xludf.DUMMYFUNCTION("""COMPUTED_VALUE"""),46078.68762921296)</f>
        <v>46078.68763</v>
      </c>
      <c r="C1147" s="17">
        <f>IFERROR(__xludf.DUMMYFUNCTION("""COMPUTED_VALUE"""),46079.620027303245)</f>
        <v>46079.62003</v>
      </c>
      <c r="D1147" s="15" t="str">
        <f>IFERROR(__xludf.DUMMYFUNCTION("""COMPUTED_VALUE"""),"All Area")</f>
        <v>All Area</v>
      </c>
      <c r="E1147" s="15" t="str">
        <f>IFERROR(__xludf.DUMMYFUNCTION("""COMPUTED_VALUE"""),"-")</f>
        <v>-</v>
      </c>
      <c r="F1147" s="15" t="str">
        <f>IFERROR(__xludf.DUMMYFUNCTION("""COMPUTED_VALUE"""),"Pilox")</f>
        <v>Pilox</v>
      </c>
      <c r="G1147" s="15">
        <f>IFERROR(__xludf.DUMMYFUNCTION("""COMPUTED_VALUE"""),3.0)</f>
        <v>3</v>
      </c>
      <c r="H1147" s="15" t="str">
        <f>IFERROR(__xludf.DUMMYFUNCTION("""COMPUTED_VALUE"""),"Pcs")</f>
        <v>Pcs</v>
      </c>
      <c r="I1147" s="15" t="str">
        <f>IFERROR(__xludf.DUMMYFUNCTION("""COMPUTED_VALUE"""),"PR Open")</f>
        <v>PR Open</v>
      </c>
      <c r="J1147" s="15" t="str">
        <f>IFERROR(__xludf.DUMMYFUNCTION("""COMPUTED_VALUE"""),"121704550 - APPROVED")</f>
        <v>121704550 - APPROVED</v>
      </c>
      <c r="K1147" s="15" t="str">
        <f>IFERROR(__xludf.DUMMYFUNCTION("""COMPUTED_VALUE"""),"GL2609434")</f>
        <v>GL2609434</v>
      </c>
      <c r="L1147" s="15" t="str">
        <f>IFERROR(__xludf.DUMMYFUNCTION("""COMPUTED_VALUE"""),"Normal")</f>
        <v>Normal</v>
      </c>
      <c r="M1147" s="18" t="s">
        <v>32</v>
      </c>
      <c r="N1147" s="18" t="s">
        <v>28</v>
      </c>
    </row>
    <row r="1148" hidden="1">
      <c r="A1148" s="15" t="str">
        <f>IFERROR(__xludf.DUMMYFUNCTION("""COMPUTED_VALUE"""),"RIABR0152")</f>
        <v>RIABR0152</v>
      </c>
      <c r="B1148" s="16">
        <f>IFERROR(__xludf.DUMMYFUNCTION("""COMPUTED_VALUE"""),46078.68898643518)</f>
        <v>46078.68899</v>
      </c>
      <c r="C1148" s="17">
        <f>IFERROR(__xludf.DUMMYFUNCTION("""COMPUTED_VALUE"""),46079.62016103009)</f>
        <v>46079.62016</v>
      </c>
      <c r="D1148" s="15" t="str">
        <f>IFERROR(__xludf.DUMMYFUNCTION("""COMPUTED_VALUE"""),"All Area")</f>
        <v>All Area</v>
      </c>
      <c r="E1148" s="15" t="str">
        <f>IFERROR(__xludf.DUMMYFUNCTION("""COMPUTED_VALUE"""),"-")</f>
        <v>-</v>
      </c>
      <c r="F1148" s="15" t="str">
        <f>IFERROR(__xludf.DUMMYFUNCTION("""COMPUTED_VALUE"""),"Pilox")</f>
        <v>Pilox</v>
      </c>
      <c r="G1148" s="15">
        <f>IFERROR(__xludf.DUMMYFUNCTION("""COMPUTED_VALUE"""),3.0)</f>
        <v>3</v>
      </c>
      <c r="H1148" s="15" t="str">
        <f>IFERROR(__xludf.DUMMYFUNCTION("""COMPUTED_VALUE"""),"Pcs")</f>
        <v>Pcs</v>
      </c>
      <c r="I1148" s="15" t="str">
        <f>IFERROR(__xludf.DUMMYFUNCTION("""COMPUTED_VALUE"""),"Deliver")</f>
        <v>Deliver</v>
      </c>
      <c r="J1148" s="15" t="str">
        <f>IFERROR(__xludf.DUMMYFUNCTION("""COMPUTED_VALUE"""),"121704452 - APPROVED")</f>
        <v>121704452 - APPROVED</v>
      </c>
      <c r="K1148" s="15" t="str">
        <f>IFERROR(__xludf.DUMMYFUNCTION("""COMPUTED_VALUE"""),"GL2608399")</f>
        <v>GL2608399</v>
      </c>
      <c r="L1148" s="15" t="str">
        <f>IFERROR(__xludf.DUMMYFUNCTION("""COMPUTED_VALUE"""),"Normal")</f>
        <v>Normal</v>
      </c>
      <c r="M1148" s="18" t="s">
        <v>32</v>
      </c>
      <c r="N1148" s="18" t="s">
        <v>28</v>
      </c>
    </row>
    <row r="1149" hidden="1">
      <c r="A1149" s="15" t="str">
        <f>IFERROR(__xludf.DUMMYFUNCTION("""COMPUTED_VALUE"""),"RIABR0154")</f>
        <v>RIABR0154</v>
      </c>
      <c r="B1149" s="16">
        <f>IFERROR(__xludf.DUMMYFUNCTION("""COMPUTED_VALUE"""),46078.69071101852)</f>
        <v>46078.69071</v>
      </c>
      <c r="C1149" s="17">
        <f>IFERROR(__xludf.DUMMYFUNCTION("""COMPUTED_VALUE"""),46080.63034119213)</f>
        <v>46080.63034</v>
      </c>
      <c r="D1149" s="15" t="str">
        <f>IFERROR(__xludf.DUMMYFUNCTION("""COMPUTED_VALUE"""),"All Area")</f>
        <v>All Area</v>
      </c>
      <c r="E1149" s="15" t="str">
        <f>IFERROR(__xludf.DUMMYFUNCTION("""COMPUTED_VALUE"""),"-")</f>
        <v>-</v>
      </c>
      <c r="F1149" s="15" t="str">
        <f>IFERROR(__xludf.DUMMYFUNCTION("""COMPUTED_VALUE"""),"Pilox")</f>
        <v>Pilox</v>
      </c>
      <c r="G1149" s="15">
        <f>IFERROR(__xludf.DUMMYFUNCTION("""COMPUTED_VALUE"""),3.0)</f>
        <v>3</v>
      </c>
      <c r="H1149" s="15" t="str">
        <f>IFERROR(__xludf.DUMMYFUNCTION("""COMPUTED_VALUE"""),"Pcs")</f>
        <v>Pcs</v>
      </c>
      <c r="I1149" s="15" t="str">
        <f>IFERROR(__xludf.DUMMYFUNCTION("""COMPUTED_VALUE"""),"Approval Item Code")</f>
        <v>Approval Item Code</v>
      </c>
      <c r="J1149" s="15" t="str">
        <f>IFERROR(__xludf.DUMMYFUNCTION("""COMPUTED_VALUE"""),"-")</f>
        <v>-</v>
      </c>
      <c r="K1149" s="15" t="str">
        <f>IFERROR(__xludf.DUMMYFUNCTION("""COMPUTED_VALUE"""),"-")</f>
        <v>-</v>
      </c>
      <c r="L1149" s="15" t="str">
        <f>IFERROR(__xludf.DUMMYFUNCTION("""COMPUTED_VALUE"""),"Normal")</f>
        <v>Normal</v>
      </c>
      <c r="M1149" s="18" t="s">
        <v>32</v>
      </c>
      <c r="N1149" s="18" t="s">
        <v>28</v>
      </c>
    </row>
    <row r="1150" hidden="1">
      <c r="A1150" s="15" t="str">
        <f>IFERROR(__xludf.DUMMYFUNCTION("""COMPUTED_VALUE"""),"KFFBR0008")</f>
        <v>KFFBR0008</v>
      </c>
      <c r="B1150" s="16">
        <f>IFERROR(__xludf.DUMMYFUNCTION("""COMPUTED_VALUE"""),46077.95242194445)</f>
        <v>46077.95242</v>
      </c>
      <c r="C1150" s="17">
        <f>IFERROR(__xludf.DUMMYFUNCTION("""COMPUTED_VALUE"""),46080.94719604167)</f>
        <v>46080.9472</v>
      </c>
      <c r="D1150" s="15" t="str">
        <f>IFERROR(__xludf.DUMMYFUNCTION("""COMPUTED_VALUE"""),"HPLC ")</f>
        <v>HPLC </v>
      </c>
      <c r="E1150" s="15" t="str">
        <f>IFERROR(__xludf.DUMMYFUNCTION("""COMPUTED_VALUE"""),"EJO/2025/09/131")</f>
        <v>EJO/2025/09/131</v>
      </c>
      <c r="F1150" s="15" t="str">
        <f>IFERROR(__xludf.DUMMYFUNCTION("""COMPUTED_VALUE"""),"Pipa Hollo ")</f>
        <v>Pipa Hollo </v>
      </c>
      <c r="G1150" s="15">
        <f>IFERROR(__xludf.DUMMYFUNCTION("""COMPUTED_VALUE"""),2.0)</f>
        <v>2</v>
      </c>
      <c r="H1150" s="15" t="str">
        <f>IFERROR(__xludf.DUMMYFUNCTION("""COMPUTED_VALUE"""),"btg")</f>
        <v>btg</v>
      </c>
      <c r="I1150" s="15" t="str">
        <f>IFERROR(__xludf.DUMMYFUNCTION("""COMPUTED_VALUE"""),"Deliver")</f>
        <v>Deliver</v>
      </c>
      <c r="J1150" s="15" t="str">
        <f>IFERROR(__xludf.DUMMYFUNCTION("""COMPUTED_VALUE"""),"121703961 - APPROVED")</f>
        <v>121703961 - APPROVED</v>
      </c>
      <c r="K1150" s="15" t="str">
        <f>IFERROR(__xludf.DUMMYFUNCTION("""COMPUTED_VALUE"""),"GL2604305")</f>
        <v>GL2604305</v>
      </c>
      <c r="L1150" s="15" t="str">
        <f>IFERROR(__xludf.DUMMYFUNCTION("""COMPUTED_VALUE"""),"Normal")</f>
        <v>Normal</v>
      </c>
      <c r="M1150" s="18" t="s">
        <v>56</v>
      </c>
      <c r="N1150" s="18" t="s">
        <v>30</v>
      </c>
    </row>
    <row r="1151" hidden="1">
      <c r="A1151" s="15" t="str">
        <f>IFERROR(__xludf.DUMMYFUNCTION("""COMPUTED_VALUE"""),"AAABR0033")</f>
        <v>AAABR0033</v>
      </c>
      <c r="B1151" s="16">
        <f>IFERROR(__xludf.DUMMYFUNCTION("""COMPUTED_VALUE"""),46079.588131770826)</f>
        <v>46079.58813</v>
      </c>
      <c r="C1151" s="17">
        <f>IFERROR(__xludf.DUMMYFUNCTION("""COMPUTED_VALUE"""),46080.94835791666)</f>
        <v>46080.94836</v>
      </c>
      <c r="D1151" s="15" t="str">
        <f>IFERROR(__xludf.DUMMYFUNCTION("""COMPUTED_VALUE"""),"washing")</f>
        <v>washing</v>
      </c>
      <c r="E1151" s="15" t="str">
        <f>IFERROR(__xludf.DUMMYFUNCTION("""COMPUTED_VALUE"""),"EJO/2026/03/29")</f>
        <v>EJO/2026/03/29</v>
      </c>
      <c r="F1151" s="15" t="str">
        <f>IFERROR(__xludf.DUMMYFUNCTION("""COMPUTED_VALUE"""),"air cylinder")</f>
        <v>air cylinder</v>
      </c>
      <c r="G1151" s="15">
        <f>IFERROR(__xludf.DUMMYFUNCTION("""COMPUTED_VALUE"""),2.0)</f>
        <v>2</v>
      </c>
      <c r="H1151" s="15" t="str">
        <f>IFERROR(__xludf.DUMMYFUNCTION("""COMPUTED_VALUE"""),"Pcs")</f>
        <v>Pcs</v>
      </c>
      <c r="I1151" s="15" t="str">
        <f>IFERROR(__xludf.DUMMYFUNCTION("""COMPUTED_VALUE"""),"Deliver")</f>
        <v>Deliver</v>
      </c>
      <c r="J1151" s="15" t="str">
        <f>IFERROR(__xludf.DUMMYFUNCTION("""COMPUTED_VALUE"""),"121703970 - APPROVED")</f>
        <v>121703970 - APPROVED</v>
      </c>
      <c r="K1151" s="15" t="str">
        <f>IFERROR(__xludf.DUMMYFUNCTION("""COMPUTED_VALUE"""),"GL2604306")</f>
        <v>GL2604306</v>
      </c>
      <c r="L1151" s="15" t="str">
        <f>IFERROR(__xludf.DUMMYFUNCTION("""COMPUTED_VALUE"""),"Normal")</f>
        <v>Normal</v>
      </c>
      <c r="M1151" s="18" t="s">
        <v>47</v>
      </c>
      <c r="N1151" s="18" t="s">
        <v>30</v>
      </c>
    </row>
    <row r="1152" hidden="1">
      <c r="A1152" s="15" t="str">
        <f>IFERROR(__xludf.DUMMYFUNCTION("""COMPUTED_VALUE"""),"BDUBR0004")</f>
        <v>BDUBR0004</v>
      </c>
      <c r="B1152" s="16">
        <f>IFERROR(__xludf.DUMMYFUNCTION("""COMPUTED_VALUE"""),46083.66518791667)</f>
        <v>46083.66519</v>
      </c>
      <c r="C1152" s="17">
        <f>IFERROR(__xludf.DUMMYFUNCTION("""COMPUTED_VALUE"""),46084.55897540509)</f>
        <v>46084.55898</v>
      </c>
      <c r="D1152" s="15" t="str">
        <f>IFERROR(__xludf.DUMMYFUNCTION("""COMPUTED_VALUE"""),"Laundry Room")</f>
        <v>Laundry Room</v>
      </c>
      <c r="E1152" s="15" t="str">
        <f>IFERROR(__xludf.DUMMYFUNCTION("""COMPUTED_VALUE"""),"EJO/2026/03/14")</f>
        <v>EJO/2026/03/14</v>
      </c>
      <c r="F1152" s="15" t="str">
        <f>IFERROR(__xludf.DUMMYFUNCTION("""COMPUTED_VALUE"""),"LAF Curtain")</f>
        <v>LAF Curtain</v>
      </c>
      <c r="G1152" s="15">
        <f>IFERROR(__xludf.DUMMYFUNCTION("""COMPUTED_VALUE"""),100.0)</f>
        <v>100</v>
      </c>
      <c r="H1152" s="15" t="str">
        <f>IFERROR(__xludf.DUMMYFUNCTION("""COMPUTED_VALUE"""),"Meter")</f>
        <v>Meter</v>
      </c>
      <c r="I1152" s="15" t="str">
        <f>IFERROR(__xludf.DUMMYFUNCTION("""COMPUTED_VALUE"""),"Approval Item Code")</f>
        <v>Approval Item Code</v>
      </c>
      <c r="J1152" s="15" t="str">
        <f>IFERROR(__xludf.DUMMYFUNCTION("""COMPUTED_VALUE"""),"-")</f>
        <v>-</v>
      </c>
      <c r="K1152" s="15" t="str">
        <f>IFERROR(__xludf.DUMMYFUNCTION("""COMPUTED_VALUE"""),"-")</f>
        <v>-</v>
      </c>
      <c r="L1152" s="15" t="str">
        <f>IFERROR(__xludf.DUMMYFUNCTION("""COMPUTED_VALUE"""),"Normal")</f>
        <v>Normal</v>
      </c>
      <c r="M1152" s="18" t="s">
        <v>55</v>
      </c>
      <c r="N1152" s="18" t="s">
        <v>28</v>
      </c>
    </row>
    <row r="1153" hidden="1">
      <c r="A1153" s="15" t="str">
        <f>IFERROR(__xludf.DUMMYFUNCTION("""COMPUTED_VALUE"""),"BDUBR0005")</f>
        <v>BDUBR0005</v>
      </c>
      <c r="B1153" s="16">
        <f>IFERROR(__xludf.DUMMYFUNCTION("""COMPUTED_VALUE"""),46083.665207164355)</f>
        <v>46083.66521</v>
      </c>
      <c r="C1153" s="17">
        <f>IFERROR(__xludf.DUMMYFUNCTION("""COMPUTED_VALUE"""),46084.576172430556)</f>
        <v>46084.57617</v>
      </c>
      <c r="D1153" s="15" t="str">
        <f>IFERROR(__xludf.DUMMYFUNCTION("""COMPUTED_VALUE"""),"Laundry Room")</f>
        <v>Laundry Room</v>
      </c>
      <c r="E1153" s="15" t="str">
        <f>IFERROR(__xludf.DUMMYFUNCTION("""COMPUTED_VALUE"""),"EJO/2026/03/14")</f>
        <v>EJO/2026/03/14</v>
      </c>
      <c r="F1153" s="15" t="str">
        <f>IFERROR(__xludf.DUMMYFUNCTION("""COMPUTED_VALUE"""),"Paku Rivet")</f>
        <v>Paku Rivet</v>
      </c>
      <c r="G1153" s="15">
        <f>IFERROR(__xludf.DUMMYFUNCTION("""COMPUTED_VALUE"""),100.0)</f>
        <v>100</v>
      </c>
      <c r="H1153" s="15" t="str">
        <f>IFERROR(__xludf.DUMMYFUNCTION("""COMPUTED_VALUE"""),"pcs")</f>
        <v>pcs</v>
      </c>
      <c r="I1153" s="15" t="str">
        <f>IFERROR(__xludf.DUMMYFUNCTION("""COMPUTED_VALUE"""),"Proses PR")</f>
        <v>Proses PR</v>
      </c>
      <c r="J1153" s="15" t="str">
        <f>IFERROR(__xludf.DUMMYFUNCTION("""COMPUTED_VALUE"""),"-")</f>
        <v>-</v>
      </c>
      <c r="K1153" s="15" t="str">
        <f>IFERROR(__xludf.DUMMYFUNCTION("""COMPUTED_VALUE"""),"-")</f>
        <v>-</v>
      </c>
      <c r="L1153" s="15" t="str">
        <f>IFERROR(__xludf.DUMMYFUNCTION("""COMPUTED_VALUE"""),"Normal")</f>
        <v>Normal</v>
      </c>
      <c r="M1153" s="18" t="s">
        <v>55</v>
      </c>
      <c r="N1153" s="18" t="s">
        <v>28</v>
      </c>
    </row>
    <row r="1154" hidden="1">
      <c r="A1154" s="15" t="str">
        <f>IFERROR(__xludf.DUMMYFUNCTION("""COMPUTED_VALUE"""),"SFHBR0046")</f>
        <v>SFHBR0046</v>
      </c>
      <c r="B1154" s="16">
        <f>IFERROR(__xludf.DUMMYFUNCTION("""COMPUTED_VALUE"""),46080.655699016206)</f>
        <v>46080.6557</v>
      </c>
      <c r="C1154" s="17">
        <f>IFERROR(__xludf.DUMMYFUNCTION("""COMPUTED_VALUE"""),46084.860135358795)</f>
        <v>46084.86014</v>
      </c>
      <c r="D1154" s="15" t="str">
        <f>IFERROR(__xludf.DUMMYFUNCTION("""COMPUTED_VALUE"""),"lantai 1")</f>
        <v>lantai 1</v>
      </c>
      <c r="E1154" s="15" t="str">
        <f>IFERROR(__xludf.DUMMYFUNCTION("""COMPUTED_VALUE"""),"-")</f>
        <v>-</v>
      </c>
      <c r="F1154" s="15" t="str">
        <f>IFERROR(__xludf.DUMMYFUNCTION("""COMPUTED_VALUE"""),"Cat dulux watershild merlin")</f>
        <v>Cat dulux watershild merlin</v>
      </c>
      <c r="G1154" s="15">
        <f>IFERROR(__xludf.DUMMYFUNCTION("""COMPUTED_VALUE"""),1.0)</f>
        <v>1</v>
      </c>
      <c r="H1154" s="15" t="str">
        <f>IFERROR(__xludf.DUMMYFUNCTION("""COMPUTED_VALUE"""),"Pel")</f>
        <v>Pel</v>
      </c>
      <c r="I1154" s="15" t="str">
        <f>IFERROR(__xludf.DUMMYFUNCTION("""COMPUTED_VALUE"""),"Deliver")</f>
        <v>Deliver</v>
      </c>
      <c r="J1154" s="15" t="str">
        <f>IFERROR(__xludf.DUMMYFUNCTION("""COMPUTED_VALUE"""),"121704013 - APPROVED")</f>
        <v>121704013 - APPROVED</v>
      </c>
      <c r="K1154" s="15" t="str">
        <f>IFERROR(__xludf.DUMMYFUNCTION("""COMPUTED_VALUE"""),"GL2604011")</f>
        <v>GL2604011</v>
      </c>
      <c r="L1154" s="15" t="str">
        <f>IFERROR(__xludf.DUMMYFUNCTION("""COMPUTED_VALUE"""),"Normal")</f>
        <v>Normal</v>
      </c>
      <c r="M1154" s="18" t="s">
        <v>27</v>
      </c>
      <c r="N1154" s="18" t="s">
        <v>28</v>
      </c>
    </row>
    <row r="1155" hidden="1">
      <c r="A1155" s="15" t="str">
        <f>IFERROR(__xludf.DUMMYFUNCTION("""COMPUTED_VALUE"""),"RIABR0155")</f>
        <v>RIABR0155</v>
      </c>
      <c r="B1155" s="16">
        <f>IFERROR(__xludf.DUMMYFUNCTION("""COMPUTED_VALUE"""),46081.67226850694)</f>
        <v>46081.67227</v>
      </c>
      <c r="C1155" s="17">
        <f>IFERROR(__xludf.DUMMYFUNCTION("""COMPUTED_VALUE"""),46084.863874120376)</f>
        <v>46084.86387</v>
      </c>
      <c r="D1155" s="15" t="str">
        <f>IFERROR(__xludf.DUMMYFUNCTION("""COMPUTED_VALUE"""),"Deep Freezer")</f>
        <v>Deep Freezer</v>
      </c>
      <c r="E1155" s="15" t="str">
        <f>IFERROR(__xludf.DUMMYFUNCTION("""COMPUTED_VALUE"""),"EJO/2026/02/142")</f>
        <v>EJO/2026/02/142</v>
      </c>
      <c r="F1155" s="15" t="str">
        <f>IFERROR(__xludf.DUMMYFUNCTION("""COMPUTED_VALUE"""),"HMI")</f>
        <v>HMI</v>
      </c>
      <c r="G1155" s="15">
        <f>IFERROR(__xludf.DUMMYFUNCTION("""COMPUTED_VALUE"""),1.0)</f>
        <v>1</v>
      </c>
      <c r="H1155" s="15" t="str">
        <f>IFERROR(__xludf.DUMMYFUNCTION("""COMPUTED_VALUE"""),"Pcs")</f>
        <v>Pcs</v>
      </c>
      <c r="I1155" s="15" t="str">
        <f>IFERROR(__xludf.DUMMYFUNCTION("""COMPUTED_VALUE"""),"PR Open")</f>
        <v>PR Open</v>
      </c>
      <c r="J1155" s="15" t="str">
        <f>IFERROR(__xludf.DUMMYFUNCTION("""COMPUTED_VALUE"""),"121704430 - APPROVED")</f>
        <v>121704430 - APPROVED</v>
      </c>
      <c r="K1155" s="15" t="str">
        <f>IFERROR(__xludf.DUMMYFUNCTION("""COMPUTED_VALUE"""),"-")</f>
        <v>-</v>
      </c>
      <c r="L1155" s="15" t="str">
        <f>IFERROR(__xludf.DUMMYFUNCTION("""COMPUTED_VALUE"""),"Normal")</f>
        <v>Normal</v>
      </c>
      <c r="M1155" s="18" t="s">
        <v>32</v>
      </c>
      <c r="N1155" s="18" t="s">
        <v>28</v>
      </c>
    </row>
    <row r="1156" hidden="1">
      <c r="A1156" s="15" t="str">
        <f>IFERROR(__xludf.DUMMYFUNCTION("""COMPUTED_VALUE"""),"ROSBR0083")</f>
        <v>ROSBR0083</v>
      </c>
      <c r="B1156" s="16">
        <f>IFERROR(__xludf.DUMMYFUNCTION("""COMPUTED_VALUE"""),46083.64223204861)</f>
        <v>46083.64223</v>
      </c>
      <c r="C1156" s="17">
        <f>IFERROR(__xludf.DUMMYFUNCTION("""COMPUTED_VALUE"""),46085.41693627315)</f>
        <v>46085.41694</v>
      </c>
      <c r="D1156" s="15" t="str">
        <f>IFERROR(__xludf.DUMMYFUNCTION("""COMPUTED_VALUE"""),"washing ")</f>
        <v>washing </v>
      </c>
      <c r="E1156" s="15" t="str">
        <f>IFERROR(__xludf.DUMMYFUNCTION("""COMPUTED_VALUE"""),"-")</f>
        <v>-</v>
      </c>
      <c r="F1156" s="15" t="str">
        <f>IFERROR(__xludf.DUMMYFUNCTION("""COMPUTED_VALUE"""),"QS cylinder washing ")</f>
        <v>QS cylinder washing </v>
      </c>
      <c r="G1156" s="15">
        <f>IFERROR(__xludf.DUMMYFUNCTION("""COMPUTED_VALUE"""),30.0)</f>
        <v>30</v>
      </c>
      <c r="H1156" s="15" t="str">
        <f>IFERROR(__xludf.DUMMYFUNCTION("""COMPUTED_VALUE"""),"pcs")</f>
        <v>pcs</v>
      </c>
      <c r="I1156" s="15" t="str">
        <f>IFERROR(__xludf.DUMMYFUNCTION("""COMPUTED_VALUE"""),"Mencari Penawaran")</f>
        <v>Mencari Penawaran</v>
      </c>
      <c r="J1156" s="15" t="str">
        <f>IFERROR(__xludf.DUMMYFUNCTION("""COMPUTED_VALUE"""),"-")</f>
        <v>-</v>
      </c>
      <c r="K1156" s="15" t="str">
        <f>IFERROR(__xludf.DUMMYFUNCTION("""COMPUTED_VALUE"""),"-")</f>
        <v>-</v>
      </c>
      <c r="L1156" s="15" t="str">
        <f>IFERROR(__xludf.DUMMYFUNCTION("""COMPUTED_VALUE"""),"Normal")</f>
        <v>Normal</v>
      </c>
      <c r="M1156" s="18" t="s">
        <v>29</v>
      </c>
      <c r="N1156" s="18" t="s">
        <v>30</v>
      </c>
    </row>
    <row r="1157" hidden="1">
      <c r="A1157" s="15" t="str">
        <f>IFERROR(__xludf.DUMMYFUNCTION("""COMPUTED_VALUE"""),"ROSBR0085")</f>
        <v>ROSBR0085</v>
      </c>
      <c r="B1157" s="16">
        <f>IFERROR(__xludf.DUMMYFUNCTION("""COMPUTED_VALUE"""),46084.64543319444)</f>
        <v>46084.64543</v>
      </c>
      <c r="C1157" s="17">
        <f>IFERROR(__xludf.DUMMYFUNCTION("""COMPUTED_VALUE"""),46085.41776564815)</f>
        <v>46085.41777</v>
      </c>
      <c r="D1157" s="15" t="str">
        <f>IFERROR(__xludf.DUMMYFUNCTION("""COMPUTED_VALUE"""),"Universal ")</f>
        <v>Universal </v>
      </c>
      <c r="E1157" s="15" t="str">
        <f>IFERROR(__xludf.DUMMYFUNCTION("""COMPUTED_VALUE"""),"-")</f>
        <v>-</v>
      </c>
      <c r="F1157" s="15" t="str">
        <f>IFERROR(__xludf.DUMMYFUNCTION("""COMPUTED_VALUE"""),"Blind ferrule 1""")</f>
        <v>Blind ferrule 1"</v>
      </c>
      <c r="G1157" s="15">
        <f>IFERROR(__xludf.DUMMYFUNCTION("""COMPUTED_VALUE"""),10.0)</f>
        <v>10</v>
      </c>
      <c r="H1157" s="15" t="str">
        <f>IFERROR(__xludf.DUMMYFUNCTION("""COMPUTED_VALUE"""),"pcs")</f>
        <v>pcs</v>
      </c>
      <c r="I1157" s="15" t="str">
        <f>IFERROR(__xludf.DUMMYFUNCTION("""COMPUTED_VALUE"""),"Deliver")</f>
        <v>Deliver</v>
      </c>
      <c r="J1157" s="15" t="str">
        <f>IFERROR(__xludf.DUMMYFUNCTION("""COMPUTED_VALUE"""),"121704369 - APPROVED")</f>
        <v>121704369 - APPROVED</v>
      </c>
      <c r="K1157" s="15" t="str">
        <f>IFERROR(__xludf.DUMMYFUNCTION("""COMPUTED_VALUE"""),"GL2607378")</f>
        <v>GL2607378</v>
      </c>
      <c r="L1157" s="15" t="str">
        <f>IFERROR(__xludf.DUMMYFUNCTION("""COMPUTED_VALUE"""),"Normal")</f>
        <v>Normal</v>
      </c>
      <c r="M1157" s="18" t="s">
        <v>29</v>
      </c>
      <c r="N1157" s="18" t="s">
        <v>30</v>
      </c>
    </row>
    <row r="1158" hidden="1">
      <c r="A1158" s="15" t="str">
        <f>IFERROR(__xludf.DUMMYFUNCTION("""COMPUTED_VALUE"""),"ROSBR0086")</f>
        <v>ROSBR0086</v>
      </c>
      <c r="B1158" s="16">
        <f>IFERROR(__xludf.DUMMYFUNCTION("""COMPUTED_VALUE"""),46084.650005856485)</f>
        <v>46084.65001</v>
      </c>
      <c r="C1158" s="17">
        <f>IFERROR(__xludf.DUMMYFUNCTION("""COMPUTED_VALUE"""),46085.41793700232)</f>
        <v>46085.41794</v>
      </c>
      <c r="D1158" s="15" t="str">
        <f>IFERROR(__xludf.DUMMYFUNCTION("""COMPUTED_VALUE"""),"Universal ")</f>
        <v>Universal </v>
      </c>
      <c r="E1158" s="15" t="str">
        <f>IFERROR(__xludf.DUMMYFUNCTION("""COMPUTED_VALUE"""),"-")</f>
        <v>-</v>
      </c>
      <c r="F1158" s="15" t="str">
        <f>IFERROR(__xludf.DUMMYFUNCTION("""COMPUTED_VALUE"""),"Blind ferrule 1/2""")</f>
        <v>Blind ferrule 1/2"</v>
      </c>
      <c r="G1158" s="15">
        <f>IFERROR(__xludf.DUMMYFUNCTION("""COMPUTED_VALUE"""),10.0)</f>
        <v>10</v>
      </c>
      <c r="H1158" s="15" t="str">
        <f>IFERROR(__xludf.DUMMYFUNCTION("""COMPUTED_VALUE"""),"pcs")</f>
        <v>pcs</v>
      </c>
      <c r="I1158" s="15" t="str">
        <f>IFERROR(__xludf.DUMMYFUNCTION("""COMPUTED_VALUE"""),"PR Open")</f>
        <v>PR Open</v>
      </c>
      <c r="J1158" s="15" t="str">
        <f>IFERROR(__xludf.DUMMYFUNCTION("""COMPUTED_VALUE"""),"121704365 - APPROVED")</f>
        <v>121704365 - APPROVED</v>
      </c>
      <c r="K1158" s="15" t="str">
        <f>IFERROR(__xludf.DUMMYFUNCTION("""COMPUTED_VALUE"""),"GL2609002")</f>
        <v>GL2609002</v>
      </c>
      <c r="L1158" s="15" t="str">
        <f>IFERROR(__xludf.DUMMYFUNCTION("""COMPUTED_VALUE"""),"Normal")</f>
        <v>Normal</v>
      </c>
      <c r="M1158" s="18" t="s">
        <v>29</v>
      </c>
      <c r="N1158" s="18" t="s">
        <v>30</v>
      </c>
    </row>
    <row r="1159" hidden="1">
      <c r="A1159" s="15" t="str">
        <f>IFERROR(__xludf.DUMMYFUNCTION("""COMPUTED_VALUE"""),"ROSRO0025")</f>
        <v>ROSRO0025</v>
      </c>
      <c r="B1159" s="16">
        <f>IFERROR(__xludf.DUMMYFUNCTION("""COMPUTED_VALUE"""),46083.63185246528)</f>
        <v>46083.63185</v>
      </c>
      <c r="C1159" s="17">
        <f>IFERROR(__xludf.DUMMYFUNCTION("""COMPUTED_VALUE"""),46085.418390983796)</f>
        <v>46085.41839</v>
      </c>
      <c r="D1159" s="15" t="str">
        <f>IFERROR(__xludf.DUMMYFUNCTION("""COMPUTED_VALUE"""),"-")</f>
        <v>-</v>
      </c>
      <c r="E1159" s="15" t="str">
        <f>IFERROR(__xludf.DUMMYFUNCTION("""COMPUTED_VALUE"""),"-")</f>
        <v>-</v>
      </c>
      <c r="F1159" s="15" t="str">
        <f>IFERROR(__xludf.DUMMYFUNCTION("""COMPUTED_VALUE"""),"General - Exhaust Fan 4414M; EBMPast; -; 1 pc")</f>
        <v>General - Exhaust Fan 4414M; EBMPast; -; 1 pc</v>
      </c>
      <c r="G1159" s="15">
        <f>IFERROR(__xludf.DUMMYFUNCTION("""COMPUTED_VALUE"""),4.0)</f>
        <v>4</v>
      </c>
      <c r="H1159" s="15" t="str">
        <f>IFERROR(__xludf.DUMMYFUNCTION("""COMPUTED_VALUE"""),"pcs")</f>
        <v>pcs</v>
      </c>
      <c r="I1159" s="15" t="str">
        <f>IFERROR(__xludf.DUMMYFUNCTION("""COMPUTED_VALUE"""),"Deliver")</f>
        <v>Deliver</v>
      </c>
      <c r="J1159" s="15" t="str">
        <f>IFERROR(__xludf.DUMMYFUNCTION("""COMPUTED_VALUE"""),"121703998 - APPROVED")</f>
        <v>121703998 - APPROVED</v>
      </c>
      <c r="K1159" s="15" t="str">
        <f>IFERROR(__xludf.DUMMYFUNCTION("""COMPUTED_VALUE"""),"GL2604491")</f>
        <v>GL2604491</v>
      </c>
      <c r="L1159" s="15" t="str">
        <f>IFERROR(__xludf.DUMMYFUNCTION("""COMPUTED_VALUE"""),"Normal")</f>
        <v>Normal</v>
      </c>
      <c r="M1159" s="18" t="s">
        <v>29</v>
      </c>
      <c r="N1159" s="18" t="s">
        <v>30</v>
      </c>
    </row>
    <row r="1160" hidden="1">
      <c r="A1160" s="15" t="str">
        <f>IFERROR(__xludf.DUMMYFUNCTION("""COMPUTED_VALUE"""),"MFHBR0029")</f>
        <v>MFHBR0029</v>
      </c>
      <c r="B1160" s="16">
        <f>IFERROR(__xludf.DUMMYFUNCTION("""COMPUTED_VALUE"""),46062.37783008102)</f>
        <v>46062.37783</v>
      </c>
      <c r="C1160" s="17">
        <f>IFERROR(__xludf.DUMMYFUNCTION("""COMPUTED_VALUE"""),46089.983068263886)</f>
        <v>46089.98307</v>
      </c>
      <c r="D1160" s="15" t="str">
        <f>IFERROR(__xludf.DUMMYFUNCTION("""COMPUTED_VALUE"""),"Water System")</f>
        <v>Water System</v>
      </c>
      <c r="E1160" s="15" t="str">
        <f>IFERROR(__xludf.DUMMYFUNCTION("""COMPUTED_VALUE"""),"-")</f>
        <v>-</v>
      </c>
      <c r="F1160" s="15" t="str">
        <f>IFERROR(__xludf.DUMMYFUNCTION("""COMPUTED_VALUE"""),"Upgrade Sensor Ozone")</f>
        <v>Upgrade Sensor Ozone</v>
      </c>
      <c r="G1160" s="15">
        <f>IFERROR(__xludf.DUMMYFUNCTION("""COMPUTED_VALUE"""),1.0)</f>
        <v>1</v>
      </c>
      <c r="H1160" s="15" t="str">
        <f>IFERROR(__xludf.DUMMYFUNCTION("""COMPUTED_VALUE"""),"Unit")</f>
        <v>Unit</v>
      </c>
      <c r="I1160" s="15" t="str">
        <f>IFERROR(__xludf.DUMMYFUNCTION("""COMPUTED_VALUE"""),"Deliver")</f>
        <v>Deliver</v>
      </c>
      <c r="J1160" s="15" t="str">
        <f>IFERROR(__xludf.DUMMYFUNCTION("""COMPUTED_VALUE"""),"121703680 - APPROVED")</f>
        <v>121703680 - APPROVED</v>
      </c>
      <c r="K1160" s="15" t="str">
        <f>IFERROR(__xludf.DUMMYFUNCTION("""COMPUTED_VALUE"""),"GL2602017")</f>
        <v>GL2602017</v>
      </c>
      <c r="L1160" s="15" t="str">
        <f>IFERROR(__xludf.DUMMYFUNCTION("""COMPUTED_VALUE"""),"Normal")</f>
        <v>Normal</v>
      </c>
      <c r="M1160" s="18" t="s">
        <v>53</v>
      </c>
      <c r="N1160" s="18" t="s">
        <v>54</v>
      </c>
    </row>
    <row r="1161" hidden="1">
      <c r="A1161" s="15" t="str">
        <f>IFERROR(__xludf.DUMMYFUNCTION("""COMPUTED_VALUE"""),"SFHBR0047")</f>
        <v>SFHBR0047</v>
      </c>
      <c r="B1161" s="16">
        <f>IFERROR(__xludf.DUMMYFUNCTION("""COMPUTED_VALUE"""),46087.97294246528)</f>
        <v>46087.97294</v>
      </c>
      <c r="C1161" s="17">
        <f>IFERROR(__xludf.DUMMYFUNCTION("""COMPUTED_VALUE"""),46090.41727293981)</f>
        <v>46090.41727</v>
      </c>
      <c r="D1161" s="15" t="str">
        <f>IFERROR(__xludf.DUMMYFUNCTION("""COMPUTED_VALUE"""),"lantai 2")</f>
        <v>lantai 2</v>
      </c>
      <c r="E1161" s="15" t="str">
        <f>IFERROR(__xludf.DUMMYFUNCTION("""COMPUTED_VALUE"""),"-")</f>
        <v>-</v>
      </c>
      <c r="F1161" s="15" t="str">
        <f>IFERROR(__xludf.DUMMYFUNCTION("""COMPUTED_VALUE"""),"keramik dinding buat toiltet")</f>
        <v>keramik dinding buat toiltet</v>
      </c>
      <c r="G1161" s="15">
        <f>IFERROR(__xludf.DUMMYFUNCTION("""COMPUTED_VALUE"""),4.0)</f>
        <v>4</v>
      </c>
      <c r="H1161" s="15" t="str">
        <f>IFERROR(__xludf.DUMMYFUNCTION("""COMPUTED_VALUE"""),"dus")</f>
        <v>dus</v>
      </c>
      <c r="I1161" s="15" t="str">
        <f>IFERROR(__xludf.DUMMYFUNCTION("""COMPUTED_VALUE"""),"PR Open")</f>
        <v>PR Open</v>
      </c>
      <c r="J1161" s="15" t="str">
        <f>IFERROR(__xludf.DUMMYFUNCTION("""COMPUTED_VALUE"""),"121704550 - APPROVED")</f>
        <v>121704550 - APPROVED</v>
      </c>
      <c r="K1161" s="15" t="str">
        <f>IFERROR(__xludf.DUMMYFUNCTION("""COMPUTED_VALUE"""),"GL2609434")</f>
        <v>GL2609434</v>
      </c>
      <c r="L1161" s="15" t="str">
        <f>IFERROR(__xludf.DUMMYFUNCTION("""COMPUTED_VALUE"""),"Normal")</f>
        <v>Normal</v>
      </c>
      <c r="M1161" s="18" t="s">
        <v>27</v>
      </c>
      <c r="N1161" s="18" t="s">
        <v>28</v>
      </c>
    </row>
    <row r="1162" hidden="1">
      <c r="A1162" s="15" t="str">
        <f>IFERROR(__xludf.DUMMYFUNCTION("""COMPUTED_VALUE"""),"RIABR0156")</f>
        <v>RIABR0156</v>
      </c>
      <c r="B1162" s="16">
        <f>IFERROR(__xludf.DUMMYFUNCTION("""COMPUTED_VALUE"""),46088.302281145836)</f>
        <v>46088.30228</v>
      </c>
      <c r="C1162" s="17">
        <f>IFERROR(__xludf.DUMMYFUNCTION("""COMPUTED_VALUE"""),46090.41742607639)</f>
        <v>46090.41743</v>
      </c>
      <c r="D1162" s="15" t="str">
        <f>IFERROR(__xludf.DUMMYFUNCTION("""COMPUTED_VALUE"""),"Granulasi")</f>
        <v>Granulasi</v>
      </c>
      <c r="E1162" s="15" t="str">
        <f>IFERROR(__xludf.DUMMYFUNCTION("""COMPUTED_VALUE"""),"-")</f>
        <v>-</v>
      </c>
      <c r="F1162" s="15" t="str">
        <f>IFERROR(__xludf.DUMMYFUNCTION("""COMPUTED_VALUE"""),"Oli Mesin")</f>
        <v>Oli Mesin</v>
      </c>
      <c r="G1162" s="15">
        <f>IFERROR(__xludf.DUMMYFUNCTION("""COMPUTED_VALUE"""),3.0)</f>
        <v>3</v>
      </c>
      <c r="H1162" s="15" t="str">
        <f>IFERROR(__xludf.DUMMYFUNCTION("""COMPUTED_VALUE"""),"Ltr")</f>
        <v>Ltr</v>
      </c>
      <c r="I1162" s="15" t="str">
        <f>IFERROR(__xludf.DUMMYFUNCTION("""COMPUTED_VALUE"""),"Deliver")</f>
        <v>Deliver</v>
      </c>
      <c r="J1162" s="15" t="str">
        <f>IFERROR(__xludf.DUMMYFUNCTION("""COMPUTED_VALUE"""),"121704155 - APPROVED")</f>
        <v>121704155 - APPROVED</v>
      </c>
      <c r="K1162" s="15" t="str">
        <f>IFERROR(__xludf.DUMMYFUNCTION("""COMPUTED_VALUE"""),"GL2605327")</f>
        <v>GL2605327</v>
      </c>
      <c r="L1162" s="15" t="str">
        <f>IFERROR(__xludf.DUMMYFUNCTION("""COMPUTED_VALUE"""),"Normal")</f>
        <v>Normal</v>
      </c>
      <c r="M1162" s="18" t="s">
        <v>32</v>
      </c>
      <c r="N1162" s="18" t="s">
        <v>28</v>
      </c>
    </row>
    <row r="1163" hidden="1">
      <c r="A1163" s="15" t="str">
        <f>IFERROR(__xludf.DUMMYFUNCTION("""COMPUTED_VALUE"""),"MRNBR0102")</f>
        <v>MRNBR0102</v>
      </c>
      <c r="B1163" s="16">
        <f>IFERROR(__xludf.DUMMYFUNCTION("""COMPUTED_VALUE"""),46085.636620520825)</f>
        <v>46085.63662</v>
      </c>
      <c r="C1163" s="17">
        <f>IFERROR(__xludf.DUMMYFUNCTION("""COMPUTED_VALUE"""),46090.424240127315)</f>
        <v>46090.42424</v>
      </c>
      <c r="D1163" s="15" t="str">
        <f>IFERROR(__xludf.DUMMYFUNCTION("""COMPUTED_VALUE"""),"EF C1-32")</f>
        <v>EF C1-32</v>
      </c>
      <c r="E1163" s="15" t="str">
        <f>IFERROR(__xludf.DUMMYFUNCTION("""COMPUTED_VALUE"""),"EJO/2026/03/56")</f>
        <v>EJO/2026/03/56</v>
      </c>
      <c r="F1163" s="15" t="str">
        <f>IFERROR(__xludf.DUMMYFUNCTION("""COMPUTED_VALUE"""),"Gasket pintu")</f>
        <v>Gasket pintu</v>
      </c>
      <c r="G1163" s="15">
        <f>IFERROR(__xludf.DUMMYFUNCTION("""COMPUTED_VALUE"""),8.0)</f>
        <v>8</v>
      </c>
      <c r="H1163" s="15" t="str">
        <f>IFERROR(__xludf.DUMMYFUNCTION("""COMPUTED_VALUE"""),"roll")</f>
        <v>roll</v>
      </c>
      <c r="I1163" s="15" t="str">
        <f>IFERROR(__xludf.DUMMYFUNCTION("""COMPUTED_VALUE"""),"Mencari Penawaran")</f>
        <v>Mencari Penawaran</v>
      </c>
      <c r="J1163" s="15" t="str">
        <f>IFERROR(__xludf.DUMMYFUNCTION("""COMPUTED_VALUE"""),"-")</f>
        <v>-</v>
      </c>
      <c r="K1163" s="15" t="str">
        <f>IFERROR(__xludf.DUMMYFUNCTION("""COMPUTED_VALUE"""),"-")</f>
        <v>-</v>
      </c>
      <c r="L1163" s="15" t="str">
        <f>IFERROR(__xludf.DUMMYFUNCTION("""COMPUTED_VALUE"""),"Normal")</f>
        <v>Normal</v>
      </c>
      <c r="M1163" s="18" t="s">
        <v>48</v>
      </c>
      <c r="N1163" s="18" t="s">
        <v>28</v>
      </c>
    </row>
    <row r="1164" hidden="1">
      <c r="A1164" s="15" t="str">
        <f>IFERROR(__xludf.DUMMYFUNCTION("""COMPUTED_VALUE"""),"MRNBR0103")</f>
        <v>MRNBR0103</v>
      </c>
      <c r="B1164" s="16">
        <f>IFERROR(__xludf.DUMMYFUNCTION("""COMPUTED_VALUE"""),46086.45758048611)</f>
        <v>46086.45758</v>
      </c>
      <c r="C1164" s="17">
        <f>IFERROR(__xludf.DUMMYFUNCTION("""COMPUTED_VALUE"""),46090.424533101854)</f>
        <v>46090.42453</v>
      </c>
      <c r="D1164" s="15" t="str">
        <f>IFERROR(__xludf.DUMMYFUNCTION("""COMPUTED_VALUE"""),"EF micro")</f>
        <v>EF micro</v>
      </c>
      <c r="E1164" s="15" t="str">
        <f>IFERROR(__xludf.DUMMYFUNCTION("""COMPUTED_VALUE"""),"EJO/2026/03/56")</f>
        <v>EJO/2026/03/56</v>
      </c>
      <c r="F1164" s="15" t="str">
        <f>IFERROR(__xludf.DUMMYFUNCTION("""COMPUTED_VALUE"""),"Exhaust fan")</f>
        <v>Exhaust fan</v>
      </c>
      <c r="G1164" s="15">
        <f>IFERROR(__xludf.DUMMYFUNCTION("""COMPUTED_VALUE"""),2.0)</f>
        <v>2</v>
      </c>
      <c r="H1164" s="15" t="str">
        <f>IFERROR(__xludf.DUMMYFUNCTION("""COMPUTED_VALUE"""),"unit")</f>
        <v>unit</v>
      </c>
      <c r="I1164" s="15" t="str">
        <f>IFERROR(__xludf.DUMMYFUNCTION("""COMPUTED_VALUE"""),"Deliver")</f>
        <v>Deliver</v>
      </c>
      <c r="J1164" s="15" t="str">
        <f>IFERROR(__xludf.DUMMYFUNCTION("""COMPUTED_VALUE"""),"121704031 - APPROVED")</f>
        <v>121704031 - APPROVED</v>
      </c>
      <c r="K1164" s="15" t="str">
        <f>IFERROR(__xludf.DUMMYFUNCTION("""COMPUTED_VALUE"""),"GL2603475")</f>
        <v>GL2603475</v>
      </c>
      <c r="L1164" s="15" t="str">
        <f>IFERROR(__xludf.DUMMYFUNCTION("""COMPUTED_VALUE"""),"Normal")</f>
        <v>Normal</v>
      </c>
      <c r="M1164" s="18" t="s">
        <v>48</v>
      </c>
      <c r="N1164" s="18" t="s">
        <v>28</v>
      </c>
    </row>
    <row r="1165" hidden="1">
      <c r="A1165" s="15" t="str">
        <f>IFERROR(__xludf.DUMMYFUNCTION("""COMPUTED_VALUE"""),"MOBRO0078")</f>
        <v>MOBRO0078</v>
      </c>
      <c r="B1165" s="16">
        <f>IFERROR(__xludf.DUMMYFUNCTION("""COMPUTED_VALUE"""),46090.03408174769)</f>
        <v>46090.03408</v>
      </c>
      <c r="C1165" s="17">
        <f>IFERROR(__xludf.DUMMYFUNCTION("""COMPUTED_VALUE"""),46090.42481711806)</f>
        <v>46090.42482</v>
      </c>
      <c r="D1165" s="15" t="str">
        <f>IFERROR(__xludf.DUMMYFUNCTION("""COMPUTED_VALUE"""),"Pneumatic Fitting")</f>
        <v>Pneumatic Fitting</v>
      </c>
      <c r="E1165" s="15" t="str">
        <f>IFERROR(__xludf.DUMMYFUNCTION("""COMPUTED_VALUE"""),"-")</f>
        <v>-</v>
      </c>
      <c r="F1165" s="15" t="str">
        <f>IFERROR(__xludf.DUMMYFUNCTION("""COMPUTED_VALUE"""),"General - Fitting QS 1/2 x 8 mm; EMC; -; 1 pc")</f>
        <v>General - Fitting QS 1/2 x 8 mm; EMC; -; 1 pc</v>
      </c>
      <c r="G1165" s="15">
        <f>IFERROR(__xludf.DUMMYFUNCTION("""COMPUTED_VALUE"""),3.0)</f>
        <v>3</v>
      </c>
      <c r="H1165" s="15" t="str">
        <f>IFERROR(__xludf.DUMMYFUNCTION("""COMPUTED_VALUE"""),"Pcs")</f>
        <v>Pcs</v>
      </c>
      <c r="I1165" s="15" t="str">
        <f>IFERROR(__xludf.DUMMYFUNCTION("""COMPUTED_VALUE"""),"Deliver")</f>
        <v>Deliver</v>
      </c>
      <c r="J1165" s="15" t="str">
        <f>IFERROR(__xludf.DUMMYFUNCTION("""COMPUTED_VALUE"""),"121704176 - APPROVED")</f>
        <v>121704176 - APPROVED</v>
      </c>
      <c r="K1165" s="15" t="str">
        <f>IFERROR(__xludf.DUMMYFUNCTION("""COMPUTED_VALUE"""),"GL2605325")</f>
        <v>GL2605325</v>
      </c>
      <c r="L1165" s="15" t="str">
        <f>IFERROR(__xludf.DUMMYFUNCTION("""COMPUTED_VALUE"""),"Normal")</f>
        <v>Normal</v>
      </c>
      <c r="M1165" s="18" t="s">
        <v>31</v>
      </c>
      <c r="N1165" s="18" t="s">
        <v>28</v>
      </c>
    </row>
    <row r="1166" hidden="1">
      <c r="A1166" s="15" t="str">
        <f>IFERROR(__xludf.DUMMYFUNCTION("""COMPUTED_VALUE"""),"ROSBR0087")</f>
        <v>ROSBR0087</v>
      </c>
      <c r="B1166" s="16">
        <f>IFERROR(__xludf.DUMMYFUNCTION("""COMPUTED_VALUE"""),46086.471976539346)</f>
        <v>46086.47198</v>
      </c>
      <c r="C1166" s="17">
        <f>IFERROR(__xludf.DUMMYFUNCTION("""COMPUTED_VALUE"""),46093.04292825232)</f>
        <v>46093.04293</v>
      </c>
      <c r="D1166" s="15" t="str">
        <f>IFERROR(__xludf.DUMMYFUNCTION("""COMPUTED_VALUE"""),"Universal ")</f>
        <v>Universal </v>
      </c>
      <c r="E1166" s="15" t="str">
        <f>IFERROR(__xludf.DUMMYFUNCTION("""COMPUTED_VALUE"""),"-")</f>
        <v>-</v>
      </c>
      <c r="F1166" s="15" t="str">
        <f>IFERROR(__xludf.DUMMYFUNCTION("""COMPUTED_VALUE"""),"Blind ferrule 3/4""")</f>
        <v>Blind ferrule 3/4"</v>
      </c>
      <c r="G1166" s="15">
        <f>IFERROR(__xludf.DUMMYFUNCTION("""COMPUTED_VALUE"""),20.0)</f>
        <v>20</v>
      </c>
      <c r="H1166" s="15" t="str">
        <f>IFERROR(__xludf.DUMMYFUNCTION("""COMPUTED_VALUE"""),"pcs")</f>
        <v>pcs</v>
      </c>
      <c r="I1166" s="15" t="str">
        <f>IFERROR(__xludf.DUMMYFUNCTION("""COMPUTED_VALUE"""),"Proses PR")</f>
        <v>Proses PR</v>
      </c>
      <c r="J1166" s="15" t="str">
        <f>IFERROR(__xludf.DUMMYFUNCTION("""COMPUTED_VALUE"""),"-")</f>
        <v>-</v>
      </c>
      <c r="K1166" s="15" t="str">
        <f>IFERROR(__xludf.DUMMYFUNCTION("""COMPUTED_VALUE"""),"-")</f>
        <v>-</v>
      </c>
      <c r="L1166" s="15" t="str">
        <f>IFERROR(__xludf.DUMMYFUNCTION("""COMPUTED_VALUE"""),"Normal")</f>
        <v>Normal</v>
      </c>
      <c r="M1166" s="18" t="s">
        <v>29</v>
      </c>
      <c r="N1166" s="18" t="s">
        <v>30</v>
      </c>
    </row>
    <row r="1167" hidden="1">
      <c r="A1167" s="15" t="str">
        <f>IFERROR(__xludf.DUMMYFUNCTION("""COMPUTED_VALUE"""),"ROSBR0088")</f>
        <v>ROSBR0088</v>
      </c>
      <c r="B1167" s="16">
        <f>IFERROR(__xludf.DUMMYFUNCTION("""COMPUTED_VALUE"""),46086.47533390047)</f>
        <v>46086.47533</v>
      </c>
      <c r="C1167" s="17">
        <f>IFERROR(__xludf.DUMMYFUNCTION("""COMPUTED_VALUE"""),46093.043335601855)</f>
        <v>46093.04334</v>
      </c>
      <c r="D1167" s="15" t="str">
        <f>IFERROR(__xludf.DUMMYFUNCTION("""COMPUTED_VALUE"""),"mixing")</f>
        <v>mixing</v>
      </c>
      <c r="E1167" s="15" t="str">
        <f>IFERROR(__xludf.DUMMYFUNCTION("""COMPUTED_VALUE"""),"-")</f>
        <v>-</v>
      </c>
      <c r="F1167" s="15" t="str">
        <f>IFERROR(__xludf.DUMMYFUNCTION("""COMPUTED_VALUE"""),"Lampu tangki  Mixing ")</f>
        <v>Lampu tangki  Mixing </v>
      </c>
      <c r="G1167" s="15">
        <f>IFERROR(__xludf.DUMMYFUNCTION("""COMPUTED_VALUE"""),2.0)</f>
        <v>2</v>
      </c>
      <c r="H1167" s="15" t="str">
        <f>IFERROR(__xludf.DUMMYFUNCTION("""COMPUTED_VALUE"""),"unit")</f>
        <v>unit</v>
      </c>
      <c r="I1167" s="15" t="str">
        <f>IFERROR(__xludf.DUMMYFUNCTION("""COMPUTED_VALUE"""),"Deliver")</f>
        <v>Deliver</v>
      </c>
      <c r="J1167" s="15" t="str">
        <f>IFERROR(__xludf.DUMMYFUNCTION("""COMPUTED_VALUE"""),"121704395 - APPROVED")</f>
        <v>121704395 - APPROVED</v>
      </c>
      <c r="K1167" s="15" t="str">
        <f>IFERROR(__xludf.DUMMYFUNCTION("""COMPUTED_VALUE"""),"GL2607376")</f>
        <v>GL2607376</v>
      </c>
      <c r="L1167" s="15" t="str">
        <f>IFERROR(__xludf.DUMMYFUNCTION("""COMPUTED_VALUE"""),"Normal")</f>
        <v>Normal</v>
      </c>
      <c r="M1167" s="18" t="s">
        <v>29</v>
      </c>
      <c r="N1167" s="18" t="s">
        <v>30</v>
      </c>
    </row>
    <row r="1168" hidden="1">
      <c r="A1168" s="15" t="str">
        <f>IFERROR(__xludf.DUMMYFUNCTION("""COMPUTED_VALUE"""),"ROSBR0089")</f>
        <v>ROSBR0089</v>
      </c>
      <c r="B1168" s="16">
        <f>IFERROR(__xludf.DUMMYFUNCTION("""COMPUTED_VALUE"""),46086.617435381944)</f>
        <v>46086.61744</v>
      </c>
      <c r="C1168" s="17">
        <f>IFERROR(__xludf.DUMMYFUNCTION("""COMPUTED_VALUE"""),46093.043765787035)</f>
        <v>46093.04377</v>
      </c>
      <c r="D1168" s="15" t="str">
        <f>IFERROR(__xludf.DUMMYFUNCTION("""COMPUTED_VALUE"""),"BSC")</f>
        <v>BSC</v>
      </c>
      <c r="E1168" s="15" t="str">
        <f>IFERROR(__xludf.DUMMYFUNCTION("""COMPUTED_VALUE"""),"-")</f>
        <v>-</v>
      </c>
      <c r="F1168" s="15" t="str">
        <f>IFERROR(__xludf.DUMMYFUNCTION("""COMPUTED_VALUE"""),"EF BSC 3")</f>
        <v>EF BSC 3</v>
      </c>
      <c r="G1168" s="15">
        <f>IFERROR(__xludf.DUMMYFUNCTION("""COMPUTED_VALUE"""),2.0)</f>
        <v>2</v>
      </c>
      <c r="H1168" s="15" t="str">
        <f>IFERROR(__xludf.DUMMYFUNCTION("""COMPUTED_VALUE"""),"unit ")</f>
        <v>unit </v>
      </c>
      <c r="I1168" s="15" t="str">
        <f>IFERROR(__xludf.DUMMYFUNCTION("""COMPUTED_VALUE"""),"PO Open")</f>
        <v>PO Open</v>
      </c>
      <c r="J1168" s="15" t="str">
        <f>IFERROR(__xludf.DUMMYFUNCTION("""COMPUTED_VALUE"""),"121704074 - APPROVED")</f>
        <v>121704074 - APPROVED</v>
      </c>
      <c r="K1168" s="15" t="str">
        <f>IFERROR(__xludf.DUMMYFUNCTION("""COMPUTED_VALUE"""),"GL2605043")</f>
        <v>GL2605043</v>
      </c>
      <c r="L1168" s="15" t="str">
        <f>IFERROR(__xludf.DUMMYFUNCTION("""COMPUTED_VALUE"""),"Normal")</f>
        <v>Normal</v>
      </c>
      <c r="M1168" s="18" t="s">
        <v>29</v>
      </c>
      <c r="N1168" s="18" t="s">
        <v>30</v>
      </c>
    </row>
    <row r="1169" hidden="1">
      <c r="A1169" s="15" t="str">
        <f>IFERROR(__xludf.DUMMYFUNCTION("""COMPUTED_VALUE"""),"ROSRO0026")</f>
        <v>ROSRO0026</v>
      </c>
      <c r="B1169" s="16">
        <f>IFERROR(__xludf.DUMMYFUNCTION("""COMPUTED_VALUE"""),46086.599018912035)</f>
        <v>46086.59902</v>
      </c>
      <c r="C1169" s="17">
        <f>IFERROR(__xludf.DUMMYFUNCTION("""COMPUTED_VALUE"""),46093.04480091435)</f>
        <v>46093.0448</v>
      </c>
      <c r="D1169" s="15" t="str">
        <f>IFERROR(__xludf.DUMMYFUNCTION("""COMPUTED_VALUE"""),"EF BSC 1")</f>
        <v>EF BSC 1</v>
      </c>
      <c r="E1169" s="15" t="str">
        <f>IFERROR(__xludf.DUMMYFUNCTION("""COMPUTED_VALUE"""),"EJO/2026/03/84")</f>
        <v>EJO/2026/03/84</v>
      </c>
      <c r="F1169" s="15" t="str">
        <f>IFERROR(__xludf.DUMMYFUNCTION("""COMPUTED_VALUE"""),"General - Exhaust Fan;Ebm-Papst;R3G190-RC05-03;")</f>
        <v>General - Exhaust Fan;Ebm-Papst;R3G190-RC05-03;</v>
      </c>
      <c r="G1169" s="15">
        <f>IFERROR(__xludf.DUMMYFUNCTION("""COMPUTED_VALUE"""),2.0)</f>
        <v>2</v>
      </c>
      <c r="H1169" s="15" t="str">
        <f>IFERROR(__xludf.DUMMYFUNCTION("""COMPUTED_VALUE"""),"pcs")</f>
        <v>pcs</v>
      </c>
      <c r="I1169" s="15" t="str">
        <f>IFERROR(__xludf.DUMMYFUNCTION("""COMPUTED_VALUE"""),"Deliver")</f>
        <v>Deliver</v>
      </c>
      <c r="J1169" s="15" t="str">
        <f>IFERROR(__xludf.DUMMYFUNCTION("""COMPUTED_VALUE"""),"121704074 - APPROVED")</f>
        <v>121704074 - APPROVED</v>
      </c>
      <c r="K1169" s="15" t="str">
        <f>IFERROR(__xludf.DUMMYFUNCTION("""COMPUTED_VALUE"""),"GL2604303")</f>
        <v>GL2604303</v>
      </c>
      <c r="L1169" s="15" t="str">
        <f>IFERROR(__xludf.DUMMYFUNCTION("""COMPUTED_VALUE"""),"Normal")</f>
        <v>Normal</v>
      </c>
      <c r="M1169" s="18" t="s">
        <v>29</v>
      </c>
      <c r="N1169" s="18" t="s">
        <v>30</v>
      </c>
    </row>
    <row r="1170" hidden="1">
      <c r="A1170" s="15" t="str">
        <f>IFERROR(__xludf.DUMMYFUNCTION("""COMPUTED_VALUE"""),"ANOBR0050")</f>
        <v>ANOBR0050</v>
      </c>
      <c r="B1170" s="16">
        <f>IFERROR(__xludf.DUMMYFUNCTION("""COMPUTED_VALUE"""),46091.64007299769)</f>
        <v>46091.64007</v>
      </c>
      <c r="C1170" s="17">
        <f>IFERROR(__xludf.DUMMYFUNCTION("""COMPUTED_VALUE"""),46093.04871679398)</f>
        <v>46093.04872</v>
      </c>
      <c r="D1170" s="15" t="str">
        <f>IFERROR(__xludf.DUMMYFUNCTION("""COMPUTED_VALUE"""),"Aerosol generator")</f>
        <v>Aerosol generator</v>
      </c>
      <c r="E1170" s="15" t="str">
        <f>IFERROR(__xludf.DUMMYFUNCTION("""COMPUTED_VALUE"""),"EJO/2026/01/137")</f>
        <v>EJO/2026/01/137</v>
      </c>
      <c r="F1170" s="15" t="str">
        <f>IFERROR(__xludf.DUMMYFUNCTION("""COMPUTED_VALUE"""),"gasket silicon rubber")</f>
        <v>gasket silicon rubber</v>
      </c>
      <c r="G1170" s="15">
        <f>IFERROR(__xludf.DUMMYFUNCTION("""COMPUTED_VALUE"""),1.0)</f>
        <v>1</v>
      </c>
      <c r="H1170" s="15" t="str">
        <f>IFERROR(__xludf.DUMMYFUNCTION("""COMPUTED_VALUE"""),"roll")</f>
        <v>roll</v>
      </c>
      <c r="I1170" s="15" t="str">
        <f>IFERROR(__xludf.DUMMYFUNCTION("""COMPUTED_VALUE"""),"Deliver")</f>
        <v>Deliver</v>
      </c>
      <c r="J1170" s="15" t="str">
        <f>IFERROR(__xludf.DUMMYFUNCTION("""COMPUTED_VALUE"""),"121703942 - APPROVED")</f>
        <v>121703942 - APPROVED</v>
      </c>
      <c r="K1170" s="15" t="str">
        <f>IFERROR(__xludf.DUMMYFUNCTION("""COMPUTED_VALUE"""),"GL2603465")</f>
        <v>GL2603465</v>
      </c>
      <c r="L1170" s="15" t="str">
        <f>IFERROR(__xludf.DUMMYFUNCTION("""COMPUTED_VALUE"""),"Normal")</f>
        <v>Normal</v>
      </c>
      <c r="M1170" s="18" t="s">
        <v>49</v>
      </c>
      <c r="N1170" s="18" t="s">
        <v>30</v>
      </c>
    </row>
    <row r="1171" hidden="1">
      <c r="A1171" s="15" t="str">
        <f>IFERROR(__xludf.DUMMYFUNCTION("""COMPUTED_VALUE"""),"ANOBR0051")</f>
        <v>ANOBR0051</v>
      </c>
      <c r="B1171" s="16">
        <f>IFERROR(__xludf.DUMMYFUNCTION("""COMPUTED_VALUE"""),46091.64013233796)</f>
        <v>46091.64013</v>
      </c>
      <c r="C1171" s="17">
        <f>IFERROR(__xludf.DUMMYFUNCTION("""COMPUTED_VALUE"""),46093.04898717592)</f>
        <v>46093.04899</v>
      </c>
      <c r="D1171" s="15" t="str">
        <f>IFERROR(__xludf.DUMMYFUNCTION("""COMPUTED_VALUE"""),"Aerosol generator")</f>
        <v>Aerosol generator</v>
      </c>
      <c r="E1171" s="15" t="str">
        <f>IFERROR(__xludf.DUMMYFUNCTION("""COMPUTED_VALUE"""),"EJO/2026/01/137")</f>
        <v>EJO/2026/01/137</v>
      </c>
      <c r="F1171" s="15" t="str">
        <f>IFERROR(__xludf.DUMMYFUNCTION("""COMPUTED_VALUE"""),"gasket silicon rubber")</f>
        <v>gasket silicon rubber</v>
      </c>
      <c r="G1171" s="15">
        <f>IFERROR(__xludf.DUMMYFUNCTION("""COMPUTED_VALUE"""),1.0)</f>
        <v>1</v>
      </c>
      <c r="H1171" s="15" t="str">
        <f>IFERROR(__xludf.DUMMYFUNCTION("""COMPUTED_VALUE"""),"roll")</f>
        <v>roll</v>
      </c>
      <c r="I1171" s="15" t="str">
        <f>IFERROR(__xludf.DUMMYFUNCTION("""COMPUTED_VALUE"""),"Deliver")</f>
        <v>Deliver</v>
      </c>
      <c r="J1171" s="15" t="str">
        <f>IFERROR(__xludf.DUMMYFUNCTION("""COMPUTED_VALUE"""),"121704369 - APPROVED")</f>
        <v>121704369 - APPROVED</v>
      </c>
      <c r="K1171" s="15" t="str">
        <f>IFERROR(__xludf.DUMMYFUNCTION("""COMPUTED_VALUE"""),"GL2607379")</f>
        <v>GL2607379</v>
      </c>
      <c r="L1171" s="15" t="str">
        <f>IFERROR(__xludf.DUMMYFUNCTION("""COMPUTED_VALUE"""),"Normal")</f>
        <v>Normal</v>
      </c>
      <c r="M1171" s="18" t="s">
        <v>49</v>
      </c>
      <c r="N1171" s="18" t="s">
        <v>30</v>
      </c>
    </row>
    <row r="1172" hidden="1">
      <c r="A1172" s="15" t="str">
        <f>IFERROR(__xludf.DUMMYFUNCTION("""COMPUTED_VALUE"""),"ANOBR0052")</f>
        <v>ANOBR0052</v>
      </c>
      <c r="B1172" s="16">
        <f>IFERROR(__xludf.DUMMYFUNCTION("""COMPUTED_VALUE"""),46091.617545520836)</f>
        <v>46091.61755</v>
      </c>
      <c r="C1172" s="17">
        <f>IFERROR(__xludf.DUMMYFUNCTION("""COMPUTED_VALUE"""),46093.04918052084)</f>
        <v>46093.04918</v>
      </c>
      <c r="D1172" s="15" t="str">
        <f>IFERROR(__xludf.DUMMYFUNCTION("""COMPUTED_VALUE"""),"Aerosol generator")</f>
        <v>Aerosol generator</v>
      </c>
      <c r="E1172" s="15" t="str">
        <f>IFERROR(__xludf.DUMMYFUNCTION("""COMPUTED_VALUE"""),"EJO/2026/01/137")</f>
        <v>EJO/2026/01/137</v>
      </c>
      <c r="F1172" s="15" t="str">
        <f>IFERROR(__xludf.DUMMYFUNCTION("""COMPUTED_VALUE"""),"rivet nut m4")</f>
        <v>rivet nut m4</v>
      </c>
      <c r="G1172" s="15">
        <f>IFERROR(__xludf.DUMMYFUNCTION("""COMPUTED_VALUE"""),50.0)</f>
        <v>50</v>
      </c>
      <c r="H1172" s="15" t="str">
        <f>IFERROR(__xludf.DUMMYFUNCTION("""COMPUTED_VALUE"""),"pcs")</f>
        <v>pcs</v>
      </c>
      <c r="I1172" s="15" t="str">
        <f>IFERROR(__xludf.DUMMYFUNCTION("""COMPUTED_VALUE"""),"Deliver")</f>
        <v>Deliver</v>
      </c>
      <c r="J1172" s="15" t="str">
        <f>IFERROR(__xludf.DUMMYFUNCTION("""COMPUTED_VALUE"""),"121704369 - APPROVED")</f>
        <v>121704369 - APPROVED</v>
      </c>
      <c r="K1172" s="15" t="str">
        <f>IFERROR(__xludf.DUMMYFUNCTION("""COMPUTED_VALUE"""),"GL2607379")</f>
        <v>GL2607379</v>
      </c>
      <c r="L1172" s="15" t="str">
        <f>IFERROR(__xludf.DUMMYFUNCTION("""COMPUTED_VALUE"""),"Normal")</f>
        <v>Normal</v>
      </c>
      <c r="M1172" s="18" t="s">
        <v>49</v>
      </c>
      <c r="N1172" s="18" t="s">
        <v>30</v>
      </c>
    </row>
    <row r="1173" hidden="1">
      <c r="A1173" s="15" t="str">
        <f>IFERROR(__xludf.DUMMYFUNCTION("""COMPUTED_VALUE"""),"ANOBR0053")</f>
        <v>ANOBR0053</v>
      </c>
      <c r="B1173" s="16">
        <f>IFERROR(__xludf.DUMMYFUNCTION("""COMPUTED_VALUE"""),46091.63665068287)</f>
        <v>46091.63665</v>
      </c>
      <c r="C1173" s="17">
        <f>IFERROR(__xludf.DUMMYFUNCTION("""COMPUTED_VALUE"""),46093.049368368054)</f>
        <v>46093.04937</v>
      </c>
      <c r="D1173" s="15" t="str">
        <f>IFERROR(__xludf.DUMMYFUNCTION("""COMPUTED_VALUE"""),"alat las")</f>
        <v>alat las</v>
      </c>
      <c r="E1173" s="15" t="str">
        <f>IFERROR(__xludf.DUMMYFUNCTION("""COMPUTED_VALUE"""),"-")</f>
        <v>-</v>
      </c>
      <c r="F1173" s="15" t="str">
        <f>IFERROR(__xludf.DUMMYFUNCTION("""COMPUTED_VALUE"""),"kedok las ")</f>
        <v>kedok las </v>
      </c>
      <c r="G1173" s="15">
        <f>IFERROR(__xludf.DUMMYFUNCTION("""COMPUTED_VALUE"""),1.0)</f>
        <v>1</v>
      </c>
      <c r="H1173" s="15" t="str">
        <f>IFERROR(__xludf.DUMMYFUNCTION("""COMPUTED_VALUE"""),"pcs")</f>
        <v>pcs</v>
      </c>
      <c r="I1173" s="15" t="str">
        <f>IFERROR(__xludf.DUMMYFUNCTION("""COMPUTED_VALUE"""),"PR Open")</f>
        <v>PR Open</v>
      </c>
      <c r="J1173" s="15" t="str">
        <f>IFERROR(__xludf.DUMMYFUNCTION("""COMPUTED_VALUE"""),"121704552 - APPROVED")</f>
        <v>121704552 - APPROVED</v>
      </c>
      <c r="K1173" s="15" t="str">
        <f>IFERROR(__xludf.DUMMYFUNCTION("""COMPUTED_VALUE"""),"GL2609015")</f>
        <v>GL2609015</v>
      </c>
      <c r="L1173" s="15" t="str">
        <f>IFERROR(__xludf.DUMMYFUNCTION("""COMPUTED_VALUE"""),"Normal")</f>
        <v>Normal</v>
      </c>
      <c r="M1173" s="18" t="s">
        <v>49</v>
      </c>
      <c r="N1173" s="18" t="s">
        <v>30</v>
      </c>
    </row>
    <row r="1174" hidden="1">
      <c r="A1174" s="15" t="str">
        <f>IFERROR(__xludf.DUMMYFUNCTION("""COMPUTED_VALUE"""),"NDSBR0052")</f>
        <v>NDSBR0052</v>
      </c>
      <c r="B1174" s="16">
        <f>IFERROR(__xludf.DUMMYFUNCTION("""COMPUTED_VALUE"""),46090.40527920139)</f>
        <v>46090.40528</v>
      </c>
      <c r="C1174" s="17">
        <f>IFERROR(__xludf.DUMMYFUNCTION("""COMPUTED_VALUE"""),46093.04980528935)</f>
        <v>46093.04981</v>
      </c>
      <c r="D1174" s="15" t="str">
        <f>IFERROR(__xludf.DUMMYFUNCTION("""COMPUTED_VALUE"""),"Tablet Press")</f>
        <v>Tablet Press</v>
      </c>
      <c r="E1174" s="15" t="str">
        <f>IFERROR(__xludf.DUMMYFUNCTION("""COMPUTED_VALUE"""),"EJO/2026/03/75")</f>
        <v>EJO/2026/03/75</v>
      </c>
      <c r="F1174" s="15" t="str">
        <f>IFERROR(__xludf.DUMMYFUNCTION("""COMPUTED_VALUE"""),"Cover Upper Punch")</f>
        <v>Cover Upper Punch</v>
      </c>
      <c r="G1174" s="15">
        <f>IFERROR(__xludf.DUMMYFUNCTION("""COMPUTED_VALUE"""),25.0)</f>
        <v>25</v>
      </c>
      <c r="H1174" s="15" t="str">
        <f>IFERROR(__xludf.DUMMYFUNCTION("""COMPUTED_VALUE"""),"pcs")</f>
        <v>pcs</v>
      </c>
      <c r="I1174" s="15" t="str">
        <f>IFERROR(__xludf.DUMMYFUNCTION("""COMPUTED_VALUE"""),"PO Open")</f>
        <v>PO Open</v>
      </c>
      <c r="J1174" s="15" t="str">
        <f>IFERROR(__xludf.DUMMYFUNCTION("""COMPUTED_VALUE"""),"121704338 - APPROVED")</f>
        <v>121704338 - APPROVED</v>
      </c>
      <c r="K1174" s="15" t="str">
        <f>IFERROR(__xludf.DUMMYFUNCTION("""COMPUTED_VALUE"""),"GL2608404")</f>
        <v>GL2608404</v>
      </c>
      <c r="L1174" s="15" t="str">
        <f>IFERROR(__xludf.DUMMYFUNCTION("""COMPUTED_VALUE"""),"Normal")</f>
        <v>Normal</v>
      </c>
      <c r="M1174" s="18" t="s">
        <v>50</v>
      </c>
      <c r="N1174" s="18" t="s">
        <v>30</v>
      </c>
    </row>
    <row r="1175" hidden="1">
      <c r="A1175" s="15" t="str">
        <f>IFERROR(__xludf.DUMMYFUNCTION("""COMPUTED_VALUE"""),"NDSRO0018")</f>
        <v>NDSRO0018</v>
      </c>
      <c r="B1175" s="16">
        <f>IFERROR(__xludf.DUMMYFUNCTION("""COMPUTED_VALUE"""),46086.653820775464)</f>
        <v>46086.65382</v>
      </c>
      <c r="C1175" s="17">
        <f>IFERROR(__xludf.DUMMYFUNCTION("""COMPUTED_VALUE"""),46093.050099097214)</f>
        <v>46093.0501</v>
      </c>
      <c r="D1175" s="15" t="str">
        <f>IFERROR(__xludf.DUMMYFUNCTION("""COMPUTED_VALUE"""),"Cartoning")</f>
        <v>Cartoning</v>
      </c>
      <c r="E1175" s="15" t="str">
        <f>IFERROR(__xludf.DUMMYFUNCTION("""COMPUTED_VALUE"""),"-")</f>
        <v>-</v>
      </c>
      <c r="F1175" s="15" t="str">
        <f>IFERROR(__xludf.DUMMYFUNCTION("""COMPUTED_VALUE"""),"MARCHESINI MA 255 - Conveyor belt Nastro transporto FNB-8E 1850 X 40 HA; Marchesini; C720718540 pc")</f>
        <v>MARCHESINI MA 255 - Conveyor belt Nastro transporto FNB-8E 1850 X 40 HA; Marchesini; C720718540 pc</v>
      </c>
      <c r="G1175" s="15">
        <f>IFERROR(__xludf.DUMMYFUNCTION("""COMPUTED_VALUE"""),2.0)</f>
        <v>2</v>
      </c>
      <c r="H1175" s="15" t="str">
        <f>IFERROR(__xludf.DUMMYFUNCTION("""COMPUTED_VALUE"""),"pcs")</f>
        <v>pcs</v>
      </c>
      <c r="I1175" s="15" t="str">
        <f>IFERROR(__xludf.DUMMYFUNCTION("""COMPUTED_VALUE"""),"Deliver")</f>
        <v>Deliver</v>
      </c>
      <c r="J1175" s="15" t="str">
        <f>IFERROR(__xludf.DUMMYFUNCTION("""COMPUTED_VALUE"""),"121704156 - APPROVED")</f>
        <v>121704156 - APPROVED</v>
      </c>
      <c r="K1175" s="15" t="str">
        <f>IFERROR(__xludf.DUMMYFUNCTION("""COMPUTED_VALUE"""),"GL2605330")</f>
        <v>GL2605330</v>
      </c>
      <c r="L1175" s="15" t="str">
        <f>IFERROR(__xludf.DUMMYFUNCTION("""COMPUTED_VALUE"""),"Normal")</f>
        <v>Normal</v>
      </c>
      <c r="M1175" s="18" t="s">
        <v>50</v>
      </c>
      <c r="N1175" s="18" t="s">
        <v>30</v>
      </c>
    </row>
    <row r="1176" hidden="1">
      <c r="A1176" s="15" t="str">
        <f>IFERROR(__xludf.DUMMYFUNCTION("""COMPUTED_VALUE"""),"NDSRO0019")</f>
        <v>NDSRO0019</v>
      </c>
      <c r="B1176" s="16">
        <f>IFERROR(__xludf.DUMMYFUNCTION("""COMPUTED_VALUE"""),46086.654177048615)</f>
        <v>46086.65418</v>
      </c>
      <c r="C1176" s="17">
        <f>IFERROR(__xludf.DUMMYFUNCTION("""COMPUTED_VALUE"""),46093.05026393519)</f>
        <v>46093.05026</v>
      </c>
      <c r="D1176" s="15" t="str">
        <f>IFERROR(__xludf.DUMMYFUNCTION("""COMPUTED_VALUE"""),"Cartoning")</f>
        <v>Cartoning</v>
      </c>
      <c r="E1176" s="15" t="str">
        <f>IFERROR(__xludf.DUMMYFUNCTION("""COMPUTED_VALUE"""),"-")</f>
        <v>-</v>
      </c>
      <c r="F1176" s="15" t="str">
        <f>IFERROR(__xludf.DUMMYFUNCTION("""COMPUTED_VALUE"""),"Marchesini MA255 Cartoning Machine - Conveyor Belt, PU White, 1380 x 40 x 1.6 mm; Custom/Lokal; -; 1 unt")</f>
        <v>Marchesini MA255 Cartoning Machine - Conveyor Belt, PU White, 1380 x 40 x 1.6 mm; Custom/Lokal; -; 1 unt</v>
      </c>
      <c r="G1176" s="15">
        <f>IFERROR(__xludf.DUMMYFUNCTION("""COMPUTED_VALUE"""),2.0)</f>
        <v>2</v>
      </c>
      <c r="H1176" s="15" t="str">
        <f>IFERROR(__xludf.DUMMYFUNCTION("""COMPUTED_VALUE"""),"pcs")</f>
        <v>pcs</v>
      </c>
      <c r="I1176" s="15" t="str">
        <f>IFERROR(__xludf.DUMMYFUNCTION("""COMPUTED_VALUE"""),"Deliver")</f>
        <v>Deliver</v>
      </c>
      <c r="J1176" s="15" t="str">
        <f>IFERROR(__xludf.DUMMYFUNCTION("""COMPUTED_VALUE"""),"121704156 - APPROVED")</f>
        <v>121704156 - APPROVED</v>
      </c>
      <c r="K1176" s="15" t="str">
        <f>IFERROR(__xludf.DUMMYFUNCTION("""COMPUTED_VALUE"""),"GL2605330")</f>
        <v>GL2605330</v>
      </c>
      <c r="L1176" s="15" t="str">
        <f>IFERROR(__xludf.DUMMYFUNCTION("""COMPUTED_VALUE"""),"Normal")</f>
        <v>Normal</v>
      </c>
      <c r="M1176" s="18" t="s">
        <v>50</v>
      </c>
      <c r="N1176" s="18" t="s">
        <v>30</v>
      </c>
    </row>
    <row r="1177" hidden="1">
      <c r="A1177" s="15" t="str">
        <f>IFERROR(__xludf.DUMMYFUNCTION("""COMPUTED_VALUE"""),"MRNRO0047")</f>
        <v>MRNRO0047</v>
      </c>
      <c r="B1177" s="16">
        <f>IFERROR(__xludf.DUMMYFUNCTION("""COMPUTED_VALUE"""),46090.572295000005)</f>
        <v>46090.5723</v>
      </c>
      <c r="C1177" s="17">
        <f>IFERROR(__xludf.DUMMYFUNCTION("""COMPUTED_VALUE"""),46094.69420813658)</f>
        <v>46094.69421</v>
      </c>
      <c r="D1177" s="15" t="str">
        <f>IFERROR(__xludf.DUMMYFUNCTION("""COMPUTED_VALUE"""),"Pintu sandwich panel")</f>
        <v>Pintu sandwich panel</v>
      </c>
      <c r="E1177" s="15" t="str">
        <f>IFERROR(__xludf.DUMMYFUNCTION("""COMPUTED_VALUE"""),"EJO/2026/02/85")</f>
        <v>EJO/2026/02/85</v>
      </c>
      <c r="F1177" s="15" t="str">
        <f>IFERROR(__xludf.DUMMYFUNCTION("""COMPUTED_VALUE"""),"Door Closer TS 2000V Hold Open GEZE; ; ;")</f>
        <v>Door Closer TS 2000V Hold Open GEZE; ; ;</v>
      </c>
      <c r="G1177" s="15">
        <f>IFERROR(__xludf.DUMMYFUNCTION("""COMPUTED_VALUE"""),3.0)</f>
        <v>3</v>
      </c>
      <c r="H1177" s="15" t="str">
        <f>IFERROR(__xludf.DUMMYFUNCTION("""COMPUTED_VALUE"""),"pcs")</f>
        <v>pcs</v>
      </c>
      <c r="I1177" s="15" t="str">
        <f>IFERROR(__xludf.DUMMYFUNCTION("""COMPUTED_VALUE"""),"Deliver")</f>
        <v>Deliver</v>
      </c>
      <c r="J1177" s="15" t="str">
        <f>IFERROR(__xludf.DUMMYFUNCTION("""COMPUTED_VALUE"""),"121704157 - APPROVED")</f>
        <v>121704157 - APPROVED</v>
      </c>
      <c r="K1177" s="15" t="str">
        <f>IFERROR(__xludf.DUMMYFUNCTION("""COMPUTED_VALUE"""),"GL2605018")</f>
        <v>GL2605018</v>
      </c>
      <c r="L1177" s="15" t="str">
        <f>IFERROR(__xludf.DUMMYFUNCTION("""COMPUTED_VALUE"""),"Normal")</f>
        <v>Normal</v>
      </c>
      <c r="M1177" s="18" t="s">
        <v>48</v>
      </c>
      <c r="N1177" s="18" t="s">
        <v>28</v>
      </c>
    </row>
    <row r="1178" hidden="1">
      <c r="A1178" s="15" t="str">
        <f>IFERROR(__xludf.DUMMYFUNCTION("""COMPUTED_VALUE"""),"RIABR0158")</f>
        <v>RIABR0158</v>
      </c>
      <c r="B1178" s="16">
        <f>IFERROR(__xludf.DUMMYFUNCTION("""COMPUTED_VALUE"""),46098.82845061343)</f>
        <v>46098.82845</v>
      </c>
      <c r="C1178" s="17">
        <f>IFERROR(__xludf.DUMMYFUNCTION("""COMPUTED_VALUE"""),46099.64190097222)</f>
        <v>46099.6419</v>
      </c>
      <c r="D1178" s="15" t="str">
        <f>IFERROR(__xludf.DUMMYFUNCTION("""COMPUTED_VALUE"""),"Lift Penumpang")</f>
        <v>Lift Penumpang</v>
      </c>
      <c r="E1178" s="15" t="str">
        <f>IFERROR(__xludf.DUMMYFUNCTION("""COMPUTED_VALUE"""),"EJO/2026/01/57")</f>
        <v>EJO/2026/01/57</v>
      </c>
      <c r="F1178" s="15" t="str">
        <f>IFERROR(__xludf.DUMMYFUNCTION("""COMPUTED_VALUE"""),"Door Shoe")</f>
        <v>Door Shoe</v>
      </c>
      <c r="G1178" s="15">
        <f>IFERROR(__xludf.DUMMYFUNCTION("""COMPUTED_VALUE"""),4.0)</f>
        <v>4</v>
      </c>
      <c r="H1178" s="15" t="str">
        <f>IFERROR(__xludf.DUMMYFUNCTION("""COMPUTED_VALUE"""),"Pcs")</f>
        <v>Pcs</v>
      </c>
      <c r="I1178" s="15" t="str">
        <f>IFERROR(__xludf.DUMMYFUNCTION("""COMPUTED_VALUE"""),"PR Open")</f>
        <v>PR Open</v>
      </c>
      <c r="J1178" s="15" t="str">
        <f>IFERROR(__xludf.DUMMYFUNCTION("""COMPUTED_VALUE"""),"121704366 - CANCELLED")</f>
        <v>121704366 - CANCELLED</v>
      </c>
      <c r="K1178" s="15" t="str">
        <f>IFERROR(__xludf.DUMMYFUNCTION("""COMPUTED_VALUE"""),"-")</f>
        <v>-</v>
      </c>
      <c r="L1178" s="15" t="str">
        <f>IFERROR(__xludf.DUMMYFUNCTION("""COMPUTED_VALUE"""),"Normal")</f>
        <v>Normal</v>
      </c>
      <c r="M1178" s="18" t="s">
        <v>32</v>
      </c>
      <c r="N1178" s="18" t="s">
        <v>28</v>
      </c>
    </row>
    <row r="1179" hidden="1">
      <c r="A1179" s="15" t="str">
        <f>IFERROR(__xludf.DUMMYFUNCTION("""COMPUTED_VALUE"""),"SFHRO0040")</f>
        <v>SFHRO0040</v>
      </c>
      <c r="B1179" s="16">
        <f>IFERROR(__xludf.DUMMYFUNCTION("""COMPUTED_VALUE"""),46094.74010523148)</f>
        <v>46094.74011</v>
      </c>
      <c r="C1179" s="17">
        <f>IFERROR(__xludf.DUMMYFUNCTION("""COMPUTED_VALUE"""),46111.36591590278)</f>
        <v>46111.36592</v>
      </c>
      <c r="D1179" s="15" t="str">
        <f>IFERROR(__xludf.DUMMYFUNCTION("""COMPUTED_VALUE"""),"lanttai 2")</f>
        <v>lanttai 2</v>
      </c>
      <c r="E1179" s="15" t="str">
        <f>IFERROR(__xludf.DUMMYFUNCTION("""COMPUTED_VALUE"""),"EJO/2026/03/33")</f>
        <v>EJO/2026/03/33</v>
      </c>
      <c r="F1179" s="15" t="str">
        <f>IFERROR(__xludf.DUMMYFUNCTION("""COMPUTED_VALUE"""),"Cat Durogloss DR-2000; Propan; Type Spiders Web 90YY 73/040; 0,9 L/can")</f>
        <v>Cat Durogloss DR-2000; Propan; Type Spiders Web 90YY 73/040; 0,9 L/can</v>
      </c>
      <c r="G1179" s="15">
        <f>IFERROR(__xludf.DUMMYFUNCTION("""COMPUTED_VALUE"""),5.0)</f>
        <v>5</v>
      </c>
      <c r="H1179" s="15" t="str">
        <f>IFERROR(__xludf.DUMMYFUNCTION("""COMPUTED_VALUE"""),"can")</f>
        <v>can</v>
      </c>
      <c r="I1179" s="15" t="str">
        <f>IFERROR(__xludf.DUMMYFUNCTION("""COMPUTED_VALUE"""),"Deliver")</f>
        <v>Deliver</v>
      </c>
      <c r="J1179" s="15" t="str">
        <f>IFERROR(__xludf.DUMMYFUNCTION("""COMPUTED_VALUE"""),"121704167 - APPROVED")</f>
        <v>121704167 - APPROVED</v>
      </c>
      <c r="K1179" s="15" t="str">
        <f>IFERROR(__xludf.DUMMYFUNCTION("""COMPUTED_VALUE"""),"GL2605017")</f>
        <v>GL2605017</v>
      </c>
      <c r="L1179" s="15" t="str">
        <f>IFERROR(__xludf.DUMMYFUNCTION("""COMPUTED_VALUE"""),"Normal")</f>
        <v>Normal</v>
      </c>
      <c r="M1179" s="18" t="s">
        <v>27</v>
      </c>
      <c r="N1179" s="18" t="s">
        <v>28</v>
      </c>
    </row>
    <row r="1180" hidden="1">
      <c r="A1180" s="15" t="str">
        <f>IFERROR(__xludf.DUMMYFUNCTION("""COMPUTED_VALUE"""),"SFHBR0049")</f>
        <v>SFHBR0049</v>
      </c>
      <c r="B1180" s="16">
        <f>IFERROR(__xludf.DUMMYFUNCTION("""COMPUTED_VALUE"""),46108.66456697917)</f>
        <v>46108.66457</v>
      </c>
      <c r="C1180" s="17">
        <f>IFERROR(__xludf.DUMMYFUNCTION("""COMPUTED_VALUE"""),46118.61484001157)</f>
        <v>46118.61484</v>
      </c>
      <c r="D1180" s="15" t="str">
        <f>IFERROR(__xludf.DUMMYFUNCTION("""COMPUTED_VALUE"""),"lantai 3")</f>
        <v>lantai 3</v>
      </c>
      <c r="E1180" s="15" t="str">
        <f>IFERROR(__xludf.DUMMYFUNCTION("""COMPUTED_VALUE"""),"EJO/2026/02/183")</f>
        <v>EJO/2026/02/183</v>
      </c>
      <c r="F1180" s="15" t="str">
        <f>IFERROR(__xludf.DUMMYFUNCTION("""COMPUTED_VALUE"""),"Lis Penutup Lubang Bawah Pintu | Door Bottom Seal | Penghalang Debu Angin Serangga | Penutup Celah Anti Kecoa Model Silikon Karet Silikon Kokoh Anti gesek")</f>
        <v>Lis Penutup Lubang Bawah Pintu | Door Bottom Seal | Penghalang Debu Angin Serangga | Penutup Celah Anti Kecoa Model Silikon Karet Silikon Kokoh Anti gesek</v>
      </c>
      <c r="G1180" s="15">
        <f>IFERROR(__xludf.DUMMYFUNCTION("""COMPUTED_VALUE"""),3.0)</f>
        <v>3</v>
      </c>
      <c r="H1180" s="15" t="str">
        <f>IFERROR(__xludf.DUMMYFUNCTION("""COMPUTED_VALUE"""),"roll")</f>
        <v>roll</v>
      </c>
      <c r="I1180" s="15" t="str">
        <f>IFERROR(__xludf.DUMMYFUNCTION("""COMPUTED_VALUE"""),"PR Open")</f>
        <v>PR Open</v>
      </c>
      <c r="J1180" s="15" t="str">
        <f>IFERROR(__xludf.DUMMYFUNCTION("""COMPUTED_VALUE"""),"121704550 - APPROVED")</f>
        <v>121704550 - APPROVED</v>
      </c>
      <c r="K1180" s="15" t="str">
        <f>IFERROR(__xludf.DUMMYFUNCTION("""COMPUTED_VALUE"""),"GL2609434")</f>
        <v>GL2609434</v>
      </c>
      <c r="L1180" s="15" t="str">
        <f>IFERROR(__xludf.DUMMYFUNCTION("""COMPUTED_VALUE"""),"Normal")</f>
        <v>Normal</v>
      </c>
      <c r="M1180" s="18" t="s">
        <v>27</v>
      </c>
      <c r="N1180" s="18" t="s">
        <v>28</v>
      </c>
    </row>
    <row r="1181" hidden="1">
      <c r="A1181" s="15" t="str">
        <f>IFERROR(__xludf.DUMMYFUNCTION("""COMPUTED_VALUE"""),"RIARO0072")</f>
        <v>RIARO0072</v>
      </c>
      <c r="B1181" s="16">
        <f>IFERROR(__xludf.DUMMYFUNCTION("""COMPUTED_VALUE"""),46108.46200425926)</f>
        <v>46108.462</v>
      </c>
      <c r="C1181" s="17">
        <f>IFERROR(__xludf.DUMMYFUNCTION("""COMPUTED_VALUE"""),46118.61513471065)</f>
        <v>46118.61513</v>
      </c>
      <c r="D1181" s="15" t="str">
        <f>IFERROR(__xludf.DUMMYFUNCTION("""COMPUTED_VALUE"""),"AHU")</f>
        <v>AHU</v>
      </c>
      <c r="E1181" s="15" t="str">
        <f>IFERROR(__xludf.DUMMYFUNCTION("""COMPUTED_VALUE"""),"-")</f>
        <v>-</v>
      </c>
      <c r="F1181" s="15" t="str">
        <f>IFERROR(__xludf.DUMMYFUNCTION("""COMPUTED_VALUE"""),"General - Bushing VAV dia. 24 x 26mm; Custom Agru Farma; -; 1 pc")</f>
        <v>General - Bushing VAV dia. 24 x 26mm; Custom Agru Farma; -; 1 pc</v>
      </c>
      <c r="G1181" s="15">
        <f>IFERROR(__xludf.DUMMYFUNCTION("""COMPUTED_VALUE"""),50.0)</f>
        <v>50</v>
      </c>
      <c r="H1181" s="15" t="str">
        <f>IFERROR(__xludf.DUMMYFUNCTION("""COMPUTED_VALUE"""),"Pcs")</f>
        <v>Pcs</v>
      </c>
      <c r="I1181" s="15" t="str">
        <f>IFERROR(__xludf.DUMMYFUNCTION("""COMPUTED_VALUE"""),"Deliver")</f>
        <v>Deliver</v>
      </c>
      <c r="J1181" s="15" t="str">
        <f>IFERROR(__xludf.DUMMYFUNCTION("""COMPUTED_VALUE"""),"121704154 - APPROVED")</f>
        <v>121704154 - APPROVED</v>
      </c>
      <c r="K1181" s="15" t="str">
        <f>IFERROR(__xludf.DUMMYFUNCTION("""COMPUTED_VALUE"""),"GL2605002")</f>
        <v>GL2605002</v>
      </c>
      <c r="L1181" s="15" t="str">
        <f>IFERROR(__xludf.DUMMYFUNCTION("""COMPUTED_VALUE"""),"Normal")</f>
        <v>Normal</v>
      </c>
      <c r="M1181" s="18" t="s">
        <v>32</v>
      </c>
      <c r="N1181" s="18" t="s">
        <v>28</v>
      </c>
    </row>
    <row r="1182" hidden="1">
      <c r="A1182" s="15" t="str">
        <f>IFERROR(__xludf.DUMMYFUNCTION("""COMPUTED_VALUE"""),"RIARO0073")</f>
        <v>RIARO0073</v>
      </c>
      <c r="B1182" s="16">
        <f>IFERROR(__xludf.DUMMYFUNCTION("""COMPUTED_VALUE"""),46108.462365902786)</f>
        <v>46108.46237</v>
      </c>
      <c r="C1182" s="17">
        <f>IFERROR(__xludf.DUMMYFUNCTION("""COMPUTED_VALUE"""),46118.61526122685)</f>
        <v>46118.61526</v>
      </c>
      <c r="D1182" s="15" t="str">
        <f>IFERROR(__xludf.DUMMYFUNCTION("""COMPUTED_VALUE"""),"WWTP")</f>
        <v>WWTP</v>
      </c>
      <c r="E1182" s="15" t="str">
        <f>IFERROR(__xludf.DUMMYFUNCTION("""COMPUTED_VALUE"""),"-")</f>
        <v>-</v>
      </c>
      <c r="F1182" s="15" t="str">
        <f>IFERROR(__xludf.DUMMYFUNCTION("""COMPUTED_VALUE"""),"General - Pelampung Air Radar Float Switch 2m; No Brand; -; 1 Pc")</f>
        <v>General - Pelampung Air Radar Float Switch 2m; No Brand; -; 1 Pc</v>
      </c>
      <c r="G1182" s="15">
        <f>IFERROR(__xludf.DUMMYFUNCTION("""COMPUTED_VALUE"""),5.0)</f>
        <v>5</v>
      </c>
      <c r="H1182" s="15" t="str">
        <f>IFERROR(__xludf.DUMMYFUNCTION("""COMPUTED_VALUE"""),"Pcs")</f>
        <v>Pcs</v>
      </c>
      <c r="I1182" s="15" t="str">
        <f>IFERROR(__xludf.DUMMYFUNCTION("""COMPUTED_VALUE"""),"Deliver")</f>
        <v>Deliver</v>
      </c>
      <c r="J1182" s="15" t="str">
        <f>IFERROR(__xludf.DUMMYFUNCTION("""COMPUTED_VALUE"""),"121704166 - APPROVED")</f>
        <v>121704166 - APPROVED</v>
      </c>
      <c r="K1182" s="15" t="str">
        <f>IFERROR(__xludf.DUMMYFUNCTION("""COMPUTED_VALUE"""),"GL2605322")</f>
        <v>GL2605322</v>
      </c>
      <c r="L1182" s="15" t="str">
        <f>IFERROR(__xludf.DUMMYFUNCTION("""COMPUTED_VALUE"""),"Normal")</f>
        <v>Normal</v>
      </c>
      <c r="M1182" s="18" t="s">
        <v>32</v>
      </c>
      <c r="N1182" s="18" t="s">
        <v>28</v>
      </c>
    </row>
    <row r="1183" hidden="1">
      <c r="A1183" s="15" t="str">
        <f>IFERROR(__xludf.DUMMYFUNCTION("""COMPUTED_VALUE"""),"RIARO0074")</f>
        <v>RIARO0074</v>
      </c>
      <c r="B1183" s="16">
        <f>IFERROR(__xludf.DUMMYFUNCTION("""COMPUTED_VALUE"""),46114.73361101852)</f>
        <v>46114.73361</v>
      </c>
      <c r="C1183" s="17">
        <f>IFERROR(__xludf.DUMMYFUNCTION("""COMPUTED_VALUE"""),46118.617921550926)</f>
        <v>46118.61792</v>
      </c>
      <c r="D1183" s="15" t="str">
        <f>IFERROR(__xludf.DUMMYFUNCTION("""COMPUTED_VALUE"""),"PWG")</f>
        <v>PWG</v>
      </c>
      <c r="E1183" s="15" t="str">
        <f>IFERROR(__xludf.DUMMYFUNCTION("""COMPUTED_VALUE"""),"EJO/2026/04/017")</f>
        <v>EJO/2026/04/017</v>
      </c>
      <c r="F1183" s="15" t="str">
        <f>IFERROR(__xludf.DUMMYFUNCTION("""COMPUTED_VALUE"""),"General - TU Polyurethane Tubing, TU1065C-100; SMC Pneumatics; -; 1 roll")</f>
        <v>General - TU Polyurethane Tubing, TU1065C-100; SMC Pneumatics; -; 1 roll</v>
      </c>
      <c r="G1183" s="15">
        <f>IFERROR(__xludf.DUMMYFUNCTION("""COMPUTED_VALUE"""),30.0)</f>
        <v>30</v>
      </c>
      <c r="H1183" s="15" t="str">
        <f>IFERROR(__xludf.DUMMYFUNCTION("""COMPUTED_VALUE"""),"Mtr")</f>
        <v>Mtr</v>
      </c>
      <c r="I1183" s="15" t="str">
        <f>IFERROR(__xludf.DUMMYFUNCTION("""COMPUTED_VALUE"""),"Deliver")</f>
        <v>Deliver</v>
      </c>
      <c r="J1183" s="15" t="str">
        <f>IFERROR(__xludf.DUMMYFUNCTION("""COMPUTED_VALUE"""),"121704169 - APPROVED")</f>
        <v>121704169 - APPROVED</v>
      </c>
      <c r="K1183" s="15" t="str">
        <f>IFERROR(__xludf.DUMMYFUNCTION("""COMPUTED_VALUE"""),"GL2605328")</f>
        <v>GL2605328</v>
      </c>
      <c r="L1183" s="15" t="str">
        <f>IFERROR(__xludf.DUMMYFUNCTION("""COMPUTED_VALUE"""),"Normal")</f>
        <v>Normal</v>
      </c>
      <c r="M1183" s="18" t="s">
        <v>32</v>
      </c>
      <c r="N1183" s="18" t="s">
        <v>28</v>
      </c>
    </row>
    <row r="1184" hidden="1">
      <c r="A1184" s="15" t="str">
        <f>IFERROR(__xludf.DUMMYFUNCTION("""COMPUTED_VALUE"""),"RIARO0075")</f>
        <v>RIARO0075</v>
      </c>
      <c r="B1184" s="16">
        <f>IFERROR(__xludf.DUMMYFUNCTION("""COMPUTED_VALUE"""),46114.96947152778)</f>
        <v>46114.96947</v>
      </c>
      <c r="C1184" s="17">
        <f>IFERROR(__xludf.DUMMYFUNCTION("""COMPUTED_VALUE"""),46118.618101782406)</f>
        <v>46118.6181</v>
      </c>
      <c r="D1184" s="15" t="str">
        <f>IFERROR(__xludf.DUMMYFUNCTION("""COMPUTED_VALUE"""),"WFI SKID")</f>
        <v>WFI SKID</v>
      </c>
      <c r="E1184" s="15" t="str">
        <f>IFERROR(__xludf.DUMMYFUNCTION("""COMPUTED_VALUE"""),"EJO/2026/04/016")</f>
        <v>EJO/2026/04/016</v>
      </c>
      <c r="F1184" s="15" t="str">
        <f>IFERROR(__xludf.DUMMYFUNCTION("""COMPUTED_VALUE"""),"Junction Box Plastik 12x12x10 cm; ; ;")</f>
        <v>Junction Box Plastik 12x12x10 cm; ; ;</v>
      </c>
      <c r="G1184" s="15">
        <f>IFERROR(__xludf.DUMMYFUNCTION("""COMPUTED_VALUE"""),1.0)</f>
        <v>1</v>
      </c>
      <c r="H1184" s="15" t="str">
        <f>IFERROR(__xludf.DUMMYFUNCTION("""COMPUTED_VALUE"""),"Pcs")</f>
        <v>Pcs</v>
      </c>
      <c r="I1184" s="15" t="str">
        <f>IFERROR(__xludf.DUMMYFUNCTION("""COMPUTED_VALUE"""),"Deliver")</f>
        <v>Deliver</v>
      </c>
      <c r="J1184" s="15" t="str">
        <f>IFERROR(__xludf.DUMMYFUNCTION("""COMPUTED_VALUE"""),"121704177 - APPROVED")</f>
        <v>121704177 - APPROVED</v>
      </c>
      <c r="K1184" s="15" t="str">
        <f>IFERROR(__xludf.DUMMYFUNCTION("""COMPUTED_VALUE"""),"GL2605018")</f>
        <v>GL2605018</v>
      </c>
      <c r="L1184" s="15" t="str">
        <f>IFERROR(__xludf.DUMMYFUNCTION("""COMPUTED_VALUE"""),"Normal")</f>
        <v>Normal</v>
      </c>
      <c r="M1184" s="18" t="s">
        <v>32</v>
      </c>
      <c r="N1184" s="18" t="s">
        <v>28</v>
      </c>
    </row>
    <row r="1185" hidden="1">
      <c r="A1185" s="15" t="str">
        <f>IFERROR(__xludf.DUMMYFUNCTION("""COMPUTED_VALUE"""),"RIARO0076")</f>
        <v>RIARO0076</v>
      </c>
      <c r="B1185" s="16">
        <f>IFERROR(__xludf.DUMMYFUNCTION("""COMPUTED_VALUE"""),46114.969539803235)</f>
        <v>46114.96954</v>
      </c>
      <c r="C1185" s="17">
        <f>IFERROR(__xludf.DUMMYFUNCTION("""COMPUTED_VALUE"""),46118.618279675924)</f>
        <v>46118.61828</v>
      </c>
      <c r="D1185" s="15" t="str">
        <f>IFERROR(__xludf.DUMMYFUNCTION("""COMPUTED_VALUE"""),"WFI SKID")</f>
        <v>WFI SKID</v>
      </c>
      <c r="E1185" s="15" t="str">
        <f>IFERROR(__xludf.DUMMYFUNCTION("""COMPUTED_VALUE"""),"EJO/2026/04/016")</f>
        <v>EJO/2026/04/016</v>
      </c>
      <c r="F1185" s="15" t="str">
        <f>IFERROR(__xludf.DUMMYFUNCTION("""COMPUTED_VALUE"""),"General - MCB 1 PHASE 10 AMPERE; Schneider; -; 1 Pc")</f>
        <v>General - MCB 1 PHASE 10 AMPERE; Schneider; -; 1 Pc</v>
      </c>
      <c r="G1185" s="15">
        <f>IFERROR(__xludf.DUMMYFUNCTION("""COMPUTED_VALUE"""),1.0)</f>
        <v>1</v>
      </c>
      <c r="H1185" s="15" t="str">
        <f>IFERROR(__xludf.DUMMYFUNCTION("""COMPUTED_VALUE"""),"Pcs")</f>
        <v>Pcs</v>
      </c>
      <c r="I1185" s="15" t="str">
        <f>IFERROR(__xludf.DUMMYFUNCTION("""COMPUTED_VALUE"""),"Deliver")</f>
        <v>Deliver</v>
      </c>
      <c r="J1185" s="15" t="str">
        <f>IFERROR(__xludf.DUMMYFUNCTION("""COMPUTED_VALUE"""),"121704175 - APPROVED")</f>
        <v>121704175 - APPROVED</v>
      </c>
      <c r="K1185" s="15" t="str">
        <f>IFERROR(__xludf.DUMMYFUNCTION("""COMPUTED_VALUE"""),"GL2605331")</f>
        <v>GL2605331</v>
      </c>
      <c r="L1185" s="15" t="str">
        <f>IFERROR(__xludf.DUMMYFUNCTION("""COMPUTED_VALUE"""),"Normal")</f>
        <v>Normal</v>
      </c>
      <c r="M1185" s="18" t="s">
        <v>32</v>
      </c>
      <c r="N1185" s="18" t="s">
        <v>28</v>
      </c>
    </row>
    <row r="1186" hidden="1">
      <c r="A1186" s="15" t="str">
        <f>IFERROR(__xludf.DUMMYFUNCTION("""COMPUTED_VALUE"""),"RIABR0159")</f>
        <v>RIABR0159</v>
      </c>
      <c r="B1186" s="16">
        <f>IFERROR(__xludf.DUMMYFUNCTION("""COMPUTED_VALUE"""),46114.96688408565)</f>
        <v>46114.96688</v>
      </c>
      <c r="C1186" s="17">
        <f>IFERROR(__xludf.DUMMYFUNCTION("""COMPUTED_VALUE"""),46118.61845351852)</f>
        <v>46118.61845</v>
      </c>
      <c r="D1186" s="15" t="str">
        <f>IFERROR(__xludf.DUMMYFUNCTION("""COMPUTED_VALUE"""),"WFI SKID")</f>
        <v>WFI SKID</v>
      </c>
      <c r="E1186" s="15" t="str">
        <f>IFERROR(__xludf.DUMMYFUNCTION("""COMPUTED_VALUE"""),"EJO/2026/04/016")</f>
        <v>EJO/2026/04/016</v>
      </c>
      <c r="F1186" s="15" t="str">
        <f>IFERROR(__xludf.DUMMYFUNCTION("""COMPUTED_VALUE"""),"Jacket Heater")</f>
        <v>Jacket Heater</v>
      </c>
      <c r="G1186" s="15">
        <f>IFERROR(__xludf.DUMMYFUNCTION("""COMPUTED_VALUE"""),1.0)</f>
        <v>1</v>
      </c>
      <c r="H1186" s="15" t="str">
        <f>IFERROR(__xludf.DUMMYFUNCTION("""COMPUTED_VALUE"""),"Pcs")</f>
        <v>Pcs</v>
      </c>
      <c r="I1186" s="15" t="str">
        <f>IFERROR(__xludf.DUMMYFUNCTION("""COMPUTED_VALUE"""),"PO Open")</f>
        <v>PO Open</v>
      </c>
      <c r="J1186" s="15" t="str">
        <f>IFERROR(__xludf.DUMMYFUNCTION("""COMPUTED_VALUE"""),"121704460 - APPROVED")</f>
        <v>121704460 - APPROVED</v>
      </c>
      <c r="K1186" s="15" t="str">
        <f>IFERROR(__xludf.DUMMYFUNCTION("""COMPUTED_VALUE"""),"GL2608006")</f>
        <v>GL2608006</v>
      </c>
      <c r="L1186" s="15" t="str">
        <f>IFERROR(__xludf.DUMMYFUNCTION("""COMPUTED_VALUE"""),"Normal")</f>
        <v>Normal</v>
      </c>
      <c r="M1186" s="18" t="s">
        <v>32</v>
      </c>
      <c r="N1186" s="18" t="s">
        <v>28</v>
      </c>
    </row>
    <row r="1187" hidden="1">
      <c r="A1187" s="15" t="str">
        <f>IFERROR(__xludf.DUMMYFUNCTION("""COMPUTED_VALUE"""),"RIARO0078")</f>
        <v>RIARO0078</v>
      </c>
      <c r="B1187" s="16">
        <f>IFERROR(__xludf.DUMMYFUNCTION("""COMPUTED_VALUE"""),46114.969509525465)</f>
        <v>46114.96951</v>
      </c>
      <c r="C1187" s="17">
        <f>IFERROR(__xludf.DUMMYFUNCTION("""COMPUTED_VALUE"""),46118.61859627315)</f>
        <v>46118.6186</v>
      </c>
      <c r="D1187" s="15" t="str">
        <f>IFERROR(__xludf.DUMMYFUNCTION("""COMPUTED_VALUE"""),"WFI SKID")</f>
        <v>WFI SKID</v>
      </c>
      <c r="E1187" s="15" t="str">
        <f>IFERROR(__xludf.DUMMYFUNCTION("""COMPUTED_VALUE"""),"EJO/2026/04/016")</f>
        <v>EJO/2026/04/016</v>
      </c>
      <c r="F1187" s="15" t="str">
        <f>IFERROR(__xludf.DUMMYFUNCTION("""COMPUTED_VALUE"""),"General - Temperature Controller TK4S- 14SN 100-240 VAC; Autonics; -; 1 pc")</f>
        <v>General - Temperature Controller TK4S- 14SN 100-240 VAC; Autonics; -; 1 pc</v>
      </c>
      <c r="G1187" s="15">
        <f>IFERROR(__xludf.DUMMYFUNCTION("""COMPUTED_VALUE"""),1.0)</f>
        <v>1</v>
      </c>
      <c r="H1187" s="15" t="str">
        <f>IFERROR(__xludf.DUMMYFUNCTION("""COMPUTED_VALUE"""),"Pcs")</f>
        <v>Pcs</v>
      </c>
      <c r="I1187" s="15" t="str">
        <f>IFERROR(__xludf.DUMMYFUNCTION("""COMPUTED_VALUE"""),"Deliver")</f>
        <v>Deliver</v>
      </c>
      <c r="J1187" s="15" t="str">
        <f>IFERROR(__xludf.DUMMYFUNCTION("""COMPUTED_VALUE"""),"121704168 - APPROVED")</f>
        <v>121704168 - APPROVED</v>
      </c>
      <c r="K1187" s="15" t="str">
        <f>IFERROR(__xludf.DUMMYFUNCTION("""COMPUTED_VALUE"""),"GL2605020")</f>
        <v>GL2605020</v>
      </c>
      <c r="L1187" s="15" t="str">
        <f>IFERROR(__xludf.DUMMYFUNCTION("""COMPUTED_VALUE"""),"Normal")</f>
        <v>Normal</v>
      </c>
      <c r="M1187" s="18" t="s">
        <v>32</v>
      </c>
      <c r="N1187" s="18" t="s">
        <v>28</v>
      </c>
    </row>
    <row r="1188" hidden="1">
      <c r="A1188" s="15" t="str">
        <f>IFERROR(__xludf.DUMMYFUNCTION("""COMPUTED_VALUE"""),"RIARO0079")</f>
        <v>RIARO0079</v>
      </c>
      <c r="B1188" s="16">
        <f>IFERROR(__xludf.DUMMYFUNCTION("""COMPUTED_VALUE"""),46114.97291055556)</f>
        <v>46114.97291</v>
      </c>
      <c r="C1188" s="17">
        <f>IFERROR(__xludf.DUMMYFUNCTION("""COMPUTED_VALUE"""),46118.618726712964)</f>
        <v>46118.61873</v>
      </c>
      <c r="D1188" s="15" t="str">
        <f>IFERROR(__xludf.DUMMYFUNCTION("""COMPUTED_VALUE"""),"WFI SKID")</f>
        <v>WFI SKID</v>
      </c>
      <c r="E1188" s="15" t="str">
        <f>IFERROR(__xludf.DUMMYFUNCTION("""COMPUTED_VALUE"""),"EJO/2026/04/016")</f>
        <v>EJO/2026/04/016</v>
      </c>
      <c r="F1188" s="15" t="str">
        <f>IFERROR(__xludf.DUMMYFUNCTION("""COMPUTED_VALUE"""),"General - Thermocouple TW-N (PT100), Dia.: 6.4*30L*2M*PT1/8; Autonics; A04209; 1 pc")</f>
        <v>General - Thermocouple TW-N (PT100), Dia.: 6.4*30L*2M*PT1/8; Autonics; A04209; 1 pc</v>
      </c>
      <c r="G1188" s="15">
        <f>IFERROR(__xludf.DUMMYFUNCTION("""COMPUTED_VALUE"""),1.0)</f>
        <v>1</v>
      </c>
      <c r="H1188" s="15" t="str">
        <f>IFERROR(__xludf.DUMMYFUNCTION("""COMPUTED_VALUE"""),"Pcs")</f>
        <v>Pcs</v>
      </c>
      <c r="I1188" s="15" t="str">
        <f>IFERROR(__xludf.DUMMYFUNCTION("""COMPUTED_VALUE"""),"Deliver")</f>
        <v>Deliver</v>
      </c>
      <c r="J1188" s="15" t="str">
        <f>IFERROR(__xludf.DUMMYFUNCTION("""COMPUTED_VALUE"""),"121704168 - APPROVED")</f>
        <v>121704168 - APPROVED</v>
      </c>
      <c r="K1188" s="15" t="str">
        <f>IFERROR(__xludf.DUMMYFUNCTION("""COMPUTED_VALUE"""),"GL2605020")</f>
        <v>GL2605020</v>
      </c>
      <c r="L1188" s="15" t="str">
        <f>IFERROR(__xludf.DUMMYFUNCTION("""COMPUTED_VALUE"""),"Normal")</f>
        <v>Normal</v>
      </c>
      <c r="M1188" s="18" t="s">
        <v>32</v>
      </c>
      <c r="N1188" s="18" t="s">
        <v>28</v>
      </c>
    </row>
    <row r="1189" hidden="1">
      <c r="A1189" s="15" t="str">
        <f>IFERROR(__xludf.DUMMYFUNCTION("""COMPUTED_VALUE"""),"BDURO0007")</f>
        <v>BDURO0007</v>
      </c>
      <c r="B1189" s="16">
        <f>IFERROR(__xludf.DUMMYFUNCTION("""COMPUTED_VALUE"""),46107.57614774305)</f>
        <v>46107.57615</v>
      </c>
      <c r="C1189" s="17">
        <f>IFERROR(__xludf.DUMMYFUNCTION("""COMPUTED_VALUE"""),46119.261463981486)</f>
        <v>46119.26146</v>
      </c>
      <c r="D1189" s="15" t="str">
        <f>IFERROR(__xludf.DUMMYFUNCTION("""COMPUTED_VALUE"""),"Mesin Labelling")</f>
        <v>Mesin Labelling</v>
      </c>
      <c r="E1189" s="15" t="str">
        <f>IFERROR(__xludf.DUMMYFUNCTION("""COMPUTED_VALUE"""),"EJO Menyusul")</f>
        <v>EJO Menyusul</v>
      </c>
      <c r="F1189" s="15" t="str">
        <f>IFERROR(__xludf.DUMMYFUNCTION("""COMPUTED_VALUE"""),"Autonics - Power Supply ? SPA-075-24 ? 24VDC 3.2A")</f>
        <v>Autonics - Power Supply ? SPA-075-24 ? 24VDC 3.2A</v>
      </c>
      <c r="G1189" s="15">
        <f>IFERROR(__xludf.DUMMYFUNCTION("""COMPUTED_VALUE"""),1.0)</f>
        <v>1</v>
      </c>
      <c r="H1189" s="15" t="str">
        <f>IFERROR(__xludf.DUMMYFUNCTION("""COMPUTED_VALUE"""),"pcs")</f>
        <v>pcs</v>
      </c>
      <c r="I1189" s="15" t="str">
        <f>IFERROR(__xludf.DUMMYFUNCTION("""COMPUTED_VALUE"""),"Deliver")</f>
        <v>Deliver</v>
      </c>
      <c r="J1189" s="15" t="str">
        <f>IFERROR(__xludf.DUMMYFUNCTION("""COMPUTED_VALUE"""),"121704435 - APPROVED")</f>
        <v>121704435 - APPROVED</v>
      </c>
      <c r="K1189" s="15" t="str">
        <f>IFERROR(__xludf.DUMMYFUNCTION("""COMPUTED_VALUE"""),"GL2607052")</f>
        <v>GL2607052</v>
      </c>
      <c r="L1189" s="15" t="str">
        <f>IFERROR(__xludf.DUMMYFUNCTION("""COMPUTED_VALUE"""),"Normal")</f>
        <v>Normal</v>
      </c>
      <c r="M1189" s="18" t="s">
        <v>55</v>
      </c>
      <c r="N1189" s="18" t="s">
        <v>28</v>
      </c>
    </row>
    <row r="1190" hidden="1">
      <c r="A1190" s="15" t="str">
        <f>IFERROR(__xludf.DUMMYFUNCTION("""COMPUTED_VALUE"""),"BDUBR0007")</f>
        <v>BDUBR0007</v>
      </c>
      <c r="B1190" s="16">
        <f>IFERROR(__xludf.DUMMYFUNCTION("""COMPUTED_VALUE"""),46108.619852129625)</f>
        <v>46108.61985</v>
      </c>
      <c r="C1190" s="17">
        <f>IFERROR(__xludf.DUMMYFUNCTION("""COMPUTED_VALUE"""),46119.26624070603)</f>
        <v>46119.26624</v>
      </c>
      <c r="D1190" s="15" t="str">
        <f>IFERROR(__xludf.DUMMYFUNCTION("""COMPUTED_VALUE"""),"MIxing")</f>
        <v>MIxing</v>
      </c>
      <c r="E1190" s="15" t="str">
        <f>IFERROR(__xludf.DUMMYFUNCTION("""COMPUTED_VALUE"""),"Stock Habis")</f>
        <v>Stock Habis</v>
      </c>
      <c r="F1190" s="15" t="str">
        <f>IFERROR(__xludf.DUMMYFUNCTION("""COMPUTED_VALUE"""),"Power Supply")</f>
        <v>Power Supply</v>
      </c>
      <c r="G1190" s="15">
        <f>IFERROR(__xludf.DUMMYFUNCTION("""COMPUTED_VALUE"""),2.0)</f>
        <v>2</v>
      </c>
      <c r="H1190" s="15" t="str">
        <f>IFERROR(__xludf.DUMMYFUNCTION("""COMPUTED_VALUE"""),"pcs")</f>
        <v>pcs</v>
      </c>
      <c r="I1190" s="15" t="str">
        <f>IFERROR(__xludf.DUMMYFUNCTION("""COMPUTED_VALUE"""),"Deliver")</f>
        <v>Deliver</v>
      </c>
      <c r="J1190" s="15" t="str">
        <f>IFERROR(__xludf.DUMMYFUNCTION("""COMPUTED_VALUE"""),"121704104 - APPROVED")</f>
        <v>121704104 - APPROVED</v>
      </c>
      <c r="K1190" s="15" t="str">
        <f>IFERROR(__xludf.DUMMYFUNCTION("""COMPUTED_VALUE"""),"GL2604030")</f>
        <v>GL2604030</v>
      </c>
      <c r="L1190" s="15" t="str">
        <f>IFERROR(__xludf.DUMMYFUNCTION("""COMPUTED_VALUE"""),"Normal")</f>
        <v>Normal</v>
      </c>
      <c r="M1190" s="18" t="s">
        <v>55</v>
      </c>
      <c r="N1190" s="18" t="s">
        <v>28</v>
      </c>
    </row>
    <row r="1191" hidden="1">
      <c r="A1191" s="15" t="str">
        <f>IFERROR(__xludf.DUMMYFUNCTION("""COMPUTED_VALUE"""),"BDUBR0008")</f>
        <v>BDUBR0008</v>
      </c>
      <c r="B1191" s="16">
        <f>IFERROR(__xludf.DUMMYFUNCTION("""COMPUTED_VALUE"""),46111.920992997686)</f>
        <v>46111.92099</v>
      </c>
      <c r="C1191" s="17">
        <f>IFERROR(__xludf.DUMMYFUNCTION("""COMPUTED_VALUE"""),46119.28786446759)</f>
        <v>46119.28786</v>
      </c>
      <c r="D1191" s="15" t="str">
        <f>IFERROR(__xludf.DUMMYFUNCTION("""COMPUTED_VALUE"""),"FD")</f>
        <v>FD</v>
      </c>
      <c r="E1191" s="15" t="str">
        <f>IFERROR(__xludf.DUMMYFUNCTION("""COMPUTED_VALUE"""),"EJO/2025/10/85")</f>
        <v>EJO/2025/10/85</v>
      </c>
      <c r="F1191" s="15" t="str">
        <f>IFERROR(__xludf.DUMMYFUNCTION("""COMPUTED_VALUE"""),"Selenoid Valve")</f>
        <v>Selenoid Valve</v>
      </c>
      <c r="G1191" s="15">
        <f>IFERROR(__xludf.DUMMYFUNCTION("""COMPUTED_VALUE"""),1.0)</f>
        <v>1</v>
      </c>
      <c r="H1191" s="15" t="str">
        <f>IFERROR(__xludf.DUMMYFUNCTION("""COMPUTED_VALUE"""),"pcs")</f>
        <v>pcs</v>
      </c>
      <c r="I1191" s="15" t="str">
        <f>IFERROR(__xludf.DUMMYFUNCTION("""COMPUTED_VALUE"""),"PR Open")</f>
        <v>PR Open</v>
      </c>
      <c r="J1191" s="15" t="str">
        <f>IFERROR(__xludf.DUMMYFUNCTION("""COMPUTED_VALUE"""),"121704548 - APPROVED")</f>
        <v>121704548 - APPROVED</v>
      </c>
      <c r="K1191" s="15" t="str">
        <f>IFERROR(__xludf.DUMMYFUNCTION("""COMPUTED_VALUE"""),"GL2609434")</f>
        <v>GL2609434</v>
      </c>
      <c r="L1191" s="15" t="str">
        <f>IFERROR(__xludf.DUMMYFUNCTION("""COMPUTED_VALUE"""),"Normal")</f>
        <v>Normal</v>
      </c>
      <c r="M1191" s="18" t="s">
        <v>55</v>
      </c>
      <c r="N1191" s="18" t="s">
        <v>28</v>
      </c>
    </row>
    <row r="1192" hidden="1">
      <c r="A1192" s="15" t="str">
        <f>IFERROR(__xludf.DUMMYFUNCTION("""COMPUTED_VALUE"""),"MOBRO0080")</f>
        <v>MOBRO0080</v>
      </c>
      <c r="B1192" s="16">
        <f>IFERROR(__xludf.DUMMYFUNCTION("""COMPUTED_VALUE"""),46111.60980003472)</f>
        <v>46111.6098</v>
      </c>
      <c r="C1192" s="17">
        <f>IFERROR(__xludf.DUMMYFUNCTION("""COMPUTED_VALUE"""),46121.579238796294)</f>
        <v>46121.57924</v>
      </c>
      <c r="D1192" s="15" t="str">
        <f>IFERROR(__xludf.DUMMYFUNCTION("""COMPUTED_VALUE"""),"Pneumatic Equipment")</f>
        <v>Pneumatic Equipment</v>
      </c>
      <c r="E1192" s="15" t="str">
        <f>IFERROR(__xludf.DUMMYFUNCTION("""COMPUTED_VALUE"""),"-")</f>
        <v>-</v>
      </c>
      <c r="F1192" s="15" t="str">
        <f>IFERROR(__xludf.DUMMYFUNCTION("""COMPUTED_VALUE"""),"SMC - Pressure Filter Regulator Manual Drain AW30-03BG-A; ; ;")</f>
        <v>SMC - Pressure Filter Regulator Manual Drain AW30-03BG-A; ; ;</v>
      </c>
      <c r="G1192" s="15">
        <f>IFERROR(__xludf.DUMMYFUNCTION("""COMPUTED_VALUE"""),2.0)</f>
        <v>2</v>
      </c>
      <c r="H1192" s="15" t="str">
        <f>IFERROR(__xludf.DUMMYFUNCTION("""COMPUTED_VALUE"""),"Pcs")</f>
        <v>Pcs</v>
      </c>
      <c r="I1192" s="15" t="str">
        <f>IFERROR(__xludf.DUMMYFUNCTION("""COMPUTED_VALUE"""),"PO Open")</f>
        <v>PO Open</v>
      </c>
      <c r="J1192" s="15" t="str">
        <f>IFERROR(__xludf.DUMMYFUNCTION("""COMPUTED_VALUE"""),"121704170 - APPROVED")</f>
        <v>121704170 - APPROVED</v>
      </c>
      <c r="K1192" s="15" t="str">
        <f>IFERROR(__xludf.DUMMYFUNCTION("""COMPUTED_VALUE"""),"GL2605009")</f>
        <v>GL2605009</v>
      </c>
      <c r="L1192" s="15" t="str">
        <f>IFERROR(__xludf.DUMMYFUNCTION("""COMPUTED_VALUE"""),"Normal")</f>
        <v>Normal</v>
      </c>
      <c r="M1192" s="18" t="s">
        <v>31</v>
      </c>
      <c r="N1192" s="18" t="s">
        <v>28</v>
      </c>
    </row>
    <row r="1193" hidden="1">
      <c r="A1193" s="15" t="str">
        <f>IFERROR(__xludf.DUMMYFUNCTION("""COMPUTED_VALUE"""),"MOBRO0081")</f>
        <v>MOBRO0081</v>
      </c>
      <c r="B1193" s="16">
        <f>IFERROR(__xludf.DUMMYFUNCTION("""COMPUTED_VALUE"""),46112.612267129625)</f>
        <v>46112.61227</v>
      </c>
      <c r="C1193" s="17">
        <f>IFERROR(__xludf.DUMMYFUNCTION("""COMPUTED_VALUE"""),46121.57938328704)</f>
        <v>46121.57938</v>
      </c>
      <c r="D1193" s="15" t="str">
        <f>IFERROR(__xludf.DUMMYFUNCTION("""COMPUTED_VALUE"""),"PSG")</f>
        <v>PSG</v>
      </c>
      <c r="E1193" s="15" t="str">
        <f>IFERROR(__xludf.DUMMYFUNCTION("""COMPUTED_VALUE"""),"2026/04/022")</f>
        <v>2026/04/022</v>
      </c>
      <c r="F1193" s="15" t="str">
        <f>IFERROR(__xludf.DUMMYFUNCTION("""COMPUTED_VALUE"""),"General - Gate Valve 1/2inch; Kitz; -; 1 pc")</f>
        <v>General - Gate Valve 1/2inch; Kitz; -; 1 pc</v>
      </c>
      <c r="G1193" s="15">
        <f>IFERROR(__xludf.DUMMYFUNCTION("""COMPUTED_VALUE"""),3.0)</f>
        <v>3</v>
      </c>
      <c r="H1193" s="15" t="str">
        <f>IFERROR(__xludf.DUMMYFUNCTION("""COMPUTED_VALUE"""),"Pcs")</f>
        <v>Pcs</v>
      </c>
      <c r="I1193" s="15" t="str">
        <f>IFERROR(__xludf.DUMMYFUNCTION("""COMPUTED_VALUE"""),"Deliver")</f>
        <v>Deliver</v>
      </c>
      <c r="J1193" s="15" t="str">
        <f>IFERROR(__xludf.DUMMYFUNCTION("""COMPUTED_VALUE"""),"121704176 - APPROVED")</f>
        <v>121704176 - APPROVED</v>
      </c>
      <c r="K1193" s="15" t="str">
        <f>IFERROR(__xludf.DUMMYFUNCTION("""COMPUTED_VALUE"""),"GL2605322")</f>
        <v>GL2605322</v>
      </c>
      <c r="L1193" s="15" t="str">
        <f>IFERROR(__xludf.DUMMYFUNCTION("""COMPUTED_VALUE"""),"Normal")</f>
        <v>Normal</v>
      </c>
      <c r="M1193" s="18" t="s">
        <v>31</v>
      </c>
      <c r="N1193" s="18" t="s">
        <v>28</v>
      </c>
    </row>
    <row r="1194" hidden="1">
      <c r="A1194" s="15" t="str">
        <f>IFERROR(__xludf.DUMMYFUNCTION("""COMPUTED_VALUE"""),"MOBRO0082")</f>
        <v>MOBRO0082</v>
      </c>
      <c r="B1194" s="16">
        <f>IFERROR(__xludf.DUMMYFUNCTION("""COMPUTED_VALUE"""),46113.41679614583)</f>
        <v>46113.4168</v>
      </c>
      <c r="C1194" s="17">
        <f>IFERROR(__xludf.DUMMYFUNCTION("""COMPUTED_VALUE"""),46121.579541875)</f>
        <v>46121.57954</v>
      </c>
      <c r="D1194" s="15" t="str">
        <f>IFERROR(__xludf.DUMMYFUNCTION("""COMPUTED_VALUE"""),"Instalasi kabel")</f>
        <v>Instalasi kabel</v>
      </c>
      <c r="E1194" s="15" t="str">
        <f>IFERROR(__xludf.DUMMYFUNCTION("""COMPUTED_VALUE"""),"-")</f>
        <v>-</v>
      </c>
      <c r="F1194" s="15" t="str">
        <f>IFERROR(__xludf.DUMMYFUNCTION("""COMPUTED_VALUE"""),"General - Kabel NYYHY 3 x 1.5mm; SUPREME; -; 1 meter")</f>
        <v>General - Kabel NYYHY 3 x 1.5mm; SUPREME; -; 1 meter</v>
      </c>
      <c r="G1194" s="15">
        <f>IFERROR(__xludf.DUMMYFUNCTION("""COMPUTED_VALUE"""),2.0)</f>
        <v>2</v>
      </c>
      <c r="H1194" s="15" t="str">
        <f>IFERROR(__xludf.DUMMYFUNCTION("""COMPUTED_VALUE"""),"Roll")</f>
        <v>Roll</v>
      </c>
      <c r="I1194" s="15" t="str">
        <f>IFERROR(__xludf.DUMMYFUNCTION("""COMPUTED_VALUE"""),"Deliver")</f>
        <v>Deliver</v>
      </c>
      <c r="J1194" s="15" t="str">
        <f>IFERROR(__xludf.DUMMYFUNCTION("""COMPUTED_VALUE"""),"121704176 - APPROVED")</f>
        <v>121704176 - APPROVED</v>
      </c>
      <c r="K1194" s="15" t="str">
        <f>IFERROR(__xludf.DUMMYFUNCTION("""COMPUTED_VALUE"""),"GL2605332")</f>
        <v>GL2605332</v>
      </c>
      <c r="L1194" s="15" t="str">
        <f>IFERROR(__xludf.DUMMYFUNCTION("""COMPUTED_VALUE"""),"Normal")</f>
        <v>Normal</v>
      </c>
      <c r="M1194" s="18" t="s">
        <v>31</v>
      </c>
      <c r="N1194" s="18" t="s">
        <v>28</v>
      </c>
    </row>
    <row r="1195" hidden="1">
      <c r="A1195" s="15" t="str">
        <f>IFERROR(__xludf.DUMMYFUNCTION("""COMPUTED_VALUE"""),"AAABR0034")</f>
        <v>AAABR0034</v>
      </c>
      <c r="B1195" s="16">
        <f>IFERROR(__xludf.DUMMYFUNCTION("""COMPUTED_VALUE"""),46113.85694946759)</f>
        <v>46113.85695</v>
      </c>
      <c r="C1195" s="17">
        <f>IFERROR(__xludf.DUMMYFUNCTION("""COMPUTED_VALUE"""),46123.270272581016)</f>
        <v>46123.27027</v>
      </c>
      <c r="D1195" s="15" t="str">
        <f>IFERROR(__xludf.DUMMYFUNCTION("""COMPUTED_VALUE"""),"Freeze dryer")</f>
        <v>Freeze dryer</v>
      </c>
      <c r="E1195" s="15" t="str">
        <f>IFERROR(__xludf.DUMMYFUNCTION("""COMPUTED_VALUE"""),"EJO/2025/07/123")</f>
        <v>EJO/2025/07/123</v>
      </c>
      <c r="F1195" s="15" t="str">
        <f>IFERROR(__xludf.DUMMYFUNCTION("""COMPUTED_VALUE"""),"flow switch")</f>
        <v>flow switch</v>
      </c>
      <c r="G1195" s="15">
        <f>IFERROR(__xludf.DUMMYFUNCTION("""COMPUTED_VALUE"""),2.0)</f>
        <v>2</v>
      </c>
      <c r="H1195" s="15" t="str">
        <f>IFERROR(__xludf.DUMMYFUNCTION("""COMPUTED_VALUE"""),"Pcs")</f>
        <v>Pcs</v>
      </c>
      <c r="I1195" s="15" t="str">
        <f>IFERROR(__xludf.DUMMYFUNCTION("""COMPUTED_VALUE"""),"Deliver")</f>
        <v>Deliver</v>
      </c>
      <c r="J1195" s="15" t="str">
        <f>IFERROR(__xludf.DUMMYFUNCTION("""COMPUTED_VALUE"""),"121704169 - APPROVED")</f>
        <v>121704169 - APPROVED</v>
      </c>
      <c r="K1195" s="15" t="str">
        <f>IFERROR(__xludf.DUMMYFUNCTION("""COMPUTED_VALUE"""),"GL2605328")</f>
        <v>GL2605328</v>
      </c>
      <c r="L1195" s="15" t="str">
        <f>IFERROR(__xludf.DUMMYFUNCTION("""COMPUTED_VALUE"""),"Normal")</f>
        <v>Normal</v>
      </c>
      <c r="M1195" s="18" t="s">
        <v>47</v>
      </c>
      <c r="N1195" s="18" t="s">
        <v>30</v>
      </c>
    </row>
    <row r="1196" hidden="1">
      <c r="A1196" s="15" t="str">
        <f>IFERROR(__xludf.DUMMYFUNCTION("""COMPUTED_VALUE"""),"NDSRO0020")</f>
        <v>NDSRO0020</v>
      </c>
      <c r="B1196" s="16">
        <f>IFERROR(__xludf.DUMMYFUNCTION("""COMPUTED_VALUE"""),46108.653579641206)</f>
        <v>46108.65358</v>
      </c>
      <c r="C1196" s="17">
        <f>IFERROR(__xludf.DUMMYFUNCTION("""COMPUTED_VALUE"""),46123.277429710644)</f>
        <v>46123.27743</v>
      </c>
      <c r="D1196" s="15" t="str">
        <f>IFERROR(__xludf.DUMMYFUNCTION("""COMPUTED_VALUE"""),"GMP Washer")</f>
        <v>GMP Washer</v>
      </c>
      <c r="E1196" s="15" t="str">
        <f>IFERROR(__xludf.DUMMYFUNCTION("""COMPUTED_VALUE"""),"-")</f>
        <v>-</v>
      </c>
      <c r="F1196" s="15" t="str">
        <f>IFERROR(__xludf.DUMMYFUNCTION("""COMPUTED_VALUE"""),"GMP Washer - Pressure Switch0-0.25 Bar 0.045 Bar PSA-31 (0.045 Bar) Wika p/n:014032")</f>
        <v>GMP Washer - Pressure Switch0-0.25 Bar 0.045 Bar PSA-31 (0.045 Bar) Wika p/n:014032</v>
      </c>
      <c r="G1196" s="15">
        <f>IFERROR(__xludf.DUMMYFUNCTION("""COMPUTED_VALUE"""),1.0)</f>
        <v>1</v>
      </c>
      <c r="H1196" s="15" t="str">
        <f>IFERROR(__xludf.DUMMYFUNCTION("""COMPUTED_VALUE"""),"pcs")</f>
        <v>pcs</v>
      </c>
      <c r="I1196" s="15" t="str">
        <f>IFERROR(__xludf.DUMMYFUNCTION("""COMPUTED_VALUE"""),"Mencari Penawaran")</f>
        <v>Mencari Penawaran</v>
      </c>
      <c r="J1196" s="15" t="str">
        <f>IFERROR(__xludf.DUMMYFUNCTION("""COMPUTED_VALUE"""),"-")</f>
        <v>-</v>
      </c>
      <c r="K1196" s="15" t="str">
        <f>IFERROR(__xludf.DUMMYFUNCTION("""COMPUTED_VALUE"""),"-")</f>
        <v>-</v>
      </c>
      <c r="L1196" s="15" t="str">
        <f>IFERROR(__xludf.DUMMYFUNCTION("""COMPUTED_VALUE"""),"Normal")</f>
        <v>Normal</v>
      </c>
      <c r="M1196" s="18" t="s">
        <v>50</v>
      </c>
      <c r="N1196" s="18" t="s">
        <v>30</v>
      </c>
    </row>
    <row r="1197" hidden="1">
      <c r="A1197" s="15" t="str">
        <f>IFERROR(__xludf.DUMMYFUNCTION("""COMPUTED_VALUE"""),"KFFBR0009")</f>
        <v>KFFBR0009</v>
      </c>
      <c r="B1197" s="16">
        <f>IFERROR(__xludf.DUMMYFUNCTION("""COMPUTED_VALUE"""),46093.65385894676)</f>
        <v>46093.65386</v>
      </c>
      <c r="C1197" s="17">
        <f>IFERROR(__xludf.DUMMYFUNCTION("""COMPUTED_VALUE"""),46123.28123481481)</f>
        <v>46123.28123</v>
      </c>
      <c r="D1197" s="15" t="str">
        <f>IFERROR(__xludf.DUMMYFUNCTION("""COMPUTED_VALUE"""),"Workshop")</f>
        <v>Workshop</v>
      </c>
      <c r="E1197" s="15" t="str">
        <f>IFERROR(__xludf.DUMMYFUNCTION("""COMPUTED_VALUE"""),"EJO/2025/09/131")</f>
        <v>EJO/2025/09/131</v>
      </c>
      <c r="F1197" s="15" t="str">
        <f>IFERROR(__xludf.DUMMYFUNCTION("""COMPUTED_VALUE"""),"Tungsten electrode")</f>
        <v>Tungsten electrode</v>
      </c>
      <c r="G1197" s="15">
        <f>IFERROR(__xludf.DUMMYFUNCTION("""COMPUTED_VALUE"""),1.0)</f>
        <v>1</v>
      </c>
      <c r="H1197" s="15" t="str">
        <f>IFERROR(__xludf.DUMMYFUNCTION("""COMPUTED_VALUE"""),"set")</f>
        <v>set</v>
      </c>
      <c r="I1197" s="15" t="str">
        <f>IFERROR(__xludf.DUMMYFUNCTION("""COMPUTED_VALUE"""),"Deliver")</f>
        <v>Deliver</v>
      </c>
      <c r="J1197" s="15" t="str">
        <f>IFERROR(__xludf.DUMMYFUNCTION("""COMPUTED_VALUE"""),"121704369 - APPROVED")</f>
        <v>121704369 - APPROVED</v>
      </c>
      <c r="K1197" s="15" t="str">
        <f>IFERROR(__xludf.DUMMYFUNCTION("""COMPUTED_VALUE"""),"GL2607379")</f>
        <v>GL2607379</v>
      </c>
      <c r="L1197" s="15" t="str">
        <f>IFERROR(__xludf.DUMMYFUNCTION("""COMPUTED_VALUE"""),"Normal")</f>
        <v>Normal</v>
      </c>
      <c r="M1197" s="18" t="s">
        <v>56</v>
      </c>
      <c r="N1197" s="18" t="s">
        <v>30</v>
      </c>
    </row>
    <row r="1198" hidden="1">
      <c r="A1198" s="15" t="str">
        <f>IFERROR(__xludf.DUMMYFUNCTION("""COMPUTED_VALUE"""),"KFFBR0010")</f>
        <v>KFFBR0010</v>
      </c>
      <c r="B1198" s="16">
        <f>IFERROR(__xludf.DUMMYFUNCTION("""COMPUTED_VALUE"""),46093.65701800926)</f>
        <v>46093.65702</v>
      </c>
      <c r="C1198" s="17">
        <f>IFERROR(__xludf.DUMMYFUNCTION("""COMPUTED_VALUE"""),46123.28157099537)</f>
        <v>46123.28157</v>
      </c>
      <c r="D1198" s="15" t="str">
        <f>IFERROR(__xludf.DUMMYFUNCTION("""COMPUTED_VALUE"""),"Workshop")</f>
        <v>Workshop</v>
      </c>
      <c r="E1198" s="15" t="str">
        <f>IFERROR(__xludf.DUMMYFUNCTION("""COMPUTED_VALUE"""),"EJO/2025/09/131")</f>
        <v>EJO/2025/09/131</v>
      </c>
      <c r="F1198" s="15" t="str">
        <f>IFERROR(__xludf.DUMMYFUNCTION("""COMPUTED_VALUE"""),"consumable welding kit ")</f>
        <v>consumable welding kit </v>
      </c>
      <c r="G1198" s="15">
        <f>IFERROR(__xludf.DUMMYFUNCTION("""COMPUTED_VALUE"""),1.0)</f>
        <v>1</v>
      </c>
      <c r="H1198" s="15" t="str">
        <f>IFERROR(__xludf.DUMMYFUNCTION("""COMPUTED_VALUE"""),"SET")</f>
        <v>SET</v>
      </c>
      <c r="I1198" s="15" t="str">
        <f>IFERROR(__xludf.DUMMYFUNCTION("""COMPUTED_VALUE"""),"Deliver")</f>
        <v>Deliver</v>
      </c>
      <c r="J1198" s="15" t="str">
        <f>IFERROR(__xludf.DUMMYFUNCTION("""COMPUTED_VALUE"""),"121704176 - APPROVED")</f>
        <v>121704176 - APPROVED</v>
      </c>
      <c r="K1198" s="15" t="str">
        <f>IFERROR(__xludf.DUMMYFUNCTION("""COMPUTED_VALUE"""),"GL2605325")</f>
        <v>GL2605325</v>
      </c>
      <c r="L1198" s="15" t="str">
        <f>IFERROR(__xludf.DUMMYFUNCTION("""COMPUTED_VALUE"""),"Normal")</f>
        <v>Normal</v>
      </c>
      <c r="M1198" s="18" t="s">
        <v>56</v>
      </c>
      <c r="N1198" s="18" t="s">
        <v>30</v>
      </c>
    </row>
    <row r="1199" hidden="1">
      <c r="A1199" s="15" t="str">
        <f>IFERROR(__xludf.DUMMYFUNCTION("""COMPUTED_VALUE"""),"ROSBR0090")</f>
        <v>ROSBR0090</v>
      </c>
      <c r="B1199" s="16">
        <f>IFERROR(__xludf.DUMMYFUNCTION("""COMPUTED_VALUE"""),46093.64691605324)</f>
        <v>46093.64692</v>
      </c>
      <c r="C1199" s="17">
        <f>IFERROR(__xludf.DUMMYFUNCTION("""COMPUTED_VALUE"""),46123.28318854167)</f>
        <v>46123.28319</v>
      </c>
      <c r="D1199" s="15" t="str">
        <f>IFERROR(__xludf.DUMMYFUNCTION("""COMPUTED_VALUE"""),"BSC")</f>
        <v>BSC</v>
      </c>
      <c r="E1199" s="15" t="str">
        <f>IFERROR(__xludf.DUMMYFUNCTION("""COMPUTED_VALUE"""),"-")</f>
        <v>-</v>
      </c>
      <c r="F1199" s="15" t="str">
        <f>IFERROR(__xludf.DUMMYFUNCTION("""COMPUTED_VALUE"""),"Supply motor Blower BSC ")</f>
        <v>Supply motor Blower BSC </v>
      </c>
      <c r="G1199" s="15">
        <f>IFERROR(__xludf.DUMMYFUNCTION("""COMPUTED_VALUE"""),1.0)</f>
        <v>1</v>
      </c>
      <c r="H1199" s="15" t="str">
        <f>IFERROR(__xludf.DUMMYFUNCTION("""COMPUTED_VALUE"""),"unit ")</f>
        <v>unit </v>
      </c>
      <c r="I1199" s="15" t="str">
        <f>IFERROR(__xludf.DUMMYFUNCTION("""COMPUTED_VALUE"""),"PO Open")</f>
        <v>PO Open</v>
      </c>
      <c r="J1199" s="15" t="str">
        <f>IFERROR(__xludf.DUMMYFUNCTION("""COMPUTED_VALUE"""),"121704160 - APPROVED")</f>
        <v>121704160 - APPROVED</v>
      </c>
      <c r="K1199" s="15" t="str">
        <f>IFERROR(__xludf.DUMMYFUNCTION("""COMPUTED_VALUE"""),"GL2605043")</f>
        <v>GL2605043</v>
      </c>
      <c r="L1199" s="15" t="str">
        <f>IFERROR(__xludf.DUMMYFUNCTION("""COMPUTED_VALUE"""),"Normal")</f>
        <v>Normal</v>
      </c>
      <c r="M1199" s="18" t="s">
        <v>29</v>
      </c>
      <c r="N1199" s="18" t="s">
        <v>30</v>
      </c>
    </row>
    <row r="1200" hidden="1">
      <c r="A1200" s="15" t="str">
        <f>IFERROR(__xludf.DUMMYFUNCTION("""COMPUTED_VALUE"""),"ROSBR0091")</f>
        <v>ROSBR0091</v>
      </c>
      <c r="B1200" s="16">
        <f>IFERROR(__xludf.DUMMYFUNCTION("""COMPUTED_VALUE"""),46112.15370383102)</f>
        <v>46112.1537</v>
      </c>
      <c r="C1200" s="17">
        <f>IFERROR(__xludf.DUMMYFUNCTION("""COMPUTED_VALUE"""),46123.28389076389)</f>
        <v>46123.28389</v>
      </c>
      <c r="D1200" s="15" t="str">
        <f>IFERROR(__xludf.DUMMYFUNCTION("""COMPUTED_VALUE"""),"Crabs")</f>
        <v>Crabs</v>
      </c>
      <c r="E1200" s="15" t="str">
        <f>IFERROR(__xludf.DUMMYFUNCTION("""COMPUTED_VALUE"""),"EJO/2026/03/88")</f>
        <v>EJO/2026/03/88</v>
      </c>
      <c r="F1200" s="15" t="str">
        <f>IFERROR(__xludf.DUMMYFUNCTION("""COMPUTED_VALUE"""),"Mur Hepa Crabs ")</f>
        <v>Mur Hepa Crabs </v>
      </c>
      <c r="G1200" s="15">
        <f>IFERROR(__xludf.DUMMYFUNCTION("""COMPUTED_VALUE"""),150.0)</f>
        <v>150</v>
      </c>
      <c r="H1200" s="15" t="str">
        <f>IFERROR(__xludf.DUMMYFUNCTION("""COMPUTED_VALUE"""),"pcs ")</f>
        <v>pcs </v>
      </c>
      <c r="I1200" s="15" t="str">
        <f>IFERROR(__xludf.DUMMYFUNCTION("""COMPUTED_VALUE"""),"Deliver")</f>
        <v>Deliver</v>
      </c>
      <c r="J1200" s="15" t="str">
        <f>IFERROR(__xludf.DUMMYFUNCTION("""COMPUTED_VALUE"""),"121704369 - APPROVED")</f>
        <v>121704369 - APPROVED</v>
      </c>
      <c r="K1200" s="15" t="str">
        <f>IFERROR(__xludf.DUMMYFUNCTION("""COMPUTED_VALUE"""),"GL2607378")</f>
        <v>GL2607378</v>
      </c>
      <c r="L1200" s="15" t="str">
        <f>IFERROR(__xludf.DUMMYFUNCTION("""COMPUTED_VALUE"""),"Normal")</f>
        <v>Normal</v>
      </c>
      <c r="M1200" s="18" t="s">
        <v>29</v>
      </c>
      <c r="N1200" s="18" t="s">
        <v>30</v>
      </c>
    </row>
    <row r="1201" hidden="1">
      <c r="A1201" s="15" t="str">
        <f>IFERROR(__xludf.DUMMYFUNCTION("""COMPUTED_VALUE"""),"SFHRO0041")</f>
        <v>SFHRO0041</v>
      </c>
      <c r="B1201" s="16">
        <f>IFERROR(__xludf.DUMMYFUNCTION("""COMPUTED_VALUE"""),46126.834051770835)</f>
        <v>46126.83405</v>
      </c>
      <c r="C1201" s="17">
        <f>IFERROR(__xludf.DUMMYFUNCTION("""COMPUTED_VALUE"""),46132.73286152778)</f>
        <v>46132.73286</v>
      </c>
      <c r="D1201" s="15" t="str">
        <f>IFERROR(__xludf.DUMMYFUNCTION("""COMPUTED_VALUE"""),"lantai 2")</f>
        <v>lantai 2</v>
      </c>
      <c r="E1201" s="15" t="str">
        <f>IFERROR(__xludf.DUMMYFUNCTION("""COMPUTED_VALUE"""),"-")</f>
        <v>-</v>
      </c>
      <c r="F1201" s="15" t="str">
        <f>IFERROR(__xludf.DUMMYFUNCTION("""COMPUTED_VALUE"""),"Kuas Cat Roller uk. 230 mm;No Brand;;pack size per set")</f>
        <v>Kuas Cat Roller uk. 230 mm;No Brand;;pack size per set</v>
      </c>
      <c r="G1201" s="15">
        <f>IFERROR(__xludf.DUMMYFUNCTION("""COMPUTED_VALUE"""),10.0)</f>
        <v>10</v>
      </c>
      <c r="H1201" s="15" t="str">
        <f>IFERROR(__xludf.DUMMYFUNCTION("""COMPUTED_VALUE"""),"pcs")</f>
        <v>pcs</v>
      </c>
      <c r="I1201" s="15" t="str">
        <f>IFERROR(__xludf.DUMMYFUNCTION("""COMPUTED_VALUE"""),"Deliver")</f>
        <v>Deliver</v>
      </c>
      <c r="J1201" s="15" t="str">
        <f>IFERROR(__xludf.DUMMYFUNCTION("""COMPUTED_VALUE"""),"121704177 - APPROVED")</f>
        <v>121704177 - APPROVED</v>
      </c>
      <c r="K1201" s="15" t="str">
        <f>IFERROR(__xludf.DUMMYFUNCTION("""COMPUTED_VALUE"""),"GL2605026")</f>
        <v>GL2605026</v>
      </c>
      <c r="L1201" s="15" t="str">
        <f>IFERROR(__xludf.DUMMYFUNCTION("""COMPUTED_VALUE"""),"Normal")</f>
        <v>Normal</v>
      </c>
      <c r="M1201" s="18" t="s">
        <v>27</v>
      </c>
      <c r="N1201" s="18" t="s">
        <v>28</v>
      </c>
    </row>
    <row r="1202" hidden="1">
      <c r="A1202" s="15" t="str">
        <f>IFERROR(__xludf.DUMMYFUNCTION("""COMPUTED_VALUE"""),"SFHRO0042")</f>
        <v>SFHRO0042</v>
      </c>
      <c r="B1202" s="16">
        <f>IFERROR(__xludf.DUMMYFUNCTION("""COMPUTED_VALUE"""),46126.835104861115)</f>
        <v>46126.8351</v>
      </c>
      <c r="C1202" s="17">
        <f>IFERROR(__xludf.DUMMYFUNCTION("""COMPUTED_VALUE"""),46132.73297460648)</f>
        <v>46132.73297</v>
      </c>
      <c r="D1202" s="15" t="str">
        <f>IFERROR(__xludf.DUMMYFUNCTION("""COMPUTED_VALUE"""),"lantai 2")</f>
        <v>lantai 2</v>
      </c>
      <c r="E1202" s="15" t="str">
        <f>IFERROR(__xludf.DUMMYFUNCTION("""COMPUTED_VALUE"""),"-")</f>
        <v>-</v>
      </c>
      <c r="F1202" s="15" t="str">
        <f>IFERROR(__xludf.DUMMYFUNCTION("""COMPUTED_VALUE"""),"Kuas Cat Roller uk. 110 mm;No Brand;;pack size per set")</f>
        <v>Kuas Cat Roller uk. 110 mm;No Brand;;pack size per set</v>
      </c>
      <c r="G1202" s="15">
        <f>IFERROR(__xludf.DUMMYFUNCTION("""COMPUTED_VALUE"""),10.0)</f>
        <v>10</v>
      </c>
      <c r="H1202" s="15" t="str">
        <f>IFERROR(__xludf.DUMMYFUNCTION("""COMPUTED_VALUE"""),"pcs")</f>
        <v>pcs</v>
      </c>
      <c r="I1202" s="15" t="str">
        <f>IFERROR(__xludf.DUMMYFUNCTION("""COMPUTED_VALUE"""),"Deliver")</f>
        <v>Deliver</v>
      </c>
      <c r="J1202" s="15" t="str">
        <f>IFERROR(__xludf.DUMMYFUNCTION("""COMPUTED_VALUE"""),"121704177 - APPROVED")</f>
        <v>121704177 - APPROVED</v>
      </c>
      <c r="K1202" s="15" t="str">
        <f>IFERROR(__xludf.DUMMYFUNCTION("""COMPUTED_VALUE"""),"GL2605026")</f>
        <v>GL2605026</v>
      </c>
      <c r="L1202" s="15" t="str">
        <f>IFERROR(__xludf.DUMMYFUNCTION("""COMPUTED_VALUE"""),"Normal")</f>
        <v>Normal</v>
      </c>
      <c r="M1202" s="18" t="s">
        <v>27</v>
      </c>
      <c r="N1202" s="18" t="s">
        <v>28</v>
      </c>
    </row>
    <row r="1203" hidden="1">
      <c r="A1203" s="15" t="str">
        <f>IFERROR(__xludf.DUMMYFUNCTION("""COMPUTED_VALUE"""),"SFHRO0043")</f>
        <v>SFHRO0043</v>
      </c>
      <c r="B1203" s="16">
        <f>IFERROR(__xludf.DUMMYFUNCTION("""COMPUTED_VALUE"""),46126.83661381944)</f>
        <v>46126.83661</v>
      </c>
      <c r="C1203" s="17">
        <f>IFERROR(__xludf.DUMMYFUNCTION("""COMPUTED_VALUE"""),46132.73313770833)</f>
        <v>46132.73314</v>
      </c>
      <c r="D1203" s="15" t="str">
        <f>IFERROR(__xludf.DUMMYFUNCTION("""COMPUTED_VALUE"""),"lantai 2")</f>
        <v>lantai 2</v>
      </c>
      <c r="E1203" s="15" t="str">
        <f>IFERROR(__xludf.DUMMYFUNCTION("""COMPUTED_VALUE"""),"-")</f>
        <v>-</v>
      </c>
      <c r="F1203" s="15" t="str">
        <f>IFERROR(__xludf.DUMMYFUNCTION("""COMPUTED_VALUE"""),"Semen MU 301 Plester Plus; ; ;")</f>
        <v>Semen MU 301 Plester Plus; ; ;</v>
      </c>
      <c r="G1203" s="15">
        <f>IFERROR(__xludf.DUMMYFUNCTION("""COMPUTED_VALUE"""),40.0)</f>
        <v>40</v>
      </c>
      <c r="H1203" s="15" t="str">
        <f>IFERROR(__xludf.DUMMYFUNCTION("""COMPUTED_VALUE"""),"kg")</f>
        <v>kg</v>
      </c>
      <c r="I1203" s="15" t="str">
        <f>IFERROR(__xludf.DUMMYFUNCTION("""COMPUTED_VALUE"""),"PO Open")</f>
        <v>PO Open</v>
      </c>
      <c r="J1203" s="15" t="str">
        <f>IFERROR(__xludf.DUMMYFUNCTION("""COMPUTED_VALUE"""),"121704177 - APPROVED")</f>
        <v>121704177 - APPROVED</v>
      </c>
      <c r="K1203" s="15" t="str">
        <f>IFERROR(__xludf.DUMMYFUNCTION("""COMPUTED_VALUE"""),"-")</f>
        <v>-</v>
      </c>
      <c r="L1203" s="15" t="str">
        <f>IFERROR(__xludf.DUMMYFUNCTION("""COMPUTED_VALUE"""),"Normal")</f>
        <v>Normal</v>
      </c>
      <c r="M1203" s="18" t="s">
        <v>27</v>
      </c>
      <c r="N1203" s="18" t="s">
        <v>28</v>
      </c>
    </row>
    <row r="1204" hidden="1">
      <c r="A1204" s="15" t="str">
        <f>IFERROR(__xludf.DUMMYFUNCTION("""COMPUTED_VALUE"""),"SFHRO0044")</f>
        <v>SFHRO0044</v>
      </c>
      <c r="B1204" s="16">
        <f>IFERROR(__xludf.DUMMYFUNCTION("""COMPUTED_VALUE"""),46126.84634841434)</f>
        <v>46126.84635</v>
      </c>
      <c r="C1204" s="17">
        <f>IFERROR(__xludf.DUMMYFUNCTION("""COMPUTED_VALUE"""),46132.733263055554)</f>
        <v>46132.73326</v>
      </c>
      <c r="D1204" s="15" t="str">
        <f>IFERROR(__xludf.DUMMYFUNCTION("""COMPUTED_VALUE"""),"lantai 2")</f>
        <v>lantai 2</v>
      </c>
      <c r="E1204" s="15" t="str">
        <f>IFERROR(__xludf.DUMMYFUNCTION("""COMPUTED_VALUE"""),"-")</f>
        <v>-</v>
      </c>
      <c r="F1204" s="15" t="str">
        <f>IFERROR(__xludf.DUMMYFUNCTION("""COMPUTED_VALUE"""),"Kuas Cat Uk. 3 inch;Eterna;Tipe 611;pack size per pcs")</f>
        <v>Kuas Cat Uk. 3 inch;Eterna;Tipe 611;pack size per pcs</v>
      </c>
      <c r="G1204" s="15">
        <f>IFERROR(__xludf.DUMMYFUNCTION("""COMPUTED_VALUE"""),5.0)</f>
        <v>5</v>
      </c>
      <c r="H1204" s="15" t="str">
        <f>IFERROR(__xludf.DUMMYFUNCTION("""COMPUTED_VALUE"""),"pcs")</f>
        <v>pcs</v>
      </c>
      <c r="I1204" s="15" t="str">
        <f>IFERROR(__xludf.DUMMYFUNCTION("""COMPUTED_VALUE"""),"Deliver")</f>
        <v>Deliver</v>
      </c>
      <c r="J1204" s="15" t="str">
        <f>IFERROR(__xludf.DUMMYFUNCTION("""COMPUTED_VALUE"""),"121704177 - APPROVED")</f>
        <v>121704177 - APPROVED</v>
      </c>
      <c r="K1204" s="15" t="str">
        <f>IFERROR(__xludf.DUMMYFUNCTION("""COMPUTED_VALUE"""),"GL2605026")</f>
        <v>GL2605026</v>
      </c>
      <c r="L1204" s="15" t="str">
        <f>IFERROR(__xludf.DUMMYFUNCTION("""COMPUTED_VALUE"""),"Normal")</f>
        <v>Normal</v>
      </c>
      <c r="M1204" s="18" t="s">
        <v>27</v>
      </c>
      <c r="N1204" s="18" t="s">
        <v>28</v>
      </c>
    </row>
    <row r="1205" hidden="1">
      <c r="A1205" s="15" t="str">
        <f>IFERROR(__xludf.DUMMYFUNCTION("""COMPUTED_VALUE"""),"SFHBR0050")</f>
        <v>SFHBR0050</v>
      </c>
      <c r="B1205" s="16">
        <f>IFERROR(__xludf.DUMMYFUNCTION("""COMPUTED_VALUE"""),46126.83815373843)</f>
        <v>46126.83815</v>
      </c>
      <c r="C1205" s="17">
        <f>IFERROR(__xludf.DUMMYFUNCTION("""COMPUTED_VALUE"""),46132.73341178241)</f>
        <v>46132.73341</v>
      </c>
      <c r="D1205" s="15" t="str">
        <f>IFERROR(__xludf.DUMMYFUNCTION("""COMPUTED_VALUE"""),"lantai 2")</f>
        <v>lantai 2</v>
      </c>
      <c r="E1205" s="15" t="str">
        <f>IFERROR(__xludf.DUMMYFUNCTION("""COMPUTED_VALUE"""),"-")</f>
        <v>-</v>
      </c>
      <c r="F1205" s="15" t="str">
        <f>IFERROR(__xludf.DUMMYFUNCTION("""COMPUTED_VALUE"""),"MATA BOR NACHI 2M")</f>
        <v>MATA BOR NACHI 2M</v>
      </c>
      <c r="G1205" s="15">
        <f>IFERROR(__xludf.DUMMYFUNCTION("""COMPUTED_VALUE"""),2.0)</f>
        <v>2</v>
      </c>
      <c r="H1205" s="15" t="str">
        <f>IFERROR(__xludf.DUMMYFUNCTION("""COMPUTED_VALUE"""),"pcs")</f>
        <v>pcs</v>
      </c>
      <c r="I1205" s="15" t="str">
        <f>IFERROR(__xludf.DUMMYFUNCTION("""COMPUTED_VALUE"""),"PR Open")</f>
        <v>PR Open</v>
      </c>
      <c r="J1205" s="15" t="str">
        <f>IFERROR(__xludf.DUMMYFUNCTION("""COMPUTED_VALUE"""),"121704549 - APPROVED")</f>
        <v>121704549 - APPROVED</v>
      </c>
      <c r="K1205" s="15" t="str">
        <f>IFERROR(__xludf.DUMMYFUNCTION("""COMPUTED_VALUE"""),"-")</f>
        <v>-</v>
      </c>
      <c r="L1205" s="15" t="str">
        <f>IFERROR(__xludf.DUMMYFUNCTION("""COMPUTED_VALUE"""),"Normal")</f>
        <v>Normal</v>
      </c>
      <c r="M1205" s="18" t="s">
        <v>27</v>
      </c>
      <c r="N1205" s="18" t="s">
        <v>28</v>
      </c>
    </row>
    <row r="1206" hidden="1">
      <c r="A1206" s="15" t="str">
        <f>IFERROR(__xludf.DUMMYFUNCTION("""COMPUTED_VALUE"""),"SFHBR0051")</f>
        <v>SFHBR0051</v>
      </c>
      <c r="B1206" s="16">
        <f>IFERROR(__xludf.DUMMYFUNCTION("""COMPUTED_VALUE"""),46126.83976253473)</f>
        <v>46126.83976</v>
      </c>
      <c r="C1206" s="17">
        <f>IFERROR(__xludf.DUMMYFUNCTION("""COMPUTED_VALUE"""),46132.733549502314)</f>
        <v>46132.73355</v>
      </c>
      <c r="D1206" s="15" t="str">
        <f>IFERROR(__xludf.DUMMYFUNCTION("""COMPUTED_VALUE"""),"lantai 2")</f>
        <v>lantai 2</v>
      </c>
      <c r="E1206" s="15" t="str">
        <f>IFERROR(__xludf.DUMMYFUNCTION("""COMPUTED_VALUE"""),"-")</f>
        <v>-</v>
      </c>
      <c r="F1206" s="15" t="str">
        <f>IFERROR(__xludf.DUMMYFUNCTION("""COMPUTED_VALUE"""),"MATA BOR NACHI 2.5M")</f>
        <v>MATA BOR NACHI 2.5M</v>
      </c>
      <c r="G1206" s="15">
        <f>IFERROR(__xludf.DUMMYFUNCTION("""COMPUTED_VALUE"""),2.0)</f>
        <v>2</v>
      </c>
      <c r="H1206" s="15" t="str">
        <f>IFERROR(__xludf.DUMMYFUNCTION("""COMPUTED_VALUE"""),"pcs")</f>
        <v>pcs</v>
      </c>
      <c r="I1206" s="15" t="str">
        <f>IFERROR(__xludf.DUMMYFUNCTION("""COMPUTED_VALUE"""),"PR Open")</f>
        <v>PR Open</v>
      </c>
      <c r="J1206" s="15" t="str">
        <f>IFERROR(__xludf.DUMMYFUNCTION("""COMPUTED_VALUE"""),"121704549 - APPROVED")</f>
        <v>121704549 - APPROVED</v>
      </c>
      <c r="K1206" s="15" t="str">
        <f>IFERROR(__xludf.DUMMYFUNCTION("""COMPUTED_VALUE"""),"-")</f>
        <v>-</v>
      </c>
      <c r="L1206" s="15" t="str">
        <f>IFERROR(__xludf.DUMMYFUNCTION("""COMPUTED_VALUE"""),"Normal")</f>
        <v>Normal</v>
      </c>
      <c r="M1206" s="18" t="s">
        <v>27</v>
      </c>
      <c r="N1206" s="18" t="s">
        <v>28</v>
      </c>
    </row>
    <row r="1207" hidden="1">
      <c r="A1207" s="15" t="str">
        <f>IFERROR(__xludf.DUMMYFUNCTION("""COMPUTED_VALUE"""),"SFHBR0052")</f>
        <v>SFHBR0052</v>
      </c>
      <c r="B1207" s="16">
        <f>IFERROR(__xludf.DUMMYFUNCTION("""COMPUTED_VALUE"""),46126.84115641203)</f>
        <v>46126.84116</v>
      </c>
      <c r="C1207" s="17">
        <f>IFERROR(__xludf.DUMMYFUNCTION("""COMPUTED_VALUE"""),46132.733688518514)</f>
        <v>46132.73369</v>
      </c>
      <c r="D1207" s="15" t="str">
        <f>IFERROR(__xludf.DUMMYFUNCTION("""COMPUTED_VALUE"""),"lantai 2")</f>
        <v>lantai 2</v>
      </c>
      <c r="E1207" s="15" t="str">
        <f>IFERROR(__xludf.DUMMYFUNCTION("""COMPUTED_VALUE"""),"-")</f>
        <v>-</v>
      </c>
      <c r="F1207" s="15" t="str">
        <f>IFERROR(__xludf.DUMMYFUNCTION("""COMPUTED_VALUE"""),"MATA BOR NACHI 3MMATA BOR NACHI 3M")</f>
        <v>MATA BOR NACHI 3MMATA BOR NACHI 3M</v>
      </c>
      <c r="G1207" s="15">
        <f>IFERROR(__xludf.DUMMYFUNCTION("""COMPUTED_VALUE"""),2.0)</f>
        <v>2</v>
      </c>
      <c r="H1207" s="15" t="str">
        <f>IFERROR(__xludf.DUMMYFUNCTION("""COMPUTED_VALUE"""),"pcs")</f>
        <v>pcs</v>
      </c>
      <c r="I1207" s="15" t="str">
        <f>IFERROR(__xludf.DUMMYFUNCTION("""COMPUTED_VALUE"""),"PR Open")</f>
        <v>PR Open</v>
      </c>
      <c r="J1207" s="15" t="str">
        <f>IFERROR(__xludf.DUMMYFUNCTION("""COMPUTED_VALUE"""),"121704549 - APPROVED")</f>
        <v>121704549 - APPROVED</v>
      </c>
      <c r="K1207" s="15" t="str">
        <f>IFERROR(__xludf.DUMMYFUNCTION("""COMPUTED_VALUE"""),"-")</f>
        <v>-</v>
      </c>
      <c r="L1207" s="15" t="str">
        <f>IFERROR(__xludf.DUMMYFUNCTION("""COMPUTED_VALUE"""),"Normal")</f>
        <v>Normal</v>
      </c>
      <c r="M1207" s="18" t="s">
        <v>27</v>
      </c>
      <c r="N1207" s="18" t="s">
        <v>28</v>
      </c>
    </row>
    <row r="1208" hidden="1">
      <c r="A1208" s="15" t="str">
        <f>IFERROR(__xludf.DUMMYFUNCTION("""COMPUTED_VALUE"""),"SFHBR0053")</f>
        <v>SFHBR0053</v>
      </c>
      <c r="B1208" s="16">
        <f>IFERROR(__xludf.DUMMYFUNCTION("""COMPUTED_VALUE"""),46126.842008078704)</f>
        <v>46126.84201</v>
      </c>
      <c r="C1208" s="17">
        <f>IFERROR(__xludf.DUMMYFUNCTION("""COMPUTED_VALUE"""),46132.73503203704)</f>
        <v>46132.73503</v>
      </c>
      <c r="D1208" s="15" t="str">
        <f>IFERROR(__xludf.DUMMYFUNCTION("""COMPUTED_VALUE"""),"lantai 2")</f>
        <v>lantai 2</v>
      </c>
      <c r="E1208" s="15" t="str">
        <f>IFERROR(__xludf.DUMMYFUNCTION("""COMPUTED_VALUE"""),"-")</f>
        <v>-</v>
      </c>
      <c r="F1208" s="15" t="str">
        <f>IFERROR(__xludf.DUMMYFUNCTION("""COMPUTED_VALUE"""),"MATA BOR NACHI 3.5M")</f>
        <v>MATA BOR NACHI 3.5M</v>
      </c>
      <c r="G1208" s="15">
        <f>IFERROR(__xludf.DUMMYFUNCTION("""COMPUTED_VALUE"""),2.0)</f>
        <v>2</v>
      </c>
      <c r="H1208" s="15" t="str">
        <f>IFERROR(__xludf.DUMMYFUNCTION("""COMPUTED_VALUE"""),"pcs")</f>
        <v>pcs</v>
      </c>
      <c r="I1208" s="15" t="str">
        <f>IFERROR(__xludf.DUMMYFUNCTION("""COMPUTED_VALUE"""),"PR Open")</f>
        <v>PR Open</v>
      </c>
      <c r="J1208" s="15" t="str">
        <f>IFERROR(__xludf.DUMMYFUNCTION("""COMPUTED_VALUE"""),"121704549 - APPROVED")</f>
        <v>121704549 - APPROVED</v>
      </c>
      <c r="K1208" s="15" t="str">
        <f>IFERROR(__xludf.DUMMYFUNCTION("""COMPUTED_VALUE"""),"-")</f>
        <v>-</v>
      </c>
      <c r="L1208" s="15" t="str">
        <f>IFERROR(__xludf.DUMMYFUNCTION("""COMPUTED_VALUE"""),"Normal")</f>
        <v>Normal</v>
      </c>
      <c r="M1208" s="18" t="s">
        <v>27</v>
      </c>
      <c r="N1208" s="18" t="s">
        <v>28</v>
      </c>
    </row>
    <row r="1209" hidden="1">
      <c r="A1209" s="15" t="str">
        <f>IFERROR(__xludf.DUMMYFUNCTION("""COMPUTED_VALUE"""),"SFHBR0054")</f>
        <v>SFHBR0054</v>
      </c>
      <c r="B1209" s="16">
        <f>IFERROR(__xludf.DUMMYFUNCTION("""COMPUTED_VALUE"""),46126.84346361111)</f>
        <v>46126.84346</v>
      </c>
      <c r="C1209" s="17">
        <f>IFERROR(__xludf.DUMMYFUNCTION("""COMPUTED_VALUE"""),46132.7351778125)</f>
        <v>46132.73518</v>
      </c>
      <c r="D1209" s="15" t="str">
        <f>IFERROR(__xludf.DUMMYFUNCTION("""COMPUTED_VALUE"""),"lantai 2")</f>
        <v>lantai 2</v>
      </c>
      <c r="E1209" s="15" t="str">
        <f>IFERROR(__xludf.DUMMYFUNCTION("""COMPUTED_VALUE"""),"-")</f>
        <v>-</v>
      </c>
      <c r="F1209" s="15" t="str">
        <f>IFERROR(__xludf.DUMMYFUNCTION("""COMPUTED_VALUE"""),"MATA BOR NACHI 4 M")</f>
        <v>MATA BOR NACHI 4 M</v>
      </c>
      <c r="G1209" s="15">
        <f>IFERROR(__xludf.DUMMYFUNCTION("""COMPUTED_VALUE"""),2.0)</f>
        <v>2</v>
      </c>
      <c r="H1209" s="15" t="str">
        <f>IFERROR(__xludf.DUMMYFUNCTION("""COMPUTED_VALUE"""),"pcs")</f>
        <v>pcs</v>
      </c>
      <c r="I1209" s="15" t="str">
        <f>IFERROR(__xludf.DUMMYFUNCTION("""COMPUTED_VALUE"""),"PR Open")</f>
        <v>PR Open</v>
      </c>
      <c r="J1209" s="15" t="str">
        <f>IFERROR(__xludf.DUMMYFUNCTION("""COMPUTED_VALUE"""),"121704549 - APPROVED")</f>
        <v>121704549 - APPROVED</v>
      </c>
      <c r="K1209" s="15" t="str">
        <f>IFERROR(__xludf.DUMMYFUNCTION("""COMPUTED_VALUE"""),"-")</f>
        <v>-</v>
      </c>
      <c r="L1209" s="15" t="str">
        <f>IFERROR(__xludf.DUMMYFUNCTION("""COMPUTED_VALUE"""),"Normal")</f>
        <v>Normal</v>
      </c>
      <c r="M1209" s="18" t="s">
        <v>27</v>
      </c>
      <c r="N1209" s="18" t="s">
        <v>28</v>
      </c>
    </row>
    <row r="1210" hidden="1">
      <c r="A1210" s="15" t="str">
        <f>IFERROR(__xludf.DUMMYFUNCTION("""COMPUTED_VALUE"""),"SFHBR0055")</f>
        <v>SFHBR0055</v>
      </c>
      <c r="B1210" s="16">
        <f>IFERROR(__xludf.DUMMYFUNCTION("""COMPUTED_VALUE"""),46126.84493501158)</f>
        <v>46126.84494</v>
      </c>
      <c r="C1210" s="17">
        <f>IFERROR(__xludf.DUMMYFUNCTION("""COMPUTED_VALUE"""),46132.73529541667)</f>
        <v>46132.7353</v>
      </c>
      <c r="D1210" s="15" t="str">
        <f>IFERROR(__xludf.DUMMYFUNCTION("""COMPUTED_VALUE"""),"lantai 2")</f>
        <v>lantai 2</v>
      </c>
      <c r="E1210" s="15" t="str">
        <f>IFERROR(__xludf.DUMMYFUNCTION("""COMPUTED_VALUE"""),"-")</f>
        <v>-</v>
      </c>
      <c r="F1210" s="15" t="str">
        <f>IFERROR(__xludf.DUMMYFUNCTION("""COMPUTED_VALUE"""),"MATA BOR NACHI 4.5 M")</f>
        <v>MATA BOR NACHI 4.5 M</v>
      </c>
      <c r="G1210" s="15">
        <f>IFERROR(__xludf.DUMMYFUNCTION("""COMPUTED_VALUE"""),2.0)</f>
        <v>2</v>
      </c>
      <c r="H1210" s="15" t="str">
        <f>IFERROR(__xludf.DUMMYFUNCTION("""COMPUTED_VALUE"""),"pcs")</f>
        <v>pcs</v>
      </c>
      <c r="I1210" s="15" t="str">
        <f>IFERROR(__xludf.DUMMYFUNCTION("""COMPUTED_VALUE"""),"Proses PR")</f>
        <v>Proses PR</v>
      </c>
      <c r="J1210" s="15" t="str">
        <f>IFERROR(__xludf.DUMMYFUNCTION("""COMPUTED_VALUE"""),"-")</f>
        <v>-</v>
      </c>
      <c r="K1210" s="15" t="str">
        <f>IFERROR(__xludf.DUMMYFUNCTION("""COMPUTED_VALUE"""),"-")</f>
        <v>-</v>
      </c>
      <c r="L1210" s="15" t="str">
        <f>IFERROR(__xludf.DUMMYFUNCTION("""COMPUTED_VALUE"""),"Normal")</f>
        <v>Normal</v>
      </c>
      <c r="M1210" s="18" t="s">
        <v>27</v>
      </c>
      <c r="N1210" s="18" t="s">
        <v>28</v>
      </c>
    </row>
    <row r="1211" hidden="1">
      <c r="A1211" s="15" t="str">
        <f>IFERROR(__xludf.DUMMYFUNCTION("""COMPUTED_VALUE"""),"SFHBR0056")</f>
        <v>SFHBR0056</v>
      </c>
      <c r="B1211" s="16">
        <f>IFERROR(__xludf.DUMMYFUNCTION("""COMPUTED_VALUE"""),46126.8487374537)</f>
        <v>46126.84874</v>
      </c>
      <c r="C1211" s="17">
        <f>IFERROR(__xludf.DUMMYFUNCTION("""COMPUTED_VALUE"""),46132.735425300925)</f>
        <v>46132.73543</v>
      </c>
      <c r="D1211" s="15" t="str">
        <f>IFERROR(__xludf.DUMMYFUNCTION("""COMPUTED_VALUE"""),"lantai 2")</f>
        <v>lantai 2</v>
      </c>
      <c r="E1211" s="15" t="str">
        <f>IFERROR(__xludf.DUMMYFUNCTION("""COMPUTED_VALUE"""),"-")</f>
        <v>-</v>
      </c>
      <c r="F1211" s="15" t="str">
        <f>IFERROR(__xludf.DUMMYFUNCTION("""COMPUTED_VALUE"""),"Kunci sok sock T 13 mm TEKIRO")</f>
        <v>Kunci sok sock T 13 mm TEKIRO</v>
      </c>
      <c r="G1211" s="15">
        <f>IFERROR(__xludf.DUMMYFUNCTION("""COMPUTED_VALUE"""),2.0)</f>
        <v>2</v>
      </c>
      <c r="H1211" s="15" t="str">
        <f>IFERROR(__xludf.DUMMYFUNCTION("""COMPUTED_VALUE"""),"Pcs")</f>
        <v>Pcs</v>
      </c>
      <c r="I1211" s="15" t="str">
        <f>IFERROR(__xludf.DUMMYFUNCTION("""COMPUTED_VALUE"""),"PR Open")</f>
        <v>PR Open</v>
      </c>
      <c r="J1211" s="15" t="str">
        <f>IFERROR(__xludf.DUMMYFUNCTION("""COMPUTED_VALUE"""),"121704550 - APPROVED")</f>
        <v>121704550 - APPROVED</v>
      </c>
      <c r="K1211" s="15" t="str">
        <f>IFERROR(__xludf.DUMMYFUNCTION("""COMPUTED_VALUE"""),"GL2609434")</f>
        <v>GL2609434</v>
      </c>
      <c r="L1211" s="15" t="str">
        <f>IFERROR(__xludf.DUMMYFUNCTION("""COMPUTED_VALUE"""),"Normal")</f>
        <v>Normal</v>
      </c>
      <c r="M1211" s="18" t="s">
        <v>27</v>
      </c>
      <c r="N1211" s="18" t="s">
        <v>28</v>
      </c>
    </row>
    <row r="1212" hidden="1">
      <c r="A1212" s="15" t="str">
        <f>IFERROR(__xludf.DUMMYFUNCTION("""COMPUTED_VALUE"""),"SFHBR0057")</f>
        <v>SFHBR0057</v>
      </c>
      <c r="B1212" s="16">
        <f>IFERROR(__xludf.DUMMYFUNCTION("""COMPUTED_VALUE"""),46126.851919375)</f>
        <v>46126.85192</v>
      </c>
      <c r="C1212" s="17">
        <f>IFERROR(__xludf.DUMMYFUNCTION("""COMPUTED_VALUE"""),46132.736649942126)</f>
        <v>46132.73665</v>
      </c>
      <c r="D1212" s="15" t="str">
        <f>IFERROR(__xludf.DUMMYFUNCTION("""COMPUTED_VALUE"""),"lantai 2")</f>
        <v>lantai 2</v>
      </c>
      <c r="E1212" s="15" t="str">
        <f>IFERROR(__xludf.DUMMYFUNCTION("""COMPUTED_VALUE"""),"-")</f>
        <v>-</v>
      </c>
      <c r="F1212" s="15" t="str">
        <f>IFERROR(__xludf.DUMMYFUNCTION("""COMPUTED_VALUE"""),"Mata obeng magnet + + PH1 X 65 mm TEKIRO SD-DE 0958")</f>
        <v>Mata obeng magnet + + PH1 X 65 mm TEKIRO SD-DE 0958</v>
      </c>
      <c r="G1212" s="15">
        <f>IFERROR(__xludf.DUMMYFUNCTION("""COMPUTED_VALUE"""),1.0)</f>
        <v>1</v>
      </c>
      <c r="H1212" s="15" t="str">
        <f>IFERROR(__xludf.DUMMYFUNCTION("""COMPUTED_VALUE"""),"set")</f>
        <v>set</v>
      </c>
      <c r="I1212" s="15" t="str">
        <f>IFERROR(__xludf.DUMMYFUNCTION("""COMPUTED_VALUE"""),"Proses PR")</f>
        <v>Proses PR</v>
      </c>
      <c r="J1212" s="15" t="str">
        <f>IFERROR(__xludf.DUMMYFUNCTION("""COMPUTED_VALUE"""),"-")</f>
        <v>-</v>
      </c>
      <c r="K1212" s="15" t="str">
        <f>IFERROR(__xludf.DUMMYFUNCTION("""COMPUTED_VALUE"""),"-")</f>
        <v>-</v>
      </c>
      <c r="L1212" s="15" t="str">
        <f>IFERROR(__xludf.DUMMYFUNCTION("""COMPUTED_VALUE"""),"Normal")</f>
        <v>Normal</v>
      </c>
      <c r="M1212" s="18" t="s">
        <v>27</v>
      </c>
      <c r="N1212" s="18" t="s">
        <v>28</v>
      </c>
    </row>
    <row r="1213" hidden="1">
      <c r="A1213" s="15" t="str">
        <f>IFERROR(__xludf.DUMMYFUNCTION("""COMPUTED_VALUE"""),"NDSRO0021")</f>
        <v>NDSRO0021</v>
      </c>
      <c r="B1213" s="16">
        <f>IFERROR(__xludf.DUMMYFUNCTION("""COMPUTED_VALUE"""),46123.35638966435)</f>
        <v>46123.35639</v>
      </c>
      <c r="C1213" s="17">
        <f>IFERROR(__xludf.DUMMYFUNCTION("""COMPUTED_VALUE"""),46134.95767576389)</f>
        <v>46134.95768</v>
      </c>
      <c r="D1213" s="15" t="str">
        <f>IFERROR(__xludf.DUMMYFUNCTION("""COMPUTED_VALUE"""),"Autoclave Lab")</f>
        <v>Autoclave Lab</v>
      </c>
      <c r="E1213" s="15" t="str">
        <f>IFERROR(__xludf.DUMMYFUNCTION("""COMPUTED_VALUE"""),"-")</f>
        <v>-</v>
      </c>
      <c r="F1213" s="15" t="str">
        <f>IFERROR(__xludf.DUMMYFUNCTION("""COMPUTED_VALUE"""),"Autoclave Fedegari FVA2/A1 NB2963AT - Level Transmitter code 15218 2m p/n: CD050024; ; ;")</f>
        <v>Autoclave Fedegari FVA2/A1 NB2963AT - Level Transmitter code 15218 2m p/n: CD050024; ; ;</v>
      </c>
      <c r="G1213" s="15">
        <f>IFERROR(__xludf.DUMMYFUNCTION("""COMPUTED_VALUE"""),2.0)</f>
        <v>2</v>
      </c>
      <c r="H1213" s="15" t="str">
        <f>IFERROR(__xludf.DUMMYFUNCTION("""COMPUTED_VALUE"""),"pcs")</f>
        <v>pcs</v>
      </c>
      <c r="I1213" s="15" t="str">
        <f>IFERROR(__xludf.DUMMYFUNCTION("""COMPUTED_VALUE"""),"PO Open")</f>
        <v>PO Open</v>
      </c>
      <c r="J1213" s="15" t="str">
        <f>IFERROR(__xludf.DUMMYFUNCTION("""COMPUTED_VALUE"""),"121704197 - APPROVED")</f>
        <v>121704197 - APPROVED</v>
      </c>
      <c r="K1213" s="15" t="str">
        <f>IFERROR(__xludf.DUMMYFUNCTION("""COMPUTED_VALUE"""),"GL2607373")</f>
        <v>GL2607373</v>
      </c>
      <c r="L1213" s="15" t="str">
        <f>IFERROR(__xludf.DUMMYFUNCTION("""COMPUTED_VALUE"""),"Normal")</f>
        <v>Normal</v>
      </c>
      <c r="M1213" s="18" t="s">
        <v>50</v>
      </c>
      <c r="N1213" s="18" t="s">
        <v>30</v>
      </c>
    </row>
    <row r="1214" hidden="1">
      <c r="A1214" s="15" t="str">
        <f>IFERROR(__xludf.DUMMYFUNCTION("""COMPUTED_VALUE"""),"NDSBR0056")</f>
        <v>NDSBR0056</v>
      </c>
      <c r="B1214" s="16">
        <f>IFERROR(__xludf.DUMMYFUNCTION("""COMPUTED_VALUE"""),46132.92472952546)</f>
        <v>46132.92473</v>
      </c>
      <c r="C1214" s="17">
        <f>IFERROR(__xludf.DUMMYFUNCTION("""COMPUTED_VALUE"""),46135.080772395835)</f>
        <v>46135.08077</v>
      </c>
      <c r="D1214" s="15" t="str">
        <f>IFERROR(__xludf.DUMMYFUNCTION("""COMPUTED_VALUE"""),"Blister")</f>
        <v>Blister</v>
      </c>
      <c r="E1214" s="15" t="str">
        <f>IFERROR(__xludf.DUMMYFUNCTION("""COMPUTED_VALUE"""),"-")</f>
        <v>-</v>
      </c>
      <c r="F1214" s="15" t="str">
        <f>IFERROR(__xludf.DUMMYFUNCTION("""COMPUTED_VALUE"""),"Radius gauge")</f>
        <v>Radius gauge</v>
      </c>
      <c r="G1214" s="15">
        <f>IFERROR(__xludf.DUMMYFUNCTION("""COMPUTED_VALUE"""),1.0)</f>
        <v>1</v>
      </c>
      <c r="H1214" s="15" t="str">
        <f>IFERROR(__xludf.DUMMYFUNCTION("""COMPUTED_VALUE"""),"pcs")</f>
        <v>pcs</v>
      </c>
      <c r="I1214" s="15" t="str">
        <f>IFERROR(__xludf.DUMMYFUNCTION("""COMPUTED_VALUE"""),"Approval Item Code")</f>
        <v>Approval Item Code</v>
      </c>
      <c r="J1214" s="15" t="str">
        <f>IFERROR(__xludf.DUMMYFUNCTION("""COMPUTED_VALUE"""),"-")</f>
        <v>-</v>
      </c>
      <c r="K1214" s="15" t="str">
        <f>IFERROR(__xludf.DUMMYFUNCTION("""COMPUTED_VALUE"""),"-")</f>
        <v>-</v>
      </c>
      <c r="L1214" s="15" t="str">
        <f>IFERROR(__xludf.DUMMYFUNCTION("""COMPUTED_VALUE"""),"Normal")</f>
        <v>Normal</v>
      </c>
      <c r="M1214" s="18" t="s">
        <v>50</v>
      </c>
      <c r="N1214" s="18" t="s">
        <v>30</v>
      </c>
    </row>
    <row r="1215" hidden="1">
      <c r="A1215" s="15" t="str">
        <f>IFERROR(__xludf.DUMMYFUNCTION("""COMPUTED_VALUE"""),"NDSBR0057")</f>
        <v>NDSBR0057</v>
      </c>
      <c r="B1215" s="16">
        <f>IFERROR(__xludf.DUMMYFUNCTION("""COMPUTED_VALUE"""),46133.828057175924)</f>
        <v>46133.82806</v>
      </c>
      <c r="C1215" s="17">
        <f>IFERROR(__xludf.DUMMYFUNCTION("""COMPUTED_VALUE"""),46135.081882199076)</f>
        <v>46135.08188</v>
      </c>
      <c r="D1215" s="15" t="str">
        <f>IFERROR(__xludf.DUMMYFUNCTION("""COMPUTED_VALUE"""),"Isolator Mixing")</f>
        <v>Isolator Mixing</v>
      </c>
      <c r="E1215" s="15" t="str">
        <f>IFERROR(__xludf.DUMMYFUNCTION("""COMPUTED_VALUE"""),"-")</f>
        <v>-</v>
      </c>
      <c r="F1215" s="15" t="str">
        <f>IFERROR(__xludf.DUMMYFUNCTION("""COMPUTED_VALUE"""),"Penguncu alpaport")</f>
        <v>Penguncu alpaport</v>
      </c>
      <c r="G1215" s="15">
        <f>IFERROR(__xludf.DUMMYFUNCTION("""COMPUTED_VALUE"""),2.0)</f>
        <v>2</v>
      </c>
      <c r="H1215" s="15" t="str">
        <f>IFERROR(__xludf.DUMMYFUNCTION("""COMPUTED_VALUE"""),"pcs")</f>
        <v>pcs</v>
      </c>
      <c r="I1215" s="15" t="str">
        <f>IFERROR(__xludf.DUMMYFUNCTION("""COMPUTED_VALUE"""),"PR Open")</f>
        <v>PR Open</v>
      </c>
      <c r="J1215" s="15" t="str">
        <f>IFERROR(__xludf.DUMMYFUNCTION("""COMPUTED_VALUE"""),"121704546 - APPROVED")</f>
        <v>121704546 - APPROVED</v>
      </c>
      <c r="K1215" s="15" t="str">
        <f>IFERROR(__xludf.DUMMYFUNCTION("""COMPUTED_VALUE"""),"-")</f>
        <v>-</v>
      </c>
      <c r="L1215" s="15" t="str">
        <f>IFERROR(__xludf.DUMMYFUNCTION("""COMPUTED_VALUE"""),"Normal")</f>
        <v>Normal</v>
      </c>
      <c r="M1215" s="18" t="s">
        <v>50</v>
      </c>
      <c r="N1215" s="18" t="s">
        <v>30</v>
      </c>
    </row>
    <row r="1216" hidden="1">
      <c r="A1216" s="15" t="str">
        <f>IFERROR(__xludf.DUMMYFUNCTION("""COMPUTED_VALUE"""),"NDSBR0058")</f>
        <v>NDSBR0058</v>
      </c>
      <c r="B1216" s="16">
        <f>IFERROR(__xludf.DUMMYFUNCTION("""COMPUTED_VALUE"""),46133.95766962963)</f>
        <v>46133.95767</v>
      </c>
      <c r="C1216" s="17">
        <f>IFERROR(__xludf.DUMMYFUNCTION("""COMPUTED_VALUE"""),46135.08239275463)</f>
        <v>46135.08239</v>
      </c>
      <c r="D1216" s="15" t="str">
        <f>IFERROR(__xludf.DUMMYFUNCTION("""COMPUTED_VALUE"""),"Washing Lance")</f>
        <v>Washing Lance</v>
      </c>
      <c r="E1216" s="15" t="str">
        <f>IFERROR(__xludf.DUMMYFUNCTION("""COMPUTED_VALUE"""),"EJO/2026/04/029")</f>
        <v>EJO/2026/04/029</v>
      </c>
      <c r="F1216" s="15" t="str">
        <f>IFERROR(__xludf.DUMMYFUNCTION("""COMPUTED_VALUE"""),"As Washing Lance")</f>
        <v>As Washing Lance</v>
      </c>
      <c r="G1216" s="15">
        <f>IFERROR(__xludf.DUMMYFUNCTION("""COMPUTED_VALUE"""),1.0)</f>
        <v>1</v>
      </c>
      <c r="H1216" s="15" t="str">
        <f>IFERROR(__xludf.DUMMYFUNCTION("""COMPUTED_VALUE"""),"PCS")</f>
        <v>PCS</v>
      </c>
      <c r="I1216" s="15" t="str">
        <f>IFERROR(__xludf.DUMMYFUNCTION("""COMPUTED_VALUE"""),"PO Open")</f>
        <v>PO Open</v>
      </c>
      <c r="J1216" s="15" t="str">
        <f>IFERROR(__xludf.DUMMYFUNCTION("""COMPUTED_VALUE"""),"121704211 - APPROVED")</f>
        <v>121704211 - APPROVED</v>
      </c>
      <c r="K1216" s="15" t="str">
        <f>IFERROR(__xludf.DUMMYFUNCTION("""COMPUTED_VALUE"""),"GL2605041")</f>
        <v>GL2605041</v>
      </c>
      <c r="L1216" s="15" t="str">
        <f>IFERROR(__xludf.DUMMYFUNCTION("""COMPUTED_VALUE"""),"Normal")</f>
        <v>Normal</v>
      </c>
      <c r="M1216" s="18" t="s">
        <v>50</v>
      </c>
      <c r="N1216" s="18" t="s">
        <v>30</v>
      </c>
    </row>
    <row r="1217" hidden="1">
      <c r="A1217" s="15" t="str">
        <f>IFERROR(__xludf.DUMMYFUNCTION("""COMPUTED_VALUE"""),"ROSBR0093")</f>
        <v>ROSBR0093</v>
      </c>
      <c r="B1217" s="16">
        <f>IFERROR(__xludf.DUMMYFUNCTION("""COMPUTED_VALUE"""),46133.18225657407)</f>
        <v>46133.18226</v>
      </c>
      <c r="C1217" s="17">
        <f>IFERROR(__xludf.DUMMYFUNCTION("""COMPUTED_VALUE"""),46135.08984373843)</f>
        <v>46135.08984</v>
      </c>
      <c r="D1217" s="15" t="str">
        <f>IFERROR(__xludf.DUMMYFUNCTION("""COMPUTED_VALUE"""),"autoclave")</f>
        <v>autoclave</v>
      </c>
      <c r="E1217" s="15" t="str">
        <f>IFERROR(__xludf.DUMMYFUNCTION("""COMPUTED_VALUE"""),"-")</f>
        <v>-</v>
      </c>
      <c r="F1217" s="15" t="str">
        <f>IFERROR(__xludf.DUMMYFUNCTION("""COMPUTED_VALUE"""),"valve modulating")</f>
        <v>valve modulating</v>
      </c>
      <c r="G1217" s="15">
        <f>IFERROR(__xludf.DUMMYFUNCTION("""COMPUTED_VALUE"""),5.0)</f>
        <v>5</v>
      </c>
      <c r="H1217" s="15" t="str">
        <f>IFERROR(__xludf.DUMMYFUNCTION("""COMPUTED_VALUE"""),"Pcs")</f>
        <v>Pcs</v>
      </c>
      <c r="I1217" s="15" t="str">
        <f>IFERROR(__xludf.DUMMYFUNCTION("""COMPUTED_VALUE"""),"PO Open")</f>
        <v>PO Open</v>
      </c>
      <c r="J1217" s="15" t="str">
        <f>IFERROR(__xludf.DUMMYFUNCTION("""COMPUTED_VALUE"""),"121704393 - APPROVED")</f>
        <v>121704393 - APPROVED</v>
      </c>
      <c r="K1217" s="15" t="str">
        <f>IFERROR(__xludf.DUMMYFUNCTION("""COMPUTED_VALUE"""),"GL2607373")</f>
        <v>GL2607373</v>
      </c>
      <c r="L1217" s="15" t="str">
        <f>IFERROR(__xludf.DUMMYFUNCTION("""COMPUTED_VALUE"""),"Normal")</f>
        <v>Normal</v>
      </c>
      <c r="M1217" s="18" t="s">
        <v>29</v>
      </c>
      <c r="N1217" s="18" t="s">
        <v>30</v>
      </c>
    </row>
    <row r="1218" hidden="1">
      <c r="A1218" s="15" t="str">
        <f>IFERROR(__xludf.DUMMYFUNCTION("""COMPUTED_VALUE"""),"ROSRO0027")</f>
        <v>ROSRO0027</v>
      </c>
      <c r="B1218" s="16">
        <f>IFERROR(__xludf.DUMMYFUNCTION("""COMPUTED_VALUE"""),46133.18225651621)</f>
        <v>46133.18226</v>
      </c>
      <c r="C1218" s="17">
        <f>IFERROR(__xludf.DUMMYFUNCTION("""COMPUTED_VALUE"""),46135.12786436342)</f>
        <v>46135.12786</v>
      </c>
      <c r="D1218" s="15" t="str">
        <f>IFERROR(__xludf.DUMMYFUNCTION("""COMPUTED_VALUE"""),"Autoclave")</f>
        <v>Autoclave</v>
      </c>
      <c r="E1218" s="15" t="str">
        <f>IFERROR(__xludf.DUMMYFUNCTION("""COMPUTED_VALUE"""),"-")</f>
        <v>-</v>
      </c>
      <c r="F1218" s="15" t="str">
        <f>IFERROR(__xludf.DUMMYFUNCTION("""COMPUTED_VALUE"""),"Autoclave Fedegari FVA2/A1 NB2963AT - KIT Ricambi Valv. DN10 ON-OFF FEDEGARI ASIA PTE LTD P/N : KS000025 pc")</f>
        <v>Autoclave Fedegari FVA2/A1 NB2963AT - KIT Ricambi Valv. DN10 ON-OFF FEDEGARI ASIA PTE LTD P/N : KS000025 pc</v>
      </c>
      <c r="G1218" s="15">
        <f>IFERROR(__xludf.DUMMYFUNCTION("""COMPUTED_VALUE"""),10.0)</f>
        <v>10</v>
      </c>
      <c r="H1218" s="15" t="str">
        <f>IFERROR(__xludf.DUMMYFUNCTION("""COMPUTED_VALUE"""),"pcs")</f>
        <v>pcs</v>
      </c>
      <c r="I1218" s="15" t="str">
        <f>IFERROR(__xludf.DUMMYFUNCTION("""COMPUTED_VALUE"""),"PO Open")</f>
        <v>PO Open</v>
      </c>
      <c r="J1218" s="15" t="str">
        <f>IFERROR(__xludf.DUMMYFUNCTION("""COMPUTED_VALUE"""),"121704197 - APPROVED")</f>
        <v>121704197 - APPROVED</v>
      </c>
      <c r="K1218" s="15" t="str">
        <f>IFERROR(__xludf.DUMMYFUNCTION("""COMPUTED_VALUE"""),"GL2607373")</f>
        <v>GL2607373</v>
      </c>
      <c r="L1218" s="15" t="str">
        <f>IFERROR(__xludf.DUMMYFUNCTION("""COMPUTED_VALUE"""),"Normal")</f>
        <v>Normal</v>
      </c>
      <c r="M1218" s="18" t="s">
        <v>29</v>
      </c>
      <c r="N1218" s="18" t="s">
        <v>30</v>
      </c>
    </row>
    <row r="1219" hidden="1">
      <c r="A1219" s="15" t="str">
        <f>IFERROR(__xludf.DUMMYFUNCTION("""COMPUTED_VALUE"""),"ROSRO0028")</f>
        <v>ROSRO0028</v>
      </c>
      <c r="B1219" s="16">
        <f>IFERROR(__xludf.DUMMYFUNCTION("""COMPUTED_VALUE"""),46133.18225651621)</f>
        <v>46133.18226</v>
      </c>
      <c r="C1219" s="17">
        <f>IFERROR(__xludf.DUMMYFUNCTION("""COMPUTED_VALUE"""),46135.128027638886)</f>
        <v>46135.12803</v>
      </c>
      <c r="D1219" s="15" t="str">
        <f>IFERROR(__xludf.DUMMYFUNCTION("""COMPUTED_VALUE"""),"Autoclave")</f>
        <v>Autoclave</v>
      </c>
      <c r="E1219" s="15" t="str">
        <f>IFERROR(__xludf.DUMMYFUNCTION("""COMPUTED_VALUE"""),"-")</f>
        <v>-</v>
      </c>
      <c r="F1219" s="15" t="str">
        <f>IFERROR(__xludf.DUMMYFUNCTION("""COMPUTED_VALUE"""),"Autoclave Fedegari FOF / 6 AC - Kit DN22 Valve Mod; p/n: KK000310; ; ;")</f>
        <v>Autoclave Fedegari FOF / 6 AC - Kit DN22 Valve Mod; p/n: KK000310; ; ;</v>
      </c>
      <c r="G1219" s="15">
        <f>IFERROR(__xludf.DUMMYFUNCTION("""COMPUTED_VALUE"""),10.0)</f>
        <v>10</v>
      </c>
      <c r="H1219" s="15" t="str">
        <f>IFERROR(__xludf.DUMMYFUNCTION("""COMPUTED_VALUE"""),"pcs")</f>
        <v>pcs</v>
      </c>
      <c r="I1219" s="15" t="str">
        <f>IFERROR(__xludf.DUMMYFUNCTION("""COMPUTED_VALUE"""),"PO Open")</f>
        <v>PO Open</v>
      </c>
      <c r="J1219" s="15" t="str">
        <f>IFERROR(__xludf.DUMMYFUNCTION("""COMPUTED_VALUE"""),"121704197 - APPROVED")</f>
        <v>121704197 - APPROVED</v>
      </c>
      <c r="K1219" s="15" t="str">
        <f>IFERROR(__xludf.DUMMYFUNCTION("""COMPUTED_VALUE"""),"GL2607373")</f>
        <v>GL2607373</v>
      </c>
      <c r="L1219" s="15" t="str">
        <f>IFERROR(__xludf.DUMMYFUNCTION("""COMPUTED_VALUE"""),"Normal")</f>
        <v>Normal</v>
      </c>
      <c r="M1219" s="18" t="s">
        <v>29</v>
      </c>
      <c r="N1219" s="18" t="s">
        <v>30</v>
      </c>
    </row>
    <row r="1220" hidden="1">
      <c r="A1220" s="15" t="str">
        <f>IFERROR(__xludf.DUMMYFUNCTION("""COMPUTED_VALUE"""),"ROSRO0029")</f>
        <v>ROSRO0029</v>
      </c>
      <c r="B1220" s="16">
        <f>IFERROR(__xludf.DUMMYFUNCTION("""COMPUTED_VALUE"""),46133.18225651621)</f>
        <v>46133.18226</v>
      </c>
      <c r="C1220" s="17">
        <f>IFERROR(__xludf.DUMMYFUNCTION("""COMPUTED_VALUE"""),46135.12818653935)</f>
        <v>46135.12819</v>
      </c>
      <c r="D1220" s="15" t="str">
        <f>IFERROR(__xludf.DUMMYFUNCTION("""COMPUTED_VALUE"""),"Autoclave")</f>
        <v>Autoclave</v>
      </c>
      <c r="E1220" s="15" t="str">
        <f>IFERROR(__xludf.DUMMYFUNCTION("""COMPUTED_VALUE"""),"-")</f>
        <v>-</v>
      </c>
      <c r="F1220" s="15" t="str">
        <f>IFERROR(__xludf.DUMMYFUNCTION("""COMPUTED_VALUE"""),"Autoclave Fedegari FOF / 6 AC - P/N. KK000304-KIT RICAMBI VALV.DN16 ON-OFF")</f>
        <v>Autoclave Fedegari FOF / 6 AC - P/N. KK000304-KIT RICAMBI VALV.DN16 ON-OFF</v>
      </c>
      <c r="G1220" s="15">
        <f>IFERROR(__xludf.DUMMYFUNCTION("""COMPUTED_VALUE"""),10.0)</f>
        <v>10</v>
      </c>
      <c r="H1220" s="15" t="str">
        <f>IFERROR(__xludf.DUMMYFUNCTION("""COMPUTED_VALUE"""),"pcs")</f>
        <v>pcs</v>
      </c>
      <c r="I1220" s="15" t="str">
        <f>IFERROR(__xludf.DUMMYFUNCTION("""COMPUTED_VALUE"""),"PO Open")</f>
        <v>PO Open</v>
      </c>
      <c r="J1220" s="15" t="str">
        <f>IFERROR(__xludf.DUMMYFUNCTION("""COMPUTED_VALUE"""),"121704197 - APPROVED")</f>
        <v>121704197 - APPROVED</v>
      </c>
      <c r="K1220" s="15" t="str">
        <f>IFERROR(__xludf.DUMMYFUNCTION("""COMPUTED_VALUE"""),"GL2607373")</f>
        <v>GL2607373</v>
      </c>
      <c r="L1220" s="15" t="str">
        <f>IFERROR(__xludf.DUMMYFUNCTION("""COMPUTED_VALUE"""),"Normal")</f>
        <v>Normal</v>
      </c>
      <c r="M1220" s="18" t="s">
        <v>29</v>
      </c>
      <c r="N1220" s="18" t="s">
        <v>30</v>
      </c>
    </row>
    <row r="1221" hidden="1">
      <c r="A1221" s="15" t="str">
        <f>IFERROR(__xludf.DUMMYFUNCTION("""COMPUTED_VALUE"""),"ROSRO0030")</f>
        <v>ROSRO0030</v>
      </c>
      <c r="B1221" s="16">
        <f>IFERROR(__xludf.DUMMYFUNCTION("""COMPUTED_VALUE"""),46133.18225651621)</f>
        <v>46133.18226</v>
      </c>
      <c r="C1221" s="17">
        <f>IFERROR(__xludf.DUMMYFUNCTION("""COMPUTED_VALUE"""),46135.128349039354)</f>
        <v>46135.12835</v>
      </c>
      <c r="D1221" s="15" t="str">
        <f>IFERROR(__xludf.DUMMYFUNCTION("""COMPUTED_VALUE"""),"Autoclave")</f>
        <v>Autoclave</v>
      </c>
      <c r="E1221" s="15" t="str">
        <f>IFERROR(__xludf.DUMMYFUNCTION("""COMPUTED_VALUE"""),"-")</f>
        <v>-</v>
      </c>
      <c r="F1221" s="15" t="str">
        <f>IFERROR(__xludf.DUMMYFUNCTION("""COMPUTED_VALUE"""),"Autoclave Fedegari FVA2/A1 NB2963AT - KIT Ricambi Valv. DN10 ON-OFF FEDEGARI ASIA PTE LTD P/N : KK000301 pc")</f>
        <v>Autoclave Fedegari FVA2/A1 NB2963AT - KIT Ricambi Valv. DN10 ON-OFF FEDEGARI ASIA PTE LTD P/N : KK000301 pc</v>
      </c>
      <c r="G1221" s="15">
        <f>IFERROR(__xludf.DUMMYFUNCTION("""COMPUTED_VALUE"""),10.0)</f>
        <v>10</v>
      </c>
      <c r="H1221" s="15" t="str">
        <f>IFERROR(__xludf.DUMMYFUNCTION("""COMPUTED_VALUE"""),"pcs")</f>
        <v>pcs</v>
      </c>
      <c r="I1221" s="15" t="str">
        <f>IFERROR(__xludf.DUMMYFUNCTION("""COMPUTED_VALUE"""),"PO Open")</f>
        <v>PO Open</v>
      </c>
      <c r="J1221" s="15" t="str">
        <f>IFERROR(__xludf.DUMMYFUNCTION("""COMPUTED_VALUE"""),"121704197 - APPROVED")</f>
        <v>121704197 - APPROVED</v>
      </c>
      <c r="K1221" s="15" t="str">
        <f>IFERROR(__xludf.DUMMYFUNCTION("""COMPUTED_VALUE"""),"GL2607373")</f>
        <v>GL2607373</v>
      </c>
      <c r="L1221" s="15" t="str">
        <f>IFERROR(__xludf.DUMMYFUNCTION("""COMPUTED_VALUE"""),"Normal")</f>
        <v>Normal</v>
      </c>
      <c r="M1221" s="18" t="s">
        <v>29</v>
      </c>
      <c r="N1221" s="18" t="s">
        <v>30</v>
      </c>
    </row>
    <row r="1222" hidden="1">
      <c r="A1222" s="15" t="str">
        <f>IFERROR(__xludf.DUMMYFUNCTION("""COMPUTED_VALUE"""),"SFHBR0058")</f>
        <v>SFHBR0058</v>
      </c>
      <c r="B1222" s="16">
        <f>IFERROR(__xludf.DUMMYFUNCTION("""COMPUTED_VALUE"""),46134.607008402774)</f>
        <v>46134.60701</v>
      </c>
      <c r="C1222" s="17">
        <f>IFERROR(__xludf.DUMMYFUNCTION("""COMPUTED_VALUE"""),46135.60084159722)</f>
        <v>46135.60084</v>
      </c>
      <c r="D1222" s="15" t="str">
        <f>IFERROR(__xludf.DUMMYFUNCTION("""COMPUTED_VALUE"""),"lantai 2")</f>
        <v>lantai 2</v>
      </c>
      <c r="E1222" s="15" t="str">
        <f>IFERROR(__xludf.DUMMYFUNCTION("""COMPUTED_VALUE"""),"-")</f>
        <v>-</v>
      </c>
      <c r="F1222" s="15" t="str">
        <f>IFERROR(__xludf.DUMMYFUNCTION("""COMPUTED_VALUE"""),"Lem Putih Fox Biru Murah")</f>
        <v>Lem Putih Fox Biru Murah</v>
      </c>
      <c r="G1222" s="15">
        <f>IFERROR(__xludf.DUMMYFUNCTION("""COMPUTED_VALUE"""),10.0)</f>
        <v>10</v>
      </c>
      <c r="H1222" s="15" t="str">
        <f>IFERROR(__xludf.DUMMYFUNCTION("""COMPUTED_VALUE"""),"kg")</f>
        <v>kg</v>
      </c>
      <c r="I1222" s="15" t="str">
        <f>IFERROR(__xludf.DUMMYFUNCTION("""COMPUTED_VALUE"""),"Deliver")</f>
        <v>Deliver</v>
      </c>
      <c r="J1222" s="15" t="str">
        <f>IFERROR(__xludf.DUMMYFUNCTION("""COMPUTED_VALUE"""),"121704502 - APPROVED")</f>
        <v>121704502 - APPROVED</v>
      </c>
      <c r="K1222" s="15" t="str">
        <f>IFERROR(__xludf.DUMMYFUNCTION("""COMPUTED_VALUE"""),"GL2608035")</f>
        <v>GL2608035</v>
      </c>
      <c r="L1222" s="15" t="str">
        <f>IFERROR(__xludf.DUMMYFUNCTION("""COMPUTED_VALUE"""),"Normal")</f>
        <v>Normal</v>
      </c>
      <c r="M1222" s="18" t="s">
        <v>27</v>
      </c>
      <c r="N1222" s="18" t="s">
        <v>28</v>
      </c>
    </row>
    <row r="1223" hidden="1">
      <c r="A1223" s="15" t="str">
        <f>IFERROR(__xludf.DUMMYFUNCTION("""COMPUTED_VALUE"""),"RIARO0082")</f>
        <v>RIARO0082</v>
      </c>
      <c r="B1223" s="16">
        <f>IFERROR(__xludf.DUMMYFUNCTION("""COMPUTED_VALUE"""),46134.586524317136)</f>
        <v>46134.58652</v>
      </c>
      <c r="C1223" s="17">
        <f>IFERROR(__xludf.DUMMYFUNCTION("""COMPUTED_VALUE"""),46135.60107144676)</f>
        <v>46135.60107</v>
      </c>
      <c r="D1223" s="15" t="str">
        <f>IFERROR(__xludf.DUMMYFUNCTION("""COMPUTED_VALUE"""),"AHU C12")</f>
        <v>AHU C12</v>
      </c>
      <c r="E1223" s="15" t="str">
        <f>IFERROR(__xludf.DUMMYFUNCTION("""COMPUTED_VALUE"""),"-")</f>
        <v>-</v>
      </c>
      <c r="F1223" s="15" t="str">
        <f>IFERROR(__xludf.DUMMYFUNCTION("""COMPUTED_VALUE"""),"General - Heater Ducting Dia. 11.2 x 300mm 220V 5000W; No Brand; -; 1 Pc")</f>
        <v>General - Heater Ducting Dia. 11.2 x 300mm 220V 5000W; No Brand; -; 1 Pc</v>
      </c>
      <c r="G1223" s="15">
        <f>IFERROR(__xludf.DUMMYFUNCTION("""COMPUTED_VALUE"""),3.0)</f>
        <v>3</v>
      </c>
      <c r="H1223" s="15" t="str">
        <f>IFERROR(__xludf.DUMMYFUNCTION("""COMPUTED_VALUE"""),"Pcs")</f>
        <v>Pcs</v>
      </c>
      <c r="I1223" s="15" t="str">
        <f>IFERROR(__xludf.DUMMYFUNCTION("""COMPUTED_VALUE"""),"Deliver")</f>
        <v>Deliver</v>
      </c>
      <c r="J1223" s="15" t="str">
        <f>IFERROR(__xludf.DUMMYFUNCTION("""COMPUTED_VALUE"""),"121704214 - APPROVED")</f>
        <v>121704214 - APPROVED</v>
      </c>
      <c r="K1223" s="15" t="str">
        <f>IFERROR(__xludf.DUMMYFUNCTION("""COMPUTED_VALUE"""),"GL2605027")</f>
        <v>GL2605027</v>
      </c>
      <c r="L1223" s="15" t="str">
        <f>IFERROR(__xludf.DUMMYFUNCTION("""COMPUTED_VALUE"""),"Normal")</f>
        <v>Normal</v>
      </c>
      <c r="M1223" s="18" t="s">
        <v>32</v>
      </c>
      <c r="N1223" s="18" t="s">
        <v>28</v>
      </c>
    </row>
    <row r="1224" hidden="1">
      <c r="A1224" s="15" t="str">
        <f>IFERROR(__xludf.DUMMYFUNCTION("""COMPUTED_VALUE"""),"RIARO0083")</f>
        <v>RIARO0083</v>
      </c>
      <c r="B1224" s="16">
        <f>IFERROR(__xludf.DUMMYFUNCTION("""COMPUTED_VALUE"""),46134.58727755787)</f>
        <v>46134.58728</v>
      </c>
      <c r="C1224" s="17">
        <f>IFERROR(__xludf.DUMMYFUNCTION("""COMPUTED_VALUE"""),46135.6012378125)</f>
        <v>46135.60124</v>
      </c>
      <c r="D1224" s="15" t="str">
        <f>IFERROR(__xludf.DUMMYFUNCTION("""COMPUTED_VALUE"""),"All Area")</f>
        <v>All Area</v>
      </c>
      <c r="E1224" s="15" t="str">
        <f>IFERROR(__xludf.DUMMYFUNCTION("""COMPUTED_VALUE"""),"-")</f>
        <v>-</v>
      </c>
      <c r="F1224" s="15" t="str">
        <f>IFERROR(__xludf.DUMMYFUNCTION("""COMPUTED_VALUE"""),"General - Heat Sink untuk SSR; Fotex; -; 1 Pc")</f>
        <v>General - Heat Sink untuk SSR; Fotex; -; 1 Pc</v>
      </c>
      <c r="G1224" s="15">
        <f>IFERROR(__xludf.DUMMYFUNCTION("""COMPUTED_VALUE"""),5.0)</f>
        <v>5</v>
      </c>
      <c r="H1224" s="15" t="str">
        <f>IFERROR(__xludf.DUMMYFUNCTION("""COMPUTED_VALUE"""),"Pcs")</f>
        <v>Pcs</v>
      </c>
      <c r="I1224" s="15" t="str">
        <f>IFERROR(__xludf.DUMMYFUNCTION("""COMPUTED_VALUE"""),"Deliver")</f>
        <v>Deliver</v>
      </c>
      <c r="J1224" s="15" t="str">
        <f>IFERROR(__xludf.DUMMYFUNCTION("""COMPUTED_VALUE"""),"121704202 - APPROVED")</f>
        <v>121704202 - APPROVED</v>
      </c>
      <c r="K1224" s="15" t="str">
        <f>IFERROR(__xludf.DUMMYFUNCTION("""COMPUTED_VALUE"""),"GL2605343")</f>
        <v>GL2605343</v>
      </c>
      <c r="L1224" s="15" t="str">
        <f>IFERROR(__xludf.DUMMYFUNCTION("""COMPUTED_VALUE"""),"Normal")</f>
        <v>Normal</v>
      </c>
      <c r="M1224" s="18" t="s">
        <v>32</v>
      </c>
      <c r="N1224" s="18" t="s">
        <v>28</v>
      </c>
    </row>
    <row r="1225" hidden="1">
      <c r="A1225" s="15" t="str">
        <f>IFERROR(__xludf.DUMMYFUNCTION("""COMPUTED_VALUE"""),"RIARO0084")</f>
        <v>RIARO0084</v>
      </c>
      <c r="B1225" s="16">
        <f>IFERROR(__xludf.DUMMYFUNCTION("""COMPUTED_VALUE"""),46134.589205752316)</f>
        <v>46134.58921</v>
      </c>
      <c r="C1225" s="17">
        <f>IFERROR(__xludf.DUMMYFUNCTION("""COMPUTED_VALUE"""),46135.6013800463)</f>
        <v>46135.60138</v>
      </c>
      <c r="D1225" s="15" t="str">
        <f>IFERROR(__xludf.DUMMYFUNCTION("""COMPUTED_VALUE"""),"AHU C12")</f>
        <v>AHU C12</v>
      </c>
      <c r="E1225" s="15" t="str">
        <f>IFERROR(__xludf.DUMMYFUNCTION("""COMPUTED_VALUE"""),"-")</f>
        <v>-</v>
      </c>
      <c r="F1225" s="15" t="str">
        <f>IFERROR(__xludf.DUMMYFUNCTION("""COMPUTED_VALUE"""),"General - Solid State Relay 3-32 VDC - 330 VAC 25 A; Fotek; SSR 3-32; 1 Pc")</f>
        <v>General - Solid State Relay 3-32 VDC - 330 VAC 25 A; Fotek; SSR 3-32; 1 Pc</v>
      </c>
      <c r="G1225" s="15">
        <f>IFERROR(__xludf.DUMMYFUNCTION("""COMPUTED_VALUE"""),5.0)</f>
        <v>5</v>
      </c>
      <c r="H1225" s="15" t="str">
        <f>IFERROR(__xludf.DUMMYFUNCTION("""COMPUTED_VALUE"""),"Pcs")</f>
        <v>Pcs</v>
      </c>
      <c r="I1225" s="15" t="str">
        <f>IFERROR(__xludf.DUMMYFUNCTION("""COMPUTED_VALUE"""),"Deliver")</f>
        <v>Deliver</v>
      </c>
      <c r="J1225" s="15" t="str">
        <f>IFERROR(__xludf.DUMMYFUNCTION("""COMPUTED_VALUE"""),"121704206 - APPROVED")</f>
        <v>121704206 - APPROVED</v>
      </c>
      <c r="K1225" s="15" t="str">
        <f>IFERROR(__xludf.DUMMYFUNCTION("""COMPUTED_VALUE"""),"GL2605344")</f>
        <v>GL2605344</v>
      </c>
      <c r="L1225" s="15" t="str">
        <f>IFERROR(__xludf.DUMMYFUNCTION("""COMPUTED_VALUE"""),"Normal")</f>
        <v>Normal</v>
      </c>
      <c r="M1225" s="18" t="s">
        <v>32</v>
      </c>
      <c r="N1225" s="18" t="s">
        <v>28</v>
      </c>
    </row>
    <row r="1226" hidden="1">
      <c r="A1226" s="15" t="str">
        <f>IFERROR(__xludf.DUMMYFUNCTION("""COMPUTED_VALUE"""),"RIARO0085")</f>
        <v>RIARO0085</v>
      </c>
      <c r="B1226" s="16">
        <f>IFERROR(__xludf.DUMMYFUNCTION("""COMPUTED_VALUE"""),46134.58922396991)</f>
        <v>46134.58922</v>
      </c>
      <c r="C1226" s="17">
        <f>IFERROR(__xludf.DUMMYFUNCTION("""COMPUTED_VALUE"""),46135.601522592595)</f>
        <v>46135.60152</v>
      </c>
      <c r="D1226" s="15" t="str">
        <f>IFERROR(__xludf.DUMMYFUNCTION("""COMPUTED_VALUE"""),"AHU C12")</f>
        <v>AHU C12</v>
      </c>
      <c r="E1226" s="15" t="str">
        <f>IFERROR(__xludf.DUMMYFUNCTION("""COMPUTED_VALUE"""),"-")</f>
        <v>-</v>
      </c>
      <c r="F1226" s="15" t="str">
        <f>IFERROR(__xludf.DUMMYFUNCTION("""COMPUTED_VALUE"""),"General - Solid State Relay (SSR) 3-32VDC 24-330VAC 40A; No Brand; -; 1 Pc")</f>
        <v>General - Solid State Relay (SSR) 3-32VDC 24-330VAC 40A; No Brand; -; 1 Pc</v>
      </c>
      <c r="G1226" s="15">
        <f>IFERROR(__xludf.DUMMYFUNCTION("""COMPUTED_VALUE"""),5.0)</f>
        <v>5</v>
      </c>
      <c r="H1226" s="15" t="str">
        <f>IFERROR(__xludf.DUMMYFUNCTION("""COMPUTED_VALUE"""),"Pcs")</f>
        <v>Pcs</v>
      </c>
      <c r="I1226" s="15" t="str">
        <f>IFERROR(__xludf.DUMMYFUNCTION("""COMPUTED_VALUE"""),"PO Open")</f>
        <v>PO Open</v>
      </c>
      <c r="J1226" s="15" t="str">
        <f>IFERROR(__xludf.DUMMYFUNCTION("""COMPUTED_VALUE"""),"121704203 - APPROVED")</f>
        <v>121704203 - APPROVED</v>
      </c>
      <c r="K1226" s="15" t="str">
        <f>IFERROR(__xludf.DUMMYFUNCTION("""COMPUTED_VALUE"""),"GL2606013")</f>
        <v>GL2606013</v>
      </c>
      <c r="L1226" s="15" t="str">
        <f>IFERROR(__xludf.DUMMYFUNCTION("""COMPUTED_VALUE"""),"Normal")</f>
        <v>Normal</v>
      </c>
      <c r="M1226" s="18" t="s">
        <v>32</v>
      </c>
      <c r="N1226" s="18" t="s">
        <v>28</v>
      </c>
    </row>
    <row r="1227" hidden="1">
      <c r="A1227" s="15" t="str">
        <f>IFERROR(__xludf.DUMMYFUNCTION("""COMPUTED_VALUE"""),"RIARO0086")</f>
        <v>RIARO0086</v>
      </c>
      <c r="B1227" s="16">
        <f>IFERROR(__xludf.DUMMYFUNCTION("""COMPUTED_VALUE"""),46134.591565312505)</f>
        <v>46134.59157</v>
      </c>
      <c r="C1227" s="17">
        <f>IFERROR(__xludf.DUMMYFUNCTION("""COMPUTED_VALUE"""),46135.60174178241)</f>
        <v>46135.60174</v>
      </c>
      <c r="D1227" s="15" t="str">
        <f>IFERROR(__xludf.DUMMYFUNCTION("""COMPUTED_VALUE"""),"Lampu Emergency Tangga")</f>
        <v>Lampu Emergency Tangga</v>
      </c>
      <c r="E1227" s="15" t="str">
        <f>IFERROR(__xludf.DUMMYFUNCTION("""COMPUTED_VALUE"""),"-")</f>
        <v>-</v>
      </c>
      <c r="F1227" s="15" t="str">
        <f>IFERROR(__xludf.DUMMYFUNCTION("""COMPUTED_VALUE"""),"General - Lampu Emergency TL LED 16W Waterproof IP65; Briliant; -; 1 pc")</f>
        <v>General - Lampu Emergency TL LED 16W Waterproof IP65; Briliant; -; 1 pc</v>
      </c>
      <c r="G1227" s="15">
        <f>IFERROR(__xludf.DUMMYFUNCTION("""COMPUTED_VALUE"""),15.0)</f>
        <v>15</v>
      </c>
      <c r="H1227" s="15" t="str">
        <f>IFERROR(__xludf.DUMMYFUNCTION("""COMPUTED_VALUE"""),"Pcs")</f>
        <v>Pcs</v>
      </c>
      <c r="I1227" s="15" t="str">
        <f>IFERROR(__xludf.DUMMYFUNCTION("""COMPUTED_VALUE"""),"Deliver")</f>
        <v>Deliver</v>
      </c>
      <c r="J1227" s="15" t="str">
        <f>IFERROR(__xludf.DUMMYFUNCTION("""COMPUTED_VALUE"""),"121704207 - APPROVED")</f>
        <v>121704207 - APPROVED</v>
      </c>
      <c r="K1227" s="15" t="str">
        <f>IFERROR(__xludf.DUMMYFUNCTION("""COMPUTED_VALUE"""),"GL2605338")</f>
        <v>GL2605338</v>
      </c>
      <c r="L1227" s="15" t="str">
        <f>IFERROR(__xludf.DUMMYFUNCTION("""COMPUTED_VALUE"""),"Normal")</f>
        <v>Normal</v>
      </c>
      <c r="M1227" s="18" t="s">
        <v>32</v>
      </c>
      <c r="N1227" s="18" t="s">
        <v>28</v>
      </c>
    </row>
    <row r="1228" hidden="1">
      <c r="A1228" s="15" t="str">
        <f>IFERROR(__xludf.DUMMYFUNCTION("""COMPUTED_VALUE"""),"RIARO0089")</f>
        <v>RIARO0089</v>
      </c>
      <c r="B1228" s="16">
        <f>IFERROR(__xludf.DUMMYFUNCTION("""COMPUTED_VALUE"""),46134.64896170139)</f>
        <v>46134.64896</v>
      </c>
      <c r="C1228" s="17">
        <f>IFERROR(__xludf.DUMMYFUNCTION("""COMPUTED_VALUE"""),46135.60274200232)</f>
        <v>46135.60274</v>
      </c>
      <c r="D1228" s="15" t="str">
        <f>IFERROR(__xludf.DUMMYFUNCTION("""COMPUTED_VALUE"""),"WWTP")</f>
        <v>WWTP</v>
      </c>
      <c r="E1228" s="15" t="str">
        <f>IFERROR(__xludf.DUMMYFUNCTION("""COMPUTED_VALUE"""),"-")</f>
        <v>-</v>
      </c>
      <c r="F1228" s="15" t="str">
        <f>IFERROR(__xludf.DUMMYFUNCTION("""COMPUTED_VALUE"""),"General - Vertical Float Level Switch; Wingel; VSS-2FJ-S4-L720-FS45-HT; 1 Pc")</f>
        <v>General - Vertical Float Level Switch; Wingel; VSS-2FJ-S4-L720-FS45-HT; 1 Pc</v>
      </c>
      <c r="G1228" s="15">
        <f>IFERROR(__xludf.DUMMYFUNCTION("""COMPUTED_VALUE"""),2.0)</f>
        <v>2</v>
      </c>
      <c r="H1228" s="15" t="str">
        <f>IFERROR(__xludf.DUMMYFUNCTION("""COMPUTED_VALUE"""),"Pcs")</f>
        <v>Pcs</v>
      </c>
      <c r="I1228" s="15" t="str">
        <f>IFERROR(__xludf.DUMMYFUNCTION("""COMPUTED_VALUE"""),"Deliver")</f>
        <v>Deliver</v>
      </c>
      <c r="J1228" s="15" t="str">
        <f>IFERROR(__xludf.DUMMYFUNCTION("""COMPUTED_VALUE"""),"121704212 - APPROVED")</f>
        <v>121704212 - APPROVED</v>
      </c>
      <c r="K1228" s="15" t="str">
        <f>IFERROR(__xludf.DUMMYFUNCTION("""COMPUTED_VALUE"""),"GL2605028")</f>
        <v>GL2605028</v>
      </c>
      <c r="L1228" s="15" t="str">
        <f>IFERROR(__xludf.DUMMYFUNCTION("""COMPUTED_VALUE"""),"Normal")</f>
        <v>Normal</v>
      </c>
      <c r="M1228" s="18" t="s">
        <v>32</v>
      </c>
      <c r="N1228" s="18" t="s">
        <v>28</v>
      </c>
    </row>
    <row r="1229" hidden="1">
      <c r="A1229" s="15" t="str">
        <f>IFERROR(__xludf.DUMMYFUNCTION("""COMPUTED_VALUE"""),"RIARO0088")</f>
        <v>RIARO0088</v>
      </c>
      <c r="B1229" s="16">
        <f>IFERROR(__xludf.DUMMYFUNCTION("""COMPUTED_VALUE"""),46134.596282025464)</f>
        <v>46134.59628</v>
      </c>
      <c r="C1229" s="17">
        <f>IFERROR(__xludf.DUMMYFUNCTION("""COMPUTED_VALUE"""),46146.479155023146)</f>
        <v>46146.47916</v>
      </c>
      <c r="D1229" s="15" t="str">
        <f>IFERROR(__xludf.DUMMYFUNCTION("""COMPUTED_VALUE"""),"PW SKID")</f>
        <v>PW SKID</v>
      </c>
      <c r="E1229" s="15" t="str">
        <f>IFERROR(__xludf.DUMMYFUNCTION("""COMPUTED_VALUE"""),"-")</f>
        <v>-</v>
      </c>
      <c r="F1229" s="15" t="str">
        <f>IFERROR(__xludf.DUMMYFUNCTION("""COMPUTED_VALUE"""),"General - Sanitary Diaphragma Pressure Gauge Membrane Conn. Ferrule 1.5 inch Center Back SS 316 0 s/d 10 bar; SPV; -; 1 Pc")</f>
        <v>General - Sanitary Diaphragma Pressure Gauge Membrane Conn. Ferrule 1.5 inch Center Back SS 316 0 s/d 10 bar; SPV; -; 1 Pc</v>
      </c>
      <c r="G1229" s="15">
        <f>IFERROR(__xludf.DUMMYFUNCTION("""COMPUTED_VALUE"""),2.0)</f>
        <v>2</v>
      </c>
      <c r="H1229" s="15" t="str">
        <f>IFERROR(__xludf.DUMMYFUNCTION("""COMPUTED_VALUE"""),"Pcs")</f>
        <v>Pcs</v>
      </c>
      <c r="I1229" s="15" t="str">
        <f>IFERROR(__xludf.DUMMYFUNCTION("""COMPUTED_VALUE"""),"PO Open")</f>
        <v>PO Open</v>
      </c>
      <c r="J1229" s="15" t="str">
        <f>IFERROR(__xludf.DUMMYFUNCTION("""COMPUTED_VALUE"""),"121704382 - APPROVED")</f>
        <v>121704382 - APPROVED</v>
      </c>
      <c r="K1229" s="15" t="str">
        <f>IFERROR(__xludf.DUMMYFUNCTION("""COMPUTED_VALUE"""),"GL2605044")</f>
        <v>GL2605044</v>
      </c>
      <c r="L1229" s="15" t="str">
        <f>IFERROR(__xludf.DUMMYFUNCTION("""COMPUTED_VALUE"""),"Normal")</f>
        <v>Normal</v>
      </c>
      <c r="M1229" s="18" t="s">
        <v>32</v>
      </c>
      <c r="N1229" s="18" t="s">
        <v>28</v>
      </c>
    </row>
    <row r="1230" hidden="1">
      <c r="A1230" s="15" t="str">
        <f>IFERROR(__xludf.DUMMYFUNCTION("""COMPUTED_VALUE"""),"SFHRO0045")</f>
        <v>SFHRO0045</v>
      </c>
      <c r="B1230" s="16">
        <f>IFERROR(__xludf.DUMMYFUNCTION("""COMPUTED_VALUE"""),46138.87230109954)</f>
        <v>46138.8723</v>
      </c>
      <c r="C1230" s="17">
        <f>IFERROR(__xludf.DUMMYFUNCTION("""COMPUTED_VALUE"""),46146.666825810185)</f>
        <v>46146.66683</v>
      </c>
      <c r="D1230" s="15" t="str">
        <f>IFERROR(__xludf.DUMMYFUNCTION("""COMPUTED_VALUE"""),"Lantai 1")</f>
        <v>Lantai 1</v>
      </c>
      <c r="E1230" s="15" t="str">
        <f>IFERROR(__xludf.DUMMYFUNCTION("""COMPUTED_VALUE"""),"EJO/2026/04/046")</f>
        <v>EJO/2026/04/046</v>
      </c>
      <c r="F1230" s="15" t="str">
        <f>IFERROR(__xludf.DUMMYFUNCTION("""COMPUTED_VALUE"""),"Hardener / Obat dempul sanpolac; ; ; pack size per tube")</f>
        <v>Hardener / Obat dempul sanpolac; ; ; pack size per tube</v>
      </c>
      <c r="G1230" s="15">
        <f>IFERROR(__xludf.DUMMYFUNCTION("""COMPUTED_VALUE"""),5.0)</f>
        <v>5</v>
      </c>
      <c r="H1230" s="15" t="str">
        <f>IFERROR(__xludf.DUMMYFUNCTION("""COMPUTED_VALUE"""),"pcs")</f>
        <v>pcs</v>
      </c>
      <c r="I1230" s="15" t="str">
        <f>IFERROR(__xludf.DUMMYFUNCTION("""COMPUTED_VALUE"""),"Deliver")</f>
        <v>Deliver</v>
      </c>
      <c r="J1230" s="15" t="str">
        <f>IFERROR(__xludf.DUMMYFUNCTION("""COMPUTED_VALUE"""),"121704369 - APPROVED")</f>
        <v>121704369 - APPROVED</v>
      </c>
      <c r="K1230" s="15" t="str">
        <f>IFERROR(__xludf.DUMMYFUNCTION("""COMPUTED_VALUE"""),"GL2607035")</f>
        <v>GL2607035</v>
      </c>
      <c r="L1230" s="15" t="str">
        <f>IFERROR(__xludf.DUMMYFUNCTION("""COMPUTED_VALUE"""),"Normal")</f>
        <v>Normal</v>
      </c>
      <c r="M1230" s="18" t="s">
        <v>27</v>
      </c>
      <c r="N1230" s="18" t="s">
        <v>28</v>
      </c>
    </row>
    <row r="1231" hidden="1">
      <c r="A1231" s="15" t="str">
        <f>IFERROR(__xludf.DUMMYFUNCTION("""COMPUTED_VALUE"""),"RIABR0161")</f>
        <v>RIABR0161</v>
      </c>
      <c r="B1231" s="16">
        <f>IFERROR(__xludf.DUMMYFUNCTION("""COMPUTED_VALUE"""),46136.66087574074)</f>
        <v>46136.66088</v>
      </c>
      <c r="C1231" s="17">
        <f>IFERROR(__xludf.DUMMYFUNCTION("""COMPUTED_VALUE"""),46146.66698888889)</f>
        <v>46146.66699</v>
      </c>
      <c r="D1231" s="15" t="str">
        <f>IFERROR(__xludf.DUMMYFUNCTION("""COMPUTED_VALUE"""),"N2 Generator")</f>
        <v>N2 Generator</v>
      </c>
      <c r="E1231" s="15" t="str">
        <f>IFERROR(__xludf.DUMMYFUNCTION("""COMPUTED_VALUE"""),"EJO/2026/02/14")</f>
        <v>EJO/2026/02/14</v>
      </c>
      <c r="F1231" s="15" t="str">
        <f>IFERROR(__xludf.DUMMYFUNCTION("""COMPUTED_VALUE"""),"Display Flow Meter")</f>
        <v>Display Flow Meter</v>
      </c>
      <c r="G1231" s="15">
        <f>IFERROR(__xludf.DUMMYFUNCTION("""COMPUTED_VALUE"""),1.0)</f>
        <v>1</v>
      </c>
      <c r="H1231" s="15" t="str">
        <f>IFERROR(__xludf.DUMMYFUNCTION("""COMPUTED_VALUE"""),"Pcs")</f>
        <v>Pcs</v>
      </c>
      <c r="I1231" s="15" t="str">
        <f>IFERROR(__xludf.DUMMYFUNCTION("""COMPUTED_VALUE"""),"Approval Item Code")</f>
        <v>Approval Item Code</v>
      </c>
      <c r="J1231" s="15" t="str">
        <f>IFERROR(__xludf.DUMMYFUNCTION("""COMPUTED_VALUE"""),"-")</f>
        <v>-</v>
      </c>
      <c r="K1231" s="15" t="str">
        <f>IFERROR(__xludf.DUMMYFUNCTION("""COMPUTED_VALUE"""),"-")</f>
        <v>-</v>
      </c>
      <c r="L1231" s="15" t="str">
        <f>IFERROR(__xludf.DUMMYFUNCTION("""COMPUTED_VALUE"""),"Normal")</f>
        <v>Normal</v>
      </c>
      <c r="M1231" s="18" t="s">
        <v>32</v>
      </c>
      <c r="N1231" s="18" t="s">
        <v>28</v>
      </c>
    </row>
    <row r="1232" hidden="1">
      <c r="A1232" s="15" t="str">
        <f>IFERROR(__xludf.DUMMYFUNCTION("""COMPUTED_VALUE"""),"RIABR0162")</f>
        <v>RIABR0162</v>
      </c>
      <c r="B1232" s="16">
        <f>IFERROR(__xludf.DUMMYFUNCTION("""COMPUTED_VALUE"""),46136.66168539351)</f>
        <v>46136.66169</v>
      </c>
      <c r="C1232" s="17">
        <f>IFERROR(__xludf.DUMMYFUNCTION("""COMPUTED_VALUE"""),46146.66718857639)</f>
        <v>46146.66719</v>
      </c>
      <c r="D1232" s="15" t="str">
        <f>IFERROR(__xludf.DUMMYFUNCTION("""COMPUTED_VALUE"""),"N2 Generator")</f>
        <v>N2 Generator</v>
      </c>
      <c r="E1232" s="15" t="str">
        <f>IFERROR(__xludf.DUMMYFUNCTION("""COMPUTED_VALUE"""),"EJO/2026/02/14")</f>
        <v>EJO/2026/02/14</v>
      </c>
      <c r="F1232" s="15" t="str">
        <f>IFERROR(__xludf.DUMMYFUNCTION("""COMPUTED_VALUE"""),"Sensor Dew Poin")</f>
        <v>Sensor Dew Poin</v>
      </c>
      <c r="G1232" s="15">
        <f>IFERROR(__xludf.DUMMYFUNCTION("""COMPUTED_VALUE"""),1.0)</f>
        <v>1</v>
      </c>
      <c r="H1232" s="15" t="str">
        <f>IFERROR(__xludf.DUMMYFUNCTION("""COMPUTED_VALUE"""),"Pcs")</f>
        <v>Pcs</v>
      </c>
      <c r="I1232" s="15" t="str">
        <f>IFERROR(__xludf.DUMMYFUNCTION("""COMPUTED_VALUE"""),"Approval Item Code")</f>
        <v>Approval Item Code</v>
      </c>
      <c r="J1232" s="15" t="str">
        <f>IFERROR(__xludf.DUMMYFUNCTION("""COMPUTED_VALUE"""),"-")</f>
        <v>-</v>
      </c>
      <c r="K1232" s="15" t="str">
        <f>IFERROR(__xludf.DUMMYFUNCTION("""COMPUTED_VALUE"""),"-")</f>
        <v>-</v>
      </c>
      <c r="L1232" s="15" t="str">
        <f>IFERROR(__xludf.DUMMYFUNCTION("""COMPUTED_VALUE"""),"Normal")</f>
        <v>Normal</v>
      </c>
      <c r="M1232" s="18" t="s">
        <v>32</v>
      </c>
      <c r="N1232" s="18" t="s">
        <v>28</v>
      </c>
    </row>
    <row r="1233" hidden="1">
      <c r="A1233" s="15" t="str">
        <f>IFERROR(__xludf.DUMMYFUNCTION("""COMPUTED_VALUE"""),"RIABR0163")</f>
        <v>RIABR0163</v>
      </c>
      <c r="B1233" s="16">
        <f>IFERROR(__xludf.DUMMYFUNCTION("""COMPUTED_VALUE"""),46136.6622946412)</f>
        <v>46136.66229</v>
      </c>
      <c r="C1233" s="17">
        <f>IFERROR(__xludf.DUMMYFUNCTION("""COMPUTED_VALUE"""),46146.66731351852)</f>
        <v>46146.66731</v>
      </c>
      <c r="D1233" s="15" t="str">
        <f>IFERROR(__xludf.DUMMYFUNCTION("""COMPUTED_VALUE"""),"N2 Generator")</f>
        <v>N2 Generator</v>
      </c>
      <c r="E1233" s="15" t="str">
        <f>IFERROR(__xludf.DUMMYFUNCTION("""COMPUTED_VALUE"""),"EJO/2026/02/14")</f>
        <v>EJO/2026/02/14</v>
      </c>
      <c r="F1233" s="15" t="str">
        <f>IFERROR(__xludf.DUMMYFUNCTION("""COMPUTED_VALUE"""),"Sensor Flow Meter")</f>
        <v>Sensor Flow Meter</v>
      </c>
      <c r="G1233" s="15">
        <f>IFERROR(__xludf.DUMMYFUNCTION("""COMPUTED_VALUE"""),1.0)</f>
        <v>1</v>
      </c>
      <c r="H1233" s="15" t="str">
        <f>IFERROR(__xludf.DUMMYFUNCTION("""COMPUTED_VALUE"""),"Pcs")</f>
        <v>Pcs</v>
      </c>
      <c r="I1233" s="15" t="str">
        <f>IFERROR(__xludf.DUMMYFUNCTION("""COMPUTED_VALUE"""),"Approval Item Code")</f>
        <v>Approval Item Code</v>
      </c>
      <c r="J1233" s="15" t="str">
        <f>IFERROR(__xludf.DUMMYFUNCTION("""COMPUTED_VALUE"""),"-")</f>
        <v>-</v>
      </c>
      <c r="K1233" s="15" t="str">
        <f>IFERROR(__xludf.DUMMYFUNCTION("""COMPUTED_VALUE"""),"-")</f>
        <v>-</v>
      </c>
      <c r="L1233" s="15" t="str">
        <f>IFERROR(__xludf.DUMMYFUNCTION("""COMPUTED_VALUE"""),"Normal")</f>
        <v>Normal</v>
      </c>
      <c r="M1233" s="18" t="s">
        <v>32</v>
      </c>
      <c r="N1233" s="18" t="s">
        <v>28</v>
      </c>
    </row>
    <row r="1234" hidden="1">
      <c r="A1234" s="15" t="str">
        <f>IFERROR(__xludf.DUMMYFUNCTION("""COMPUTED_VALUE"""),"RIABR0166")</f>
        <v>RIABR0166</v>
      </c>
      <c r="B1234" s="16">
        <f>IFERROR(__xludf.DUMMYFUNCTION("""COMPUTED_VALUE"""),46142.63764476852)</f>
        <v>46142.63764</v>
      </c>
      <c r="C1234" s="17">
        <f>IFERROR(__xludf.DUMMYFUNCTION("""COMPUTED_VALUE"""),46146.66774188657)</f>
        <v>46146.66774</v>
      </c>
      <c r="D1234" s="15" t="str">
        <f>IFERROR(__xludf.DUMMYFUNCTION("""COMPUTED_VALUE"""),"PWG")</f>
        <v>PWG</v>
      </c>
      <c r="E1234" s="15" t="str">
        <f>IFERROR(__xludf.DUMMYFUNCTION("""COMPUTED_VALUE"""),"-")</f>
        <v>-</v>
      </c>
      <c r="F1234" s="15" t="str">
        <f>IFERROR(__xludf.DUMMYFUNCTION("""COMPUTED_VALUE"""),"Solenoid Valve")</f>
        <v>Solenoid Valve</v>
      </c>
      <c r="G1234" s="15">
        <f>IFERROR(__xludf.DUMMYFUNCTION("""COMPUTED_VALUE"""),5.0)</f>
        <v>5</v>
      </c>
      <c r="H1234" s="15" t="str">
        <f>IFERROR(__xludf.DUMMYFUNCTION("""COMPUTED_VALUE"""),"Pcs")</f>
        <v>Pcs</v>
      </c>
      <c r="I1234" s="15" t="str">
        <f>IFERROR(__xludf.DUMMYFUNCTION("""COMPUTED_VALUE"""),"Proses PR")</f>
        <v>Proses PR</v>
      </c>
      <c r="J1234" s="15" t="str">
        <f>IFERROR(__xludf.DUMMYFUNCTION("""COMPUTED_VALUE"""),"-")</f>
        <v>-</v>
      </c>
      <c r="K1234" s="15" t="str">
        <f>IFERROR(__xludf.DUMMYFUNCTION("""COMPUTED_VALUE"""),"-")</f>
        <v>-</v>
      </c>
      <c r="L1234" s="15" t="str">
        <f>IFERROR(__xludf.DUMMYFUNCTION("""COMPUTED_VALUE"""),"Normal")</f>
        <v>Normal</v>
      </c>
      <c r="M1234" s="18" t="s">
        <v>32</v>
      </c>
      <c r="N1234" s="18" t="s">
        <v>28</v>
      </c>
    </row>
    <row r="1235" hidden="1">
      <c r="A1235" s="15" t="str">
        <f>IFERROR(__xludf.DUMMYFUNCTION("""COMPUTED_VALUE"""),"MOBJA0004")</f>
        <v>MOBJA0004</v>
      </c>
      <c r="B1235" s="16">
        <f>IFERROR(__xludf.DUMMYFUNCTION("""COMPUTED_VALUE"""),46150.471878553246)</f>
        <v>46150.47188</v>
      </c>
      <c r="C1235" s="17">
        <f>IFERROR(__xludf.DUMMYFUNCTION("""COMPUTED_VALUE"""),46153.638815509265)</f>
        <v>46153.63882</v>
      </c>
      <c r="D1235" s="15" t="str">
        <f>IFERROR(__xludf.DUMMYFUNCTION("""COMPUTED_VALUE"""),"PSG")</f>
        <v>PSG</v>
      </c>
      <c r="E1235" s="15" t="str">
        <f>IFERROR(__xludf.DUMMYFUNCTION("""COMPUTED_VALUE"""),"EJO/2026/04/022")</f>
        <v>EJO/2026/04/022</v>
      </c>
      <c r="F1235" s="15" t="str">
        <f>IFERROR(__xludf.DUMMYFUNCTION("""COMPUTED_VALUE"""),"Mainline condensate PSG Bocor")</f>
        <v>Mainline condensate PSG Bocor</v>
      </c>
      <c r="G1235" s="15">
        <f>IFERROR(__xludf.DUMMYFUNCTION("""COMPUTED_VALUE"""),1.0)</f>
        <v>1</v>
      </c>
      <c r="H1235" s="15" t="str">
        <f>IFERROR(__xludf.DUMMYFUNCTION("""COMPUTED_VALUE"""),"Lot")</f>
        <v>Lot</v>
      </c>
      <c r="I1235" s="15" t="str">
        <f>IFERROR(__xludf.DUMMYFUNCTION("""COMPUTED_VALUE"""),"PR Open")</f>
        <v>PR Open</v>
      </c>
      <c r="J1235" s="15" t="str">
        <f>IFERROR(__xludf.DUMMYFUNCTION("""COMPUTED_VALUE"""),"121704557 - APPROVED")</f>
        <v>121704557 - APPROVED</v>
      </c>
      <c r="K1235" s="15" t="str">
        <f>IFERROR(__xludf.DUMMYFUNCTION("""COMPUTED_VALUE"""),"-")</f>
        <v>-</v>
      </c>
      <c r="L1235" s="15" t="str">
        <f>IFERROR(__xludf.DUMMYFUNCTION("""COMPUTED_VALUE"""),"Normal")</f>
        <v>Normal</v>
      </c>
      <c r="M1235" s="18" t="s">
        <v>31</v>
      </c>
      <c r="N1235" s="18" t="s">
        <v>28</v>
      </c>
    </row>
    <row r="1236" hidden="1">
      <c r="A1236" s="15" t="str">
        <f>IFERROR(__xludf.DUMMYFUNCTION("""COMPUTED_VALUE"""),"SFHRO0046")</f>
        <v>SFHRO0046</v>
      </c>
      <c r="B1236" s="16">
        <f>IFERROR(__xludf.DUMMYFUNCTION("""COMPUTED_VALUE"""),46150.939021886574)</f>
        <v>46150.93902</v>
      </c>
      <c r="C1236" s="17">
        <f>IFERROR(__xludf.DUMMYFUNCTION("""COMPUTED_VALUE"""),46153.64091362269)</f>
        <v>46153.64091</v>
      </c>
      <c r="D1236" s="15" t="str">
        <f>IFERROR(__xludf.DUMMYFUNCTION("""COMPUTED_VALUE"""),"lantai 3")</f>
        <v>lantai 3</v>
      </c>
      <c r="E1236" s="15" t="str">
        <f>IFERROR(__xludf.DUMMYFUNCTION("""COMPUTED_VALUE"""),"-")</f>
        <v>-</v>
      </c>
      <c r="F1236" s="15" t="str">
        <f>IFERROR(__xludf.DUMMYFUNCTION("""COMPUTED_VALUE"""),"Keramik Granito Warna Crystal White Sand 60x60; Granito; ;")</f>
        <v>Keramik Granito Warna Crystal White Sand 60x60; Granito; ;</v>
      </c>
      <c r="G1236" s="15">
        <f>IFERROR(__xludf.DUMMYFUNCTION("""COMPUTED_VALUE"""),4.0)</f>
        <v>4</v>
      </c>
      <c r="H1236" s="15" t="str">
        <f>IFERROR(__xludf.DUMMYFUNCTION("""COMPUTED_VALUE"""),"dus")</f>
        <v>dus</v>
      </c>
      <c r="I1236" s="15" t="str">
        <f>IFERROR(__xludf.DUMMYFUNCTION("""COMPUTED_VALUE"""),"PO Open")</f>
        <v>PO Open</v>
      </c>
      <c r="J1236" s="15" t="str">
        <f>IFERROR(__xludf.DUMMYFUNCTION("""COMPUTED_VALUE"""),"121704380 - APPROVED")</f>
        <v>121704380 - APPROVED</v>
      </c>
      <c r="K1236" s="15" t="str">
        <f>IFERROR(__xludf.DUMMYFUNCTION("""COMPUTED_VALUE"""),"GL2608001")</f>
        <v>GL2608001</v>
      </c>
      <c r="L1236" s="15" t="str">
        <f>IFERROR(__xludf.DUMMYFUNCTION("""COMPUTED_VALUE"""),"Normal")</f>
        <v>Normal</v>
      </c>
      <c r="M1236" s="18" t="s">
        <v>27</v>
      </c>
      <c r="N1236" s="18" t="s">
        <v>28</v>
      </c>
    </row>
    <row r="1237" hidden="1">
      <c r="A1237" s="15" t="str">
        <f>IFERROR(__xludf.DUMMYFUNCTION("""COMPUTED_VALUE"""),"SFHBR0059")</f>
        <v>SFHBR0059</v>
      </c>
      <c r="B1237" s="16">
        <f>IFERROR(__xludf.DUMMYFUNCTION("""COMPUTED_VALUE"""),46150.923330335645)</f>
        <v>46150.92333</v>
      </c>
      <c r="C1237" s="17">
        <f>IFERROR(__xludf.DUMMYFUNCTION("""COMPUTED_VALUE"""),46153.64111160879)</f>
        <v>46153.64111</v>
      </c>
      <c r="D1237" s="15" t="str">
        <f>IFERROR(__xludf.DUMMYFUNCTION("""COMPUTED_VALUE"""),"lantai 1")</f>
        <v>lantai 1</v>
      </c>
      <c r="E1237" s="15" t="str">
        <f>IFERROR(__xludf.DUMMYFUNCTION("""COMPUTED_VALUE"""),"-")</f>
        <v>-</v>
      </c>
      <c r="F1237" s="15" t="str">
        <f>IFERROR(__xludf.DUMMYFUNCTION("""COMPUTED_VALUE"""),"BOSCH GSH14 C Mesin Bobok Beton Jack Hammer Demolition Hammer 28 Joule GSH 14 C")</f>
        <v>BOSCH GSH14 C Mesin Bobok Beton Jack Hammer Demolition Hammer 28 Joule GSH 14 C</v>
      </c>
      <c r="G1237" s="15">
        <f>IFERROR(__xludf.DUMMYFUNCTION("""COMPUTED_VALUE"""),1.0)</f>
        <v>1</v>
      </c>
      <c r="H1237" s="15" t="str">
        <f>IFERROR(__xludf.DUMMYFUNCTION("""COMPUTED_VALUE"""),"buah")</f>
        <v>buah</v>
      </c>
      <c r="I1237" s="15" t="str">
        <f>IFERROR(__xludf.DUMMYFUNCTION("""COMPUTED_VALUE"""),"Mencari Penawaran")</f>
        <v>Mencari Penawaran</v>
      </c>
      <c r="J1237" s="15" t="str">
        <f>IFERROR(__xludf.DUMMYFUNCTION("""COMPUTED_VALUE"""),"-")</f>
        <v>-</v>
      </c>
      <c r="K1237" s="15" t="str">
        <f>IFERROR(__xludf.DUMMYFUNCTION("""COMPUTED_VALUE"""),"-")</f>
        <v>-</v>
      </c>
      <c r="L1237" s="15" t="str">
        <f>IFERROR(__xludf.DUMMYFUNCTION("""COMPUTED_VALUE"""),"Normal")</f>
        <v>Normal</v>
      </c>
      <c r="M1237" s="18" t="s">
        <v>27</v>
      </c>
      <c r="N1237" s="18" t="s">
        <v>28</v>
      </c>
    </row>
    <row r="1238" hidden="1">
      <c r="A1238" s="15" t="str">
        <f>IFERROR(__xludf.DUMMYFUNCTION("""COMPUTED_VALUE"""),"SFHBR0060")</f>
        <v>SFHBR0060</v>
      </c>
      <c r="B1238" s="16">
        <f>IFERROR(__xludf.DUMMYFUNCTION("""COMPUTED_VALUE"""),46150.930133229165)</f>
        <v>46150.93013</v>
      </c>
      <c r="C1238" s="17">
        <f>IFERROR(__xludf.DUMMYFUNCTION("""COMPUTED_VALUE"""),46153.6413746412)</f>
        <v>46153.64137</v>
      </c>
      <c r="D1238" s="15" t="str">
        <f>IFERROR(__xludf.DUMMYFUNCTION("""COMPUTED_VALUE"""),"lantai 2")</f>
        <v>lantai 2</v>
      </c>
      <c r="E1238" s="15" t="str">
        <f>IFERROR(__xludf.DUMMYFUNCTION("""COMPUTED_VALUE"""),"-")</f>
        <v>-</v>
      </c>
      <c r="F1238" s="15" t="str">
        <f>IFERROR(__xludf.DUMMYFUNCTION("""COMPUTED_VALUE"""),"ALTAIR 4XR MSA, Gas Detector,Portable Multigas,Gas Meter, Pertamina,Pertambangan batu bara,Industri")</f>
        <v>ALTAIR 4XR MSA, Gas Detector,Portable Multigas,Gas Meter, Pertamina,Pertambangan batu bara,Industri</v>
      </c>
      <c r="G1238" s="15">
        <f>IFERROR(__xludf.DUMMYFUNCTION("""COMPUTED_VALUE"""),1.0)</f>
        <v>1</v>
      </c>
      <c r="H1238" s="15" t="str">
        <f>IFERROR(__xludf.DUMMYFUNCTION("""COMPUTED_VALUE"""),"buah")</f>
        <v>buah</v>
      </c>
      <c r="I1238" s="15" t="str">
        <f>IFERROR(__xludf.DUMMYFUNCTION("""COMPUTED_VALUE"""),"Approval Item Code")</f>
        <v>Approval Item Code</v>
      </c>
      <c r="J1238" s="15" t="str">
        <f>IFERROR(__xludf.DUMMYFUNCTION("""COMPUTED_VALUE"""),"-")</f>
        <v>-</v>
      </c>
      <c r="K1238" s="15" t="str">
        <f>IFERROR(__xludf.DUMMYFUNCTION("""COMPUTED_VALUE"""),"-")</f>
        <v>-</v>
      </c>
      <c r="L1238" s="15" t="str">
        <f>IFERROR(__xludf.DUMMYFUNCTION("""COMPUTED_VALUE"""),"Normal")</f>
        <v>Normal</v>
      </c>
      <c r="M1238" s="18" t="s">
        <v>27</v>
      </c>
      <c r="N1238" s="18" t="s">
        <v>28</v>
      </c>
    </row>
    <row r="1239" hidden="1">
      <c r="A1239" s="15" t="str">
        <f>IFERROR(__xludf.DUMMYFUNCTION("""COMPUTED_VALUE"""),"SFHBR0061")</f>
        <v>SFHBR0061</v>
      </c>
      <c r="B1239" s="16">
        <f>IFERROR(__xludf.DUMMYFUNCTION("""COMPUTED_VALUE"""),46150.94247815972)</f>
        <v>46150.94248</v>
      </c>
      <c r="C1239" s="17">
        <f>IFERROR(__xludf.DUMMYFUNCTION("""COMPUTED_VALUE"""),46153.641661458336)</f>
        <v>46153.64166</v>
      </c>
      <c r="D1239" s="15" t="str">
        <f>IFERROR(__xludf.DUMMYFUNCTION("""COMPUTED_VALUE"""),"lantai 2")</f>
        <v>lantai 2</v>
      </c>
      <c r="E1239" s="15" t="str">
        <f>IFERROR(__xludf.DUMMYFUNCTION("""COMPUTED_VALUE"""),"-")</f>
        <v>-</v>
      </c>
      <c r="F1239" s="15" t="str">
        <f>IFERROR(__xludf.DUMMYFUNCTION("""COMPUTED_VALUE"""),"SEMEN 3 RODA 50 KG / SEMEN 3 RODA 1 DO (160 SAK)")</f>
        <v>SEMEN 3 RODA 50 KG / SEMEN 3 RODA 1 DO (160 SAK)</v>
      </c>
      <c r="G1239" s="15">
        <f>IFERROR(__xludf.DUMMYFUNCTION("""COMPUTED_VALUE"""),200.0)</f>
        <v>200</v>
      </c>
      <c r="H1239" s="15" t="str">
        <f>IFERROR(__xludf.DUMMYFUNCTION("""COMPUTED_VALUE"""),"kg")</f>
        <v>kg</v>
      </c>
      <c r="I1239" s="15" t="str">
        <f>IFERROR(__xludf.DUMMYFUNCTION("""COMPUTED_VALUE"""),"Approval Item Code")</f>
        <v>Approval Item Code</v>
      </c>
      <c r="J1239" s="15" t="str">
        <f>IFERROR(__xludf.DUMMYFUNCTION("""COMPUTED_VALUE"""),"-")</f>
        <v>-</v>
      </c>
      <c r="K1239" s="15" t="str">
        <f>IFERROR(__xludf.DUMMYFUNCTION("""COMPUTED_VALUE"""),"-")</f>
        <v>-</v>
      </c>
      <c r="L1239" s="15" t="str">
        <f>IFERROR(__xludf.DUMMYFUNCTION("""COMPUTED_VALUE"""),"Normal")</f>
        <v>Normal</v>
      </c>
      <c r="M1239" s="18" t="s">
        <v>27</v>
      </c>
      <c r="N1239" s="18" t="s">
        <v>28</v>
      </c>
    </row>
    <row r="1240" hidden="1">
      <c r="A1240" s="15" t="str">
        <f>IFERROR(__xludf.DUMMYFUNCTION("""COMPUTED_VALUE"""),"BDUBR0018")</f>
        <v>BDUBR0018</v>
      </c>
      <c r="B1240" s="16">
        <f>IFERROR(__xludf.DUMMYFUNCTION("""COMPUTED_VALUE"""),46149.550700590284)</f>
        <v>46149.5507</v>
      </c>
      <c r="C1240" s="17">
        <f>IFERROR(__xludf.DUMMYFUNCTION("""COMPUTED_VALUE"""),46153.69569466435)</f>
        <v>46153.69569</v>
      </c>
      <c r="D1240" s="15" t="str">
        <f>IFERROR(__xludf.DUMMYFUNCTION("""COMPUTED_VALUE"""),"General ")</f>
        <v>General </v>
      </c>
      <c r="E1240" s="15" t="str">
        <f>IFERROR(__xludf.DUMMYFUNCTION("""COMPUTED_VALUE"""),"-")</f>
        <v>-</v>
      </c>
      <c r="F1240" s="15" t="str">
        <f>IFERROR(__xludf.DUMMYFUNCTION("""COMPUTED_VALUE"""),"botol spray alcohol ")</f>
        <v>botol spray alcohol </v>
      </c>
      <c r="G1240" s="15">
        <f>IFERROR(__xludf.DUMMYFUNCTION("""COMPUTED_VALUE"""),5.0)</f>
        <v>5</v>
      </c>
      <c r="H1240" s="15" t="str">
        <f>IFERROR(__xludf.DUMMYFUNCTION("""COMPUTED_VALUE"""),"pcs")</f>
        <v>pcs</v>
      </c>
      <c r="I1240" s="15" t="str">
        <f>IFERROR(__xludf.DUMMYFUNCTION("""COMPUTED_VALUE"""),"Approval PR")</f>
        <v>Approval PR</v>
      </c>
      <c r="J1240" s="15" t="str">
        <f>IFERROR(__xludf.DUMMYFUNCTION("""COMPUTED_VALUE"""),"-")</f>
        <v>-</v>
      </c>
      <c r="K1240" s="15" t="str">
        <f>IFERROR(__xludf.DUMMYFUNCTION("""COMPUTED_VALUE"""),"-")</f>
        <v>-</v>
      </c>
      <c r="L1240" s="15" t="str">
        <f>IFERROR(__xludf.DUMMYFUNCTION("""COMPUTED_VALUE"""),"Normal")</f>
        <v>Normal</v>
      </c>
      <c r="M1240" s="18" t="s">
        <v>55</v>
      </c>
      <c r="N1240" s="18" t="s">
        <v>28</v>
      </c>
    </row>
    <row r="1241" hidden="1">
      <c r="A1241" s="15" t="str">
        <f>IFERROR(__xludf.DUMMYFUNCTION("""COMPUTED_VALUE"""),"BDUBR0017")</f>
        <v>BDUBR0017</v>
      </c>
      <c r="B1241" s="16">
        <f>IFERROR(__xludf.DUMMYFUNCTION("""COMPUTED_VALUE"""),46147.91604778935)</f>
        <v>46147.91605</v>
      </c>
      <c r="C1241" s="17">
        <f>IFERROR(__xludf.DUMMYFUNCTION("""COMPUTED_VALUE"""),46153.69584818287)</f>
        <v>46153.69585</v>
      </c>
      <c r="D1241" s="15" t="str">
        <f>IFERROR(__xludf.DUMMYFUNCTION("""COMPUTED_VALUE"""),"General")</f>
        <v>General</v>
      </c>
      <c r="E1241" s="15" t="str">
        <f>IFERROR(__xludf.DUMMYFUNCTION("""COMPUTED_VALUE"""),"-")</f>
        <v>-</v>
      </c>
      <c r="F1241" s="15" t="str">
        <f>IFERROR(__xludf.DUMMYFUNCTION("""COMPUTED_VALUE"""),"Mata bor d5,5")</f>
        <v>Mata bor d5,5</v>
      </c>
      <c r="G1241" s="15">
        <f>IFERROR(__xludf.DUMMYFUNCTION("""COMPUTED_VALUE"""),10.0)</f>
        <v>10</v>
      </c>
      <c r="H1241" s="15" t="str">
        <f>IFERROR(__xludf.DUMMYFUNCTION("""COMPUTED_VALUE"""),"pcs")</f>
        <v>pcs</v>
      </c>
      <c r="I1241" s="15" t="str">
        <f>IFERROR(__xludf.DUMMYFUNCTION("""COMPUTED_VALUE"""),"Proses PR")</f>
        <v>Proses PR</v>
      </c>
      <c r="J1241" s="15" t="str">
        <f>IFERROR(__xludf.DUMMYFUNCTION("""COMPUTED_VALUE"""),"-")</f>
        <v>-</v>
      </c>
      <c r="K1241" s="15" t="str">
        <f>IFERROR(__xludf.DUMMYFUNCTION("""COMPUTED_VALUE"""),"-")</f>
        <v>-</v>
      </c>
      <c r="L1241" s="15" t="str">
        <f>IFERROR(__xludf.DUMMYFUNCTION("""COMPUTED_VALUE"""),"Normal")</f>
        <v>Normal</v>
      </c>
      <c r="M1241" s="18" t="s">
        <v>55</v>
      </c>
      <c r="N1241" s="18" t="s">
        <v>28</v>
      </c>
    </row>
    <row r="1242" hidden="1">
      <c r="A1242" s="15" t="str">
        <f>IFERROR(__xludf.DUMMYFUNCTION("""COMPUTED_VALUE"""),"BDUBR0016")</f>
        <v>BDUBR0016</v>
      </c>
      <c r="B1242" s="16">
        <f>IFERROR(__xludf.DUMMYFUNCTION("""COMPUTED_VALUE"""),46147.9160383912)</f>
        <v>46147.91604</v>
      </c>
      <c r="C1242" s="17">
        <f>IFERROR(__xludf.DUMMYFUNCTION("""COMPUTED_VALUE"""),46153.696018437506)</f>
        <v>46153.69602</v>
      </c>
      <c r="D1242" s="15" t="str">
        <f>IFERROR(__xludf.DUMMYFUNCTION("""COMPUTED_VALUE"""),"General")</f>
        <v>General</v>
      </c>
      <c r="E1242" s="15" t="str">
        <f>IFERROR(__xludf.DUMMYFUNCTION("""COMPUTED_VALUE"""),"-")</f>
        <v>-</v>
      </c>
      <c r="F1242" s="15" t="str">
        <f>IFERROR(__xludf.DUMMYFUNCTION("""COMPUTED_VALUE"""),"Mata bor d5")</f>
        <v>Mata bor d5</v>
      </c>
      <c r="G1242" s="15">
        <f>IFERROR(__xludf.DUMMYFUNCTION("""COMPUTED_VALUE"""),10.0)</f>
        <v>10</v>
      </c>
      <c r="H1242" s="15" t="str">
        <f>IFERROR(__xludf.DUMMYFUNCTION("""COMPUTED_VALUE"""),"pcs")</f>
        <v>pcs</v>
      </c>
      <c r="I1242" s="15" t="str">
        <f>IFERROR(__xludf.DUMMYFUNCTION("""COMPUTED_VALUE"""),"Proses PR")</f>
        <v>Proses PR</v>
      </c>
      <c r="J1242" s="15" t="str">
        <f>IFERROR(__xludf.DUMMYFUNCTION("""COMPUTED_VALUE"""),"-")</f>
        <v>-</v>
      </c>
      <c r="K1242" s="15" t="str">
        <f>IFERROR(__xludf.DUMMYFUNCTION("""COMPUTED_VALUE"""),"-")</f>
        <v>-</v>
      </c>
      <c r="L1242" s="15" t="str">
        <f>IFERROR(__xludf.DUMMYFUNCTION("""COMPUTED_VALUE"""),"Normal")</f>
        <v>Normal</v>
      </c>
      <c r="M1242" s="18" t="s">
        <v>55</v>
      </c>
      <c r="N1242" s="18" t="s">
        <v>28</v>
      </c>
    </row>
    <row r="1243" hidden="1">
      <c r="A1243" s="15" t="str">
        <f>IFERROR(__xludf.DUMMYFUNCTION("""COMPUTED_VALUE"""),"BDUBR0015")</f>
        <v>BDUBR0015</v>
      </c>
      <c r="B1243" s="16">
        <f>IFERROR(__xludf.DUMMYFUNCTION("""COMPUTED_VALUE"""),46147.916031562505)</f>
        <v>46147.91603</v>
      </c>
      <c r="C1243" s="17">
        <f>IFERROR(__xludf.DUMMYFUNCTION("""COMPUTED_VALUE"""),46153.69618439815)</f>
        <v>46153.69618</v>
      </c>
      <c r="D1243" s="15" t="str">
        <f>IFERROR(__xludf.DUMMYFUNCTION("""COMPUTED_VALUE"""),"General")</f>
        <v>General</v>
      </c>
      <c r="E1243" s="15" t="str">
        <f>IFERROR(__xludf.DUMMYFUNCTION("""COMPUTED_VALUE"""),"-")</f>
        <v>-</v>
      </c>
      <c r="F1243" s="15" t="str">
        <f>IFERROR(__xludf.DUMMYFUNCTION("""COMPUTED_VALUE"""),"Mata bor d4,5")</f>
        <v>Mata bor d4,5</v>
      </c>
      <c r="G1243" s="15">
        <f>IFERROR(__xludf.DUMMYFUNCTION("""COMPUTED_VALUE"""),10.0)</f>
        <v>10</v>
      </c>
      <c r="H1243" s="15" t="str">
        <f>IFERROR(__xludf.DUMMYFUNCTION("""COMPUTED_VALUE"""),"pcs")</f>
        <v>pcs</v>
      </c>
      <c r="I1243" s="15" t="str">
        <f>IFERROR(__xludf.DUMMYFUNCTION("""COMPUTED_VALUE"""),"Proses PR")</f>
        <v>Proses PR</v>
      </c>
      <c r="J1243" s="15" t="str">
        <f>IFERROR(__xludf.DUMMYFUNCTION("""COMPUTED_VALUE"""),"-")</f>
        <v>-</v>
      </c>
      <c r="K1243" s="15" t="str">
        <f>IFERROR(__xludf.DUMMYFUNCTION("""COMPUTED_VALUE"""),"-")</f>
        <v>-</v>
      </c>
      <c r="L1243" s="15" t="str">
        <f>IFERROR(__xludf.DUMMYFUNCTION("""COMPUTED_VALUE"""),"Normal")</f>
        <v>Normal</v>
      </c>
      <c r="M1243" s="18" t="s">
        <v>55</v>
      </c>
      <c r="N1243" s="18" t="s">
        <v>28</v>
      </c>
    </row>
    <row r="1244" hidden="1">
      <c r="A1244" s="15" t="str">
        <f>IFERROR(__xludf.DUMMYFUNCTION("""COMPUTED_VALUE"""),"BDUBR0014")</f>
        <v>BDUBR0014</v>
      </c>
      <c r="B1244" s="16">
        <f>IFERROR(__xludf.DUMMYFUNCTION("""COMPUTED_VALUE"""),46147.91601097223)</f>
        <v>46147.91601</v>
      </c>
      <c r="C1244" s="17">
        <f>IFERROR(__xludf.DUMMYFUNCTION("""COMPUTED_VALUE"""),46153.69642881944)</f>
        <v>46153.69643</v>
      </c>
      <c r="D1244" s="15" t="str">
        <f>IFERROR(__xludf.DUMMYFUNCTION("""COMPUTED_VALUE"""),"General")</f>
        <v>General</v>
      </c>
      <c r="E1244" s="15" t="str">
        <f>IFERROR(__xludf.DUMMYFUNCTION("""COMPUTED_VALUE"""),"-")</f>
        <v>-</v>
      </c>
      <c r="F1244" s="15" t="str">
        <f>IFERROR(__xludf.DUMMYFUNCTION("""COMPUTED_VALUE"""),"Mata bor d4")</f>
        <v>Mata bor d4</v>
      </c>
      <c r="G1244" s="15">
        <f>IFERROR(__xludf.DUMMYFUNCTION("""COMPUTED_VALUE"""),10.0)</f>
        <v>10</v>
      </c>
      <c r="H1244" s="15" t="str">
        <f>IFERROR(__xludf.DUMMYFUNCTION("""COMPUTED_VALUE"""),"pcs")</f>
        <v>pcs</v>
      </c>
      <c r="I1244" s="15" t="str">
        <f>IFERROR(__xludf.DUMMYFUNCTION("""COMPUTED_VALUE"""),"Proses PR")</f>
        <v>Proses PR</v>
      </c>
      <c r="J1244" s="15" t="str">
        <f>IFERROR(__xludf.DUMMYFUNCTION("""COMPUTED_VALUE"""),"-")</f>
        <v>-</v>
      </c>
      <c r="K1244" s="15" t="str">
        <f>IFERROR(__xludf.DUMMYFUNCTION("""COMPUTED_VALUE"""),"-")</f>
        <v>-</v>
      </c>
      <c r="L1244" s="15" t="str">
        <f>IFERROR(__xludf.DUMMYFUNCTION("""COMPUTED_VALUE"""),"Normal")</f>
        <v>Normal</v>
      </c>
      <c r="M1244" s="18" t="s">
        <v>55</v>
      </c>
      <c r="N1244" s="18" t="s">
        <v>28</v>
      </c>
    </row>
    <row r="1245" hidden="1">
      <c r="A1245" s="15" t="str">
        <f>IFERROR(__xludf.DUMMYFUNCTION("""COMPUTED_VALUE"""),"BDUBR0013")</f>
        <v>BDUBR0013</v>
      </c>
      <c r="B1245" s="16">
        <f>IFERROR(__xludf.DUMMYFUNCTION("""COMPUTED_VALUE"""),46147.9124525463)</f>
        <v>46147.91245</v>
      </c>
      <c r="C1245" s="17">
        <f>IFERROR(__xludf.DUMMYFUNCTION("""COMPUTED_VALUE"""),46153.6965899537)</f>
        <v>46153.69659</v>
      </c>
      <c r="D1245" s="15" t="str">
        <f>IFERROR(__xludf.DUMMYFUNCTION("""COMPUTED_VALUE"""),"General")</f>
        <v>General</v>
      </c>
      <c r="E1245" s="15" t="str">
        <f>IFERROR(__xludf.DUMMYFUNCTION("""COMPUTED_VALUE"""),"-")</f>
        <v>-</v>
      </c>
      <c r="F1245" s="15" t="str">
        <f>IFERROR(__xludf.DUMMYFUNCTION("""COMPUTED_VALUE"""),"Mata bor d3,5")</f>
        <v>Mata bor d3,5</v>
      </c>
      <c r="G1245" s="15">
        <f>IFERROR(__xludf.DUMMYFUNCTION("""COMPUTED_VALUE"""),10.0)</f>
        <v>10</v>
      </c>
      <c r="H1245" s="15" t="str">
        <f>IFERROR(__xludf.DUMMYFUNCTION("""COMPUTED_VALUE"""),"pcs")</f>
        <v>pcs</v>
      </c>
      <c r="I1245" s="15" t="str">
        <f>IFERROR(__xludf.DUMMYFUNCTION("""COMPUTED_VALUE"""),"Proses PR")</f>
        <v>Proses PR</v>
      </c>
      <c r="J1245" s="15" t="str">
        <f>IFERROR(__xludf.DUMMYFUNCTION("""COMPUTED_VALUE"""),"-")</f>
        <v>-</v>
      </c>
      <c r="K1245" s="15" t="str">
        <f>IFERROR(__xludf.DUMMYFUNCTION("""COMPUTED_VALUE"""),"-")</f>
        <v>-</v>
      </c>
      <c r="L1245" s="15" t="str">
        <f>IFERROR(__xludf.DUMMYFUNCTION("""COMPUTED_VALUE"""),"Normal")</f>
        <v>Normal</v>
      </c>
      <c r="M1245" s="18" t="s">
        <v>55</v>
      </c>
      <c r="N1245" s="18" t="s">
        <v>28</v>
      </c>
    </row>
    <row r="1246" hidden="1">
      <c r="A1246" s="15" t="str">
        <f>IFERROR(__xludf.DUMMYFUNCTION("""COMPUTED_VALUE"""),"BDUBR0012")</f>
        <v>BDUBR0012</v>
      </c>
      <c r="B1246" s="16">
        <f>IFERROR(__xludf.DUMMYFUNCTION("""COMPUTED_VALUE"""),46147.911208935184)</f>
        <v>46147.91121</v>
      </c>
      <c r="C1246" s="17">
        <f>IFERROR(__xludf.DUMMYFUNCTION("""COMPUTED_VALUE"""),46153.69671701389)</f>
        <v>46153.69672</v>
      </c>
      <c r="D1246" s="15" t="str">
        <f>IFERROR(__xludf.DUMMYFUNCTION("""COMPUTED_VALUE"""),"General")</f>
        <v>General</v>
      </c>
      <c r="E1246" s="15" t="str">
        <f>IFERROR(__xludf.DUMMYFUNCTION("""COMPUTED_VALUE"""),"-")</f>
        <v>-</v>
      </c>
      <c r="F1246" s="15" t="str">
        <f>IFERROR(__xludf.DUMMYFUNCTION("""COMPUTED_VALUE"""),"Mata bor d3")</f>
        <v>Mata bor d3</v>
      </c>
      <c r="G1246" s="15">
        <f>IFERROR(__xludf.DUMMYFUNCTION("""COMPUTED_VALUE"""),10.0)</f>
        <v>10</v>
      </c>
      <c r="H1246" s="15" t="str">
        <f>IFERROR(__xludf.DUMMYFUNCTION("""COMPUTED_VALUE"""),"pcs")</f>
        <v>pcs</v>
      </c>
      <c r="I1246" s="15" t="str">
        <f>IFERROR(__xludf.DUMMYFUNCTION("""COMPUTED_VALUE"""),"Approval Item Code")</f>
        <v>Approval Item Code</v>
      </c>
      <c r="J1246" s="15" t="str">
        <f>IFERROR(__xludf.DUMMYFUNCTION("""COMPUTED_VALUE"""),"-")</f>
        <v>-</v>
      </c>
      <c r="K1246" s="15" t="str">
        <f>IFERROR(__xludf.DUMMYFUNCTION("""COMPUTED_VALUE"""),"-")</f>
        <v>-</v>
      </c>
      <c r="L1246" s="15" t="str">
        <f>IFERROR(__xludf.DUMMYFUNCTION("""COMPUTED_VALUE"""),"Normal")</f>
        <v>Normal</v>
      </c>
      <c r="M1246" s="18" t="s">
        <v>55</v>
      </c>
      <c r="N1246" s="18" t="s">
        <v>28</v>
      </c>
    </row>
    <row r="1247" hidden="1">
      <c r="A1247" s="15" t="str">
        <f>IFERROR(__xludf.DUMMYFUNCTION("""COMPUTED_VALUE"""),"BDUBR0011")</f>
        <v>BDUBR0011</v>
      </c>
      <c r="B1247" s="16">
        <f>IFERROR(__xludf.DUMMYFUNCTION("""COMPUTED_VALUE"""),46147.90958394676)</f>
        <v>46147.90958</v>
      </c>
      <c r="C1247" s="17">
        <f>IFERROR(__xludf.DUMMYFUNCTION("""COMPUTED_VALUE"""),46153.71242498842)</f>
        <v>46153.71242</v>
      </c>
      <c r="D1247" s="15" t="str">
        <f>IFERROR(__xludf.DUMMYFUNCTION("""COMPUTED_VALUE"""),"General")</f>
        <v>General</v>
      </c>
      <c r="E1247" s="15" t="str">
        <f>IFERROR(__xludf.DUMMYFUNCTION("""COMPUTED_VALUE"""),"-")</f>
        <v>-</v>
      </c>
      <c r="F1247" s="15" t="str">
        <f>IFERROR(__xludf.DUMMYFUNCTION("""COMPUTED_VALUE"""),"Mata bor d2,5")</f>
        <v>Mata bor d2,5</v>
      </c>
      <c r="G1247" s="15">
        <f>IFERROR(__xludf.DUMMYFUNCTION("""COMPUTED_VALUE"""),10.0)</f>
        <v>10</v>
      </c>
      <c r="H1247" s="15" t="str">
        <f>IFERROR(__xludf.DUMMYFUNCTION("""COMPUTED_VALUE"""),"pcs")</f>
        <v>pcs</v>
      </c>
      <c r="I1247" s="15" t="str">
        <f>IFERROR(__xludf.DUMMYFUNCTION("""COMPUTED_VALUE"""),"Approval Item Code")</f>
        <v>Approval Item Code</v>
      </c>
      <c r="J1247" s="15" t="str">
        <f>IFERROR(__xludf.DUMMYFUNCTION("""COMPUTED_VALUE"""),"-")</f>
        <v>-</v>
      </c>
      <c r="K1247" s="15" t="str">
        <f>IFERROR(__xludf.DUMMYFUNCTION("""COMPUTED_VALUE"""),"-")</f>
        <v>-</v>
      </c>
      <c r="L1247" s="15" t="str">
        <f>IFERROR(__xludf.DUMMYFUNCTION("""COMPUTED_VALUE"""),"Normal")</f>
        <v>Normal</v>
      </c>
      <c r="M1247" s="18" t="s">
        <v>55</v>
      </c>
      <c r="N1247" s="18" t="s">
        <v>28</v>
      </c>
    </row>
    <row r="1248" hidden="1">
      <c r="A1248" s="15" t="str">
        <f>IFERROR(__xludf.DUMMYFUNCTION("""COMPUTED_VALUE"""),"BDUBR0010")</f>
        <v>BDUBR0010</v>
      </c>
      <c r="B1248" s="16">
        <f>IFERROR(__xludf.DUMMYFUNCTION("""COMPUTED_VALUE"""),46147.90927142361)</f>
        <v>46147.90927</v>
      </c>
      <c r="C1248" s="17">
        <f>IFERROR(__xludf.DUMMYFUNCTION("""COMPUTED_VALUE"""),46153.712589097224)</f>
        <v>46153.71259</v>
      </c>
      <c r="D1248" s="15" t="str">
        <f>IFERROR(__xludf.DUMMYFUNCTION("""COMPUTED_VALUE"""),"RAM PC FTIR")</f>
        <v>RAM PC FTIR</v>
      </c>
      <c r="E1248" s="15" t="str">
        <f>IFERROR(__xludf.DUMMYFUNCTION("""COMPUTED_VALUE"""),"-")</f>
        <v>-</v>
      </c>
      <c r="F1248" s="15" t="str">
        <f>IFERROR(__xludf.DUMMYFUNCTION("""COMPUTED_VALUE"""),"RAM DDR3")</f>
        <v>RAM DDR3</v>
      </c>
      <c r="G1248" s="15">
        <f>IFERROR(__xludf.DUMMYFUNCTION("""COMPUTED_VALUE"""),1.0)</f>
        <v>1</v>
      </c>
      <c r="H1248" s="15" t="str">
        <f>IFERROR(__xludf.DUMMYFUNCTION("""COMPUTED_VALUE"""),"pcs")</f>
        <v>pcs</v>
      </c>
      <c r="I1248" s="15" t="str">
        <f>IFERROR(__xludf.DUMMYFUNCTION("""COMPUTED_VALUE"""),"Approval Item Code")</f>
        <v>Approval Item Code</v>
      </c>
      <c r="J1248" s="15" t="str">
        <f>IFERROR(__xludf.DUMMYFUNCTION("""COMPUTED_VALUE"""),"-")</f>
        <v>-</v>
      </c>
      <c r="K1248" s="15" t="str">
        <f>IFERROR(__xludf.DUMMYFUNCTION("""COMPUTED_VALUE"""),"-")</f>
        <v>-</v>
      </c>
      <c r="L1248" s="15" t="str">
        <f>IFERROR(__xludf.DUMMYFUNCTION("""COMPUTED_VALUE"""),"Normal")</f>
        <v>Normal</v>
      </c>
      <c r="M1248" s="18" t="s">
        <v>55</v>
      </c>
      <c r="N1248" s="18" t="s">
        <v>28</v>
      </c>
    </row>
    <row r="1249" hidden="1">
      <c r="A1249" s="15" t="str">
        <f>IFERROR(__xludf.DUMMYFUNCTION("""COMPUTED_VALUE"""),"BDUBR0009")</f>
        <v>BDUBR0009</v>
      </c>
      <c r="B1249" s="16">
        <f>IFERROR(__xludf.DUMMYFUNCTION("""COMPUTED_VALUE"""),46147.90925295139)</f>
        <v>46147.90925</v>
      </c>
      <c r="C1249" s="17">
        <f>IFERROR(__xludf.DUMMYFUNCTION("""COMPUTED_VALUE"""),46153.713102245376)</f>
        <v>46153.7131</v>
      </c>
      <c r="D1249" s="15" t="str">
        <f>IFERROR(__xludf.DUMMYFUNCTION("""COMPUTED_VALUE"""),"PC FTIR")</f>
        <v>PC FTIR</v>
      </c>
      <c r="E1249" s="15" t="str">
        <f>IFERROR(__xludf.DUMMYFUNCTION("""COMPUTED_VALUE"""),"-")</f>
        <v>-</v>
      </c>
      <c r="F1249" s="15" t="str">
        <f>IFERROR(__xludf.DUMMYFUNCTION("""COMPUTED_VALUE"""),"Harddisk Internal")</f>
        <v>Harddisk Internal</v>
      </c>
      <c r="G1249" s="15">
        <f>IFERROR(__xludf.DUMMYFUNCTION("""COMPUTED_VALUE"""),3.0)</f>
        <v>3</v>
      </c>
      <c r="H1249" s="15" t="str">
        <f>IFERROR(__xludf.DUMMYFUNCTION("""COMPUTED_VALUE"""),"Pcs")</f>
        <v>Pcs</v>
      </c>
      <c r="I1249" s="15" t="str">
        <f>IFERROR(__xludf.DUMMYFUNCTION("""COMPUTED_VALUE"""),"Approval Item Code")</f>
        <v>Approval Item Code</v>
      </c>
      <c r="J1249" s="15" t="str">
        <f>IFERROR(__xludf.DUMMYFUNCTION("""COMPUTED_VALUE"""),"-")</f>
        <v>-</v>
      </c>
      <c r="K1249" s="15" t="str">
        <f>IFERROR(__xludf.DUMMYFUNCTION("""COMPUTED_VALUE"""),"-")</f>
        <v>-</v>
      </c>
      <c r="L1249" s="15" t="str">
        <f>IFERROR(__xludf.DUMMYFUNCTION("""COMPUTED_VALUE"""),"Normal")</f>
        <v>Normal</v>
      </c>
      <c r="M1249" s="18" t="s">
        <v>55</v>
      </c>
      <c r="N1249" s="18" t="s">
        <v>28</v>
      </c>
    </row>
    <row r="1250" hidden="1">
      <c r="A1250" s="15" t="str">
        <f>IFERROR(__xludf.DUMMYFUNCTION("""COMPUTED_VALUE"""),"BDURO0008")</f>
        <v>BDURO0008</v>
      </c>
      <c r="B1250" s="16">
        <f>IFERROR(__xludf.DUMMYFUNCTION("""COMPUTED_VALUE"""),46184.10259724537)</f>
        <v>46184.1026</v>
      </c>
      <c r="C1250" s="17">
        <f>IFERROR(__xludf.DUMMYFUNCTION("""COMPUTED_VALUE"""),46191.66396179398)</f>
        <v>46191.66396</v>
      </c>
      <c r="D1250" s="15" t="str">
        <f>IFERROR(__xludf.DUMMYFUNCTION("""COMPUTED_VALUE"""),"Mixing")</f>
        <v>Mixing</v>
      </c>
      <c r="E1250" s="15" t="str">
        <f>IFERROR(__xludf.DUMMYFUNCTION("""COMPUTED_VALUE"""),"-")</f>
        <v>-</v>
      </c>
      <c r="F1250" s="15" t="str">
        <f>IFERROR(__xludf.DUMMYFUNCTION("""COMPUTED_VALUE"""),"General - Opto CapBT02T Operating Range 8 ppb - 60% O2 Sat P/N 30018857, Measured Pressure Resistance : 0-6 bar; Mettler Toledo; 30018857; 1 Pc")</f>
        <v>General - Opto CapBT02T Operating Range 8 ppb - 60% O2 Sat P/N 30018857, Measured Pressure Resistance : 0-6 bar; Mettler Toledo; 30018857; 1 Pc</v>
      </c>
      <c r="G1250" s="15">
        <f>IFERROR(__xludf.DUMMYFUNCTION("""COMPUTED_VALUE"""),1.0)</f>
        <v>1</v>
      </c>
      <c r="H1250" s="15" t="str">
        <f>IFERROR(__xludf.DUMMYFUNCTION("""COMPUTED_VALUE"""),"pcs")</f>
        <v>pcs</v>
      </c>
      <c r="I1250" s="15" t="str">
        <f>IFERROR(__xludf.DUMMYFUNCTION("""COMPUTED_VALUE"""),"Deliver")</f>
        <v>Deliver</v>
      </c>
      <c r="J1250" s="15" t="str">
        <f>IFERROR(__xludf.DUMMYFUNCTION("""COMPUTED_VALUE"""),"121704375 - APPROVED")</f>
        <v>121704375 - APPROVED</v>
      </c>
      <c r="K1250" s="15" t="str">
        <f>IFERROR(__xludf.DUMMYFUNCTION("""COMPUTED_VALUE"""),"GL2607377")</f>
        <v>GL2607377</v>
      </c>
      <c r="L1250" s="15" t="str">
        <f>IFERROR(__xludf.DUMMYFUNCTION("""COMPUTED_VALUE"""),"Normal")</f>
        <v>Normal</v>
      </c>
      <c r="M1250" s="18" t="s">
        <v>55</v>
      </c>
      <c r="N1250" s="18" t="s">
        <v>28</v>
      </c>
    </row>
    <row r="1251" hidden="1">
      <c r="A1251" s="15" t="str">
        <f>IFERROR(__xludf.DUMMYFUNCTION("""COMPUTED_VALUE"""),"ERABR0001")</f>
        <v>ERABR0001</v>
      </c>
      <c r="B1251" s="16">
        <f>IFERROR(__xludf.DUMMYFUNCTION("""COMPUTED_VALUE"""),46163.38684436342)</f>
        <v>46163.38684</v>
      </c>
      <c r="C1251" s="17">
        <f>IFERROR(__xludf.DUMMYFUNCTION("""COMPUTED_VALUE"""),46191.66696125)</f>
        <v>46191.66696</v>
      </c>
      <c r="D1251" s="15" t="str">
        <f>IFERROR(__xludf.DUMMYFUNCTION("""COMPUTED_VALUE"""),"Particle Size Distribution/Dry Lab")</f>
        <v>Particle Size Distribution/Dry Lab</v>
      </c>
      <c r="E1251" s="15" t="str">
        <f>IFERROR(__xludf.DUMMYFUNCTION("""COMPUTED_VALUE"""),"EJO/2026/05/007")</f>
        <v>EJO/2026/05/007</v>
      </c>
      <c r="F1251" s="15" t="str">
        <f>IFERROR(__xludf.DUMMYFUNCTION("""COMPUTED_VALUE"""),"Pneumatic push in fitting lurus Brand FESTO")</f>
        <v>Pneumatic push in fitting lurus Brand FESTO</v>
      </c>
      <c r="G1251" s="15">
        <f>IFERROR(__xludf.DUMMYFUNCTION("""COMPUTED_VALUE"""),3.0)</f>
        <v>3</v>
      </c>
      <c r="H1251" s="15" t="str">
        <f>IFERROR(__xludf.DUMMYFUNCTION("""COMPUTED_VALUE"""),"PCS")</f>
        <v>PCS</v>
      </c>
      <c r="I1251" s="15" t="str">
        <f>IFERROR(__xludf.DUMMYFUNCTION("""COMPUTED_VALUE"""),"PR Open")</f>
        <v>PR Open</v>
      </c>
      <c r="J1251" s="15" t="str">
        <f>IFERROR(__xludf.DUMMYFUNCTION("""COMPUTED_VALUE"""),"121704547 - APPROVED")</f>
        <v>121704547 - APPROVED</v>
      </c>
      <c r="K1251" s="15" t="str">
        <f>IFERROR(__xludf.DUMMYFUNCTION("""COMPUTED_VALUE"""),"GL2609426")</f>
        <v>GL2609426</v>
      </c>
      <c r="L1251" s="15" t="str">
        <f>IFERROR(__xludf.DUMMYFUNCTION("""COMPUTED_VALUE"""),"Normal")</f>
        <v>Normal</v>
      </c>
      <c r="M1251" s="18" t="s">
        <v>57</v>
      </c>
      <c r="N1251" s="18" t="e">
        <v>#N/A</v>
      </c>
    </row>
    <row r="1252" hidden="1">
      <c r="A1252" s="15" t="str">
        <f>IFERROR(__xludf.DUMMYFUNCTION("""COMPUTED_VALUE"""),"ERABR0002")</f>
        <v>ERABR0002</v>
      </c>
      <c r="B1252" s="16">
        <f>IFERROR(__xludf.DUMMYFUNCTION("""COMPUTED_VALUE"""),46168.44706547454)</f>
        <v>46168.44707</v>
      </c>
      <c r="C1252" s="17">
        <f>IFERROR(__xludf.DUMMYFUNCTION("""COMPUTED_VALUE"""),46191.669276400455)</f>
        <v>46191.66928</v>
      </c>
      <c r="D1252" s="15" t="str">
        <f>IFERROR(__xludf.DUMMYFUNCTION("""COMPUTED_VALUE"""),"Isolator SKAN/Lab Micro")</f>
        <v>Isolator SKAN/Lab Micro</v>
      </c>
      <c r="E1252" s="15" t="str">
        <f>IFERROR(__xludf.DUMMYFUNCTION("""COMPUTED_VALUE"""),"-")</f>
        <v>-</v>
      </c>
      <c r="F1252" s="15" t="str">
        <f>IFERROR(__xludf.DUMMYFUNCTION("""COMPUTED_VALUE"""),"Oring G 300")</f>
        <v>Oring G 300</v>
      </c>
      <c r="G1252" s="15">
        <f>IFERROR(__xludf.DUMMYFUNCTION("""COMPUTED_VALUE"""),4.0)</f>
        <v>4</v>
      </c>
      <c r="H1252" s="15" t="str">
        <f>IFERROR(__xludf.DUMMYFUNCTION("""COMPUTED_VALUE"""),"PCS")</f>
        <v>PCS</v>
      </c>
      <c r="I1252" s="15" t="str">
        <f>IFERROR(__xludf.DUMMYFUNCTION("""COMPUTED_VALUE"""),"Approval Item Code")</f>
        <v>Approval Item Code</v>
      </c>
      <c r="J1252" s="15" t="str">
        <f>IFERROR(__xludf.DUMMYFUNCTION("""COMPUTED_VALUE"""),"-")</f>
        <v>-</v>
      </c>
      <c r="K1252" s="15" t="str">
        <f>IFERROR(__xludf.DUMMYFUNCTION("""COMPUTED_VALUE"""),"-")</f>
        <v>-</v>
      </c>
      <c r="L1252" s="15" t="str">
        <f>IFERROR(__xludf.DUMMYFUNCTION("""COMPUTED_VALUE"""),"Normal")</f>
        <v>Normal</v>
      </c>
      <c r="M1252" s="18" t="s">
        <v>57</v>
      </c>
      <c r="N1252" s="18" t="e">
        <v>#N/A</v>
      </c>
    </row>
    <row r="1253" hidden="1">
      <c r="A1253" s="15" t="str">
        <f>IFERROR(__xludf.DUMMYFUNCTION("""COMPUTED_VALUE"""),"ROSRO0033")</f>
        <v>ROSRO0033</v>
      </c>
      <c r="B1253" s="16">
        <f>IFERROR(__xludf.DUMMYFUNCTION("""COMPUTED_VALUE"""),46188.363196481485)</f>
        <v>46188.3632</v>
      </c>
      <c r="C1253" s="17">
        <f>IFERROR(__xludf.DUMMYFUNCTION("""COMPUTED_VALUE"""),46191.73647974537)</f>
        <v>46191.73648</v>
      </c>
      <c r="D1253" s="15" t="str">
        <f>IFERROR(__xludf.DUMMYFUNCTION("""COMPUTED_VALUE"""),"Autoclave Terminal")</f>
        <v>Autoclave Terminal</v>
      </c>
      <c r="E1253" s="15" t="str">
        <f>IFERROR(__xludf.DUMMYFUNCTION("""COMPUTED_VALUE"""),"-")</f>
        <v>-</v>
      </c>
      <c r="F1253" s="15" t="str">
        <f>IFERROR(__xludf.DUMMYFUNCTION("""COMPUTED_VALUE"""),"PROXIMITY SENSOR, DATALOGIC M8 FLUSH 2X PNP NC IS-08-G2-S1")</f>
        <v>PROXIMITY SENSOR, DATALOGIC M8 FLUSH 2X PNP NC IS-08-G2-S1</v>
      </c>
      <c r="G1253" s="15">
        <f>IFERROR(__xludf.DUMMYFUNCTION("""COMPUTED_VALUE"""),4.0)</f>
        <v>4</v>
      </c>
      <c r="H1253" s="15" t="str">
        <f>IFERROR(__xludf.DUMMYFUNCTION("""COMPUTED_VALUE"""),"set")</f>
        <v>set</v>
      </c>
      <c r="I1253" s="15" t="str">
        <f>IFERROR(__xludf.DUMMYFUNCTION("""COMPUTED_VALUE"""),"Approval PR")</f>
        <v>Approval PR</v>
      </c>
      <c r="J1253" s="15" t="str">
        <f>IFERROR(__xludf.DUMMYFUNCTION("""COMPUTED_VALUE"""),"121704389 - INCOMPLETE")</f>
        <v>121704389 - INCOMPLETE</v>
      </c>
      <c r="K1253" s="15" t="str">
        <f>IFERROR(__xludf.DUMMYFUNCTION("""COMPUTED_VALUE"""),"-")</f>
        <v>-</v>
      </c>
      <c r="L1253" s="15" t="str">
        <f>IFERROR(__xludf.DUMMYFUNCTION("""COMPUTED_VALUE"""),"Normal")</f>
        <v>Normal</v>
      </c>
      <c r="M1253" s="18" t="s">
        <v>29</v>
      </c>
      <c r="N1253" s="18" t="s">
        <v>30</v>
      </c>
    </row>
    <row r="1254" hidden="1">
      <c r="A1254" s="15" t="str">
        <f>IFERROR(__xludf.DUMMYFUNCTION("""COMPUTED_VALUE"""),"ROSBR0098")</f>
        <v>ROSBR0098</v>
      </c>
      <c r="B1254" s="16">
        <f>IFERROR(__xludf.DUMMYFUNCTION("""COMPUTED_VALUE"""),46191.50323777778)</f>
        <v>46191.50324</v>
      </c>
      <c r="C1254" s="17">
        <f>IFERROR(__xludf.DUMMYFUNCTION("""COMPUTED_VALUE"""),46191.75090141204)</f>
        <v>46191.7509</v>
      </c>
      <c r="D1254" s="15" t="str">
        <f>IFERROR(__xludf.DUMMYFUNCTION("""COMPUTED_VALUE"""),"Washing Tinnel")</f>
        <v>Washing Tinnel</v>
      </c>
      <c r="E1254" s="15" t="str">
        <f>IFERROR(__xludf.DUMMYFUNCTION("""COMPUTED_VALUE"""),"EJO/2026/06/142")</f>
        <v>EJO/2026/06/142</v>
      </c>
      <c r="F1254" s="15" t="str">
        <f>IFERROR(__xludf.DUMMYFUNCTION("""COMPUTED_VALUE"""),"MICO electronic circuit protection, 2 CHANNELS")</f>
        <v>MICO electronic circuit protection, 2 CHANNELS</v>
      </c>
      <c r="G1254" s="15">
        <f>IFERROR(__xludf.DUMMYFUNCTION("""COMPUTED_VALUE"""),2.0)</f>
        <v>2</v>
      </c>
      <c r="H1254" s="15" t="str">
        <f>IFERROR(__xludf.DUMMYFUNCTION("""COMPUTED_VALUE"""),"Pcs")</f>
        <v>Pcs</v>
      </c>
      <c r="I1254" s="15" t="str">
        <f>IFERROR(__xludf.DUMMYFUNCTION("""COMPUTED_VALUE"""),"Approval Item Code")</f>
        <v>Approval Item Code</v>
      </c>
      <c r="J1254" s="15" t="str">
        <f>IFERROR(__xludf.DUMMYFUNCTION("""COMPUTED_VALUE"""),"-")</f>
        <v>-</v>
      </c>
      <c r="K1254" s="15" t="str">
        <f>IFERROR(__xludf.DUMMYFUNCTION("""COMPUTED_VALUE"""),"-")</f>
        <v>-</v>
      </c>
      <c r="L1254" s="15" t="str">
        <f>IFERROR(__xludf.DUMMYFUNCTION("""COMPUTED_VALUE"""),"Normal")</f>
        <v>Normal</v>
      </c>
      <c r="M1254" s="18" t="s">
        <v>29</v>
      </c>
      <c r="N1254" s="18" t="s">
        <v>30</v>
      </c>
    </row>
    <row r="1255" hidden="1">
      <c r="A1255" s="15" t="str">
        <f>IFERROR(__xludf.DUMMYFUNCTION("""COMPUTED_VALUE"""),"ROSBR0097")</f>
        <v>ROSBR0097</v>
      </c>
      <c r="B1255" s="16">
        <f>IFERROR(__xludf.DUMMYFUNCTION("""COMPUTED_VALUE"""),46182.69355427083)</f>
        <v>46182.69355</v>
      </c>
      <c r="C1255" s="17">
        <f>IFERROR(__xludf.DUMMYFUNCTION("""COMPUTED_VALUE"""),46191.751493171294)</f>
        <v>46191.75149</v>
      </c>
      <c r="D1255" s="15" t="str">
        <f>IFERROR(__xludf.DUMMYFUNCTION("""COMPUTED_VALUE"""),"Recorder Tunnel")</f>
        <v>Recorder Tunnel</v>
      </c>
      <c r="E1255" s="15" t="str">
        <f>IFERROR(__xludf.DUMMYFUNCTION("""COMPUTED_VALUE"""),"-")</f>
        <v>-</v>
      </c>
      <c r="F1255" s="15" t="str">
        <f>IFERROR(__xludf.DUMMYFUNCTION("""COMPUTED_VALUE"""),"Baterai Lithium ")</f>
        <v>Baterai Lithium </v>
      </c>
      <c r="G1255" s="15">
        <f>IFERROR(__xludf.DUMMYFUNCTION("""COMPUTED_VALUE"""),5.0)</f>
        <v>5</v>
      </c>
      <c r="H1255" s="15" t="str">
        <f>IFERROR(__xludf.DUMMYFUNCTION("""COMPUTED_VALUE"""),"Pcs")</f>
        <v>Pcs</v>
      </c>
      <c r="I1255" s="15" t="str">
        <f>IFERROR(__xludf.DUMMYFUNCTION("""COMPUTED_VALUE"""),"Proses PR")</f>
        <v>Proses PR</v>
      </c>
      <c r="J1255" s="15" t="str">
        <f>IFERROR(__xludf.DUMMYFUNCTION("""COMPUTED_VALUE"""),"-")</f>
        <v>-</v>
      </c>
      <c r="K1255" s="15" t="str">
        <f>IFERROR(__xludf.DUMMYFUNCTION("""COMPUTED_VALUE"""),"-")</f>
        <v>-</v>
      </c>
      <c r="L1255" s="15" t="str">
        <f>IFERROR(__xludf.DUMMYFUNCTION("""COMPUTED_VALUE"""),"Normal")</f>
        <v>Normal</v>
      </c>
      <c r="M1255" s="18" t="s">
        <v>29</v>
      </c>
      <c r="N1255" s="18" t="s">
        <v>30</v>
      </c>
    </row>
    <row r="1256" hidden="1">
      <c r="A1256" s="15" t="str">
        <f>IFERROR(__xludf.DUMMYFUNCTION("""COMPUTED_VALUE"""),"ERABR0003")</f>
        <v>ERABR0003</v>
      </c>
      <c r="B1256" s="16">
        <f>IFERROR(__xludf.DUMMYFUNCTION("""COMPUTED_VALUE"""),46182.49350109954)</f>
        <v>46182.4935</v>
      </c>
      <c r="C1256" s="17">
        <f>IFERROR(__xludf.DUMMYFUNCTION("""COMPUTED_VALUE"""),46193.3654116551)</f>
        <v>46193.36541</v>
      </c>
      <c r="D1256" s="15" t="str">
        <f>IFERROR(__xludf.DUMMYFUNCTION("""COMPUTED_VALUE"""),"Leaflet machine / Cartoning")</f>
        <v>Leaflet machine / Cartoning</v>
      </c>
      <c r="E1256" s="15" t="str">
        <f>IFERROR(__xludf.DUMMYFUNCTION("""COMPUTED_VALUE"""),"EJO/2026/05/0065")</f>
        <v>EJO/2026/05/0065</v>
      </c>
      <c r="F1256" s="15" t="str">
        <f>IFERROR(__xludf.DUMMYFUNCTION("""COMPUTED_VALUE"""),"Snapring  E4")</f>
        <v>Snapring  E4</v>
      </c>
      <c r="G1256" s="15">
        <f>IFERROR(__xludf.DUMMYFUNCTION("""COMPUTED_VALUE"""),100.0)</f>
        <v>100</v>
      </c>
      <c r="H1256" s="15" t="str">
        <f>IFERROR(__xludf.DUMMYFUNCTION("""COMPUTED_VALUE"""),"PCS")</f>
        <v>PCS</v>
      </c>
      <c r="I1256" s="15" t="str">
        <f>IFERROR(__xludf.DUMMYFUNCTION("""COMPUTED_VALUE"""),"Approval Item Code")</f>
        <v>Approval Item Code</v>
      </c>
      <c r="J1256" s="15" t="str">
        <f>IFERROR(__xludf.DUMMYFUNCTION("""COMPUTED_VALUE"""),"-")</f>
        <v>-</v>
      </c>
      <c r="K1256" s="15" t="str">
        <f>IFERROR(__xludf.DUMMYFUNCTION("""COMPUTED_VALUE"""),"-")</f>
        <v>-</v>
      </c>
      <c r="L1256" s="15" t="str">
        <f>IFERROR(__xludf.DUMMYFUNCTION("""COMPUTED_VALUE"""),"Normal")</f>
        <v>Normal</v>
      </c>
      <c r="M1256" s="18" t="s">
        <v>57</v>
      </c>
      <c r="N1256" s="18" t="e">
        <v>#N/A</v>
      </c>
    </row>
    <row r="1257" hidden="1">
      <c r="A1257" s="15" t="str">
        <f>IFERROR(__xludf.DUMMYFUNCTION("""COMPUTED_VALUE"""),"RIABR0180")</f>
        <v>RIABR0180</v>
      </c>
      <c r="B1257" s="16">
        <f>IFERROR(__xludf.DUMMYFUNCTION("""COMPUTED_VALUE"""),46196.7418049537)</f>
        <v>46196.7418</v>
      </c>
      <c r="C1257" s="17">
        <f>IFERROR(__xludf.DUMMYFUNCTION("""COMPUTED_VALUE"""),46198.7117799537)</f>
        <v>46198.71178</v>
      </c>
      <c r="D1257" s="15" t="str">
        <f>IFERROR(__xludf.DUMMYFUNCTION("""COMPUTED_VALUE"""),"PC BMS")</f>
        <v>PC BMS</v>
      </c>
      <c r="E1257" s="15" t="str">
        <f>IFERROR(__xludf.DUMMYFUNCTION("""COMPUTED_VALUE"""),"EJO/2026/06/155")</f>
        <v>EJO/2026/06/155</v>
      </c>
      <c r="F1257" s="15" t="str">
        <f>IFERROR(__xludf.DUMMYFUNCTION("""COMPUTED_VALUE"""),"RAM")</f>
        <v>RAM</v>
      </c>
      <c r="G1257" s="15">
        <f>IFERROR(__xludf.DUMMYFUNCTION("""COMPUTED_VALUE"""),2.0)</f>
        <v>2</v>
      </c>
      <c r="H1257" s="15" t="str">
        <f>IFERROR(__xludf.DUMMYFUNCTION("""COMPUTED_VALUE"""),"Pcs")</f>
        <v>Pcs</v>
      </c>
      <c r="I1257" s="15" t="str">
        <f>IFERROR(__xludf.DUMMYFUNCTION("""COMPUTED_VALUE"""),"Approval Item Code")</f>
        <v>Approval Item Code</v>
      </c>
      <c r="J1257" s="15" t="str">
        <f>IFERROR(__xludf.DUMMYFUNCTION("""COMPUTED_VALUE"""),"-")</f>
        <v>-</v>
      </c>
      <c r="K1257" s="15" t="str">
        <f>IFERROR(__xludf.DUMMYFUNCTION("""COMPUTED_VALUE"""),"-")</f>
        <v>-</v>
      </c>
      <c r="L1257" s="15" t="str">
        <f>IFERROR(__xludf.DUMMYFUNCTION("""COMPUTED_VALUE"""),"Normal")</f>
        <v>Normal</v>
      </c>
      <c r="M1257" s="18" t="s">
        <v>32</v>
      </c>
      <c r="N1257" s="18" t="s">
        <v>28</v>
      </c>
    </row>
    <row r="1258" hidden="1">
      <c r="A1258" s="15" t="str">
        <f>IFERROR(__xludf.DUMMYFUNCTION("""COMPUTED_VALUE"""),"RIABR0181")</f>
        <v>RIABR0181</v>
      </c>
      <c r="B1258" s="16">
        <f>IFERROR(__xludf.DUMMYFUNCTION("""COMPUTED_VALUE"""),46196.74315239583)</f>
        <v>46196.74315</v>
      </c>
      <c r="C1258" s="17">
        <f>IFERROR(__xludf.DUMMYFUNCTION("""COMPUTED_VALUE"""),46198.712201874994)</f>
        <v>46198.7122</v>
      </c>
      <c r="D1258" s="15" t="str">
        <f>IFERROR(__xludf.DUMMYFUNCTION("""COMPUTED_VALUE"""),"PC EMS")</f>
        <v>PC EMS</v>
      </c>
      <c r="E1258" s="15" t="str">
        <f>IFERROR(__xludf.DUMMYFUNCTION("""COMPUTED_VALUE"""),"EJO/2026/06/156")</f>
        <v>EJO/2026/06/156</v>
      </c>
      <c r="F1258" s="15" t="str">
        <f>IFERROR(__xludf.DUMMYFUNCTION("""COMPUTED_VALUE"""),"RAM")</f>
        <v>RAM</v>
      </c>
      <c r="G1258" s="15">
        <f>IFERROR(__xludf.DUMMYFUNCTION("""COMPUTED_VALUE"""),2.0)</f>
        <v>2</v>
      </c>
      <c r="H1258" s="15" t="str">
        <f>IFERROR(__xludf.DUMMYFUNCTION("""COMPUTED_VALUE"""),"Pcs")</f>
        <v>Pcs</v>
      </c>
      <c r="I1258" s="15" t="str">
        <f>IFERROR(__xludf.DUMMYFUNCTION("""COMPUTED_VALUE"""),"Approval Item Code")</f>
        <v>Approval Item Code</v>
      </c>
      <c r="J1258" s="15" t="str">
        <f>IFERROR(__xludf.DUMMYFUNCTION("""COMPUTED_VALUE"""),"-")</f>
        <v>-</v>
      </c>
      <c r="K1258" s="15" t="str">
        <f>IFERROR(__xludf.DUMMYFUNCTION("""COMPUTED_VALUE"""),"-")</f>
        <v>-</v>
      </c>
      <c r="L1258" s="15" t="str">
        <f>IFERROR(__xludf.DUMMYFUNCTION("""COMPUTED_VALUE"""),"Normal")</f>
        <v>Normal</v>
      </c>
      <c r="M1258" s="18" t="s">
        <v>32</v>
      </c>
      <c r="N1258" s="18" t="s">
        <v>28</v>
      </c>
    </row>
    <row r="1259" hidden="1">
      <c r="A1259" s="15" t="str">
        <f>IFERROR(__xludf.DUMMYFUNCTION("""COMPUTED_VALUE"""),"SFHBR0062")</f>
        <v>SFHBR0062</v>
      </c>
      <c r="B1259" s="16">
        <f>IFERROR(__xludf.DUMMYFUNCTION("""COMPUTED_VALUE"""),46182.42816619213)</f>
        <v>46182.42817</v>
      </c>
      <c r="C1259" s="17">
        <f>IFERROR(__xludf.DUMMYFUNCTION("""COMPUTED_VALUE"""),46198.718567118056)</f>
        <v>46198.71857</v>
      </c>
      <c r="D1259" s="15" t="str">
        <f>IFERROR(__xludf.DUMMYFUNCTION("""COMPUTED_VALUE"""),"lantai 1")</f>
        <v>lantai 1</v>
      </c>
      <c r="E1259" s="15" t="str">
        <f>IFERROR(__xludf.DUMMYFUNCTION("""COMPUTED_VALUE"""),"-")</f>
        <v>-</v>
      </c>
      <c r="F1259" s="15" t="str">
        <f>IFERROR(__xludf.DUMMYFUNCTION("""COMPUTED_VALUE"""),"DOP PIPA TUTUP DALAM - 1inc1/4"" INCHI TUTUP PIPA ORNAMEN STAINLESS STAINLESS 201")</f>
        <v>DOP PIPA TUTUP DALAM - 1inc1/4" INCHI TUTUP PIPA ORNAMEN STAINLESS STAINLESS 201</v>
      </c>
      <c r="G1259" s="15">
        <f>IFERROR(__xludf.DUMMYFUNCTION("""COMPUTED_VALUE"""),30.0)</f>
        <v>30</v>
      </c>
      <c r="H1259" s="15" t="str">
        <f>IFERROR(__xludf.DUMMYFUNCTION("""COMPUTED_VALUE"""),"pcs")</f>
        <v>pcs</v>
      </c>
      <c r="I1259" s="15" t="str">
        <f>IFERROR(__xludf.DUMMYFUNCTION("""COMPUTED_VALUE"""),"Proses PR")</f>
        <v>Proses PR</v>
      </c>
      <c r="J1259" s="15" t="str">
        <f>IFERROR(__xludf.DUMMYFUNCTION("""COMPUTED_VALUE"""),"-")</f>
        <v>-</v>
      </c>
      <c r="K1259" s="15" t="str">
        <f>IFERROR(__xludf.DUMMYFUNCTION("""COMPUTED_VALUE"""),"-")</f>
        <v>-</v>
      </c>
      <c r="L1259" s="15" t="str">
        <f>IFERROR(__xludf.DUMMYFUNCTION("""COMPUTED_VALUE"""),"Normal")</f>
        <v>Normal</v>
      </c>
      <c r="M1259" s="18" t="s">
        <v>27</v>
      </c>
      <c r="N1259" s="18" t="s">
        <v>28</v>
      </c>
    </row>
    <row r="1260" hidden="1">
      <c r="A1260" s="15" t="str">
        <f>IFERROR(__xludf.DUMMYFUNCTION("""COMPUTED_VALUE"""),"MRNRO0049")</f>
        <v>MRNRO0049</v>
      </c>
      <c r="B1260" s="16">
        <f>IFERROR(__xludf.DUMMYFUNCTION("""COMPUTED_VALUE"""),46154.50197199074)</f>
        <v>46154.50197</v>
      </c>
      <c r="C1260" s="17">
        <f>IFERROR(__xludf.DUMMYFUNCTION("""COMPUTED_VALUE"""),46198.719002743055)</f>
        <v>46198.719</v>
      </c>
      <c r="D1260" s="15" t="str">
        <f>IFERROR(__xludf.DUMMYFUNCTION("""COMPUTED_VALUE"""),"-")</f>
        <v>-</v>
      </c>
      <c r="E1260" s="15" t="str">
        <f>IFERROR(__xludf.DUMMYFUNCTION("""COMPUTED_VALUE"""),"-")</f>
        <v>-</v>
      </c>
      <c r="F1260" s="15" t="str">
        <f>IFERROR(__xludf.DUMMYFUNCTION("""COMPUTED_VALUE"""),"General - UV Lamp SD55-320W; Hanovia; 130071-0320-C; 1 pc")</f>
        <v>General - UV Lamp SD55-320W; Hanovia; 130071-0320-C; 1 pc</v>
      </c>
      <c r="G1260" s="15">
        <f>IFERROR(__xludf.DUMMYFUNCTION("""COMPUTED_VALUE"""),2.0)</f>
        <v>2</v>
      </c>
      <c r="H1260" s="15" t="str">
        <f>IFERROR(__xludf.DUMMYFUNCTION("""COMPUTED_VALUE"""),"pcs")</f>
        <v>pcs</v>
      </c>
      <c r="I1260" s="15" t="str">
        <f>IFERROR(__xludf.DUMMYFUNCTION("""COMPUTED_VALUE"""),"PO Open")</f>
        <v>PO Open</v>
      </c>
      <c r="J1260" s="15" t="str">
        <f>IFERROR(__xludf.DUMMYFUNCTION("""COMPUTED_VALUE"""),"121704360 - APPROVED")</f>
        <v>121704360 - APPROVED</v>
      </c>
      <c r="K1260" s="15" t="str">
        <f>IFERROR(__xludf.DUMMYFUNCTION("""COMPUTED_VALUE"""),"GL2608046")</f>
        <v>GL2608046</v>
      </c>
      <c r="L1260" s="15" t="str">
        <f>IFERROR(__xludf.DUMMYFUNCTION("""COMPUTED_VALUE"""),"Normal")</f>
        <v>Normal</v>
      </c>
      <c r="M1260" s="18" t="s">
        <v>48</v>
      </c>
      <c r="N1260" s="18" t="s">
        <v>28</v>
      </c>
    </row>
    <row r="1261" hidden="1">
      <c r="A1261" s="15" t="str">
        <f>IFERROR(__xludf.DUMMYFUNCTION("""COMPUTED_VALUE"""),"MRNRO0050")</f>
        <v>MRNRO0050</v>
      </c>
      <c r="B1261" s="16">
        <f>IFERROR(__xludf.DUMMYFUNCTION("""COMPUTED_VALUE"""),46179.56507519676)</f>
        <v>46179.56508</v>
      </c>
      <c r="C1261" s="17">
        <f>IFERROR(__xludf.DUMMYFUNCTION("""COMPUTED_VALUE"""),46198.726438784724)</f>
        <v>46198.72644</v>
      </c>
      <c r="D1261" s="15" t="str">
        <f>IFERROR(__xludf.DUMMYFUNCTION("""COMPUTED_VALUE"""),"ahu c1-1")</f>
        <v>ahu c1-1</v>
      </c>
      <c r="E1261" s="15" t="str">
        <f>IFERROR(__xludf.DUMMYFUNCTION("""COMPUTED_VALUE"""),"EJO/2026/04/096")</f>
        <v>EJO/2026/04/096</v>
      </c>
      <c r="F1261" s="15" t="str">
        <f>IFERROR(__xludf.DUMMYFUNCTION("""COMPUTED_VALUE"""),"INVERTER,DANFOSS, VLT2980PT4B20STR0DBFOOA21C1 S/N 56670CA465")</f>
        <v>INVERTER,DANFOSS, VLT2980PT4B20STR0DBFOOA21C1 S/N 56670CA465</v>
      </c>
      <c r="G1261" s="15">
        <f>IFERROR(__xludf.DUMMYFUNCTION("""COMPUTED_VALUE"""),1.0)</f>
        <v>1</v>
      </c>
      <c r="H1261" s="15" t="str">
        <f>IFERROR(__xludf.DUMMYFUNCTION("""COMPUTED_VALUE"""),"pcs")</f>
        <v>pcs</v>
      </c>
      <c r="I1261" s="15" t="str">
        <f>IFERROR(__xludf.DUMMYFUNCTION("""COMPUTED_VALUE"""),"Proses PR")</f>
        <v>Proses PR</v>
      </c>
      <c r="J1261" s="15" t="str">
        <f>IFERROR(__xludf.DUMMYFUNCTION("""COMPUTED_VALUE"""),"-")</f>
        <v>-</v>
      </c>
      <c r="K1261" s="15" t="str">
        <f>IFERROR(__xludf.DUMMYFUNCTION("""COMPUTED_VALUE"""),"-")</f>
        <v>-</v>
      </c>
      <c r="L1261" s="15" t="str">
        <f>IFERROR(__xludf.DUMMYFUNCTION("""COMPUTED_VALUE"""),"Normal")</f>
        <v>Normal</v>
      </c>
      <c r="M1261" s="18" t="s">
        <v>48</v>
      </c>
      <c r="N1261" s="18" t="s">
        <v>28</v>
      </c>
    </row>
    <row r="1262" hidden="1">
      <c r="A1262" s="15" t="str">
        <f>IFERROR(__xludf.DUMMYFUNCTION("""COMPUTED_VALUE"""),"MRNRO0051")</f>
        <v>MRNRO0051</v>
      </c>
      <c r="B1262" s="16">
        <f>IFERROR(__xludf.DUMMYFUNCTION("""COMPUTED_VALUE"""),46193.410595636575)</f>
        <v>46193.4106</v>
      </c>
      <c r="C1262" s="17">
        <f>IFERROR(__xludf.DUMMYFUNCTION("""COMPUTED_VALUE"""),46198.726886793986)</f>
        <v>46198.72689</v>
      </c>
      <c r="D1262" s="15" t="str">
        <f>IFERROR(__xludf.DUMMYFUNCTION("""COMPUTED_VALUE"""),"workshop")</f>
        <v>workshop</v>
      </c>
      <c r="E1262" s="15" t="str">
        <f>IFERROR(__xludf.DUMMYFUNCTION("""COMPUTED_VALUE"""),"EJO/2026/02/41")</f>
        <v>EJO/2026/02/41</v>
      </c>
      <c r="F1262" s="15" t="str">
        <f>IFERROR(__xludf.DUMMYFUNCTION("""COMPUTED_VALUE"""),"General - Inline Duct Fan 6""; CKE; CDI-150; 1 pcs")</f>
        <v>General - Inline Duct Fan 6"; CKE; CDI-150; 1 pcs</v>
      </c>
      <c r="G1262" s="15">
        <f>IFERROR(__xludf.DUMMYFUNCTION("""COMPUTED_VALUE"""),1.0)</f>
        <v>1</v>
      </c>
      <c r="H1262" s="15" t="str">
        <f>IFERROR(__xludf.DUMMYFUNCTION("""COMPUTED_VALUE"""),"pcs")</f>
        <v>pcs</v>
      </c>
      <c r="I1262" s="15" t="str">
        <f>IFERROR(__xludf.DUMMYFUNCTION("""COMPUTED_VALUE"""),"Deliver")</f>
        <v>Deliver</v>
      </c>
      <c r="J1262" s="15" t="str">
        <f>IFERROR(__xludf.DUMMYFUNCTION("""COMPUTED_VALUE"""),"121704380 - APPROVED")</f>
        <v>121704380 - APPROVED</v>
      </c>
      <c r="K1262" s="15" t="str">
        <f>IFERROR(__xludf.DUMMYFUNCTION("""COMPUTED_VALUE"""),"GL2607378")</f>
        <v>GL2607378</v>
      </c>
      <c r="L1262" s="15" t="str">
        <f>IFERROR(__xludf.DUMMYFUNCTION("""COMPUTED_VALUE"""),"Normal")</f>
        <v>Normal</v>
      </c>
      <c r="M1262" s="18" t="s">
        <v>48</v>
      </c>
      <c r="N1262" s="18" t="s">
        <v>28</v>
      </c>
    </row>
    <row r="1263" hidden="1">
      <c r="A1263" s="15" t="str">
        <f>IFERROR(__xludf.DUMMYFUNCTION("""COMPUTED_VALUE"""),"MRNBR0107")</f>
        <v>MRNBR0107</v>
      </c>
      <c r="B1263" s="16">
        <f>IFERROR(__xludf.DUMMYFUNCTION("""COMPUTED_VALUE"""),46170.640493252315)</f>
        <v>46170.64049</v>
      </c>
      <c r="C1263" s="17">
        <f>IFERROR(__xludf.DUMMYFUNCTION("""COMPUTED_VALUE"""),46198.7286030787)</f>
        <v>46198.7286</v>
      </c>
      <c r="D1263" s="15" t="str">
        <f>IFERROR(__xludf.DUMMYFUNCTION("""COMPUTED_VALUE"""),"WIP 25")</f>
        <v>WIP 25</v>
      </c>
      <c r="E1263" s="15" t="str">
        <f>IFERROR(__xludf.DUMMYFUNCTION("""COMPUTED_VALUE"""),"EJO/2026/04/125")</f>
        <v>EJO/2026/04/125</v>
      </c>
      <c r="F1263" s="15" t="str">
        <f>IFERROR(__xludf.DUMMYFUNCTION("""COMPUTED_VALUE"""),"slot pintu")</f>
        <v>slot pintu</v>
      </c>
      <c r="G1263" s="15">
        <f>IFERROR(__xludf.DUMMYFUNCTION("""COMPUTED_VALUE"""),10.0)</f>
        <v>10</v>
      </c>
      <c r="H1263" s="15" t="str">
        <f>IFERROR(__xludf.DUMMYFUNCTION("""COMPUTED_VALUE"""),"unit")</f>
        <v>unit</v>
      </c>
      <c r="I1263" s="15" t="str">
        <f>IFERROR(__xludf.DUMMYFUNCTION("""COMPUTED_VALUE"""),"PO Open")</f>
        <v>PO Open</v>
      </c>
      <c r="J1263" s="15" t="str">
        <f>IFERROR(__xludf.DUMMYFUNCTION("""COMPUTED_VALUE"""),"121704562 - APPROVED")</f>
        <v>121704562 - APPROVED</v>
      </c>
      <c r="K1263" s="15" t="str">
        <f>IFERROR(__xludf.DUMMYFUNCTION("""COMPUTED_VALUE"""),"GL2608044")</f>
        <v>GL2608044</v>
      </c>
      <c r="L1263" s="15" t="str">
        <f>IFERROR(__xludf.DUMMYFUNCTION("""COMPUTED_VALUE"""),"Normal")</f>
        <v>Normal</v>
      </c>
      <c r="M1263" s="18" t="s">
        <v>48</v>
      </c>
      <c r="N1263" s="18" t="s">
        <v>28</v>
      </c>
    </row>
    <row r="1264" hidden="1">
      <c r="A1264" s="15" t="str">
        <f>IFERROR(__xludf.DUMMYFUNCTION("""COMPUTED_VALUE"""),"MRNBR0109")</f>
        <v>MRNBR0109</v>
      </c>
      <c r="B1264" s="16">
        <f>IFERROR(__xludf.DUMMYFUNCTION("""COMPUTED_VALUE"""),46193.41210287037)</f>
        <v>46193.4121</v>
      </c>
      <c r="C1264" s="17">
        <f>IFERROR(__xludf.DUMMYFUNCTION("""COMPUTED_VALUE"""),46198.72994440973)</f>
        <v>46198.72994</v>
      </c>
      <c r="D1264" s="15" t="str">
        <f>IFERROR(__xludf.DUMMYFUNCTION("""COMPUTED_VALUE"""),"Workshop")</f>
        <v>Workshop</v>
      </c>
      <c r="E1264" s="15" t="str">
        <f>IFERROR(__xludf.DUMMYFUNCTION("""COMPUTED_VALUE"""),"EJO/2026/02/41")</f>
        <v>EJO/2026/02/41</v>
      </c>
      <c r="F1264" s="15" t="str">
        <f>IFERROR(__xludf.DUMMYFUNCTION("""COMPUTED_VALUE"""),"flexible duct alumunium")</f>
        <v>flexible duct alumunium</v>
      </c>
      <c r="G1264" s="15">
        <f>IFERROR(__xludf.DUMMYFUNCTION("""COMPUTED_VALUE"""),2.0)</f>
        <v>2</v>
      </c>
      <c r="H1264" s="15" t="str">
        <f>IFERROR(__xludf.DUMMYFUNCTION("""COMPUTED_VALUE"""),"unit")</f>
        <v>unit</v>
      </c>
      <c r="I1264" s="15" t="str">
        <f>IFERROR(__xludf.DUMMYFUNCTION("""COMPUTED_VALUE"""),"Proses PR")</f>
        <v>Proses PR</v>
      </c>
      <c r="J1264" s="15" t="str">
        <f>IFERROR(__xludf.DUMMYFUNCTION("""COMPUTED_VALUE"""),"-")</f>
        <v>-</v>
      </c>
      <c r="K1264" s="15" t="str">
        <f>IFERROR(__xludf.DUMMYFUNCTION("""COMPUTED_VALUE"""),"-")</f>
        <v>-</v>
      </c>
      <c r="L1264" s="15" t="str">
        <f>IFERROR(__xludf.DUMMYFUNCTION("""COMPUTED_VALUE"""),"Normal")</f>
        <v>Normal</v>
      </c>
      <c r="M1264" s="18" t="s">
        <v>48</v>
      </c>
      <c r="N1264" s="18" t="s">
        <v>28</v>
      </c>
    </row>
    <row r="1265" hidden="1">
      <c r="A1265" s="15" t="str">
        <f>IFERROR(__xludf.DUMMYFUNCTION("""COMPUTED_VALUE"""),"MRNBR0110")</f>
        <v>MRNBR0110</v>
      </c>
      <c r="B1265" s="16">
        <f>IFERROR(__xludf.DUMMYFUNCTION("""COMPUTED_VALUE"""),46193.41818853009)</f>
        <v>46193.41819</v>
      </c>
      <c r="C1265" s="17">
        <f>IFERROR(__xludf.DUMMYFUNCTION("""COMPUTED_VALUE"""),46198.73025804398)</f>
        <v>46198.73026</v>
      </c>
      <c r="D1265" s="15" t="str">
        <f>IFERROR(__xludf.DUMMYFUNCTION("""COMPUTED_VALUE"""),"Workshop")</f>
        <v>Workshop</v>
      </c>
      <c r="E1265" s="15" t="str">
        <f>IFERROR(__xludf.DUMMYFUNCTION("""COMPUTED_VALUE"""),"EJO/2026/02/41")</f>
        <v>EJO/2026/02/41</v>
      </c>
      <c r="F1265" s="15" t="str">
        <f>IFERROR(__xludf.DUMMYFUNCTION("""COMPUTED_VALUE"""),"grill exhaust plafon")</f>
        <v>grill exhaust plafon</v>
      </c>
      <c r="G1265" s="15">
        <f>IFERROR(__xludf.DUMMYFUNCTION("""COMPUTED_VALUE"""),1.0)</f>
        <v>1</v>
      </c>
      <c r="H1265" s="15" t="str">
        <f>IFERROR(__xludf.DUMMYFUNCTION("""COMPUTED_VALUE"""),"unit")</f>
        <v>unit</v>
      </c>
      <c r="I1265" s="15" t="str">
        <f>IFERROR(__xludf.DUMMYFUNCTION("""COMPUTED_VALUE"""),"Proses PR")</f>
        <v>Proses PR</v>
      </c>
      <c r="J1265" s="15" t="str">
        <f>IFERROR(__xludf.DUMMYFUNCTION("""COMPUTED_VALUE"""),"-")</f>
        <v>-</v>
      </c>
      <c r="K1265" s="15" t="str">
        <f>IFERROR(__xludf.DUMMYFUNCTION("""COMPUTED_VALUE"""),"-")</f>
        <v>-</v>
      </c>
      <c r="L1265" s="15" t="str">
        <f>IFERROR(__xludf.DUMMYFUNCTION("""COMPUTED_VALUE"""),"Normal")</f>
        <v>Normal</v>
      </c>
      <c r="M1265" s="18" t="s">
        <v>48</v>
      </c>
      <c r="N1265" s="18" t="s">
        <v>28</v>
      </c>
    </row>
    <row r="1266" hidden="1">
      <c r="A1266" s="15" t="str">
        <f>IFERROR(__xludf.DUMMYFUNCTION("""COMPUTED_VALUE"""),"MOBRO0083")</f>
        <v>MOBRO0083</v>
      </c>
      <c r="B1266" s="16">
        <f>IFERROR(__xludf.DUMMYFUNCTION("""COMPUTED_VALUE"""),46150.67701347222)</f>
        <v>46150.67701</v>
      </c>
      <c r="C1266" s="17">
        <f>IFERROR(__xludf.DUMMYFUNCTION("""COMPUTED_VALUE"""),46198.73223620371)</f>
        <v>46198.73224</v>
      </c>
      <c r="D1266" s="15" t="str">
        <f>IFERROR(__xludf.DUMMYFUNCTION("""COMPUTED_VALUE"""),"Drawing Yoga")</f>
        <v>Drawing Yoga</v>
      </c>
      <c r="E1266" s="15" t="str">
        <f>IFERROR(__xludf.DUMMYFUNCTION("""COMPUTED_VALUE"""),"-")</f>
        <v>-</v>
      </c>
      <c r="F1266" s="15" t="str">
        <f>IFERROR(__xludf.DUMMYFUNCTION("""COMPUTED_VALUE"""),"Mouse; Logitech; M331 Silent Plus")</f>
        <v>Mouse; Logitech; M331 Silent Plus</v>
      </c>
      <c r="G1266" s="15">
        <f>IFERROR(__xludf.DUMMYFUNCTION("""COMPUTED_VALUE"""),2.0)</f>
        <v>2</v>
      </c>
      <c r="H1266" s="15" t="str">
        <f>IFERROR(__xludf.DUMMYFUNCTION("""COMPUTED_VALUE"""),"Pcs")</f>
        <v>Pcs</v>
      </c>
      <c r="I1266" s="15" t="str">
        <f>IFERROR(__xludf.DUMMYFUNCTION("""COMPUTED_VALUE"""),"Deliver")</f>
        <v>Deliver</v>
      </c>
      <c r="J1266" s="15" t="str">
        <f>IFERROR(__xludf.DUMMYFUNCTION("""COMPUTED_VALUE"""),"121704383 - APPROVED")</f>
        <v>121704383 - APPROVED</v>
      </c>
      <c r="K1266" s="15" t="str">
        <f>IFERROR(__xludf.DUMMYFUNCTION("""COMPUTED_VALUE"""),"GL2607041")</f>
        <v>GL2607041</v>
      </c>
      <c r="L1266" s="15" t="str">
        <f>IFERROR(__xludf.DUMMYFUNCTION("""COMPUTED_VALUE"""),"Normal")</f>
        <v>Normal</v>
      </c>
      <c r="M1266" s="18" t="s">
        <v>31</v>
      </c>
      <c r="N1266" s="18" t="s">
        <v>28</v>
      </c>
    </row>
    <row r="1267" hidden="1">
      <c r="A1267" s="15" t="str">
        <f>IFERROR(__xludf.DUMMYFUNCTION("""COMPUTED_VALUE"""),"MOBRO0084")</f>
        <v>MOBRO0084</v>
      </c>
      <c r="B1267" s="16">
        <f>IFERROR(__xludf.DUMMYFUNCTION("""COMPUTED_VALUE"""),46185.48003271991)</f>
        <v>46185.48003</v>
      </c>
      <c r="C1267" s="17">
        <f>IFERROR(__xludf.DUMMYFUNCTION("""COMPUTED_VALUE"""),46198.732502719904)</f>
        <v>46198.7325</v>
      </c>
      <c r="D1267" s="15" t="str">
        <f>IFERROR(__xludf.DUMMYFUNCTION("""COMPUTED_VALUE"""),"Water System")</f>
        <v>Water System</v>
      </c>
      <c r="E1267" s="15" t="str">
        <f>IFERROR(__xludf.DUMMYFUNCTION("""COMPUTED_VALUE"""),"-")</f>
        <v>-</v>
      </c>
      <c r="F1267" s="15" t="str">
        <f>IFERROR(__xludf.DUMMYFUNCTION("""COMPUTED_VALUE"""),"General - Emflon PFR membrane filter cartridge, 0.2 um sterilizing grade, 5-inch length, double-o-ring (silicone) with bayonet lock and flat end; Pall; AB05PFR2PVH4; 1 pcs")</f>
        <v>General - Emflon PFR membrane filter cartridge, 0.2 um sterilizing grade, 5-inch length, double-o-ring (silicone) with bayonet lock and flat end; Pall; AB05PFR2PVH4; 1 pcs</v>
      </c>
      <c r="G1267" s="15">
        <f>IFERROR(__xludf.DUMMYFUNCTION("""COMPUTED_VALUE"""),2.0)</f>
        <v>2</v>
      </c>
      <c r="H1267" s="15" t="str">
        <f>IFERROR(__xludf.DUMMYFUNCTION("""COMPUTED_VALUE"""),"Pcs")</f>
        <v>Pcs</v>
      </c>
      <c r="I1267" s="15" t="str">
        <f>IFERROR(__xludf.DUMMYFUNCTION("""COMPUTED_VALUE"""),"PO Open")</f>
        <v>PO Open</v>
      </c>
      <c r="J1267" s="15" t="str">
        <f>IFERROR(__xludf.DUMMYFUNCTION("""COMPUTED_VALUE"""),"121704363 - APPROVED")</f>
        <v>121704363 - APPROVED</v>
      </c>
      <c r="K1267" s="15" t="str">
        <f>IFERROR(__xludf.DUMMYFUNCTION("""COMPUTED_VALUE"""),"GL2607374")</f>
        <v>GL2607374</v>
      </c>
      <c r="L1267" s="15" t="str">
        <f>IFERROR(__xludf.DUMMYFUNCTION("""COMPUTED_VALUE"""),"Normal")</f>
        <v>Normal</v>
      </c>
      <c r="M1267" s="18" t="s">
        <v>31</v>
      </c>
      <c r="N1267" s="18" t="s">
        <v>28</v>
      </c>
    </row>
    <row r="1268" hidden="1">
      <c r="A1268" s="15" t="str">
        <f>IFERROR(__xludf.DUMMYFUNCTION("""COMPUTED_VALUE"""),"MOBRO0085")</f>
        <v>MOBRO0085</v>
      </c>
      <c r="B1268" s="16">
        <f>IFERROR(__xludf.DUMMYFUNCTION("""COMPUTED_VALUE"""),46185.547453113424)</f>
        <v>46185.54745</v>
      </c>
      <c r="C1268" s="17">
        <f>IFERROR(__xludf.DUMMYFUNCTION("""COMPUTED_VALUE"""),46198.73267145833)</f>
        <v>46198.73267</v>
      </c>
      <c r="D1268" s="15" t="str">
        <f>IFERROR(__xludf.DUMMYFUNCTION("""COMPUTED_VALUE"""),"Water System")</f>
        <v>Water System</v>
      </c>
      <c r="E1268" s="15" t="str">
        <f>IFERROR(__xludf.DUMMYFUNCTION("""COMPUTED_VALUE"""),"-")</f>
        <v>-</v>
      </c>
      <c r="F1268" s="15" t="str">
        <f>IFERROR(__xludf.DUMMYFUNCTION("""COMPUTED_VALUE"""),"Vent Filter HE Press 6.5 bar, temp. 40C ; Brand : NOVASIP ( PALL ) ; P/N : C3PFRPI , IT09556493 ; Pack Size : pcs")</f>
        <v>Vent Filter HE Press 6.5 bar, temp. 40C ; Brand : NOVASIP ( PALL ) ; P/N : C3PFRPI , IT09556493 ; Pack Size : pcs</v>
      </c>
      <c r="G1268" s="15">
        <f>IFERROR(__xludf.DUMMYFUNCTION("""COMPUTED_VALUE"""),2.0)</f>
        <v>2</v>
      </c>
      <c r="H1268" s="15" t="str">
        <f>IFERROR(__xludf.DUMMYFUNCTION("""COMPUTED_VALUE"""),"Pcs")</f>
        <v>Pcs</v>
      </c>
      <c r="I1268" s="15" t="str">
        <f>IFERROR(__xludf.DUMMYFUNCTION("""COMPUTED_VALUE"""),"Deliver")</f>
        <v>Deliver</v>
      </c>
      <c r="J1268" s="15" t="str">
        <f>IFERROR(__xludf.DUMMYFUNCTION("""COMPUTED_VALUE"""),"121704363 - APPROVED")</f>
        <v>121704363 - APPROVED</v>
      </c>
      <c r="K1268" s="15" t="str">
        <f>IFERROR(__xludf.DUMMYFUNCTION("""COMPUTED_VALUE"""),"GL2607362")</f>
        <v>GL2607362</v>
      </c>
      <c r="L1268" s="15" t="str">
        <f>IFERROR(__xludf.DUMMYFUNCTION("""COMPUTED_VALUE"""),"Normal")</f>
        <v>Normal</v>
      </c>
      <c r="M1268" s="18" t="s">
        <v>31</v>
      </c>
      <c r="N1268" s="18" t="s">
        <v>28</v>
      </c>
    </row>
    <row r="1269" hidden="1">
      <c r="A1269" s="15" t="str">
        <f>IFERROR(__xludf.DUMMYFUNCTION("""COMPUTED_VALUE"""),"MOBRO0086")</f>
        <v>MOBRO0086</v>
      </c>
      <c r="B1269" s="16">
        <f>IFERROR(__xludf.DUMMYFUNCTION("""COMPUTED_VALUE"""),46185.54784868056)</f>
        <v>46185.54785</v>
      </c>
      <c r="C1269" s="17">
        <f>IFERROR(__xludf.DUMMYFUNCTION("""COMPUTED_VALUE"""),46198.732843611106)</f>
        <v>46198.73284</v>
      </c>
      <c r="D1269" s="15" t="str">
        <f>IFERROR(__xludf.DUMMYFUNCTION("""COMPUTED_VALUE"""),"Water System")</f>
        <v>Water System</v>
      </c>
      <c r="E1269" s="15" t="str">
        <f>IFERROR(__xludf.DUMMYFUNCTION("""COMPUTED_VALUE"""),"-")</f>
        <v>-</v>
      </c>
      <c r="F1269" s="15" t="str">
        <f>IFERROR(__xludf.DUMMYFUNCTION("""COMPUTED_VALUE"""),"IMA F200 Filling Machine - Pall Mini Kleenpak Capsules with Supor EKV Membrane, Filter Capsule 4,1""/0,2 um/0,02 m2/Hydrophilic PVDF/code2/0,25-0,5"" hose barb; Pall; KA02DFLP8G; 1 pcs")</f>
        <v>IMA F200 Filling Machine - Pall Mini Kleenpak Capsules with Supor EKV Membrane, Filter Capsule 4,1"/0,2 um/0,02 m2/Hydrophilic PVDF/code2/0,25-0,5" hose barb; Pall; KA02DFLP8G; 1 pcs</v>
      </c>
      <c r="G1269" s="15">
        <f>IFERROR(__xludf.DUMMYFUNCTION("""COMPUTED_VALUE"""),2.0)</f>
        <v>2</v>
      </c>
      <c r="H1269" s="15" t="str">
        <f>IFERROR(__xludf.DUMMYFUNCTION("""COMPUTED_VALUE"""),"Pcs")</f>
        <v>Pcs</v>
      </c>
      <c r="I1269" s="15" t="str">
        <f>IFERROR(__xludf.DUMMYFUNCTION("""COMPUTED_VALUE"""),"PO Open")</f>
        <v>PO Open</v>
      </c>
      <c r="J1269" s="15" t="str">
        <f>IFERROR(__xludf.DUMMYFUNCTION("""COMPUTED_VALUE"""),"121704363 - APPROVED")</f>
        <v>121704363 - APPROVED</v>
      </c>
      <c r="K1269" s="15" t="str">
        <f>IFERROR(__xludf.DUMMYFUNCTION("""COMPUTED_VALUE"""),"GL2607374")</f>
        <v>GL2607374</v>
      </c>
      <c r="L1269" s="15" t="str">
        <f>IFERROR(__xludf.DUMMYFUNCTION("""COMPUTED_VALUE"""),"Normal")</f>
        <v>Normal</v>
      </c>
      <c r="M1269" s="18" t="s">
        <v>31</v>
      </c>
      <c r="N1269" s="18" t="s">
        <v>28</v>
      </c>
    </row>
    <row r="1270" hidden="1">
      <c r="A1270" s="15" t="str">
        <f>IFERROR(__xludf.DUMMYFUNCTION("""COMPUTED_VALUE"""),"MOBRO0087")</f>
        <v>MOBRO0087</v>
      </c>
      <c r="B1270" s="16">
        <f>IFERROR(__xludf.DUMMYFUNCTION("""COMPUTED_VALUE"""),46185.54820877314)</f>
        <v>46185.54821</v>
      </c>
      <c r="C1270" s="17">
        <f>IFERROR(__xludf.DUMMYFUNCTION("""COMPUTED_VALUE"""),46198.733039108796)</f>
        <v>46198.73304</v>
      </c>
      <c r="D1270" s="15" t="str">
        <f>IFERROR(__xludf.DUMMYFUNCTION("""COMPUTED_VALUE"""),"Water System")</f>
        <v>Water System</v>
      </c>
      <c r="E1270" s="15" t="str">
        <f>IFERROR(__xludf.DUMMYFUNCTION("""COMPUTED_VALUE"""),"-")</f>
        <v>-</v>
      </c>
      <c r="F1270" s="15" t="str">
        <f>IFERROR(__xludf.DUMMYFUNCTION("""COMPUTED_VALUE"""),"PALL - AB1PFR7PVH4, 0.2 um; ; ;")</f>
        <v>PALL - AB1PFR7PVH4, 0.2 um; ; ;</v>
      </c>
      <c r="G1270" s="15">
        <f>IFERROR(__xludf.DUMMYFUNCTION("""COMPUTED_VALUE"""),2.0)</f>
        <v>2</v>
      </c>
      <c r="H1270" s="15" t="str">
        <f>IFERROR(__xludf.DUMMYFUNCTION("""COMPUTED_VALUE"""),"Pcs")</f>
        <v>Pcs</v>
      </c>
      <c r="I1270" s="15" t="str">
        <f>IFERROR(__xludf.DUMMYFUNCTION("""COMPUTED_VALUE"""),"Approval Item Code")</f>
        <v>Approval Item Code</v>
      </c>
      <c r="J1270" s="15" t="str">
        <f>IFERROR(__xludf.DUMMYFUNCTION("""COMPUTED_VALUE"""),"-")</f>
        <v>-</v>
      </c>
      <c r="K1270" s="15" t="str">
        <f>IFERROR(__xludf.DUMMYFUNCTION("""COMPUTED_VALUE"""),"-")</f>
        <v>-</v>
      </c>
      <c r="L1270" s="15" t="str">
        <f>IFERROR(__xludf.DUMMYFUNCTION("""COMPUTED_VALUE"""),"Normal")</f>
        <v>Normal</v>
      </c>
      <c r="M1270" s="18" t="s">
        <v>31</v>
      </c>
      <c r="N1270" s="18" t="s">
        <v>28</v>
      </c>
    </row>
    <row r="1271" hidden="1">
      <c r="A1271" s="15" t="str">
        <f>IFERROR(__xludf.DUMMYFUNCTION("""COMPUTED_VALUE"""),"MOBBR0056")</f>
        <v>MOBBR0056</v>
      </c>
      <c r="B1271" s="16">
        <f>IFERROR(__xludf.DUMMYFUNCTION("""COMPUTED_VALUE"""),46182.69083681713)</f>
        <v>46182.69084</v>
      </c>
      <c r="C1271" s="17">
        <f>IFERROR(__xludf.DUMMYFUNCTION("""COMPUTED_VALUE"""),46198.733501863426)</f>
        <v>46198.7335</v>
      </c>
      <c r="D1271" s="15" t="str">
        <f>IFERROR(__xludf.DUMMYFUNCTION("""COMPUTED_VALUE"""),"FMS C1-1")</f>
        <v>FMS C1-1</v>
      </c>
      <c r="E1271" s="15" t="str">
        <f>IFERROR(__xludf.DUMMYFUNCTION("""COMPUTED_VALUE"""),"EJO/2026/06/046")</f>
        <v>EJO/2026/06/046</v>
      </c>
      <c r="F1271" s="15" t="str">
        <f>IFERROR(__xludf.DUMMYFUNCTION("""COMPUTED_VALUE"""),"Fuse Holder")</f>
        <v>Fuse Holder</v>
      </c>
      <c r="G1271" s="15">
        <f>IFERROR(__xludf.DUMMYFUNCTION("""COMPUTED_VALUE"""),20.0)</f>
        <v>20</v>
      </c>
      <c r="H1271" s="15" t="str">
        <f>IFERROR(__xludf.DUMMYFUNCTION("""COMPUTED_VALUE"""),"Pcs")</f>
        <v>Pcs</v>
      </c>
      <c r="I1271" s="15" t="str">
        <f>IFERROR(__xludf.DUMMYFUNCTION("""COMPUTED_VALUE"""),"Proses PR")</f>
        <v>Proses PR</v>
      </c>
      <c r="J1271" s="15" t="str">
        <f>IFERROR(__xludf.DUMMYFUNCTION("""COMPUTED_VALUE"""),"-")</f>
        <v>-</v>
      </c>
      <c r="K1271" s="15" t="str">
        <f>IFERROR(__xludf.DUMMYFUNCTION("""COMPUTED_VALUE"""),"-")</f>
        <v>-</v>
      </c>
      <c r="L1271" s="15" t="str">
        <f>IFERROR(__xludf.DUMMYFUNCTION("""COMPUTED_VALUE"""),"Normal")</f>
        <v>Normal</v>
      </c>
      <c r="M1271" s="18" t="s">
        <v>31</v>
      </c>
      <c r="N1271" s="18" t="s">
        <v>28</v>
      </c>
    </row>
    <row r="1272" hidden="1">
      <c r="A1272" s="15" t="str">
        <f>IFERROR(__xludf.DUMMYFUNCTION("""COMPUTED_VALUE"""),"RIABR0183")</f>
        <v>RIABR0183</v>
      </c>
      <c r="B1272" s="16">
        <f>IFERROR(__xludf.DUMMYFUNCTION("""COMPUTED_VALUE"""),46197.840346562494)</f>
        <v>46197.84035</v>
      </c>
      <c r="C1272" s="17">
        <f>IFERROR(__xludf.DUMMYFUNCTION("""COMPUTED_VALUE"""),46198.7355043287)</f>
        <v>46198.7355</v>
      </c>
      <c r="D1272" s="15" t="str">
        <f>IFERROR(__xludf.DUMMYFUNCTION("""COMPUTED_VALUE"""),"Instalasi Grounding dan Penangkal Petir")</f>
        <v>Instalasi Grounding dan Penangkal Petir</v>
      </c>
      <c r="E1272" s="15" t="str">
        <f>IFERROR(__xludf.DUMMYFUNCTION("""COMPUTED_VALUE"""),"-")</f>
        <v>-</v>
      </c>
      <c r="F1272" s="15" t="str">
        <f>IFERROR(__xludf.DUMMYFUNCTION("""COMPUTED_VALUE"""),"Bak Kontrol Grounding")</f>
        <v>Bak Kontrol Grounding</v>
      </c>
      <c r="G1272" s="15">
        <f>IFERROR(__xludf.DUMMYFUNCTION("""COMPUTED_VALUE"""),2.0)</f>
        <v>2</v>
      </c>
      <c r="H1272" s="15" t="str">
        <f>IFERROR(__xludf.DUMMYFUNCTION("""COMPUTED_VALUE"""),"Pcs")</f>
        <v>Pcs</v>
      </c>
      <c r="I1272" s="15" t="str">
        <f>IFERROR(__xludf.DUMMYFUNCTION("""COMPUTED_VALUE"""),"Proses PR")</f>
        <v>Proses PR</v>
      </c>
      <c r="J1272" s="15" t="str">
        <f>IFERROR(__xludf.DUMMYFUNCTION("""COMPUTED_VALUE"""),"-")</f>
        <v>-</v>
      </c>
      <c r="K1272" s="15" t="str">
        <f>IFERROR(__xludf.DUMMYFUNCTION("""COMPUTED_VALUE"""),"-")</f>
        <v>-</v>
      </c>
      <c r="L1272" s="15" t="str">
        <f>IFERROR(__xludf.DUMMYFUNCTION("""COMPUTED_VALUE"""),"Normal")</f>
        <v>Normal</v>
      </c>
      <c r="M1272" s="18" t="s">
        <v>32</v>
      </c>
      <c r="N1272" s="18" t="s">
        <v>28</v>
      </c>
    </row>
    <row r="1273" hidden="1">
      <c r="A1273" s="15" t="str">
        <f>IFERROR(__xludf.DUMMYFUNCTION("""COMPUTED_VALUE"""),"ROSBR0100")</f>
        <v>ROSBR0100</v>
      </c>
      <c r="B1273" s="16">
        <f>IFERROR(__xludf.DUMMYFUNCTION("""COMPUTED_VALUE"""),46196.27835744213)</f>
        <v>46196.27836</v>
      </c>
      <c r="C1273" s="17">
        <f>IFERROR(__xludf.DUMMYFUNCTION("""COMPUTED_VALUE"""),46202.60017204861)</f>
        <v>46202.60017</v>
      </c>
      <c r="D1273" s="15" t="str">
        <f>IFERROR(__xludf.DUMMYFUNCTION("""COMPUTED_VALUE"""),"CLU")</f>
        <v>CLU</v>
      </c>
      <c r="E1273" s="15" t="str">
        <f>IFERROR(__xludf.DUMMYFUNCTION("""COMPUTED_VALUE"""),"EJO/2026/06/085")</f>
        <v>EJO/2026/06/085</v>
      </c>
      <c r="F1273" s="15" t="str">
        <f>IFERROR(__xludf.DUMMYFUNCTION("""COMPUTED_VALUE"""),"Body Switch")</f>
        <v>Body Switch</v>
      </c>
      <c r="G1273" s="15">
        <f>IFERROR(__xludf.DUMMYFUNCTION("""COMPUTED_VALUE"""),1.0)</f>
        <v>1</v>
      </c>
      <c r="H1273" s="15" t="str">
        <f>IFERROR(__xludf.DUMMYFUNCTION("""COMPUTED_VALUE"""),"pcs")</f>
        <v>pcs</v>
      </c>
      <c r="I1273" s="15" t="str">
        <f>IFERROR(__xludf.DUMMYFUNCTION("""COMPUTED_VALUE"""),"Mencari Penawaran")</f>
        <v>Mencari Penawaran</v>
      </c>
      <c r="J1273" s="15" t="str">
        <f>IFERROR(__xludf.DUMMYFUNCTION("""COMPUTED_VALUE"""),"-")</f>
        <v>-</v>
      </c>
      <c r="K1273" s="15" t="str">
        <f>IFERROR(__xludf.DUMMYFUNCTION("""COMPUTED_VALUE"""),"-")</f>
        <v>-</v>
      </c>
      <c r="L1273" s="15" t="str">
        <f>IFERROR(__xludf.DUMMYFUNCTION("""COMPUTED_VALUE"""),"Normal")</f>
        <v>Normal</v>
      </c>
      <c r="M1273" s="18" t="s">
        <v>29</v>
      </c>
      <c r="N1273" s="18" t="s">
        <v>30</v>
      </c>
    </row>
    <row r="1274" hidden="1">
      <c r="A1274" s="15" t="str">
        <f>IFERROR(__xludf.DUMMYFUNCTION("""COMPUTED_VALUE"""),"ROSBR0101")</f>
        <v>ROSBR0101</v>
      </c>
      <c r="B1274" s="16">
        <f>IFERROR(__xludf.DUMMYFUNCTION("""COMPUTED_VALUE"""),46197.16986032407)</f>
        <v>46197.16986</v>
      </c>
      <c r="C1274" s="17">
        <f>IFERROR(__xludf.DUMMYFUNCTION("""COMPUTED_VALUE"""),46202.600714398155)</f>
        <v>46202.60071</v>
      </c>
      <c r="D1274" s="15" t="str">
        <f>IFERROR(__xludf.DUMMYFUNCTION("""COMPUTED_VALUE"""),"FD")</f>
        <v>FD</v>
      </c>
      <c r="E1274" s="15" t="str">
        <f>IFERROR(__xludf.DUMMYFUNCTION("""COMPUTED_VALUE"""),"-")</f>
        <v>-</v>
      </c>
      <c r="F1274" s="15" t="str">
        <f>IFERROR(__xludf.DUMMYFUNCTION("""COMPUTED_VALUE"""),"Intermediate Plate ")</f>
        <v>Intermediate Plate </v>
      </c>
      <c r="G1274" s="15">
        <f>IFERROR(__xludf.DUMMYFUNCTION("""COMPUTED_VALUE"""),1.0)</f>
        <v>1</v>
      </c>
      <c r="H1274" s="15" t="str">
        <f>IFERROR(__xludf.DUMMYFUNCTION("""COMPUTED_VALUE"""),"set")</f>
        <v>set</v>
      </c>
      <c r="I1274" s="15" t="str">
        <f>IFERROR(__xludf.DUMMYFUNCTION("""COMPUTED_VALUE"""),"Proses PR")</f>
        <v>Proses PR</v>
      </c>
      <c r="J1274" s="15" t="str">
        <f>IFERROR(__xludf.DUMMYFUNCTION("""COMPUTED_VALUE"""),"-")</f>
        <v>-</v>
      </c>
      <c r="K1274" s="15" t="str">
        <f>IFERROR(__xludf.DUMMYFUNCTION("""COMPUTED_VALUE"""),"-")</f>
        <v>-</v>
      </c>
      <c r="L1274" s="15" t="str">
        <f>IFERROR(__xludf.DUMMYFUNCTION("""COMPUTED_VALUE"""),"Normal")</f>
        <v>Normal</v>
      </c>
      <c r="M1274" s="18" t="s">
        <v>29</v>
      </c>
      <c r="N1274" s="18" t="s">
        <v>30</v>
      </c>
    </row>
    <row r="1275" hidden="1">
      <c r="A1275" s="15" t="str">
        <f>IFERROR(__xludf.DUMMYFUNCTION("""COMPUTED_VALUE"""),"ROSBR0102")</f>
        <v>ROSBR0102</v>
      </c>
      <c r="B1275" s="16">
        <f>IFERROR(__xludf.DUMMYFUNCTION("""COMPUTED_VALUE"""),46197.1709202662)</f>
        <v>46197.17092</v>
      </c>
      <c r="C1275" s="17">
        <f>IFERROR(__xludf.DUMMYFUNCTION("""COMPUTED_VALUE"""),46202.6013596412)</f>
        <v>46202.60136</v>
      </c>
      <c r="D1275" s="15" t="str">
        <f>IFERROR(__xludf.DUMMYFUNCTION("""COMPUTED_VALUE"""),"FD")</f>
        <v>FD</v>
      </c>
      <c r="E1275" s="15" t="str">
        <f>IFERROR(__xludf.DUMMYFUNCTION("""COMPUTED_VALUE"""),"-")</f>
        <v>-</v>
      </c>
      <c r="F1275" s="15" t="str">
        <f>IFERROR(__xludf.DUMMYFUNCTION("""COMPUTED_VALUE"""),"Guide Shelf")</f>
        <v>Guide Shelf</v>
      </c>
      <c r="G1275" s="15">
        <f>IFERROR(__xludf.DUMMYFUNCTION("""COMPUTED_VALUE"""),1.0)</f>
        <v>1</v>
      </c>
      <c r="H1275" s="15" t="str">
        <f>IFERROR(__xludf.DUMMYFUNCTION("""COMPUTED_VALUE"""),"set")</f>
        <v>set</v>
      </c>
      <c r="I1275" s="15" t="str">
        <f>IFERROR(__xludf.DUMMYFUNCTION("""COMPUTED_VALUE"""),"Proses PR")</f>
        <v>Proses PR</v>
      </c>
      <c r="J1275" s="15" t="str">
        <f>IFERROR(__xludf.DUMMYFUNCTION("""COMPUTED_VALUE"""),"-")</f>
        <v>-</v>
      </c>
      <c r="K1275" s="15" t="str">
        <f>IFERROR(__xludf.DUMMYFUNCTION("""COMPUTED_VALUE"""),"-")</f>
        <v>-</v>
      </c>
      <c r="L1275" s="15" t="str">
        <f>IFERROR(__xludf.DUMMYFUNCTION("""COMPUTED_VALUE"""),"Normal")</f>
        <v>Normal</v>
      </c>
      <c r="M1275" s="18" t="s">
        <v>29</v>
      </c>
      <c r="N1275" s="18" t="s">
        <v>30</v>
      </c>
    </row>
    <row r="1276" hidden="1">
      <c r="A1276" s="15" t="str">
        <f>IFERROR(__xludf.DUMMYFUNCTION("""COMPUTED_VALUE"""),"ROSBR0103")</f>
        <v>ROSBR0103</v>
      </c>
      <c r="B1276" s="16">
        <f>IFERROR(__xludf.DUMMYFUNCTION("""COMPUTED_VALUE"""),46197.17181105324)</f>
        <v>46197.17181</v>
      </c>
      <c r="C1276" s="17">
        <f>IFERROR(__xludf.DUMMYFUNCTION("""COMPUTED_VALUE"""),46202.60186513889)</f>
        <v>46202.60187</v>
      </c>
      <c r="D1276" s="15" t="str">
        <f>IFERROR(__xludf.DUMMYFUNCTION("""COMPUTED_VALUE"""),"Capping")</f>
        <v>Capping</v>
      </c>
      <c r="E1276" s="15" t="str">
        <f>IFERROR(__xludf.DUMMYFUNCTION("""COMPUTED_VALUE"""),"-")</f>
        <v>-</v>
      </c>
      <c r="F1276" s="15" t="str">
        <f>IFERROR(__xludf.DUMMYFUNCTION("""COMPUTED_VALUE"""),"Force Gauge")</f>
        <v>Force Gauge</v>
      </c>
      <c r="G1276" s="15">
        <f>IFERROR(__xludf.DUMMYFUNCTION("""COMPUTED_VALUE"""),1.0)</f>
        <v>1</v>
      </c>
      <c r="H1276" s="15" t="str">
        <f>IFERROR(__xludf.DUMMYFUNCTION("""COMPUTED_VALUE"""),"set")</f>
        <v>set</v>
      </c>
      <c r="I1276" s="15" t="str">
        <f>IFERROR(__xludf.DUMMYFUNCTION("""COMPUTED_VALUE"""),"Proses PR")</f>
        <v>Proses PR</v>
      </c>
      <c r="J1276" s="15" t="str">
        <f>IFERROR(__xludf.DUMMYFUNCTION("""COMPUTED_VALUE"""),"-")</f>
        <v>-</v>
      </c>
      <c r="K1276" s="15" t="str">
        <f>IFERROR(__xludf.DUMMYFUNCTION("""COMPUTED_VALUE"""),"-")</f>
        <v>-</v>
      </c>
      <c r="L1276" s="15" t="str">
        <f>IFERROR(__xludf.DUMMYFUNCTION("""COMPUTED_VALUE"""),"Normal")</f>
        <v>Normal</v>
      </c>
      <c r="M1276" s="18" t="s">
        <v>29</v>
      </c>
      <c r="N1276" s="18" t="s">
        <v>30</v>
      </c>
    </row>
    <row r="1277" hidden="1">
      <c r="A1277" s="15" t="str">
        <f>IFERROR(__xludf.DUMMYFUNCTION("""COMPUTED_VALUE"""),"WAPBR0005")</f>
        <v>WAPBR0005</v>
      </c>
      <c r="B1277" s="16">
        <f>IFERROR(__xludf.DUMMYFUNCTION("""COMPUTED_VALUE"""),46199.583685439815)</f>
        <v>46199.58369</v>
      </c>
      <c r="C1277" s="17">
        <f>IFERROR(__xludf.DUMMYFUNCTION("""COMPUTED_VALUE"""),46202.6042544213)</f>
        <v>46202.60425</v>
      </c>
      <c r="D1277" s="15" t="str">
        <f>IFERROR(__xludf.DUMMYFUNCTION("""COMPUTED_VALUE"""),"WASHING")</f>
        <v>WASHING</v>
      </c>
      <c r="E1277" s="15" t="str">
        <f>IFERROR(__xludf.DUMMYFUNCTION("""COMPUTED_VALUE"""),"EJO/2026/06/141")</f>
        <v>EJO/2026/06/141</v>
      </c>
      <c r="F1277" s="15" t="str">
        <f>IFERROR(__xludf.DUMMYFUNCTION("""COMPUTED_VALUE"""),"semprotan angin")</f>
        <v>semprotan angin</v>
      </c>
      <c r="G1277" s="15">
        <f>IFERROR(__xludf.DUMMYFUNCTION("""COMPUTED_VALUE"""),2.0)</f>
        <v>2</v>
      </c>
      <c r="H1277" s="15" t="str">
        <f>IFERROR(__xludf.DUMMYFUNCTION("""COMPUTED_VALUE"""),"pcs")</f>
        <v>pcs</v>
      </c>
      <c r="I1277" s="15" t="str">
        <f>IFERROR(__xludf.DUMMYFUNCTION("""COMPUTED_VALUE"""),"Approval Item Code")</f>
        <v>Approval Item Code</v>
      </c>
      <c r="J1277" s="15" t="str">
        <f>IFERROR(__xludf.DUMMYFUNCTION("""COMPUTED_VALUE"""),"-")</f>
        <v>-</v>
      </c>
      <c r="K1277" s="15" t="str">
        <f>IFERROR(__xludf.DUMMYFUNCTION("""COMPUTED_VALUE"""),"-")</f>
        <v>-</v>
      </c>
      <c r="L1277" s="15" t="str">
        <f>IFERROR(__xludf.DUMMYFUNCTION("""COMPUTED_VALUE"""),"Normal")</f>
        <v>Normal</v>
      </c>
      <c r="M1277" s="18" t="s">
        <v>58</v>
      </c>
      <c r="N1277" s="18" t="e">
        <v>#N/A</v>
      </c>
    </row>
    <row r="1278" hidden="1">
      <c r="A1278" s="15" t="str">
        <f>IFERROR(__xludf.DUMMYFUNCTION("""COMPUTED_VALUE"""),"RIABR0167")</f>
        <v>RIABR0167</v>
      </c>
      <c r="B1278" s="16">
        <f>IFERROR(__xludf.DUMMYFUNCTION("""COMPUTED_VALUE"""),46181.14899461805)</f>
        <v>46181.14899</v>
      </c>
      <c r="C1278" s="17">
        <f>IFERROR(__xludf.DUMMYFUNCTION("""COMPUTED_VALUE"""),46202.897905185186)</f>
        <v>46202.89791</v>
      </c>
      <c r="D1278" s="15" t="str">
        <f>IFERROR(__xludf.DUMMYFUNCTION("""COMPUTED_VALUE"""),"All Area")</f>
        <v>All Area</v>
      </c>
      <c r="E1278" s="15" t="str">
        <f>IFERROR(__xludf.DUMMYFUNCTION("""COMPUTED_VALUE"""),"-")</f>
        <v>-</v>
      </c>
      <c r="F1278" s="15" t="str">
        <f>IFERROR(__xludf.DUMMYFUNCTION("""COMPUTED_VALUE"""),"Tongkat")</f>
        <v>Tongkat</v>
      </c>
      <c r="G1278" s="15">
        <f>IFERROR(__xludf.DUMMYFUNCTION("""COMPUTED_VALUE"""),1.0)</f>
        <v>1</v>
      </c>
      <c r="H1278" s="15" t="str">
        <f>IFERROR(__xludf.DUMMYFUNCTION("""COMPUTED_VALUE"""),"Pcs")</f>
        <v>Pcs</v>
      </c>
      <c r="I1278" s="15" t="str">
        <f>IFERROR(__xludf.DUMMYFUNCTION("""COMPUTED_VALUE"""),"Approval Item Code")</f>
        <v>Approval Item Code</v>
      </c>
      <c r="J1278" s="15" t="str">
        <f>IFERROR(__xludf.DUMMYFUNCTION("""COMPUTED_VALUE"""),"-")</f>
        <v>-</v>
      </c>
      <c r="K1278" s="15" t="str">
        <f>IFERROR(__xludf.DUMMYFUNCTION("""COMPUTED_VALUE"""),"-")</f>
        <v>-</v>
      </c>
      <c r="L1278" s="15" t="str">
        <f>IFERROR(__xludf.DUMMYFUNCTION("""COMPUTED_VALUE"""),"Normal")</f>
        <v>Normal</v>
      </c>
      <c r="M1278" s="18" t="s">
        <v>32</v>
      </c>
      <c r="N1278" s="18" t="s">
        <v>28</v>
      </c>
    </row>
    <row r="1279" hidden="1">
      <c r="A1279" s="15" t="str">
        <f>IFERROR(__xludf.DUMMYFUNCTION("""COMPUTED_VALUE"""),"RIABR0168")</f>
        <v>RIABR0168</v>
      </c>
      <c r="B1279" s="16">
        <f>IFERROR(__xludf.DUMMYFUNCTION("""COMPUTED_VALUE"""),46192.46033797454)</f>
        <v>46192.46034</v>
      </c>
      <c r="C1279" s="17">
        <f>IFERROR(__xludf.DUMMYFUNCTION("""COMPUTED_VALUE"""),46202.89834148148)</f>
        <v>46202.89834</v>
      </c>
      <c r="D1279" s="15" t="str">
        <f>IFERROR(__xludf.DUMMYFUNCTION("""COMPUTED_VALUE"""),"DP Tenaga 3 N")</f>
        <v>DP Tenaga 3 N</v>
      </c>
      <c r="E1279" s="15" t="str">
        <f>IFERROR(__xludf.DUMMYFUNCTION("""COMPUTED_VALUE"""),"EJO/2026/06/098")</f>
        <v>EJO/2026/06/098</v>
      </c>
      <c r="F1279" s="15" t="str">
        <f>IFERROR(__xludf.DUMMYFUNCTION("""COMPUTED_VALUE"""),"Power Meter")</f>
        <v>Power Meter</v>
      </c>
      <c r="G1279" s="15">
        <f>IFERROR(__xludf.DUMMYFUNCTION("""COMPUTED_VALUE"""),1.0)</f>
        <v>1</v>
      </c>
      <c r="H1279" s="15" t="str">
        <f>IFERROR(__xludf.DUMMYFUNCTION("""COMPUTED_VALUE"""),"pcs")</f>
        <v>pcs</v>
      </c>
      <c r="I1279" s="15" t="str">
        <f>IFERROR(__xludf.DUMMYFUNCTION("""COMPUTED_VALUE"""),"Mencari Penawaran")</f>
        <v>Mencari Penawaran</v>
      </c>
      <c r="J1279" s="15" t="str">
        <f>IFERROR(__xludf.DUMMYFUNCTION("""COMPUTED_VALUE"""),"-")</f>
        <v>-</v>
      </c>
      <c r="K1279" s="15" t="str">
        <f>IFERROR(__xludf.DUMMYFUNCTION("""COMPUTED_VALUE"""),"-")</f>
        <v>-</v>
      </c>
      <c r="L1279" s="15" t="str">
        <f>IFERROR(__xludf.DUMMYFUNCTION("""COMPUTED_VALUE"""),"Normal")</f>
        <v>Normal</v>
      </c>
      <c r="M1279" s="18" t="s">
        <v>32</v>
      </c>
      <c r="N1279" s="18" t="s">
        <v>28</v>
      </c>
    </row>
    <row r="1280" hidden="1">
      <c r="A1280" s="15" t="str">
        <f>IFERROR(__xludf.DUMMYFUNCTION("""COMPUTED_VALUE"""),"RIABR0169")</f>
        <v>RIABR0169</v>
      </c>
      <c r="B1280" s="16">
        <f>IFERROR(__xludf.DUMMYFUNCTION("""COMPUTED_VALUE"""),46192.461777557866)</f>
        <v>46192.46178</v>
      </c>
      <c r="C1280" s="17">
        <f>IFERROR(__xludf.DUMMYFUNCTION("""COMPUTED_VALUE"""),46202.89877939814)</f>
        <v>46202.89878</v>
      </c>
      <c r="D1280" s="15" t="str">
        <f>IFERROR(__xludf.DUMMYFUNCTION("""COMPUTED_VALUE"""),"P - GC")</f>
        <v>P - GC</v>
      </c>
      <c r="E1280" s="15" t="str">
        <f>IFERROR(__xludf.DUMMYFUNCTION("""COMPUTED_VALUE"""),"EJO/2026/06/099")</f>
        <v>EJO/2026/06/099</v>
      </c>
      <c r="F1280" s="15" t="str">
        <f>IFERROR(__xludf.DUMMYFUNCTION("""COMPUTED_VALUE"""),"Power Meter")</f>
        <v>Power Meter</v>
      </c>
      <c r="G1280" s="15">
        <f>IFERROR(__xludf.DUMMYFUNCTION("""COMPUTED_VALUE"""),2.0)</f>
        <v>2</v>
      </c>
      <c r="H1280" s="15" t="str">
        <f>IFERROR(__xludf.DUMMYFUNCTION("""COMPUTED_VALUE"""),"pcs")</f>
        <v>pcs</v>
      </c>
      <c r="I1280" s="15" t="str">
        <f>IFERROR(__xludf.DUMMYFUNCTION("""COMPUTED_VALUE"""),"Mencari Penawaran")</f>
        <v>Mencari Penawaran</v>
      </c>
      <c r="J1280" s="15" t="str">
        <f>IFERROR(__xludf.DUMMYFUNCTION("""COMPUTED_VALUE"""),"-")</f>
        <v>-</v>
      </c>
      <c r="K1280" s="15" t="str">
        <f>IFERROR(__xludf.DUMMYFUNCTION("""COMPUTED_VALUE"""),"-")</f>
        <v>-</v>
      </c>
      <c r="L1280" s="15" t="str">
        <f>IFERROR(__xludf.DUMMYFUNCTION("""COMPUTED_VALUE"""),"Normal")</f>
        <v>Normal</v>
      </c>
      <c r="M1280" s="18" t="s">
        <v>32</v>
      </c>
      <c r="N1280" s="18" t="s">
        <v>28</v>
      </c>
    </row>
    <row r="1281" hidden="1">
      <c r="A1281" s="15" t="str">
        <f>IFERROR(__xludf.DUMMYFUNCTION("""COMPUTED_VALUE"""),"RIABR0170")</f>
        <v>RIABR0170</v>
      </c>
      <c r="B1281" s="16">
        <f>IFERROR(__xludf.DUMMYFUNCTION("""COMPUTED_VALUE"""),46195.73185994213)</f>
        <v>46195.73186</v>
      </c>
      <c r="C1281" s="17">
        <f>IFERROR(__xludf.DUMMYFUNCTION("""COMPUTED_VALUE"""),46202.89927841435)</f>
        <v>46202.89928</v>
      </c>
      <c r="D1281" s="15" t="str">
        <f>IFERROR(__xludf.DUMMYFUNCTION("""COMPUTED_VALUE"""),"R Filling")</f>
        <v>R Filling</v>
      </c>
      <c r="E1281" s="15" t="str">
        <f>IFERROR(__xludf.DUMMYFUNCTION("""COMPUTED_VALUE"""),"-")</f>
        <v>-</v>
      </c>
      <c r="F1281" s="15" t="str">
        <f>IFERROR(__xludf.DUMMYFUNCTION("""COMPUTED_VALUE"""),"Lampu LED")</f>
        <v>Lampu LED</v>
      </c>
      <c r="G1281" s="15">
        <f>IFERROR(__xludf.DUMMYFUNCTION("""COMPUTED_VALUE"""),3.0)</f>
        <v>3</v>
      </c>
      <c r="H1281" s="15" t="str">
        <f>IFERROR(__xludf.DUMMYFUNCTION("""COMPUTED_VALUE"""),"Pcs")</f>
        <v>Pcs</v>
      </c>
      <c r="I1281" s="15" t="str">
        <f>IFERROR(__xludf.DUMMYFUNCTION("""COMPUTED_VALUE"""),"Deliver")</f>
        <v>Deliver</v>
      </c>
      <c r="J1281" s="15" t="str">
        <f>IFERROR(__xludf.DUMMYFUNCTION("""COMPUTED_VALUE"""),"121704501 - APPROVED")</f>
        <v>121704501 - APPROVED</v>
      </c>
      <c r="K1281" s="15" t="str">
        <f>IFERROR(__xludf.DUMMYFUNCTION("""COMPUTED_VALUE"""),"GL2608398")</f>
        <v>GL2608398</v>
      </c>
      <c r="L1281" s="15" t="str">
        <f>IFERROR(__xludf.DUMMYFUNCTION("""COMPUTED_VALUE"""),"Normal")</f>
        <v>Normal</v>
      </c>
      <c r="M1281" s="18" t="s">
        <v>32</v>
      </c>
      <c r="N1281" s="18" t="s">
        <v>28</v>
      </c>
    </row>
    <row r="1282" hidden="1">
      <c r="A1282" s="15" t="str">
        <f>IFERROR(__xludf.DUMMYFUNCTION("""COMPUTED_VALUE"""),"RIABR0171")</f>
        <v>RIABR0171</v>
      </c>
      <c r="B1282" s="16">
        <f>IFERROR(__xludf.DUMMYFUNCTION("""COMPUTED_VALUE"""),46195.73303443287)</f>
        <v>46195.73303</v>
      </c>
      <c r="C1282" s="17">
        <f>IFERROR(__xludf.DUMMYFUNCTION("""COMPUTED_VALUE"""),46202.89973020834)</f>
        <v>46202.89973</v>
      </c>
      <c r="D1282" s="15" t="str">
        <f>IFERROR(__xludf.DUMMYFUNCTION("""COMPUTED_VALUE"""),"R Filling")</f>
        <v>R Filling</v>
      </c>
      <c r="E1282" s="15" t="str">
        <f>IFERROR(__xludf.DUMMYFUNCTION("""COMPUTED_VALUE"""),"-")</f>
        <v>-</v>
      </c>
      <c r="F1282" s="15" t="str">
        <f>IFERROR(__xludf.DUMMYFUNCTION("""COMPUTED_VALUE"""),"Kabel")</f>
        <v>Kabel</v>
      </c>
      <c r="G1282" s="15">
        <f>IFERROR(__xludf.DUMMYFUNCTION("""COMPUTED_VALUE"""),50.0)</f>
        <v>50</v>
      </c>
      <c r="H1282" s="15" t="str">
        <f>IFERROR(__xludf.DUMMYFUNCTION("""COMPUTED_VALUE"""),"Mtr")</f>
        <v>Mtr</v>
      </c>
      <c r="I1282" s="15" t="str">
        <f>IFERROR(__xludf.DUMMYFUNCTION("""COMPUTED_VALUE"""),"PO Open")</f>
        <v>PO Open</v>
      </c>
      <c r="J1282" s="15" t="str">
        <f>IFERROR(__xludf.DUMMYFUNCTION("""COMPUTED_VALUE"""),"121704512 - APPROVED")</f>
        <v>121704512 - APPROVED</v>
      </c>
      <c r="K1282" s="15" t="str">
        <f>IFERROR(__xludf.DUMMYFUNCTION("""COMPUTED_VALUE"""),"GL2608037")</f>
        <v>GL2608037</v>
      </c>
      <c r="L1282" s="15" t="str">
        <f>IFERROR(__xludf.DUMMYFUNCTION("""COMPUTED_VALUE"""),"Normal")</f>
        <v>Normal</v>
      </c>
      <c r="M1282" s="18" t="s">
        <v>32</v>
      </c>
      <c r="N1282" s="18" t="s">
        <v>28</v>
      </c>
    </row>
    <row r="1283" hidden="1">
      <c r="A1283" s="15" t="str">
        <f>IFERROR(__xludf.DUMMYFUNCTION("""COMPUTED_VALUE"""),"RIABR0172")</f>
        <v>RIABR0172</v>
      </c>
      <c r="B1283" s="16">
        <f>IFERROR(__xludf.DUMMYFUNCTION("""COMPUTED_VALUE"""),46195.73358723379)</f>
        <v>46195.73359</v>
      </c>
      <c r="C1283" s="17">
        <f>IFERROR(__xludf.DUMMYFUNCTION("""COMPUTED_VALUE"""),46202.900010046294)</f>
        <v>46202.90001</v>
      </c>
      <c r="D1283" s="15" t="str">
        <f>IFERROR(__xludf.DUMMYFUNCTION("""COMPUTED_VALUE"""),"R Filling")</f>
        <v>R Filling</v>
      </c>
      <c r="E1283" s="15" t="str">
        <f>IFERROR(__xludf.DUMMYFUNCTION("""COMPUTED_VALUE"""),"-")</f>
        <v>-</v>
      </c>
      <c r="F1283" s="15" t="str">
        <f>IFERROR(__xludf.DUMMYFUNCTION("""COMPUTED_VALUE"""),"Conduit")</f>
        <v>Conduit</v>
      </c>
      <c r="G1283" s="15">
        <f>IFERROR(__xludf.DUMMYFUNCTION("""COMPUTED_VALUE"""),15.0)</f>
        <v>15</v>
      </c>
      <c r="H1283" s="15" t="str">
        <f>IFERROR(__xludf.DUMMYFUNCTION("""COMPUTED_VALUE"""),"Btg")</f>
        <v>Btg</v>
      </c>
      <c r="I1283" s="15" t="str">
        <f>IFERROR(__xludf.DUMMYFUNCTION("""COMPUTED_VALUE"""),"PO Open")</f>
        <v>PO Open</v>
      </c>
      <c r="J1283" s="15" t="str">
        <f>IFERROR(__xludf.DUMMYFUNCTION("""COMPUTED_VALUE"""),"121704512 - APPROVED")</f>
        <v>121704512 - APPROVED</v>
      </c>
      <c r="K1283" s="15" t="str">
        <f>IFERROR(__xludf.DUMMYFUNCTION("""COMPUTED_VALUE"""),"GL2608037")</f>
        <v>GL2608037</v>
      </c>
      <c r="L1283" s="15" t="str">
        <f>IFERROR(__xludf.DUMMYFUNCTION("""COMPUTED_VALUE"""),"Normal")</f>
        <v>Normal</v>
      </c>
      <c r="M1283" s="18" t="s">
        <v>32</v>
      </c>
      <c r="N1283" s="18" t="s">
        <v>28</v>
      </c>
    </row>
    <row r="1284" hidden="1">
      <c r="A1284" s="15" t="str">
        <f>IFERROR(__xludf.DUMMYFUNCTION("""COMPUTED_VALUE"""),"RIABR0173")</f>
        <v>RIABR0173</v>
      </c>
      <c r="B1284" s="16">
        <f>IFERROR(__xludf.DUMMYFUNCTION("""COMPUTED_VALUE"""),46195.73444259259)</f>
        <v>46195.73444</v>
      </c>
      <c r="C1284" s="17">
        <f>IFERROR(__xludf.DUMMYFUNCTION("""COMPUTED_VALUE"""),46202.90017826389)</f>
        <v>46202.90018</v>
      </c>
      <c r="D1284" s="15" t="str">
        <f>IFERROR(__xludf.DUMMYFUNCTION("""COMPUTED_VALUE"""),"R Filling")</f>
        <v>R Filling</v>
      </c>
      <c r="E1284" s="15" t="str">
        <f>IFERROR(__xludf.DUMMYFUNCTION("""COMPUTED_VALUE"""),"-")</f>
        <v>-</v>
      </c>
      <c r="F1284" s="15" t="str">
        <f>IFERROR(__xludf.DUMMYFUNCTION("""COMPUTED_VALUE"""),"T Dus")</f>
        <v>T Dus</v>
      </c>
      <c r="G1284" s="15">
        <f>IFERROR(__xludf.DUMMYFUNCTION("""COMPUTED_VALUE"""),10.0)</f>
        <v>10</v>
      </c>
      <c r="H1284" s="15" t="str">
        <f>IFERROR(__xludf.DUMMYFUNCTION("""COMPUTED_VALUE"""),"Pcs")</f>
        <v>Pcs</v>
      </c>
      <c r="I1284" s="15" t="str">
        <f>IFERROR(__xludf.DUMMYFUNCTION("""COMPUTED_VALUE"""),"PO Open")</f>
        <v>PO Open</v>
      </c>
      <c r="J1284" s="15" t="str">
        <f>IFERROR(__xludf.DUMMYFUNCTION("""COMPUTED_VALUE"""),"121704512 - APPROVED")</f>
        <v>121704512 - APPROVED</v>
      </c>
      <c r="K1284" s="15" t="str">
        <f>IFERROR(__xludf.DUMMYFUNCTION("""COMPUTED_VALUE"""),"GL2608037")</f>
        <v>GL2608037</v>
      </c>
      <c r="L1284" s="15" t="str">
        <f>IFERROR(__xludf.DUMMYFUNCTION("""COMPUTED_VALUE"""),"Normal")</f>
        <v>Normal</v>
      </c>
      <c r="M1284" s="18" t="s">
        <v>32</v>
      </c>
      <c r="N1284" s="18" t="s">
        <v>28</v>
      </c>
    </row>
    <row r="1285" hidden="1">
      <c r="A1285" s="15" t="str">
        <f>IFERROR(__xludf.DUMMYFUNCTION("""COMPUTED_VALUE"""),"RIABR0174")</f>
        <v>RIABR0174</v>
      </c>
      <c r="B1285" s="16">
        <f>IFERROR(__xludf.DUMMYFUNCTION("""COMPUTED_VALUE"""),46195.734954363434)</f>
        <v>46195.73495</v>
      </c>
      <c r="C1285" s="17">
        <f>IFERROR(__xludf.DUMMYFUNCTION("""COMPUTED_VALUE"""),46202.90059153935)</f>
        <v>46202.90059</v>
      </c>
      <c r="D1285" s="15" t="str">
        <f>IFERROR(__xludf.DUMMYFUNCTION("""COMPUTED_VALUE"""),"R Filling")</f>
        <v>R Filling</v>
      </c>
      <c r="E1285" s="15" t="str">
        <f>IFERROR(__xludf.DUMMYFUNCTION("""COMPUTED_VALUE"""),"-")</f>
        <v>-</v>
      </c>
      <c r="F1285" s="15" t="str">
        <f>IFERROR(__xludf.DUMMYFUNCTION("""COMPUTED_VALUE"""),"Flexible Hose")</f>
        <v>Flexible Hose</v>
      </c>
      <c r="G1285" s="15">
        <f>IFERROR(__xludf.DUMMYFUNCTION("""COMPUTED_VALUE"""),1.0)</f>
        <v>1</v>
      </c>
      <c r="H1285" s="15" t="str">
        <f>IFERROR(__xludf.DUMMYFUNCTION("""COMPUTED_VALUE"""),"Roll")</f>
        <v>Roll</v>
      </c>
      <c r="I1285" s="15" t="str">
        <f>IFERROR(__xludf.DUMMYFUNCTION("""COMPUTED_VALUE"""),"PO Open")</f>
        <v>PO Open</v>
      </c>
      <c r="J1285" s="15" t="str">
        <f>IFERROR(__xludf.DUMMYFUNCTION("""COMPUTED_VALUE"""),"121704512 - APPROVED")</f>
        <v>121704512 - APPROVED</v>
      </c>
      <c r="K1285" s="15" t="str">
        <f>IFERROR(__xludf.DUMMYFUNCTION("""COMPUTED_VALUE"""),"GL2608037")</f>
        <v>GL2608037</v>
      </c>
      <c r="L1285" s="15" t="str">
        <f>IFERROR(__xludf.DUMMYFUNCTION("""COMPUTED_VALUE"""),"Normal")</f>
        <v>Normal</v>
      </c>
      <c r="M1285" s="18" t="s">
        <v>32</v>
      </c>
      <c r="N1285" s="18" t="s">
        <v>28</v>
      </c>
    </row>
    <row r="1286" hidden="1">
      <c r="A1286" s="15" t="str">
        <f>IFERROR(__xludf.DUMMYFUNCTION("""COMPUTED_VALUE"""),"RIABR0175")</f>
        <v>RIABR0175</v>
      </c>
      <c r="B1286" s="16">
        <f>IFERROR(__xludf.DUMMYFUNCTION("""COMPUTED_VALUE"""),46195.73548400463)</f>
        <v>46195.73548</v>
      </c>
      <c r="C1286" s="17">
        <f>IFERROR(__xludf.DUMMYFUNCTION("""COMPUTED_VALUE"""),46202.90093332176)</f>
        <v>46202.90093</v>
      </c>
      <c r="D1286" s="15" t="str">
        <f>IFERROR(__xludf.DUMMYFUNCTION("""COMPUTED_VALUE"""),"R Filling")</f>
        <v>R Filling</v>
      </c>
      <c r="E1286" s="15" t="str">
        <f>IFERROR(__xludf.DUMMYFUNCTION("""COMPUTED_VALUE"""),"-")</f>
        <v>-</v>
      </c>
      <c r="F1286" s="15" t="str">
        <f>IFERROR(__xludf.DUMMYFUNCTION("""COMPUTED_VALUE"""),"Stop Kontak Dinding")</f>
        <v>Stop Kontak Dinding</v>
      </c>
      <c r="G1286" s="15">
        <f>IFERROR(__xludf.DUMMYFUNCTION("""COMPUTED_VALUE"""),2.0)</f>
        <v>2</v>
      </c>
      <c r="H1286" s="15" t="str">
        <f>IFERROR(__xludf.DUMMYFUNCTION("""COMPUTED_VALUE"""),"Pcs")</f>
        <v>Pcs</v>
      </c>
      <c r="I1286" s="15" t="str">
        <f>IFERROR(__xludf.DUMMYFUNCTION("""COMPUTED_VALUE"""),"PO Open")</f>
        <v>PO Open</v>
      </c>
      <c r="J1286" s="15" t="str">
        <f>IFERROR(__xludf.DUMMYFUNCTION("""COMPUTED_VALUE"""),"121704512 - APPROVED")</f>
        <v>121704512 - APPROVED</v>
      </c>
      <c r="K1286" s="15" t="str">
        <f>IFERROR(__xludf.DUMMYFUNCTION("""COMPUTED_VALUE"""),"GL2608037")</f>
        <v>GL2608037</v>
      </c>
      <c r="L1286" s="15" t="str">
        <f>IFERROR(__xludf.DUMMYFUNCTION("""COMPUTED_VALUE"""),"Normal")</f>
        <v>Normal</v>
      </c>
      <c r="M1286" s="18" t="s">
        <v>32</v>
      </c>
      <c r="N1286" s="18" t="s">
        <v>28</v>
      </c>
    </row>
    <row r="1287" hidden="1">
      <c r="A1287" s="15" t="str">
        <f>IFERROR(__xludf.DUMMYFUNCTION("""COMPUTED_VALUE"""),"RIABR0176")</f>
        <v>RIABR0176</v>
      </c>
      <c r="B1287" s="16">
        <f>IFERROR(__xludf.DUMMYFUNCTION("""COMPUTED_VALUE"""),46195.73599431713)</f>
        <v>46195.73599</v>
      </c>
      <c r="C1287" s="17">
        <f>IFERROR(__xludf.DUMMYFUNCTION("""COMPUTED_VALUE"""),46202.901082777775)</f>
        <v>46202.90108</v>
      </c>
      <c r="D1287" s="15" t="str">
        <f>IFERROR(__xludf.DUMMYFUNCTION("""COMPUTED_VALUE"""),"R Filling")</f>
        <v>R Filling</v>
      </c>
      <c r="E1287" s="15" t="str">
        <f>IFERROR(__xludf.DUMMYFUNCTION("""COMPUTED_VALUE"""),"-")</f>
        <v>-</v>
      </c>
      <c r="F1287" s="15" t="str">
        <f>IFERROR(__xludf.DUMMYFUNCTION("""COMPUTED_VALUE"""),"Saklar")</f>
        <v>Saklar</v>
      </c>
      <c r="G1287" s="15">
        <f>IFERROR(__xludf.DUMMYFUNCTION("""COMPUTED_VALUE"""),2.0)</f>
        <v>2</v>
      </c>
      <c r="H1287" s="15" t="str">
        <f>IFERROR(__xludf.DUMMYFUNCTION("""COMPUTED_VALUE"""),"Pcs")</f>
        <v>Pcs</v>
      </c>
      <c r="I1287" s="15" t="str">
        <f>IFERROR(__xludf.DUMMYFUNCTION("""COMPUTED_VALUE"""),"PO Open")</f>
        <v>PO Open</v>
      </c>
      <c r="J1287" s="15" t="str">
        <f>IFERROR(__xludf.DUMMYFUNCTION("""COMPUTED_VALUE"""),"121704512 - APPROVED")</f>
        <v>121704512 - APPROVED</v>
      </c>
      <c r="K1287" s="15" t="str">
        <f>IFERROR(__xludf.DUMMYFUNCTION("""COMPUTED_VALUE"""),"GL2608037")</f>
        <v>GL2608037</v>
      </c>
      <c r="L1287" s="15" t="str">
        <f>IFERROR(__xludf.DUMMYFUNCTION("""COMPUTED_VALUE"""),"Normal")</f>
        <v>Normal</v>
      </c>
      <c r="M1287" s="18" t="s">
        <v>32</v>
      </c>
      <c r="N1287" s="18" t="s">
        <v>28</v>
      </c>
    </row>
    <row r="1288" hidden="1">
      <c r="A1288" s="15" t="str">
        <f>IFERROR(__xludf.DUMMYFUNCTION("""COMPUTED_VALUE"""),"RIABR0177")</f>
        <v>RIABR0177</v>
      </c>
      <c r="B1288" s="16">
        <f>IFERROR(__xludf.DUMMYFUNCTION("""COMPUTED_VALUE"""),46195.73674716435)</f>
        <v>46195.73675</v>
      </c>
      <c r="C1288" s="17">
        <f>IFERROR(__xludf.DUMMYFUNCTION("""COMPUTED_VALUE"""),46202.901307314816)</f>
        <v>46202.90131</v>
      </c>
      <c r="D1288" s="15" t="str">
        <f>IFERROR(__xludf.DUMMYFUNCTION("""COMPUTED_VALUE"""),"R Filling")</f>
        <v>R Filling</v>
      </c>
      <c r="E1288" s="15" t="str">
        <f>IFERROR(__xludf.DUMMYFUNCTION("""COMPUTED_VALUE"""),"-")</f>
        <v>-</v>
      </c>
      <c r="F1288" s="15" t="str">
        <f>IFERROR(__xludf.DUMMYFUNCTION("""COMPUTED_VALUE"""),"Elbow")</f>
        <v>Elbow</v>
      </c>
      <c r="G1288" s="15">
        <f>IFERROR(__xludf.DUMMYFUNCTION("""COMPUTED_VALUE"""),20.0)</f>
        <v>20</v>
      </c>
      <c r="H1288" s="15" t="str">
        <f>IFERROR(__xludf.DUMMYFUNCTION("""COMPUTED_VALUE"""),"Pcs")</f>
        <v>Pcs</v>
      </c>
      <c r="I1288" s="15" t="str">
        <f>IFERROR(__xludf.DUMMYFUNCTION("""COMPUTED_VALUE"""),"PO Open")</f>
        <v>PO Open</v>
      </c>
      <c r="J1288" s="15" t="str">
        <f>IFERROR(__xludf.DUMMYFUNCTION("""COMPUTED_VALUE"""),"121704512 - APPROVED")</f>
        <v>121704512 - APPROVED</v>
      </c>
      <c r="K1288" s="15" t="str">
        <f>IFERROR(__xludf.DUMMYFUNCTION("""COMPUTED_VALUE"""),"GL2608037")</f>
        <v>GL2608037</v>
      </c>
      <c r="L1288" s="15" t="str">
        <f>IFERROR(__xludf.DUMMYFUNCTION("""COMPUTED_VALUE"""),"Normal")</f>
        <v>Normal</v>
      </c>
      <c r="M1288" s="18" t="s">
        <v>32</v>
      </c>
      <c r="N1288" s="18" t="s">
        <v>28</v>
      </c>
    </row>
    <row r="1289" hidden="1">
      <c r="A1289" s="15" t="str">
        <f>IFERROR(__xludf.DUMMYFUNCTION("""COMPUTED_VALUE"""),"RIABR0178")</f>
        <v>RIABR0178</v>
      </c>
      <c r="B1289" s="16">
        <f>IFERROR(__xludf.DUMMYFUNCTION("""COMPUTED_VALUE"""),46195.74012084491)</f>
        <v>46195.74012</v>
      </c>
      <c r="C1289" s="17">
        <f>IFERROR(__xludf.DUMMYFUNCTION("""COMPUTED_VALUE"""),46202.90184425926)</f>
        <v>46202.90184</v>
      </c>
      <c r="D1289" s="15" t="str">
        <f>IFERROR(__xludf.DUMMYFUNCTION("""COMPUTED_VALUE"""),"P ASRS")</f>
        <v>P ASRS</v>
      </c>
      <c r="E1289" s="15" t="str">
        <f>IFERROR(__xludf.DUMMYFUNCTION("""COMPUTED_VALUE"""),"EJO/2026/06/102")</f>
        <v>EJO/2026/06/102</v>
      </c>
      <c r="F1289" s="15" t="str">
        <f>IFERROR(__xludf.DUMMYFUNCTION("""COMPUTED_VALUE"""),"Kunci Panel")</f>
        <v>Kunci Panel</v>
      </c>
      <c r="G1289" s="15">
        <f>IFERROR(__xludf.DUMMYFUNCTION("""COMPUTED_VALUE"""),5.0)</f>
        <v>5</v>
      </c>
      <c r="H1289" s="15" t="str">
        <f>IFERROR(__xludf.DUMMYFUNCTION("""COMPUTED_VALUE"""),"Pcs")</f>
        <v>Pcs</v>
      </c>
      <c r="I1289" s="15" t="str">
        <f>IFERROR(__xludf.DUMMYFUNCTION("""COMPUTED_VALUE"""),"Proses PR")</f>
        <v>Proses PR</v>
      </c>
      <c r="J1289" s="15" t="str">
        <f>IFERROR(__xludf.DUMMYFUNCTION("""COMPUTED_VALUE"""),"-")</f>
        <v>-</v>
      </c>
      <c r="K1289" s="15" t="str">
        <f>IFERROR(__xludf.DUMMYFUNCTION("""COMPUTED_VALUE"""),"-")</f>
        <v>-</v>
      </c>
      <c r="L1289" s="15" t="str">
        <f>IFERROR(__xludf.DUMMYFUNCTION("""COMPUTED_VALUE"""),"Normal")</f>
        <v>Normal</v>
      </c>
      <c r="M1289" s="18" t="s">
        <v>32</v>
      </c>
      <c r="N1289" s="18" t="s">
        <v>28</v>
      </c>
    </row>
    <row r="1290" hidden="1">
      <c r="A1290" s="15" t="str">
        <f>IFERROR(__xludf.DUMMYFUNCTION("""COMPUTED_VALUE"""),"RIABR0179")</f>
        <v>RIABR0179</v>
      </c>
      <c r="B1290" s="16">
        <f>IFERROR(__xludf.DUMMYFUNCTION("""COMPUTED_VALUE"""),46195.88062890047)</f>
        <v>46195.88063</v>
      </c>
      <c r="C1290" s="17">
        <f>IFERROR(__xludf.DUMMYFUNCTION("""COMPUTED_VALUE"""),46202.902007083336)</f>
        <v>46202.90201</v>
      </c>
      <c r="D1290" s="15" t="str">
        <f>IFERROR(__xludf.DUMMYFUNCTION("""COMPUTED_VALUE"""),"R Filling")</f>
        <v>R Filling</v>
      </c>
      <c r="E1290" s="15" t="str">
        <f>IFERROR(__xludf.DUMMYFUNCTION("""COMPUTED_VALUE"""),"-")</f>
        <v>-</v>
      </c>
      <c r="F1290" s="15" t="str">
        <f>IFERROR(__xludf.DUMMYFUNCTION("""COMPUTED_VALUE"""),"Saklar")</f>
        <v>Saklar</v>
      </c>
      <c r="G1290" s="15">
        <f>IFERROR(__xludf.DUMMYFUNCTION("""COMPUTED_VALUE"""),1.0)</f>
        <v>1</v>
      </c>
      <c r="H1290" s="15" t="str">
        <f>IFERROR(__xludf.DUMMYFUNCTION("""COMPUTED_VALUE"""),"Pcs")</f>
        <v>Pcs</v>
      </c>
      <c r="I1290" s="15" t="str">
        <f>IFERROR(__xludf.DUMMYFUNCTION("""COMPUTED_VALUE"""),"PO Open")</f>
        <v>PO Open</v>
      </c>
      <c r="J1290" s="15" t="str">
        <f>IFERROR(__xludf.DUMMYFUNCTION("""COMPUTED_VALUE"""),"121704512 - APPROVED")</f>
        <v>121704512 - APPROVED</v>
      </c>
      <c r="K1290" s="15" t="str">
        <f>IFERROR(__xludf.DUMMYFUNCTION("""COMPUTED_VALUE"""),"GL2608037")</f>
        <v>GL2608037</v>
      </c>
      <c r="L1290" s="15" t="str">
        <f>IFERROR(__xludf.DUMMYFUNCTION("""COMPUTED_VALUE"""),"Normal")</f>
        <v>Normal</v>
      </c>
      <c r="M1290" s="18" t="s">
        <v>32</v>
      </c>
      <c r="N1290" s="18" t="s">
        <v>28</v>
      </c>
    </row>
    <row r="1291" hidden="1">
      <c r="A1291" s="15" t="str">
        <f>IFERROR(__xludf.DUMMYFUNCTION("""COMPUTED_VALUE"""),"RIABR0009")</f>
        <v>RIABR0009</v>
      </c>
      <c r="B1291" s="16">
        <f>IFERROR(__xludf.DUMMYFUNCTION("""COMPUTED_VALUE"""),45692.575986041666)</f>
        <v>45692.57599</v>
      </c>
      <c r="C1291" s="17">
        <f>IFERROR(__xludf.DUMMYFUNCTION("""COMPUTED_VALUE"""),46202.91479916667)</f>
        <v>46202.9148</v>
      </c>
      <c r="D1291" s="15" t="str">
        <f>IFERROR(__xludf.DUMMYFUNCTION("""COMPUTED_VALUE"""),"WWTP")</f>
        <v>WWTP</v>
      </c>
      <c r="E1291" s="15" t="str">
        <f>IFERROR(__xludf.DUMMYFUNCTION("""COMPUTED_VALUE"""),"EJO/2024/08/58")</f>
        <v>EJO/2024/08/58</v>
      </c>
      <c r="F1291" s="15" t="str">
        <f>IFERROR(__xludf.DUMMYFUNCTION("""COMPUTED_VALUE"""),"Pompa Transfer")</f>
        <v>Pompa Transfer</v>
      </c>
      <c r="G1291" s="15">
        <f>IFERROR(__xludf.DUMMYFUNCTION("""COMPUTED_VALUE"""),2.0)</f>
        <v>2</v>
      </c>
      <c r="H1291" s="15" t="str">
        <f>IFERROR(__xludf.DUMMYFUNCTION("""COMPUTED_VALUE"""),"Pcs")</f>
        <v>Pcs</v>
      </c>
      <c r="I1291" s="15" t="str">
        <f>IFERROR(__xludf.DUMMYFUNCTION("""COMPUTED_VALUE"""),"Proses PR")</f>
        <v>Proses PR</v>
      </c>
      <c r="J1291" s="15" t="str">
        <f>IFERROR(__xludf.DUMMYFUNCTION("""COMPUTED_VALUE"""),"-")</f>
        <v>-</v>
      </c>
      <c r="K1291" s="15" t="str">
        <f>IFERROR(__xludf.DUMMYFUNCTION("""COMPUTED_VALUE"""),"-")</f>
        <v>-</v>
      </c>
      <c r="L1291" s="15" t="str">
        <f>IFERROR(__xludf.DUMMYFUNCTION("""COMPUTED_VALUE"""),"Normal")</f>
        <v>Normal</v>
      </c>
      <c r="M1291" s="18" t="s">
        <v>32</v>
      </c>
      <c r="N1291" s="18" t="s">
        <v>28</v>
      </c>
    </row>
    <row r="1292" hidden="1">
      <c r="A1292" s="15" t="str">
        <f>IFERROR(__xludf.DUMMYFUNCTION("""COMPUTED_VALUE"""),"RIABR0153")</f>
        <v>RIABR0153</v>
      </c>
      <c r="B1292" s="16">
        <f>IFERROR(__xludf.DUMMYFUNCTION("""COMPUTED_VALUE"""),46078.689783726855)</f>
        <v>46078.68978</v>
      </c>
      <c r="C1292" s="17">
        <f>IFERROR(__xludf.DUMMYFUNCTION("""COMPUTED_VALUE"""),46202.91528903935)</f>
        <v>46202.91529</v>
      </c>
      <c r="D1292" s="15" t="str">
        <f>IFERROR(__xludf.DUMMYFUNCTION("""COMPUTED_VALUE"""),"All Area")</f>
        <v>All Area</v>
      </c>
      <c r="E1292" s="15" t="str">
        <f>IFERROR(__xludf.DUMMYFUNCTION("""COMPUTED_VALUE"""),"-")</f>
        <v>-</v>
      </c>
      <c r="F1292" s="15" t="str">
        <f>IFERROR(__xludf.DUMMYFUNCTION("""COMPUTED_VALUE"""),"Pilox")</f>
        <v>Pilox</v>
      </c>
      <c r="G1292" s="15">
        <f>IFERROR(__xludf.DUMMYFUNCTION("""COMPUTED_VALUE"""),10.0)</f>
        <v>10</v>
      </c>
      <c r="H1292" s="15" t="str">
        <f>IFERROR(__xludf.DUMMYFUNCTION("""COMPUTED_VALUE"""),"Pcs")</f>
        <v>Pcs</v>
      </c>
      <c r="I1292" s="15" t="str">
        <f>IFERROR(__xludf.DUMMYFUNCTION("""COMPUTED_VALUE"""),"Approval Item Code")</f>
        <v>Approval Item Code</v>
      </c>
      <c r="J1292" s="15" t="str">
        <f>IFERROR(__xludf.DUMMYFUNCTION("""COMPUTED_VALUE"""),"-")</f>
        <v>-</v>
      </c>
      <c r="K1292" s="15" t="str">
        <f>IFERROR(__xludf.DUMMYFUNCTION("""COMPUTED_VALUE"""),"-")</f>
        <v>-</v>
      </c>
      <c r="L1292" s="15" t="str">
        <f>IFERROR(__xludf.DUMMYFUNCTION("""COMPUTED_VALUE"""),"Normal")</f>
        <v>Normal</v>
      </c>
      <c r="M1292" s="18" t="s">
        <v>32</v>
      </c>
      <c r="N1292" s="18" t="s">
        <v>28</v>
      </c>
    </row>
    <row r="1293" hidden="1">
      <c r="A1293" s="15" t="str">
        <f>IFERROR(__xludf.DUMMYFUNCTION("""COMPUTED_VALUE"""),"RIABR0137")</f>
        <v>RIABR0137</v>
      </c>
      <c r="B1293" s="16">
        <f>IFERROR(__xludf.DUMMYFUNCTION("""COMPUTED_VALUE"""),46056.464922708336)</f>
        <v>46056.46492</v>
      </c>
      <c r="C1293" s="17">
        <f>IFERROR(__xludf.DUMMYFUNCTION("""COMPUTED_VALUE"""),46202.915880277775)</f>
        <v>46202.91588</v>
      </c>
      <c r="D1293" s="15" t="str">
        <f>IFERROR(__xludf.DUMMYFUNCTION("""COMPUTED_VALUE"""),"N2 Generator")</f>
        <v>N2 Generator</v>
      </c>
      <c r="E1293" s="15" t="str">
        <f>IFERROR(__xludf.DUMMYFUNCTION("""COMPUTED_VALUE"""),"EJO/2026/02/14")</f>
        <v>EJO/2026/02/14</v>
      </c>
      <c r="F1293" s="15" t="str">
        <f>IFERROR(__xludf.DUMMYFUNCTION("""COMPUTED_VALUE"""),"Display Flow Meter")</f>
        <v>Display Flow Meter</v>
      </c>
      <c r="G1293" s="15">
        <f>IFERROR(__xludf.DUMMYFUNCTION("""COMPUTED_VALUE"""),1.0)</f>
        <v>1</v>
      </c>
      <c r="H1293" s="15" t="str">
        <f>IFERROR(__xludf.DUMMYFUNCTION("""COMPUTED_VALUE"""),"Pcs")</f>
        <v>Pcs</v>
      </c>
      <c r="I1293" s="15" t="str">
        <f>IFERROR(__xludf.DUMMYFUNCTION("""COMPUTED_VALUE"""),"Pembuatan Item Code")</f>
        <v>Pembuatan Item Code</v>
      </c>
      <c r="J1293" s="15" t="str">
        <f>IFERROR(__xludf.DUMMYFUNCTION("""COMPUTED_VALUE"""),"-")</f>
        <v>-</v>
      </c>
      <c r="K1293" s="15" t="str">
        <f>IFERROR(__xludf.DUMMYFUNCTION("""COMPUTED_VALUE"""),"-")</f>
        <v>-</v>
      </c>
      <c r="L1293" s="15" t="str">
        <f>IFERROR(__xludf.DUMMYFUNCTION("""COMPUTED_VALUE"""),"Normal")</f>
        <v>Normal</v>
      </c>
      <c r="M1293" s="18" t="s">
        <v>32</v>
      </c>
      <c r="N1293" s="18" t="s">
        <v>28</v>
      </c>
    </row>
    <row r="1294" hidden="1">
      <c r="A1294" s="15" t="str">
        <f>IFERROR(__xludf.DUMMYFUNCTION("""COMPUTED_VALUE"""),"RIABR0108")</f>
        <v>RIABR0108</v>
      </c>
      <c r="B1294" s="16">
        <f>IFERROR(__xludf.DUMMYFUNCTION("""COMPUTED_VALUE"""),45938.666689837955)</f>
        <v>45938.66669</v>
      </c>
      <c r="C1294" s="17">
        <f>IFERROR(__xludf.DUMMYFUNCTION("""COMPUTED_VALUE"""),46202.9199297338)</f>
        <v>46202.91993</v>
      </c>
      <c r="D1294" s="15" t="str">
        <f>IFERROR(__xludf.DUMMYFUNCTION("""COMPUTED_VALUE"""),"WWTP")</f>
        <v>WWTP</v>
      </c>
      <c r="E1294" s="15" t="str">
        <f>IFERROR(__xludf.DUMMYFUNCTION("""COMPUTED_VALUE"""),"EJO/2025/10/40")</f>
        <v>EJO/2025/10/40</v>
      </c>
      <c r="F1294" s="15" t="str">
        <f>IFERROR(__xludf.DUMMYFUNCTION("""COMPUTED_VALUE"""),"Level Switch")</f>
        <v>Level Switch</v>
      </c>
      <c r="G1294" s="15">
        <f>IFERROR(__xludf.DUMMYFUNCTION("""COMPUTED_VALUE"""),1.0)</f>
        <v>1</v>
      </c>
      <c r="H1294" s="15" t="str">
        <f>IFERROR(__xludf.DUMMYFUNCTION("""COMPUTED_VALUE"""),"Set")</f>
        <v>Set</v>
      </c>
      <c r="I1294" s="15" t="str">
        <f>IFERROR(__xludf.DUMMYFUNCTION("""COMPUTED_VALUE"""),"Approval PR")</f>
        <v>Approval PR</v>
      </c>
      <c r="J1294" s="15" t="str">
        <f>IFERROR(__xludf.DUMMYFUNCTION("""COMPUTED_VALUE"""),"121704553 - INCOMPLETE")</f>
        <v>121704553 - INCOMPLETE</v>
      </c>
      <c r="K1294" s="15" t="str">
        <f>IFERROR(__xludf.DUMMYFUNCTION("""COMPUTED_VALUE"""),"-")</f>
        <v>-</v>
      </c>
      <c r="L1294" s="15" t="str">
        <f>IFERROR(__xludf.DUMMYFUNCTION("""COMPUTED_VALUE"""),"Normal")</f>
        <v>Normal</v>
      </c>
      <c r="M1294" s="18" t="s">
        <v>32</v>
      </c>
      <c r="N1294" s="18" t="s">
        <v>28</v>
      </c>
    </row>
    <row r="1295" hidden="1">
      <c r="A1295" s="15" t="str">
        <f>IFERROR(__xludf.DUMMYFUNCTION("""COMPUTED_VALUE"""),"RIABR0034")</f>
        <v>RIABR0034</v>
      </c>
      <c r="B1295" s="16">
        <f>IFERROR(__xludf.DUMMYFUNCTION("""COMPUTED_VALUE"""),45775.51172054398)</f>
        <v>45775.51172</v>
      </c>
      <c r="C1295" s="17">
        <f>IFERROR(__xludf.DUMMYFUNCTION("""COMPUTED_VALUE"""),46202.920854108794)</f>
        <v>46202.92085</v>
      </c>
      <c r="D1295" s="15" t="str">
        <f>IFERROR(__xludf.DUMMYFUNCTION("""COMPUTED_VALUE"""),"WWTP")</f>
        <v>WWTP</v>
      </c>
      <c r="E1295" s="15" t="str">
        <f>IFERROR(__xludf.DUMMYFUNCTION("""COMPUTED_VALUE"""),"EJO/2025/05/01")</f>
        <v>EJO/2025/05/01</v>
      </c>
      <c r="F1295" s="15" t="str">
        <f>IFERROR(__xludf.DUMMYFUNCTION("""COMPUTED_VALUE"""),"Solenoid Valve")</f>
        <v>Solenoid Valve</v>
      </c>
      <c r="G1295" s="15">
        <f>IFERROR(__xludf.DUMMYFUNCTION("""COMPUTED_VALUE"""),1.0)</f>
        <v>1</v>
      </c>
      <c r="H1295" s="15" t="str">
        <f>IFERROR(__xludf.DUMMYFUNCTION("""COMPUTED_VALUE"""),"Pcs")</f>
        <v>Pcs</v>
      </c>
      <c r="I1295" s="15" t="str">
        <f>IFERROR(__xludf.DUMMYFUNCTION("""COMPUTED_VALUE"""),"Proses PR")</f>
        <v>Proses PR</v>
      </c>
      <c r="J1295" s="15" t="str">
        <f>IFERROR(__xludf.DUMMYFUNCTION("""COMPUTED_VALUE"""),"-")</f>
        <v>-</v>
      </c>
      <c r="K1295" s="15" t="str">
        <f>IFERROR(__xludf.DUMMYFUNCTION("""COMPUTED_VALUE"""),"-")</f>
        <v>-</v>
      </c>
      <c r="L1295" s="15" t="str">
        <f>IFERROR(__xludf.DUMMYFUNCTION("""COMPUTED_VALUE"""),"Normal")</f>
        <v>Normal</v>
      </c>
      <c r="M1295" s="18" t="s">
        <v>32</v>
      </c>
      <c r="N1295" s="18" t="s">
        <v>28</v>
      </c>
    </row>
    <row r="1296" hidden="1">
      <c r="A1296" s="15" t="str">
        <f>IFERROR(__xludf.DUMMYFUNCTION("""COMPUTED_VALUE"""),"RIARO0051")</f>
        <v>RIARO0051</v>
      </c>
      <c r="B1296" s="16">
        <f>IFERROR(__xludf.DUMMYFUNCTION("""COMPUTED_VALUE"""),45926.880745277784)</f>
        <v>45926.88075</v>
      </c>
      <c r="C1296" s="17">
        <f>IFERROR(__xludf.DUMMYFUNCTION("""COMPUTED_VALUE"""),46202.92251226852)</f>
        <v>46202.92251</v>
      </c>
      <c r="D1296" s="15" t="str">
        <f>IFERROR(__xludf.DUMMYFUNCTION("""COMPUTED_VALUE"""),"Coating")</f>
        <v>Coating</v>
      </c>
      <c r="E1296" s="15" t="str">
        <f>IFERROR(__xludf.DUMMYFUNCTION("""COMPUTED_VALUE"""),"EJO/2025/09/129")</f>
        <v>EJO/2025/09/129</v>
      </c>
      <c r="F1296" s="15" t="str">
        <f>IFERROR(__xludf.DUMMYFUNCTION("""COMPUTED_VALUE"""),"Membrane Diaphragm Valve EPDM PTFE DN 50 p/n: 600 50M5E-221 Gemu; ; ;")</f>
        <v>Membrane Diaphragm Valve EPDM PTFE DN 50 p/n: 600 50M5E-221 Gemu; ; ;</v>
      </c>
      <c r="G1296" s="15">
        <f>IFERROR(__xludf.DUMMYFUNCTION("""COMPUTED_VALUE"""),1.0)</f>
        <v>1</v>
      </c>
      <c r="H1296" s="15" t="str">
        <f>IFERROR(__xludf.DUMMYFUNCTION("""COMPUTED_VALUE"""),"Pcs")</f>
        <v>Pcs</v>
      </c>
      <c r="I1296" s="15" t="str">
        <f>IFERROR(__xludf.DUMMYFUNCTION("""COMPUTED_VALUE"""),"Deliver")</f>
        <v>Deliver</v>
      </c>
      <c r="J1296" s="15" t="str">
        <f>IFERROR(__xludf.DUMMYFUNCTION("""COMPUTED_VALUE"""),"121704432 - APPROVED")</f>
        <v>121704432 - APPROVED</v>
      </c>
      <c r="K1296" s="15" t="str">
        <f>IFERROR(__xludf.DUMMYFUNCTION("""COMPUTED_VALUE"""),"GL2608386")</f>
        <v>GL2608386</v>
      </c>
      <c r="L1296" s="15" t="str">
        <f>IFERROR(__xludf.DUMMYFUNCTION("""COMPUTED_VALUE"""),"Normal")</f>
        <v>Normal</v>
      </c>
      <c r="M1296" s="18" t="s">
        <v>32</v>
      </c>
      <c r="N1296" s="18" t="s">
        <v>28</v>
      </c>
    </row>
    <row r="1297" hidden="1">
      <c r="A1297" s="15" t="str">
        <f>IFERROR(__xludf.DUMMYFUNCTION("""COMPUTED_VALUE"""),"RIARO0080")</f>
        <v>RIARO0080</v>
      </c>
      <c r="B1297" s="16">
        <f>IFERROR(__xludf.DUMMYFUNCTION("""COMPUTED_VALUE"""),46118.68604018518)</f>
        <v>46118.68604</v>
      </c>
      <c r="C1297" s="17">
        <f>IFERROR(__xludf.DUMMYFUNCTION("""COMPUTED_VALUE"""),46202.92318100694)</f>
        <v>46202.92318</v>
      </c>
      <c r="D1297" s="15" t="str">
        <f>IFERROR(__xludf.DUMMYFUNCTION("""COMPUTED_VALUE"""),"AHU")</f>
        <v>AHU</v>
      </c>
      <c r="E1297" s="15" t="str">
        <f>IFERROR(__xludf.DUMMYFUNCTION("""COMPUTED_VALUE"""),"-")</f>
        <v>-</v>
      </c>
      <c r="F1297" s="15" t="str">
        <f>IFERROR(__xludf.DUMMYFUNCTION("""COMPUTED_VALUE"""),"General - Chemical Cleaning; Kuclean; AC 101; 1 PL = 25 Kg")</f>
        <v>General - Chemical Cleaning; Kuclean; AC 101; 1 PL = 25 Kg</v>
      </c>
      <c r="G1297" s="15">
        <f>IFERROR(__xludf.DUMMYFUNCTION("""COMPUTED_VALUE"""),3.0)</f>
        <v>3</v>
      </c>
      <c r="H1297" s="15" t="str">
        <f>IFERROR(__xludf.DUMMYFUNCTION("""COMPUTED_VALUE"""),"Pcs")</f>
        <v>Pcs</v>
      </c>
      <c r="I1297" s="15" t="str">
        <f>IFERROR(__xludf.DUMMYFUNCTION("""COMPUTED_VALUE"""),"Deliver")</f>
        <v>Deliver</v>
      </c>
      <c r="J1297" s="15" t="str">
        <f>IFERROR(__xludf.DUMMYFUNCTION("""COMPUTED_VALUE"""),"121702906 - APPROVED")</f>
        <v>121702906 - APPROVED</v>
      </c>
      <c r="K1297" s="15" t="str">
        <f>IFERROR(__xludf.DUMMYFUNCTION("""COMPUTED_VALUE"""),"GL2507019")</f>
        <v>GL2507019</v>
      </c>
      <c r="L1297" s="15" t="str">
        <f>IFERROR(__xludf.DUMMYFUNCTION("""COMPUTED_VALUE"""),"Normal")</f>
        <v>Normal</v>
      </c>
      <c r="M1297" s="18" t="s">
        <v>32</v>
      </c>
      <c r="N1297" s="18" t="s">
        <v>28</v>
      </c>
    </row>
    <row r="1298" hidden="1">
      <c r="A1298" s="15" t="str">
        <f>IFERROR(__xludf.DUMMYFUNCTION("""COMPUTED_VALUE"""),"RIARO0090")</f>
        <v>RIARO0090</v>
      </c>
      <c r="B1298" s="16">
        <f>IFERROR(__xludf.DUMMYFUNCTION("""COMPUTED_VALUE"""),46156.37053158565)</f>
        <v>46156.37053</v>
      </c>
      <c r="C1298" s="17">
        <f>IFERROR(__xludf.DUMMYFUNCTION("""COMPUTED_VALUE"""),46202.92496674769)</f>
        <v>46202.92497</v>
      </c>
      <c r="D1298" s="15" t="str">
        <f>IFERROR(__xludf.DUMMYFUNCTION("""COMPUTED_VALUE"""),"All Area")</f>
        <v>All Area</v>
      </c>
      <c r="E1298" s="15" t="str">
        <f>IFERROR(__xludf.DUMMYFUNCTION("""COMPUTED_VALUE"""),"-")</f>
        <v>-</v>
      </c>
      <c r="F1298" s="15" t="str">
        <f>IFERROR(__xludf.DUMMYFUNCTION("""COMPUTED_VALUE"""),"General - Kabel NYAF Uk. 1 x 0.75mm, Warna Merah; Supreme; -; 100meter/roll")</f>
        <v>General - Kabel NYAF Uk. 1 x 0.75mm, Warna Merah; Supreme; -; 100meter/roll</v>
      </c>
      <c r="G1298" s="15">
        <f>IFERROR(__xludf.DUMMYFUNCTION("""COMPUTED_VALUE"""),100.0)</f>
        <v>100</v>
      </c>
      <c r="H1298" s="15" t="str">
        <f>IFERROR(__xludf.DUMMYFUNCTION("""COMPUTED_VALUE"""),"Mtr")</f>
        <v>Mtr</v>
      </c>
      <c r="I1298" s="15" t="str">
        <f>IFERROR(__xludf.DUMMYFUNCTION("""COMPUTED_VALUE"""),"PO Open")</f>
        <v>PO Open</v>
      </c>
      <c r="J1298" s="15" t="str">
        <f>IFERROR(__xludf.DUMMYFUNCTION("""COMPUTED_VALUE"""),"121704447 - APPROVED")</f>
        <v>121704447 - APPROVED</v>
      </c>
      <c r="K1298" s="15" t="str">
        <f>IFERROR(__xludf.DUMMYFUNCTION("""COMPUTED_VALUE"""),"GL2608396")</f>
        <v>GL2608396</v>
      </c>
      <c r="L1298" s="15" t="str">
        <f>IFERROR(__xludf.DUMMYFUNCTION("""COMPUTED_VALUE"""),"Normal")</f>
        <v>Normal</v>
      </c>
      <c r="M1298" s="18" t="s">
        <v>32</v>
      </c>
      <c r="N1298" s="18" t="s">
        <v>28</v>
      </c>
    </row>
    <row r="1299" hidden="1">
      <c r="A1299" s="15" t="str">
        <f>IFERROR(__xludf.DUMMYFUNCTION("""COMPUTED_VALUE"""),"RIARO0091")</f>
        <v>RIARO0091</v>
      </c>
      <c r="B1299" s="16">
        <f>IFERROR(__xludf.DUMMYFUNCTION("""COMPUTED_VALUE"""),46156.37143658564)</f>
        <v>46156.37144</v>
      </c>
      <c r="C1299" s="17">
        <f>IFERROR(__xludf.DUMMYFUNCTION("""COMPUTED_VALUE"""),46202.92509637731)</f>
        <v>46202.9251</v>
      </c>
      <c r="D1299" s="15" t="str">
        <f>IFERROR(__xludf.DUMMYFUNCTION("""COMPUTED_VALUE"""),"All Area")</f>
        <v>All Area</v>
      </c>
      <c r="E1299" s="15" t="str">
        <f>IFERROR(__xludf.DUMMYFUNCTION("""COMPUTED_VALUE"""),"-")</f>
        <v>-</v>
      </c>
      <c r="F1299" s="15" t="str">
        <f>IFERROR(__xludf.DUMMYFUNCTION("""COMPUTED_VALUE"""),"General - Baut L, SS, M3 x 30 mm + Mur + Ring; No Brand; -; 1 pcs")</f>
        <v>General - Baut L, SS, M3 x 30 mm + Mur + Ring; No Brand; -; 1 pcs</v>
      </c>
      <c r="G1299" s="15">
        <f>IFERROR(__xludf.DUMMYFUNCTION("""COMPUTED_VALUE"""),100.0)</f>
        <v>100</v>
      </c>
      <c r="H1299" s="15" t="str">
        <f>IFERROR(__xludf.DUMMYFUNCTION("""COMPUTED_VALUE"""),"Pcs")</f>
        <v>Pcs</v>
      </c>
      <c r="I1299" s="15" t="str">
        <f>IFERROR(__xludf.DUMMYFUNCTION("""COMPUTED_VALUE"""),"PO Open")</f>
        <v>PO Open</v>
      </c>
      <c r="J1299" s="15" t="str">
        <f>IFERROR(__xludf.DUMMYFUNCTION("""COMPUTED_VALUE"""),"121704455 - APPROVED")</f>
        <v>121704455 - APPROVED</v>
      </c>
      <c r="K1299" s="15" t="str">
        <f>IFERROR(__xludf.DUMMYFUNCTION("""COMPUTED_VALUE"""),"GL2608407")</f>
        <v>GL2608407</v>
      </c>
      <c r="L1299" s="15" t="str">
        <f>IFERROR(__xludf.DUMMYFUNCTION("""COMPUTED_VALUE"""),"Normal")</f>
        <v>Normal</v>
      </c>
      <c r="M1299" s="18" t="s">
        <v>32</v>
      </c>
      <c r="N1299" s="18" t="s">
        <v>28</v>
      </c>
    </row>
    <row r="1300" hidden="1">
      <c r="A1300" s="15" t="str">
        <f>IFERROR(__xludf.DUMMYFUNCTION("""COMPUTED_VALUE"""),"RIARO0092")</f>
        <v>RIARO0092</v>
      </c>
      <c r="B1300" s="16">
        <f>IFERROR(__xludf.DUMMYFUNCTION("""COMPUTED_VALUE"""),46181.14300125)</f>
        <v>46181.143</v>
      </c>
      <c r="C1300" s="17">
        <f>IFERROR(__xludf.DUMMYFUNCTION("""COMPUTED_VALUE"""),46202.92521490741)</f>
        <v>46202.92521</v>
      </c>
      <c r="D1300" s="15" t="str">
        <f>IFERROR(__xludf.DUMMYFUNCTION("""COMPUTED_VALUE"""),"All Area")</f>
        <v>All Area</v>
      </c>
      <c r="E1300" s="15" t="str">
        <f>IFERROR(__xludf.DUMMYFUNCTION("""COMPUTED_VALUE"""),"-")</f>
        <v>-</v>
      </c>
      <c r="F1300" s="15" t="str">
        <f>IFERROR(__xludf.DUMMYFUNCTION("""COMPUTED_VALUE"""),"STOP KONTAK LUBANG 4, BROCO")</f>
        <v>STOP KONTAK LUBANG 4, BROCO</v>
      </c>
      <c r="G1300" s="15">
        <f>IFERROR(__xludf.DUMMYFUNCTION("""COMPUTED_VALUE"""),20.0)</f>
        <v>20</v>
      </c>
      <c r="H1300" s="15" t="str">
        <f>IFERROR(__xludf.DUMMYFUNCTION("""COMPUTED_VALUE"""),"Pcs")</f>
        <v>Pcs</v>
      </c>
      <c r="I1300" s="15" t="str">
        <f>IFERROR(__xludf.DUMMYFUNCTION("""COMPUTED_VALUE"""),"PO Open")</f>
        <v>PO Open</v>
      </c>
      <c r="J1300" s="15" t="str">
        <f>IFERROR(__xludf.DUMMYFUNCTION("""COMPUTED_VALUE"""),"121704365 - APPROVED")</f>
        <v>121704365 - APPROVED</v>
      </c>
      <c r="K1300" s="15" t="str">
        <f>IFERROR(__xludf.DUMMYFUNCTION("""COMPUTED_VALUE"""),"-")</f>
        <v>-</v>
      </c>
      <c r="L1300" s="15" t="str">
        <f>IFERROR(__xludf.DUMMYFUNCTION("""COMPUTED_VALUE"""),"Normal")</f>
        <v>Normal</v>
      </c>
      <c r="M1300" s="18" t="s">
        <v>32</v>
      </c>
      <c r="N1300" s="18" t="s">
        <v>28</v>
      </c>
    </row>
    <row r="1301" hidden="1">
      <c r="A1301" s="15" t="str">
        <f>IFERROR(__xludf.DUMMYFUNCTION("""COMPUTED_VALUE"""),"RIARO0093")</f>
        <v>RIARO0093</v>
      </c>
      <c r="B1301" s="16">
        <f>IFERROR(__xludf.DUMMYFUNCTION("""COMPUTED_VALUE"""),46181.143763078704)</f>
        <v>46181.14376</v>
      </c>
      <c r="C1301" s="17">
        <f>IFERROR(__xludf.DUMMYFUNCTION("""COMPUTED_VALUE"""),46202.92532957176)</f>
        <v>46202.92533</v>
      </c>
      <c r="D1301" s="15" t="str">
        <f>IFERROR(__xludf.DUMMYFUNCTION("""COMPUTED_VALUE"""),"N2 Generator")</f>
        <v>N2 Generator</v>
      </c>
      <c r="E1301" s="15" t="str">
        <f>IFERROR(__xludf.DUMMYFUNCTION("""COMPUTED_VALUE"""),"-")</f>
        <v>-</v>
      </c>
      <c r="F1301" s="15" t="str">
        <f>IFERROR(__xludf.DUMMYFUNCTION("""COMPUTED_VALUE"""),"General - Element Filter 1 micron; NXE-400-Z; -; 1 pc")</f>
        <v>General - Element Filter 1 micron; NXE-400-Z; -; 1 pc</v>
      </c>
      <c r="G1301" s="15">
        <f>IFERROR(__xludf.DUMMYFUNCTION("""COMPUTED_VALUE"""),1.0)</f>
        <v>1</v>
      </c>
      <c r="H1301" s="15" t="str">
        <f>IFERROR(__xludf.DUMMYFUNCTION("""COMPUTED_VALUE"""),"Pcs")</f>
        <v>Pcs</v>
      </c>
      <c r="I1301" s="15" t="str">
        <f>IFERROR(__xludf.DUMMYFUNCTION("""COMPUTED_VALUE"""),"Deliver")</f>
        <v>Deliver</v>
      </c>
      <c r="J1301" s="15" t="str">
        <f>IFERROR(__xludf.DUMMYFUNCTION("""COMPUTED_VALUE"""),"121704424 - APPROVED")</f>
        <v>121704424 - APPROVED</v>
      </c>
      <c r="K1301" s="15" t="str">
        <f>IFERROR(__xludf.DUMMYFUNCTION("""COMPUTED_VALUE"""),"GL2608395")</f>
        <v>GL2608395</v>
      </c>
      <c r="L1301" s="15" t="str">
        <f>IFERROR(__xludf.DUMMYFUNCTION("""COMPUTED_VALUE"""),"Normal")</f>
        <v>Normal</v>
      </c>
      <c r="M1301" s="18" t="s">
        <v>32</v>
      </c>
      <c r="N1301" s="18" t="s">
        <v>28</v>
      </c>
    </row>
    <row r="1302" hidden="1">
      <c r="A1302" s="15" t="str">
        <f>IFERROR(__xludf.DUMMYFUNCTION("""COMPUTED_VALUE"""),"RIARO0094")</f>
        <v>RIARO0094</v>
      </c>
      <c r="B1302" s="16">
        <f>IFERROR(__xludf.DUMMYFUNCTION("""COMPUTED_VALUE"""),46181.143786851855)</f>
        <v>46181.14379</v>
      </c>
      <c r="C1302" s="17">
        <f>IFERROR(__xludf.DUMMYFUNCTION("""COMPUTED_VALUE"""),46202.92546417824)</f>
        <v>46202.92546</v>
      </c>
      <c r="D1302" s="15" t="str">
        <f>IFERROR(__xludf.DUMMYFUNCTION("""COMPUTED_VALUE"""),"N2 Generator")</f>
        <v>N2 Generator</v>
      </c>
      <c r="E1302" s="15" t="str">
        <f>IFERROR(__xludf.DUMMYFUNCTION("""COMPUTED_VALUE"""),"-")</f>
        <v>-</v>
      </c>
      <c r="F1302" s="15" t="str">
        <f>IFERROR(__xludf.DUMMYFUNCTION("""COMPUTED_VALUE"""),"General - Element Filter 0.01 micron; NXE-400-X; -; 1 pc")</f>
        <v>General - Element Filter 0.01 micron; NXE-400-X; -; 1 pc</v>
      </c>
      <c r="G1302" s="15">
        <f>IFERROR(__xludf.DUMMYFUNCTION("""COMPUTED_VALUE"""),1.0)</f>
        <v>1</v>
      </c>
      <c r="H1302" s="15" t="str">
        <f>IFERROR(__xludf.DUMMYFUNCTION("""COMPUTED_VALUE"""),"Pcs")</f>
        <v>Pcs</v>
      </c>
      <c r="I1302" s="15" t="str">
        <f>IFERROR(__xludf.DUMMYFUNCTION("""COMPUTED_VALUE"""),"Deliver")</f>
        <v>Deliver</v>
      </c>
      <c r="J1302" s="15" t="str">
        <f>IFERROR(__xludf.DUMMYFUNCTION("""COMPUTED_VALUE"""),"121704424 - APPROVED")</f>
        <v>121704424 - APPROVED</v>
      </c>
      <c r="K1302" s="15" t="str">
        <f>IFERROR(__xludf.DUMMYFUNCTION("""COMPUTED_VALUE"""),"GL2608395")</f>
        <v>GL2608395</v>
      </c>
      <c r="L1302" s="15" t="str">
        <f>IFERROR(__xludf.DUMMYFUNCTION("""COMPUTED_VALUE"""),"Normal")</f>
        <v>Normal</v>
      </c>
      <c r="M1302" s="18" t="s">
        <v>32</v>
      </c>
      <c r="N1302" s="18" t="s">
        <v>28</v>
      </c>
    </row>
    <row r="1303" hidden="1">
      <c r="A1303" s="15" t="str">
        <f>IFERROR(__xludf.DUMMYFUNCTION("""COMPUTED_VALUE"""),"RIARO0095")</f>
        <v>RIARO0095</v>
      </c>
      <c r="B1303" s="16">
        <f>IFERROR(__xludf.DUMMYFUNCTION("""COMPUTED_VALUE"""),46181.143786851855)</f>
        <v>46181.14379</v>
      </c>
      <c r="C1303" s="17">
        <f>IFERROR(__xludf.DUMMYFUNCTION("""COMPUTED_VALUE"""),46202.925625972224)</f>
        <v>46202.92563</v>
      </c>
      <c r="D1303" s="15" t="str">
        <f>IFERROR(__xludf.DUMMYFUNCTION("""COMPUTED_VALUE"""),"N2 Generator")</f>
        <v>N2 Generator</v>
      </c>
      <c r="E1303" s="15" t="str">
        <f>IFERROR(__xludf.DUMMYFUNCTION("""COMPUTED_VALUE"""),"-")</f>
        <v>-</v>
      </c>
      <c r="F1303" s="15" t="str">
        <f>IFERROR(__xludf.DUMMYFUNCTION("""COMPUTED_VALUE"""),"General - Element Filter for N2; NEXUS; NXE-90-Z; 1 pc")</f>
        <v>General - Element Filter for N2; NEXUS; NXE-90-Z; 1 pc</v>
      </c>
      <c r="G1303" s="15">
        <f>IFERROR(__xludf.DUMMYFUNCTION("""COMPUTED_VALUE"""),1.0)</f>
        <v>1</v>
      </c>
      <c r="H1303" s="15" t="str">
        <f>IFERROR(__xludf.DUMMYFUNCTION("""COMPUTED_VALUE"""),"Pcs")</f>
        <v>Pcs</v>
      </c>
      <c r="I1303" s="15" t="str">
        <f>IFERROR(__xludf.DUMMYFUNCTION("""COMPUTED_VALUE"""),"Deliver")</f>
        <v>Deliver</v>
      </c>
      <c r="J1303" s="15" t="str">
        <f>IFERROR(__xludf.DUMMYFUNCTION("""COMPUTED_VALUE"""),"121704424 - APPROVED")</f>
        <v>121704424 - APPROVED</v>
      </c>
      <c r="K1303" s="15" t="str">
        <f>IFERROR(__xludf.DUMMYFUNCTION("""COMPUTED_VALUE"""),"GL2608395")</f>
        <v>GL2608395</v>
      </c>
      <c r="L1303" s="15" t="str">
        <f>IFERROR(__xludf.DUMMYFUNCTION("""COMPUTED_VALUE"""),"Normal")</f>
        <v>Normal</v>
      </c>
      <c r="M1303" s="18" t="s">
        <v>32</v>
      </c>
      <c r="N1303" s="18" t="s">
        <v>28</v>
      </c>
    </row>
    <row r="1304" hidden="1">
      <c r="A1304" s="15" t="str">
        <f>IFERROR(__xludf.DUMMYFUNCTION("""COMPUTED_VALUE"""),"RIARO0096")</f>
        <v>RIARO0096</v>
      </c>
      <c r="B1304" s="16">
        <f>IFERROR(__xludf.DUMMYFUNCTION("""COMPUTED_VALUE"""),46195.8818983912)</f>
        <v>46195.8819</v>
      </c>
      <c r="C1304" s="17">
        <f>IFERROR(__xludf.DUMMYFUNCTION("""COMPUTED_VALUE"""),46202.925865219906)</f>
        <v>46202.92587</v>
      </c>
      <c r="D1304" s="15" t="str">
        <f>IFERROR(__xludf.DUMMYFUNCTION("""COMPUTED_VALUE"""),"R Filling")</f>
        <v>R Filling</v>
      </c>
      <c r="E1304" s="15" t="str">
        <f>IFERROR(__xludf.DUMMYFUNCTION("""COMPUTED_VALUE"""),"-")</f>
        <v>-</v>
      </c>
      <c r="F1304" s="15" t="str">
        <f>IFERROR(__xludf.DUMMYFUNCTION("""COMPUTED_VALUE"""),"General - Cover Stop Kontak; Schneider; IEC 60529 BS5733; 1 pcs")</f>
        <v>General - Cover Stop Kontak; Schneider; IEC 60529 BS5733; 1 pcs</v>
      </c>
      <c r="G1304" s="15">
        <f>IFERROR(__xludf.DUMMYFUNCTION("""COMPUTED_VALUE"""),2.0)</f>
        <v>2</v>
      </c>
      <c r="H1304" s="15" t="str">
        <f>IFERROR(__xludf.DUMMYFUNCTION("""COMPUTED_VALUE"""),"Pcs")</f>
        <v>Pcs</v>
      </c>
      <c r="I1304" s="15" t="str">
        <f>IFERROR(__xludf.DUMMYFUNCTION("""COMPUTED_VALUE"""),"Deliver")</f>
        <v>Deliver</v>
      </c>
      <c r="J1304" s="15" t="str">
        <f>IFERROR(__xludf.DUMMYFUNCTION("""COMPUTED_VALUE"""),"121704456 - APPROVED")</f>
        <v>121704456 - APPROVED</v>
      </c>
      <c r="K1304" s="15" t="str">
        <f>IFERROR(__xludf.DUMMYFUNCTION("""COMPUTED_VALUE"""),"GL2608397")</f>
        <v>GL2608397</v>
      </c>
      <c r="L1304" s="15" t="str">
        <f>IFERROR(__xludf.DUMMYFUNCTION("""COMPUTED_VALUE"""),"Normal")</f>
        <v>Normal</v>
      </c>
      <c r="M1304" s="18" t="s">
        <v>32</v>
      </c>
      <c r="N1304" s="18" t="s">
        <v>28</v>
      </c>
    </row>
    <row r="1305" hidden="1">
      <c r="A1305" s="15" t="str">
        <f>IFERROR(__xludf.DUMMYFUNCTION("""COMPUTED_VALUE"""),"RIARO0097")</f>
        <v>RIARO0097</v>
      </c>
      <c r="B1305" s="16">
        <f>IFERROR(__xludf.DUMMYFUNCTION("""COMPUTED_VALUE"""),46197.62707462963)</f>
        <v>46197.62707</v>
      </c>
      <c r="C1305" s="17">
        <f>IFERROR(__xludf.DUMMYFUNCTION("""COMPUTED_VALUE"""),46202.92632899305)</f>
        <v>46202.92633</v>
      </c>
      <c r="D1305" s="15" t="str">
        <f>IFERROR(__xludf.DUMMYFUNCTION("""COMPUTED_VALUE"""),"AHU")</f>
        <v>AHU</v>
      </c>
      <c r="E1305" s="15" t="str">
        <f>IFERROR(__xludf.DUMMYFUNCTION("""COMPUTED_VALUE"""),"-")</f>
        <v>-</v>
      </c>
      <c r="F1305" s="15" t="str">
        <f>IFERROR(__xludf.DUMMYFUNCTION("""COMPUTED_VALUE"""),"General - Rotary Air Damper Actuator GDB166.1E; Siemens; S55499-D377; 1 pcs")</f>
        <v>General - Rotary Air Damper Actuator GDB166.1E; Siemens; S55499-D377; 1 pcs</v>
      </c>
      <c r="G1305" s="15">
        <f>IFERROR(__xludf.DUMMYFUNCTION("""COMPUTED_VALUE"""),20.0)</f>
        <v>20</v>
      </c>
      <c r="H1305" s="15" t="str">
        <f>IFERROR(__xludf.DUMMYFUNCTION("""COMPUTED_VALUE"""),"Pcs")</f>
        <v>Pcs</v>
      </c>
      <c r="I1305" s="15" t="str">
        <f>IFERROR(__xludf.DUMMYFUNCTION("""COMPUTED_VALUE"""),"PO Open")</f>
        <v>PO Open</v>
      </c>
      <c r="J1305" s="15" t="str">
        <f>IFERROR(__xludf.DUMMYFUNCTION("""COMPUTED_VALUE"""),"121704454 - APPROVED")</f>
        <v>121704454 - APPROVED</v>
      </c>
      <c r="K1305" s="15" t="str">
        <f>IFERROR(__xludf.DUMMYFUNCTION("""COMPUTED_VALUE"""),"GL2608031")</f>
        <v>GL2608031</v>
      </c>
      <c r="L1305" s="15" t="str">
        <f>IFERROR(__xludf.DUMMYFUNCTION("""COMPUTED_VALUE"""),"Normal")</f>
        <v>Normal</v>
      </c>
      <c r="M1305" s="18" t="s">
        <v>32</v>
      </c>
      <c r="N1305" s="18" t="s">
        <v>28</v>
      </c>
    </row>
    <row r="1306" hidden="1">
      <c r="A1306" s="15" t="str">
        <f>IFERROR(__xludf.DUMMYFUNCTION("""COMPUTED_VALUE"""),"RIARO0043")</f>
        <v>RIARO0043</v>
      </c>
      <c r="B1306" s="16">
        <f>IFERROR(__xludf.DUMMYFUNCTION("""COMPUTED_VALUE"""),45845.63556138889)</f>
        <v>45845.63556</v>
      </c>
      <c r="C1306" s="17">
        <f>IFERROR(__xludf.DUMMYFUNCTION("""COMPUTED_VALUE"""),46202.927279722215)</f>
        <v>46202.92728</v>
      </c>
      <c r="D1306" s="15" t="str">
        <f>IFERROR(__xludf.DUMMYFUNCTION("""COMPUTED_VALUE"""),"Water System ")</f>
        <v>Water System </v>
      </c>
      <c r="E1306" s="15" t="str">
        <f>IFERROR(__xludf.DUMMYFUNCTION("""COMPUTED_VALUE"""),"-")</f>
        <v>-</v>
      </c>
      <c r="F1306" s="15" t="str">
        <f>IFERROR(__xludf.DUMMYFUNCTION("""COMPUTED_VALUE"""),"Sodium metabisulfit")</f>
        <v>Sodium metabisulfit</v>
      </c>
      <c r="G1306" s="15">
        <f>IFERROR(__xludf.DUMMYFUNCTION("""COMPUTED_VALUE"""),5.0)</f>
        <v>5</v>
      </c>
      <c r="H1306" s="15" t="str">
        <f>IFERROR(__xludf.DUMMYFUNCTION("""COMPUTED_VALUE"""),"Sak")</f>
        <v>Sak</v>
      </c>
      <c r="I1306" s="15" t="str">
        <f>IFERROR(__xludf.DUMMYFUNCTION("""COMPUTED_VALUE"""),"Deliver")</f>
        <v>Deliver</v>
      </c>
      <c r="J1306" s="15" t="str">
        <f>IFERROR(__xludf.DUMMYFUNCTION("""COMPUTED_VALUE"""),"121704359 - APPROVED")</f>
        <v>121704359 - APPROVED</v>
      </c>
      <c r="K1306" s="15" t="str">
        <f>IFERROR(__xludf.DUMMYFUNCTION("""COMPUTED_VALUE"""),"GL2607027")</f>
        <v>GL2607027</v>
      </c>
      <c r="L1306" s="15" t="str">
        <f>IFERROR(__xludf.DUMMYFUNCTION("""COMPUTED_VALUE"""),"Normal")</f>
        <v>Normal</v>
      </c>
      <c r="M1306" s="18" t="s">
        <v>32</v>
      </c>
      <c r="N1306" s="18" t="s">
        <v>28</v>
      </c>
    </row>
    <row r="1307" hidden="1">
      <c r="A1307" s="15" t="str">
        <f>IFERROR(__xludf.DUMMYFUNCTION("""COMPUTED_VALUE"""),"RIAJA0014")</f>
        <v>RIAJA0014</v>
      </c>
      <c r="B1307" s="16">
        <f>IFERROR(__xludf.DUMMYFUNCTION("""COMPUTED_VALUE"""),46181.14574168982)</f>
        <v>46181.14574</v>
      </c>
      <c r="C1307" s="17">
        <f>IFERROR(__xludf.DUMMYFUNCTION("""COMPUTED_VALUE"""),46202.92888675926)</f>
        <v>46202.92889</v>
      </c>
      <c r="D1307" s="15" t="str">
        <f>IFERROR(__xludf.DUMMYFUNCTION("""COMPUTED_VALUE"""),"Virdi")</f>
        <v>Virdi</v>
      </c>
      <c r="E1307" s="15" t="str">
        <f>IFERROR(__xludf.DUMMYFUNCTION("""COMPUTED_VALUE"""),"EJO")</f>
        <v>EJO</v>
      </c>
      <c r="F1307" s="15" t="str">
        <f>IFERROR(__xludf.DUMMYFUNCTION("""COMPUTED_VALUE"""),"Perbaikan Board
Tapping Absen")</f>
        <v>Perbaikan Board
Tapping Absen</v>
      </c>
      <c r="G1307" s="15">
        <f>IFERROR(__xludf.DUMMYFUNCTION("""COMPUTED_VALUE"""),1.0)</f>
        <v>1</v>
      </c>
      <c r="H1307" s="15" t="str">
        <f>IFERROR(__xludf.DUMMYFUNCTION("""COMPUTED_VALUE"""),"Set")</f>
        <v>Set</v>
      </c>
      <c r="I1307" s="15" t="str">
        <f>IFERROR(__xludf.DUMMYFUNCTION("""COMPUTED_VALUE"""),"PO Open")</f>
        <v>PO Open</v>
      </c>
      <c r="J1307" s="15" t="str">
        <f>IFERROR(__xludf.DUMMYFUNCTION("""COMPUTED_VALUE"""),"121704472 - APPROVED")</f>
        <v>121704472 - APPROVED</v>
      </c>
      <c r="K1307" s="15" t="str">
        <f>IFERROR(__xludf.DUMMYFUNCTION("""COMPUTED_VALUE"""),"GL2608022")</f>
        <v>GL2608022</v>
      </c>
      <c r="L1307" s="15" t="str">
        <f>IFERROR(__xludf.DUMMYFUNCTION("""COMPUTED_VALUE"""),"Normal")</f>
        <v>Normal</v>
      </c>
      <c r="M1307" s="18" t="s">
        <v>32</v>
      </c>
      <c r="N1307" s="18" t="s">
        <v>28</v>
      </c>
    </row>
    <row r="1308" hidden="1">
      <c r="A1308" s="15" t="str">
        <f>IFERROR(__xludf.DUMMYFUNCTION("""COMPUTED_VALUE"""),"RIAJA0015")</f>
        <v>RIAJA0015</v>
      </c>
      <c r="B1308" s="16">
        <f>IFERROR(__xludf.DUMMYFUNCTION("""COMPUTED_VALUE"""),46181.14625178241)</f>
        <v>46181.14625</v>
      </c>
      <c r="C1308" s="17">
        <f>IFERROR(__xludf.DUMMYFUNCTION("""COMPUTED_VALUE"""),46202.92922936343)</f>
        <v>46202.92923</v>
      </c>
      <c r="D1308" s="15" t="str">
        <f>IFERROR(__xludf.DUMMYFUNCTION("""COMPUTED_VALUE"""),"WICC FGRM")</f>
        <v>WICC FGRM</v>
      </c>
      <c r="E1308" s="15" t="str">
        <f>IFERROR(__xludf.DUMMYFUNCTION("""COMPUTED_VALUE"""),"EJO")</f>
        <v>EJO</v>
      </c>
      <c r="F1308" s="15" t="str">
        <f>IFERROR(__xludf.DUMMYFUNCTION("""COMPUTED_VALUE"""),"Perbaikan Board Power")</f>
        <v>Perbaikan Board Power</v>
      </c>
      <c r="G1308" s="15">
        <f>IFERROR(__xludf.DUMMYFUNCTION("""COMPUTED_VALUE"""),1.0)</f>
        <v>1</v>
      </c>
      <c r="H1308" s="15" t="str">
        <f>IFERROR(__xludf.DUMMYFUNCTION("""COMPUTED_VALUE"""),"Set")</f>
        <v>Set</v>
      </c>
      <c r="I1308" s="15" t="str">
        <f>IFERROR(__xludf.DUMMYFUNCTION("""COMPUTED_VALUE"""),"Deliver")</f>
        <v>Deliver</v>
      </c>
      <c r="J1308" s="15" t="str">
        <f>IFERROR(__xludf.DUMMYFUNCTION("""COMPUTED_VALUE"""),"121704292 - APPROVED")</f>
        <v>121704292 - APPROVED</v>
      </c>
      <c r="K1308" s="15" t="str">
        <f>IFERROR(__xludf.DUMMYFUNCTION("""COMPUTED_VALUE"""),"GL2607001")</f>
        <v>GL2607001</v>
      </c>
      <c r="L1308" s="15" t="str">
        <f>IFERROR(__xludf.DUMMYFUNCTION("""COMPUTED_VALUE"""),"Normal")</f>
        <v>Normal</v>
      </c>
      <c r="M1308" s="18" t="s">
        <v>32</v>
      </c>
      <c r="N1308" s="18" t="s">
        <v>28</v>
      </c>
    </row>
    <row r="1309" hidden="1">
      <c r="A1309" s="15" t="str">
        <f>IFERROR(__xludf.DUMMYFUNCTION("""COMPUTED_VALUE"""),"ROSBR0094")</f>
        <v>ROSBR0094</v>
      </c>
      <c r="B1309" s="16">
        <f>IFERROR(__xludf.DUMMYFUNCTION("""COMPUTED_VALUE"""),46150.00773329861)</f>
        <v>46150.00773</v>
      </c>
      <c r="C1309" s="17">
        <f>IFERROR(__xludf.DUMMYFUNCTION("""COMPUTED_VALUE"""),46204.66658590278)</f>
        <v>46204.66659</v>
      </c>
      <c r="D1309" s="15" t="str">
        <f>IFERROR(__xludf.DUMMYFUNCTION("""COMPUTED_VALUE"""),"Autoclave Lab Micro")</f>
        <v>Autoclave Lab Micro</v>
      </c>
      <c r="E1309" s="15" t="str">
        <f>IFERROR(__xludf.DUMMYFUNCTION("""COMPUTED_VALUE"""),"-")</f>
        <v>-</v>
      </c>
      <c r="F1309" s="15" t="str">
        <f>IFERROR(__xludf.DUMMYFUNCTION("""COMPUTED_VALUE"""),"Level Probe Assembly for Generator")</f>
        <v>Level Probe Assembly for Generator</v>
      </c>
      <c r="G1309" s="15">
        <f>IFERROR(__xludf.DUMMYFUNCTION("""COMPUTED_VALUE"""),5.0)</f>
        <v>5</v>
      </c>
      <c r="H1309" s="15" t="str">
        <f>IFERROR(__xludf.DUMMYFUNCTION("""COMPUTED_VALUE"""),"pcs")</f>
        <v>pcs</v>
      </c>
      <c r="I1309" s="15" t="str">
        <f>IFERROR(__xludf.DUMMYFUNCTION("""COMPUTED_VALUE"""),"Proses PR")</f>
        <v>Proses PR</v>
      </c>
      <c r="J1309" s="15" t="str">
        <f>IFERROR(__xludf.DUMMYFUNCTION("""COMPUTED_VALUE"""),"-")</f>
        <v>-</v>
      </c>
      <c r="K1309" s="15" t="str">
        <f>IFERROR(__xludf.DUMMYFUNCTION("""COMPUTED_VALUE"""),"-")</f>
        <v>-</v>
      </c>
      <c r="L1309" s="15" t="str">
        <f>IFERROR(__xludf.DUMMYFUNCTION("""COMPUTED_VALUE"""),"Normal")</f>
        <v>Normal</v>
      </c>
      <c r="M1309" s="18" t="s">
        <v>29</v>
      </c>
      <c r="N1309" s="18" t="s">
        <v>30</v>
      </c>
    </row>
    <row r="1310">
      <c r="A1310" s="15" t="str">
        <f>IFERROR(__xludf.DUMMYFUNCTION("""COMPUTED_VALUE"""),"ROSBR0095")</f>
        <v>ROSBR0095</v>
      </c>
      <c r="B1310" s="16">
        <f>IFERROR(__xludf.DUMMYFUNCTION("""COMPUTED_VALUE"""),46150.966112222224)</f>
        <v>46150.96611</v>
      </c>
      <c r="C1310" s="17">
        <f>IFERROR(__xludf.DUMMYFUNCTION("""COMPUTED_VALUE"""),46204.677282731485)</f>
        <v>46204.67728</v>
      </c>
      <c r="D1310" s="15" t="str">
        <f>IFERROR(__xludf.DUMMYFUNCTION("""COMPUTED_VALUE"""),"Lab Washer Miele")</f>
        <v>Lab Washer Miele</v>
      </c>
      <c r="E1310" s="15" t="str">
        <f>IFERROR(__xludf.DUMMYFUNCTION("""COMPUTED_VALUE"""),"EJO/2026/05/046")</f>
        <v>EJO/2026/05/046</v>
      </c>
      <c r="F1310" s="15" t="str">
        <f>IFERROR(__xludf.DUMMYFUNCTION("""COMPUTED_VALUE"""),"Filter Drain ")</f>
        <v>Filter Drain </v>
      </c>
      <c r="G1310" s="15">
        <f>IFERROR(__xludf.DUMMYFUNCTION("""COMPUTED_VALUE"""),1.0)</f>
        <v>1</v>
      </c>
      <c r="H1310" s="15" t="str">
        <f>IFERROR(__xludf.DUMMYFUNCTION("""COMPUTED_VALUE"""),"pcs")</f>
        <v>pcs</v>
      </c>
      <c r="I1310" s="15" t="str">
        <f>IFERROR(__xludf.DUMMYFUNCTION("""COMPUTED_VALUE"""),"Pembuatan Item Code")</f>
        <v>Pembuatan Item Code</v>
      </c>
      <c r="J1310" s="15" t="str">
        <f>IFERROR(__xludf.DUMMYFUNCTION("""COMPUTED_VALUE"""),"-")</f>
        <v>-</v>
      </c>
      <c r="K1310" s="15" t="str">
        <f>IFERROR(__xludf.DUMMYFUNCTION("""COMPUTED_VALUE"""),"-")</f>
        <v>-</v>
      </c>
      <c r="L1310" s="15" t="str">
        <f>IFERROR(__xludf.DUMMYFUNCTION("""COMPUTED_VALUE"""),"Normal")</f>
        <v>Normal</v>
      </c>
      <c r="M1310" s="18" t="s">
        <v>29</v>
      </c>
      <c r="N1310" s="18" t="s">
        <v>30</v>
      </c>
    </row>
    <row r="1311" hidden="1">
      <c r="A1311" s="15" t="str">
        <f>IFERROR(__xludf.DUMMYFUNCTION("""COMPUTED_VALUE"""),"SFHBR0063")</f>
        <v>SFHBR0063</v>
      </c>
      <c r="B1311" s="16">
        <f>IFERROR(__xludf.DUMMYFUNCTION("""COMPUTED_VALUE"""),46202.65666340278)</f>
        <v>46202.65666</v>
      </c>
      <c r="C1311" s="17">
        <f>IFERROR(__xludf.DUMMYFUNCTION("""COMPUTED_VALUE"""),46204.9447355324)</f>
        <v>46204.94474</v>
      </c>
      <c r="D1311" s="15" t="str">
        <f>IFERROR(__xludf.DUMMYFUNCTION("""COMPUTED_VALUE"""),"lantai 2")</f>
        <v>lantai 2</v>
      </c>
      <c r="E1311" s="15" t="str">
        <f>IFERROR(__xludf.DUMMYFUNCTION("""COMPUTED_VALUE"""),"EJO/2026/06/113")</f>
        <v>EJO/2026/06/113</v>
      </c>
      <c r="F1311" s="15" t="str">
        <f>IFERROR(__xludf.DUMMYFUNCTION("""COMPUTED_VALUE"""),"SANDBLAST / GLASS FILM / STICKER KACA ES / CUTTING STICKER POLOS 215 Merk RUISITU. TInggi sandblast 122 cm Harga tertera adalah untuk ukuran 122cm x 50meter/ 1ROLL")</f>
        <v>SANDBLAST / GLASS FILM / STICKER KACA ES / CUTTING STICKER POLOS 215 Merk RUISITU. TInggi sandblast 122 cm Harga tertera adalah untuk ukuran 122cm x 50meter/ 1ROLL</v>
      </c>
      <c r="G1311" s="15">
        <f>IFERROR(__xludf.DUMMYFUNCTION("""COMPUTED_VALUE"""),6.0)</f>
        <v>6</v>
      </c>
      <c r="H1311" s="15" t="str">
        <f>IFERROR(__xludf.DUMMYFUNCTION("""COMPUTED_VALUE"""),"Roll")</f>
        <v>Roll</v>
      </c>
      <c r="I1311" s="15" t="str">
        <f>IFERROR(__xludf.DUMMYFUNCTION("""COMPUTED_VALUE"""),"PO Open")</f>
        <v>PO Open</v>
      </c>
      <c r="J1311" s="15" t="str">
        <f>IFERROR(__xludf.DUMMYFUNCTION("""COMPUTED_VALUE"""),"121704488 - APPROVED")</f>
        <v>121704488 - APPROVED</v>
      </c>
      <c r="K1311" s="15" t="str">
        <f>IFERROR(__xludf.DUMMYFUNCTION("""COMPUTED_VALUE"""),"GL2608399")</f>
        <v>GL2608399</v>
      </c>
      <c r="L1311" s="15" t="str">
        <f>IFERROR(__xludf.DUMMYFUNCTION("""COMPUTED_VALUE"""),"Normal")</f>
        <v>Normal</v>
      </c>
      <c r="M1311" s="18" t="s">
        <v>27</v>
      </c>
      <c r="N1311" s="18" t="s">
        <v>28</v>
      </c>
    </row>
    <row r="1312" hidden="1">
      <c r="A1312" s="15" t="str">
        <f>IFERROR(__xludf.DUMMYFUNCTION("""COMPUTED_VALUE"""),"SFHBR0064")</f>
        <v>SFHBR0064</v>
      </c>
      <c r="B1312" s="16">
        <f>IFERROR(__xludf.DUMMYFUNCTION("""COMPUTED_VALUE"""),46202.664054583336)</f>
        <v>46202.66405</v>
      </c>
      <c r="C1312" s="17">
        <f>IFERROR(__xludf.DUMMYFUNCTION("""COMPUTED_VALUE"""),46204.94524072917)</f>
        <v>46204.94524</v>
      </c>
      <c r="D1312" s="15" t="str">
        <f>IFERROR(__xludf.DUMMYFUNCTION("""COMPUTED_VALUE"""),"lantai 2")</f>
        <v>lantai 2</v>
      </c>
      <c r="E1312" s="15" t="str">
        <f>IFERROR(__xludf.DUMMYFUNCTION("""COMPUTED_VALUE"""),"EJO/2026/06/113")</f>
        <v>EJO/2026/06/113</v>
      </c>
      <c r="F1312" s="15" t="str">
        <f>IFERROR(__xludf.DUMMYFUNCTION("""COMPUTED_VALUE"""),"Rakel Kape Sticker Hijau  SDK 01 Alat Bantu Pasang Sticker Super D Gagang Panjang - SDK 0")</f>
        <v>Rakel Kape Sticker Hijau  SDK 01 Alat Bantu Pasang Sticker Super D Gagang Panjang - SDK 0</v>
      </c>
      <c r="G1312" s="15">
        <f>IFERROR(__xludf.DUMMYFUNCTION("""COMPUTED_VALUE"""),5.0)</f>
        <v>5</v>
      </c>
      <c r="H1312" s="15" t="str">
        <f>IFERROR(__xludf.DUMMYFUNCTION("""COMPUTED_VALUE"""),"pcs")</f>
        <v>pcs</v>
      </c>
      <c r="I1312" s="15" t="str">
        <f>IFERROR(__xludf.DUMMYFUNCTION("""COMPUTED_VALUE"""),"Approval Item Code")</f>
        <v>Approval Item Code</v>
      </c>
      <c r="J1312" s="15" t="str">
        <f>IFERROR(__xludf.DUMMYFUNCTION("""COMPUTED_VALUE"""),"-")</f>
        <v>-</v>
      </c>
      <c r="K1312" s="15" t="str">
        <f>IFERROR(__xludf.DUMMYFUNCTION("""COMPUTED_VALUE"""),"-")</f>
        <v>-</v>
      </c>
      <c r="L1312" s="15" t="str">
        <f>IFERROR(__xludf.DUMMYFUNCTION("""COMPUTED_VALUE"""),"Normal")</f>
        <v>Normal</v>
      </c>
      <c r="M1312" s="18" t="s">
        <v>27</v>
      </c>
      <c r="N1312" s="18" t="s">
        <v>28</v>
      </c>
    </row>
    <row r="1313" hidden="1">
      <c r="A1313" s="15" t="str">
        <f>IFERROR(__xludf.DUMMYFUNCTION("""COMPUTED_VALUE"""),"SFHBR0065")</f>
        <v>SFHBR0065</v>
      </c>
      <c r="B1313" s="16">
        <f>IFERROR(__xludf.DUMMYFUNCTION("""COMPUTED_VALUE"""),46202.87510517361)</f>
        <v>46202.87511</v>
      </c>
      <c r="C1313" s="17">
        <f>IFERROR(__xludf.DUMMYFUNCTION("""COMPUTED_VALUE"""),46204.94563766204)</f>
        <v>46204.94564</v>
      </c>
      <c r="D1313" s="15" t="str">
        <f>IFERROR(__xludf.DUMMYFUNCTION("""COMPUTED_VALUE"""),"lanati 1")</f>
        <v>lanati 1</v>
      </c>
      <c r="E1313" s="15" t="str">
        <f>IFERROR(__xludf.DUMMYFUNCTION("""COMPUTED_VALUE"""),"EJO/2026/06/039")</f>
        <v>EJO/2026/06/039</v>
      </c>
      <c r="F1313" s="15" t="str">
        <f>IFERROR(__xludf.DUMMYFUNCTION("""COMPUTED_VALUE"""),"LAMPU RC081V PHILIPS LED38S 30W SMARTBRIGHT SLIM PANEL WARNA PUTIH 6500k")</f>
        <v>LAMPU RC081V PHILIPS LED38S 30W SMARTBRIGHT SLIM PANEL WARNA PUTIH 6500k</v>
      </c>
      <c r="G1313" s="15">
        <f>IFERROR(__xludf.DUMMYFUNCTION("""COMPUTED_VALUE"""),30.0)</f>
        <v>30</v>
      </c>
      <c r="H1313" s="15" t="str">
        <f>IFERROR(__xludf.DUMMYFUNCTION("""COMPUTED_VALUE"""),"pcs")</f>
        <v>pcs</v>
      </c>
      <c r="I1313" s="15" t="str">
        <f>IFERROR(__xludf.DUMMYFUNCTION("""COMPUTED_VALUE"""),"PO Open")</f>
        <v>PO Open</v>
      </c>
      <c r="J1313" s="15" t="str">
        <f>IFERROR(__xludf.DUMMYFUNCTION("""COMPUTED_VALUE"""),"121704501 - APPROVED")</f>
        <v>121704501 - APPROVED</v>
      </c>
      <c r="K1313" s="15" t="str">
        <f>IFERROR(__xludf.DUMMYFUNCTION("""COMPUTED_VALUE"""),"GL2608398")</f>
        <v>GL2608398</v>
      </c>
      <c r="L1313" s="15" t="str">
        <f>IFERROR(__xludf.DUMMYFUNCTION("""COMPUTED_VALUE"""),"Normal")</f>
        <v>Normal</v>
      </c>
      <c r="M1313" s="18" t="s">
        <v>27</v>
      </c>
      <c r="N1313" s="18" t="s">
        <v>28</v>
      </c>
    </row>
    <row r="1314">
      <c r="A1314" s="15" t="str">
        <f>IFERROR(__xludf.DUMMYFUNCTION("""COMPUTED_VALUE"""),"MRNBR0045")</f>
        <v>MRNBR0045</v>
      </c>
      <c r="B1314" s="16">
        <f>IFERROR(__xludf.DUMMYFUNCTION("""COMPUTED_VALUE"""),45884.99798289352)</f>
        <v>45884.99798</v>
      </c>
      <c r="C1314" s="17">
        <f>IFERROR(__xludf.DUMMYFUNCTION("""COMPUTED_VALUE"""),46204.94700630787)</f>
        <v>46204.94701</v>
      </c>
      <c r="D1314" s="15" t="str">
        <f>IFERROR(__xludf.DUMMYFUNCTION("""COMPUTED_VALUE"""),"AHU OSD")</f>
        <v>AHU OSD</v>
      </c>
      <c r="E1314" s="15" t="str">
        <f>IFERROR(__xludf.DUMMYFUNCTION("""COMPUTED_VALUE"""),"EJO/2025/03/153")</f>
        <v>EJO/2025/03/153</v>
      </c>
      <c r="F1314" s="15" t="str">
        <f>IFERROR(__xludf.DUMMYFUNCTION("""COMPUTED_VALUE"""),"Prefilter M-MNF")</f>
        <v>Prefilter M-MNF</v>
      </c>
      <c r="G1314" s="15">
        <f>IFERROR(__xludf.DUMMYFUNCTION("""COMPUTED_VALUE"""),6.0)</f>
        <v>6</v>
      </c>
      <c r="H1314" s="15" t="str">
        <f>IFERROR(__xludf.DUMMYFUNCTION("""COMPUTED_VALUE"""),"pcs")</f>
        <v>pcs</v>
      </c>
      <c r="I1314" s="15" t="str">
        <f>IFERROR(__xludf.DUMMYFUNCTION("""COMPUTED_VALUE"""),"-")</f>
        <v>-</v>
      </c>
      <c r="J1314" s="15" t="str">
        <f>IFERROR(__xludf.DUMMYFUNCTION("""COMPUTED_VALUE"""),"-")</f>
        <v>-</v>
      </c>
      <c r="K1314" s="15" t="str">
        <f>IFERROR(__xludf.DUMMYFUNCTION("""COMPUTED_VALUE"""),"-")</f>
        <v>-</v>
      </c>
      <c r="L1314" s="15" t="str">
        <f>IFERROR(__xludf.DUMMYFUNCTION("""COMPUTED_VALUE"""),"Normal")</f>
        <v>Normal</v>
      </c>
      <c r="M1314" s="18" t="s">
        <v>48</v>
      </c>
      <c r="N1314" s="18" t="s">
        <v>28</v>
      </c>
    </row>
    <row r="1315">
      <c r="A1315" s="15" t="str">
        <f>IFERROR(__xludf.DUMMYFUNCTION("""COMPUTED_VALUE"""),"SFHBR0048")</f>
        <v>SFHBR0048</v>
      </c>
      <c r="B1315" s="16">
        <f>IFERROR(__xludf.DUMMYFUNCTION("""COMPUTED_VALUE"""),46094.916488113435)</f>
        <v>46094.91649</v>
      </c>
      <c r="C1315" s="17">
        <f>IFERROR(__xludf.DUMMYFUNCTION("""COMPUTED_VALUE"""),46206.15699193287)</f>
        <v>46206.15699</v>
      </c>
      <c r="D1315" s="15" t="str">
        <f>IFERROR(__xludf.DUMMYFUNCTION("""COMPUTED_VALUE"""),"lamtai 2")</f>
        <v>lamtai 2</v>
      </c>
      <c r="E1315" s="15" t="str">
        <f>IFERROR(__xludf.DUMMYFUNCTION("""COMPUTED_VALUE"""),"EJO/2026/03/42")</f>
        <v>EJO/2026/03/42</v>
      </c>
      <c r="F1315" s="15" t="str">
        <f>IFERROR(__xludf.DUMMYFUNCTION("""COMPUTED_VALUE"""),"RODA CASTER RUBBER HITAM UNTUK TROLY yang ada Rem ny")</f>
        <v>RODA CASTER RUBBER HITAM UNTUK TROLY yang ada Rem ny</v>
      </c>
      <c r="G1315" s="15">
        <f>IFERROR(__xludf.DUMMYFUNCTION("""COMPUTED_VALUE"""),2.0)</f>
        <v>2</v>
      </c>
      <c r="H1315" s="15" t="str">
        <f>IFERROR(__xludf.DUMMYFUNCTION("""COMPUTED_VALUE"""),"pcs")</f>
        <v>pcs</v>
      </c>
      <c r="I1315" s="15" t="str">
        <f>IFERROR(__xludf.DUMMYFUNCTION("""COMPUTED_VALUE"""),"-")</f>
        <v>-</v>
      </c>
      <c r="J1315" s="15" t="str">
        <f>IFERROR(__xludf.DUMMYFUNCTION("""COMPUTED_VALUE"""),"-")</f>
        <v>-</v>
      </c>
      <c r="K1315" s="15" t="str">
        <f>IFERROR(__xludf.DUMMYFUNCTION("""COMPUTED_VALUE"""),"-")</f>
        <v>-</v>
      </c>
      <c r="L1315" s="15" t="str">
        <f>IFERROR(__xludf.DUMMYFUNCTION("""COMPUTED_VALUE"""),"Normal")</f>
        <v>Normal</v>
      </c>
      <c r="M1315" s="18" t="s">
        <v>27</v>
      </c>
      <c r="N1315" s="18" t="s">
        <v>28</v>
      </c>
    </row>
    <row r="1316" hidden="1">
      <c r="A1316" s="15" t="str">
        <f>IFERROR(__xludf.DUMMYFUNCTION("""COMPUTED_VALUE"""),"RIABR0184")</f>
        <v>RIABR0184</v>
      </c>
      <c r="B1316" s="16">
        <f>IFERROR(__xludf.DUMMYFUNCTION("""COMPUTED_VALUE"""),46205.618953564815)</f>
        <v>46205.61895</v>
      </c>
      <c r="C1316" s="17">
        <f>IFERROR(__xludf.DUMMYFUNCTION("""COMPUTED_VALUE"""),46206.16608530093)</f>
        <v>46206.16609</v>
      </c>
      <c r="D1316" s="15" t="str">
        <f>IFERROR(__xludf.DUMMYFUNCTION("""COMPUTED_VALUE"""),"Alarm System Pintu Emergency")</f>
        <v>Alarm System Pintu Emergency</v>
      </c>
      <c r="E1316" s="15" t="str">
        <f>IFERROR(__xludf.DUMMYFUNCTION("""COMPUTED_VALUE"""),"EJO/2026/05/026")</f>
        <v>EJO/2026/05/026</v>
      </c>
      <c r="F1316" s="15" t="str">
        <f>IFERROR(__xludf.DUMMYFUNCTION("""COMPUTED_VALUE"""),"Box Panel")</f>
        <v>Box Panel</v>
      </c>
      <c r="G1316" s="15">
        <f>IFERROR(__xludf.DUMMYFUNCTION("""COMPUTED_VALUE"""),3.0)</f>
        <v>3</v>
      </c>
      <c r="H1316" s="15" t="str">
        <f>IFERROR(__xludf.DUMMYFUNCTION("""COMPUTED_VALUE"""),"Pcs")</f>
        <v>Pcs</v>
      </c>
      <c r="I1316" s="15" t="str">
        <f>IFERROR(__xludf.DUMMYFUNCTION("""COMPUTED_VALUE"""),"Approval Item Code")</f>
        <v>Approval Item Code</v>
      </c>
      <c r="J1316" s="15" t="str">
        <f>IFERROR(__xludf.DUMMYFUNCTION("""COMPUTED_VALUE"""),"-")</f>
        <v>-</v>
      </c>
      <c r="K1316" s="15" t="str">
        <f>IFERROR(__xludf.DUMMYFUNCTION("""COMPUTED_VALUE"""),"-")</f>
        <v>-</v>
      </c>
      <c r="L1316" s="15" t="str">
        <f>IFERROR(__xludf.DUMMYFUNCTION("""COMPUTED_VALUE"""),"Normal")</f>
        <v>Normal</v>
      </c>
      <c r="M1316" s="18" t="s">
        <v>32</v>
      </c>
      <c r="N1316" s="18" t="s">
        <v>28</v>
      </c>
    </row>
    <row r="1317" hidden="1">
      <c r="A1317" s="15" t="str">
        <f>IFERROR(__xludf.DUMMYFUNCTION("""COMPUTED_VALUE"""),"ROSRO0034")</f>
        <v>ROSRO0034</v>
      </c>
      <c r="B1317" s="16">
        <f>IFERROR(__xludf.DUMMYFUNCTION("""COMPUTED_VALUE"""),46204.94041495371)</f>
        <v>46204.94041</v>
      </c>
      <c r="C1317" s="17">
        <f>IFERROR(__xludf.DUMMYFUNCTION("""COMPUTED_VALUE"""),46206.66483377315)</f>
        <v>46206.66483</v>
      </c>
      <c r="D1317" s="15" t="str">
        <f>IFERROR(__xludf.DUMMYFUNCTION("""COMPUTED_VALUE"""),"Autoclave Lab micro ")</f>
        <v>Autoclave Lab micro </v>
      </c>
      <c r="E1317" s="15" t="str">
        <f>IFERROR(__xludf.DUMMYFUNCTION("""COMPUTED_VALUE"""),"-")</f>
        <v>-</v>
      </c>
      <c r="F1317" s="15" t="str">
        <f>IFERROR(__xludf.DUMMYFUNCTION("""COMPUTED_VALUE"""),"Autoclave - Oring 70 x 59 x 5.5 mm Viton Custom/Lokal  -")</f>
        <v>Autoclave - Oring 70 x 59 x 5.5 mm Viton Custom/Lokal  -</v>
      </c>
      <c r="G1317" s="15">
        <f>IFERROR(__xludf.DUMMYFUNCTION("""COMPUTED_VALUE"""),5.0)</f>
        <v>5</v>
      </c>
      <c r="H1317" s="15" t="str">
        <f>IFERROR(__xludf.DUMMYFUNCTION("""COMPUTED_VALUE"""),"pcs")</f>
        <v>pcs</v>
      </c>
      <c r="I1317" s="15" t="str">
        <f>IFERROR(__xludf.DUMMYFUNCTION("""COMPUTED_VALUE"""),"PR Open")</f>
        <v>PR Open</v>
      </c>
      <c r="J1317" s="15" t="str">
        <f>IFERROR(__xludf.DUMMYFUNCTION("""COMPUTED_VALUE"""),"121704555 - APPROVED")</f>
        <v>121704555 - APPROVED</v>
      </c>
      <c r="K1317" s="15" t="str">
        <f>IFERROR(__xludf.DUMMYFUNCTION("""COMPUTED_VALUE"""),"-")</f>
        <v>-</v>
      </c>
      <c r="L1317" s="15" t="str">
        <f>IFERROR(__xludf.DUMMYFUNCTION("""COMPUTED_VALUE"""),"Normal")</f>
        <v>Normal</v>
      </c>
      <c r="M1317" s="18" t="s">
        <v>29</v>
      </c>
      <c r="N1317" s="18" t="s">
        <v>30</v>
      </c>
    </row>
    <row r="1318">
      <c r="A1318" s="15" t="str">
        <f>IFERROR(__xludf.DUMMYFUNCTION("""COMPUTED_VALUE"""),"ANOBR0055")</f>
        <v>ANOBR0055</v>
      </c>
      <c r="B1318" s="16">
        <f>IFERROR(__xludf.DUMMYFUNCTION("""COMPUTED_VALUE"""),46133.94747658565)</f>
        <v>46133.94748</v>
      </c>
      <c r="C1318" s="17">
        <f>IFERROR(__xludf.DUMMYFUNCTION("""COMPUTED_VALUE"""),46206.91692177083)</f>
        <v>46206.91692</v>
      </c>
      <c r="D1318" s="15" t="str">
        <f>IFERROR(__xludf.DUMMYFUNCTION("""COMPUTED_VALUE"""),"workshop")</f>
        <v>workshop</v>
      </c>
      <c r="E1318" s="15" t="str">
        <f>IFERROR(__xludf.DUMMYFUNCTION("""COMPUTED_VALUE"""),"-")</f>
        <v>-</v>
      </c>
      <c r="F1318" s="15" t="str">
        <f>IFERROR(__xludf.DUMMYFUNCTION("""COMPUTED_VALUE"""),"bor healty BOSCH")</f>
        <v>bor healty BOSCH</v>
      </c>
      <c r="G1318" s="15">
        <f>IFERROR(__xludf.DUMMYFUNCTION("""COMPUTED_VALUE"""),1.0)</f>
        <v>1</v>
      </c>
      <c r="H1318" s="15" t="str">
        <f>IFERROR(__xludf.DUMMYFUNCTION("""COMPUTED_VALUE"""),"UNIT")</f>
        <v>UNIT</v>
      </c>
      <c r="I1318" s="15" t="str">
        <f>IFERROR(__xludf.DUMMYFUNCTION("""COMPUTED_VALUE"""),"-")</f>
        <v>-</v>
      </c>
      <c r="J1318" s="15" t="str">
        <f>IFERROR(__xludf.DUMMYFUNCTION("""COMPUTED_VALUE"""),"-")</f>
        <v>-</v>
      </c>
      <c r="K1318" s="15" t="str">
        <f>IFERROR(__xludf.DUMMYFUNCTION("""COMPUTED_VALUE"""),"-")</f>
        <v>-</v>
      </c>
      <c r="L1318" s="15" t="str">
        <f>IFERROR(__xludf.DUMMYFUNCTION("""COMPUTED_VALUE"""),"Normal")</f>
        <v>Normal</v>
      </c>
      <c r="M1318" s="18" t="s">
        <v>49</v>
      </c>
      <c r="N1318" s="18" t="s">
        <v>30</v>
      </c>
    </row>
    <row r="1319">
      <c r="A1319" s="15" t="str">
        <f>IFERROR(__xludf.DUMMYFUNCTION("""COMPUTED_VALUE"""),"ANOBR0056")</f>
        <v>ANOBR0056</v>
      </c>
      <c r="B1319" s="16">
        <f>IFERROR(__xludf.DUMMYFUNCTION("""COMPUTED_VALUE"""),46133.94879188657)</f>
        <v>46133.94879</v>
      </c>
      <c r="C1319" s="17">
        <f>IFERROR(__xludf.DUMMYFUNCTION("""COMPUTED_VALUE"""),46206.91730274306)</f>
        <v>46206.9173</v>
      </c>
      <c r="D1319" s="15" t="str">
        <f>IFERROR(__xludf.DUMMYFUNCTION("""COMPUTED_VALUE"""),"workshop")</f>
        <v>workshop</v>
      </c>
      <c r="E1319" s="15" t="str">
        <f>IFERROR(__xludf.DUMMYFUNCTION("""COMPUTED_VALUE"""),"-")</f>
        <v>-</v>
      </c>
      <c r="F1319" s="15" t="str">
        <f>IFERROR(__xludf.DUMMYFUNCTION("""COMPUTED_VALUE"""),"mata bor healty")</f>
        <v>mata bor healty</v>
      </c>
      <c r="G1319" s="15">
        <f>IFERROR(__xludf.DUMMYFUNCTION("""COMPUTED_VALUE"""),1.0)</f>
        <v>1</v>
      </c>
      <c r="H1319" s="15" t="str">
        <f>IFERROR(__xludf.DUMMYFUNCTION("""COMPUTED_VALUE"""),"SET")</f>
        <v>SET</v>
      </c>
      <c r="I1319" s="15" t="str">
        <f>IFERROR(__xludf.DUMMYFUNCTION("""COMPUTED_VALUE"""),"-")</f>
        <v>-</v>
      </c>
      <c r="J1319" s="15" t="str">
        <f>IFERROR(__xludf.DUMMYFUNCTION("""COMPUTED_VALUE"""),"-")</f>
        <v>-</v>
      </c>
      <c r="K1319" s="15" t="str">
        <f>IFERROR(__xludf.DUMMYFUNCTION("""COMPUTED_VALUE"""),"-")</f>
        <v>-</v>
      </c>
      <c r="L1319" s="15" t="str">
        <f>IFERROR(__xludf.DUMMYFUNCTION("""COMPUTED_VALUE"""),"Normal")</f>
        <v>Normal</v>
      </c>
      <c r="M1319" s="18" t="s">
        <v>49</v>
      </c>
      <c r="N1319" s="18" t="s">
        <v>30</v>
      </c>
    </row>
    <row r="1320">
      <c r="A1320" s="15" t="str">
        <f>IFERROR(__xludf.DUMMYFUNCTION("""COMPUTED_VALUE"""),"ANOBR0057")</f>
        <v>ANOBR0057</v>
      </c>
      <c r="B1320" s="16">
        <f>IFERROR(__xludf.DUMMYFUNCTION("""COMPUTED_VALUE"""),46133.953969594906)</f>
        <v>46133.95397</v>
      </c>
      <c r="C1320" s="17">
        <f>IFERROR(__xludf.DUMMYFUNCTION("""COMPUTED_VALUE"""),46206.91754916667)</f>
        <v>46206.91755</v>
      </c>
      <c r="D1320" s="15" t="str">
        <f>IFERROR(__xludf.DUMMYFUNCTION("""COMPUTED_VALUE"""),"workshop")</f>
        <v>workshop</v>
      </c>
      <c r="E1320" s="15" t="str">
        <f>IFERROR(__xludf.DUMMYFUNCTION("""COMPUTED_VALUE"""),"-")</f>
        <v>-</v>
      </c>
      <c r="F1320" s="15" t="str">
        <f>IFERROR(__xludf.DUMMYFUNCTION("""COMPUTED_VALUE"""),"mata hole saw ")</f>
        <v>mata hole saw </v>
      </c>
      <c r="G1320" s="15">
        <f>IFERROR(__xludf.DUMMYFUNCTION("""COMPUTED_VALUE"""),1.0)</f>
        <v>1</v>
      </c>
      <c r="H1320" s="15" t="str">
        <f>IFERROR(__xludf.DUMMYFUNCTION("""COMPUTED_VALUE"""),"SET")</f>
        <v>SET</v>
      </c>
      <c r="I1320" s="15" t="str">
        <f>IFERROR(__xludf.DUMMYFUNCTION("""COMPUTED_VALUE"""),"-")</f>
        <v>-</v>
      </c>
      <c r="J1320" s="15" t="str">
        <f>IFERROR(__xludf.DUMMYFUNCTION("""COMPUTED_VALUE"""),"-")</f>
        <v>-</v>
      </c>
      <c r="K1320" s="15" t="str">
        <f>IFERROR(__xludf.DUMMYFUNCTION("""COMPUTED_VALUE"""),"-")</f>
        <v>-</v>
      </c>
      <c r="L1320" s="15" t="str">
        <f>IFERROR(__xludf.DUMMYFUNCTION("""COMPUTED_VALUE"""),"Normal")</f>
        <v>Normal</v>
      </c>
      <c r="M1320" s="18" t="s">
        <v>49</v>
      </c>
      <c r="N1320" s="18" t="s">
        <v>30</v>
      </c>
    </row>
    <row r="1321">
      <c r="A1321" s="15" t="str">
        <f>IFERROR(__xludf.DUMMYFUNCTION("""COMPUTED_VALUE"""),"ANOBR0058")</f>
        <v>ANOBR0058</v>
      </c>
      <c r="B1321" s="16">
        <f>IFERROR(__xludf.DUMMYFUNCTION("""COMPUTED_VALUE"""),46195.66214417824)</f>
        <v>46195.66214</v>
      </c>
      <c r="C1321" s="17">
        <f>IFERROR(__xludf.DUMMYFUNCTION("""COMPUTED_VALUE"""),46206.917823807875)</f>
        <v>46206.91782</v>
      </c>
      <c r="D1321" s="15" t="str">
        <f>IFERROR(__xludf.DUMMYFUNCTION("""COMPUTED_VALUE"""),"workshop")</f>
        <v>workshop</v>
      </c>
      <c r="E1321" s="15" t="str">
        <f>IFERROR(__xludf.DUMMYFUNCTION("""COMPUTED_VALUE"""),"-")</f>
        <v>-</v>
      </c>
      <c r="F1321" s="15" t="str">
        <f>IFERROR(__xludf.DUMMYFUNCTION("""COMPUTED_VALUE"""),"mata gerinda 4 inch")</f>
        <v>mata gerinda 4 inch</v>
      </c>
      <c r="G1321" s="15">
        <f>IFERROR(__xludf.DUMMYFUNCTION("""COMPUTED_VALUE"""),5.0)</f>
        <v>5</v>
      </c>
      <c r="H1321" s="15" t="str">
        <f>IFERROR(__xludf.DUMMYFUNCTION("""COMPUTED_VALUE"""),"box")</f>
        <v>box</v>
      </c>
      <c r="I1321" s="15" t="str">
        <f>IFERROR(__xludf.DUMMYFUNCTION("""COMPUTED_VALUE"""),"-")</f>
        <v>-</v>
      </c>
      <c r="J1321" s="15" t="str">
        <f>IFERROR(__xludf.DUMMYFUNCTION("""COMPUTED_VALUE"""),"-")</f>
        <v>-</v>
      </c>
      <c r="K1321" s="15" t="str">
        <f>IFERROR(__xludf.DUMMYFUNCTION("""COMPUTED_VALUE"""),"-")</f>
        <v>-</v>
      </c>
      <c r="L1321" s="15" t="str">
        <f>IFERROR(__xludf.DUMMYFUNCTION("""COMPUTED_VALUE"""),"Normal")</f>
        <v>Normal</v>
      </c>
      <c r="M1321" s="18" t="s">
        <v>49</v>
      </c>
      <c r="N1321" s="18" t="s">
        <v>30</v>
      </c>
    </row>
    <row r="1322">
      <c r="A1322" s="15" t="str">
        <f>IFERROR(__xludf.DUMMYFUNCTION("""COMPUTED_VALUE"""),"ANOBR0059")</f>
        <v>ANOBR0059</v>
      </c>
      <c r="B1322" s="16">
        <f>IFERROR(__xludf.DUMMYFUNCTION("""COMPUTED_VALUE"""),46195.66214417824)</f>
        <v>46195.66214</v>
      </c>
      <c r="C1322" s="17">
        <f>IFERROR(__xludf.DUMMYFUNCTION("""COMPUTED_VALUE"""),46206.91827321759)</f>
        <v>46206.91827</v>
      </c>
      <c r="D1322" s="15" t="str">
        <f>IFERROR(__xludf.DUMMYFUNCTION("""COMPUTED_VALUE"""),"workshop")</f>
        <v>workshop</v>
      </c>
      <c r="E1322" s="15" t="str">
        <f>IFERROR(__xludf.DUMMYFUNCTION("""COMPUTED_VALUE"""),"-")</f>
        <v>-</v>
      </c>
      <c r="F1322" s="15" t="str">
        <f>IFERROR(__xludf.DUMMYFUNCTION("""COMPUTED_VALUE"""),"mata gerinda polesh 4 inch")</f>
        <v>mata gerinda polesh 4 inch</v>
      </c>
      <c r="G1322" s="15">
        <f>IFERROR(__xludf.DUMMYFUNCTION("""COMPUTED_VALUE"""),5.0)</f>
        <v>5</v>
      </c>
      <c r="H1322" s="15" t="str">
        <f>IFERROR(__xludf.DUMMYFUNCTION("""COMPUTED_VALUE"""),"box")</f>
        <v>box</v>
      </c>
      <c r="I1322" s="15" t="str">
        <f>IFERROR(__xludf.DUMMYFUNCTION("""COMPUTED_VALUE"""),"-")</f>
        <v>-</v>
      </c>
      <c r="J1322" s="15" t="str">
        <f>IFERROR(__xludf.DUMMYFUNCTION("""COMPUTED_VALUE"""),"-")</f>
        <v>-</v>
      </c>
      <c r="K1322" s="15" t="str">
        <f>IFERROR(__xludf.DUMMYFUNCTION("""COMPUTED_VALUE"""),"-")</f>
        <v>-</v>
      </c>
      <c r="L1322" s="15" t="str">
        <f>IFERROR(__xludf.DUMMYFUNCTION("""COMPUTED_VALUE"""),"Normal")</f>
        <v>Normal</v>
      </c>
      <c r="M1322" s="18" t="s">
        <v>49</v>
      </c>
      <c r="N1322" s="18" t="s">
        <v>30</v>
      </c>
    </row>
    <row r="1323">
      <c r="A1323" s="15" t="str">
        <f>IFERROR(__xludf.DUMMYFUNCTION("""COMPUTED_VALUE"""),"ANOBR0060")</f>
        <v>ANOBR0060</v>
      </c>
      <c r="B1323" s="16">
        <f>IFERROR(__xludf.DUMMYFUNCTION("""COMPUTED_VALUE"""),46195.66214417824)</f>
        <v>46195.66214</v>
      </c>
      <c r="C1323" s="17">
        <f>IFERROR(__xludf.DUMMYFUNCTION("""COMPUTED_VALUE"""),46206.91855103009)</f>
        <v>46206.91855</v>
      </c>
      <c r="D1323" s="15" t="str">
        <f>IFERROR(__xludf.DUMMYFUNCTION("""COMPUTED_VALUE"""),"workshop")</f>
        <v>workshop</v>
      </c>
      <c r="E1323" s="15" t="str">
        <f>IFERROR(__xludf.DUMMYFUNCTION("""COMPUTED_VALUE"""),"-")</f>
        <v>-</v>
      </c>
      <c r="F1323" s="15" t="str">
        <f>IFERROR(__xludf.DUMMYFUNCTION("""COMPUTED_VALUE"""),"mata gerinda amplas 4""")</f>
        <v>mata gerinda amplas 4"</v>
      </c>
      <c r="G1323" s="15">
        <f>IFERROR(__xludf.DUMMYFUNCTION("""COMPUTED_VALUE"""),5.0)</f>
        <v>5</v>
      </c>
      <c r="H1323" s="15" t="str">
        <f>IFERROR(__xludf.DUMMYFUNCTION("""COMPUTED_VALUE"""),"box")</f>
        <v>box</v>
      </c>
      <c r="I1323" s="15" t="str">
        <f>IFERROR(__xludf.DUMMYFUNCTION("""COMPUTED_VALUE"""),"-")</f>
        <v>-</v>
      </c>
      <c r="J1323" s="15" t="str">
        <f>IFERROR(__xludf.DUMMYFUNCTION("""COMPUTED_VALUE"""),"-")</f>
        <v>-</v>
      </c>
      <c r="K1323" s="15" t="str">
        <f>IFERROR(__xludf.DUMMYFUNCTION("""COMPUTED_VALUE"""),"-")</f>
        <v>-</v>
      </c>
      <c r="L1323" s="15" t="str">
        <f>IFERROR(__xludf.DUMMYFUNCTION("""COMPUTED_VALUE"""),"Normal")</f>
        <v>Normal</v>
      </c>
      <c r="M1323" s="18" t="s">
        <v>49</v>
      </c>
      <c r="N1323" s="18" t="s">
        <v>30</v>
      </c>
    </row>
    <row r="1324">
      <c r="A1324" s="15" t="str">
        <f>IFERROR(__xludf.DUMMYFUNCTION("""COMPUTED_VALUE"""),"ANOBR0061")</f>
        <v>ANOBR0061</v>
      </c>
      <c r="B1324" s="16">
        <f>IFERROR(__xludf.DUMMYFUNCTION("""COMPUTED_VALUE"""),46195.66214417824)</f>
        <v>46195.66214</v>
      </c>
      <c r="C1324" s="17">
        <f>IFERROR(__xludf.DUMMYFUNCTION("""COMPUTED_VALUE"""),46206.91873672454)</f>
        <v>46206.91874</v>
      </c>
      <c r="D1324" s="15" t="str">
        <f>IFERROR(__xludf.DUMMYFUNCTION("""COMPUTED_VALUE"""),"workshop")</f>
        <v>workshop</v>
      </c>
      <c r="E1324" s="15" t="str">
        <f>IFERROR(__xludf.DUMMYFUNCTION("""COMPUTED_VALUE"""),"-")</f>
        <v>-</v>
      </c>
      <c r="F1324" s="15" t="str">
        <f>IFERROR(__xludf.DUMMYFUNCTION("""COMPUTED_VALUE"""),"mata gerinda amplas 4""")</f>
        <v>mata gerinda amplas 4"</v>
      </c>
      <c r="G1324" s="15">
        <f>IFERROR(__xludf.DUMMYFUNCTION("""COMPUTED_VALUE"""),5.0)</f>
        <v>5</v>
      </c>
      <c r="H1324" s="15" t="str">
        <f>IFERROR(__xludf.DUMMYFUNCTION("""COMPUTED_VALUE"""),"box")</f>
        <v>box</v>
      </c>
      <c r="I1324" s="15" t="str">
        <f>IFERROR(__xludf.DUMMYFUNCTION("""COMPUTED_VALUE"""),"-")</f>
        <v>-</v>
      </c>
      <c r="J1324" s="15" t="str">
        <f>IFERROR(__xludf.DUMMYFUNCTION("""COMPUTED_VALUE"""),"-")</f>
        <v>-</v>
      </c>
      <c r="K1324" s="15" t="str">
        <f>IFERROR(__xludf.DUMMYFUNCTION("""COMPUTED_VALUE"""),"-")</f>
        <v>-</v>
      </c>
      <c r="L1324" s="15" t="str">
        <f>IFERROR(__xludf.DUMMYFUNCTION("""COMPUTED_VALUE"""),"Normal")</f>
        <v>Normal</v>
      </c>
      <c r="M1324" s="18" t="s">
        <v>49</v>
      </c>
      <c r="N1324" s="18" t="s">
        <v>30</v>
      </c>
    </row>
    <row r="1325">
      <c r="A1325" s="15" t="str">
        <f>IFERROR(__xludf.DUMMYFUNCTION("""COMPUTED_VALUE"""),"ANOBR0062")</f>
        <v>ANOBR0062</v>
      </c>
      <c r="B1325" s="16">
        <f>IFERROR(__xludf.DUMMYFUNCTION("""COMPUTED_VALUE"""),46195.66214417824)</f>
        <v>46195.66214</v>
      </c>
      <c r="C1325" s="17">
        <f>IFERROR(__xludf.DUMMYFUNCTION("""COMPUTED_VALUE"""),46206.91887979167)</f>
        <v>46206.91888</v>
      </c>
      <c r="D1325" s="15" t="str">
        <f>IFERROR(__xludf.DUMMYFUNCTION("""COMPUTED_VALUE"""),"workshop")</f>
        <v>workshop</v>
      </c>
      <c r="E1325" s="15" t="str">
        <f>IFERROR(__xludf.DUMMYFUNCTION("""COMPUTED_VALUE"""),"-")</f>
        <v>-</v>
      </c>
      <c r="F1325" s="15" t="str">
        <f>IFERROR(__xludf.DUMMYFUNCTION("""COMPUTED_VALUE"""),"mata gerinda amplas 4""")</f>
        <v>mata gerinda amplas 4"</v>
      </c>
      <c r="G1325" s="15">
        <f>IFERROR(__xludf.DUMMYFUNCTION("""COMPUTED_VALUE"""),3.0)</f>
        <v>3</v>
      </c>
      <c r="H1325" s="15" t="str">
        <f>IFERROR(__xludf.DUMMYFUNCTION("""COMPUTED_VALUE"""),"pcs")</f>
        <v>pcs</v>
      </c>
      <c r="I1325" s="15" t="str">
        <f>IFERROR(__xludf.DUMMYFUNCTION("""COMPUTED_VALUE"""),"-")</f>
        <v>-</v>
      </c>
      <c r="J1325" s="15" t="str">
        <f>IFERROR(__xludf.DUMMYFUNCTION("""COMPUTED_VALUE"""),"-")</f>
        <v>-</v>
      </c>
      <c r="K1325" s="15" t="str">
        <f>IFERROR(__xludf.DUMMYFUNCTION("""COMPUTED_VALUE"""),"-")</f>
        <v>-</v>
      </c>
      <c r="L1325" s="15" t="str">
        <f>IFERROR(__xludf.DUMMYFUNCTION("""COMPUTED_VALUE"""),"Normal")</f>
        <v>Normal</v>
      </c>
      <c r="M1325" s="18" t="s">
        <v>49</v>
      </c>
      <c r="N1325" s="18" t="s">
        <v>30</v>
      </c>
    </row>
    <row r="1326">
      <c r="A1326" s="15" t="str">
        <f>IFERROR(__xludf.DUMMYFUNCTION("""COMPUTED_VALUE"""),"ANOBR0063")</f>
        <v>ANOBR0063</v>
      </c>
      <c r="B1326" s="16">
        <f>IFERROR(__xludf.DUMMYFUNCTION("""COMPUTED_VALUE"""),46195.66214417824)</f>
        <v>46195.66214</v>
      </c>
      <c r="C1326" s="17">
        <f>IFERROR(__xludf.DUMMYFUNCTION("""COMPUTED_VALUE"""),46206.91952826388)</f>
        <v>46206.91953</v>
      </c>
      <c r="D1326" s="15" t="str">
        <f>IFERROR(__xludf.DUMMYFUNCTION("""COMPUTED_VALUE"""),"pipa FW LT 2")</f>
        <v>pipa FW LT 2</v>
      </c>
      <c r="E1326" s="15" t="str">
        <f>IFERROR(__xludf.DUMMYFUNCTION("""COMPUTED_VALUE"""),"-")</f>
        <v>-</v>
      </c>
      <c r="F1326" s="15" t="str">
        <f>IFERROR(__xludf.DUMMYFUNCTION("""COMPUTED_VALUE"""),"pipa ss 304 2 1/2"" ")</f>
        <v>pipa ss 304 2 1/2" </v>
      </c>
      <c r="G1326" s="15">
        <f>IFERROR(__xludf.DUMMYFUNCTION("""COMPUTED_VALUE"""),4.0)</f>
        <v>4</v>
      </c>
      <c r="H1326" s="15" t="str">
        <f>IFERROR(__xludf.DUMMYFUNCTION("""COMPUTED_VALUE"""),"batang")</f>
        <v>batang</v>
      </c>
      <c r="I1326" s="15" t="str">
        <f>IFERROR(__xludf.DUMMYFUNCTION("""COMPUTED_VALUE"""),"-")</f>
        <v>-</v>
      </c>
      <c r="J1326" s="15" t="str">
        <f>IFERROR(__xludf.DUMMYFUNCTION("""COMPUTED_VALUE"""),"-")</f>
        <v>-</v>
      </c>
      <c r="K1326" s="15" t="str">
        <f>IFERROR(__xludf.DUMMYFUNCTION("""COMPUTED_VALUE"""),"-")</f>
        <v>-</v>
      </c>
      <c r="L1326" s="15" t="str">
        <f>IFERROR(__xludf.DUMMYFUNCTION("""COMPUTED_VALUE"""),"Normal")</f>
        <v>Normal</v>
      </c>
      <c r="M1326" s="18" t="s">
        <v>49</v>
      </c>
      <c r="N1326" s="18" t="s">
        <v>30</v>
      </c>
    </row>
    <row r="1327">
      <c r="A1327" s="15" t="str">
        <f>IFERROR(__xludf.DUMMYFUNCTION("""COMPUTED_VALUE"""),"ANOBR0064")</f>
        <v>ANOBR0064</v>
      </c>
      <c r="B1327" s="16">
        <f>IFERROR(__xludf.DUMMYFUNCTION("""COMPUTED_VALUE"""),46195.66214417824)</f>
        <v>46195.66214</v>
      </c>
      <c r="C1327" s="17">
        <f>IFERROR(__xludf.DUMMYFUNCTION("""COMPUTED_VALUE"""),46206.919693946766)</f>
        <v>46206.91969</v>
      </c>
      <c r="D1327" s="15" t="str">
        <f>IFERROR(__xludf.DUMMYFUNCTION("""COMPUTED_VALUE"""),"pipa FW LT 2")</f>
        <v>pipa FW LT 2</v>
      </c>
      <c r="E1327" s="15" t="str">
        <f>IFERROR(__xludf.DUMMYFUNCTION("""COMPUTED_VALUE"""),"-")</f>
        <v>-</v>
      </c>
      <c r="F1327" s="15" t="str">
        <f>IFERROR(__xludf.DUMMYFUNCTION("""COMPUTED_VALUE"""),"flange ss 304 2 1/2 DN 75")</f>
        <v>flange ss 304 2 1/2 DN 75</v>
      </c>
      <c r="G1327" s="15">
        <f>IFERROR(__xludf.DUMMYFUNCTION("""COMPUTED_VALUE"""),8.0)</f>
        <v>8</v>
      </c>
      <c r="H1327" s="15" t="str">
        <f>IFERROR(__xludf.DUMMYFUNCTION("""COMPUTED_VALUE"""),"PCS")</f>
        <v>PCS</v>
      </c>
      <c r="I1327" s="15" t="str">
        <f>IFERROR(__xludf.DUMMYFUNCTION("""COMPUTED_VALUE"""),"-")</f>
        <v>-</v>
      </c>
      <c r="J1327" s="15" t="str">
        <f>IFERROR(__xludf.DUMMYFUNCTION("""COMPUTED_VALUE"""),"-")</f>
        <v>-</v>
      </c>
      <c r="K1327" s="15" t="str">
        <f>IFERROR(__xludf.DUMMYFUNCTION("""COMPUTED_VALUE"""),"-")</f>
        <v>-</v>
      </c>
      <c r="L1327" s="15" t="str">
        <f>IFERROR(__xludf.DUMMYFUNCTION("""COMPUTED_VALUE"""),"Normal")</f>
        <v>Normal</v>
      </c>
      <c r="M1327" s="18" t="s">
        <v>49</v>
      </c>
      <c r="N1327" s="18" t="s">
        <v>30</v>
      </c>
    </row>
    <row r="1328">
      <c r="A1328" s="15" t="str">
        <f>IFERROR(__xludf.DUMMYFUNCTION("""COMPUTED_VALUE"""),"ANOBR0065")</f>
        <v>ANOBR0065</v>
      </c>
      <c r="B1328" s="16">
        <f>IFERROR(__xludf.DUMMYFUNCTION("""COMPUTED_VALUE"""),46195.66214417824)</f>
        <v>46195.66214</v>
      </c>
      <c r="C1328" s="17">
        <f>IFERROR(__xludf.DUMMYFUNCTION("""COMPUTED_VALUE"""),46206.91984581019)</f>
        <v>46206.91985</v>
      </c>
      <c r="D1328" s="15" t="str">
        <f>IFERROR(__xludf.DUMMYFUNCTION("""COMPUTED_VALUE"""),"pipa FW LT 2")</f>
        <v>pipa FW LT 2</v>
      </c>
      <c r="E1328" s="15" t="str">
        <f>IFERROR(__xludf.DUMMYFUNCTION("""COMPUTED_VALUE"""),"-")</f>
        <v>-</v>
      </c>
      <c r="F1328" s="15" t="str">
        <f>IFERROR(__xludf.DUMMYFUNCTION("""COMPUTED_VALUE"""),"Elbow SS 304 2 1/2"" ")</f>
        <v>Elbow SS 304 2 1/2" </v>
      </c>
      <c r="G1328" s="15">
        <f>IFERROR(__xludf.DUMMYFUNCTION("""COMPUTED_VALUE"""),8.0)</f>
        <v>8</v>
      </c>
      <c r="H1328" s="15" t="str">
        <f>IFERROR(__xludf.DUMMYFUNCTION("""COMPUTED_VALUE"""),"pcs")</f>
        <v>pcs</v>
      </c>
      <c r="I1328" s="15" t="str">
        <f>IFERROR(__xludf.DUMMYFUNCTION("""COMPUTED_VALUE"""),"-")</f>
        <v>-</v>
      </c>
      <c r="J1328" s="15" t="str">
        <f>IFERROR(__xludf.DUMMYFUNCTION("""COMPUTED_VALUE"""),"-")</f>
        <v>-</v>
      </c>
      <c r="K1328" s="15" t="str">
        <f>IFERROR(__xludf.DUMMYFUNCTION("""COMPUTED_VALUE"""),"-")</f>
        <v>-</v>
      </c>
      <c r="L1328" s="15" t="str">
        <f>IFERROR(__xludf.DUMMYFUNCTION("""COMPUTED_VALUE"""),"Normal")</f>
        <v>Normal</v>
      </c>
      <c r="M1328" s="18" t="s">
        <v>49</v>
      </c>
      <c r="N1328" s="18" t="s">
        <v>30</v>
      </c>
    </row>
    <row r="1329">
      <c r="A1329" s="15" t="str">
        <f>IFERROR(__xludf.DUMMYFUNCTION("""COMPUTED_VALUE"""),"ANOBR0066")</f>
        <v>ANOBR0066</v>
      </c>
      <c r="B1329" s="16">
        <f>IFERROR(__xludf.DUMMYFUNCTION("""COMPUTED_VALUE"""),46195.66214417824)</f>
        <v>46195.66214</v>
      </c>
      <c r="C1329" s="17">
        <f>IFERROR(__xludf.DUMMYFUNCTION("""COMPUTED_VALUE"""),46206.920113402775)</f>
        <v>46206.92011</v>
      </c>
      <c r="D1329" s="15" t="str">
        <f>IFERROR(__xludf.DUMMYFUNCTION("""COMPUTED_VALUE"""),"pipa FW LT 2")</f>
        <v>pipa FW LT 2</v>
      </c>
      <c r="E1329" s="15" t="str">
        <f>IFERROR(__xludf.DUMMYFUNCTION("""COMPUTED_VALUE"""),"-")</f>
        <v>-</v>
      </c>
      <c r="F1329" s="15" t="str">
        <f>IFERROR(__xludf.DUMMYFUNCTION("""COMPUTED_VALUE"""),"pipa 1 inch ")</f>
        <v>pipa 1 inch </v>
      </c>
      <c r="G1329" s="15">
        <f>IFERROR(__xludf.DUMMYFUNCTION("""COMPUTED_VALUE"""),3.0)</f>
        <v>3</v>
      </c>
      <c r="H1329" s="15" t="str">
        <f>IFERROR(__xludf.DUMMYFUNCTION("""COMPUTED_VALUE"""),"batang")</f>
        <v>batang</v>
      </c>
      <c r="I1329" s="15" t="str">
        <f>IFERROR(__xludf.DUMMYFUNCTION("""COMPUTED_VALUE"""),"-")</f>
        <v>-</v>
      </c>
      <c r="J1329" s="15" t="str">
        <f>IFERROR(__xludf.DUMMYFUNCTION("""COMPUTED_VALUE"""),"-")</f>
        <v>-</v>
      </c>
      <c r="K1329" s="15" t="str">
        <f>IFERROR(__xludf.DUMMYFUNCTION("""COMPUTED_VALUE"""),"-")</f>
        <v>-</v>
      </c>
      <c r="L1329" s="15" t="str">
        <f>IFERROR(__xludf.DUMMYFUNCTION("""COMPUTED_VALUE"""),"Normal")</f>
        <v>Normal</v>
      </c>
      <c r="M1329" s="18" t="s">
        <v>49</v>
      </c>
      <c r="N1329" s="18" t="s">
        <v>30</v>
      </c>
    </row>
    <row r="1330">
      <c r="A1330" s="15" t="str">
        <f>IFERROR(__xludf.DUMMYFUNCTION("""COMPUTED_VALUE"""),"ANOBR0067")</f>
        <v>ANOBR0067</v>
      </c>
      <c r="B1330" s="16">
        <f>IFERROR(__xludf.DUMMYFUNCTION("""COMPUTED_VALUE"""),46195.66214417824)</f>
        <v>46195.66214</v>
      </c>
      <c r="C1330" s="17">
        <f>IFERROR(__xludf.DUMMYFUNCTION("""COMPUTED_VALUE"""),46206.92038196759)</f>
        <v>46206.92038</v>
      </c>
      <c r="D1330" s="15" t="str">
        <f>IFERROR(__xludf.DUMMYFUNCTION("""COMPUTED_VALUE"""),"pipa FW LT 2")</f>
        <v>pipa FW LT 2</v>
      </c>
      <c r="E1330" s="15" t="str">
        <f>IFERROR(__xludf.DUMMYFUNCTION("""COMPUTED_VALUE"""),"-")</f>
        <v>-</v>
      </c>
      <c r="F1330" s="15" t="str">
        <f>IFERROR(__xludf.DUMMYFUNCTION("""COMPUTED_VALUE"""),"elbow 1 inch ")</f>
        <v>elbow 1 inch </v>
      </c>
      <c r="G1330" s="15">
        <f>IFERROR(__xludf.DUMMYFUNCTION("""COMPUTED_VALUE"""),2.0)</f>
        <v>2</v>
      </c>
      <c r="H1330" s="15" t="str">
        <f>IFERROR(__xludf.DUMMYFUNCTION("""COMPUTED_VALUE"""),"pcs")</f>
        <v>pcs</v>
      </c>
      <c r="I1330" s="15" t="str">
        <f>IFERROR(__xludf.DUMMYFUNCTION("""COMPUTED_VALUE"""),"-")</f>
        <v>-</v>
      </c>
      <c r="J1330" s="15" t="str">
        <f>IFERROR(__xludf.DUMMYFUNCTION("""COMPUTED_VALUE"""),"-")</f>
        <v>-</v>
      </c>
      <c r="K1330" s="15" t="str">
        <f>IFERROR(__xludf.DUMMYFUNCTION("""COMPUTED_VALUE"""),"-")</f>
        <v>-</v>
      </c>
      <c r="L1330" s="15" t="str">
        <f>IFERROR(__xludf.DUMMYFUNCTION("""COMPUTED_VALUE"""),"Normal")</f>
        <v>Normal</v>
      </c>
      <c r="M1330" s="18" t="s">
        <v>49</v>
      </c>
      <c r="N1330" s="18" t="s">
        <v>30</v>
      </c>
    </row>
    <row r="1331">
      <c r="A1331" s="15" t="str">
        <f>IFERROR(__xludf.DUMMYFUNCTION("""COMPUTED_VALUE"""),"ANOBR0068")</f>
        <v>ANOBR0068</v>
      </c>
      <c r="B1331" s="16">
        <f>IFERROR(__xludf.DUMMYFUNCTION("""COMPUTED_VALUE"""),46195.66214417824)</f>
        <v>46195.66214</v>
      </c>
      <c r="C1331" s="17">
        <f>IFERROR(__xludf.DUMMYFUNCTION("""COMPUTED_VALUE"""),46206.92054267361)</f>
        <v>46206.92054</v>
      </c>
      <c r="D1331" s="15" t="str">
        <f>IFERROR(__xludf.DUMMYFUNCTION("""COMPUTED_VALUE"""),"pipa FW LT 2")</f>
        <v>pipa FW LT 2</v>
      </c>
      <c r="E1331" s="15" t="str">
        <f>IFERROR(__xludf.DUMMYFUNCTION("""COMPUTED_VALUE"""),"-")</f>
        <v>-</v>
      </c>
      <c r="F1331" s="15" t="str">
        <f>IFERROR(__xludf.DUMMYFUNCTION("""COMPUTED_VALUE"""),"manual valve 1 inch ")</f>
        <v>manual valve 1 inch </v>
      </c>
      <c r="G1331" s="15">
        <f>IFERROR(__xludf.DUMMYFUNCTION("""COMPUTED_VALUE"""),2.0)</f>
        <v>2</v>
      </c>
      <c r="H1331" s="15" t="str">
        <f>IFERROR(__xludf.DUMMYFUNCTION("""COMPUTED_VALUE"""),"pcs")</f>
        <v>pcs</v>
      </c>
      <c r="I1331" s="15" t="str">
        <f>IFERROR(__xludf.DUMMYFUNCTION("""COMPUTED_VALUE"""),"-")</f>
        <v>-</v>
      </c>
      <c r="J1331" s="15" t="str">
        <f>IFERROR(__xludf.DUMMYFUNCTION("""COMPUTED_VALUE"""),"-")</f>
        <v>-</v>
      </c>
      <c r="K1331" s="15" t="str">
        <f>IFERROR(__xludf.DUMMYFUNCTION("""COMPUTED_VALUE"""),"-")</f>
        <v>-</v>
      </c>
      <c r="L1331" s="15" t="str">
        <f>IFERROR(__xludf.DUMMYFUNCTION("""COMPUTED_VALUE"""),"Normal")</f>
        <v>Normal</v>
      </c>
      <c r="M1331" s="18" t="s">
        <v>49</v>
      </c>
      <c r="N1331" s="18" t="s">
        <v>30</v>
      </c>
    </row>
    <row r="1332">
      <c r="A1332" s="15" t="str">
        <f>IFERROR(__xludf.DUMMYFUNCTION("""COMPUTED_VALUE"""),"ANOBR0069")</f>
        <v>ANOBR0069</v>
      </c>
      <c r="B1332" s="16">
        <f>IFERROR(__xludf.DUMMYFUNCTION("""COMPUTED_VALUE"""),46195.66214417824)</f>
        <v>46195.66214</v>
      </c>
      <c r="C1332" s="17">
        <f>IFERROR(__xludf.DUMMYFUNCTION("""COMPUTED_VALUE"""),46206.920700752315)</f>
        <v>46206.9207</v>
      </c>
      <c r="D1332" s="15" t="str">
        <f>IFERROR(__xludf.DUMMYFUNCTION("""COMPUTED_VALUE"""),"pipa FW LT 2")</f>
        <v>pipa FW LT 2</v>
      </c>
      <c r="E1332" s="15" t="str">
        <f>IFERROR(__xludf.DUMMYFUNCTION("""COMPUTED_VALUE"""),"-")</f>
        <v>-</v>
      </c>
      <c r="F1332" s="15" t="str">
        <f>IFERROR(__xludf.DUMMYFUNCTION("""COMPUTED_VALUE"""),"kawat las argon 2 mm")</f>
        <v>kawat las argon 2 mm</v>
      </c>
      <c r="G1332" s="15">
        <f>IFERROR(__xludf.DUMMYFUNCTION("""COMPUTED_VALUE"""),2.0)</f>
        <v>2</v>
      </c>
      <c r="H1332" s="15" t="str">
        <f>IFERROR(__xludf.DUMMYFUNCTION("""COMPUTED_VALUE"""),"box")</f>
        <v>box</v>
      </c>
      <c r="I1332" s="15" t="str">
        <f>IFERROR(__xludf.DUMMYFUNCTION("""COMPUTED_VALUE"""),"-")</f>
        <v>-</v>
      </c>
      <c r="J1332" s="15" t="str">
        <f>IFERROR(__xludf.DUMMYFUNCTION("""COMPUTED_VALUE"""),"-")</f>
        <v>-</v>
      </c>
      <c r="K1332" s="15" t="str">
        <f>IFERROR(__xludf.DUMMYFUNCTION("""COMPUTED_VALUE"""),"-")</f>
        <v>-</v>
      </c>
      <c r="L1332" s="15" t="str">
        <f>IFERROR(__xludf.DUMMYFUNCTION("""COMPUTED_VALUE"""),"Normal")</f>
        <v>Normal</v>
      </c>
      <c r="M1332" s="18" t="s">
        <v>49</v>
      </c>
      <c r="N1332" s="18" t="s">
        <v>30</v>
      </c>
    </row>
    <row r="1333">
      <c r="A1333" s="15" t="str">
        <f>IFERROR(__xludf.DUMMYFUNCTION("""COMPUTED_VALUE"""),"ANOBR0070")</f>
        <v>ANOBR0070</v>
      </c>
      <c r="B1333" s="16">
        <f>IFERROR(__xludf.DUMMYFUNCTION("""COMPUTED_VALUE"""),46195.66214417824)</f>
        <v>46195.66214</v>
      </c>
      <c r="C1333" s="17">
        <f>IFERROR(__xludf.DUMMYFUNCTION("""COMPUTED_VALUE"""),46206.9208744213)</f>
        <v>46206.92087</v>
      </c>
      <c r="D1333" s="15" t="str">
        <f>IFERROR(__xludf.DUMMYFUNCTION("""COMPUTED_VALUE"""),"pipa FW LT 2")</f>
        <v>pipa FW LT 2</v>
      </c>
      <c r="E1333" s="15" t="str">
        <f>IFERROR(__xludf.DUMMYFUNCTION("""COMPUTED_VALUE"""),"-")</f>
        <v>-</v>
      </c>
      <c r="F1333" s="15" t="str">
        <f>IFERROR(__xludf.DUMMYFUNCTION("""COMPUTED_VALUE"""),"kawat las argon 1.8 mm")</f>
        <v>kawat las argon 1.8 mm</v>
      </c>
      <c r="G1333" s="15">
        <f>IFERROR(__xludf.DUMMYFUNCTION("""COMPUTED_VALUE"""),2.0)</f>
        <v>2</v>
      </c>
      <c r="H1333" s="15" t="str">
        <f>IFERROR(__xludf.DUMMYFUNCTION("""COMPUTED_VALUE"""),"box")</f>
        <v>box</v>
      </c>
      <c r="I1333" s="15" t="str">
        <f>IFERROR(__xludf.DUMMYFUNCTION("""COMPUTED_VALUE"""),"-")</f>
        <v>-</v>
      </c>
      <c r="J1333" s="15" t="str">
        <f>IFERROR(__xludf.DUMMYFUNCTION("""COMPUTED_VALUE"""),"-")</f>
        <v>-</v>
      </c>
      <c r="K1333" s="15" t="str">
        <f>IFERROR(__xludf.DUMMYFUNCTION("""COMPUTED_VALUE"""),"-")</f>
        <v>-</v>
      </c>
      <c r="L1333" s="15" t="str">
        <f>IFERROR(__xludf.DUMMYFUNCTION("""COMPUTED_VALUE"""),"Normal")</f>
        <v>Normal</v>
      </c>
      <c r="M1333" s="18" t="s">
        <v>49</v>
      </c>
      <c r="N1333" s="18" t="s">
        <v>30</v>
      </c>
    </row>
    <row r="1334">
      <c r="A1334" s="15" t="str">
        <f>IFERROR(__xludf.DUMMYFUNCTION("""COMPUTED_VALUE"""),"ANOBR0071")</f>
        <v>ANOBR0071</v>
      </c>
      <c r="B1334" s="16">
        <f>IFERROR(__xludf.DUMMYFUNCTION("""COMPUTED_VALUE"""),46195.66828746528)</f>
        <v>46195.66829</v>
      </c>
      <c r="C1334" s="17">
        <f>IFERROR(__xludf.DUMMYFUNCTION("""COMPUTED_VALUE"""),46206.92114663194)</f>
        <v>46206.92115</v>
      </c>
      <c r="D1334" s="15" t="str">
        <f>IFERROR(__xludf.DUMMYFUNCTION("""COMPUTED_VALUE"""),"pipa FW LT 2")</f>
        <v>pipa FW LT 2</v>
      </c>
      <c r="E1334" s="15" t="str">
        <f>IFERROR(__xludf.DUMMYFUNCTION("""COMPUTED_VALUE"""),"-")</f>
        <v>-</v>
      </c>
      <c r="F1334" s="15" t="str">
        <f>IFERROR(__xludf.DUMMYFUNCTION("""COMPUTED_VALUE"""),"Tee 2 1/2"" To 1 inch")</f>
        <v>Tee 2 1/2" To 1 inch</v>
      </c>
      <c r="G1334" s="15">
        <f>IFERROR(__xludf.DUMMYFUNCTION("""COMPUTED_VALUE"""),2.0)</f>
        <v>2</v>
      </c>
      <c r="H1334" s="15" t="str">
        <f>IFERROR(__xludf.DUMMYFUNCTION("""COMPUTED_VALUE"""),"pcs")</f>
        <v>pcs</v>
      </c>
      <c r="I1334" s="15" t="str">
        <f>IFERROR(__xludf.DUMMYFUNCTION("""COMPUTED_VALUE"""),"-")</f>
        <v>-</v>
      </c>
      <c r="J1334" s="15" t="str">
        <f>IFERROR(__xludf.DUMMYFUNCTION("""COMPUTED_VALUE"""),"-")</f>
        <v>-</v>
      </c>
      <c r="K1334" s="15" t="str">
        <f>IFERROR(__xludf.DUMMYFUNCTION("""COMPUTED_VALUE"""),"-")</f>
        <v>-</v>
      </c>
      <c r="L1334" s="15" t="str">
        <f>IFERROR(__xludf.DUMMYFUNCTION("""COMPUTED_VALUE"""),"Normal")</f>
        <v>Normal</v>
      </c>
      <c r="M1334" s="18" t="s">
        <v>49</v>
      </c>
      <c r="N1334" s="18" t="s">
        <v>30</v>
      </c>
    </row>
    <row r="1335">
      <c r="A1335" s="15" t="str">
        <f>IFERROR(__xludf.DUMMYFUNCTION("""COMPUTED_VALUE"""),"ANOBR0072")</f>
        <v>ANOBR0072</v>
      </c>
      <c r="B1335" s="16">
        <f>IFERROR(__xludf.DUMMYFUNCTION("""COMPUTED_VALUE"""),46195.668796481485)</f>
        <v>46195.6688</v>
      </c>
      <c r="C1335" s="17">
        <f>IFERROR(__xludf.DUMMYFUNCTION("""COMPUTED_VALUE"""),46206.92126381944)</f>
        <v>46206.92126</v>
      </c>
      <c r="D1335" s="15" t="str">
        <f>IFERROR(__xludf.DUMMYFUNCTION("""COMPUTED_VALUE"""),"pipa FW LT 2")</f>
        <v>pipa FW LT 2</v>
      </c>
      <c r="E1335" s="15" t="str">
        <f>IFERROR(__xludf.DUMMYFUNCTION("""COMPUTED_VALUE"""),"-")</f>
        <v>-</v>
      </c>
      <c r="F1335" s="15" t="str">
        <f>IFERROR(__xludf.DUMMYFUNCTION("""COMPUTED_VALUE"""),"gasket rubber tebal 3 mm ")</f>
        <v>gasket rubber tebal 3 mm </v>
      </c>
      <c r="G1335" s="15">
        <f>IFERROR(__xludf.DUMMYFUNCTION("""COMPUTED_VALUE"""),1.0)</f>
        <v>1</v>
      </c>
      <c r="H1335" s="15" t="str">
        <f>IFERROR(__xludf.DUMMYFUNCTION("""COMPUTED_VALUE"""),"lembar")</f>
        <v>lembar</v>
      </c>
      <c r="I1335" s="15" t="str">
        <f>IFERROR(__xludf.DUMMYFUNCTION("""COMPUTED_VALUE"""),"-")</f>
        <v>-</v>
      </c>
      <c r="J1335" s="15" t="str">
        <f>IFERROR(__xludf.DUMMYFUNCTION("""COMPUTED_VALUE"""),"-")</f>
        <v>-</v>
      </c>
      <c r="K1335" s="15" t="str">
        <f>IFERROR(__xludf.DUMMYFUNCTION("""COMPUTED_VALUE"""),"-")</f>
        <v>-</v>
      </c>
      <c r="L1335" s="15" t="str">
        <f>IFERROR(__xludf.DUMMYFUNCTION("""COMPUTED_VALUE"""),"Normal")</f>
        <v>Normal</v>
      </c>
      <c r="M1335" s="18" t="s">
        <v>49</v>
      </c>
      <c r="N1335" s="18" t="s">
        <v>30</v>
      </c>
    </row>
    <row r="1336">
      <c r="A1336" s="15" t="str">
        <f>IFERROR(__xludf.DUMMYFUNCTION("""COMPUTED_VALUE"""),"ANOBR0073")</f>
        <v>ANOBR0073</v>
      </c>
      <c r="B1336" s="16">
        <f>IFERROR(__xludf.DUMMYFUNCTION("""COMPUTED_VALUE"""),46195.69084635417)</f>
        <v>46195.69085</v>
      </c>
      <c r="C1336" s="17">
        <f>IFERROR(__xludf.DUMMYFUNCTION("""COMPUTED_VALUE"""),46206.921395972226)</f>
        <v>46206.9214</v>
      </c>
      <c r="D1336" s="15" t="str">
        <f>IFERROR(__xludf.DUMMYFUNCTION("""COMPUTED_VALUE"""),"pipa FW LT 2")</f>
        <v>pipa FW LT 2</v>
      </c>
      <c r="E1336" s="15" t="str">
        <f>IFERROR(__xludf.DUMMYFUNCTION("""COMPUTED_VALUE"""),"-")</f>
        <v>-</v>
      </c>
      <c r="F1336" s="15" t="str">
        <f>IFERROR(__xludf.DUMMYFUNCTION("""COMPUTED_VALUE"""),"watermur ss 304 1 inch ")</f>
        <v>watermur ss 304 1 inch </v>
      </c>
      <c r="G1336" s="15">
        <f>IFERROR(__xludf.DUMMYFUNCTION("""COMPUTED_VALUE"""),4.0)</f>
        <v>4</v>
      </c>
      <c r="H1336" s="15" t="str">
        <f>IFERROR(__xludf.DUMMYFUNCTION("""COMPUTED_VALUE"""),"pcs")</f>
        <v>pcs</v>
      </c>
      <c r="I1336" s="15" t="str">
        <f>IFERROR(__xludf.DUMMYFUNCTION("""COMPUTED_VALUE"""),"-")</f>
        <v>-</v>
      </c>
      <c r="J1336" s="15" t="str">
        <f>IFERROR(__xludf.DUMMYFUNCTION("""COMPUTED_VALUE"""),"-")</f>
        <v>-</v>
      </c>
      <c r="K1336" s="15" t="str">
        <f>IFERROR(__xludf.DUMMYFUNCTION("""COMPUTED_VALUE"""),"-")</f>
        <v>-</v>
      </c>
      <c r="L1336" s="15" t="str">
        <f>IFERROR(__xludf.DUMMYFUNCTION("""COMPUTED_VALUE"""),"Normal")</f>
        <v>Normal</v>
      </c>
      <c r="M1336" s="18" t="s">
        <v>49</v>
      </c>
      <c r="N1336" s="18" t="s">
        <v>30</v>
      </c>
    </row>
    <row r="1337">
      <c r="A1337" s="15" t="str">
        <f>IFERROR(__xludf.DUMMYFUNCTION("""COMPUTED_VALUE"""),"ANOBR0074")</f>
        <v>ANOBR0074</v>
      </c>
      <c r="B1337" s="16">
        <f>IFERROR(__xludf.DUMMYFUNCTION("""COMPUTED_VALUE"""),46195.69084635417)</f>
        <v>46195.69085</v>
      </c>
      <c r="C1337" s="17">
        <f>IFERROR(__xludf.DUMMYFUNCTION("""COMPUTED_VALUE"""),46206.92170481481)</f>
        <v>46206.9217</v>
      </c>
      <c r="D1337" s="15" t="str">
        <f>IFERROR(__xludf.DUMMYFUNCTION("""COMPUTED_VALUE"""),"pipa FW LT 2")</f>
        <v>pipa FW LT 2</v>
      </c>
      <c r="E1337" s="15" t="str">
        <f>IFERROR(__xludf.DUMMYFUNCTION("""COMPUTED_VALUE"""),"-")</f>
        <v>-</v>
      </c>
      <c r="F1337" s="15" t="str">
        <f>IFERROR(__xludf.DUMMYFUNCTION("""COMPUTED_VALUE"""),"shock drat luar 1 inch ")</f>
        <v>shock drat luar 1 inch </v>
      </c>
      <c r="G1337" s="15">
        <f>IFERROR(__xludf.DUMMYFUNCTION("""COMPUTED_VALUE"""),4.0)</f>
        <v>4</v>
      </c>
      <c r="H1337" s="15" t="str">
        <f>IFERROR(__xludf.DUMMYFUNCTION("""COMPUTED_VALUE"""),"pcs")</f>
        <v>pcs</v>
      </c>
      <c r="I1337" s="15" t="str">
        <f>IFERROR(__xludf.DUMMYFUNCTION("""COMPUTED_VALUE"""),"-")</f>
        <v>-</v>
      </c>
      <c r="J1337" s="15" t="str">
        <f>IFERROR(__xludf.DUMMYFUNCTION("""COMPUTED_VALUE"""),"-")</f>
        <v>-</v>
      </c>
      <c r="K1337" s="15" t="str">
        <f>IFERROR(__xludf.DUMMYFUNCTION("""COMPUTED_VALUE"""),"-")</f>
        <v>-</v>
      </c>
      <c r="L1337" s="15" t="str">
        <f>IFERROR(__xludf.DUMMYFUNCTION("""COMPUTED_VALUE"""),"Normal")</f>
        <v>Normal</v>
      </c>
      <c r="M1337" s="18" t="s">
        <v>49</v>
      </c>
      <c r="N1337" s="18" t="s">
        <v>30</v>
      </c>
    </row>
    <row r="1338">
      <c r="A1338" s="15" t="str">
        <f>IFERROR(__xludf.DUMMYFUNCTION("""COMPUTED_VALUE"""),"ANOBR0075")</f>
        <v>ANOBR0075</v>
      </c>
      <c r="B1338" s="16">
        <f>IFERROR(__xludf.DUMMYFUNCTION("""COMPUTED_VALUE"""),46195.69084635417)</f>
        <v>46195.69085</v>
      </c>
      <c r="C1338" s="17">
        <f>IFERROR(__xludf.DUMMYFUNCTION("""COMPUTED_VALUE"""),46206.92185234953)</f>
        <v>46206.92185</v>
      </c>
      <c r="D1338" s="15" t="str">
        <f>IFERROR(__xludf.DUMMYFUNCTION("""COMPUTED_VALUE"""),"pipa FW LT 2")</f>
        <v>pipa FW LT 2</v>
      </c>
      <c r="E1338" s="15" t="str">
        <f>IFERROR(__xludf.DUMMYFUNCTION("""COMPUTED_VALUE"""),"-")</f>
        <v>-</v>
      </c>
      <c r="F1338" s="15" t="str">
        <f>IFERROR(__xludf.DUMMYFUNCTION("""COMPUTED_VALUE"""),"shock drat luar ss 304 1 inch ")</f>
        <v>shock drat luar ss 304 1 inch </v>
      </c>
      <c r="G1338" s="15">
        <f>IFERROR(__xludf.DUMMYFUNCTION("""COMPUTED_VALUE"""),4.0)</f>
        <v>4</v>
      </c>
      <c r="H1338" s="15" t="str">
        <f>IFERROR(__xludf.DUMMYFUNCTION("""COMPUTED_VALUE"""),"pcs")</f>
        <v>pcs</v>
      </c>
      <c r="I1338" s="15" t="str">
        <f>IFERROR(__xludf.DUMMYFUNCTION("""COMPUTED_VALUE"""),"-")</f>
        <v>-</v>
      </c>
      <c r="J1338" s="15" t="str">
        <f>IFERROR(__xludf.DUMMYFUNCTION("""COMPUTED_VALUE"""),"-")</f>
        <v>-</v>
      </c>
      <c r="K1338" s="15" t="str">
        <f>IFERROR(__xludf.DUMMYFUNCTION("""COMPUTED_VALUE"""),"-")</f>
        <v>-</v>
      </c>
      <c r="L1338" s="15" t="str">
        <f>IFERROR(__xludf.DUMMYFUNCTION("""COMPUTED_VALUE"""),"Normal")</f>
        <v>Normal</v>
      </c>
      <c r="M1338" s="18" t="s">
        <v>49</v>
      </c>
      <c r="N1338" s="18" t="s">
        <v>30</v>
      </c>
    </row>
    <row r="1339">
      <c r="A1339" s="15" t="str">
        <f>IFERROR(__xludf.DUMMYFUNCTION("""COMPUTED_VALUE"""),"ANOBR0077")</f>
        <v>ANOBR0077</v>
      </c>
      <c r="B1339" s="16">
        <f>IFERROR(__xludf.DUMMYFUNCTION("""COMPUTED_VALUE"""),46195.69084635417)</f>
        <v>46195.69085</v>
      </c>
      <c r="C1339" s="17">
        <f>IFERROR(__xludf.DUMMYFUNCTION("""COMPUTED_VALUE"""),46206.92200625)</f>
        <v>46206.92201</v>
      </c>
      <c r="D1339" s="15" t="str">
        <f>IFERROR(__xludf.DUMMYFUNCTION("""COMPUTED_VALUE"""),"pipa FW LT 2")</f>
        <v>pipa FW LT 2</v>
      </c>
      <c r="E1339" s="15" t="str">
        <f>IFERROR(__xludf.DUMMYFUNCTION("""COMPUTED_VALUE"""),"-")</f>
        <v>-</v>
      </c>
      <c r="F1339" s="15" t="str">
        <f>IFERROR(__xludf.DUMMYFUNCTION("""COMPUTED_VALUE"""),"shock drat dalem ss 304 1 inch ")</f>
        <v>shock drat dalem ss 304 1 inch </v>
      </c>
      <c r="G1339" s="15">
        <f>IFERROR(__xludf.DUMMYFUNCTION("""COMPUTED_VALUE"""),4.0)</f>
        <v>4</v>
      </c>
      <c r="H1339" s="15" t="str">
        <f>IFERROR(__xludf.DUMMYFUNCTION("""COMPUTED_VALUE"""),"pcs")</f>
        <v>pcs</v>
      </c>
      <c r="I1339" s="15" t="str">
        <f>IFERROR(__xludf.DUMMYFUNCTION("""COMPUTED_VALUE"""),"-")</f>
        <v>-</v>
      </c>
      <c r="J1339" s="15" t="str">
        <f>IFERROR(__xludf.DUMMYFUNCTION("""COMPUTED_VALUE"""),"-")</f>
        <v>-</v>
      </c>
      <c r="K1339" s="15" t="str">
        <f>IFERROR(__xludf.DUMMYFUNCTION("""COMPUTED_VALUE"""),"-")</f>
        <v>-</v>
      </c>
      <c r="L1339" s="15" t="str">
        <f>IFERROR(__xludf.DUMMYFUNCTION("""COMPUTED_VALUE"""),"Normal")</f>
        <v>Normal</v>
      </c>
      <c r="M1339" s="18" t="s">
        <v>49</v>
      </c>
      <c r="N1339" s="18" t="s">
        <v>30</v>
      </c>
    </row>
    <row r="1340">
      <c r="A1340" s="15" t="str">
        <f>IFERROR(__xludf.DUMMYFUNCTION("""COMPUTED_VALUE"""),"ANOBR0076")</f>
        <v>ANOBR0076</v>
      </c>
      <c r="B1340" s="16">
        <f>IFERROR(__xludf.DUMMYFUNCTION("""COMPUTED_VALUE"""),46195.69084635417)</f>
        <v>46195.69085</v>
      </c>
      <c r="C1340" s="17">
        <f>IFERROR(__xludf.DUMMYFUNCTION("""COMPUTED_VALUE"""),46206.9222050926)</f>
        <v>46206.92221</v>
      </c>
      <c r="D1340" s="15" t="str">
        <f>IFERROR(__xludf.DUMMYFUNCTION("""COMPUTED_VALUE"""),"pipa FW LT 2")</f>
        <v>pipa FW LT 2</v>
      </c>
      <c r="E1340" s="15" t="str">
        <f>IFERROR(__xludf.DUMMYFUNCTION("""COMPUTED_VALUE"""),"-")</f>
        <v>-</v>
      </c>
      <c r="F1340" s="15" t="str">
        <f>IFERROR(__xludf.DUMMYFUNCTION("""COMPUTED_VALUE"""),"double nepple ss 304 1 inch ")</f>
        <v>double nepple ss 304 1 inch </v>
      </c>
      <c r="G1340" s="15">
        <f>IFERROR(__xludf.DUMMYFUNCTION("""COMPUTED_VALUE"""),4.0)</f>
        <v>4</v>
      </c>
      <c r="H1340" s="15" t="str">
        <f>IFERROR(__xludf.DUMMYFUNCTION("""COMPUTED_VALUE"""),"pcs")</f>
        <v>pcs</v>
      </c>
      <c r="I1340" s="15" t="str">
        <f>IFERROR(__xludf.DUMMYFUNCTION("""COMPUTED_VALUE"""),"-")</f>
        <v>-</v>
      </c>
      <c r="J1340" s="15" t="str">
        <f>IFERROR(__xludf.DUMMYFUNCTION("""COMPUTED_VALUE"""),"-")</f>
        <v>-</v>
      </c>
      <c r="K1340" s="15" t="str">
        <f>IFERROR(__xludf.DUMMYFUNCTION("""COMPUTED_VALUE"""),"-")</f>
        <v>-</v>
      </c>
      <c r="L1340" s="15" t="str">
        <f>IFERROR(__xludf.DUMMYFUNCTION("""COMPUTED_VALUE"""),"Normal")</f>
        <v>Normal</v>
      </c>
      <c r="M1340" s="18" t="s">
        <v>49</v>
      </c>
      <c r="N1340" s="18" t="s">
        <v>30</v>
      </c>
    </row>
    <row r="1341">
      <c r="A1341" s="15" t="str">
        <f>IFERROR(__xludf.DUMMYFUNCTION("""COMPUTED_VALUE"""),"ANOBR0078")</f>
        <v>ANOBR0078</v>
      </c>
      <c r="B1341" s="16">
        <f>IFERROR(__xludf.DUMMYFUNCTION("""COMPUTED_VALUE"""),46195.71158704861)</f>
        <v>46195.71159</v>
      </c>
      <c r="C1341" s="17">
        <f>IFERROR(__xludf.DUMMYFUNCTION("""COMPUTED_VALUE"""),46206.922550069445)</f>
        <v>46206.92255</v>
      </c>
      <c r="D1341" s="15" t="str">
        <f>IFERROR(__xludf.DUMMYFUNCTION("""COMPUTED_VALUE"""),"mesin las")</f>
        <v>mesin las</v>
      </c>
      <c r="E1341" s="15" t="str">
        <f>IFERROR(__xludf.DUMMYFUNCTION("""COMPUTED_VALUE"""),"-")</f>
        <v>-</v>
      </c>
      <c r="F1341" s="15" t="str">
        <f>IFERROR(__xludf.DUMMYFUNCTION("""COMPUTED_VALUE"""),"tungsten 2 mm")</f>
        <v>tungsten 2 mm</v>
      </c>
      <c r="G1341" s="15">
        <f>IFERROR(__xludf.DUMMYFUNCTION("""COMPUTED_VALUE"""),5.0)</f>
        <v>5</v>
      </c>
      <c r="H1341" s="15" t="str">
        <f>IFERROR(__xludf.DUMMYFUNCTION("""COMPUTED_VALUE"""),"pcs")</f>
        <v>pcs</v>
      </c>
      <c r="I1341" s="15" t="str">
        <f>IFERROR(__xludf.DUMMYFUNCTION("""COMPUTED_VALUE"""),"-")</f>
        <v>-</v>
      </c>
      <c r="J1341" s="15" t="str">
        <f>IFERROR(__xludf.DUMMYFUNCTION("""COMPUTED_VALUE"""),"-")</f>
        <v>-</v>
      </c>
      <c r="K1341" s="15" t="str">
        <f>IFERROR(__xludf.DUMMYFUNCTION("""COMPUTED_VALUE"""),"-")</f>
        <v>-</v>
      </c>
      <c r="L1341" s="15" t="str">
        <f>IFERROR(__xludf.DUMMYFUNCTION("""COMPUTED_VALUE"""),"Normal")</f>
        <v>Normal</v>
      </c>
      <c r="M1341" s="18" t="s">
        <v>49</v>
      </c>
      <c r="N1341" s="18" t="s">
        <v>30</v>
      </c>
    </row>
    <row r="1342">
      <c r="A1342" s="15" t="str">
        <f>IFERROR(__xludf.DUMMYFUNCTION("""COMPUTED_VALUE"""),"ANOBR0079")</f>
        <v>ANOBR0079</v>
      </c>
      <c r="B1342" s="16">
        <f>IFERROR(__xludf.DUMMYFUNCTION("""COMPUTED_VALUE"""),46195.71158704861)</f>
        <v>46195.71159</v>
      </c>
      <c r="C1342" s="17">
        <f>IFERROR(__xludf.DUMMYFUNCTION("""COMPUTED_VALUE"""),46206.9227017824)</f>
        <v>46206.9227</v>
      </c>
      <c r="D1342" s="15" t="str">
        <f>IFERROR(__xludf.DUMMYFUNCTION("""COMPUTED_VALUE"""),"mesin las")</f>
        <v>mesin las</v>
      </c>
      <c r="E1342" s="15" t="str">
        <f>IFERROR(__xludf.DUMMYFUNCTION("""COMPUTED_VALUE"""),"-")</f>
        <v>-</v>
      </c>
      <c r="F1342" s="15" t="str">
        <f>IFERROR(__xludf.DUMMYFUNCTION("""COMPUTED_VALUE"""),"body collet 2 mm")</f>
        <v>body collet 2 mm</v>
      </c>
      <c r="G1342" s="15">
        <f>IFERROR(__xludf.DUMMYFUNCTION("""COMPUTED_VALUE"""),4.0)</f>
        <v>4</v>
      </c>
      <c r="H1342" s="15" t="str">
        <f>IFERROR(__xludf.DUMMYFUNCTION("""COMPUTED_VALUE"""),"pcs")</f>
        <v>pcs</v>
      </c>
      <c r="I1342" s="15" t="str">
        <f>IFERROR(__xludf.DUMMYFUNCTION("""COMPUTED_VALUE"""),"-")</f>
        <v>-</v>
      </c>
      <c r="J1342" s="15" t="str">
        <f>IFERROR(__xludf.DUMMYFUNCTION("""COMPUTED_VALUE"""),"-")</f>
        <v>-</v>
      </c>
      <c r="K1342" s="15" t="str">
        <f>IFERROR(__xludf.DUMMYFUNCTION("""COMPUTED_VALUE"""),"-")</f>
        <v>-</v>
      </c>
      <c r="L1342" s="15" t="str">
        <f>IFERROR(__xludf.DUMMYFUNCTION("""COMPUTED_VALUE"""),"Normal")</f>
        <v>Normal</v>
      </c>
      <c r="M1342" s="18" t="s">
        <v>49</v>
      </c>
      <c r="N1342" s="18" t="s">
        <v>30</v>
      </c>
    </row>
    <row r="1343">
      <c r="A1343" s="15" t="str">
        <f>IFERROR(__xludf.DUMMYFUNCTION("""COMPUTED_VALUE"""),"ANOBR0080")</f>
        <v>ANOBR0080</v>
      </c>
      <c r="B1343" s="16">
        <f>IFERROR(__xludf.DUMMYFUNCTION("""COMPUTED_VALUE"""),46195.71158704861)</f>
        <v>46195.71159</v>
      </c>
      <c r="C1343" s="17">
        <f>IFERROR(__xludf.DUMMYFUNCTION("""COMPUTED_VALUE"""),46206.92304616899)</f>
        <v>46206.92305</v>
      </c>
      <c r="D1343" s="15" t="str">
        <f>IFERROR(__xludf.DUMMYFUNCTION("""COMPUTED_VALUE"""),"mesin las")</f>
        <v>mesin las</v>
      </c>
      <c r="E1343" s="15" t="str">
        <f>IFERROR(__xludf.DUMMYFUNCTION("""COMPUTED_VALUE"""),"-")</f>
        <v>-</v>
      </c>
      <c r="F1343" s="15" t="str">
        <f>IFERROR(__xludf.DUMMYFUNCTION("""COMPUTED_VALUE"""),"keramik las argon no 6,7,8,9")</f>
        <v>keramik las argon no 6,7,8,9</v>
      </c>
      <c r="G1343" s="15">
        <f>IFERROR(__xludf.DUMMYFUNCTION("""COMPUTED_VALUE"""),1.0)</f>
        <v>1</v>
      </c>
      <c r="H1343" s="15" t="str">
        <f>IFERROR(__xludf.DUMMYFUNCTION("""COMPUTED_VALUE"""),"set")</f>
        <v>set</v>
      </c>
      <c r="I1343" s="15" t="str">
        <f>IFERROR(__xludf.DUMMYFUNCTION("""COMPUTED_VALUE"""),"-")</f>
        <v>-</v>
      </c>
      <c r="J1343" s="15" t="str">
        <f>IFERROR(__xludf.DUMMYFUNCTION("""COMPUTED_VALUE"""),"-")</f>
        <v>-</v>
      </c>
      <c r="K1343" s="15" t="str">
        <f>IFERROR(__xludf.DUMMYFUNCTION("""COMPUTED_VALUE"""),"-")</f>
        <v>-</v>
      </c>
      <c r="L1343" s="15" t="str">
        <f>IFERROR(__xludf.DUMMYFUNCTION("""COMPUTED_VALUE"""),"Normal")</f>
        <v>Normal</v>
      </c>
      <c r="M1343" s="18" t="s">
        <v>49</v>
      </c>
      <c r="N1343" s="18" t="s">
        <v>30</v>
      </c>
    </row>
    <row r="1344">
      <c r="A1344" s="15" t="str">
        <f>IFERROR(__xludf.DUMMYFUNCTION("""COMPUTED_VALUE"""),"ANOBR0081")</f>
        <v>ANOBR0081</v>
      </c>
      <c r="B1344" s="16">
        <f>IFERROR(__xludf.DUMMYFUNCTION("""COMPUTED_VALUE"""),46195.71158704861)</f>
        <v>46195.71159</v>
      </c>
      <c r="C1344" s="17">
        <f>IFERROR(__xludf.DUMMYFUNCTION("""COMPUTED_VALUE"""),46206.923198842596)</f>
        <v>46206.9232</v>
      </c>
      <c r="D1344" s="15" t="str">
        <f>IFERROR(__xludf.DUMMYFUNCTION("""COMPUTED_VALUE"""),"mesin las")</f>
        <v>mesin las</v>
      </c>
      <c r="E1344" s="15" t="str">
        <f>IFERROR(__xludf.DUMMYFUNCTION("""COMPUTED_VALUE"""),"-")</f>
        <v>-</v>
      </c>
      <c r="F1344" s="15" t="str">
        <f>IFERROR(__xludf.DUMMYFUNCTION("""COMPUTED_VALUE"""),"collet 2 mm")</f>
        <v>collet 2 mm</v>
      </c>
      <c r="G1344" s="15">
        <f>IFERROR(__xludf.DUMMYFUNCTION("""COMPUTED_VALUE"""),5.0)</f>
        <v>5</v>
      </c>
      <c r="H1344" s="15" t="str">
        <f>IFERROR(__xludf.DUMMYFUNCTION("""COMPUTED_VALUE"""),"pcs")</f>
        <v>pcs</v>
      </c>
      <c r="I1344" s="15" t="str">
        <f>IFERROR(__xludf.DUMMYFUNCTION("""COMPUTED_VALUE"""),"-")</f>
        <v>-</v>
      </c>
      <c r="J1344" s="15" t="str">
        <f>IFERROR(__xludf.DUMMYFUNCTION("""COMPUTED_VALUE"""),"-")</f>
        <v>-</v>
      </c>
      <c r="K1344" s="15" t="str">
        <f>IFERROR(__xludf.DUMMYFUNCTION("""COMPUTED_VALUE"""),"-")</f>
        <v>-</v>
      </c>
      <c r="L1344" s="15" t="str">
        <f>IFERROR(__xludf.DUMMYFUNCTION("""COMPUTED_VALUE"""),"Normal")</f>
        <v>Normal</v>
      </c>
      <c r="M1344" s="18" t="s">
        <v>49</v>
      </c>
      <c r="N1344" s="18" t="s">
        <v>30</v>
      </c>
    </row>
    <row r="1345">
      <c r="A1345" s="15" t="str">
        <f>IFERROR(__xludf.DUMMYFUNCTION("""COMPUTED_VALUE"""),"ANOBR0082")</f>
        <v>ANOBR0082</v>
      </c>
      <c r="B1345" s="16">
        <f>IFERROR(__xludf.DUMMYFUNCTION("""COMPUTED_VALUE"""),46195.70859394676)</f>
        <v>46195.70859</v>
      </c>
      <c r="C1345" s="17">
        <f>IFERROR(__xludf.DUMMYFUNCTION("""COMPUTED_VALUE"""),46206.92355180555)</f>
        <v>46206.92355</v>
      </c>
      <c r="D1345" s="15" t="str">
        <f>IFERROR(__xludf.DUMMYFUNCTION("""COMPUTED_VALUE"""),"tabung N2 area luar")</f>
        <v>tabung N2 area luar</v>
      </c>
      <c r="E1345" s="15" t="str">
        <f>IFERROR(__xludf.DUMMYFUNCTION("""COMPUTED_VALUE"""),"EJO/2026/06/045")</f>
        <v>EJO/2026/06/045</v>
      </c>
      <c r="F1345" s="15" t="str">
        <f>IFERROR(__xludf.DUMMYFUNCTION("""COMPUTED_VALUE"""),"cat besi warna broken white")</f>
        <v>cat besi warna broken white</v>
      </c>
      <c r="G1345" s="15">
        <f>IFERROR(__xludf.DUMMYFUNCTION("""COMPUTED_VALUE"""),4.0)</f>
        <v>4</v>
      </c>
      <c r="H1345" s="15" t="str">
        <f>IFERROR(__xludf.DUMMYFUNCTION("""COMPUTED_VALUE"""),"kaleng")</f>
        <v>kaleng</v>
      </c>
      <c r="I1345" s="15" t="str">
        <f>IFERROR(__xludf.DUMMYFUNCTION("""COMPUTED_VALUE"""),"-")</f>
        <v>-</v>
      </c>
      <c r="J1345" s="15" t="str">
        <f>IFERROR(__xludf.DUMMYFUNCTION("""COMPUTED_VALUE"""),"-")</f>
        <v>-</v>
      </c>
      <c r="K1345" s="15" t="str">
        <f>IFERROR(__xludf.DUMMYFUNCTION("""COMPUTED_VALUE"""),"-")</f>
        <v>-</v>
      </c>
      <c r="L1345" s="15" t="str">
        <f>IFERROR(__xludf.DUMMYFUNCTION("""COMPUTED_VALUE"""),"Normal")</f>
        <v>Normal</v>
      </c>
      <c r="M1345" s="18" t="s">
        <v>49</v>
      </c>
      <c r="N1345" s="18" t="s">
        <v>30</v>
      </c>
    </row>
    <row r="1346">
      <c r="A1346" s="15" t="str">
        <f>IFERROR(__xludf.DUMMYFUNCTION("""COMPUTED_VALUE"""),"ANOBR0083")</f>
        <v>ANOBR0083</v>
      </c>
      <c r="B1346" s="16">
        <f>IFERROR(__xludf.DUMMYFUNCTION("""COMPUTED_VALUE"""),46195.70929417824)</f>
        <v>46195.70929</v>
      </c>
      <c r="C1346" s="17">
        <f>IFERROR(__xludf.DUMMYFUNCTION("""COMPUTED_VALUE"""),46206.92372028935)</f>
        <v>46206.92372</v>
      </c>
      <c r="D1346" s="15" t="str">
        <f>IFERROR(__xludf.DUMMYFUNCTION("""COMPUTED_VALUE"""),"tabung N2 area luar")</f>
        <v>tabung N2 area luar</v>
      </c>
      <c r="E1346" s="15" t="str">
        <f>IFERROR(__xludf.DUMMYFUNCTION("""COMPUTED_VALUE"""),"EJO/2026/06/045")</f>
        <v>EJO/2026/06/045</v>
      </c>
      <c r="F1346" s="15" t="str">
        <f>IFERROR(__xludf.DUMMYFUNCTION("""COMPUTED_VALUE"""),"tinner PU nippon")</f>
        <v>tinner PU nippon</v>
      </c>
      <c r="G1346" s="15">
        <f>IFERROR(__xludf.DUMMYFUNCTION("""COMPUTED_VALUE"""),4.0)</f>
        <v>4</v>
      </c>
      <c r="H1346" s="15" t="str">
        <f>IFERROR(__xludf.DUMMYFUNCTION("""COMPUTED_VALUE"""),"kaleng")</f>
        <v>kaleng</v>
      </c>
      <c r="I1346" s="15" t="str">
        <f>IFERROR(__xludf.DUMMYFUNCTION("""COMPUTED_VALUE"""),"-")</f>
        <v>-</v>
      </c>
      <c r="J1346" s="15" t="str">
        <f>IFERROR(__xludf.DUMMYFUNCTION("""COMPUTED_VALUE"""),"-")</f>
        <v>-</v>
      </c>
      <c r="K1346" s="15" t="str">
        <f>IFERROR(__xludf.DUMMYFUNCTION("""COMPUTED_VALUE"""),"-")</f>
        <v>-</v>
      </c>
      <c r="L1346" s="15" t="str">
        <f>IFERROR(__xludf.DUMMYFUNCTION("""COMPUTED_VALUE"""),"Normal")</f>
        <v>Normal</v>
      </c>
      <c r="M1346" s="18" t="s">
        <v>49</v>
      </c>
      <c r="N1346" s="18" t="s">
        <v>30</v>
      </c>
    </row>
    <row r="1347">
      <c r="A1347" s="15" t="str">
        <f>IFERROR(__xludf.DUMMYFUNCTION("""COMPUTED_VALUE"""),"ANOBR0084")</f>
        <v>ANOBR0084</v>
      </c>
      <c r="B1347" s="16">
        <f>IFERROR(__xludf.DUMMYFUNCTION("""COMPUTED_VALUE"""),46196.40780642361)</f>
        <v>46196.40781</v>
      </c>
      <c r="C1347" s="17">
        <f>IFERROR(__xludf.DUMMYFUNCTION("""COMPUTED_VALUE"""),46206.92428400463)</f>
        <v>46206.92428</v>
      </c>
      <c r="D1347" s="15" t="str">
        <f>IFERROR(__xludf.DUMMYFUNCTION("""COMPUTED_VALUE"""),"workshop")</f>
        <v>workshop</v>
      </c>
      <c r="E1347" s="15" t="str">
        <f>IFERROR(__xludf.DUMMYFUNCTION("""COMPUTED_VALUE"""),"-")</f>
        <v>-</v>
      </c>
      <c r="F1347" s="15" t="str">
        <f>IFERROR(__xludf.DUMMYFUNCTION("""COMPUTED_VALUE"""),"tabung gas argon")</f>
        <v>tabung gas argon</v>
      </c>
      <c r="G1347" s="15">
        <f>IFERROR(__xludf.DUMMYFUNCTION("""COMPUTED_VALUE"""),1.0)</f>
        <v>1</v>
      </c>
      <c r="H1347" s="15" t="str">
        <f>IFERROR(__xludf.DUMMYFUNCTION("""COMPUTED_VALUE"""),"tabung")</f>
        <v>tabung</v>
      </c>
      <c r="I1347" s="15" t="str">
        <f>IFERROR(__xludf.DUMMYFUNCTION("""COMPUTED_VALUE"""),"-")</f>
        <v>-</v>
      </c>
      <c r="J1347" s="15" t="str">
        <f>IFERROR(__xludf.DUMMYFUNCTION("""COMPUTED_VALUE"""),"-")</f>
        <v>-</v>
      </c>
      <c r="K1347" s="15" t="str">
        <f>IFERROR(__xludf.DUMMYFUNCTION("""COMPUTED_VALUE"""),"-")</f>
        <v>-</v>
      </c>
      <c r="L1347" s="15" t="str">
        <f>IFERROR(__xludf.DUMMYFUNCTION("""COMPUTED_VALUE"""),"Normal")</f>
        <v>Normal</v>
      </c>
      <c r="M1347" s="18" t="s">
        <v>49</v>
      </c>
      <c r="N1347" s="18" t="s">
        <v>30</v>
      </c>
    </row>
    <row r="1348" hidden="1">
      <c r="A1348" s="15" t="str">
        <f>IFERROR(__xludf.DUMMYFUNCTION("""COMPUTED_VALUE"""),"ROSRO0036")</f>
        <v>ROSRO0036</v>
      </c>
      <c r="B1348" s="16">
        <f>IFERROR(__xludf.DUMMYFUNCTION("""COMPUTED_VALUE"""),46221.281111585646)</f>
        <v>46221.28111</v>
      </c>
      <c r="C1348" s="17">
        <f>IFERROR(__xludf.DUMMYFUNCTION("""COMPUTED_VALUE"""),46223.46697155093)</f>
        <v>46223.46697</v>
      </c>
      <c r="D1348" s="15" t="str">
        <f>IFERROR(__xludf.DUMMYFUNCTION("""COMPUTED_VALUE"""),"crabs")</f>
        <v>crabs</v>
      </c>
      <c r="E1348" s="15" t="str">
        <f>IFERROR(__xludf.DUMMYFUNCTION("""COMPUTED_VALUE"""),"-")</f>
        <v>-</v>
      </c>
      <c r="F1348" s="15" t="str">
        <f>IFERROR(__xludf.DUMMYFUNCTION("""COMPUTED_VALUE"""),"cRABS Z064CR - Glove Port Pom White Uk: 227x310x15.25mm; Custom/Lokal; -; 1 Pc")</f>
        <v>cRABS Z064CR - Glove Port Pom White Uk: 227x310x15.25mm; Custom/Lokal; -; 1 Pc</v>
      </c>
      <c r="G1348" s="15">
        <f>IFERROR(__xludf.DUMMYFUNCTION("""COMPUTED_VALUE"""),2.0)</f>
        <v>2</v>
      </c>
      <c r="H1348" s="15" t="str">
        <f>IFERROR(__xludf.DUMMYFUNCTION("""COMPUTED_VALUE"""),"pcs")</f>
        <v>pcs</v>
      </c>
      <c r="I1348" s="15" t="str">
        <f>IFERROR(__xludf.DUMMYFUNCTION("""COMPUTED_VALUE"""),"Approval PR")</f>
        <v>Approval PR</v>
      </c>
      <c r="J1348" s="15" t="str">
        <f>IFERROR(__xludf.DUMMYFUNCTION("""COMPUTED_VALUE"""),"121704528 - APPROVED")</f>
        <v>121704528 - APPROVED</v>
      </c>
      <c r="K1348" s="15" t="str">
        <f>IFERROR(__xludf.DUMMYFUNCTION("""COMPUTED_VALUE"""),"-")</f>
        <v>-</v>
      </c>
      <c r="L1348" s="15" t="str">
        <f>IFERROR(__xludf.DUMMYFUNCTION("""COMPUTED_VALUE"""),"Normal")</f>
        <v>Normal</v>
      </c>
      <c r="M1348" s="18" t="s">
        <v>29</v>
      </c>
      <c r="N1348" s="18" t="s">
        <v>30</v>
      </c>
    </row>
    <row r="1349" hidden="1">
      <c r="A1349" s="15" t="str">
        <f>IFERROR(__xludf.DUMMYFUNCTION("""COMPUTED_VALUE"""),"ROSRO0035")</f>
        <v>ROSRO0035</v>
      </c>
      <c r="B1349" s="16">
        <f>IFERROR(__xludf.DUMMYFUNCTION("""COMPUTED_VALUE"""),46216.16260428241)</f>
        <v>46216.1626</v>
      </c>
      <c r="C1349" s="17">
        <f>IFERROR(__xludf.DUMMYFUNCTION("""COMPUTED_VALUE"""),46223.46751009259)</f>
        <v>46223.46751</v>
      </c>
      <c r="D1349" s="15" t="str">
        <f>IFERROR(__xludf.DUMMYFUNCTION("""COMPUTED_VALUE"""),"Washing ")</f>
        <v>Washing </v>
      </c>
      <c r="E1349" s="15" t="str">
        <f>IFERROR(__xludf.DUMMYFUNCTION("""COMPUTED_VALUE"""),"EJO/2026/06/114")</f>
        <v>EJO/2026/06/114</v>
      </c>
      <c r="F1349" s="15" t="str">
        <f>IFERROR(__xludf.DUMMYFUNCTION("""COMPUTED_VALUE"""),"Strainer Machine - Strainer Crabs CR4 Capping 18X20 mm Custom/Lokal")</f>
        <v>Strainer Machine - Strainer Crabs CR4 Capping 18X20 mm Custom/Lokal</v>
      </c>
      <c r="G1349" s="15">
        <f>IFERROR(__xludf.DUMMYFUNCTION("""COMPUTED_VALUE"""),1.0)</f>
        <v>1</v>
      </c>
      <c r="H1349" s="15" t="str">
        <f>IFERROR(__xludf.DUMMYFUNCTION("""COMPUTED_VALUE"""),"pcs")</f>
        <v>pcs</v>
      </c>
      <c r="I1349" s="15" t="str">
        <f>IFERROR(__xludf.DUMMYFUNCTION("""COMPUTED_VALUE"""),"Approval PR")</f>
        <v>Approval PR</v>
      </c>
      <c r="J1349" s="15" t="str">
        <f>IFERROR(__xludf.DUMMYFUNCTION("""COMPUTED_VALUE"""),"121704521 - APPROVED")</f>
        <v>121704521 - APPROVED</v>
      </c>
      <c r="K1349" s="15" t="str">
        <f>IFERROR(__xludf.DUMMYFUNCTION("""COMPUTED_VALUE"""),"-")</f>
        <v>-</v>
      </c>
      <c r="L1349" s="15" t="str">
        <f>IFERROR(__xludf.DUMMYFUNCTION("""COMPUTED_VALUE"""),"Normal")</f>
        <v>Normal</v>
      </c>
      <c r="M1349" s="18" t="s">
        <v>29</v>
      </c>
      <c r="N1349" s="18" t="s">
        <v>30</v>
      </c>
    </row>
    <row r="1350">
      <c r="A1350" s="15" t="str">
        <f>IFERROR(__xludf.DUMMYFUNCTION("""COMPUTED_VALUE"""),"NDSBR0061")</f>
        <v>NDSBR0061</v>
      </c>
      <c r="B1350" s="16">
        <f>IFERROR(__xludf.DUMMYFUNCTION("""COMPUTED_VALUE"""),46219.856405844905)</f>
        <v>46219.85641</v>
      </c>
      <c r="C1350" s="17">
        <f>IFERROR(__xludf.DUMMYFUNCTION("""COMPUTED_VALUE"""),46223.46895109953)</f>
        <v>46223.46895</v>
      </c>
      <c r="D1350" s="15" t="str">
        <f>IFERROR(__xludf.DUMMYFUNCTION("""COMPUTED_VALUE"""),"Autoclave Preparation Lab")</f>
        <v>Autoclave Preparation Lab</v>
      </c>
      <c r="E1350" s="15" t="str">
        <f>IFERROR(__xludf.DUMMYFUNCTION("""COMPUTED_VALUE"""),"-")</f>
        <v>-</v>
      </c>
      <c r="F1350" s="15" t="str">
        <f>IFERROR(__xludf.DUMMYFUNCTION("""COMPUTED_VALUE"""),"Body Valve + Coil")</f>
        <v>Body Valve + Coil</v>
      </c>
      <c r="G1350" s="15">
        <f>IFERROR(__xludf.DUMMYFUNCTION("""COMPUTED_VALUE"""),2.0)</f>
        <v>2</v>
      </c>
      <c r="H1350" s="15" t="str">
        <f>IFERROR(__xludf.DUMMYFUNCTION("""COMPUTED_VALUE"""),"PCS")</f>
        <v>PCS</v>
      </c>
      <c r="I1350" s="15" t="str">
        <f>IFERROR(__xludf.DUMMYFUNCTION("""COMPUTED_VALUE"""),"-")</f>
        <v>-</v>
      </c>
      <c r="J1350" s="15" t="str">
        <f>IFERROR(__xludf.DUMMYFUNCTION("""COMPUTED_VALUE"""),"-")</f>
        <v>-</v>
      </c>
      <c r="K1350" s="15" t="str">
        <f>IFERROR(__xludf.DUMMYFUNCTION("""COMPUTED_VALUE"""),"-")</f>
        <v>-</v>
      </c>
      <c r="L1350" s="15" t="str">
        <f>IFERROR(__xludf.DUMMYFUNCTION("""COMPUTED_VALUE"""),"Normal")</f>
        <v>Normal</v>
      </c>
      <c r="M1350" s="18" t="s">
        <v>50</v>
      </c>
      <c r="N1350" s="18" t="s">
        <v>30</v>
      </c>
    </row>
    <row r="1351" hidden="1">
      <c r="A1351" s="15" t="str">
        <f>IFERROR(__xludf.DUMMYFUNCTION("""COMPUTED_VALUE"""),"NDSRO0022")</f>
        <v>NDSRO0022</v>
      </c>
      <c r="B1351" s="16">
        <f>IFERROR(__xludf.DUMMYFUNCTION("""COMPUTED_VALUE"""),46218.749626909725)</f>
        <v>46218.74963</v>
      </c>
      <c r="C1351" s="17">
        <f>IFERROR(__xludf.DUMMYFUNCTION("""COMPUTED_VALUE"""),46223.469315069444)</f>
        <v>46223.46932</v>
      </c>
      <c r="D1351" s="15" t="str">
        <f>IFERROR(__xludf.DUMMYFUNCTION("""COMPUTED_VALUE"""),"Cartoning")</f>
        <v>Cartoning</v>
      </c>
      <c r="E1351" s="15" t="str">
        <f>IFERROR(__xludf.DUMMYFUNCTION("""COMPUTED_VALUE"""),"-")</f>
        <v>-</v>
      </c>
      <c r="F1351" s="15" t="str">
        <f>IFERROR(__xludf.DUMMYFUNCTION("""COMPUTED_VALUE"""),"Marchesini MA255 Cartoning Machine - Flat Belt, 728 x 40 x 1 mm; Custom/Lokal; -; 1 unt")</f>
        <v>Marchesini MA255 Cartoning Machine - Flat Belt, 728 x 40 x 1 mm; Custom/Lokal; -; 1 unt</v>
      </c>
      <c r="G1351" s="15">
        <f>IFERROR(__xludf.DUMMYFUNCTION("""COMPUTED_VALUE"""),2.0)</f>
        <v>2</v>
      </c>
      <c r="H1351" s="15" t="str">
        <f>IFERROR(__xludf.DUMMYFUNCTION("""COMPUTED_VALUE"""),"Pcs")</f>
        <v>Pcs</v>
      </c>
      <c r="I1351" s="15" t="str">
        <f>IFERROR(__xludf.DUMMYFUNCTION("""COMPUTED_VALUE"""),"Approval PR")</f>
        <v>Approval PR</v>
      </c>
      <c r="J1351" s="15" t="str">
        <f>IFERROR(__xludf.DUMMYFUNCTION("""COMPUTED_VALUE"""),"121704524 - INCOMPLETE")</f>
        <v>121704524 - INCOMPLETE</v>
      </c>
      <c r="K1351" s="15" t="str">
        <f>IFERROR(__xludf.DUMMYFUNCTION("""COMPUTED_VALUE"""),"-")</f>
        <v>-</v>
      </c>
      <c r="L1351" s="15" t="str">
        <f>IFERROR(__xludf.DUMMYFUNCTION("""COMPUTED_VALUE"""),"Normal")</f>
        <v>Normal</v>
      </c>
      <c r="M1351" s="18" t="s">
        <v>50</v>
      </c>
      <c r="N1351" s="18" t="s">
        <v>30</v>
      </c>
    </row>
    <row r="1352">
      <c r="A1352" s="15" t="str">
        <f>IFERROR(__xludf.DUMMYFUNCTION("""COMPUTED_VALUE"""),"BDUBR0029")</f>
        <v>BDUBR0029</v>
      </c>
      <c r="B1352" s="16">
        <f>IFERROR(__xludf.DUMMYFUNCTION("""COMPUTED_VALUE"""),46213.64776771991)</f>
        <v>46213.64777</v>
      </c>
      <c r="C1352" s="17">
        <f>IFERROR(__xludf.DUMMYFUNCTION("""COMPUTED_VALUE"""),46223.4705571875)</f>
        <v>46223.47056</v>
      </c>
      <c r="D1352" s="15" t="str">
        <f>IFERROR(__xludf.DUMMYFUNCTION("""COMPUTED_VALUE"""),"General")</f>
        <v>General</v>
      </c>
      <c r="E1352" s="15" t="str">
        <f>IFERROR(__xludf.DUMMYFUNCTION("""COMPUTED_VALUE"""),"-")</f>
        <v>-</v>
      </c>
      <c r="F1352" s="15" t="str">
        <f>IFERROR(__xludf.DUMMYFUNCTION("""COMPUTED_VALUE"""),"Tang Skun Ferrules")</f>
        <v>Tang Skun Ferrules</v>
      </c>
      <c r="G1352" s="15">
        <f>IFERROR(__xludf.DUMMYFUNCTION("""COMPUTED_VALUE"""),1.0)</f>
        <v>1</v>
      </c>
      <c r="H1352" s="15" t="str">
        <f>IFERROR(__xludf.DUMMYFUNCTION("""COMPUTED_VALUE"""),"pcs")</f>
        <v>pcs</v>
      </c>
      <c r="I1352" s="15" t="str">
        <f>IFERROR(__xludf.DUMMYFUNCTION("""COMPUTED_VALUE"""),"-")</f>
        <v>-</v>
      </c>
      <c r="J1352" s="15" t="str">
        <f>IFERROR(__xludf.DUMMYFUNCTION("""COMPUTED_VALUE"""),"-")</f>
        <v>-</v>
      </c>
      <c r="K1352" s="15" t="str">
        <f>IFERROR(__xludf.DUMMYFUNCTION("""COMPUTED_VALUE"""),"-")</f>
        <v>-</v>
      </c>
      <c r="L1352" s="15" t="str">
        <f>IFERROR(__xludf.DUMMYFUNCTION("""COMPUTED_VALUE"""),"Normal")</f>
        <v>Normal</v>
      </c>
      <c r="M1352" s="18" t="s">
        <v>55</v>
      </c>
      <c r="N1352" s="18" t="s">
        <v>28</v>
      </c>
    </row>
    <row r="1353">
      <c r="A1353" s="15" t="str">
        <f>IFERROR(__xludf.DUMMYFUNCTION("""COMPUTED_VALUE"""),"BDUBR0028")</f>
        <v>BDUBR0028</v>
      </c>
      <c r="B1353" s="16">
        <f>IFERROR(__xludf.DUMMYFUNCTION("""COMPUTED_VALUE"""),46213.643535497686)</f>
        <v>46213.64354</v>
      </c>
      <c r="C1353" s="17">
        <f>IFERROR(__xludf.DUMMYFUNCTION("""COMPUTED_VALUE"""),46223.47155996528)</f>
        <v>46223.47156</v>
      </c>
      <c r="D1353" s="15" t="str">
        <f>IFERROR(__xludf.DUMMYFUNCTION("""COMPUTED_VALUE"""),"General")</f>
        <v>General</v>
      </c>
      <c r="E1353" s="15" t="str">
        <f>IFERROR(__xludf.DUMMYFUNCTION("""COMPUTED_VALUE"""),"-")</f>
        <v>-</v>
      </c>
      <c r="F1353" s="15" t="str">
        <f>IFERROR(__xludf.DUMMYFUNCTION("""COMPUTED_VALUE"""),"Kabel Ties Stainless Steel 4,6 x 400")</f>
        <v>Kabel Ties Stainless Steel 4,6 x 400</v>
      </c>
      <c r="G1353" s="15">
        <f>IFERROR(__xludf.DUMMYFUNCTION("""COMPUTED_VALUE"""),1.0)</f>
        <v>1</v>
      </c>
      <c r="H1353" s="15" t="str">
        <f>IFERROR(__xludf.DUMMYFUNCTION("""COMPUTED_VALUE"""),"Pack")</f>
        <v>Pack</v>
      </c>
      <c r="I1353" s="15" t="str">
        <f>IFERROR(__xludf.DUMMYFUNCTION("""COMPUTED_VALUE"""),"-")</f>
        <v>-</v>
      </c>
      <c r="J1353" s="15" t="str">
        <f>IFERROR(__xludf.DUMMYFUNCTION("""COMPUTED_VALUE"""),"-")</f>
        <v>-</v>
      </c>
      <c r="K1353" s="15" t="str">
        <f>IFERROR(__xludf.DUMMYFUNCTION("""COMPUTED_VALUE"""),"-")</f>
        <v>-</v>
      </c>
      <c r="L1353" s="15" t="str">
        <f>IFERROR(__xludf.DUMMYFUNCTION("""COMPUTED_VALUE"""),"Normal")</f>
        <v>Normal</v>
      </c>
      <c r="M1353" s="18" t="s">
        <v>55</v>
      </c>
      <c r="N1353" s="18" t="s">
        <v>28</v>
      </c>
    </row>
    <row r="1354">
      <c r="A1354" s="15" t="str">
        <f>IFERROR(__xludf.DUMMYFUNCTION("""COMPUTED_VALUE"""),"BDUBR0026")</f>
        <v>BDUBR0026</v>
      </c>
      <c r="B1354" s="16">
        <f>IFERROR(__xludf.DUMMYFUNCTION("""COMPUTED_VALUE"""),46213.640617835656)</f>
        <v>46213.64062</v>
      </c>
      <c r="C1354" s="17">
        <f>IFERROR(__xludf.DUMMYFUNCTION("""COMPUTED_VALUE"""),46223.47343291667)</f>
        <v>46223.47343</v>
      </c>
      <c r="D1354" s="15" t="str">
        <f>IFERROR(__xludf.DUMMYFUNCTION("""COMPUTED_VALUE"""),"General")</f>
        <v>General</v>
      </c>
      <c r="E1354" s="15" t="str">
        <f>IFERROR(__xludf.DUMMYFUNCTION("""COMPUTED_VALUE"""),"-")</f>
        <v>-</v>
      </c>
      <c r="F1354" s="15" t="str">
        <f>IFERROR(__xludf.DUMMYFUNCTION("""COMPUTED_VALUE"""),"Solasi Listrik")</f>
        <v>Solasi Listrik</v>
      </c>
      <c r="G1354" s="15">
        <f>IFERROR(__xludf.DUMMYFUNCTION("""COMPUTED_VALUE"""),1.0)</f>
        <v>1</v>
      </c>
      <c r="H1354" s="15" t="str">
        <f>IFERROR(__xludf.DUMMYFUNCTION("""COMPUTED_VALUE"""),"pcs")</f>
        <v>pcs</v>
      </c>
      <c r="I1354" s="15" t="str">
        <f>IFERROR(__xludf.DUMMYFUNCTION("""COMPUTED_VALUE"""),"-")</f>
        <v>-</v>
      </c>
      <c r="J1354" s="15" t="str">
        <f>IFERROR(__xludf.DUMMYFUNCTION("""COMPUTED_VALUE"""),"-")</f>
        <v>-</v>
      </c>
      <c r="K1354" s="15" t="str">
        <f>IFERROR(__xludf.DUMMYFUNCTION("""COMPUTED_VALUE"""),"-")</f>
        <v>-</v>
      </c>
      <c r="L1354" s="15" t="str">
        <f>IFERROR(__xludf.DUMMYFUNCTION("""COMPUTED_VALUE"""),"Normal")</f>
        <v>Normal</v>
      </c>
      <c r="M1354" s="18" t="s">
        <v>55</v>
      </c>
      <c r="N1354" s="18" t="s">
        <v>28</v>
      </c>
    </row>
    <row r="1355">
      <c r="A1355" s="15" t="str">
        <f>IFERROR(__xludf.DUMMYFUNCTION("""COMPUTED_VALUE"""),"BDUBR0025")</f>
        <v>BDUBR0025</v>
      </c>
      <c r="B1355" s="16">
        <f>IFERROR(__xludf.DUMMYFUNCTION("""COMPUTED_VALUE"""),46213.639357106484)</f>
        <v>46213.63936</v>
      </c>
      <c r="C1355" s="17">
        <f>IFERROR(__xludf.DUMMYFUNCTION("""COMPUTED_VALUE"""),46223.47425737268)</f>
        <v>46223.47426</v>
      </c>
      <c r="D1355" s="15" t="str">
        <f>IFERROR(__xludf.DUMMYFUNCTION("""COMPUTED_VALUE"""),"General")</f>
        <v>General</v>
      </c>
      <c r="E1355" s="15" t="str">
        <f>IFERROR(__xludf.DUMMYFUNCTION("""COMPUTED_VALUE"""),"-")</f>
        <v>-</v>
      </c>
      <c r="F1355" s="15" t="str">
        <f>IFERROR(__xludf.DUMMYFUNCTION("""COMPUTED_VALUE"""),"Skun kabel O")</f>
        <v>Skun kabel O</v>
      </c>
      <c r="G1355" s="15">
        <f>IFERROR(__xludf.DUMMYFUNCTION("""COMPUTED_VALUE"""),1.0)</f>
        <v>1</v>
      </c>
      <c r="H1355" s="15" t="str">
        <f>IFERROR(__xludf.DUMMYFUNCTION("""COMPUTED_VALUE"""),"Pack")</f>
        <v>Pack</v>
      </c>
      <c r="I1355" s="15" t="str">
        <f>IFERROR(__xludf.DUMMYFUNCTION("""COMPUTED_VALUE"""),"-")</f>
        <v>-</v>
      </c>
      <c r="J1355" s="15" t="str">
        <f>IFERROR(__xludf.DUMMYFUNCTION("""COMPUTED_VALUE"""),"-")</f>
        <v>-</v>
      </c>
      <c r="K1355" s="15" t="str">
        <f>IFERROR(__xludf.DUMMYFUNCTION("""COMPUTED_VALUE"""),"-")</f>
        <v>-</v>
      </c>
      <c r="L1355" s="15" t="str">
        <f>IFERROR(__xludf.DUMMYFUNCTION("""COMPUTED_VALUE"""),"Normal")</f>
        <v>Normal</v>
      </c>
      <c r="M1355" s="18" t="s">
        <v>55</v>
      </c>
      <c r="N1355" s="18" t="s">
        <v>28</v>
      </c>
    </row>
    <row r="1356">
      <c r="A1356" s="15" t="str">
        <f>IFERROR(__xludf.DUMMYFUNCTION("""COMPUTED_VALUE"""),"BDUBR0023")</f>
        <v>BDUBR0023</v>
      </c>
      <c r="B1356" s="16">
        <f>IFERROR(__xludf.DUMMYFUNCTION("""COMPUTED_VALUE"""),46213.639044537034)</f>
        <v>46213.63904</v>
      </c>
      <c r="C1356" s="17">
        <f>IFERROR(__xludf.DUMMYFUNCTION("""COMPUTED_VALUE"""),46223.47837805556)</f>
        <v>46223.47838</v>
      </c>
      <c r="D1356" s="15" t="str">
        <f>IFERROR(__xludf.DUMMYFUNCTION("""COMPUTED_VALUE"""),"General")</f>
        <v>General</v>
      </c>
      <c r="E1356" s="15" t="str">
        <f>IFERROR(__xludf.DUMMYFUNCTION("""COMPUTED_VALUE"""),"-")</f>
        <v>-</v>
      </c>
      <c r="F1356" s="15" t="str">
        <f>IFERROR(__xludf.DUMMYFUNCTION("""COMPUTED_VALUE"""),"Skun Ferules")</f>
        <v>Skun Ferules</v>
      </c>
      <c r="G1356" s="15">
        <f>IFERROR(__xludf.DUMMYFUNCTION("""COMPUTED_VALUE"""),1.0)</f>
        <v>1</v>
      </c>
      <c r="H1356" s="15" t="str">
        <f>IFERROR(__xludf.DUMMYFUNCTION("""COMPUTED_VALUE"""),"Pack")</f>
        <v>Pack</v>
      </c>
      <c r="I1356" s="15" t="str">
        <f>IFERROR(__xludf.DUMMYFUNCTION("""COMPUTED_VALUE"""),"-")</f>
        <v>-</v>
      </c>
      <c r="J1356" s="15" t="str">
        <f>IFERROR(__xludf.DUMMYFUNCTION("""COMPUTED_VALUE"""),"-")</f>
        <v>-</v>
      </c>
      <c r="K1356" s="15" t="str">
        <f>IFERROR(__xludf.DUMMYFUNCTION("""COMPUTED_VALUE"""),"-")</f>
        <v>-</v>
      </c>
      <c r="L1356" s="15" t="str">
        <f>IFERROR(__xludf.DUMMYFUNCTION("""COMPUTED_VALUE"""),"Normal")</f>
        <v>Normal</v>
      </c>
      <c r="M1356" s="18" t="s">
        <v>55</v>
      </c>
      <c r="N1356" s="18" t="s">
        <v>28</v>
      </c>
    </row>
    <row r="1357">
      <c r="A1357" s="15" t="str">
        <f>IFERROR(__xludf.DUMMYFUNCTION("""COMPUTED_VALUE"""),"BDUBR0022")</f>
        <v>BDUBR0022</v>
      </c>
      <c r="B1357" s="16">
        <f>IFERROR(__xludf.DUMMYFUNCTION("""COMPUTED_VALUE"""),46213.637206817126)</f>
        <v>46213.63721</v>
      </c>
      <c r="C1357" s="17">
        <f>IFERROR(__xludf.DUMMYFUNCTION("""COMPUTED_VALUE"""),46223.47887835649)</f>
        <v>46223.47888</v>
      </c>
      <c r="D1357" s="15" t="str">
        <f>IFERROR(__xludf.DUMMYFUNCTION("""COMPUTED_VALUE"""),"General")</f>
        <v>General</v>
      </c>
      <c r="E1357" s="15" t="str">
        <f>IFERROR(__xludf.DUMMYFUNCTION("""COMPUTED_VALUE"""),"-")</f>
        <v>-</v>
      </c>
      <c r="F1357" s="15" t="str">
        <f>IFERROR(__xludf.DUMMYFUNCTION("""COMPUTED_VALUE"""),"Skun Ferules")</f>
        <v>Skun Ferules</v>
      </c>
      <c r="G1357" s="15">
        <f>IFERROR(__xludf.DUMMYFUNCTION("""COMPUTED_VALUE"""),1.0)</f>
        <v>1</v>
      </c>
      <c r="H1357" s="15" t="str">
        <f>IFERROR(__xludf.DUMMYFUNCTION("""COMPUTED_VALUE"""),"Pack")</f>
        <v>Pack</v>
      </c>
      <c r="I1357" s="15" t="str">
        <f>IFERROR(__xludf.DUMMYFUNCTION("""COMPUTED_VALUE"""),"-")</f>
        <v>-</v>
      </c>
      <c r="J1357" s="15" t="str">
        <f>IFERROR(__xludf.DUMMYFUNCTION("""COMPUTED_VALUE"""),"-")</f>
        <v>-</v>
      </c>
      <c r="K1357" s="15" t="str">
        <f>IFERROR(__xludf.DUMMYFUNCTION("""COMPUTED_VALUE"""),"-")</f>
        <v>-</v>
      </c>
      <c r="L1357" s="15" t="str">
        <f>IFERROR(__xludf.DUMMYFUNCTION("""COMPUTED_VALUE"""),"Normal")</f>
        <v>Normal</v>
      </c>
      <c r="M1357" s="18" t="s">
        <v>55</v>
      </c>
      <c r="N1357" s="18" t="s">
        <v>28</v>
      </c>
    </row>
    <row r="1358">
      <c r="A1358" s="15" t="str">
        <f>IFERROR(__xludf.DUMMYFUNCTION("""COMPUTED_VALUE"""),"BDUBR0021")</f>
        <v>BDUBR0021</v>
      </c>
      <c r="B1358" s="16">
        <f>IFERROR(__xludf.DUMMYFUNCTION("""COMPUTED_VALUE"""),46213.63460129629)</f>
        <v>46213.6346</v>
      </c>
      <c r="C1358" s="17">
        <f>IFERROR(__xludf.DUMMYFUNCTION("""COMPUTED_VALUE"""),46223.47924576389)</f>
        <v>46223.47925</v>
      </c>
      <c r="D1358" s="15" t="str">
        <f>IFERROR(__xludf.DUMMYFUNCTION("""COMPUTED_VALUE"""),"General")</f>
        <v>General</v>
      </c>
      <c r="E1358" s="15" t="str">
        <f>IFERROR(__xludf.DUMMYFUNCTION("""COMPUTED_VALUE"""),"-")</f>
        <v>-</v>
      </c>
      <c r="F1358" s="15" t="str">
        <f>IFERROR(__xludf.DUMMYFUNCTION("""COMPUTED_VALUE"""),"Flexible Conduit")</f>
        <v>Flexible Conduit</v>
      </c>
      <c r="G1358" s="15">
        <f>IFERROR(__xludf.DUMMYFUNCTION("""COMPUTED_VALUE"""),25.0)</f>
        <v>25</v>
      </c>
      <c r="H1358" s="15" t="str">
        <f>IFERROR(__xludf.DUMMYFUNCTION("""COMPUTED_VALUE"""),"Meter")</f>
        <v>Meter</v>
      </c>
      <c r="I1358" s="15" t="str">
        <f>IFERROR(__xludf.DUMMYFUNCTION("""COMPUTED_VALUE"""),"-")</f>
        <v>-</v>
      </c>
      <c r="J1358" s="15" t="str">
        <f>IFERROR(__xludf.DUMMYFUNCTION("""COMPUTED_VALUE"""),"-")</f>
        <v>-</v>
      </c>
      <c r="K1358" s="15" t="str">
        <f>IFERROR(__xludf.DUMMYFUNCTION("""COMPUTED_VALUE"""),"-")</f>
        <v>-</v>
      </c>
      <c r="L1358" s="15" t="str">
        <f>IFERROR(__xludf.DUMMYFUNCTION("""COMPUTED_VALUE"""),"Normal")</f>
        <v>Normal</v>
      </c>
      <c r="M1358" s="18" t="s">
        <v>55</v>
      </c>
      <c r="N1358" s="18" t="s">
        <v>28</v>
      </c>
    </row>
    <row r="1359">
      <c r="A1359" s="15" t="str">
        <f>IFERROR(__xludf.DUMMYFUNCTION("""COMPUTED_VALUE"""),"MRNBR0116")</f>
        <v>MRNBR0116</v>
      </c>
      <c r="B1359" s="16">
        <f>IFERROR(__xludf.DUMMYFUNCTION("""COMPUTED_VALUE"""),46219.99041074075)</f>
        <v>46219.99041</v>
      </c>
      <c r="C1359" s="17">
        <f>IFERROR(__xludf.DUMMYFUNCTION("""COMPUTED_VALUE"""),46235.44527846065)</f>
        <v>46235.44528</v>
      </c>
      <c r="D1359" s="15" t="str">
        <f>IFERROR(__xludf.DUMMYFUNCTION("""COMPUTED_VALUE"""),"OSD")</f>
        <v>OSD</v>
      </c>
      <c r="E1359" s="15" t="str">
        <f>IFERROR(__xludf.DUMMYFUNCTION("""COMPUTED_VALUE"""),"EJO/2025/04/105")</f>
        <v>EJO/2025/04/105</v>
      </c>
      <c r="F1359" s="15" t="str">
        <f>IFERROR(__xludf.DUMMYFUNCTION("""COMPUTED_VALUE"""),"Epoxy lantai")</f>
        <v>Epoxy lantai</v>
      </c>
      <c r="G1359" s="15">
        <f>IFERROR(__xludf.DUMMYFUNCTION("""COMPUTED_VALUE"""),1.0)</f>
        <v>1</v>
      </c>
      <c r="H1359" s="15" t="str">
        <f>IFERROR(__xludf.DUMMYFUNCTION("""COMPUTED_VALUE"""),"paket")</f>
        <v>paket</v>
      </c>
      <c r="I1359" s="15" t="str">
        <f>IFERROR(__xludf.DUMMYFUNCTION("""COMPUTED_VALUE"""),"-")</f>
        <v>-</v>
      </c>
      <c r="J1359" s="15" t="str">
        <f>IFERROR(__xludf.DUMMYFUNCTION("""COMPUTED_VALUE"""),"-")</f>
        <v>-</v>
      </c>
      <c r="K1359" s="15" t="str">
        <f>IFERROR(__xludf.DUMMYFUNCTION("""COMPUTED_VALUE"""),"-")</f>
        <v>-</v>
      </c>
      <c r="L1359" s="15" t="str">
        <f>IFERROR(__xludf.DUMMYFUNCTION("""COMPUTED_VALUE"""),"Normal")</f>
        <v>Normal</v>
      </c>
      <c r="M1359" s="18" t="s">
        <v>48</v>
      </c>
      <c r="N1359" s="18" t="s">
        <v>28</v>
      </c>
    </row>
    <row r="1360">
      <c r="A1360" s="15" t="str">
        <f>IFERROR(__xludf.DUMMYFUNCTION("""COMPUTED_VALUE"""),"MRNBR0111")</f>
        <v>MRNBR0111</v>
      </c>
      <c r="B1360" s="16">
        <f>IFERROR(__xludf.DUMMYFUNCTION("""COMPUTED_VALUE"""),46202.96402361111)</f>
        <v>46202.96402</v>
      </c>
      <c r="C1360" s="17">
        <f>IFERROR(__xludf.DUMMYFUNCTION("""COMPUTED_VALUE"""),46235.445903541666)</f>
        <v>46235.4459</v>
      </c>
      <c r="D1360" s="15" t="str">
        <f>IFERROR(__xludf.DUMMYFUNCTION("""COMPUTED_VALUE"""),"Lampu di IPC")</f>
        <v>Lampu di IPC</v>
      </c>
      <c r="E1360" s="15" t="str">
        <f>IFERROR(__xludf.DUMMYFUNCTION("""COMPUTED_VALUE"""),"EJO/2025/08/205")</f>
        <v>EJO/2025/08/205</v>
      </c>
      <c r="F1360" s="15" t="str">
        <f>IFERROR(__xludf.DUMMYFUNCTION("""COMPUTED_VALUE"""),"Kap Lampu CPOB")</f>
        <v>Kap Lampu CPOB</v>
      </c>
      <c r="G1360" s="15">
        <f>IFERROR(__xludf.DUMMYFUNCTION("""COMPUTED_VALUE"""),5.0)</f>
        <v>5</v>
      </c>
      <c r="H1360" s="15" t="str">
        <f>IFERROR(__xludf.DUMMYFUNCTION("""COMPUTED_VALUE"""),"unit")</f>
        <v>unit</v>
      </c>
      <c r="I1360" s="15" t="str">
        <f>IFERROR(__xludf.DUMMYFUNCTION("""COMPUTED_VALUE"""),"-")</f>
        <v>-</v>
      </c>
      <c r="J1360" s="15" t="str">
        <f>IFERROR(__xludf.DUMMYFUNCTION("""COMPUTED_VALUE"""),"-")</f>
        <v>-</v>
      </c>
      <c r="K1360" s="15" t="str">
        <f>IFERROR(__xludf.DUMMYFUNCTION("""COMPUTED_VALUE"""),"-")</f>
        <v>-</v>
      </c>
      <c r="L1360" s="15" t="str">
        <f>IFERROR(__xludf.DUMMYFUNCTION("""COMPUTED_VALUE"""),"Normal")</f>
        <v>Normal</v>
      </c>
      <c r="M1360" s="18" t="s">
        <v>48</v>
      </c>
      <c r="N1360" s="18" t="s">
        <v>28</v>
      </c>
    </row>
    <row r="1361">
      <c r="A1361" s="15" t="str">
        <f>IFERROR(__xludf.DUMMYFUNCTION("""COMPUTED_VALUE"""),"MRNBR0112")</f>
        <v>MRNBR0112</v>
      </c>
      <c r="B1361" s="16">
        <f>IFERROR(__xludf.DUMMYFUNCTION("""COMPUTED_VALUE"""),46202.9660377662)</f>
        <v>46202.96604</v>
      </c>
      <c r="C1361" s="17">
        <f>IFERROR(__xludf.DUMMYFUNCTION("""COMPUTED_VALUE"""),46235.4463004514)</f>
        <v>46235.4463</v>
      </c>
      <c r="D1361" s="15" t="str">
        <f>IFERROR(__xludf.DUMMYFUNCTION("""COMPUTED_VALUE"""),"Lampu di IPC")</f>
        <v>Lampu di IPC</v>
      </c>
      <c r="E1361" s="15" t="str">
        <f>IFERROR(__xludf.DUMMYFUNCTION("""COMPUTED_VALUE"""),"EJO/2025/08/205")</f>
        <v>EJO/2025/08/205</v>
      </c>
      <c r="F1361" s="15" t="str">
        <f>IFERROR(__xludf.DUMMYFUNCTION("""COMPUTED_VALUE"""),"Kap Lampu CPOB")</f>
        <v>Kap Lampu CPOB</v>
      </c>
      <c r="G1361" s="15">
        <f>IFERROR(__xludf.DUMMYFUNCTION("""COMPUTED_VALUE"""),5.0)</f>
        <v>5</v>
      </c>
      <c r="H1361" s="15" t="str">
        <f>IFERROR(__xludf.DUMMYFUNCTION("""COMPUTED_VALUE"""),"unit")</f>
        <v>unit</v>
      </c>
      <c r="I1361" s="15" t="str">
        <f>IFERROR(__xludf.DUMMYFUNCTION("""COMPUTED_VALUE"""),"-")</f>
        <v>-</v>
      </c>
      <c r="J1361" s="15" t="str">
        <f>IFERROR(__xludf.DUMMYFUNCTION("""COMPUTED_VALUE"""),"-")</f>
        <v>-</v>
      </c>
      <c r="K1361" s="15" t="str">
        <f>IFERROR(__xludf.DUMMYFUNCTION("""COMPUTED_VALUE"""),"-")</f>
        <v>-</v>
      </c>
      <c r="L1361" s="15" t="str">
        <f>IFERROR(__xludf.DUMMYFUNCTION("""COMPUTED_VALUE"""),"Normal")</f>
        <v>Normal</v>
      </c>
      <c r="M1361" s="18" t="s">
        <v>48</v>
      </c>
      <c r="N1361" s="18" t="s">
        <v>28</v>
      </c>
    </row>
    <row r="1362" hidden="1">
      <c r="A1362" s="15" t="str">
        <f>IFERROR(__xludf.DUMMYFUNCTION("""COMPUTED_VALUE"""),"ROSRO0037")</f>
        <v>ROSRO0037</v>
      </c>
      <c r="B1362" s="16">
        <f>IFERROR(__xludf.DUMMYFUNCTION("""COMPUTED_VALUE"""),46225.64109975695)</f>
        <v>46225.6411</v>
      </c>
      <c r="C1362" s="17">
        <f>IFERROR(__xludf.DUMMYFUNCTION("""COMPUTED_VALUE"""),46237.54960243056)</f>
        <v>46237.5496</v>
      </c>
      <c r="D1362" s="15" t="str">
        <f>IFERROR(__xludf.DUMMYFUNCTION("""COMPUTED_VALUE"""),"CC1000 retained")</f>
        <v>CC1000 retained</v>
      </c>
      <c r="E1362" s="15" t="str">
        <f>IFERROR(__xludf.DUMMYFUNCTION("""COMPUTED_VALUE"""),"EJO Menyusul")</f>
        <v>EJO Menyusul</v>
      </c>
      <c r="F1362" s="15" t="str">
        <f>IFERROR(__xludf.DUMMYFUNCTION("""COMPUTED_VALUE"""),"CC600L Machine - Coil Evaporator Uk. 40 cm x 15 x 15, Material Tembaga; Custom/Lokal; -; 1 Unit")</f>
        <v>CC600L Machine - Coil Evaporator Uk. 40 cm x 15 x 15, Material Tembaga; Custom/Lokal; -; 1 Unit</v>
      </c>
      <c r="G1362" s="15">
        <f>IFERROR(__xludf.DUMMYFUNCTION("""COMPUTED_VALUE"""),1.0)</f>
        <v>1</v>
      </c>
      <c r="H1362" s="15" t="str">
        <f>IFERROR(__xludf.DUMMYFUNCTION("""COMPUTED_VALUE"""),"pcs")</f>
        <v>pcs</v>
      </c>
      <c r="I1362" s="15" t="str">
        <f>IFERROR(__xludf.DUMMYFUNCTION("""COMPUTED_VALUE"""),"Approval PR")</f>
        <v>Approval PR</v>
      </c>
      <c r="J1362" s="15" t="str">
        <f>IFERROR(__xludf.DUMMYFUNCTION("""COMPUTED_VALUE"""),"121704526 - APPROVED")</f>
        <v>121704526 - APPROVED</v>
      </c>
      <c r="K1362" s="15" t="str">
        <f>IFERROR(__xludf.DUMMYFUNCTION("""COMPUTED_VALUE"""),"GL2609018")</f>
        <v>GL2609018</v>
      </c>
      <c r="L1362" s="15" t="str">
        <f>IFERROR(__xludf.DUMMYFUNCTION("""COMPUTED_VALUE"""),"Normal")</f>
        <v>Normal</v>
      </c>
      <c r="M1362" s="18" t="s">
        <v>29</v>
      </c>
      <c r="N1362" s="18" t="s">
        <v>30</v>
      </c>
    </row>
    <row r="1363" hidden="1">
      <c r="A1363" s="15" t="str">
        <f>IFERROR(__xludf.DUMMYFUNCTION("""COMPUTED_VALUE"""),"SFHRO0047")</f>
        <v>SFHRO0047</v>
      </c>
      <c r="B1363" s="16">
        <f>IFERROR(__xludf.DUMMYFUNCTION("""COMPUTED_VALUE"""),46233.63903380788)</f>
        <v>46233.63903</v>
      </c>
      <c r="C1363" s="17">
        <f>IFERROR(__xludf.DUMMYFUNCTION("""COMPUTED_VALUE"""),46244.6571340625)</f>
        <v>46244.65713</v>
      </c>
      <c r="D1363" s="15" t="str">
        <f>IFERROR(__xludf.DUMMYFUNCTION("""COMPUTED_VALUE"""),"lantai 2")</f>
        <v>lantai 2</v>
      </c>
      <c r="E1363" s="15" t="str">
        <f>IFERROR(__xludf.DUMMYFUNCTION("""COMPUTED_VALUE"""),"-")</f>
        <v>-</v>
      </c>
      <c r="F1363" s="15" t="str">
        <f>IFERROR(__xludf.DUMMYFUNCTION("""COMPUTED_VALUE"""),"Kuas Cat Roller uk. 110 mm;No Brand;;pack size per set")</f>
        <v>Kuas Cat Roller uk. 110 mm;No Brand;;pack size per set</v>
      </c>
      <c r="G1363" s="15">
        <f>IFERROR(__xludf.DUMMYFUNCTION("""COMPUTED_VALUE"""),30.0)</f>
        <v>30</v>
      </c>
      <c r="H1363" s="15" t="str">
        <f>IFERROR(__xludf.DUMMYFUNCTION("""COMPUTED_VALUE"""),"pcs")</f>
        <v>pcs</v>
      </c>
      <c r="I1363" s="15" t="str">
        <f>IFERROR(__xludf.DUMMYFUNCTION("""COMPUTED_VALUE"""),"PO Open")</f>
        <v>PO Open</v>
      </c>
      <c r="J1363" s="15" t="str">
        <f>IFERROR(__xludf.DUMMYFUNCTION("""COMPUTED_VALUE"""),"121704502 - APPROVED")</f>
        <v>121704502 - APPROVED</v>
      </c>
      <c r="K1363" s="15" t="str">
        <f>IFERROR(__xludf.DUMMYFUNCTION("""COMPUTED_VALUE"""),"GL2608035")</f>
        <v>GL2608035</v>
      </c>
      <c r="L1363" s="15" t="str">
        <f>IFERROR(__xludf.DUMMYFUNCTION("""COMPUTED_VALUE"""),"Normal")</f>
        <v>Normal</v>
      </c>
      <c r="M1363" s="18" t="s">
        <v>27</v>
      </c>
      <c r="N1363" s="18" t="s">
        <v>28</v>
      </c>
    </row>
    <row r="1364" hidden="1">
      <c r="A1364" s="15" t="str">
        <f>IFERROR(__xludf.DUMMYFUNCTION("""COMPUTED_VALUE"""),"SFHRO0048")</f>
        <v>SFHRO0048</v>
      </c>
      <c r="B1364" s="16">
        <f>IFERROR(__xludf.DUMMYFUNCTION("""COMPUTED_VALUE"""),46233.63916390046)</f>
        <v>46233.63916</v>
      </c>
      <c r="C1364" s="17">
        <f>IFERROR(__xludf.DUMMYFUNCTION("""COMPUTED_VALUE"""),46244.657406493054)</f>
        <v>46244.65741</v>
      </c>
      <c r="D1364" s="15" t="str">
        <f>IFERROR(__xludf.DUMMYFUNCTION("""COMPUTED_VALUE"""),"lantai 2")</f>
        <v>lantai 2</v>
      </c>
      <c r="E1364" s="15" t="str">
        <f>IFERROR(__xludf.DUMMYFUNCTION("""COMPUTED_VALUE"""),"-")</f>
        <v>-</v>
      </c>
      <c r="F1364" s="15" t="str">
        <f>IFERROR(__xludf.DUMMYFUNCTION("""COMPUTED_VALUE"""),"Kuas Cat Roller uk. 230 mm;No Brand;;pack size per set")</f>
        <v>Kuas Cat Roller uk. 230 mm;No Brand;;pack size per set</v>
      </c>
      <c r="G1364" s="15">
        <f>IFERROR(__xludf.DUMMYFUNCTION("""COMPUTED_VALUE"""),10.0)</f>
        <v>10</v>
      </c>
      <c r="H1364" s="15" t="str">
        <f>IFERROR(__xludf.DUMMYFUNCTION("""COMPUTED_VALUE"""),"pcs")</f>
        <v>pcs</v>
      </c>
      <c r="I1364" s="15" t="str">
        <f>IFERROR(__xludf.DUMMYFUNCTION("""COMPUTED_VALUE"""),"PO Open")</f>
        <v>PO Open</v>
      </c>
      <c r="J1364" s="15" t="str">
        <f>IFERROR(__xludf.DUMMYFUNCTION("""COMPUTED_VALUE"""),"121704502 - APPROVED")</f>
        <v>121704502 - APPROVED</v>
      </c>
      <c r="K1364" s="15" t="str">
        <f>IFERROR(__xludf.DUMMYFUNCTION("""COMPUTED_VALUE"""),"GL2608035")</f>
        <v>GL2608035</v>
      </c>
      <c r="L1364" s="15" t="str">
        <f>IFERROR(__xludf.DUMMYFUNCTION("""COMPUTED_VALUE"""),"Normal")</f>
        <v>Normal</v>
      </c>
      <c r="M1364" s="18" t="s">
        <v>27</v>
      </c>
      <c r="N1364" s="18" t="s">
        <v>28</v>
      </c>
    </row>
    <row r="1365" hidden="1">
      <c r="A1365" s="15" t="str">
        <f>IFERROR(__xludf.DUMMYFUNCTION("""COMPUTED_VALUE"""),"SFHRO0049")</f>
        <v>SFHRO0049</v>
      </c>
      <c r="B1365" s="16">
        <f>IFERROR(__xludf.DUMMYFUNCTION("""COMPUTED_VALUE"""),46233.66596554398)</f>
        <v>46233.66597</v>
      </c>
      <c r="C1365" s="17">
        <f>IFERROR(__xludf.DUMMYFUNCTION("""COMPUTED_VALUE"""),46244.65758579861)</f>
        <v>46244.65759</v>
      </c>
      <c r="D1365" s="15" t="str">
        <f>IFERROR(__xludf.DUMMYFUNCTION("""COMPUTED_VALUE"""),"lantai 2")</f>
        <v>lantai 2</v>
      </c>
      <c r="E1365" s="15" t="str">
        <f>IFERROR(__xludf.DUMMYFUNCTION("""COMPUTED_VALUE"""),"-")</f>
        <v>-</v>
      </c>
      <c r="F1365" s="15" t="str">
        <f>IFERROR(__xludf.DUMMYFUNCTION("""COMPUTED_VALUE"""),"Compound / Kompon Gypsum;No Brand;;pack size 20 kg per pck")</f>
        <v>Compound / Kompon Gypsum;No Brand;;pack size 20 kg per pck</v>
      </c>
      <c r="G1365" s="15">
        <f>IFERROR(__xludf.DUMMYFUNCTION("""COMPUTED_VALUE"""),5.0)</f>
        <v>5</v>
      </c>
      <c r="H1365" s="15" t="str">
        <f>IFERROR(__xludf.DUMMYFUNCTION("""COMPUTED_VALUE"""),"sak")</f>
        <v>sak</v>
      </c>
      <c r="I1365" s="15" t="str">
        <f>IFERROR(__xludf.DUMMYFUNCTION("""COMPUTED_VALUE"""),"PO Open")</f>
        <v>PO Open</v>
      </c>
      <c r="J1365" s="15" t="str">
        <f>IFERROR(__xludf.DUMMYFUNCTION("""COMPUTED_VALUE"""),"121704502 - APPROVED")</f>
        <v>121704502 - APPROVED</v>
      </c>
      <c r="K1365" s="15" t="str">
        <f>IFERROR(__xludf.DUMMYFUNCTION("""COMPUTED_VALUE"""),"GL2608035")</f>
        <v>GL2608035</v>
      </c>
      <c r="L1365" s="15" t="str">
        <f>IFERROR(__xludf.DUMMYFUNCTION("""COMPUTED_VALUE"""),"Normal")</f>
        <v>Normal</v>
      </c>
      <c r="M1365" s="18" t="s">
        <v>27</v>
      </c>
      <c r="N1365" s="18" t="s">
        <v>28</v>
      </c>
    </row>
    <row r="1366" hidden="1">
      <c r="A1366" s="15" t="str">
        <f>IFERROR(__xludf.DUMMYFUNCTION("""COMPUTED_VALUE"""),"SFHRO0050")</f>
        <v>SFHRO0050</v>
      </c>
      <c r="B1366" s="16">
        <f>IFERROR(__xludf.DUMMYFUNCTION("""COMPUTED_VALUE"""),46233.66660667824)</f>
        <v>46233.66661</v>
      </c>
      <c r="C1366" s="17">
        <f>IFERROR(__xludf.DUMMYFUNCTION("""COMPUTED_VALUE"""),46244.65792417824)</f>
        <v>46244.65792</v>
      </c>
      <c r="D1366" s="15" t="str">
        <f>IFERROR(__xludf.DUMMYFUNCTION("""COMPUTED_VALUE"""),"lantai 2")</f>
        <v>lantai 2</v>
      </c>
      <c r="E1366" s="15" t="str">
        <f>IFERROR(__xludf.DUMMYFUNCTION("""COMPUTED_VALUE"""),"-")</f>
        <v>-</v>
      </c>
      <c r="F1366" s="15" t="str">
        <f>IFERROR(__xludf.DUMMYFUNCTION("""COMPUTED_VALUE"""),"Silicone Sealant, Silglaze, Type N10 Grey, pack size per pcs")</f>
        <v>Silicone Sealant, Silglaze, Type N10 Grey, pack size per pcs</v>
      </c>
      <c r="G1366" s="15">
        <f>IFERROR(__xludf.DUMMYFUNCTION("""COMPUTED_VALUE"""),50.0)</f>
        <v>50</v>
      </c>
      <c r="H1366" s="15" t="str">
        <f>IFERROR(__xludf.DUMMYFUNCTION("""COMPUTED_VALUE"""),"pcs")</f>
        <v>pcs</v>
      </c>
      <c r="I1366" s="15" t="str">
        <f>IFERROR(__xludf.DUMMYFUNCTION("""COMPUTED_VALUE"""),"Approval PR")</f>
        <v>Approval PR</v>
      </c>
      <c r="J1366" s="15" t="str">
        <f>IFERROR(__xludf.DUMMYFUNCTION("""COMPUTED_VALUE"""),"121704540 - APPROVED")</f>
        <v>121704540 - APPROVED</v>
      </c>
      <c r="K1366" s="15" t="str">
        <f>IFERROR(__xludf.DUMMYFUNCTION("""COMPUTED_VALUE"""),"GL2609430")</f>
        <v>GL2609430</v>
      </c>
      <c r="L1366" s="15" t="str">
        <f>IFERROR(__xludf.DUMMYFUNCTION("""COMPUTED_VALUE"""),"Normal")</f>
        <v>Normal</v>
      </c>
      <c r="M1366" s="18" t="s">
        <v>27</v>
      </c>
      <c r="N1366" s="18" t="s">
        <v>28</v>
      </c>
    </row>
    <row r="1367" hidden="1">
      <c r="A1367" s="15" t="str">
        <f>IFERROR(__xludf.DUMMYFUNCTION("""COMPUTED_VALUE"""),"SFHRO0051")</f>
        <v>SFHRO0051</v>
      </c>
      <c r="B1367" s="16">
        <f>IFERROR(__xludf.DUMMYFUNCTION("""COMPUTED_VALUE"""),46233.6675984375)</f>
        <v>46233.6676</v>
      </c>
      <c r="C1367" s="17">
        <f>IFERROR(__xludf.DUMMYFUNCTION("""COMPUTED_VALUE"""),46244.658133310186)</f>
        <v>46244.65813</v>
      </c>
      <c r="D1367" s="15" t="str">
        <f>IFERROR(__xludf.DUMMYFUNCTION("""COMPUTED_VALUE"""),"lantai 2")</f>
        <v>lantai 2</v>
      </c>
      <c r="E1367" s="15" t="str">
        <f>IFERROR(__xludf.DUMMYFUNCTION("""COMPUTED_VALUE"""),"-")</f>
        <v>-</v>
      </c>
      <c r="F1367" s="15" t="str">
        <f>IFERROR(__xludf.DUMMYFUNCTION("""COMPUTED_VALUE"""),"Cellotape / Lakban Kertas 1 inch warna Putih ; No Brand ; pack size per pcs")</f>
        <v>Cellotape / Lakban Kertas 1 inch warna Putih ; No Brand ; pack size per pcs</v>
      </c>
      <c r="G1367" s="15">
        <f>IFERROR(__xludf.DUMMYFUNCTION("""COMPUTED_VALUE"""),50.0)</f>
        <v>50</v>
      </c>
      <c r="H1367" s="15" t="str">
        <f>IFERROR(__xludf.DUMMYFUNCTION("""COMPUTED_VALUE"""),"pcs")</f>
        <v>pcs</v>
      </c>
      <c r="I1367" s="15" t="str">
        <f>IFERROR(__xludf.DUMMYFUNCTION("""COMPUTED_VALUE"""),"Deliver")</f>
        <v>Deliver</v>
      </c>
      <c r="J1367" s="15" t="str">
        <f>IFERROR(__xludf.DUMMYFUNCTION("""COMPUTED_VALUE"""),"121704500 - APPROVED")</f>
        <v>121704500 - APPROVED</v>
      </c>
      <c r="K1367" s="15" t="str">
        <f>IFERROR(__xludf.DUMMYFUNCTION("""COMPUTED_VALUE"""),"GL2608393")</f>
        <v>GL2608393</v>
      </c>
      <c r="L1367" s="15" t="str">
        <f>IFERROR(__xludf.DUMMYFUNCTION("""COMPUTED_VALUE"""),"Normal")</f>
        <v>Normal</v>
      </c>
      <c r="M1367" s="18" t="s">
        <v>27</v>
      </c>
      <c r="N1367" s="18" t="s">
        <v>28</v>
      </c>
    </row>
    <row r="1368" hidden="1">
      <c r="A1368" s="15" t="str">
        <f>IFERROR(__xludf.DUMMYFUNCTION("""COMPUTED_VALUE"""),"SFHRO0052")</f>
        <v>SFHRO0052</v>
      </c>
      <c r="B1368" s="16">
        <f>IFERROR(__xludf.DUMMYFUNCTION("""COMPUTED_VALUE"""),46234.863553298615)</f>
        <v>46234.86355</v>
      </c>
      <c r="C1368" s="17">
        <f>IFERROR(__xludf.DUMMYFUNCTION("""COMPUTED_VALUE"""),46244.65843643519)</f>
        <v>46244.65844</v>
      </c>
      <c r="D1368" s="15" t="str">
        <f>IFERROR(__xludf.DUMMYFUNCTION("""COMPUTED_VALUE"""),"lantai 2")</f>
        <v>lantai 2</v>
      </c>
      <c r="E1368" s="15" t="str">
        <f>IFERROR(__xludf.DUMMYFUNCTION("""COMPUTED_VALUE"""),"-")</f>
        <v>-</v>
      </c>
      <c r="F1368" s="15" t="str">
        <f>IFERROR(__xludf.DUMMYFUNCTION("""COMPUTED_VALUE"""),"Cat Tembok; ; ; - Cat Dulux Ambiance Brilliant White @ 20 Ltr")</f>
        <v>Cat Tembok; ; ; - Cat Dulux Ambiance Brilliant White @ 20 Ltr</v>
      </c>
      <c r="G1368" s="15">
        <f>IFERROR(__xludf.DUMMYFUNCTION("""COMPUTED_VALUE"""),5.0)</f>
        <v>5</v>
      </c>
      <c r="H1368" s="15" t="str">
        <f>IFERROR(__xludf.DUMMYFUNCTION("""COMPUTED_VALUE"""),"pel")</f>
        <v>pel</v>
      </c>
      <c r="I1368" s="15" t="str">
        <f>IFERROR(__xludf.DUMMYFUNCTION("""COMPUTED_VALUE"""),"Approval PR")</f>
        <v>Approval PR</v>
      </c>
      <c r="J1368" s="15" t="str">
        <f>IFERROR(__xludf.DUMMYFUNCTION("""COMPUTED_VALUE"""),"121704538 - APPROVED")</f>
        <v>121704538 - APPROVED</v>
      </c>
      <c r="K1368" s="15" t="str">
        <f>IFERROR(__xludf.DUMMYFUNCTION("""COMPUTED_VALUE"""),"GL2609436")</f>
        <v>GL2609436</v>
      </c>
      <c r="L1368" s="15" t="str">
        <f>IFERROR(__xludf.DUMMYFUNCTION("""COMPUTED_VALUE"""),"Normal")</f>
        <v>Normal</v>
      </c>
      <c r="M1368" s="18" t="s">
        <v>27</v>
      </c>
      <c r="N1368" s="18" t="s">
        <v>28</v>
      </c>
    </row>
    <row r="1369" hidden="1">
      <c r="A1369" s="15" t="str">
        <f>IFERROR(__xludf.DUMMYFUNCTION("""COMPUTED_VALUE"""),"SFHRO0053")</f>
        <v>SFHRO0053</v>
      </c>
      <c r="B1369" s="16">
        <f>IFERROR(__xludf.DUMMYFUNCTION("""COMPUTED_VALUE"""),46240.8010968287)</f>
        <v>46240.8011</v>
      </c>
      <c r="C1369" s="17">
        <f>IFERROR(__xludf.DUMMYFUNCTION("""COMPUTED_VALUE"""),46244.658670034725)</f>
        <v>46244.65867</v>
      </c>
      <c r="D1369" s="15" t="str">
        <f>IFERROR(__xludf.DUMMYFUNCTION("""COMPUTED_VALUE"""),"lantai 2")</f>
        <v>lantai 2</v>
      </c>
      <c r="E1369" s="15" t="str">
        <f>IFERROR(__xludf.DUMMYFUNCTION("""COMPUTED_VALUE"""),"-")</f>
        <v>-</v>
      </c>
      <c r="F1369" s="15" t="str">
        <f>IFERROR(__xludf.DUMMYFUNCTION("""COMPUTED_VALUE"""),"Polyfloor PFT-213 Ivory @ 20 KG")</f>
        <v>Polyfloor PFT-213 Ivory @ 20 KG</v>
      </c>
      <c r="G1369" s="15">
        <f>IFERROR(__xludf.DUMMYFUNCTION("""COMPUTED_VALUE"""),2.0)</f>
        <v>2</v>
      </c>
      <c r="H1369" s="15" t="str">
        <f>IFERROR(__xludf.DUMMYFUNCTION("""COMPUTED_VALUE"""),"pel")</f>
        <v>pel</v>
      </c>
      <c r="I1369" s="15" t="str">
        <f>IFERROR(__xludf.DUMMYFUNCTION("""COMPUTED_VALUE"""),"PR Open")</f>
        <v>PR Open</v>
      </c>
      <c r="J1369" s="15" t="str">
        <f>IFERROR(__xludf.DUMMYFUNCTION("""COMPUTED_VALUE"""),"121704564 - APPROVED")</f>
        <v>121704564 - APPROVED</v>
      </c>
      <c r="K1369" s="15" t="str">
        <f>IFERROR(__xludf.DUMMYFUNCTION("""COMPUTED_VALUE"""),"GL2609431")</f>
        <v>GL2609431</v>
      </c>
      <c r="L1369" s="15" t="str">
        <f>IFERROR(__xludf.DUMMYFUNCTION("""COMPUTED_VALUE"""),"Normal")</f>
        <v>Normal</v>
      </c>
      <c r="M1369" s="18" t="s">
        <v>27</v>
      </c>
      <c r="N1369" s="18" t="s">
        <v>28</v>
      </c>
    </row>
    <row r="1370" hidden="1">
      <c r="A1370" s="15" t="str">
        <f>IFERROR(__xludf.DUMMYFUNCTION("""COMPUTED_VALUE"""),"SFHRO0054")</f>
        <v>SFHRO0054</v>
      </c>
      <c r="B1370" s="16">
        <f>IFERROR(__xludf.DUMMYFUNCTION("""COMPUTED_VALUE"""),46240.80255071759)</f>
        <v>46240.80255</v>
      </c>
      <c r="C1370" s="17">
        <f>IFERROR(__xludf.DUMMYFUNCTION("""COMPUTED_VALUE"""),46244.6588965162)</f>
        <v>46244.6589</v>
      </c>
      <c r="D1370" s="15" t="str">
        <f>IFERROR(__xludf.DUMMYFUNCTION("""COMPUTED_VALUE"""),"lantai 2")</f>
        <v>lantai 2</v>
      </c>
      <c r="E1370" s="15" t="str">
        <f>IFERROR(__xludf.DUMMYFUNCTION("""COMPUTED_VALUE"""),"-")</f>
        <v>-</v>
      </c>
      <c r="F1370" s="15" t="str">
        <f>IFERROR(__xludf.DUMMYFUNCTION("""COMPUTED_VALUE"""),"Cat Decor Acrylic Enamel DAE - 550 / Solvent Based; Propan; TEAL 5412 - Warna Biru; pack size 20 liter per pail")</f>
        <v>Cat Decor Acrylic Enamel DAE - 550 / Solvent Based; Propan; TEAL 5412 - Warna Biru; pack size 20 liter per pail</v>
      </c>
      <c r="G1370" s="15">
        <f>IFERROR(__xludf.DUMMYFUNCTION("""COMPUTED_VALUE"""),4.0)</f>
        <v>4</v>
      </c>
      <c r="H1370" s="15" t="str">
        <f>IFERROR(__xludf.DUMMYFUNCTION("""COMPUTED_VALUE"""),"pel")</f>
        <v>pel</v>
      </c>
      <c r="I1370" s="15" t="str">
        <f>IFERROR(__xludf.DUMMYFUNCTION("""COMPUTED_VALUE"""),"Approval PR")</f>
        <v>Approval PR</v>
      </c>
      <c r="J1370" s="15" t="str">
        <f>IFERROR(__xludf.DUMMYFUNCTION("""COMPUTED_VALUE"""),"121704536 - APPROVED")</f>
        <v>121704536 - APPROVED</v>
      </c>
      <c r="K1370" s="15" t="str">
        <f>IFERROR(__xludf.DUMMYFUNCTION("""COMPUTED_VALUE"""),"GL2609431")</f>
        <v>GL2609431</v>
      </c>
      <c r="L1370" s="15" t="str">
        <f>IFERROR(__xludf.DUMMYFUNCTION("""COMPUTED_VALUE"""),"Normal")</f>
        <v>Normal</v>
      </c>
      <c r="M1370" s="18" t="s">
        <v>27</v>
      </c>
      <c r="N1370" s="18" t="s">
        <v>28</v>
      </c>
    </row>
    <row r="1371" hidden="1">
      <c r="A1371" s="15" t="str">
        <f>IFERROR(__xludf.DUMMYFUNCTION("""COMPUTED_VALUE"""),"SFHRO0055")</f>
        <v>SFHRO0055</v>
      </c>
      <c r="B1371" s="16">
        <f>IFERROR(__xludf.DUMMYFUNCTION("""COMPUTED_VALUE"""),46245.702375416666)</f>
        <v>46245.70238</v>
      </c>
      <c r="C1371" s="17">
        <f>IFERROR(__xludf.DUMMYFUNCTION("""COMPUTED_VALUE"""),46251.57944260417)</f>
        <v>46251.57944</v>
      </c>
      <c r="D1371" s="15" t="str">
        <f>IFERROR(__xludf.DUMMYFUNCTION("""COMPUTED_VALUE"""),"lantai 1")</f>
        <v>lantai 1</v>
      </c>
      <c r="E1371" s="15" t="str">
        <f>IFERROR(__xludf.DUMMYFUNCTION("""COMPUTED_VALUE"""),"-")</f>
        <v>-</v>
      </c>
      <c r="F1371" s="15" t="str">
        <f>IFERROR(__xludf.DUMMYFUNCTION("""COMPUTED_VALUE"""),"Cat Ftalit 113 Primrose @1kg")</f>
        <v>Cat Ftalit 113 Primrose @1kg</v>
      </c>
      <c r="G1371" s="15">
        <f>IFERROR(__xludf.DUMMYFUNCTION("""COMPUTED_VALUE"""),3.0)</f>
        <v>3</v>
      </c>
      <c r="H1371" s="15" t="str">
        <f>IFERROR(__xludf.DUMMYFUNCTION("""COMPUTED_VALUE"""),"kg")</f>
        <v>kg</v>
      </c>
      <c r="I1371" s="15" t="str">
        <f>IFERROR(__xludf.DUMMYFUNCTION("""COMPUTED_VALUE"""),"Proses PR")</f>
        <v>Proses PR</v>
      </c>
      <c r="J1371" s="15" t="str">
        <f>IFERROR(__xludf.DUMMYFUNCTION("""COMPUTED_VALUE"""),"-")</f>
        <v>-</v>
      </c>
      <c r="K1371" s="15" t="str">
        <f>IFERROR(__xludf.DUMMYFUNCTION("""COMPUTED_VALUE"""),"-")</f>
        <v>-</v>
      </c>
      <c r="L1371" s="15" t="str">
        <f>IFERROR(__xludf.DUMMYFUNCTION("""COMPUTED_VALUE"""),"Normal")</f>
        <v>Normal</v>
      </c>
      <c r="M1371" s="18" t="s">
        <v>27</v>
      </c>
      <c r="N1371" s="18" t="s">
        <v>28</v>
      </c>
    </row>
    <row r="1372">
      <c r="A1372" s="15" t="str">
        <f>IFERROR(__xludf.DUMMYFUNCTION("""COMPUTED_VALUE"""),"SFHBR0066")</f>
        <v>SFHBR0066</v>
      </c>
      <c r="B1372" s="16">
        <f>IFERROR(__xludf.DUMMYFUNCTION("""COMPUTED_VALUE"""),46245.70786825231)</f>
        <v>46245.70787</v>
      </c>
      <c r="C1372" s="17">
        <f>IFERROR(__xludf.DUMMYFUNCTION("""COMPUTED_VALUE"""),46251.5798352662)</f>
        <v>46251.57984</v>
      </c>
      <c r="D1372" s="15" t="str">
        <f>IFERROR(__xludf.DUMMYFUNCTION("""COMPUTED_VALUE"""),"lantai 2")</f>
        <v>lantai 2</v>
      </c>
      <c r="E1372" s="15" t="str">
        <f>IFERROR(__xludf.DUMMYFUNCTION("""COMPUTED_VALUE"""),"-")</f>
        <v>-</v>
      </c>
      <c r="F1372" s="15" t="str">
        <f>IFERROR(__xludf.DUMMYFUNCTION("""COMPUTED_VALUE"""),"sakelar  3 titik clipsal e33/1/2AR c-classic")</f>
        <v>sakelar  3 titik clipsal e33/1/2AR c-classic</v>
      </c>
      <c r="G1372" s="15">
        <f>IFERROR(__xludf.DUMMYFUNCTION("""COMPUTED_VALUE"""),100.0)</f>
        <v>100</v>
      </c>
      <c r="H1372" s="15" t="str">
        <f>IFERROR(__xludf.DUMMYFUNCTION("""COMPUTED_VALUE"""),"pcs")</f>
        <v>pcs</v>
      </c>
      <c r="I1372" s="15" t="str">
        <f>IFERROR(__xludf.DUMMYFUNCTION("""COMPUTED_VALUE"""),"-")</f>
        <v>-</v>
      </c>
      <c r="J1372" s="15" t="str">
        <f>IFERROR(__xludf.DUMMYFUNCTION("""COMPUTED_VALUE"""),"-")</f>
        <v>-</v>
      </c>
      <c r="K1372" s="15" t="str">
        <f>IFERROR(__xludf.DUMMYFUNCTION("""COMPUTED_VALUE"""),"-")</f>
        <v>-</v>
      </c>
      <c r="L1372" s="15" t="str">
        <f>IFERROR(__xludf.DUMMYFUNCTION("""COMPUTED_VALUE"""),"Normal")</f>
        <v>Normal</v>
      </c>
      <c r="M1372" s="18" t="s">
        <v>27</v>
      </c>
      <c r="N1372" s="18" t="s">
        <v>28</v>
      </c>
    </row>
    <row r="1373" hidden="1">
      <c r="A1373" s="15" t="str">
        <f>IFERROR(__xludf.DUMMYFUNCTION("""COMPUTED_VALUE"""),"MRNRO0053")</f>
        <v>MRNRO0053</v>
      </c>
      <c r="B1373" s="16">
        <f>IFERROR(__xludf.DUMMYFUNCTION("""COMPUTED_VALUE"""),46238.177333287036)</f>
        <v>46238.17733</v>
      </c>
      <c r="C1373" s="17">
        <f>IFERROR(__xludf.DUMMYFUNCTION("""COMPUTED_VALUE"""),46251.58090383102)</f>
        <v>46251.5809</v>
      </c>
      <c r="D1373" s="15" t="str">
        <f>IFERROR(__xludf.DUMMYFUNCTION("""COMPUTED_VALUE"""),"toilet lantai 2")</f>
        <v>toilet lantai 2</v>
      </c>
      <c r="E1373" s="15" t="str">
        <f>IFERROR(__xludf.DUMMYFUNCTION("""COMPUTED_VALUE"""),"EJO/2026/07/021")</f>
        <v>EJO/2026/07/021</v>
      </c>
      <c r="F1373" s="15" t="str">
        <f>IFERROR(__xludf.DUMMYFUNCTION("""COMPUTED_VALUE"""),"General - Ball Valve PVC 1 1/2inch; No Brand; -; 1 pcs")</f>
        <v>General - Ball Valve PVC 1 1/2inch; No Brand; -; 1 pcs</v>
      </c>
      <c r="G1373" s="15">
        <f>IFERROR(__xludf.DUMMYFUNCTION("""COMPUTED_VALUE"""),5.0)</f>
        <v>5</v>
      </c>
      <c r="H1373" s="15" t="str">
        <f>IFERROR(__xludf.DUMMYFUNCTION("""COMPUTED_VALUE"""),"pcs")</f>
        <v>pcs</v>
      </c>
      <c r="I1373" s="15" t="str">
        <f>IFERROR(__xludf.DUMMYFUNCTION("""COMPUTED_VALUE"""),"Proses PR")</f>
        <v>Proses PR</v>
      </c>
      <c r="J1373" s="15" t="str">
        <f>IFERROR(__xludf.DUMMYFUNCTION("""COMPUTED_VALUE"""),"-")</f>
        <v>-</v>
      </c>
      <c r="K1373" s="15" t="str">
        <f>IFERROR(__xludf.DUMMYFUNCTION("""COMPUTED_VALUE"""),"-")</f>
        <v>-</v>
      </c>
      <c r="L1373" s="15" t="str">
        <f>IFERROR(__xludf.DUMMYFUNCTION("""COMPUTED_VALUE"""),"Normal")</f>
        <v>Normal</v>
      </c>
      <c r="M1373" s="18" t="s">
        <v>48</v>
      </c>
      <c r="N1373" s="18" t="s">
        <v>28</v>
      </c>
    </row>
    <row r="1374" hidden="1">
      <c r="A1374" s="15" t="str">
        <f>IFERROR(__xludf.DUMMYFUNCTION("""COMPUTED_VALUE"""),"MRNRO0052")</f>
        <v>MRNRO0052</v>
      </c>
      <c r="B1374" s="16">
        <f>IFERROR(__xludf.DUMMYFUNCTION("""COMPUTED_VALUE"""),46238.17218084491)</f>
        <v>46238.17218</v>
      </c>
      <c r="C1374" s="17">
        <f>IFERROR(__xludf.DUMMYFUNCTION("""COMPUTED_VALUE"""),46251.5812587963)</f>
        <v>46251.58126</v>
      </c>
      <c r="D1374" s="15" t="str">
        <f>IFERROR(__xludf.DUMMYFUNCTION("""COMPUTED_VALUE"""),"toilet lantai 2")</f>
        <v>toilet lantai 2</v>
      </c>
      <c r="E1374" s="15" t="str">
        <f>IFERROR(__xludf.DUMMYFUNCTION("""COMPUTED_VALUE"""),"EJO/2026/07/021")</f>
        <v>EJO/2026/07/021</v>
      </c>
      <c r="F1374" s="15" t="str">
        <f>IFERROR(__xludf.DUMMYFUNCTION("""COMPUTED_VALUE"""),"General - Elbow PVC 90 AW 1 1/2inch; Rucika; -; 1 Pc")</f>
        <v>General - Elbow PVC 90 AW 1 1/2inch; Rucika; -; 1 Pc</v>
      </c>
      <c r="G1374" s="15">
        <f>IFERROR(__xludf.DUMMYFUNCTION("""COMPUTED_VALUE"""),5.0)</f>
        <v>5</v>
      </c>
      <c r="H1374" s="15" t="str">
        <f>IFERROR(__xludf.DUMMYFUNCTION("""COMPUTED_VALUE"""),"pcs")</f>
        <v>pcs</v>
      </c>
      <c r="I1374" s="15" t="str">
        <f>IFERROR(__xludf.DUMMYFUNCTION("""COMPUTED_VALUE"""),"PR Open")</f>
        <v>PR Open</v>
      </c>
      <c r="J1374" s="15" t="str">
        <f>IFERROR(__xludf.DUMMYFUNCTION("""COMPUTED_VALUE"""),"121704501 - APPROVED")</f>
        <v>121704501 - APPROVED</v>
      </c>
      <c r="K1374" s="15" t="str">
        <f>IFERROR(__xludf.DUMMYFUNCTION("""COMPUTED_VALUE"""),"-")</f>
        <v>-</v>
      </c>
      <c r="L1374" s="15" t="str">
        <f>IFERROR(__xludf.DUMMYFUNCTION("""COMPUTED_VALUE"""),"Normal")</f>
        <v>Normal</v>
      </c>
      <c r="M1374" s="18" t="s">
        <v>48</v>
      </c>
      <c r="N1374" s="18" t="s">
        <v>28</v>
      </c>
    </row>
    <row r="1375">
      <c r="A1375" s="15" t="str">
        <f>IFERROR(__xludf.DUMMYFUNCTION("""COMPUTED_VALUE"""),"MRNBR0115")</f>
        <v>MRNBR0115</v>
      </c>
      <c r="B1375" s="16">
        <f>IFERROR(__xludf.DUMMYFUNCTION("""COMPUTED_VALUE"""),46219.97362769675)</f>
        <v>46219.97363</v>
      </c>
      <c r="C1375" s="17">
        <f>IFERROR(__xludf.DUMMYFUNCTION("""COMPUTED_VALUE"""),46251.58210814815)</f>
        <v>46251.58211</v>
      </c>
      <c r="D1375" s="15" t="str">
        <f>IFERROR(__xludf.DUMMYFUNCTION("""COMPUTED_VALUE"""),"AHU")</f>
        <v>AHU</v>
      </c>
      <c r="E1375" s="15" t="str">
        <f>IFERROR(__xludf.DUMMYFUNCTION("""COMPUTED_VALUE"""),"EJO/2025/10/160")</f>
        <v>EJO/2025/10/160</v>
      </c>
      <c r="F1375" s="15" t="str">
        <f>IFERROR(__xludf.DUMMYFUNCTION("""COMPUTED_VALUE"""),"Jet cleaner")</f>
        <v>Jet cleaner</v>
      </c>
      <c r="G1375" s="15">
        <f>IFERROR(__xludf.DUMMYFUNCTION("""COMPUTED_VALUE"""),1.0)</f>
        <v>1</v>
      </c>
      <c r="H1375" s="15" t="str">
        <f>IFERROR(__xludf.DUMMYFUNCTION("""COMPUTED_VALUE"""),"unit")</f>
        <v>unit</v>
      </c>
      <c r="I1375" s="15" t="str">
        <f>IFERROR(__xludf.DUMMYFUNCTION("""COMPUTED_VALUE"""),"-")</f>
        <v>-</v>
      </c>
      <c r="J1375" s="15" t="str">
        <f>IFERROR(__xludf.DUMMYFUNCTION("""COMPUTED_VALUE"""),"-")</f>
        <v>-</v>
      </c>
      <c r="K1375" s="15" t="str">
        <f>IFERROR(__xludf.DUMMYFUNCTION("""COMPUTED_VALUE"""),"-")</f>
        <v>-</v>
      </c>
      <c r="L1375" s="15" t="str">
        <f>IFERROR(__xludf.DUMMYFUNCTION("""COMPUTED_VALUE"""),"Normal")</f>
        <v>Normal</v>
      </c>
      <c r="M1375" s="18" t="s">
        <v>48</v>
      </c>
      <c r="N1375" s="18" t="s">
        <v>28</v>
      </c>
    </row>
    <row r="1376">
      <c r="A1376" s="15" t="str">
        <f>IFERROR(__xludf.DUMMYFUNCTION("""COMPUTED_VALUE"""),"MRNBR0119")</f>
        <v>MRNBR0119</v>
      </c>
      <c r="B1376" s="16">
        <f>IFERROR(__xludf.DUMMYFUNCTION("""COMPUTED_VALUE"""),46238.179122442125)</f>
        <v>46238.17912</v>
      </c>
      <c r="C1376" s="17">
        <f>IFERROR(__xludf.DUMMYFUNCTION("""COMPUTED_VALUE"""),46251.58315886574)</f>
        <v>46251.58316</v>
      </c>
      <c r="D1376" s="15" t="str">
        <f>IFERROR(__xludf.DUMMYFUNCTION("""COMPUTED_VALUE"""),"Toilet eng")</f>
        <v>Toilet eng</v>
      </c>
      <c r="E1376" s="15" t="str">
        <f>IFERROR(__xludf.DUMMYFUNCTION("""COMPUTED_VALUE"""),"EJO/2026/07/021")</f>
        <v>EJO/2026/07/021</v>
      </c>
      <c r="F1376" s="15" t="str">
        <f>IFERROR(__xludf.DUMMYFUNCTION("""COMPUTED_VALUE"""),"reducer pvc")</f>
        <v>reducer pvc</v>
      </c>
      <c r="G1376" s="15">
        <f>IFERROR(__xludf.DUMMYFUNCTION("""COMPUTED_VALUE"""),5.0)</f>
        <v>5</v>
      </c>
      <c r="H1376" s="15" t="str">
        <f>IFERROR(__xludf.DUMMYFUNCTION("""COMPUTED_VALUE"""),"pcs")</f>
        <v>pcs</v>
      </c>
      <c r="I1376" s="15" t="str">
        <f>IFERROR(__xludf.DUMMYFUNCTION("""COMPUTED_VALUE"""),"-")</f>
        <v>-</v>
      </c>
      <c r="J1376" s="15" t="str">
        <f>IFERROR(__xludf.DUMMYFUNCTION("""COMPUTED_VALUE"""),"-")</f>
        <v>-</v>
      </c>
      <c r="K1376" s="15" t="str">
        <f>IFERROR(__xludf.DUMMYFUNCTION("""COMPUTED_VALUE"""),"-")</f>
        <v>-</v>
      </c>
      <c r="L1376" s="15" t="str">
        <f>IFERROR(__xludf.DUMMYFUNCTION("""COMPUTED_VALUE"""),"Normal")</f>
        <v>Normal</v>
      </c>
      <c r="M1376" s="18" t="s">
        <v>48</v>
      </c>
      <c r="N1376" s="18" t="s">
        <v>28</v>
      </c>
    </row>
    <row r="1377">
      <c r="A1377" s="15" t="str">
        <f>IFERROR(__xludf.DUMMYFUNCTION("""COMPUTED_VALUE"""),"MRNBR0117")</f>
        <v>MRNBR0117</v>
      </c>
      <c r="B1377" s="16">
        <f>IFERROR(__xludf.DUMMYFUNCTION("""COMPUTED_VALUE"""),46225.69845759259)</f>
        <v>46225.69846</v>
      </c>
      <c r="C1377" s="17">
        <f>IFERROR(__xludf.DUMMYFUNCTION("""COMPUTED_VALUE"""),46251.58409645834)</f>
        <v>46251.5841</v>
      </c>
      <c r="D1377" s="15" t="str">
        <f>IFERROR(__xludf.DUMMYFUNCTION("""COMPUTED_VALUE"""),"Pipe rack")</f>
        <v>Pipe rack</v>
      </c>
      <c r="E1377" s="15" t="str">
        <f>IFERROR(__xludf.DUMMYFUNCTION("""COMPUTED_VALUE"""),"EJO/2026/05/120")</f>
        <v>EJO/2026/05/120</v>
      </c>
      <c r="F1377" s="15" t="str">
        <f>IFERROR(__xludf.DUMMYFUNCTION("""COMPUTED_VALUE"""),"Shock drat luar pvc")</f>
        <v>Shock drat luar pvc</v>
      </c>
      <c r="G1377" s="15">
        <f>IFERROR(__xludf.DUMMYFUNCTION("""COMPUTED_VALUE"""),4.0)</f>
        <v>4</v>
      </c>
      <c r="H1377" s="15" t="str">
        <f>IFERROR(__xludf.DUMMYFUNCTION("""COMPUTED_VALUE"""),"pcs")</f>
        <v>pcs</v>
      </c>
      <c r="I1377" s="15" t="str">
        <f>IFERROR(__xludf.DUMMYFUNCTION("""COMPUTED_VALUE"""),"-")</f>
        <v>-</v>
      </c>
      <c r="J1377" s="15" t="str">
        <f>IFERROR(__xludf.DUMMYFUNCTION("""COMPUTED_VALUE"""),"-")</f>
        <v>-</v>
      </c>
      <c r="K1377" s="15" t="str">
        <f>IFERROR(__xludf.DUMMYFUNCTION("""COMPUTED_VALUE"""),"-")</f>
        <v>-</v>
      </c>
      <c r="L1377" s="15" t="str">
        <f>IFERROR(__xludf.DUMMYFUNCTION("""COMPUTED_VALUE"""),"Normal")</f>
        <v>Normal</v>
      </c>
      <c r="M1377" s="18" t="s">
        <v>48</v>
      </c>
      <c r="N1377" s="18" t="s">
        <v>28</v>
      </c>
    </row>
    <row r="1378" hidden="1">
      <c r="A1378" s="15" t="str">
        <f>IFERROR(__xludf.DUMMYFUNCTION("""COMPUTED_VALUE"""),"WAPRO0001")</f>
        <v>WAPRO0001</v>
      </c>
      <c r="B1378" s="16">
        <f>IFERROR(__xludf.DUMMYFUNCTION("""COMPUTED_VALUE"""),46192.42172734954)</f>
        <v>46192.42173</v>
      </c>
      <c r="C1378" s="17">
        <f>IFERROR(__xludf.DUMMYFUNCTION("""COMPUTED_VALUE"""),46251.585314895834)</f>
        <v>46251.58531</v>
      </c>
      <c r="D1378" s="15" t="str">
        <f>IFERROR(__xludf.DUMMYFUNCTION("""COMPUTED_VALUE"""),"Workshop")</f>
        <v>Workshop</v>
      </c>
      <c r="E1378" s="15" t="str">
        <f>IFERROR(__xludf.DUMMYFUNCTION("""COMPUTED_VALUE"""),"-")</f>
        <v>-</v>
      </c>
      <c r="F1378" s="15" t="str">
        <f>IFERROR(__xludf.DUMMYFUNCTION("""COMPUTED_VALUE"""),"General - Kawat Las SS E-308 2.0mm; No Brand; -; 1 kg/pack")</f>
        <v>General - Kawat Las SS E-308 2.0mm; No Brand; -; 1 kg/pack</v>
      </c>
      <c r="G1378" s="15">
        <f>IFERROR(__xludf.DUMMYFUNCTION("""COMPUTED_VALUE"""),2.0)</f>
        <v>2</v>
      </c>
      <c r="H1378" s="15" t="str">
        <f>IFERROR(__xludf.DUMMYFUNCTION("""COMPUTED_VALUE"""),"Pcs")</f>
        <v>Pcs</v>
      </c>
      <c r="I1378" s="15" t="str">
        <f>IFERROR(__xludf.DUMMYFUNCTION("""COMPUTED_VALUE"""),"Proses PR")</f>
        <v>Proses PR</v>
      </c>
      <c r="J1378" s="15" t="str">
        <f>IFERROR(__xludf.DUMMYFUNCTION("""COMPUTED_VALUE"""),"-")</f>
        <v>-</v>
      </c>
      <c r="K1378" s="15" t="str">
        <f>IFERROR(__xludf.DUMMYFUNCTION("""COMPUTED_VALUE"""),"-")</f>
        <v>-</v>
      </c>
      <c r="L1378" s="15" t="str">
        <f>IFERROR(__xludf.DUMMYFUNCTION("""COMPUTED_VALUE"""),"Normal")</f>
        <v>Normal</v>
      </c>
      <c r="M1378" s="18" t="s">
        <v>58</v>
      </c>
      <c r="N1378" s="18" t="e">
        <v>#N/A</v>
      </c>
    </row>
    <row r="1379">
      <c r="A1379" s="15" t="str">
        <f>IFERROR(__xludf.DUMMYFUNCTION("""COMPUTED_VALUE"""),"WAPBR0003")</f>
        <v>WAPBR0003</v>
      </c>
      <c r="B1379" s="16">
        <f>IFERROR(__xludf.DUMMYFUNCTION("""COMPUTED_VALUE"""),46177.54958222222)</f>
        <v>46177.54958</v>
      </c>
      <c r="C1379" s="17">
        <f>IFERROR(__xludf.DUMMYFUNCTION("""COMPUTED_VALUE"""),46251.58642785879)</f>
        <v>46251.58643</v>
      </c>
      <c r="D1379" s="15" t="str">
        <f>IFERROR(__xludf.DUMMYFUNCTION("""COMPUTED_VALUE"""),"Workshop")</f>
        <v>Workshop</v>
      </c>
      <c r="E1379" s="15" t="str">
        <f>IFERROR(__xludf.DUMMYFUNCTION("""COMPUTED_VALUE"""),"-")</f>
        <v>-</v>
      </c>
      <c r="F1379" s="15" t="str">
        <f>IFERROR(__xludf.DUMMYFUNCTION("""COMPUTED_VALUE"""),"mata gergaji besi")</f>
        <v>mata gergaji besi</v>
      </c>
      <c r="G1379" s="15">
        <f>IFERROR(__xludf.DUMMYFUNCTION("""COMPUTED_VALUE"""),5.0)</f>
        <v>5</v>
      </c>
      <c r="H1379" s="15" t="str">
        <f>IFERROR(__xludf.DUMMYFUNCTION("""COMPUTED_VALUE"""),"Pcs")</f>
        <v>Pcs</v>
      </c>
      <c r="I1379" s="15" t="str">
        <f>IFERROR(__xludf.DUMMYFUNCTION("""COMPUTED_VALUE"""),"-")</f>
        <v>-</v>
      </c>
      <c r="J1379" s="15" t="str">
        <f>IFERROR(__xludf.DUMMYFUNCTION("""COMPUTED_VALUE"""),"-")</f>
        <v>-</v>
      </c>
      <c r="K1379" s="15" t="str">
        <f>IFERROR(__xludf.DUMMYFUNCTION("""COMPUTED_VALUE"""),"-")</f>
        <v>-</v>
      </c>
      <c r="L1379" s="15" t="str">
        <f>IFERROR(__xludf.DUMMYFUNCTION("""COMPUTED_VALUE"""),"Normal")</f>
        <v>Normal</v>
      </c>
      <c r="M1379" s="18" t="s">
        <v>58</v>
      </c>
      <c r="N1379" s="18" t="e">
        <v>#N/A</v>
      </c>
    </row>
    <row r="1380">
      <c r="A1380" s="15" t="str">
        <f>IFERROR(__xludf.DUMMYFUNCTION("""COMPUTED_VALUE"""),"WAPBR0004")</f>
        <v>WAPBR0004</v>
      </c>
      <c r="B1380" s="16">
        <f>IFERROR(__xludf.DUMMYFUNCTION("""COMPUTED_VALUE"""),46191.61530452547)</f>
        <v>46191.6153</v>
      </c>
      <c r="C1380" s="17">
        <f>IFERROR(__xludf.DUMMYFUNCTION("""COMPUTED_VALUE"""),46251.588203402775)</f>
        <v>46251.5882</v>
      </c>
      <c r="D1380" s="15" t="str">
        <f>IFERROR(__xludf.DUMMYFUNCTION("""COMPUTED_VALUE"""),"Utilty dan MTC")</f>
        <v>Utilty dan MTC</v>
      </c>
      <c r="E1380" s="15" t="str">
        <f>IFERROR(__xludf.DUMMYFUNCTION("""COMPUTED_VALUE"""),"-")</f>
        <v>-</v>
      </c>
      <c r="F1380" s="15" t="str">
        <f>IFERROR(__xludf.DUMMYFUNCTION("""COMPUTED_VALUE"""),"magnet siku (weld)")</f>
        <v>magnet siku (weld)</v>
      </c>
      <c r="G1380" s="15">
        <f>IFERROR(__xludf.DUMMYFUNCTION("""COMPUTED_VALUE"""),3.0)</f>
        <v>3</v>
      </c>
      <c r="H1380" s="15" t="str">
        <f>IFERROR(__xludf.DUMMYFUNCTION("""COMPUTED_VALUE"""),"pcs")</f>
        <v>pcs</v>
      </c>
      <c r="I1380" s="15" t="str">
        <f>IFERROR(__xludf.DUMMYFUNCTION("""COMPUTED_VALUE"""),"-")</f>
        <v>-</v>
      </c>
      <c r="J1380" s="15" t="str">
        <f>IFERROR(__xludf.DUMMYFUNCTION("""COMPUTED_VALUE"""),"-")</f>
        <v>-</v>
      </c>
      <c r="K1380" s="15" t="str">
        <f>IFERROR(__xludf.DUMMYFUNCTION("""COMPUTED_VALUE"""),"-")</f>
        <v>-</v>
      </c>
      <c r="L1380" s="15" t="str">
        <f>IFERROR(__xludf.DUMMYFUNCTION("""COMPUTED_VALUE"""),"Normal")</f>
        <v>Normal</v>
      </c>
      <c r="M1380" s="18" t="s">
        <v>58</v>
      </c>
      <c r="N1380" s="18" t="e">
        <v>#N/A</v>
      </c>
    </row>
    <row r="1381">
      <c r="A1381" s="15" t="str">
        <f>IFERROR(__xludf.DUMMYFUNCTION("""COMPUTED_VALUE"""),"WAPBR0008")</f>
        <v>WAPBR0008</v>
      </c>
      <c r="B1381" s="16">
        <f>IFERROR(__xludf.DUMMYFUNCTION("""COMPUTED_VALUE"""),46230.4345216088)</f>
        <v>46230.43452</v>
      </c>
      <c r="C1381" s="17">
        <f>IFERROR(__xludf.DUMMYFUNCTION("""COMPUTED_VALUE"""),46251.589864421294)</f>
        <v>46251.58986</v>
      </c>
      <c r="D1381" s="15" t="str">
        <f>IFERROR(__xludf.DUMMYFUNCTION("""COMPUTED_VALUE"""),"Tools workshop")</f>
        <v>Tools workshop</v>
      </c>
      <c r="E1381" s="15" t="str">
        <f>IFERROR(__xludf.DUMMYFUNCTION("""COMPUTED_VALUE"""),"-")</f>
        <v>-</v>
      </c>
      <c r="F1381" s="15" t="str">
        <f>IFERROR(__xludf.DUMMYFUNCTION("""COMPUTED_VALUE"""),"penggaris siku")</f>
        <v>penggaris siku</v>
      </c>
      <c r="G1381" s="15">
        <f>IFERROR(__xludf.DUMMYFUNCTION("""COMPUTED_VALUE"""),1.0)</f>
        <v>1</v>
      </c>
      <c r="H1381" s="15" t="str">
        <f>IFERROR(__xludf.DUMMYFUNCTION("""COMPUTED_VALUE"""),"pcs")</f>
        <v>pcs</v>
      </c>
      <c r="I1381" s="15" t="str">
        <f>IFERROR(__xludf.DUMMYFUNCTION("""COMPUTED_VALUE"""),"-")</f>
        <v>-</v>
      </c>
      <c r="J1381" s="15" t="str">
        <f>IFERROR(__xludf.DUMMYFUNCTION("""COMPUTED_VALUE"""),"-")</f>
        <v>-</v>
      </c>
      <c r="K1381" s="15" t="str">
        <f>IFERROR(__xludf.DUMMYFUNCTION("""COMPUTED_VALUE"""),"-")</f>
        <v>-</v>
      </c>
      <c r="L1381" s="15" t="str">
        <f>IFERROR(__xludf.DUMMYFUNCTION("""COMPUTED_VALUE"""),"Normal")</f>
        <v>Normal</v>
      </c>
      <c r="M1381" s="18" t="s">
        <v>58</v>
      </c>
      <c r="N1381" s="18" t="e">
        <v>#N/A</v>
      </c>
    </row>
    <row r="1382">
      <c r="A1382" s="15" t="str">
        <f>IFERROR(__xludf.DUMMYFUNCTION("""COMPUTED_VALUE"""),"WAPBR0009")</f>
        <v>WAPBR0009</v>
      </c>
      <c r="B1382" s="16">
        <f>IFERROR(__xludf.DUMMYFUNCTION("""COMPUTED_VALUE"""),46230.44091995371)</f>
        <v>46230.44092</v>
      </c>
      <c r="C1382" s="17">
        <f>IFERROR(__xludf.DUMMYFUNCTION("""COMPUTED_VALUE"""),46251.590362407405)</f>
        <v>46251.59036</v>
      </c>
      <c r="D1382" s="15" t="str">
        <f>IFERROR(__xludf.DUMMYFUNCTION("""COMPUTED_VALUE"""),"Tools workshop")</f>
        <v>Tools workshop</v>
      </c>
      <c r="E1382" s="15" t="str">
        <f>IFERROR(__xludf.DUMMYFUNCTION("""COMPUTED_VALUE"""),"-")</f>
        <v>-</v>
      </c>
      <c r="F1382" s="15" t="str">
        <f>IFERROR(__xludf.DUMMYFUNCTION("""COMPUTED_VALUE"""),"C clamp")</f>
        <v>C clamp</v>
      </c>
      <c r="G1382" s="15">
        <f>IFERROR(__xludf.DUMMYFUNCTION("""COMPUTED_VALUE"""),3.0)</f>
        <v>3</v>
      </c>
      <c r="H1382" s="15" t="str">
        <f>IFERROR(__xludf.DUMMYFUNCTION("""COMPUTED_VALUE"""),"pcs")</f>
        <v>pcs</v>
      </c>
      <c r="I1382" s="15" t="str">
        <f>IFERROR(__xludf.DUMMYFUNCTION("""COMPUTED_VALUE"""),"-")</f>
        <v>-</v>
      </c>
      <c r="J1382" s="15" t="str">
        <f>IFERROR(__xludf.DUMMYFUNCTION("""COMPUTED_VALUE"""),"-")</f>
        <v>-</v>
      </c>
      <c r="K1382" s="15" t="str">
        <f>IFERROR(__xludf.DUMMYFUNCTION("""COMPUTED_VALUE"""),"-")</f>
        <v>-</v>
      </c>
      <c r="L1382" s="15" t="str">
        <f>IFERROR(__xludf.DUMMYFUNCTION("""COMPUTED_VALUE"""),"Normal")</f>
        <v>Normal</v>
      </c>
      <c r="M1382" s="18" t="s">
        <v>58</v>
      </c>
      <c r="N1382" s="18" t="e">
        <v>#N/A</v>
      </c>
    </row>
    <row r="1383">
      <c r="A1383" s="15" t="str">
        <f>IFERROR(__xludf.DUMMYFUNCTION("""COMPUTED_VALUE"""),"ANOBR0085")</f>
        <v>ANOBR0085</v>
      </c>
      <c r="B1383" s="16">
        <f>IFERROR(__xludf.DUMMYFUNCTION("""COMPUTED_VALUE"""),46211.62897138889)</f>
        <v>46211.62897</v>
      </c>
      <c r="C1383" s="17">
        <f>IFERROR(__xludf.DUMMYFUNCTION("""COMPUTED_VALUE"""),46251.59360675926)</f>
        <v>46251.59361</v>
      </c>
      <c r="D1383" s="15" t="str">
        <f>IFERROR(__xludf.DUMMYFUNCTION("""COMPUTED_VALUE"""),"Forklift")</f>
        <v>Forklift</v>
      </c>
      <c r="E1383" s="15" t="str">
        <f>IFERROR(__xludf.DUMMYFUNCTION("""COMPUTED_VALUE"""),"-")</f>
        <v>-</v>
      </c>
      <c r="F1383" s="15" t="str">
        <f>IFERROR(__xludf.DUMMYFUNCTION("""COMPUTED_VALUE"""),"lithium grease ")</f>
        <v>lithium grease </v>
      </c>
      <c r="G1383" s="15">
        <f>IFERROR(__xludf.DUMMYFUNCTION("""COMPUTED_VALUE"""),3.0)</f>
        <v>3</v>
      </c>
      <c r="H1383" s="15" t="str">
        <f>IFERROR(__xludf.DUMMYFUNCTION("""COMPUTED_VALUE"""),"botol")</f>
        <v>botol</v>
      </c>
      <c r="I1383" s="15" t="str">
        <f>IFERROR(__xludf.DUMMYFUNCTION("""COMPUTED_VALUE"""),"-")</f>
        <v>-</v>
      </c>
      <c r="J1383" s="15" t="str">
        <f>IFERROR(__xludf.DUMMYFUNCTION("""COMPUTED_VALUE"""),"-")</f>
        <v>-</v>
      </c>
      <c r="K1383" s="15" t="str">
        <f>IFERROR(__xludf.DUMMYFUNCTION("""COMPUTED_VALUE"""),"-")</f>
        <v>-</v>
      </c>
      <c r="L1383" s="15" t="str">
        <f>IFERROR(__xludf.DUMMYFUNCTION("""COMPUTED_VALUE"""),"Normal")</f>
        <v>Normal</v>
      </c>
      <c r="M1383" s="18" t="s">
        <v>49</v>
      </c>
      <c r="N1383" s="18" t="s">
        <v>30</v>
      </c>
    </row>
    <row r="1384">
      <c r="A1384" s="15" t="str">
        <f>IFERROR(__xludf.DUMMYFUNCTION("""COMPUTED_VALUE"""),"ANOBR0086")</f>
        <v>ANOBR0086</v>
      </c>
      <c r="B1384" s="16">
        <f>IFERROR(__xludf.DUMMYFUNCTION("""COMPUTED_VALUE"""),46216.69089414352)</f>
        <v>46216.69089</v>
      </c>
      <c r="C1384" s="17">
        <f>IFERROR(__xludf.DUMMYFUNCTION("""COMPUTED_VALUE"""),46251.59402894676)</f>
        <v>46251.59403</v>
      </c>
      <c r="D1384" s="15" t="str">
        <f>IFERROR(__xludf.DUMMYFUNCTION("""COMPUTED_VALUE"""),"Flange jalur steam")</f>
        <v>Flange jalur steam</v>
      </c>
      <c r="E1384" s="15" t="str">
        <f>IFERROR(__xludf.DUMMYFUNCTION("""COMPUTED_VALUE"""),"-")</f>
        <v>-</v>
      </c>
      <c r="F1384" s="15" t="str">
        <f>IFERROR(__xludf.DUMMYFUNCTION("""COMPUTED_VALUE"""),"gasket klingerseal tebal 3 mm")</f>
        <v>gasket klingerseal tebal 3 mm</v>
      </c>
      <c r="G1384" s="15">
        <f>IFERROR(__xludf.DUMMYFUNCTION("""COMPUTED_VALUE"""),1.0)</f>
        <v>1</v>
      </c>
      <c r="H1384" s="15" t="str">
        <f>IFERROR(__xludf.DUMMYFUNCTION("""COMPUTED_VALUE"""),"lembar")</f>
        <v>lembar</v>
      </c>
      <c r="I1384" s="15" t="str">
        <f>IFERROR(__xludf.DUMMYFUNCTION("""COMPUTED_VALUE"""),"-")</f>
        <v>-</v>
      </c>
      <c r="J1384" s="15" t="str">
        <f>IFERROR(__xludf.DUMMYFUNCTION("""COMPUTED_VALUE"""),"-")</f>
        <v>-</v>
      </c>
      <c r="K1384" s="15" t="str">
        <f>IFERROR(__xludf.DUMMYFUNCTION("""COMPUTED_VALUE"""),"-")</f>
        <v>-</v>
      </c>
      <c r="L1384" s="15" t="str">
        <f>IFERROR(__xludf.DUMMYFUNCTION("""COMPUTED_VALUE"""),"Normal")</f>
        <v>Normal</v>
      </c>
      <c r="M1384" s="18" t="s">
        <v>49</v>
      </c>
      <c r="N1384" s="18" t="s">
        <v>30</v>
      </c>
    </row>
    <row r="1385">
      <c r="A1385" s="15" t="str">
        <f>IFERROR(__xludf.DUMMYFUNCTION("""COMPUTED_VALUE"""),"ANOBR0087")</f>
        <v>ANOBR0087</v>
      </c>
      <c r="B1385" s="16">
        <f>IFERROR(__xludf.DUMMYFUNCTION("""COMPUTED_VALUE"""),46216.69106164352)</f>
        <v>46216.69106</v>
      </c>
      <c r="C1385" s="17">
        <f>IFERROR(__xludf.DUMMYFUNCTION("""COMPUTED_VALUE"""),46251.59451685186)</f>
        <v>46251.59452</v>
      </c>
      <c r="D1385" s="15" t="str">
        <f>IFERROR(__xludf.DUMMYFUNCTION("""COMPUTED_VALUE"""),"Utility OSD lt2")</f>
        <v>Utility OSD lt2</v>
      </c>
      <c r="E1385" s="15" t="str">
        <f>IFERROR(__xludf.DUMMYFUNCTION("""COMPUTED_VALUE"""),"EJO/2026/07/021")</f>
        <v>EJO/2026/07/021</v>
      </c>
      <c r="F1385" s="15" t="str">
        <f>IFERROR(__xludf.DUMMYFUNCTION("""COMPUTED_VALUE"""),"siku L 4X4 CM stenliss")</f>
        <v>siku L 4X4 CM stenliss</v>
      </c>
      <c r="G1385" s="15">
        <f>IFERROR(__xludf.DUMMYFUNCTION("""COMPUTED_VALUE"""),4.0)</f>
        <v>4</v>
      </c>
      <c r="H1385" s="15" t="str">
        <f>IFERROR(__xludf.DUMMYFUNCTION("""COMPUTED_VALUE"""),"batang")</f>
        <v>batang</v>
      </c>
      <c r="I1385" s="15" t="str">
        <f>IFERROR(__xludf.DUMMYFUNCTION("""COMPUTED_VALUE"""),"-")</f>
        <v>-</v>
      </c>
      <c r="J1385" s="15" t="str">
        <f>IFERROR(__xludf.DUMMYFUNCTION("""COMPUTED_VALUE"""),"-")</f>
        <v>-</v>
      </c>
      <c r="K1385" s="15" t="str">
        <f>IFERROR(__xludf.DUMMYFUNCTION("""COMPUTED_VALUE"""),"-")</f>
        <v>-</v>
      </c>
      <c r="L1385" s="15" t="str">
        <f>IFERROR(__xludf.DUMMYFUNCTION("""COMPUTED_VALUE"""),"Normal")</f>
        <v>Normal</v>
      </c>
      <c r="M1385" s="18" t="s">
        <v>49</v>
      </c>
      <c r="N1385" s="18" t="s">
        <v>30</v>
      </c>
    </row>
    <row r="1386">
      <c r="A1386" s="15" t="str">
        <f>IFERROR(__xludf.DUMMYFUNCTION("""COMPUTED_VALUE"""),"ANOBR0088")</f>
        <v>ANOBR0088</v>
      </c>
      <c r="B1386" s="16">
        <f>IFERROR(__xludf.DUMMYFUNCTION("""COMPUTED_VALUE"""),46225.512710532406)</f>
        <v>46225.51271</v>
      </c>
      <c r="C1386" s="17">
        <f>IFERROR(__xludf.DUMMYFUNCTION("""COMPUTED_VALUE"""),46251.59489706018)</f>
        <v>46251.5949</v>
      </c>
      <c r="D1386" s="15" t="str">
        <f>IFERROR(__xludf.DUMMYFUNCTION("""COMPUTED_VALUE"""),"pipa supply FW Utility OSD lt2")</f>
        <v>pipa supply FW Utility OSD lt2</v>
      </c>
      <c r="E1386" s="15" t="str">
        <f>IFERROR(__xludf.DUMMYFUNCTION("""COMPUTED_VALUE"""),"-")</f>
        <v>-</v>
      </c>
      <c r="F1386" s="15" t="str">
        <f>IFERROR(__xludf.DUMMYFUNCTION("""COMPUTED_VALUE"""),"pressure gauge")</f>
        <v>pressure gauge</v>
      </c>
      <c r="G1386" s="15">
        <f>IFERROR(__xludf.DUMMYFUNCTION("""COMPUTED_VALUE"""),3.0)</f>
        <v>3</v>
      </c>
      <c r="H1386" s="15" t="str">
        <f>IFERROR(__xludf.DUMMYFUNCTION("""COMPUTED_VALUE"""),"pcs")</f>
        <v>pcs</v>
      </c>
      <c r="I1386" s="15" t="str">
        <f>IFERROR(__xludf.DUMMYFUNCTION("""COMPUTED_VALUE"""),"-")</f>
        <v>-</v>
      </c>
      <c r="J1386" s="15" t="str">
        <f>IFERROR(__xludf.DUMMYFUNCTION("""COMPUTED_VALUE"""),"-")</f>
        <v>-</v>
      </c>
      <c r="K1386" s="15" t="str">
        <f>IFERROR(__xludf.DUMMYFUNCTION("""COMPUTED_VALUE"""),"-")</f>
        <v>-</v>
      </c>
      <c r="L1386" s="15" t="str">
        <f>IFERROR(__xludf.DUMMYFUNCTION("""COMPUTED_VALUE"""),"Normal")</f>
        <v>Normal</v>
      </c>
      <c r="M1386" s="18" t="s">
        <v>49</v>
      </c>
      <c r="N1386" s="18" t="s">
        <v>30</v>
      </c>
    </row>
    <row r="1387" hidden="1">
      <c r="A1387" s="15" t="str">
        <f>IFERROR(__xludf.DUMMYFUNCTION("""COMPUTED_VALUE"""),"RIARO0098")</f>
        <v>RIARO0098</v>
      </c>
      <c r="B1387" s="16">
        <f>IFERROR(__xludf.DUMMYFUNCTION("""COMPUTED_VALUE"""),46225.60162252315)</f>
        <v>46225.60162</v>
      </c>
      <c r="C1387" s="17">
        <f>IFERROR(__xludf.DUMMYFUNCTION("""COMPUTED_VALUE"""),46254.79612856481)</f>
        <v>46254.79613</v>
      </c>
      <c r="D1387" s="15" t="str">
        <f>IFERROR(__xludf.DUMMYFUNCTION("""COMPUTED_VALUE"""),"EF C1-41")</f>
        <v>EF C1-41</v>
      </c>
      <c r="E1387" s="15" t="str">
        <f>IFERROR(__xludf.DUMMYFUNCTION("""COMPUTED_VALUE"""),"-")</f>
        <v>-</v>
      </c>
      <c r="F1387" s="15" t="str">
        <f>IFERROR(__xludf.DUMMYFUNCTION("""COMPUTED_VALUE"""),"General - Actuator; Belimo; GMX120-3; 1 pcs")</f>
        <v>General - Actuator; Belimo; GMX120-3; 1 pcs</v>
      </c>
      <c r="G1387" s="15">
        <f>IFERROR(__xludf.DUMMYFUNCTION("""COMPUTED_VALUE"""),1.0)</f>
        <v>1</v>
      </c>
      <c r="H1387" s="15" t="str">
        <f>IFERROR(__xludf.DUMMYFUNCTION("""COMPUTED_VALUE"""),"Pcs")</f>
        <v>Pcs</v>
      </c>
      <c r="I1387" s="15" t="str">
        <f>IFERROR(__xludf.DUMMYFUNCTION("""COMPUTED_VALUE"""),"PR Open")</f>
        <v>PR Open</v>
      </c>
      <c r="J1387" s="15" t="str">
        <f>IFERROR(__xludf.DUMMYFUNCTION("""COMPUTED_VALUE"""),"121704568 - APPROVED")</f>
        <v>121704568 - APPROVED</v>
      </c>
      <c r="K1387" s="15" t="str">
        <f>IFERROR(__xludf.DUMMYFUNCTION("""COMPUTED_VALUE"""),"-")</f>
        <v>-</v>
      </c>
      <c r="L1387" s="15" t="str">
        <f>IFERROR(__xludf.DUMMYFUNCTION("""COMPUTED_VALUE"""),"Normal")</f>
        <v>Normal</v>
      </c>
      <c r="M1387" s="18" t="s">
        <v>32</v>
      </c>
      <c r="N1387" s="18" t="s">
        <v>28</v>
      </c>
    </row>
    <row r="1388" hidden="1">
      <c r="A1388" s="15" t="str">
        <f>IFERROR(__xludf.DUMMYFUNCTION("""COMPUTED_VALUE"""),"RIARO0100")</f>
        <v>RIARO0100</v>
      </c>
      <c r="B1388" s="16">
        <f>IFERROR(__xludf.DUMMYFUNCTION("""COMPUTED_VALUE"""),46225.60990728009)</f>
        <v>46225.60991</v>
      </c>
      <c r="C1388" s="17">
        <f>IFERROR(__xludf.DUMMYFUNCTION("""COMPUTED_VALUE"""),46254.79662731481)</f>
        <v>46254.79663</v>
      </c>
      <c r="D1388" s="15" t="str">
        <f>IFERROR(__xludf.DUMMYFUNCTION("""COMPUTED_VALUE"""),"AHU C12")</f>
        <v>AHU C12</v>
      </c>
      <c r="E1388" s="15" t="str">
        <f>IFERROR(__xludf.DUMMYFUNCTION("""COMPUTED_VALUE"""),"EJO/2026/08/024")</f>
        <v>EJO/2026/08/024</v>
      </c>
      <c r="F1388" s="15" t="str">
        <f>IFERROR(__xludf.DUMMYFUNCTION("""COMPUTED_VALUE"""),"General - Actuator; Belimo; GMX120-3; 1 pcs")</f>
        <v>General - Actuator; Belimo; GMX120-3; 1 pcs</v>
      </c>
      <c r="G1388" s="15">
        <f>IFERROR(__xludf.DUMMYFUNCTION("""COMPUTED_VALUE"""),1.0)</f>
        <v>1</v>
      </c>
      <c r="H1388" s="15" t="str">
        <f>IFERROR(__xludf.DUMMYFUNCTION("""COMPUTED_VALUE"""),"Pcs")</f>
        <v>Pcs</v>
      </c>
      <c r="I1388" s="15" t="str">
        <f>IFERROR(__xludf.DUMMYFUNCTION("""COMPUTED_VALUE"""),"PR Open")</f>
        <v>PR Open</v>
      </c>
      <c r="J1388" s="15" t="str">
        <f>IFERROR(__xludf.DUMMYFUNCTION("""COMPUTED_VALUE"""),"121704568 - APPROVED")</f>
        <v>121704568 - APPROVED</v>
      </c>
      <c r="K1388" s="15" t="str">
        <f>IFERROR(__xludf.DUMMYFUNCTION("""COMPUTED_VALUE"""),"-")</f>
        <v>-</v>
      </c>
      <c r="L1388" s="15" t="str">
        <f>IFERROR(__xludf.DUMMYFUNCTION("""COMPUTED_VALUE"""),"Normal")</f>
        <v>Normal</v>
      </c>
      <c r="M1388" s="18" t="s">
        <v>32</v>
      </c>
      <c r="N1388" s="18" t="s">
        <v>28</v>
      </c>
    </row>
    <row r="1389" hidden="1">
      <c r="A1389" s="15" t="str">
        <f>IFERROR(__xludf.DUMMYFUNCTION("""COMPUTED_VALUE"""),"RIARO0102")</f>
        <v>RIARO0102</v>
      </c>
      <c r="B1389" s="16">
        <f>IFERROR(__xludf.DUMMYFUNCTION("""COMPUTED_VALUE"""),46225.62832565972)</f>
        <v>46225.62833</v>
      </c>
      <c r="C1389" s="17">
        <f>IFERROR(__xludf.DUMMYFUNCTION("""COMPUTED_VALUE"""),46254.79699946759)</f>
        <v>46254.797</v>
      </c>
      <c r="D1389" s="15" t="str">
        <f>IFERROR(__xludf.DUMMYFUNCTION("""COMPUTED_VALUE"""),"AHU D1-1")</f>
        <v>AHU D1-1</v>
      </c>
      <c r="E1389" s="15" t="str">
        <f>IFERROR(__xludf.DUMMYFUNCTION("""COMPUTED_VALUE"""),"EJO/2026/08/022")</f>
        <v>EJO/2026/08/022</v>
      </c>
      <c r="F1389" s="15" t="str">
        <f>IFERROR(__xludf.DUMMYFUNCTION("""COMPUTED_VALUE"""),"General - Motorize Valve; Belimo; NMX 120-3; 1 pc")</f>
        <v>General - Motorize Valve; Belimo; NMX 120-3; 1 pc</v>
      </c>
      <c r="G1389" s="15">
        <f>IFERROR(__xludf.DUMMYFUNCTION("""COMPUTED_VALUE"""),1.0)</f>
        <v>1</v>
      </c>
      <c r="H1389" s="15" t="str">
        <f>IFERROR(__xludf.DUMMYFUNCTION("""COMPUTED_VALUE"""),"Pcs")</f>
        <v>Pcs</v>
      </c>
      <c r="I1389" s="15" t="str">
        <f>IFERROR(__xludf.DUMMYFUNCTION("""COMPUTED_VALUE"""),"PR Open")</f>
        <v>PR Open</v>
      </c>
      <c r="J1389" s="15" t="str">
        <f>IFERROR(__xludf.DUMMYFUNCTION("""COMPUTED_VALUE"""),"121704568 - APPROVED")</f>
        <v>121704568 - APPROVED</v>
      </c>
      <c r="K1389" s="15" t="str">
        <f>IFERROR(__xludf.DUMMYFUNCTION("""COMPUTED_VALUE"""),"-")</f>
        <v>-</v>
      </c>
      <c r="L1389" s="15" t="str">
        <f>IFERROR(__xludf.DUMMYFUNCTION("""COMPUTED_VALUE"""),"Normal")</f>
        <v>Normal</v>
      </c>
      <c r="M1389" s="18" t="s">
        <v>32</v>
      </c>
      <c r="N1389" s="18" t="s">
        <v>28</v>
      </c>
    </row>
    <row r="1390" hidden="1">
      <c r="A1390" s="15" t="str">
        <f>IFERROR(__xludf.DUMMYFUNCTION("""COMPUTED_VALUE"""),"RIARO0101")</f>
        <v>RIARO0101</v>
      </c>
      <c r="B1390" s="16">
        <f>IFERROR(__xludf.DUMMYFUNCTION("""COMPUTED_VALUE"""),46225.62660643518)</f>
        <v>46225.62661</v>
      </c>
      <c r="C1390" s="17">
        <f>IFERROR(__xludf.DUMMYFUNCTION("""COMPUTED_VALUE"""),46254.79724982639)</f>
        <v>46254.79725</v>
      </c>
      <c r="D1390" s="15" t="str">
        <f>IFERROR(__xludf.DUMMYFUNCTION("""COMPUTED_VALUE"""),"EF D1-12")</f>
        <v>EF D1-12</v>
      </c>
      <c r="E1390" s="15" t="str">
        <f>IFERROR(__xludf.DUMMYFUNCTION("""COMPUTED_VALUE"""),"EJO/2026/08/021")</f>
        <v>EJO/2026/08/021</v>
      </c>
      <c r="F1390" s="15" t="str">
        <f>IFERROR(__xludf.DUMMYFUNCTION("""COMPUTED_VALUE"""),"General - Motorize Valve; Belimo; NMX 120-3; 1 pc")</f>
        <v>General - Motorize Valve; Belimo; NMX 120-3; 1 pc</v>
      </c>
      <c r="G1390" s="15">
        <f>IFERROR(__xludf.DUMMYFUNCTION("""COMPUTED_VALUE"""),1.0)</f>
        <v>1</v>
      </c>
      <c r="H1390" s="15" t="str">
        <f>IFERROR(__xludf.DUMMYFUNCTION("""COMPUTED_VALUE"""),"Pcs")</f>
        <v>Pcs</v>
      </c>
      <c r="I1390" s="15" t="str">
        <f>IFERROR(__xludf.DUMMYFUNCTION("""COMPUTED_VALUE"""),"PR Open")</f>
        <v>PR Open</v>
      </c>
      <c r="J1390" s="15" t="str">
        <f>IFERROR(__xludf.DUMMYFUNCTION("""COMPUTED_VALUE"""),"121704568 - APPROVED")</f>
        <v>121704568 - APPROVED</v>
      </c>
      <c r="K1390" s="15" t="str">
        <f>IFERROR(__xludf.DUMMYFUNCTION("""COMPUTED_VALUE"""),"-")</f>
        <v>-</v>
      </c>
      <c r="L1390" s="15" t="str">
        <f>IFERROR(__xludf.DUMMYFUNCTION("""COMPUTED_VALUE"""),"Normal")</f>
        <v>Normal</v>
      </c>
      <c r="M1390" s="18" t="s">
        <v>32</v>
      </c>
      <c r="N1390" s="18" t="s">
        <v>28</v>
      </c>
    </row>
    <row r="1391" hidden="1">
      <c r="A1391" s="15" t="str">
        <f>IFERROR(__xludf.DUMMYFUNCTION("""COMPUTED_VALUE"""),"RIARO0103")</f>
        <v>RIARO0103</v>
      </c>
      <c r="B1391" s="16">
        <f>IFERROR(__xludf.DUMMYFUNCTION("""COMPUTED_VALUE"""),46225.629403043975)</f>
        <v>46225.6294</v>
      </c>
      <c r="C1391" s="17">
        <f>IFERROR(__xludf.DUMMYFUNCTION("""COMPUTED_VALUE"""),46254.79741047454)</f>
        <v>46254.79741</v>
      </c>
      <c r="D1391" s="15" t="str">
        <f>IFERROR(__xludf.DUMMYFUNCTION("""COMPUTED_VALUE"""),"AHU C13")</f>
        <v>AHU C13</v>
      </c>
      <c r="E1391" s="15" t="str">
        <f>IFERROR(__xludf.DUMMYFUNCTION("""COMPUTED_VALUE"""),"EJO/2026/08/023")</f>
        <v>EJO/2026/08/023</v>
      </c>
      <c r="F1391" s="15" t="str">
        <f>IFERROR(__xludf.DUMMYFUNCTION("""COMPUTED_VALUE"""),"General - Motorize Valve; Belimo; NMX 120-3; 1 pc")</f>
        <v>General - Motorize Valve; Belimo; NMX 120-3; 1 pc</v>
      </c>
      <c r="G1391" s="15">
        <f>IFERROR(__xludf.DUMMYFUNCTION("""COMPUTED_VALUE"""),1.0)</f>
        <v>1</v>
      </c>
      <c r="H1391" s="15" t="str">
        <f>IFERROR(__xludf.DUMMYFUNCTION("""COMPUTED_VALUE"""),"Pcs")</f>
        <v>Pcs</v>
      </c>
      <c r="I1391" s="15" t="str">
        <f>IFERROR(__xludf.DUMMYFUNCTION("""COMPUTED_VALUE"""),"PR Open")</f>
        <v>PR Open</v>
      </c>
      <c r="J1391" s="15" t="str">
        <f>IFERROR(__xludf.DUMMYFUNCTION("""COMPUTED_VALUE"""),"121704568 - APPROVED")</f>
        <v>121704568 - APPROVED</v>
      </c>
      <c r="K1391" s="15" t="str">
        <f>IFERROR(__xludf.DUMMYFUNCTION("""COMPUTED_VALUE"""),"-")</f>
        <v>-</v>
      </c>
      <c r="L1391" s="15" t="str">
        <f>IFERROR(__xludf.DUMMYFUNCTION("""COMPUTED_VALUE"""),"Normal")</f>
        <v>Normal</v>
      </c>
      <c r="M1391" s="18" t="s">
        <v>32</v>
      </c>
      <c r="N1391" s="18" t="s">
        <v>28</v>
      </c>
    </row>
    <row r="1392">
      <c r="A1392" s="15" t="str">
        <f>IFERROR(__xludf.DUMMYFUNCTION("""COMPUTED_VALUE"""),"RIABR0185")</f>
        <v>RIABR0185</v>
      </c>
      <c r="B1392" s="16">
        <f>IFERROR(__xludf.DUMMYFUNCTION("""COMPUTED_VALUE"""),46208.66826355324)</f>
        <v>46208.66826</v>
      </c>
      <c r="C1392" s="17">
        <f>IFERROR(__xludf.DUMMYFUNCTION("""COMPUTED_VALUE"""),46254.79782702547)</f>
        <v>46254.79783</v>
      </c>
      <c r="D1392" s="15" t="str">
        <f>IFERROR(__xludf.DUMMYFUNCTION("""COMPUTED_VALUE"""),"WICC")</f>
        <v>WICC</v>
      </c>
      <c r="E1392" s="15" t="str">
        <f>IFERROR(__xludf.DUMMYFUNCTION("""COMPUTED_VALUE"""),"EJO/2026/06/084")</f>
        <v>EJO/2026/06/084</v>
      </c>
      <c r="F1392" s="15" t="str">
        <f>IFERROR(__xludf.DUMMYFUNCTION("""COMPUTED_VALUE"""),"Update Software")</f>
        <v>Update Software</v>
      </c>
      <c r="G1392" s="15">
        <f>IFERROR(__xludf.DUMMYFUNCTION("""COMPUTED_VALUE"""),1.0)</f>
        <v>1</v>
      </c>
      <c r="H1392" s="15" t="str">
        <f>IFERROR(__xludf.DUMMYFUNCTION("""COMPUTED_VALUE"""),"NOS")</f>
        <v>NOS</v>
      </c>
      <c r="I1392" s="15" t="str">
        <f>IFERROR(__xludf.DUMMYFUNCTION("""COMPUTED_VALUE"""),"-")</f>
        <v>-</v>
      </c>
      <c r="J1392" s="15" t="str">
        <f>IFERROR(__xludf.DUMMYFUNCTION("""COMPUTED_VALUE"""),"-")</f>
        <v>-</v>
      </c>
      <c r="K1392" s="15" t="str">
        <f>IFERROR(__xludf.DUMMYFUNCTION("""COMPUTED_VALUE"""),"-")</f>
        <v>-</v>
      </c>
      <c r="L1392" s="15" t="str">
        <f>IFERROR(__xludf.DUMMYFUNCTION("""COMPUTED_VALUE"""),"Normal")</f>
        <v>Normal</v>
      </c>
      <c r="M1392" s="18" t="s">
        <v>32</v>
      </c>
      <c r="N1392" s="18" t="s">
        <v>28</v>
      </c>
    </row>
    <row r="1393" hidden="1">
      <c r="A1393" s="15" t="str">
        <f>IFERROR(__xludf.DUMMYFUNCTION("""COMPUTED_VALUE"""),"RIARO0099")</f>
        <v>RIARO0099</v>
      </c>
      <c r="B1393" s="16">
        <f>IFERROR(__xludf.DUMMYFUNCTION("""COMPUTED_VALUE"""),46225.60261159722)</f>
        <v>46225.60261</v>
      </c>
      <c r="C1393" s="17">
        <f>IFERROR(__xludf.DUMMYFUNCTION("""COMPUTED_VALUE"""),46254.799565347224)</f>
        <v>46254.79957</v>
      </c>
      <c r="D1393" s="15" t="str">
        <f>IFERROR(__xludf.DUMMYFUNCTION("""COMPUTED_VALUE"""),"EF D1-12")</f>
        <v>EF D1-12</v>
      </c>
      <c r="E1393" s="15" t="str">
        <f>IFERROR(__xludf.DUMMYFUNCTION("""COMPUTED_VALUE"""),"-")</f>
        <v>-</v>
      </c>
      <c r="F1393" s="15" t="str">
        <f>IFERROR(__xludf.DUMMYFUNCTION("""COMPUTED_VALUE"""),"General - Motorize Valve; Belimo; NMX 120-3; 1 pc")</f>
        <v>General - Motorize Valve; Belimo; NMX 120-3; 1 pc</v>
      </c>
      <c r="G1393" s="15">
        <f>IFERROR(__xludf.DUMMYFUNCTION("""COMPUTED_VALUE"""),1.0)</f>
        <v>1</v>
      </c>
      <c r="H1393" s="15" t="str">
        <f>IFERROR(__xludf.DUMMYFUNCTION("""COMPUTED_VALUE"""),"Pcs")</f>
        <v>Pcs</v>
      </c>
      <c r="I1393" s="15" t="str">
        <f>IFERROR(__xludf.DUMMYFUNCTION("""COMPUTED_VALUE"""),"PR Open")</f>
        <v>PR Open</v>
      </c>
      <c r="J1393" s="15" t="str">
        <f>IFERROR(__xludf.DUMMYFUNCTION("""COMPUTED_VALUE"""),"121704568 - APPROVED")</f>
        <v>121704568 - APPROVED</v>
      </c>
      <c r="K1393" s="15" t="str">
        <f>IFERROR(__xludf.DUMMYFUNCTION("""COMPUTED_VALUE"""),"-")</f>
        <v>-</v>
      </c>
      <c r="L1393" s="15" t="str">
        <f>IFERROR(__xludf.DUMMYFUNCTION("""COMPUTED_VALUE"""),"Normal")</f>
        <v>Normal</v>
      </c>
      <c r="M1393" s="18" t="s">
        <v>32</v>
      </c>
      <c r="N1393" s="18" t="s">
        <v>28</v>
      </c>
    </row>
    <row r="1394">
      <c r="A1394" s="15" t="str">
        <f>IFERROR(__xludf.DUMMYFUNCTION("""COMPUTED_VALUE"""),"ROSBR0096")</f>
        <v>ROSBR0096</v>
      </c>
      <c r="B1394" s="16">
        <f>IFERROR(__xludf.DUMMYFUNCTION("""COMPUTED_VALUE"""),46168.00272101852)</f>
        <v>46168.00272</v>
      </c>
      <c r="C1394" s="17">
        <f>IFERROR(__xludf.DUMMYFUNCTION("""COMPUTED_VALUE"""),46254.84140527777)</f>
        <v>46254.84141</v>
      </c>
      <c r="D1394" s="15" t="str">
        <f>IFERROR(__xludf.DUMMYFUNCTION("""COMPUTED_VALUE"""),"Isolator Skan ")</f>
        <v>Isolator Skan </v>
      </c>
      <c r="E1394" s="15" t="str">
        <f>IFERROR(__xludf.DUMMYFUNCTION("""COMPUTED_VALUE"""),"EJO/2026/05/047")</f>
        <v>EJO/2026/05/047</v>
      </c>
      <c r="F1394" s="15" t="str">
        <f>IFERROR(__xludf.DUMMYFUNCTION("""COMPUTED_VALUE"""),"Gas Spring Bansbach")</f>
        <v>Gas Spring Bansbach</v>
      </c>
      <c r="G1394" s="15">
        <f>IFERROR(__xludf.DUMMYFUNCTION("""COMPUTED_VALUE"""),2.0)</f>
        <v>2</v>
      </c>
      <c r="H1394" s="15" t="str">
        <f>IFERROR(__xludf.DUMMYFUNCTION("""COMPUTED_VALUE"""),"Pcs")</f>
        <v>Pcs</v>
      </c>
      <c r="I1394" s="15" t="str">
        <f>IFERROR(__xludf.DUMMYFUNCTION("""COMPUTED_VALUE"""),"-")</f>
        <v>-</v>
      </c>
      <c r="J1394" s="15" t="str">
        <f>IFERROR(__xludf.DUMMYFUNCTION("""COMPUTED_VALUE"""),"-")</f>
        <v>-</v>
      </c>
      <c r="K1394" s="15" t="str">
        <f>IFERROR(__xludf.DUMMYFUNCTION("""COMPUTED_VALUE"""),"-")</f>
        <v>-</v>
      </c>
      <c r="L1394" s="15" t="str">
        <f>IFERROR(__xludf.DUMMYFUNCTION("""COMPUTED_VALUE"""),"Normal")</f>
        <v>Normal</v>
      </c>
      <c r="M1394" s="18" t="s">
        <v>29</v>
      </c>
      <c r="N1394" s="18" t="s">
        <v>30</v>
      </c>
    </row>
    <row r="1395" hidden="1">
      <c r="A1395" s="15" t="str">
        <f>IFERROR(__xludf.DUMMYFUNCTION("""COMPUTED_VALUE"""),"ERARO0001")</f>
        <v>ERARO0001</v>
      </c>
      <c r="B1395" s="16">
        <f>IFERROR(__xludf.DUMMYFUNCTION("""COMPUTED_VALUE"""),46155.49358927083)</f>
        <v>46155.49359</v>
      </c>
      <c r="C1395" s="17">
        <f>IFERROR(__xludf.DUMMYFUNCTION("""COMPUTED_VALUE"""),46254.8443347801)</f>
        <v>46254.84433</v>
      </c>
      <c r="D1395" s="15" t="str">
        <f>IFERROR(__xludf.DUMMYFUNCTION("""COMPUTED_VALUE"""),"Pack Hall")</f>
        <v>Pack Hall</v>
      </c>
      <c r="E1395" s="15" t="str">
        <f>IFERROR(__xludf.DUMMYFUNCTION("""COMPUTED_VALUE"""),"EJO/2026/05/015")</f>
        <v>EJO/2026/05/015</v>
      </c>
      <c r="F1395" s="15" t="str">
        <f>IFERROR(__xludf.DUMMYFUNCTION("""COMPUTED_VALUE"""),"General - Lampu TL LED Bright Boost 18 W; Philips; -; 1 unt")</f>
        <v>General - Lampu TL LED Bright Boost 18 W; Philips; -; 1 unt</v>
      </c>
      <c r="G1395" s="15">
        <f>IFERROR(__xludf.DUMMYFUNCTION("""COMPUTED_VALUE"""),5.0)</f>
        <v>5</v>
      </c>
      <c r="H1395" s="15" t="str">
        <f>IFERROR(__xludf.DUMMYFUNCTION("""COMPUTED_VALUE"""),"pcs")</f>
        <v>pcs</v>
      </c>
      <c r="I1395" s="15" t="str">
        <f>IFERROR(__xludf.DUMMYFUNCTION("""COMPUTED_VALUE"""),"PR Open")</f>
        <v>PR Open</v>
      </c>
      <c r="J1395" s="15" t="str">
        <f>IFERROR(__xludf.DUMMYFUNCTION("""COMPUTED_VALUE"""),"121704569 - APPROVED")</f>
        <v>121704569 - APPROVED</v>
      </c>
      <c r="K1395" s="15" t="str">
        <f>IFERROR(__xludf.DUMMYFUNCTION("""COMPUTED_VALUE"""),"GL2609428")</f>
        <v>GL2609428</v>
      </c>
      <c r="L1395" s="15" t="str">
        <f>IFERROR(__xludf.DUMMYFUNCTION("""COMPUTED_VALUE"""),"Normal")</f>
        <v>Normal</v>
      </c>
      <c r="M1395" s="18" t="s">
        <v>57</v>
      </c>
      <c r="N1395" s="18" t="e">
        <v>#N/A</v>
      </c>
    </row>
    <row r="1396" hidden="1">
      <c r="A1396" s="15" t="str">
        <f>IFERROR(__xludf.DUMMYFUNCTION("""COMPUTED_VALUE"""),"ERARO0002")</f>
        <v>ERARO0002</v>
      </c>
      <c r="B1396" s="16">
        <f>IFERROR(__xludf.DUMMYFUNCTION("""COMPUTED_VALUE"""),46155.4961666088)</f>
        <v>46155.49617</v>
      </c>
      <c r="C1396" s="17">
        <f>IFERROR(__xludf.DUMMYFUNCTION("""COMPUTED_VALUE"""),46254.84461483796)</f>
        <v>46254.84461</v>
      </c>
      <c r="D1396" s="15" t="str">
        <f>IFERROR(__xludf.DUMMYFUNCTION("""COMPUTED_VALUE"""),"Pack Hall")</f>
        <v>Pack Hall</v>
      </c>
      <c r="E1396" s="15" t="str">
        <f>IFERROR(__xludf.DUMMYFUNCTION("""COMPUTED_VALUE"""),"EJO/2026/05/015")</f>
        <v>EJO/2026/05/015</v>
      </c>
      <c r="F1396" s="15" t="str">
        <f>IFERROR(__xludf.DUMMYFUNCTION("""COMPUTED_VALUE"""),"General - Lampu TL5 14 W G5; Philips; -; 1 unt")</f>
        <v>General - Lampu TL5 14 W G5; Philips; -; 1 unt</v>
      </c>
      <c r="G1396" s="15">
        <f>IFERROR(__xludf.DUMMYFUNCTION("""COMPUTED_VALUE"""),5.0)</f>
        <v>5</v>
      </c>
      <c r="H1396" s="15" t="str">
        <f>IFERROR(__xludf.DUMMYFUNCTION("""COMPUTED_VALUE"""),"pcs")</f>
        <v>pcs</v>
      </c>
      <c r="I1396" s="15" t="str">
        <f>IFERROR(__xludf.DUMMYFUNCTION("""COMPUTED_VALUE"""),"PR Open")</f>
        <v>PR Open</v>
      </c>
      <c r="J1396" s="15" t="str">
        <f>IFERROR(__xludf.DUMMYFUNCTION("""COMPUTED_VALUE"""),"121704569 - APPROVED")</f>
        <v>121704569 - APPROVED</v>
      </c>
      <c r="K1396" s="15" t="str">
        <f>IFERROR(__xludf.DUMMYFUNCTION("""COMPUTED_VALUE"""),"GL2609428")</f>
        <v>GL2609428</v>
      </c>
      <c r="L1396" s="15" t="str">
        <f>IFERROR(__xludf.DUMMYFUNCTION("""COMPUTED_VALUE"""),"Normal")</f>
        <v>Normal</v>
      </c>
      <c r="M1396" s="18" t="s">
        <v>57</v>
      </c>
      <c r="N1396" s="18" t="e">
        <v>#N/A</v>
      </c>
    </row>
    <row r="1397">
      <c r="A1397" s="15" t="str">
        <f>IFERROR(__xludf.DUMMYFUNCTION("""COMPUTED_VALUE"""),"WAPBR0006")</f>
        <v>WAPBR0006</v>
      </c>
      <c r="B1397" s="16">
        <f>IFERROR(__xludf.DUMMYFUNCTION("""COMPUTED_VALUE"""),46202.559652731485)</f>
        <v>46202.55965</v>
      </c>
      <c r="C1397" s="17">
        <f>IFERROR(__xludf.DUMMYFUNCTION("""COMPUTED_VALUE"""),46255.68975149305)</f>
        <v>46255.68975</v>
      </c>
      <c r="D1397" s="15" t="str">
        <f>IFERROR(__xludf.DUMMYFUNCTION("""COMPUTED_VALUE"""),"Tableting")</f>
        <v>Tableting</v>
      </c>
      <c r="E1397" s="15" t="str">
        <f>IFERROR(__xludf.DUMMYFUNCTION("""COMPUTED_VALUE"""),"lampu indikator merah pada mesin tablet")</f>
        <v>lampu indikator merah pada mesin tablet</v>
      </c>
      <c r="F1397" s="15" t="str">
        <f>IFERROR(__xludf.DUMMYFUNCTION("""COMPUTED_VALUE"""),"lampu ")</f>
        <v>lampu </v>
      </c>
      <c r="G1397" s="15">
        <f>IFERROR(__xludf.DUMMYFUNCTION("""COMPUTED_VALUE"""),4.0)</f>
        <v>4</v>
      </c>
      <c r="H1397" s="15" t="str">
        <f>IFERROR(__xludf.DUMMYFUNCTION("""COMPUTED_VALUE"""),"pcs")</f>
        <v>pcs</v>
      </c>
      <c r="I1397" s="15" t="str">
        <f>IFERROR(__xludf.DUMMYFUNCTION("""COMPUTED_VALUE"""),"-")</f>
        <v>-</v>
      </c>
      <c r="J1397" s="15" t="str">
        <f>IFERROR(__xludf.DUMMYFUNCTION("""COMPUTED_VALUE"""),"-")</f>
        <v>-</v>
      </c>
      <c r="K1397" s="15" t="str">
        <f>IFERROR(__xludf.DUMMYFUNCTION("""COMPUTED_VALUE"""),"-")</f>
        <v>-</v>
      </c>
      <c r="L1397" s="15" t="str">
        <f>IFERROR(__xludf.DUMMYFUNCTION("""COMPUTED_VALUE"""),"Normal")</f>
        <v>Normal</v>
      </c>
      <c r="M1397" s="18" t="s">
        <v>58</v>
      </c>
      <c r="N1397" s="18" t="e">
        <v>#N/A</v>
      </c>
    </row>
    <row r="1398">
      <c r="A1398" s="15" t="str">
        <f>IFERROR(__xludf.DUMMYFUNCTION("""COMPUTED_VALUE"""),"BDUBR0030")</f>
        <v>BDUBR0030</v>
      </c>
      <c r="B1398" s="16">
        <f>IFERROR(__xludf.DUMMYFUNCTION("""COMPUTED_VALUE"""),46246.36689553241)</f>
        <v>46246.3669</v>
      </c>
      <c r="C1398" s="17">
        <f>IFERROR(__xludf.DUMMYFUNCTION("""COMPUTED_VALUE"""),46258.71802130787)</f>
        <v>46258.71802</v>
      </c>
      <c r="D1398" s="15" t="str">
        <f>IFERROR(__xludf.DUMMYFUNCTION("""COMPUTED_VALUE"""),"CLU")</f>
        <v>CLU</v>
      </c>
      <c r="E1398" s="15" t="str">
        <f>IFERROR(__xludf.DUMMYFUNCTION("""COMPUTED_VALUE"""),"-")</f>
        <v>-</v>
      </c>
      <c r="F1398" s="15" t="str">
        <f>IFERROR(__xludf.DUMMYFUNCTION("""COMPUTED_VALUE"""),"Kabel Grounding 1x4 mm")</f>
        <v>Kabel Grounding 1x4 mm</v>
      </c>
      <c r="G1398" s="15">
        <f>IFERROR(__xludf.DUMMYFUNCTION("""COMPUTED_VALUE"""),2.0)</f>
        <v>2</v>
      </c>
      <c r="H1398" s="15" t="str">
        <f>IFERROR(__xludf.DUMMYFUNCTION("""COMPUTED_VALUE"""),"meter")</f>
        <v>meter</v>
      </c>
      <c r="I1398" s="15" t="str">
        <f>IFERROR(__xludf.DUMMYFUNCTION("""COMPUTED_VALUE"""),"-")</f>
        <v>-</v>
      </c>
      <c r="J1398" s="15" t="str">
        <f>IFERROR(__xludf.DUMMYFUNCTION("""COMPUTED_VALUE"""),"-")</f>
        <v>-</v>
      </c>
      <c r="K1398" s="15" t="str">
        <f>IFERROR(__xludf.DUMMYFUNCTION("""COMPUTED_VALUE"""),"-")</f>
        <v>-</v>
      </c>
      <c r="L1398" s="15" t="str">
        <f>IFERROR(__xludf.DUMMYFUNCTION("""COMPUTED_VALUE"""),"Normal")</f>
        <v>Normal</v>
      </c>
      <c r="M1398" s="18" t="s">
        <v>55</v>
      </c>
      <c r="N1398" s="18" t="s">
        <v>28</v>
      </c>
    </row>
    <row r="1399" hidden="1">
      <c r="A1399" s="15" t="str">
        <f>IFERROR(__xludf.DUMMYFUNCTION("""COMPUTED_VALUE"""),"ROSRO0031")</f>
        <v>ROSRO0031</v>
      </c>
      <c r="B1399" s="16">
        <f>IFERROR(__xludf.DUMMYFUNCTION("""COMPUTED_VALUE"""),46150.26054189815)</f>
        <v>46150.26054</v>
      </c>
      <c r="C1399" s="17">
        <f>IFERROR(__xludf.DUMMYFUNCTION("""COMPUTED_VALUE"""),46268.46545957176)</f>
        <v>46268.46546</v>
      </c>
      <c r="D1399" s="15" t="str">
        <f>IFERROR(__xludf.DUMMYFUNCTION("""COMPUTED_VALUE"""),"Autoclave")</f>
        <v>Autoclave</v>
      </c>
      <c r="E1399" s="15" t="str">
        <f>IFERROR(__xludf.DUMMYFUNCTION("""COMPUTED_VALUE"""),"-")</f>
        <v>-</v>
      </c>
      <c r="F1399" s="15" t="str">
        <f>IFERROR(__xludf.DUMMYFUNCTION("""COMPUTED_VALUE"""),"Autoclave Fedegari FVA2/A1 NB2963AT - Level Transmitter code 15218 2m p/n: CD050024; ; ;")</f>
        <v>Autoclave Fedegari FVA2/A1 NB2963AT - Level Transmitter code 15218 2m p/n: CD050024; ; ;</v>
      </c>
      <c r="G1399" s="15">
        <f>IFERROR(__xludf.DUMMYFUNCTION("""COMPUTED_VALUE"""),4.0)</f>
        <v>4</v>
      </c>
      <c r="H1399" s="15" t="str">
        <f>IFERROR(__xludf.DUMMYFUNCTION("""COMPUTED_VALUE"""),"pcs")</f>
        <v>pcs</v>
      </c>
      <c r="I1399" s="15" t="str">
        <f>IFERROR(__xludf.DUMMYFUNCTION("""COMPUTED_VALUE"""),"Proses PR")</f>
        <v>Proses PR</v>
      </c>
      <c r="J1399" s="15" t="str">
        <f>IFERROR(__xludf.DUMMYFUNCTION("""COMPUTED_VALUE"""),"-")</f>
        <v>-</v>
      </c>
      <c r="K1399" s="15" t="str">
        <f>IFERROR(__xludf.DUMMYFUNCTION("""COMPUTED_VALUE"""),"-")</f>
        <v>-</v>
      </c>
      <c r="L1399" s="15" t="str">
        <f>IFERROR(__xludf.DUMMYFUNCTION("""COMPUTED_VALUE"""),"Normal")</f>
        <v>Normal</v>
      </c>
      <c r="M1399" s="18" t="s">
        <v>29</v>
      </c>
      <c r="N1399" s="18" t="s">
        <v>30</v>
      </c>
    </row>
    <row r="1400" hidden="1">
      <c r="A1400" s="15" t="str">
        <f>IFERROR(__xludf.DUMMYFUNCTION("""COMPUTED_VALUE"""),"ROSRO0038")</f>
        <v>ROSRO0038</v>
      </c>
      <c r="B1400" s="16">
        <f>IFERROR(__xludf.DUMMYFUNCTION("""COMPUTED_VALUE"""),46262.84448984954)</f>
        <v>46262.84449</v>
      </c>
      <c r="C1400" s="17">
        <f>IFERROR(__xludf.DUMMYFUNCTION("""COMPUTED_VALUE"""),46268.46656917824)</f>
        <v>46268.46657</v>
      </c>
      <c r="D1400" s="15" t="str">
        <f>IFERROR(__xludf.DUMMYFUNCTION("""COMPUTED_VALUE"""),"Filling")</f>
        <v>Filling</v>
      </c>
      <c r="E1400" s="15" t="str">
        <f>IFERROR(__xludf.DUMMYFUNCTION("""COMPUTED_VALUE"""),"-")</f>
        <v>-</v>
      </c>
      <c r="F1400" s="15" t="str">
        <f>IFERROR(__xludf.DUMMYFUNCTION("""COMPUTED_VALUE"""),"Filling VFM100 - Oring Silicone ID 6,96mm OD 10,34 Tebal 1,69mm; Custom/Lokal; -; 1 Pc")</f>
        <v>Filling VFM100 - Oring Silicone ID 6,96mm OD 10,34 Tebal 1,69mm; Custom/Lokal; -; 1 Pc</v>
      </c>
      <c r="G1400" s="15">
        <f>IFERROR(__xludf.DUMMYFUNCTION("""COMPUTED_VALUE"""),20.0)</f>
        <v>20</v>
      </c>
      <c r="H1400" s="15" t="str">
        <f>IFERROR(__xludf.DUMMYFUNCTION("""COMPUTED_VALUE"""),"Pcs")</f>
        <v>Pcs</v>
      </c>
      <c r="I1400" s="15" t="str">
        <f>IFERROR(__xludf.DUMMYFUNCTION("""COMPUTED_VALUE"""),"PR Open")</f>
        <v>PR Open</v>
      </c>
      <c r="J1400" s="15" t="str">
        <f>IFERROR(__xludf.DUMMYFUNCTION("""COMPUTED_VALUE"""),"121704555 - APPROVED")</f>
        <v>121704555 - APPROVED</v>
      </c>
      <c r="K1400" s="15" t="str">
        <f>IFERROR(__xludf.DUMMYFUNCTION("""COMPUTED_VALUE"""),"-")</f>
        <v>-</v>
      </c>
      <c r="L1400" s="15" t="str">
        <f>IFERROR(__xludf.DUMMYFUNCTION("""COMPUTED_VALUE"""),"Normal")</f>
        <v>Normal</v>
      </c>
      <c r="M1400" s="18" t="s">
        <v>29</v>
      </c>
      <c r="N1400" s="18" t="s">
        <v>30</v>
      </c>
    </row>
    <row r="1401">
      <c r="A1401" s="15" t="str">
        <f>IFERROR(__xludf.DUMMYFUNCTION("""COMPUTED_VALUE"""),"NDSBR0063")</f>
        <v>NDSBR0063</v>
      </c>
      <c r="B1401" s="16">
        <f>IFERROR(__xludf.DUMMYFUNCTION("""COMPUTED_VALUE"""),46268.66749460648)</f>
        <v>46268.66749</v>
      </c>
      <c r="C1401" s="17">
        <f>IFERROR(__xludf.DUMMYFUNCTION("""COMPUTED_VALUE"""),46272.23265042824)</f>
        <v>46272.23265</v>
      </c>
      <c r="D1401" s="15" t="str">
        <f>IFERROR(__xludf.DUMMYFUNCTION("""COMPUTED_VALUE"""),"All mesin")</f>
        <v>All mesin</v>
      </c>
      <c r="E1401" s="15" t="str">
        <f>IFERROR(__xludf.DUMMYFUNCTION("""COMPUTED_VALUE"""),"-")</f>
        <v>-</v>
      </c>
      <c r="F1401" s="15" t="str">
        <f>IFERROR(__xludf.DUMMYFUNCTION("""COMPUTED_VALUE"""),"Cover Tombol Emergency ")</f>
        <v>Cover Tombol Emergency </v>
      </c>
      <c r="G1401" s="15">
        <f>IFERROR(__xludf.DUMMYFUNCTION("""COMPUTED_VALUE"""),20.0)</f>
        <v>20</v>
      </c>
      <c r="H1401" s="15" t="str">
        <f>IFERROR(__xludf.DUMMYFUNCTION("""COMPUTED_VALUE"""),"Pcs")</f>
        <v>Pcs</v>
      </c>
      <c r="I1401" s="15" t="str">
        <f>IFERROR(__xludf.DUMMYFUNCTION("""COMPUTED_VALUE"""),"-")</f>
        <v>-</v>
      </c>
      <c r="J1401" s="15" t="str">
        <f>IFERROR(__xludf.DUMMYFUNCTION("""COMPUTED_VALUE"""),"-")</f>
        <v>-</v>
      </c>
      <c r="K1401" s="15" t="str">
        <f>IFERROR(__xludf.DUMMYFUNCTION("""COMPUTED_VALUE"""),"-")</f>
        <v>-</v>
      </c>
      <c r="L1401" s="15" t="str">
        <f>IFERROR(__xludf.DUMMYFUNCTION("""COMPUTED_VALUE"""),"Normal")</f>
        <v>Normal</v>
      </c>
      <c r="M1401" s="18" t="s">
        <v>50</v>
      </c>
      <c r="N1401" s="18" t="s">
        <v>30</v>
      </c>
    </row>
    <row r="1402">
      <c r="A1402" s="15" t="str">
        <f>IFERROR(__xludf.DUMMYFUNCTION("""COMPUTED_VALUE"""),"MRNBR0120")</f>
        <v>MRNBR0120</v>
      </c>
      <c r="B1402" s="16">
        <f>IFERROR(__xludf.DUMMYFUNCTION("""COMPUTED_VALUE"""),46266.94058243056)</f>
        <v>46266.94058</v>
      </c>
      <c r="C1402" s="17">
        <f>IFERROR(__xludf.DUMMYFUNCTION("""COMPUTED_VALUE"""),46272.80476399306)</f>
        <v>46272.80476</v>
      </c>
      <c r="D1402" s="15" t="str">
        <f>IFERROR(__xludf.DUMMYFUNCTION("""COMPUTED_VALUE"""),"AC warehouse")</f>
        <v>AC warehouse</v>
      </c>
      <c r="E1402" s="15" t="str">
        <f>IFERROR(__xludf.DUMMYFUNCTION("""COMPUTED_VALUE"""),"EJO/2026/07/081")</f>
        <v>EJO/2026/07/081</v>
      </c>
      <c r="F1402" s="15" t="str">
        <f>IFERROR(__xludf.DUMMYFUNCTION("""COMPUTED_VALUE"""),"Compressor AC split")</f>
        <v>Compressor AC split</v>
      </c>
      <c r="G1402" s="15">
        <f>IFERROR(__xludf.DUMMYFUNCTION("""COMPUTED_VALUE"""),10.0)</f>
        <v>10</v>
      </c>
      <c r="H1402" s="15" t="str">
        <f>IFERROR(__xludf.DUMMYFUNCTION("""COMPUTED_VALUE"""),"pcs")</f>
        <v>pcs</v>
      </c>
      <c r="I1402" s="15" t="str">
        <f>IFERROR(__xludf.DUMMYFUNCTION("""COMPUTED_VALUE"""),"-")</f>
        <v>-</v>
      </c>
      <c r="J1402" s="15" t="str">
        <f>IFERROR(__xludf.DUMMYFUNCTION("""COMPUTED_VALUE"""),"-")</f>
        <v>-</v>
      </c>
      <c r="K1402" s="15" t="str">
        <f>IFERROR(__xludf.DUMMYFUNCTION("""COMPUTED_VALUE"""),"-")</f>
        <v>-</v>
      </c>
      <c r="L1402" s="15" t="str">
        <f>IFERROR(__xludf.DUMMYFUNCTION("""COMPUTED_VALUE"""),"Normal")</f>
        <v>Normal</v>
      </c>
      <c r="M1402" s="18" t="s">
        <v>48</v>
      </c>
      <c r="N1402" s="18" t="s">
        <v>28</v>
      </c>
    </row>
    <row r="1403" hidden="1">
      <c r="A1403" s="15" t="str">
        <f>IFERROR(__xludf.DUMMYFUNCTION("""COMPUTED_VALUE"""),"MRNRO0054")</f>
        <v>MRNRO0054</v>
      </c>
      <c r="B1403" s="16">
        <f>IFERROR(__xludf.DUMMYFUNCTION("""COMPUTED_VALUE"""),46266.950218680555)</f>
        <v>46266.95022</v>
      </c>
      <c r="C1403" s="17">
        <f>IFERROR(__xludf.DUMMYFUNCTION("""COMPUTED_VALUE"""),46272.80579464121)</f>
        <v>46272.80579</v>
      </c>
      <c r="D1403" s="15" t="str">
        <f>IFERROR(__xludf.DUMMYFUNCTION("""COMPUTED_VALUE"""),"WWTP")</f>
        <v>WWTP</v>
      </c>
      <c r="E1403" s="15" t="str">
        <f>IFERROR(__xludf.DUMMYFUNCTION("""COMPUTED_VALUE"""),"EJO/2026/05/028")</f>
        <v>EJO/2026/05/028</v>
      </c>
      <c r="F1403" s="15" t="str">
        <f>IFERROR(__xludf.DUMMYFUNCTION("""COMPUTED_VALUE"""),"General - Pompa Magnetik 150W 1 phase; Sanso; PMD 1564; 1 Unit")</f>
        <v>General - Pompa Magnetik 150W 1 phase; Sanso; PMD 1564; 1 Unit</v>
      </c>
      <c r="G1403" s="15">
        <f>IFERROR(__xludf.DUMMYFUNCTION("""COMPUTED_VALUE"""),1.0)</f>
        <v>1</v>
      </c>
      <c r="H1403" s="15" t="str">
        <f>IFERROR(__xludf.DUMMYFUNCTION("""COMPUTED_VALUE"""),"pcs")</f>
        <v>pcs</v>
      </c>
      <c r="I1403" s="15" t="str">
        <f>IFERROR(__xludf.DUMMYFUNCTION("""COMPUTED_VALUE"""),"Proses PR")</f>
        <v>Proses PR</v>
      </c>
      <c r="J1403" s="15" t="str">
        <f>IFERROR(__xludf.DUMMYFUNCTION("""COMPUTED_VALUE"""),"-")</f>
        <v>-</v>
      </c>
      <c r="K1403" s="15" t="str">
        <f>IFERROR(__xludf.DUMMYFUNCTION("""COMPUTED_VALUE"""),"-")</f>
        <v>-</v>
      </c>
      <c r="L1403" s="15" t="str">
        <f>IFERROR(__xludf.DUMMYFUNCTION("""COMPUTED_VALUE"""),"Normal")</f>
        <v>Normal</v>
      </c>
      <c r="M1403" s="18" t="s">
        <v>48</v>
      </c>
      <c r="N1403" s="18" t="s">
        <v>28</v>
      </c>
    </row>
    <row r="1404" hidden="1">
      <c r="A1404" s="15" t="str">
        <f>IFERROR(__xludf.DUMMYFUNCTION("""COMPUTED_VALUE"""),"SFHRO0056")</f>
        <v>SFHRO0056</v>
      </c>
      <c r="B1404" s="16">
        <f>IFERROR(__xludf.DUMMYFUNCTION("""COMPUTED_VALUE"""),46255.871175127315)</f>
        <v>46255.87118</v>
      </c>
      <c r="C1404" s="17">
        <f>IFERROR(__xludf.DUMMYFUNCTION("""COMPUTED_VALUE"""),46272.80814403935)</f>
        <v>46272.80814</v>
      </c>
      <c r="D1404" s="15" t="str">
        <f>IFERROR(__xludf.DUMMYFUNCTION("""COMPUTED_VALUE"""),"lantai 2")</f>
        <v>lantai 2</v>
      </c>
      <c r="E1404" s="15" t="str">
        <f>IFERROR(__xludf.DUMMYFUNCTION("""COMPUTED_VALUE"""),"-")</f>
        <v>-</v>
      </c>
      <c r="F1404" s="15" t="str">
        <f>IFERROR(__xludf.DUMMYFUNCTION("""COMPUTED_VALUE"""),"Cat Ambiance Lakestone 44537M Tinting; Dulux; ;")</f>
        <v>Cat Ambiance Lakestone 44537M Tinting; Dulux; ;</v>
      </c>
      <c r="G1404" s="15">
        <f>IFERROR(__xludf.DUMMYFUNCTION("""COMPUTED_VALUE"""),2.0)</f>
        <v>2</v>
      </c>
      <c r="H1404" s="15" t="str">
        <f>IFERROR(__xludf.DUMMYFUNCTION("""COMPUTED_VALUE"""),"pel")</f>
        <v>pel</v>
      </c>
      <c r="I1404" s="15" t="str">
        <f>IFERROR(__xludf.DUMMYFUNCTION("""COMPUTED_VALUE"""),"Proses PR")</f>
        <v>Proses PR</v>
      </c>
      <c r="J1404" s="15" t="str">
        <f>IFERROR(__xludf.DUMMYFUNCTION("""COMPUTED_VALUE"""),"-")</f>
        <v>-</v>
      </c>
      <c r="K1404" s="15" t="str">
        <f>IFERROR(__xludf.DUMMYFUNCTION("""COMPUTED_VALUE"""),"-")</f>
        <v>-</v>
      </c>
      <c r="L1404" s="15" t="str">
        <f>IFERROR(__xludf.DUMMYFUNCTION("""COMPUTED_VALUE"""),"Normal")</f>
        <v>Normal</v>
      </c>
      <c r="M1404" s="18" t="s">
        <v>27</v>
      </c>
      <c r="N1404" s="18" t="s">
        <v>28</v>
      </c>
    </row>
    <row r="1405" hidden="1">
      <c r="A1405" s="15" t="str">
        <f>IFERROR(__xludf.DUMMYFUNCTION("""COMPUTED_VALUE"""),"SFHRO0057")</f>
        <v>SFHRO0057</v>
      </c>
      <c r="B1405" s="16">
        <f>IFERROR(__xludf.DUMMYFUNCTION("""COMPUTED_VALUE"""),46262.88575918982)</f>
        <v>46262.88576</v>
      </c>
      <c r="C1405" s="17">
        <f>IFERROR(__xludf.DUMMYFUNCTION("""COMPUTED_VALUE"""),46272.8082743287)</f>
        <v>46272.80827</v>
      </c>
      <c r="D1405" s="15" t="str">
        <f>IFERROR(__xludf.DUMMYFUNCTION("""COMPUTED_VALUE"""),"lantai 2")</f>
        <v>lantai 2</v>
      </c>
      <c r="E1405" s="15" t="str">
        <f>IFERROR(__xludf.DUMMYFUNCTION("""COMPUTED_VALUE"""),"-")</f>
        <v>-</v>
      </c>
      <c r="F1405" s="15" t="str">
        <f>IFERROR(__xludf.DUMMYFUNCTION("""COMPUTED_VALUE"""),"Cat Durogloss DR-2000; Propan; Type Spiders Web 90YY 73/040; 0,9 L/can")</f>
        <v>Cat Durogloss DR-2000; Propan; Type Spiders Web 90YY 73/040; 0,9 L/can</v>
      </c>
      <c r="G1405" s="15">
        <f>IFERROR(__xludf.DUMMYFUNCTION("""COMPUTED_VALUE"""),5.0)</f>
        <v>5</v>
      </c>
      <c r="H1405" s="15" t="str">
        <f>IFERROR(__xludf.DUMMYFUNCTION("""COMPUTED_VALUE"""),"liter")</f>
        <v>liter</v>
      </c>
      <c r="I1405" s="15" t="str">
        <f>IFERROR(__xludf.DUMMYFUNCTION("""COMPUTED_VALUE"""),"Proses PR")</f>
        <v>Proses PR</v>
      </c>
      <c r="J1405" s="15" t="str">
        <f>IFERROR(__xludf.DUMMYFUNCTION("""COMPUTED_VALUE"""),"-")</f>
        <v>-</v>
      </c>
      <c r="K1405" s="15" t="str">
        <f>IFERROR(__xludf.DUMMYFUNCTION("""COMPUTED_VALUE"""),"-")</f>
        <v>-</v>
      </c>
      <c r="L1405" s="15" t="str">
        <f>IFERROR(__xludf.DUMMYFUNCTION("""COMPUTED_VALUE"""),"Normal")</f>
        <v>Normal</v>
      </c>
      <c r="M1405" s="18" t="s">
        <v>27</v>
      </c>
      <c r="N1405" s="18" t="s">
        <v>28</v>
      </c>
    </row>
    <row r="1406" hidden="1">
      <c r="A1406" s="15" t="str">
        <f>IFERROR(__xludf.DUMMYFUNCTION("""COMPUTED_VALUE"""),"SFHRO0058")</f>
        <v>SFHRO0058</v>
      </c>
      <c r="B1406" s="16">
        <f>IFERROR(__xludf.DUMMYFUNCTION("""COMPUTED_VALUE"""),46272.292790555555)</f>
        <v>46272.29279</v>
      </c>
      <c r="C1406" s="17">
        <f>IFERROR(__xludf.DUMMYFUNCTION("""COMPUTED_VALUE"""),46272.808426041665)</f>
        <v>46272.80843</v>
      </c>
      <c r="D1406" s="15" t="str">
        <f>IFERROR(__xludf.DUMMYFUNCTION("""COMPUTED_VALUE"""),"lantai 2")</f>
        <v>lantai 2</v>
      </c>
      <c r="E1406" s="15" t="str">
        <f>IFERROR(__xludf.DUMMYFUNCTION("""COMPUTED_VALUE"""),"-")</f>
        <v>-</v>
      </c>
      <c r="F1406" s="15" t="str">
        <f>IFERROR(__xludf.DUMMYFUNCTION("""COMPUTED_VALUE"""),"Besi siku SS 304 40x40x3x6000")</f>
        <v>Besi siku SS 304 40x40x3x6000</v>
      </c>
      <c r="G1406" s="15">
        <f>IFERROR(__xludf.DUMMYFUNCTION("""COMPUTED_VALUE"""),4.0)</f>
        <v>4</v>
      </c>
      <c r="H1406" s="15" t="str">
        <f>IFERROR(__xludf.DUMMYFUNCTION("""COMPUTED_VALUE"""),"btgt")</f>
        <v>btgt</v>
      </c>
      <c r="I1406" s="15" t="str">
        <f>IFERROR(__xludf.DUMMYFUNCTION("""COMPUTED_VALUE"""),"Proses PR")</f>
        <v>Proses PR</v>
      </c>
      <c r="J1406" s="15" t="str">
        <f>IFERROR(__xludf.DUMMYFUNCTION("""COMPUTED_VALUE"""),"-")</f>
        <v>-</v>
      </c>
      <c r="K1406" s="15" t="str">
        <f>IFERROR(__xludf.DUMMYFUNCTION("""COMPUTED_VALUE"""),"-")</f>
        <v>-</v>
      </c>
      <c r="L1406" s="15" t="str">
        <f>IFERROR(__xludf.DUMMYFUNCTION("""COMPUTED_VALUE"""),"Normal")</f>
        <v>Normal</v>
      </c>
      <c r="M1406" s="18" t="s">
        <v>27</v>
      </c>
      <c r="N1406" s="18" t="s">
        <v>28</v>
      </c>
    </row>
    <row r="1407" hidden="1">
      <c r="A1407" s="15" t="str">
        <f>IFERROR(__xludf.DUMMYFUNCTION("""COMPUTED_VALUE"""),"SFHRO0059")</f>
        <v>SFHRO0059</v>
      </c>
      <c r="B1407" s="16">
        <f>IFERROR(__xludf.DUMMYFUNCTION("""COMPUTED_VALUE"""),46272.29273902778)</f>
        <v>46272.29274</v>
      </c>
      <c r="C1407" s="17">
        <f>IFERROR(__xludf.DUMMYFUNCTION("""COMPUTED_VALUE"""),46272.80856010417)</f>
        <v>46272.80856</v>
      </c>
      <c r="D1407" s="15" t="str">
        <f>IFERROR(__xludf.DUMMYFUNCTION("""COMPUTED_VALUE"""),"lantai  2")</f>
        <v>lantai  2</v>
      </c>
      <c r="E1407" s="15" t="str">
        <f>IFERROR(__xludf.DUMMYFUNCTION("""COMPUTED_VALUE"""),"-")</f>
        <v>-</v>
      </c>
      <c r="F1407" s="15" t="str">
        <f>IFERROR(__xludf.DUMMYFUNCTION("""COMPUTED_VALUE"""),"Handle Pintu Bulat, Elbow Press Lock; Meroni; N13NE TB127;")</f>
        <v>Handle Pintu Bulat, Elbow Press Lock; Meroni; N13NE TB127;</v>
      </c>
      <c r="G1407" s="15">
        <f>IFERROR(__xludf.DUMMYFUNCTION("""COMPUTED_VALUE"""),4.0)</f>
        <v>4</v>
      </c>
      <c r="H1407" s="15" t="str">
        <f>IFERROR(__xludf.DUMMYFUNCTION("""COMPUTED_VALUE"""),"pcs")</f>
        <v>pcs</v>
      </c>
      <c r="I1407" s="15" t="str">
        <f>IFERROR(__xludf.DUMMYFUNCTION("""COMPUTED_VALUE"""),"Proses PR")</f>
        <v>Proses PR</v>
      </c>
      <c r="J1407" s="15" t="str">
        <f>IFERROR(__xludf.DUMMYFUNCTION("""COMPUTED_VALUE"""),"-")</f>
        <v>-</v>
      </c>
      <c r="K1407" s="15" t="str">
        <f>IFERROR(__xludf.DUMMYFUNCTION("""COMPUTED_VALUE"""),"-")</f>
        <v>-</v>
      </c>
      <c r="L1407" s="15" t="str">
        <f>IFERROR(__xludf.DUMMYFUNCTION("""COMPUTED_VALUE"""),"Normal")</f>
        <v>Normal</v>
      </c>
      <c r="M1407" s="18" t="s">
        <v>27</v>
      </c>
      <c r="N1407" s="18" t="s">
        <v>28</v>
      </c>
    </row>
    <row r="1408">
      <c r="A1408" s="15" t="str">
        <f>IFERROR(__xludf.DUMMYFUNCTION("""COMPUTED_VALUE"""),"SFHBR0067")</f>
        <v>SFHBR0067</v>
      </c>
      <c r="B1408" s="16">
        <f>IFERROR(__xludf.DUMMYFUNCTION("""COMPUTED_VALUE"""),46255.87117518519)</f>
        <v>46255.87118</v>
      </c>
      <c r="C1408" s="17">
        <f>IFERROR(__xludf.DUMMYFUNCTION("""COMPUTED_VALUE"""),46272.815515)</f>
        <v>46272.81552</v>
      </c>
      <c r="D1408" s="15" t="str">
        <f>IFERROR(__xludf.DUMMYFUNCTION("""COMPUTED_VALUE"""),"lantai 2")</f>
        <v>lantai 2</v>
      </c>
      <c r="E1408" s="15" t="str">
        <f>IFERROR(__xludf.DUMMYFUNCTION("""COMPUTED_VALUE"""),"-")</f>
        <v>-</v>
      </c>
      <c r="F1408" s="15" t="str">
        <f>IFERROR(__xludf.DUMMYFUNCTION("""COMPUTED_VALUE"""),"Bracket Roda Caster Troli Troly Heavy Duty 5 Inch Rem+Putar Bracket")</f>
        <v>Bracket Roda Caster Troli Troly Heavy Duty 5 Inch Rem+Putar Bracket</v>
      </c>
      <c r="G1408" s="15">
        <f>IFERROR(__xludf.DUMMYFUNCTION("""COMPUTED_VALUE"""),1.0)</f>
        <v>1</v>
      </c>
      <c r="H1408" s="15" t="str">
        <f>IFERROR(__xludf.DUMMYFUNCTION("""COMPUTED_VALUE"""),"pcs")</f>
        <v>pcs</v>
      </c>
      <c r="I1408" s="15" t="str">
        <f>IFERROR(__xludf.DUMMYFUNCTION("""COMPUTED_VALUE"""),"-")</f>
        <v>-</v>
      </c>
      <c r="J1408" s="15" t="str">
        <f>IFERROR(__xludf.DUMMYFUNCTION("""COMPUTED_VALUE"""),"-")</f>
        <v>-</v>
      </c>
      <c r="K1408" s="15" t="str">
        <f>IFERROR(__xludf.DUMMYFUNCTION("""COMPUTED_VALUE"""),"-")</f>
        <v>-</v>
      </c>
      <c r="L1408" s="15" t="str">
        <f>IFERROR(__xludf.DUMMYFUNCTION("""COMPUTED_VALUE"""),"Normal")</f>
        <v>Normal</v>
      </c>
      <c r="M1408" s="18" t="s">
        <v>27</v>
      </c>
      <c r="N1408" s="18" t="s">
        <v>28</v>
      </c>
    </row>
    <row r="1409">
      <c r="A1409" s="15" t="str">
        <f>IFERROR(__xludf.DUMMYFUNCTION("""COMPUTED_VALUE"""),"ANORO0010")</f>
        <v>ANORO0010</v>
      </c>
      <c r="B1409" s="16">
        <f>IFERROR(__xludf.DUMMYFUNCTION("""COMPUTED_VALUE"""),46274.42842173611)</f>
        <v>46274.42842</v>
      </c>
      <c r="C1409" s="17">
        <f>IFERROR(__xludf.DUMMYFUNCTION("""COMPUTED_VALUE"""),46280.51103450231)</f>
        <v>46280.51103</v>
      </c>
      <c r="D1409" s="15" t="str">
        <f>IFERROR(__xludf.DUMMYFUNCTION("""COMPUTED_VALUE"""),"Exhaust Fan ")</f>
        <v>Exhaust Fan </v>
      </c>
      <c r="E1409" s="15" t="str">
        <f>IFERROR(__xludf.DUMMYFUNCTION("""COMPUTED_VALUE"""),"-")</f>
        <v>-</v>
      </c>
      <c r="F1409" s="15" t="str">
        <f>IFERROR(__xludf.DUMMYFUNCTION("""COMPUTED_VALUE"""),"SPA 1120 Brand : Optibelt / Bando Merah; Optibelt; ;")</f>
        <v>SPA 1120 Brand : Optibelt / Bando Merah; Optibelt; ;</v>
      </c>
      <c r="G1409" s="15">
        <f>IFERROR(__xludf.DUMMYFUNCTION("""COMPUTED_VALUE"""),10.0)</f>
        <v>10</v>
      </c>
      <c r="H1409" s="15" t="str">
        <f>IFERROR(__xludf.DUMMYFUNCTION("""COMPUTED_VALUE"""),"pcs")</f>
        <v>pcs</v>
      </c>
      <c r="I1409" s="15" t="str">
        <f>IFERROR(__xludf.DUMMYFUNCTION("""COMPUTED_VALUE"""),"-")</f>
        <v>-</v>
      </c>
      <c r="J1409" s="15" t="str">
        <f>IFERROR(__xludf.DUMMYFUNCTION("""COMPUTED_VALUE"""),"-")</f>
        <v>-</v>
      </c>
      <c r="K1409" s="15" t="str">
        <f>IFERROR(__xludf.DUMMYFUNCTION("""COMPUTED_VALUE"""),"-")</f>
        <v>-</v>
      </c>
      <c r="L1409" s="15" t="str">
        <f>IFERROR(__xludf.DUMMYFUNCTION("""COMPUTED_VALUE"""),"Normal")</f>
        <v>Normal</v>
      </c>
      <c r="M1409" s="18" t="s">
        <v>49</v>
      </c>
      <c r="N1409" s="18" t="s">
        <v>30</v>
      </c>
    </row>
    <row r="1410">
      <c r="A1410" s="15" t="str">
        <f>IFERROR(__xludf.DUMMYFUNCTION("""COMPUTED_VALUE"""),"SFHRO0061")</f>
        <v>SFHRO0061</v>
      </c>
      <c r="B1410" s="16">
        <f>IFERROR(__xludf.DUMMYFUNCTION("""COMPUTED_VALUE"""),46276.29018721065)</f>
        <v>46276.29019</v>
      </c>
      <c r="C1410" s="17">
        <f>IFERROR(__xludf.DUMMYFUNCTION("""COMPUTED_VALUE"""),46280.51243159722)</f>
        <v>46280.51243</v>
      </c>
      <c r="D1410" s="15" t="str">
        <f>IFERROR(__xludf.DUMMYFUNCTION("""COMPUTED_VALUE"""),"lantai 2")</f>
        <v>lantai 2</v>
      </c>
      <c r="E1410" s="15" t="str">
        <f>IFERROR(__xludf.DUMMYFUNCTION("""COMPUTED_VALUE"""),"-")</f>
        <v>-</v>
      </c>
      <c r="F1410" s="15" t="str">
        <f>IFERROR(__xludf.DUMMYFUNCTION("""COMPUTED_VALUE"""),"Handle Pintu Bulat, Elbow Press Lock; Meroni; N13NE TB127;")</f>
        <v>Handle Pintu Bulat, Elbow Press Lock; Meroni; N13NE TB127;</v>
      </c>
      <c r="G1410" s="15">
        <f>IFERROR(__xludf.DUMMYFUNCTION("""COMPUTED_VALUE"""),4.0)</f>
        <v>4</v>
      </c>
      <c r="H1410" s="15" t="str">
        <f>IFERROR(__xludf.DUMMYFUNCTION("""COMPUTED_VALUE"""),"pasang")</f>
        <v>pasang</v>
      </c>
      <c r="I1410" s="15" t="str">
        <f>IFERROR(__xludf.DUMMYFUNCTION("""COMPUTED_VALUE"""),"-")</f>
        <v>-</v>
      </c>
      <c r="J1410" s="15" t="str">
        <f>IFERROR(__xludf.DUMMYFUNCTION("""COMPUTED_VALUE"""),"-")</f>
        <v>-</v>
      </c>
      <c r="K1410" s="15" t="str">
        <f>IFERROR(__xludf.DUMMYFUNCTION("""COMPUTED_VALUE"""),"-")</f>
        <v>-</v>
      </c>
      <c r="L1410" s="15" t="str">
        <f>IFERROR(__xludf.DUMMYFUNCTION("""COMPUTED_VALUE"""),"Normal")</f>
        <v>Normal</v>
      </c>
      <c r="M1410" s="18" t="s">
        <v>27</v>
      </c>
      <c r="N1410" s="18" t="s">
        <v>28</v>
      </c>
    </row>
    <row r="1411">
      <c r="A1411" s="15" t="str">
        <f>IFERROR(__xludf.DUMMYFUNCTION("""COMPUTED_VALUE"""),"SFHRO0062")</f>
        <v>SFHRO0062</v>
      </c>
      <c r="B1411" s="16">
        <f>IFERROR(__xludf.DUMMYFUNCTION("""COMPUTED_VALUE"""),46276.29147578703)</f>
        <v>46276.29148</v>
      </c>
      <c r="C1411" s="17">
        <f>IFERROR(__xludf.DUMMYFUNCTION("""COMPUTED_VALUE"""),46280.51257831018)</f>
        <v>46280.51258</v>
      </c>
      <c r="D1411" s="15" t="str">
        <f>IFERROR(__xludf.DUMMYFUNCTION("""COMPUTED_VALUE"""),"lantai 2 ")</f>
        <v>lantai 2 </v>
      </c>
      <c r="E1411" s="15" t="str">
        <f>IFERROR(__xludf.DUMMYFUNCTION("""COMPUTED_VALUE"""),"-")</f>
        <v>-</v>
      </c>
      <c r="F1411" s="15" t="str">
        <f>IFERROR(__xludf.DUMMYFUNCTION("""COMPUTED_VALUE"""),"Door Closer Type: TS77 Hold Open; DORMA; ;")</f>
        <v>Door Closer Type: TS77 Hold Open; DORMA; ;</v>
      </c>
      <c r="G1411" s="15">
        <f>IFERROR(__xludf.DUMMYFUNCTION("""COMPUTED_VALUE"""),4.0)</f>
        <v>4</v>
      </c>
      <c r="H1411" s="15" t="str">
        <f>IFERROR(__xludf.DUMMYFUNCTION("""COMPUTED_VALUE"""),"pcs")</f>
        <v>pcs</v>
      </c>
      <c r="I1411" s="15" t="str">
        <f>IFERROR(__xludf.DUMMYFUNCTION("""COMPUTED_VALUE"""),"-")</f>
        <v>-</v>
      </c>
      <c r="J1411" s="15" t="str">
        <f>IFERROR(__xludf.DUMMYFUNCTION("""COMPUTED_VALUE"""),"-")</f>
        <v>-</v>
      </c>
      <c r="K1411" s="15" t="str">
        <f>IFERROR(__xludf.DUMMYFUNCTION("""COMPUTED_VALUE"""),"-")</f>
        <v>-</v>
      </c>
      <c r="L1411" s="15" t="str">
        <f>IFERROR(__xludf.DUMMYFUNCTION("""COMPUTED_VALUE"""),"Normal")</f>
        <v>Normal</v>
      </c>
      <c r="M1411" s="18" t="s">
        <v>27</v>
      </c>
      <c r="N1411" s="18" t="s">
        <v>28</v>
      </c>
    </row>
    <row r="1412">
      <c r="A1412" s="15" t="str">
        <f>IFERROR(__xludf.DUMMYFUNCTION("""COMPUTED_VALUE"""),"NDSRO0024")</f>
        <v>NDSRO0024</v>
      </c>
      <c r="B1412" s="16">
        <f>IFERROR(__xludf.DUMMYFUNCTION("""COMPUTED_VALUE"""),46275.46967363426)</f>
        <v>46275.46967</v>
      </c>
      <c r="C1412" s="17">
        <f>IFERROR(__xludf.DUMMYFUNCTION("""COMPUTED_VALUE"""),46280.65375438657)</f>
        <v>46280.65375</v>
      </c>
      <c r="D1412" s="15" t="str">
        <f>IFERROR(__xludf.DUMMYFUNCTION("""COMPUTED_VALUE"""),"MV60")</f>
        <v>MV60</v>
      </c>
      <c r="E1412" s="15" t="str">
        <f>IFERROR(__xludf.DUMMYFUNCTION("""COMPUTED_VALUE"""),"-")</f>
        <v>-</v>
      </c>
      <c r="F1412" s="15" t="str">
        <f>IFERROR(__xludf.DUMMYFUNCTION("""COMPUTED_VALUE"""),"Mixing Tank Adam - Pressure Transmitter d trans P31 type: 402050/000 TN : 43010260 -1.5 bar rel, DC10..30V. 4..20mA 2-6 JUMO")</f>
        <v>Mixing Tank Adam - Pressure Transmitter d trans P31 type: 402050/000 TN : 43010260 -1.5 bar rel, DC10..30V. 4..20mA 2-6 JUMO</v>
      </c>
      <c r="G1412" s="15">
        <f>IFERROR(__xludf.DUMMYFUNCTION("""COMPUTED_VALUE"""),2.0)</f>
        <v>2</v>
      </c>
      <c r="H1412" s="15" t="str">
        <f>IFERROR(__xludf.DUMMYFUNCTION("""COMPUTED_VALUE"""),"Pcs")</f>
        <v>Pcs</v>
      </c>
      <c r="I1412" s="15" t="str">
        <f>IFERROR(__xludf.DUMMYFUNCTION("""COMPUTED_VALUE"""),"-")</f>
        <v>-</v>
      </c>
      <c r="J1412" s="15" t="str">
        <f>IFERROR(__xludf.DUMMYFUNCTION("""COMPUTED_VALUE"""),"-")</f>
        <v>-</v>
      </c>
      <c r="K1412" s="15" t="str">
        <f>IFERROR(__xludf.DUMMYFUNCTION("""COMPUTED_VALUE"""),"-")</f>
        <v>-</v>
      </c>
      <c r="L1412" s="15" t="str">
        <f>IFERROR(__xludf.DUMMYFUNCTION("""COMPUTED_VALUE"""),"Normal")</f>
        <v>Normal</v>
      </c>
      <c r="M1412" s="18" t="s">
        <v>50</v>
      </c>
      <c r="N1412" s="18" t="s">
        <v>30</v>
      </c>
    </row>
    <row r="1413">
      <c r="A1413" s="15"/>
      <c r="B1413" s="15"/>
      <c r="C1413" s="17"/>
      <c r="D1413" s="15"/>
      <c r="E1413" s="15"/>
      <c r="F1413" s="15"/>
      <c r="G1413" s="15"/>
      <c r="H1413" s="15"/>
      <c r="I1413" s="15"/>
      <c r="J1413" s="15"/>
      <c r="K1413" s="15"/>
      <c r="L1413" s="15"/>
      <c r="M1413" s="18"/>
      <c r="N1413" s="18"/>
    </row>
    <row r="1414">
      <c r="A1414" s="15"/>
      <c r="B1414" s="15"/>
      <c r="C1414" s="17"/>
      <c r="D1414" s="15"/>
      <c r="E1414" s="15"/>
      <c r="F1414" s="15"/>
      <c r="G1414" s="15"/>
      <c r="H1414" s="15"/>
      <c r="I1414" s="15"/>
      <c r="J1414" s="15"/>
      <c r="K1414" s="15"/>
      <c r="L1414" s="15"/>
      <c r="M1414" s="18"/>
      <c r="N1414" s="18"/>
    </row>
    <row r="1415">
      <c r="A1415" s="15"/>
      <c r="B1415" s="15"/>
      <c r="C1415" s="17"/>
      <c r="D1415" s="15"/>
      <c r="E1415" s="15"/>
      <c r="F1415" s="15"/>
      <c r="G1415" s="15"/>
      <c r="H1415" s="15"/>
      <c r="I1415" s="15"/>
      <c r="J1415" s="15"/>
      <c r="K1415" s="15"/>
      <c r="L1415" s="15"/>
      <c r="M1415" s="18"/>
      <c r="N1415" s="18"/>
    </row>
    <row r="1416">
      <c r="A1416" s="15"/>
      <c r="B1416" s="15"/>
      <c r="C1416" s="17"/>
      <c r="D1416" s="15"/>
      <c r="E1416" s="15"/>
      <c r="F1416" s="15"/>
      <c r="G1416" s="15"/>
      <c r="H1416" s="15"/>
      <c r="I1416" s="15"/>
      <c r="J1416" s="15"/>
      <c r="K1416" s="15"/>
      <c r="L1416" s="15"/>
      <c r="M1416" s="18"/>
      <c r="N1416" s="18"/>
    </row>
    <row r="1417">
      <c r="A1417" s="15"/>
      <c r="B1417" s="15"/>
      <c r="C1417" s="17"/>
      <c r="D1417" s="15"/>
      <c r="E1417" s="15"/>
      <c r="F1417" s="15"/>
      <c r="G1417" s="15"/>
      <c r="H1417" s="15"/>
      <c r="I1417" s="15"/>
      <c r="J1417" s="15"/>
      <c r="K1417" s="15"/>
      <c r="L1417" s="15"/>
      <c r="M1417" s="18"/>
      <c r="N1417" s="18"/>
    </row>
    <row r="1418">
      <c r="A1418" s="15"/>
      <c r="B1418" s="15"/>
      <c r="C1418" s="17"/>
      <c r="D1418" s="15"/>
      <c r="E1418" s="15"/>
      <c r="F1418" s="15"/>
      <c r="G1418" s="15"/>
      <c r="H1418" s="15"/>
      <c r="I1418" s="15"/>
      <c r="J1418" s="15"/>
      <c r="K1418" s="15"/>
      <c r="L1418" s="15"/>
      <c r="M1418" s="18"/>
      <c r="N1418" s="18"/>
    </row>
    <row r="1419">
      <c r="A1419" s="15"/>
      <c r="B1419" s="15"/>
      <c r="C1419" s="17"/>
      <c r="D1419" s="15"/>
      <c r="E1419" s="15"/>
      <c r="F1419" s="15"/>
      <c r="G1419" s="15"/>
      <c r="H1419" s="15"/>
      <c r="I1419" s="15"/>
      <c r="J1419" s="15"/>
      <c r="K1419" s="15"/>
      <c r="L1419" s="15"/>
      <c r="M1419" s="18"/>
      <c r="N1419" s="18"/>
    </row>
    <row r="1420">
      <c r="A1420" s="15"/>
      <c r="B1420" s="15"/>
      <c r="C1420" s="17"/>
      <c r="D1420" s="15"/>
      <c r="E1420" s="15"/>
      <c r="F1420" s="15"/>
      <c r="G1420" s="15"/>
      <c r="H1420" s="15"/>
      <c r="I1420" s="15"/>
      <c r="J1420" s="15"/>
      <c r="K1420" s="15"/>
      <c r="L1420" s="15"/>
      <c r="M1420" s="18"/>
      <c r="N1420" s="18"/>
    </row>
    <row r="1421">
      <c r="A1421" s="15"/>
      <c r="B1421" s="15"/>
      <c r="C1421" s="17"/>
      <c r="D1421" s="15"/>
      <c r="E1421" s="15"/>
      <c r="F1421" s="15"/>
      <c r="G1421" s="15"/>
      <c r="H1421" s="15"/>
      <c r="I1421" s="15"/>
      <c r="J1421" s="15"/>
      <c r="K1421" s="15"/>
      <c r="L1421" s="15"/>
      <c r="M1421" s="18"/>
      <c r="N1421" s="18"/>
    </row>
    <row r="1422">
      <c r="A1422" s="15"/>
      <c r="B1422" s="15"/>
      <c r="C1422" s="17"/>
      <c r="D1422" s="15"/>
      <c r="E1422" s="15"/>
      <c r="F1422" s="15"/>
      <c r="G1422" s="15"/>
      <c r="H1422" s="15"/>
      <c r="I1422" s="15"/>
      <c r="J1422" s="15"/>
      <c r="K1422" s="15"/>
      <c r="L1422" s="15"/>
      <c r="M1422" s="18"/>
      <c r="N1422" s="18"/>
    </row>
    <row r="1423">
      <c r="A1423" s="15"/>
      <c r="B1423" s="15"/>
      <c r="C1423" s="17"/>
      <c r="D1423" s="15"/>
      <c r="E1423" s="15"/>
      <c r="F1423" s="15"/>
      <c r="G1423" s="15"/>
      <c r="H1423" s="15"/>
      <c r="I1423" s="15"/>
      <c r="J1423" s="15"/>
      <c r="K1423" s="15"/>
      <c r="L1423" s="15"/>
      <c r="M1423" s="18"/>
      <c r="N1423" s="18"/>
    </row>
    <row r="1424">
      <c r="A1424" s="15"/>
      <c r="B1424" s="15"/>
      <c r="C1424" s="17"/>
      <c r="D1424" s="15"/>
      <c r="E1424" s="15"/>
      <c r="F1424" s="15"/>
      <c r="G1424" s="15"/>
      <c r="H1424" s="15"/>
      <c r="I1424" s="15"/>
      <c r="J1424" s="15"/>
      <c r="K1424" s="15"/>
      <c r="L1424" s="15"/>
      <c r="M1424" s="18"/>
      <c r="N1424" s="18"/>
    </row>
    <row r="1425">
      <c r="A1425" s="15"/>
      <c r="B1425" s="15"/>
      <c r="C1425" s="17"/>
      <c r="D1425" s="15"/>
      <c r="E1425" s="15"/>
      <c r="F1425" s="15"/>
      <c r="G1425" s="15"/>
      <c r="H1425" s="15"/>
      <c r="I1425" s="15"/>
      <c r="J1425" s="15"/>
      <c r="K1425" s="15"/>
      <c r="L1425" s="15"/>
      <c r="M1425" s="18"/>
      <c r="N1425" s="18"/>
    </row>
    <row r="1426">
      <c r="A1426" s="15"/>
      <c r="B1426" s="15"/>
      <c r="C1426" s="17"/>
      <c r="D1426" s="15"/>
      <c r="E1426" s="15"/>
      <c r="F1426" s="15"/>
      <c r="G1426" s="15"/>
      <c r="H1426" s="15"/>
      <c r="I1426" s="15"/>
      <c r="J1426" s="15"/>
      <c r="K1426" s="15"/>
      <c r="L1426" s="15"/>
      <c r="M1426" s="18"/>
      <c r="N1426" s="18"/>
    </row>
    <row r="1427">
      <c r="A1427" s="15"/>
      <c r="B1427" s="15"/>
      <c r="C1427" s="17"/>
      <c r="D1427" s="15"/>
      <c r="E1427" s="15"/>
      <c r="F1427" s="15"/>
      <c r="G1427" s="15"/>
      <c r="H1427" s="15"/>
      <c r="I1427" s="15"/>
      <c r="J1427" s="15"/>
      <c r="K1427" s="15"/>
      <c r="L1427" s="15"/>
      <c r="M1427" s="18"/>
      <c r="N1427" s="18"/>
    </row>
    <row r="1428">
      <c r="A1428" s="15"/>
      <c r="B1428" s="15"/>
      <c r="C1428" s="17"/>
      <c r="D1428" s="15"/>
      <c r="E1428" s="15"/>
      <c r="F1428" s="15"/>
      <c r="G1428" s="15"/>
      <c r="H1428" s="15"/>
      <c r="I1428" s="15"/>
      <c r="J1428" s="15"/>
      <c r="K1428" s="15"/>
      <c r="L1428" s="15"/>
      <c r="M1428" s="18"/>
      <c r="N1428" s="18"/>
    </row>
    <row r="1429">
      <c r="A1429" s="15"/>
      <c r="B1429" s="15"/>
      <c r="C1429" s="17"/>
      <c r="D1429" s="15"/>
      <c r="E1429" s="15"/>
      <c r="F1429" s="15"/>
      <c r="G1429" s="15"/>
      <c r="H1429" s="15"/>
      <c r="I1429" s="15"/>
      <c r="J1429" s="15"/>
      <c r="K1429" s="15"/>
      <c r="L1429" s="15"/>
      <c r="M1429" s="18"/>
      <c r="N1429" s="18"/>
    </row>
    <row r="1430">
      <c r="A1430" s="15"/>
      <c r="B1430" s="15"/>
      <c r="C1430" s="17"/>
      <c r="D1430" s="15"/>
      <c r="E1430" s="15"/>
      <c r="F1430" s="15"/>
      <c r="G1430" s="15"/>
      <c r="H1430" s="15"/>
      <c r="I1430" s="15"/>
      <c r="J1430" s="15"/>
      <c r="K1430" s="15"/>
      <c r="L1430" s="15"/>
      <c r="M1430" s="18"/>
      <c r="N1430" s="18"/>
    </row>
    <row r="1431">
      <c r="A1431" s="15"/>
      <c r="B1431" s="15"/>
      <c r="C1431" s="17"/>
      <c r="D1431" s="15"/>
      <c r="E1431" s="15"/>
      <c r="F1431" s="15"/>
      <c r="G1431" s="15"/>
      <c r="H1431" s="15"/>
      <c r="I1431" s="15"/>
      <c r="J1431" s="15"/>
      <c r="K1431" s="15"/>
      <c r="L1431" s="15"/>
      <c r="M1431" s="18"/>
      <c r="N1431" s="18"/>
    </row>
    <row r="1432">
      <c r="A1432" s="15"/>
      <c r="B1432" s="15"/>
      <c r="C1432" s="17"/>
      <c r="D1432" s="15"/>
      <c r="E1432" s="15"/>
      <c r="F1432" s="15"/>
      <c r="G1432" s="15"/>
      <c r="H1432" s="15"/>
      <c r="I1432" s="15"/>
      <c r="J1432" s="15"/>
      <c r="K1432" s="15"/>
      <c r="L1432" s="15"/>
      <c r="M1432" s="18"/>
      <c r="N1432" s="18"/>
    </row>
    <row r="1433">
      <c r="A1433" s="15"/>
      <c r="B1433" s="15"/>
      <c r="C1433" s="17"/>
      <c r="D1433" s="15"/>
      <c r="E1433" s="15"/>
      <c r="F1433" s="15"/>
      <c r="G1433" s="15"/>
      <c r="H1433" s="15"/>
      <c r="I1433" s="15"/>
      <c r="J1433" s="15"/>
      <c r="K1433" s="15"/>
      <c r="L1433" s="15"/>
      <c r="M1433" s="18"/>
      <c r="N1433" s="18"/>
    </row>
    <row r="1434">
      <c r="A1434" s="15"/>
      <c r="B1434" s="15"/>
      <c r="C1434" s="17"/>
      <c r="D1434" s="15"/>
      <c r="E1434" s="15"/>
      <c r="F1434" s="15"/>
      <c r="G1434" s="15"/>
      <c r="H1434" s="15"/>
      <c r="I1434" s="15"/>
      <c r="J1434" s="15"/>
      <c r="K1434" s="15"/>
      <c r="L1434" s="15"/>
      <c r="M1434" s="18"/>
      <c r="N1434" s="18"/>
    </row>
    <row r="1435">
      <c r="A1435" s="15"/>
      <c r="B1435" s="15"/>
      <c r="C1435" s="17"/>
      <c r="D1435" s="15"/>
      <c r="E1435" s="15"/>
      <c r="F1435" s="15"/>
      <c r="G1435" s="15"/>
      <c r="H1435" s="15"/>
      <c r="I1435" s="15"/>
      <c r="J1435" s="15"/>
      <c r="K1435" s="15"/>
      <c r="L1435" s="15"/>
      <c r="M1435" s="18"/>
      <c r="N1435" s="18"/>
    </row>
    <row r="1436">
      <c r="A1436" s="15"/>
      <c r="B1436" s="15"/>
      <c r="C1436" s="17"/>
      <c r="D1436" s="15"/>
      <c r="E1436" s="15"/>
      <c r="F1436" s="15"/>
      <c r="G1436" s="15"/>
      <c r="H1436" s="15"/>
      <c r="I1436" s="15"/>
      <c r="J1436" s="15"/>
      <c r="K1436" s="15"/>
      <c r="L1436" s="15"/>
      <c r="M1436" s="18"/>
      <c r="N1436" s="18"/>
    </row>
    <row r="1437">
      <c r="A1437" s="15"/>
      <c r="B1437" s="15"/>
      <c r="C1437" s="17"/>
      <c r="D1437" s="15"/>
      <c r="E1437" s="15"/>
      <c r="F1437" s="15"/>
      <c r="G1437" s="15"/>
      <c r="H1437" s="15"/>
      <c r="I1437" s="15"/>
      <c r="J1437" s="15"/>
      <c r="K1437" s="15"/>
      <c r="L1437" s="15"/>
      <c r="M1437" s="18"/>
      <c r="N1437" s="18"/>
    </row>
    <row r="1438">
      <c r="A1438" s="15"/>
      <c r="B1438" s="15"/>
      <c r="C1438" s="17"/>
      <c r="D1438" s="15"/>
      <c r="E1438" s="15"/>
      <c r="F1438" s="15"/>
      <c r="G1438" s="15"/>
      <c r="H1438" s="15"/>
      <c r="I1438" s="15"/>
      <c r="J1438" s="15"/>
      <c r="K1438" s="15"/>
      <c r="L1438" s="15"/>
      <c r="M1438" s="18"/>
      <c r="N1438" s="18"/>
    </row>
    <row r="1439">
      <c r="A1439" s="15"/>
      <c r="B1439" s="15"/>
      <c r="C1439" s="17"/>
      <c r="D1439" s="15"/>
      <c r="E1439" s="15"/>
      <c r="F1439" s="15"/>
      <c r="G1439" s="15"/>
      <c r="H1439" s="15"/>
      <c r="I1439" s="15"/>
      <c r="J1439" s="15"/>
      <c r="K1439" s="15"/>
      <c r="L1439" s="15"/>
      <c r="M1439" s="18"/>
      <c r="N1439" s="18"/>
    </row>
    <row r="1440">
      <c r="A1440" s="15"/>
      <c r="B1440" s="15"/>
      <c r="C1440" s="17"/>
      <c r="D1440" s="15"/>
      <c r="E1440" s="15"/>
      <c r="F1440" s="15"/>
      <c r="G1440" s="15"/>
      <c r="H1440" s="15"/>
      <c r="I1440" s="15"/>
      <c r="J1440" s="15"/>
      <c r="K1440" s="15"/>
      <c r="L1440" s="15"/>
      <c r="M1440" s="18"/>
      <c r="N1440" s="18"/>
    </row>
    <row r="1441">
      <c r="A1441" s="15"/>
      <c r="B1441" s="15"/>
      <c r="C1441" s="17"/>
      <c r="D1441" s="15"/>
      <c r="E1441" s="15"/>
      <c r="F1441" s="15"/>
      <c r="G1441" s="15"/>
      <c r="H1441" s="15"/>
      <c r="I1441" s="15"/>
      <c r="J1441" s="15"/>
      <c r="K1441" s="15"/>
      <c r="L1441" s="15"/>
      <c r="M1441" s="18"/>
      <c r="N1441" s="18"/>
    </row>
    <row r="1442">
      <c r="A1442" s="15"/>
      <c r="B1442" s="15"/>
      <c r="C1442" s="17"/>
      <c r="D1442" s="15"/>
      <c r="E1442" s="15"/>
      <c r="F1442" s="15"/>
      <c r="G1442" s="15"/>
      <c r="H1442" s="15"/>
      <c r="I1442" s="15"/>
      <c r="J1442" s="15"/>
      <c r="K1442" s="15"/>
      <c r="L1442" s="15"/>
      <c r="M1442" s="18"/>
      <c r="N1442" s="18"/>
    </row>
    <row r="1443">
      <c r="A1443" s="15"/>
      <c r="B1443" s="15"/>
      <c r="C1443" s="17"/>
      <c r="D1443" s="15"/>
      <c r="E1443" s="15"/>
      <c r="F1443" s="15"/>
      <c r="G1443" s="15"/>
      <c r="H1443" s="15"/>
      <c r="I1443" s="15"/>
      <c r="J1443" s="15"/>
      <c r="K1443" s="15"/>
      <c r="L1443" s="15"/>
      <c r="M1443" s="18"/>
      <c r="N1443" s="18"/>
    </row>
    <row r="1444">
      <c r="A1444" s="15"/>
      <c r="B1444" s="15"/>
      <c r="C1444" s="17"/>
      <c r="D1444" s="15"/>
      <c r="E1444" s="15"/>
      <c r="F1444" s="15"/>
      <c r="G1444" s="15"/>
      <c r="H1444" s="15"/>
      <c r="I1444" s="15"/>
      <c r="J1444" s="15"/>
      <c r="K1444" s="15"/>
      <c r="L1444" s="15"/>
      <c r="M1444" s="18"/>
      <c r="N1444" s="18"/>
    </row>
    <row r="1445">
      <c r="A1445" s="15"/>
      <c r="B1445" s="15"/>
      <c r="C1445" s="17"/>
      <c r="D1445" s="15"/>
      <c r="E1445" s="15"/>
      <c r="F1445" s="15"/>
      <c r="G1445" s="15"/>
      <c r="H1445" s="15"/>
      <c r="I1445" s="15"/>
      <c r="J1445" s="15"/>
      <c r="K1445" s="15"/>
      <c r="L1445" s="15"/>
      <c r="M1445" s="18"/>
      <c r="N1445" s="18"/>
    </row>
    <row r="1446">
      <c r="A1446" s="15"/>
      <c r="B1446" s="15"/>
      <c r="C1446" s="17"/>
      <c r="D1446" s="15"/>
      <c r="E1446" s="15"/>
      <c r="F1446" s="15"/>
      <c r="G1446" s="15"/>
      <c r="H1446" s="15"/>
      <c r="I1446" s="15"/>
      <c r="J1446" s="15"/>
      <c r="K1446" s="15"/>
      <c r="L1446" s="15"/>
      <c r="M1446" s="18"/>
      <c r="N1446" s="18"/>
    </row>
    <row r="1447">
      <c r="A1447" s="15"/>
      <c r="B1447" s="15"/>
      <c r="C1447" s="17"/>
      <c r="D1447" s="15"/>
      <c r="E1447" s="15"/>
      <c r="F1447" s="15"/>
      <c r="G1447" s="15"/>
      <c r="H1447" s="15"/>
      <c r="I1447" s="15"/>
      <c r="J1447" s="15"/>
      <c r="K1447" s="15"/>
      <c r="L1447" s="15"/>
      <c r="M1447" s="18"/>
      <c r="N1447" s="18"/>
    </row>
    <row r="1448">
      <c r="A1448" s="15"/>
      <c r="B1448" s="15"/>
      <c r="C1448" s="17"/>
      <c r="D1448" s="15"/>
      <c r="E1448" s="15"/>
      <c r="F1448" s="15"/>
      <c r="G1448" s="15"/>
      <c r="H1448" s="15"/>
      <c r="I1448" s="15"/>
      <c r="J1448" s="15"/>
      <c r="K1448" s="15"/>
      <c r="L1448" s="15"/>
      <c r="M1448" s="18"/>
      <c r="N1448" s="18"/>
    </row>
    <row r="1449">
      <c r="A1449" s="15"/>
      <c r="B1449" s="15"/>
      <c r="C1449" s="17"/>
      <c r="D1449" s="15"/>
      <c r="E1449" s="15"/>
      <c r="F1449" s="15"/>
      <c r="G1449" s="15"/>
      <c r="H1449" s="15"/>
      <c r="I1449" s="15"/>
      <c r="J1449" s="15"/>
      <c r="K1449" s="15"/>
      <c r="L1449" s="15"/>
      <c r="M1449" s="18"/>
      <c r="N1449" s="18"/>
    </row>
    <row r="1450">
      <c r="A1450" s="15"/>
      <c r="B1450" s="15"/>
      <c r="C1450" s="17"/>
      <c r="D1450" s="15"/>
      <c r="E1450" s="15"/>
      <c r="F1450" s="15"/>
      <c r="G1450" s="15"/>
      <c r="H1450" s="15"/>
      <c r="I1450" s="15"/>
      <c r="J1450" s="15"/>
      <c r="K1450" s="15"/>
      <c r="L1450" s="15"/>
      <c r="M1450" s="18"/>
      <c r="N1450" s="18"/>
    </row>
    <row r="1451">
      <c r="A1451" s="15"/>
      <c r="B1451" s="15"/>
      <c r="C1451" s="17"/>
      <c r="D1451" s="15"/>
      <c r="E1451" s="15"/>
      <c r="F1451" s="15"/>
      <c r="G1451" s="15"/>
      <c r="H1451" s="15"/>
      <c r="I1451" s="15"/>
      <c r="J1451" s="15"/>
      <c r="K1451" s="15"/>
      <c r="L1451" s="15"/>
      <c r="M1451" s="18"/>
      <c r="N1451" s="18"/>
    </row>
    <row r="1452">
      <c r="A1452" s="15"/>
      <c r="B1452" s="15"/>
      <c r="C1452" s="17"/>
      <c r="D1452" s="15"/>
      <c r="E1452" s="15"/>
      <c r="F1452" s="15"/>
      <c r="G1452" s="15"/>
      <c r="H1452" s="15"/>
      <c r="I1452" s="15"/>
      <c r="J1452" s="15"/>
      <c r="K1452" s="15"/>
      <c r="L1452" s="15"/>
      <c r="M1452" s="18"/>
      <c r="N1452" s="18"/>
    </row>
    <row r="1453">
      <c r="A1453" s="15"/>
      <c r="B1453" s="15"/>
      <c r="C1453" s="17"/>
      <c r="D1453" s="15"/>
      <c r="E1453" s="15"/>
      <c r="F1453" s="15"/>
      <c r="G1453" s="15"/>
      <c r="H1453" s="15"/>
      <c r="I1453" s="15"/>
      <c r="J1453" s="15"/>
      <c r="K1453" s="15"/>
      <c r="L1453" s="15"/>
      <c r="M1453" s="18"/>
      <c r="N1453" s="18"/>
    </row>
    <row r="1454">
      <c r="A1454" s="15"/>
      <c r="B1454" s="15"/>
      <c r="C1454" s="17"/>
      <c r="D1454" s="15"/>
      <c r="E1454" s="15"/>
      <c r="F1454" s="15"/>
      <c r="G1454" s="15"/>
      <c r="H1454" s="15"/>
      <c r="I1454" s="15"/>
      <c r="J1454" s="15"/>
      <c r="K1454" s="15"/>
      <c r="L1454" s="15"/>
      <c r="M1454" s="18"/>
      <c r="N1454" s="18"/>
    </row>
    <row r="1455">
      <c r="A1455" s="15"/>
      <c r="B1455" s="15"/>
      <c r="C1455" s="17"/>
      <c r="D1455" s="15"/>
      <c r="E1455" s="15"/>
      <c r="F1455" s="15"/>
      <c r="G1455" s="15"/>
      <c r="H1455" s="15"/>
      <c r="I1455" s="15"/>
      <c r="J1455" s="15"/>
      <c r="K1455" s="15"/>
      <c r="L1455" s="15"/>
      <c r="M1455" s="18"/>
      <c r="N1455" s="18"/>
    </row>
    <row r="1456">
      <c r="A1456" s="15"/>
      <c r="B1456" s="15"/>
      <c r="C1456" s="17"/>
      <c r="D1456" s="15"/>
      <c r="E1456" s="15"/>
      <c r="F1456" s="15"/>
      <c r="G1456" s="15"/>
      <c r="H1456" s="15"/>
      <c r="I1456" s="15"/>
      <c r="J1456" s="15"/>
      <c r="K1456" s="15"/>
      <c r="L1456" s="15"/>
      <c r="M1456" s="18"/>
      <c r="N1456" s="18"/>
    </row>
    <row r="1457">
      <c r="A1457" s="15"/>
      <c r="B1457" s="15"/>
      <c r="C1457" s="17"/>
      <c r="D1457" s="15"/>
      <c r="E1457" s="15"/>
      <c r="F1457" s="15"/>
      <c r="G1457" s="15"/>
      <c r="H1457" s="15"/>
      <c r="I1457" s="15"/>
      <c r="J1457" s="15"/>
      <c r="K1457" s="15"/>
      <c r="L1457" s="15"/>
      <c r="M1457" s="18"/>
      <c r="N1457" s="18"/>
    </row>
    <row r="1458">
      <c r="A1458" s="15"/>
      <c r="B1458" s="15"/>
      <c r="C1458" s="17"/>
      <c r="D1458" s="15"/>
      <c r="E1458" s="15"/>
      <c r="F1458" s="15"/>
      <c r="G1458" s="15"/>
      <c r="H1458" s="15"/>
      <c r="I1458" s="15"/>
      <c r="J1458" s="15"/>
      <c r="K1458" s="15"/>
      <c r="L1458" s="15"/>
      <c r="M1458" s="18"/>
      <c r="N1458" s="18"/>
    </row>
    <row r="1459">
      <c r="A1459" s="15"/>
      <c r="B1459" s="15"/>
      <c r="C1459" s="17"/>
      <c r="D1459" s="15"/>
      <c r="E1459" s="15"/>
      <c r="F1459" s="15"/>
      <c r="G1459" s="15"/>
      <c r="H1459" s="15"/>
      <c r="I1459" s="15"/>
      <c r="J1459" s="15"/>
      <c r="K1459" s="15"/>
      <c r="L1459" s="15"/>
      <c r="M1459" s="18"/>
      <c r="N1459" s="18"/>
    </row>
    <row r="1460">
      <c r="A1460" s="15"/>
      <c r="B1460" s="15"/>
      <c r="C1460" s="17"/>
      <c r="D1460" s="15"/>
      <c r="E1460" s="15"/>
      <c r="F1460" s="15"/>
      <c r="G1460" s="15"/>
      <c r="H1460" s="15"/>
      <c r="I1460" s="15"/>
      <c r="J1460" s="15"/>
      <c r="K1460" s="15"/>
      <c r="L1460" s="15"/>
      <c r="M1460" s="18"/>
      <c r="N1460" s="18"/>
    </row>
    <row r="1461">
      <c r="A1461" s="15"/>
      <c r="B1461" s="15"/>
      <c r="C1461" s="17"/>
      <c r="D1461" s="15"/>
      <c r="E1461" s="15"/>
      <c r="F1461" s="15"/>
      <c r="G1461" s="15"/>
      <c r="H1461" s="15"/>
      <c r="I1461" s="15"/>
      <c r="J1461" s="15"/>
      <c r="K1461" s="15"/>
      <c r="L1461" s="15"/>
      <c r="M1461" s="18"/>
      <c r="N1461" s="18"/>
    </row>
    <row r="1462">
      <c r="A1462" s="15"/>
      <c r="B1462" s="15"/>
      <c r="C1462" s="17"/>
      <c r="D1462" s="15"/>
      <c r="E1462" s="15"/>
      <c r="F1462" s="15"/>
      <c r="G1462" s="15"/>
      <c r="H1462" s="15"/>
      <c r="I1462" s="15"/>
      <c r="J1462" s="15"/>
      <c r="K1462" s="15"/>
      <c r="L1462" s="15"/>
      <c r="M1462" s="18"/>
      <c r="N1462" s="18"/>
    </row>
    <row r="1463">
      <c r="A1463" s="15"/>
      <c r="B1463" s="15"/>
      <c r="C1463" s="17"/>
      <c r="D1463" s="15"/>
      <c r="E1463" s="15"/>
      <c r="F1463" s="15"/>
      <c r="G1463" s="15"/>
      <c r="H1463" s="15"/>
      <c r="I1463" s="15"/>
      <c r="J1463" s="15"/>
      <c r="K1463" s="15"/>
      <c r="L1463" s="15"/>
      <c r="M1463" s="18"/>
      <c r="N1463" s="18"/>
    </row>
    <row r="1464">
      <c r="A1464" s="15"/>
      <c r="B1464" s="15"/>
      <c r="C1464" s="17"/>
      <c r="D1464" s="15"/>
      <c r="E1464" s="15"/>
      <c r="F1464" s="15"/>
      <c r="G1464" s="15"/>
      <c r="H1464" s="15"/>
      <c r="I1464" s="15"/>
      <c r="J1464" s="15"/>
      <c r="K1464" s="15"/>
      <c r="L1464" s="15"/>
      <c r="M1464" s="18"/>
      <c r="N1464" s="18"/>
    </row>
    <row r="1465">
      <c r="A1465" s="15"/>
      <c r="B1465" s="15"/>
      <c r="C1465" s="17"/>
      <c r="D1465" s="15"/>
      <c r="E1465" s="15"/>
      <c r="F1465" s="15"/>
      <c r="G1465" s="15"/>
      <c r="H1465" s="15"/>
      <c r="I1465" s="15"/>
      <c r="J1465" s="15"/>
      <c r="K1465" s="15"/>
      <c r="L1465" s="15"/>
      <c r="M1465" s="18"/>
      <c r="N1465" s="18"/>
    </row>
    <row r="1466">
      <c r="A1466" s="15"/>
      <c r="B1466" s="15"/>
      <c r="C1466" s="17"/>
      <c r="D1466" s="15"/>
      <c r="E1466" s="15"/>
      <c r="F1466" s="15"/>
      <c r="G1466" s="15"/>
      <c r="H1466" s="15"/>
      <c r="I1466" s="15"/>
      <c r="J1466" s="15"/>
      <c r="K1466" s="15"/>
      <c r="L1466" s="15"/>
      <c r="M1466" s="18"/>
      <c r="N1466" s="18"/>
    </row>
    <row r="1467">
      <c r="A1467" s="15"/>
      <c r="B1467" s="15"/>
      <c r="C1467" s="17"/>
      <c r="D1467" s="15"/>
      <c r="E1467" s="15"/>
      <c r="F1467" s="15"/>
      <c r="G1467" s="15"/>
      <c r="H1467" s="15"/>
      <c r="I1467" s="15"/>
      <c r="J1467" s="15"/>
      <c r="K1467" s="15"/>
      <c r="L1467" s="15"/>
      <c r="M1467" s="18"/>
      <c r="N1467" s="18"/>
    </row>
    <row r="1468">
      <c r="A1468" s="15"/>
      <c r="B1468" s="15"/>
      <c r="C1468" s="17"/>
      <c r="D1468" s="15"/>
      <c r="E1468" s="15"/>
      <c r="F1468" s="15"/>
      <c r="G1468" s="15"/>
      <c r="H1468" s="15"/>
      <c r="I1468" s="15"/>
      <c r="J1468" s="15"/>
      <c r="K1468" s="15"/>
      <c r="L1468" s="15"/>
      <c r="M1468" s="18"/>
      <c r="N1468" s="18"/>
    </row>
    <row r="1469">
      <c r="A1469" s="15"/>
      <c r="B1469" s="15"/>
      <c r="C1469" s="17"/>
      <c r="D1469" s="15"/>
      <c r="E1469" s="15"/>
      <c r="F1469" s="15"/>
      <c r="G1469" s="15"/>
      <c r="H1469" s="15"/>
      <c r="I1469" s="15"/>
      <c r="J1469" s="15"/>
      <c r="K1469" s="15"/>
      <c r="L1469" s="15"/>
      <c r="M1469" s="18"/>
      <c r="N1469" s="18"/>
    </row>
    <row r="1470">
      <c r="A1470" s="15"/>
      <c r="B1470" s="15"/>
      <c r="C1470" s="17"/>
      <c r="D1470" s="15"/>
      <c r="E1470" s="15"/>
      <c r="F1470" s="15"/>
      <c r="G1470" s="15"/>
      <c r="H1470" s="15"/>
      <c r="I1470" s="15"/>
      <c r="J1470" s="15"/>
      <c r="K1470" s="15"/>
      <c r="L1470" s="15"/>
      <c r="M1470" s="18"/>
      <c r="N1470" s="18"/>
    </row>
    <row r="1471">
      <c r="A1471" s="15"/>
      <c r="B1471" s="15"/>
      <c r="C1471" s="17"/>
      <c r="D1471" s="15"/>
      <c r="E1471" s="15"/>
      <c r="F1471" s="15"/>
      <c r="G1471" s="15"/>
      <c r="H1471" s="15"/>
      <c r="I1471" s="15"/>
      <c r="J1471" s="15"/>
      <c r="K1471" s="15"/>
      <c r="L1471" s="15"/>
      <c r="M1471" s="18"/>
      <c r="N1471" s="18"/>
    </row>
    <row r="1472">
      <c r="A1472" s="15"/>
      <c r="B1472" s="15"/>
      <c r="C1472" s="17"/>
      <c r="D1472" s="15"/>
      <c r="E1472" s="15"/>
      <c r="F1472" s="15"/>
      <c r="G1472" s="15"/>
      <c r="H1472" s="15"/>
      <c r="I1472" s="15"/>
      <c r="J1472" s="15"/>
      <c r="K1472" s="15"/>
      <c r="L1472" s="15"/>
      <c r="M1472" s="18"/>
      <c r="N1472" s="18"/>
    </row>
    <row r="1473">
      <c r="A1473" s="15"/>
      <c r="B1473" s="15"/>
      <c r="C1473" s="17"/>
      <c r="D1473" s="15"/>
      <c r="E1473" s="15"/>
      <c r="F1473" s="15"/>
      <c r="G1473" s="15"/>
      <c r="H1473" s="15"/>
      <c r="I1473" s="15"/>
      <c r="J1473" s="15"/>
      <c r="K1473" s="15"/>
      <c r="L1473" s="15"/>
      <c r="M1473" s="18"/>
      <c r="N1473" s="18"/>
    </row>
    <row r="1474">
      <c r="A1474" s="15"/>
      <c r="B1474" s="15"/>
      <c r="C1474" s="17"/>
      <c r="D1474" s="15"/>
      <c r="E1474" s="15"/>
      <c r="F1474" s="15"/>
      <c r="G1474" s="15"/>
      <c r="H1474" s="15"/>
      <c r="I1474" s="15"/>
      <c r="J1474" s="15"/>
      <c r="K1474" s="15"/>
      <c r="L1474" s="15"/>
      <c r="M1474" s="18"/>
      <c r="N1474" s="18"/>
    </row>
    <row r="1475">
      <c r="A1475" s="15"/>
      <c r="B1475" s="15"/>
      <c r="C1475" s="17"/>
      <c r="D1475" s="15"/>
      <c r="E1475" s="15"/>
      <c r="F1475" s="15"/>
      <c r="G1475" s="15"/>
      <c r="H1475" s="15"/>
      <c r="I1475" s="15"/>
      <c r="J1475" s="15"/>
      <c r="K1475" s="15"/>
      <c r="L1475" s="15"/>
      <c r="M1475" s="18"/>
      <c r="N1475" s="18"/>
    </row>
    <row r="1476">
      <c r="A1476" s="15"/>
      <c r="B1476" s="15"/>
      <c r="C1476" s="17"/>
      <c r="D1476" s="15"/>
      <c r="E1476" s="15"/>
      <c r="F1476" s="15"/>
      <c r="G1476" s="15"/>
      <c r="H1476" s="15"/>
      <c r="I1476" s="15"/>
      <c r="J1476" s="15"/>
      <c r="K1476" s="15"/>
      <c r="L1476" s="15"/>
      <c r="M1476" s="18"/>
      <c r="N1476" s="18"/>
    </row>
    <row r="1477">
      <c r="A1477" s="15"/>
      <c r="B1477" s="15"/>
      <c r="C1477" s="17"/>
      <c r="D1477" s="15"/>
      <c r="E1477" s="15"/>
      <c r="F1477" s="15"/>
      <c r="G1477" s="15"/>
      <c r="H1477" s="15"/>
      <c r="I1477" s="15"/>
      <c r="J1477" s="15"/>
      <c r="K1477" s="15"/>
      <c r="L1477" s="15"/>
      <c r="M1477" s="18"/>
      <c r="N1477" s="18"/>
    </row>
    <row r="1478">
      <c r="A1478" s="15"/>
      <c r="B1478" s="15"/>
      <c r="C1478" s="17"/>
      <c r="D1478" s="15"/>
      <c r="E1478" s="15"/>
      <c r="F1478" s="15"/>
      <c r="G1478" s="15"/>
      <c r="H1478" s="15"/>
      <c r="I1478" s="15"/>
      <c r="J1478" s="15"/>
      <c r="K1478" s="15"/>
      <c r="L1478" s="15"/>
      <c r="M1478" s="18"/>
      <c r="N1478" s="18"/>
    </row>
    <row r="1479">
      <c r="A1479" s="15"/>
      <c r="B1479" s="15"/>
      <c r="C1479" s="17"/>
      <c r="D1479" s="15"/>
      <c r="E1479" s="15"/>
      <c r="F1479" s="15"/>
      <c r="G1479" s="15"/>
      <c r="H1479" s="15"/>
      <c r="I1479" s="15"/>
      <c r="J1479" s="15"/>
      <c r="K1479" s="15"/>
      <c r="L1479" s="15"/>
      <c r="M1479" s="18"/>
      <c r="N1479" s="18"/>
    </row>
    <row r="1480">
      <c r="A1480" s="15"/>
      <c r="B1480" s="15"/>
      <c r="C1480" s="17"/>
      <c r="D1480" s="15"/>
      <c r="E1480" s="15"/>
      <c r="F1480" s="15"/>
      <c r="G1480" s="15"/>
      <c r="H1480" s="15"/>
      <c r="I1480" s="15"/>
      <c r="J1480" s="15"/>
      <c r="K1480" s="15"/>
      <c r="L1480" s="15"/>
      <c r="M1480" s="18"/>
      <c r="N1480" s="18"/>
    </row>
    <row r="1481">
      <c r="A1481" s="15"/>
      <c r="B1481" s="15"/>
      <c r="C1481" s="17"/>
      <c r="D1481" s="15"/>
      <c r="E1481" s="15"/>
      <c r="F1481" s="15"/>
      <c r="G1481" s="15"/>
      <c r="H1481" s="15"/>
      <c r="I1481" s="15"/>
      <c r="J1481" s="15"/>
      <c r="K1481" s="15"/>
      <c r="L1481" s="15"/>
      <c r="M1481" s="18"/>
      <c r="N1481" s="18"/>
    </row>
    <row r="1482">
      <c r="A1482" s="15"/>
      <c r="B1482" s="15"/>
      <c r="C1482" s="17"/>
      <c r="D1482" s="15"/>
      <c r="E1482" s="15"/>
      <c r="F1482" s="15"/>
      <c r="G1482" s="15"/>
      <c r="H1482" s="15"/>
      <c r="I1482" s="15"/>
      <c r="J1482" s="15"/>
      <c r="K1482" s="15"/>
      <c r="L1482" s="15"/>
      <c r="M1482" s="18"/>
      <c r="N1482" s="18"/>
    </row>
    <row r="1483">
      <c r="A1483" s="15"/>
      <c r="B1483" s="15"/>
      <c r="C1483" s="17"/>
      <c r="D1483" s="15"/>
      <c r="E1483" s="15"/>
      <c r="F1483" s="15"/>
      <c r="G1483" s="15"/>
      <c r="H1483" s="15"/>
      <c r="I1483" s="15"/>
      <c r="J1483" s="15"/>
      <c r="K1483" s="15"/>
      <c r="L1483" s="15"/>
      <c r="M1483" s="18"/>
      <c r="N1483" s="18"/>
    </row>
    <row r="1484">
      <c r="A1484" s="15"/>
      <c r="B1484" s="15"/>
      <c r="C1484" s="17"/>
      <c r="D1484" s="15"/>
      <c r="E1484" s="15"/>
      <c r="F1484" s="15"/>
      <c r="G1484" s="15"/>
      <c r="H1484" s="15"/>
      <c r="I1484" s="15"/>
      <c r="J1484" s="15"/>
      <c r="K1484" s="15"/>
      <c r="L1484" s="15"/>
      <c r="M1484" s="18"/>
      <c r="N1484" s="18"/>
    </row>
    <row r="1485">
      <c r="A1485" s="15"/>
      <c r="B1485" s="15"/>
      <c r="C1485" s="17"/>
      <c r="D1485" s="15"/>
      <c r="E1485" s="15"/>
      <c r="F1485" s="15"/>
      <c r="G1485" s="15"/>
      <c r="H1485" s="15"/>
      <c r="I1485" s="15"/>
      <c r="J1485" s="15"/>
      <c r="K1485" s="15"/>
      <c r="L1485" s="15"/>
      <c r="M1485" s="18"/>
      <c r="N1485" s="18"/>
    </row>
    <row r="1486">
      <c r="A1486" s="15"/>
      <c r="B1486" s="15"/>
      <c r="C1486" s="17"/>
      <c r="D1486" s="15"/>
      <c r="E1486" s="15"/>
      <c r="F1486" s="15"/>
      <c r="G1486" s="15"/>
      <c r="H1486" s="15"/>
      <c r="I1486" s="15"/>
      <c r="J1486" s="15"/>
      <c r="K1486" s="15"/>
      <c r="L1486" s="15"/>
      <c r="M1486" s="18"/>
      <c r="N1486" s="18"/>
    </row>
    <row r="1487">
      <c r="A1487" s="15"/>
      <c r="B1487" s="15"/>
      <c r="C1487" s="17"/>
      <c r="D1487" s="15"/>
      <c r="E1487" s="15"/>
      <c r="F1487" s="15"/>
      <c r="G1487" s="15"/>
      <c r="H1487" s="15"/>
      <c r="I1487" s="15"/>
      <c r="J1487" s="15"/>
      <c r="K1487" s="15"/>
      <c r="L1487" s="15"/>
      <c r="M1487" s="18"/>
      <c r="N1487" s="18"/>
    </row>
    <row r="1488">
      <c r="A1488" s="15"/>
      <c r="B1488" s="15"/>
      <c r="C1488" s="17"/>
      <c r="D1488" s="15"/>
      <c r="E1488" s="15"/>
      <c r="F1488" s="15"/>
      <c r="G1488" s="15"/>
      <c r="H1488" s="15"/>
      <c r="I1488" s="15"/>
      <c r="J1488" s="15"/>
      <c r="K1488" s="15"/>
      <c r="L1488" s="15"/>
      <c r="M1488" s="18"/>
      <c r="N1488" s="18"/>
    </row>
    <row r="1489">
      <c r="A1489" s="15"/>
      <c r="B1489" s="15"/>
      <c r="C1489" s="17"/>
      <c r="D1489" s="15"/>
      <c r="E1489" s="15"/>
      <c r="F1489" s="15"/>
      <c r="G1489" s="15"/>
      <c r="H1489" s="15"/>
      <c r="I1489" s="15"/>
      <c r="J1489" s="15"/>
      <c r="K1489" s="15"/>
      <c r="L1489" s="15"/>
      <c r="M1489" s="18"/>
      <c r="N1489" s="18"/>
    </row>
    <row r="1490">
      <c r="A1490" s="15"/>
      <c r="B1490" s="15"/>
      <c r="C1490" s="17"/>
      <c r="D1490" s="15"/>
      <c r="E1490" s="15"/>
      <c r="F1490" s="15"/>
      <c r="G1490" s="15"/>
      <c r="H1490" s="15"/>
      <c r="I1490" s="15"/>
      <c r="J1490" s="15"/>
      <c r="K1490" s="15"/>
      <c r="L1490" s="15"/>
      <c r="M1490" s="18"/>
      <c r="N1490" s="18"/>
    </row>
    <row r="1491">
      <c r="A1491" s="15"/>
      <c r="B1491" s="15"/>
      <c r="C1491" s="17"/>
      <c r="D1491" s="15"/>
      <c r="E1491" s="15"/>
      <c r="F1491" s="15"/>
      <c r="G1491" s="15"/>
      <c r="H1491" s="15"/>
      <c r="I1491" s="15"/>
      <c r="J1491" s="15"/>
      <c r="K1491" s="15"/>
      <c r="L1491" s="15"/>
      <c r="M1491" s="18"/>
      <c r="N1491" s="18"/>
    </row>
    <row r="1492">
      <c r="A1492" s="15"/>
      <c r="B1492" s="15"/>
      <c r="C1492" s="17"/>
      <c r="D1492" s="15"/>
      <c r="E1492" s="15"/>
      <c r="F1492" s="15"/>
      <c r="G1492" s="15"/>
      <c r="H1492" s="15"/>
      <c r="I1492" s="15"/>
      <c r="J1492" s="15"/>
      <c r="K1492" s="15"/>
      <c r="L1492" s="15"/>
      <c r="M1492" s="18"/>
      <c r="N1492" s="18"/>
    </row>
    <row r="1493">
      <c r="A1493" s="15"/>
      <c r="B1493" s="15"/>
      <c r="C1493" s="17"/>
      <c r="D1493" s="15"/>
      <c r="E1493" s="15"/>
      <c r="F1493" s="15"/>
      <c r="G1493" s="15"/>
      <c r="H1493" s="15"/>
      <c r="I1493" s="15"/>
      <c r="J1493" s="15"/>
      <c r="K1493" s="15"/>
      <c r="L1493" s="15"/>
      <c r="M1493" s="18"/>
      <c r="N1493" s="18"/>
    </row>
    <row r="1494">
      <c r="A1494" s="15"/>
      <c r="B1494" s="15"/>
      <c r="C1494" s="17"/>
      <c r="D1494" s="15"/>
      <c r="E1494" s="15"/>
      <c r="F1494" s="15"/>
      <c r="G1494" s="15"/>
      <c r="H1494" s="15"/>
      <c r="I1494" s="15"/>
      <c r="J1494" s="15"/>
      <c r="K1494" s="15"/>
      <c r="L1494" s="15"/>
      <c r="M1494" s="18"/>
      <c r="N1494" s="18"/>
    </row>
    <row r="1495">
      <c r="A1495" s="15"/>
      <c r="B1495" s="15"/>
      <c r="C1495" s="17"/>
      <c r="D1495" s="15"/>
      <c r="E1495" s="15"/>
      <c r="F1495" s="15"/>
      <c r="G1495" s="15"/>
      <c r="H1495" s="15"/>
      <c r="I1495" s="15"/>
      <c r="J1495" s="15"/>
      <c r="K1495" s="15"/>
      <c r="L1495" s="15"/>
      <c r="M1495" s="18"/>
      <c r="N1495" s="18"/>
    </row>
    <row r="1496">
      <c r="A1496" s="15"/>
      <c r="B1496" s="15"/>
      <c r="C1496" s="17"/>
      <c r="D1496" s="15"/>
      <c r="E1496" s="15"/>
      <c r="F1496" s="15"/>
      <c r="G1496" s="15"/>
      <c r="H1496" s="15"/>
      <c r="I1496" s="15"/>
      <c r="J1496" s="15"/>
      <c r="K1496" s="15"/>
      <c r="L1496" s="15"/>
      <c r="M1496" s="18"/>
      <c r="N1496" s="18"/>
    </row>
    <row r="1497">
      <c r="A1497" s="15"/>
      <c r="B1497" s="15"/>
      <c r="C1497" s="17"/>
      <c r="D1497" s="15"/>
      <c r="E1497" s="15"/>
      <c r="F1497" s="15"/>
      <c r="G1497" s="15"/>
      <c r="H1497" s="15"/>
      <c r="I1497" s="15"/>
      <c r="J1497" s="15"/>
      <c r="K1497" s="15"/>
      <c r="L1497" s="15"/>
      <c r="M1497" s="18"/>
      <c r="N1497" s="18"/>
    </row>
    <row r="1498">
      <c r="A1498" s="15"/>
      <c r="B1498" s="15"/>
      <c r="C1498" s="17"/>
      <c r="D1498" s="15"/>
      <c r="E1498" s="15"/>
      <c r="F1498" s="15"/>
      <c r="G1498" s="15"/>
      <c r="H1498" s="15"/>
      <c r="I1498" s="15"/>
      <c r="J1498" s="15"/>
      <c r="K1498" s="15"/>
      <c r="L1498" s="15"/>
      <c r="M1498" s="18"/>
      <c r="N1498" s="18"/>
    </row>
    <row r="1499">
      <c r="A1499" s="15"/>
      <c r="B1499" s="15"/>
      <c r="C1499" s="17"/>
      <c r="D1499" s="15"/>
      <c r="E1499" s="15"/>
      <c r="F1499" s="15"/>
      <c r="G1499" s="15"/>
      <c r="H1499" s="15"/>
      <c r="I1499" s="15"/>
      <c r="J1499" s="15"/>
      <c r="K1499" s="15"/>
      <c r="L1499" s="15"/>
      <c r="M1499" s="18"/>
      <c r="N1499" s="18"/>
    </row>
    <row r="1500">
      <c r="A1500" s="15"/>
      <c r="B1500" s="15"/>
      <c r="C1500" s="17"/>
      <c r="D1500" s="15"/>
      <c r="E1500" s="15"/>
      <c r="F1500" s="15"/>
      <c r="G1500" s="15"/>
      <c r="H1500" s="15"/>
      <c r="I1500" s="15"/>
      <c r="J1500" s="15"/>
      <c r="K1500" s="15"/>
      <c r="L1500" s="15"/>
      <c r="M1500" s="18"/>
      <c r="N1500" s="18"/>
    </row>
    <row r="1501">
      <c r="A1501" s="15"/>
      <c r="B1501" s="15"/>
      <c r="C1501" s="17"/>
      <c r="D1501" s="15"/>
      <c r="E1501" s="15"/>
      <c r="F1501" s="15"/>
      <c r="G1501" s="15"/>
      <c r="H1501" s="15"/>
      <c r="I1501" s="15"/>
      <c r="J1501" s="15"/>
      <c r="K1501" s="15"/>
      <c r="L1501" s="15"/>
      <c r="M1501" s="18"/>
      <c r="N1501" s="18"/>
    </row>
    <row r="1502">
      <c r="A1502" s="15"/>
      <c r="B1502" s="15"/>
      <c r="C1502" s="17"/>
      <c r="D1502" s="15"/>
      <c r="E1502" s="15"/>
      <c r="F1502" s="15"/>
      <c r="G1502" s="15"/>
      <c r="H1502" s="15"/>
      <c r="I1502" s="15"/>
      <c r="J1502" s="15"/>
      <c r="K1502" s="15"/>
      <c r="L1502" s="15"/>
      <c r="M1502" s="18"/>
      <c r="N1502" s="18"/>
    </row>
    <row r="1503">
      <c r="A1503" s="15"/>
      <c r="B1503" s="15"/>
      <c r="C1503" s="17"/>
      <c r="D1503" s="15"/>
      <c r="E1503" s="15"/>
      <c r="F1503" s="15"/>
      <c r="G1503" s="15"/>
      <c r="H1503" s="15"/>
      <c r="I1503" s="15"/>
      <c r="J1503" s="15"/>
      <c r="K1503" s="15"/>
      <c r="L1503" s="15"/>
      <c r="M1503" s="18"/>
      <c r="N1503" s="18"/>
    </row>
    <row r="1504">
      <c r="A1504" s="15"/>
      <c r="B1504" s="15"/>
      <c r="C1504" s="17"/>
      <c r="D1504" s="15"/>
      <c r="E1504" s="15"/>
      <c r="F1504" s="15"/>
      <c r="G1504" s="15"/>
      <c r="H1504" s="15"/>
      <c r="I1504" s="15"/>
      <c r="J1504" s="15"/>
      <c r="K1504" s="15"/>
      <c r="L1504" s="15"/>
      <c r="M1504" s="18"/>
      <c r="N1504" s="18"/>
    </row>
    <row r="1505">
      <c r="A1505" s="15"/>
      <c r="B1505" s="15"/>
      <c r="C1505" s="17"/>
      <c r="D1505" s="15"/>
      <c r="E1505" s="15"/>
      <c r="F1505" s="15"/>
      <c r="G1505" s="15"/>
      <c r="H1505" s="15"/>
      <c r="I1505" s="15"/>
      <c r="J1505" s="15"/>
      <c r="K1505" s="15"/>
      <c r="L1505" s="15"/>
      <c r="M1505" s="18"/>
      <c r="N1505" s="18"/>
    </row>
    <row r="1506">
      <c r="A1506" s="15"/>
      <c r="B1506" s="15"/>
      <c r="C1506" s="17"/>
      <c r="D1506" s="15"/>
      <c r="E1506" s="15"/>
      <c r="F1506" s="15"/>
      <c r="G1506" s="15"/>
      <c r="H1506" s="15"/>
      <c r="I1506" s="15"/>
      <c r="J1506" s="15"/>
      <c r="K1506" s="15"/>
      <c r="L1506" s="15"/>
      <c r="M1506" s="18"/>
      <c r="N1506" s="18"/>
    </row>
    <row r="1507">
      <c r="A1507" s="15"/>
      <c r="B1507" s="15"/>
      <c r="C1507" s="17"/>
      <c r="D1507" s="15"/>
      <c r="E1507" s="15"/>
      <c r="F1507" s="15"/>
      <c r="G1507" s="15"/>
      <c r="H1507" s="15"/>
      <c r="I1507" s="15"/>
      <c r="J1507" s="15"/>
      <c r="K1507" s="15"/>
      <c r="L1507" s="15"/>
      <c r="M1507" s="18"/>
      <c r="N1507" s="18"/>
    </row>
    <row r="1508">
      <c r="A1508" s="15"/>
      <c r="B1508" s="15"/>
      <c r="C1508" s="17"/>
      <c r="D1508" s="15"/>
      <c r="E1508" s="15"/>
      <c r="F1508" s="15"/>
      <c r="G1508" s="15"/>
      <c r="H1508" s="15"/>
      <c r="I1508" s="15"/>
      <c r="J1508" s="15"/>
      <c r="K1508" s="15"/>
      <c r="L1508" s="15"/>
      <c r="M1508" s="18"/>
      <c r="N1508" s="18"/>
    </row>
    <row r="1509">
      <c r="A1509" s="15"/>
      <c r="B1509" s="15"/>
      <c r="C1509" s="17"/>
      <c r="D1509" s="15"/>
      <c r="E1509" s="15"/>
      <c r="F1509" s="15"/>
      <c r="G1509" s="15"/>
      <c r="H1509" s="15"/>
      <c r="I1509" s="15"/>
      <c r="J1509" s="15"/>
      <c r="K1509" s="15"/>
      <c r="L1509" s="15"/>
      <c r="M1509" s="18"/>
      <c r="N1509" s="18"/>
    </row>
    <row r="1510">
      <c r="A1510" s="15"/>
      <c r="B1510" s="15"/>
      <c r="C1510" s="17"/>
      <c r="D1510" s="15"/>
      <c r="E1510" s="15"/>
      <c r="F1510" s="15"/>
      <c r="G1510" s="15"/>
      <c r="H1510" s="15"/>
      <c r="I1510" s="15"/>
      <c r="J1510" s="15"/>
      <c r="K1510" s="15"/>
      <c r="L1510" s="15"/>
      <c r="M1510" s="18"/>
      <c r="N1510" s="18"/>
    </row>
    <row r="1511">
      <c r="A1511" s="15"/>
      <c r="B1511" s="15"/>
      <c r="C1511" s="17"/>
      <c r="D1511" s="15"/>
      <c r="E1511" s="15"/>
      <c r="F1511" s="15"/>
      <c r="G1511" s="15"/>
      <c r="H1511" s="15"/>
      <c r="I1511" s="15"/>
      <c r="J1511" s="15"/>
      <c r="K1511" s="15"/>
      <c r="L1511" s="15"/>
      <c r="M1511" s="18"/>
      <c r="N1511" s="18"/>
    </row>
    <row r="1512">
      <c r="A1512" s="15"/>
      <c r="B1512" s="15"/>
      <c r="C1512" s="17"/>
      <c r="D1512" s="15"/>
      <c r="E1512" s="15"/>
      <c r="F1512" s="15"/>
      <c r="G1512" s="15"/>
      <c r="H1512" s="15"/>
      <c r="I1512" s="15"/>
      <c r="J1512" s="15"/>
      <c r="K1512" s="15"/>
      <c r="L1512" s="15"/>
      <c r="M1512" s="18"/>
      <c r="N1512" s="18"/>
    </row>
    <row r="1513">
      <c r="A1513" s="15"/>
      <c r="B1513" s="15"/>
      <c r="C1513" s="17"/>
      <c r="D1513" s="15"/>
      <c r="E1513" s="15"/>
      <c r="F1513" s="15"/>
      <c r="G1513" s="15"/>
      <c r="H1513" s="15"/>
      <c r="I1513" s="15"/>
      <c r="J1513" s="15"/>
      <c r="K1513" s="15"/>
      <c r="L1513" s="15"/>
      <c r="M1513" s="18"/>
      <c r="N1513" s="18"/>
    </row>
    <row r="1514">
      <c r="A1514" s="15"/>
      <c r="B1514" s="15"/>
      <c r="C1514" s="17"/>
      <c r="D1514" s="15"/>
      <c r="E1514" s="15"/>
      <c r="F1514" s="15"/>
      <c r="G1514" s="15"/>
      <c r="H1514" s="15"/>
      <c r="I1514" s="15"/>
      <c r="J1514" s="15"/>
      <c r="K1514" s="15"/>
      <c r="L1514" s="15"/>
      <c r="M1514" s="18"/>
      <c r="N1514" s="18"/>
    </row>
    <row r="1515">
      <c r="A1515" s="15"/>
      <c r="B1515" s="15"/>
      <c r="C1515" s="17"/>
      <c r="D1515" s="15"/>
      <c r="E1515" s="15"/>
      <c r="F1515" s="15"/>
      <c r="G1515" s="15"/>
      <c r="H1515" s="15"/>
      <c r="I1515" s="15"/>
      <c r="J1515" s="15"/>
      <c r="K1515" s="15"/>
      <c r="L1515" s="15"/>
      <c r="M1515" s="18"/>
      <c r="N1515" s="18"/>
    </row>
    <row r="1516">
      <c r="A1516" s="15"/>
      <c r="B1516" s="15"/>
      <c r="C1516" s="17"/>
      <c r="D1516" s="15"/>
      <c r="E1516" s="15"/>
      <c r="F1516" s="15"/>
      <c r="G1516" s="15"/>
      <c r="H1516" s="15"/>
      <c r="I1516" s="15"/>
      <c r="J1516" s="15"/>
      <c r="K1516" s="15"/>
      <c r="L1516" s="15"/>
      <c r="M1516" s="18"/>
      <c r="N1516" s="18"/>
    </row>
    <row r="1517">
      <c r="A1517" s="15"/>
      <c r="B1517" s="15"/>
      <c r="C1517" s="17"/>
      <c r="D1517" s="15"/>
      <c r="E1517" s="15"/>
      <c r="F1517" s="15"/>
      <c r="G1517" s="15"/>
      <c r="H1517" s="15"/>
      <c r="I1517" s="15"/>
      <c r="J1517" s="15"/>
      <c r="K1517" s="15"/>
      <c r="L1517" s="15"/>
      <c r="M1517" s="18"/>
      <c r="N1517" s="18"/>
    </row>
    <row r="1518">
      <c r="A1518" s="15"/>
      <c r="B1518" s="15"/>
      <c r="C1518" s="17"/>
      <c r="D1518" s="15"/>
      <c r="E1518" s="15"/>
      <c r="F1518" s="15"/>
      <c r="G1518" s="15"/>
      <c r="H1518" s="15"/>
      <c r="I1518" s="15"/>
      <c r="J1518" s="15"/>
      <c r="K1518" s="15"/>
      <c r="L1518" s="15"/>
      <c r="M1518" s="18"/>
      <c r="N1518" s="18"/>
    </row>
    <row r="1519">
      <c r="A1519" s="15"/>
      <c r="B1519" s="15"/>
      <c r="C1519" s="17"/>
      <c r="D1519" s="15"/>
      <c r="E1519" s="15"/>
      <c r="F1519" s="15"/>
      <c r="G1519" s="15"/>
      <c r="H1519" s="15"/>
      <c r="I1519" s="15"/>
      <c r="J1519" s="15"/>
      <c r="K1519" s="15"/>
      <c r="L1519" s="15"/>
      <c r="M1519" s="18"/>
      <c r="N1519" s="18"/>
    </row>
    <row r="1520">
      <c r="A1520" s="15"/>
      <c r="B1520" s="15"/>
      <c r="C1520" s="17"/>
      <c r="D1520" s="15"/>
      <c r="E1520" s="15"/>
      <c r="F1520" s="15"/>
      <c r="G1520" s="15"/>
      <c r="H1520" s="15"/>
      <c r="I1520" s="15"/>
      <c r="J1520" s="15"/>
      <c r="K1520" s="15"/>
      <c r="L1520" s="15"/>
      <c r="M1520" s="18"/>
      <c r="N1520" s="18"/>
    </row>
    <row r="1521">
      <c r="A1521" s="15"/>
      <c r="B1521" s="15"/>
      <c r="C1521" s="17"/>
      <c r="D1521" s="15"/>
      <c r="E1521" s="15"/>
      <c r="F1521" s="15"/>
      <c r="G1521" s="15"/>
      <c r="H1521" s="15"/>
      <c r="I1521" s="15"/>
      <c r="J1521" s="15"/>
      <c r="K1521" s="15"/>
      <c r="L1521" s="15"/>
      <c r="M1521" s="18"/>
      <c r="N1521" s="18"/>
    </row>
    <row r="1522">
      <c r="A1522" s="15"/>
      <c r="B1522" s="15"/>
      <c r="C1522" s="17"/>
      <c r="D1522" s="15"/>
      <c r="E1522" s="15"/>
      <c r="F1522" s="15"/>
      <c r="G1522" s="15"/>
      <c r="H1522" s="15"/>
      <c r="I1522" s="15"/>
      <c r="J1522" s="15"/>
      <c r="K1522" s="15"/>
      <c r="L1522" s="15"/>
      <c r="M1522" s="18"/>
      <c r="N1522" s="18"/>
    </row>
    <row r="1523">
      <c r="A1523" s="15"/>
      <c r="B1523" s="15"/>
      <c r="C1523" s="17"/>
      <c r="D1523" s="15"/>
      <c r="E1523" s="15"/>
      <c r="F1523" s="15"/>
      <c r="G1523" s="15"/>
      <c r="H1523" s="15"/>
      <c r="I1523" s="15"/>
      <c r="J1523" s="15"/>
      <c r="K1523" s="15"/>
      <c r="L1523" s="15"/>
      <c r="M1523" s="18"/>
      <c r="N1523" s="18"/>
    </row>
    <row r="1524">
      <c r="A1524" s="15"/>
      <c r="B1524" s="15"/>
      <c r="C1524" s="17"/>
      <c r="D1524" s="15"/>
      <c r="E1524" s="15"/>
      <c r="F1524" s="15"/>
      <c r="G1524" s="15"/>
      <c r="H1524" s="15"/>
      <c r="I1524" s="15"/>
      <c r="J1524" s="15"/>
      <c r="K1524" s="15"/>
      <c r="L1524" s="15"/>
      <c r="M1524" s="18"/>
      <c r="N1524" s="18"/>
    </row>
    <row r="1525">
      <c r="A1525" s="15"/>
      <c r="B1525" s="15"/>
      <c r="C1525" s="17"/>
      <c r="D1525" s="15"/>
      <c r="E1525" s="15"/>
      <c r="F1525" s="15"/>
      <c r="G1525" s="15"/>
      <c r="H1525" s="15"/>
      <c r="I1525" s="15"/>
      <c r="J1525" s="15"/>
      <c r="K1525" s="15"/>
      <c r="L1525" s="15"/>
      <c r="M1525" s="18"/>
      <c r="N1525" s="18"/>
    </row>
    <row r="1526">
      <c r="A1526" s="15"/>
      <c r="B1526" s="15"/>
      <c r="C1526" s="17"/>
      <c r="D1526" s="15"/>
      <c r="E1526" s="15"/>
      <c r="F1526" s="15"/>
      <c r="G1526" s="15"/>
      <c r="H1526" s="15"/>
      <c r="I1526" s="15"/>
      <c r="J1526" s="15"/>
      <c r="K1526" s="15"/>
      <c r="L1526" s="15"/>
      <c r="M1526" s="18"/>
      <c r="N1526" s="18"/>
    </row>
    <row r="1527">
      <c r="A1527" s="15"/>
      <c r="B1527" s="15"/>
      <c r="C1527" s="17"/>
      <c r="D1527" s="15"/>
      <c r="E1527" s="15"/>
      <c r="F1527" s="15"/>
      <c r="G1527" s="15"/>
      <c r="H1527" s="15"/>
      <c r="I1527" s="15"/>
      <c r="J1527" s="15"/>
      <c r="K1527" s="15"/>
      <c r="L1527" s="15"/>
      <c r="M1527" s="18"/>
      <c r="N1527" s="18"/>
    </row>
    <row r="1528">
      <c r="A1528" s="15"/>
      <c r="B1528" s="15"/>
      <c r="C1528" s="17"/>
      <c r="D1528" s="15"/>
      <c r="E1528" s="15"/>
      <c r="F1528" s="15"/>
      <c r="G1528" s="15"/>
      <c r="H1528" s="15"/>
      <c r="I1528" s="15"/>
      <c r="J1528" s="15"/>
      <c r="K1528" s="15"/>
      <c r="L1528" s="15"/>
      <c r="M1528" s="18"/>
      <c r="N1528" s="18"/>
    </row>
    <row r="1529">
      <c r="A1529" s="15"/>
      <c r="B1529" s="15"/>
      <c r="C1529" s="17"/>
      <c r="D1529" s="15"/>
      <c r="E1529" s="15"/>
      <c r="F1529" s="15"/>
      <c r="G1529" s="15"/>
      <c r="H1529" s="15"/>
      <c r="I1529" s="15"/>
      <c r="J1529" s="15"/>
      <c r="K1529" s="15"/>
      <c r="L1529" s="15"/>
      <c r="M1529" s="18"/>
      <c r="N1529" s="18"/>
    </row>
    <row r="1530">
      <c r="A1530" s="15"/>
      <c r="B1530" s="15"/>
      <c r="C1530" s="17"/>
      <c r="D1530" s="15"/>
      <c r="E1530" s="15"/>
      <c r="F1530" s="15"/>
      <c r="G1530" s="15"/>
      <c r="H1530" s="15"/>
      <c r="I1530" s="15"/>
      <c r="J1530" s="15"/>
      <c r="K1530" s="15"/>
      <c r="L1530" s="15"/>
      <c r="M1530" s="18"/>
      <c r="N1530" s="18"/>
    </row>
    <row r="1531">
      <c r="A1531" s="15"/>
      <c r="B1531" s="15"/>
      <c r="C1531" s="17"/>
      <c r="D1531" s="15"/>
      <c r="E1531" s="15"/>
      <c r="F1531" s="15"/>
      <c r="G1531" s="15"/>
      <c r="H1531" s="15"/>
      <c r="I1531" s="15"/>
      <c r="J1531" s="15"/>
      <c r="K1531" s="15"/>
      <c r="L1531" s="15"/>
      <c r="M1531" s="18"/>
      <c r="N1531" s="18"/>
    </row>
    <row r="1532">
      <c r="A1532" s="15"/>
      <c r="B1532" s="15"/>
      <c r="C1532" s="17"/>
      <c r="D1532" s="15"/>
      <c r="E1532" s="15"/>
      <c r="F1532" s="15"/>
      <c r="G1532" s="15"/>
      <c r="H1532" s="15"/>
      <c r="I1532" s="15"/>
      <c r="J1532" s="15"/>
      <c r="K1532" s="15"/>
      <c r="L1532" s="15"/>
      <c r="M1532" s="18"/>
      <c r="N1532" s="18"/>
    </row>
    <row r="1533">
      <c r="A1533" s="15"/>
      <c r="B1533" s="15"/>
      <c r="C1533" s="17"/>
      <c r="D1533" s="15"/>
      <c r="E1533" s="15"/>
      <c r="F1533" s="15"/>
      <c r="G1533" s="15"/>
      <c r="H1533" s="15"/>
      <c r="I1533" s="15"/>
      <c r="J1533" s="15"/>
      <c r="K1533" s="15"/>
      <c r="L1533" s="15"/>
      <c r="M1533" s="18"/>
      <c r="N1533" s="18"/>
    </row>
    <row r="1534">
      <c r="A1534" s="15"/>
      <c r="B1534" s="15"/>
      <c r="C1534" s="17"/>
      <c r="D1534" s="15"/>
      <c r="E1534" s="15"/>
      <c r="F1534" s="15"/>
      <c r="G1534" s="15"/>
      <c r="H1534" s="15"/>
      <c r="I1534" s="15"/>
      <c r="J1534" s="15"/>
      <c r="K1534" s="15"/>
      <c r="L1534" s="15"/>
      <c r="M1534" s="18"/>
      <c r="N1534" s="18"/>
    </row>
    <row r="1535">
      <c r="A1535" s="15"/>
      <c r="B1535" s="15"/>
      <c r="C1535" s="17"/>
      <c r="D1535" s="15"/>
      <c r="E1535" s="15"/>
      <c r="F1535" s="15"/>
      <c r="G1535" s="15"/>
      <c r="H1535" s="15"/>
      <c r="I1535" s="15"/>
      <c r="J1535" s="15"/>
      <c r="K1535" s="15"/>
      <c r="L1535" s="15"/>
      <c r="M1535" s="18"/>
      <c r="N1535" s="18"/>
    </row>
    <row r="1536">
      <c r="A1536" s="15"/>
      <c r="B1536" s="15"/>
      <c r="C1536" s="17"/>
      <c r="D1536" s="15"/>
      <c r="E1536" s="15"/>
      <c r="F1536" s="15"/>
      <c r="G1536" s="15"/>
      <c r="H1536" s="15"/>
      <c r="I1536" s="15"/>
      <c r="J1536" s="15"/>
      <c r="K1536" s="15"/>
      <c r="L1536" s="15"/>
      <c r="M1536" s="18"/>
      <c r="N1536" s="18"/>
    </row>
    <row r="1537">
      <c r="A1537" s="15"/>
      <c r="B1537" s="15"/>
      <c r="C1537" s="17"/>
      <c r="D1537" s="15"/>
      <c r="E1537" s="15"/>
      <c r="F1537" s="15"/>
      <c r="G1537" s="15"/>
      <c r="H1537" s="15"/>
      <c r="I1537" s="15"/>
      <c r="J1537" s="15"/>
      <c r="K1537" s="15"/>
      <c r="L1537" s="15"/>
      <c r="M1537" s="18"/>
      <c r="N1537" s="18"/>
    </row>
    <row r="1538">
      <c r="A1538" s="15"/>
      <c r="B1538" s="15"/>
      <c r="C1538" s="17"/>
      <c r="D1538" s="15"/>
      <c r="E1538" s="15"/>
      <c r="F1538" s="15"/>
      <c r="G1538" s="15"/>
      <c r="H1538" s="15"/>
      <c r="I1538" s="15"/>
      <c r="J1538" s="15"/>
      <c r="K1538" s="15"/>
      <c r="L1538" s="15"/>
      <c r="M1538" s="18"/>
      <c r="N1538" s="18"/>
    </row>
    <row r="1539">
      <c r="A1539" s="15"/>
      <c r="B1539" s="15"/>
      <c r="C1539" s="17"/>
      <c r="D1539" s="15"/>
      <c r="E1539" s="15"/>
      <c r="F1539" s="15"/>
      <c r="G1539" s="15"/>
      <c r="H1539" s="15"/>
      <c r="I1539" s="15"/>
      <c r="J1539" s="15"/>
      <c r="K1539" s="15"/>
      <c r="L1539" s="15"/>
      <c r="M1539" s="18"/>
      <c r="N1539" s="18"/>
    </row>
    <row r="1540">
      <c r="A1540" s="15"/>
      <c r="B1540" s="15"/>
      <c r="C1540" s="17"/>
      <c r="D1540" s="15"/>
      <c r="E1540" s="15"/>
      <c r="F1540" s="15"/>
      <c r="G1540" s="15"/>
      <c r="H1540" s="15"/>
      <c r="I1540" s="15"/>
      <c r="J1540" s="15"/>
      <c r="K1540" s="15"/>
      <c r="L1540" s="15"/>
      <c r="M1540" s="18"/>
      <c r="N1540" s="18"/>
    </row>
    <row r="1541">
      <c r="A1541" s="15"/>
      <c r="B1541" s="15"/>
      <c r="C1541" s="17"/>
      <c r="D1541" s="15"/>
      <c r="E1541" s="15"/>
      <c r="F1541" s="15"/>
      <c r="G1541" s="15"/>
      <c r="H1541" s="15"/>
      <c r="I1541" s="15"/>
      <c r="J1541" s="15"/>
      <c r="K1541" s="15"/>
      <c r="L1541" s="15"/>
      <c r="M1541" s="18"/>
      <c r="N1541" s="18"/>
    </row>
    <row r="1542">
      <c r="A1542" s="15"/>
      <c r="B1542" s="15"/>
      <c r="C1542" s="17"/>
      <c r="D1542" s="15"/>
      <c r="E1542" s="15"/>
      <c r="F1542" s="15"/>
      <c r="G1542" s="15"/>
      <c r="H1542" s="15"/>
      <c r="I1542" s="15"/>
      <c r="J1542" s="15"/>
      <c r="K1542" s="15"/>
      <c r="L1542" s="15"/>
      <c r="M1542" s="18"/>
      <c r="N1542" s="18"/>
    </row>
    <row r="1543">
      <c r="A1543" s="15"/>
      <c r="B1543" s="15"/>
      <c r="C1543" s="17"/>
      <c r="D1543" s="15"/>
      <c r="E1543" s="15"/>
      <c r="F1543" s="15"/>
      <c r="G1543" s="15"/>
      <c r="H1543" s="15"/>
      <c r="I1543" s="15"/>
      <c r="J1543" s="15"/>
      <c r="K1543" s="15"/>
      <c r="L1543" s="15"/>
      <c r="M1543" s="18"/>
      <c r="N1543" s="18"/>
    </row>
    <row r="1544">
      <c r="A1544" s="15"/>
      <c r="B1544" s="15"/>
      <c r="C1544" s="17"/>
      <c r="D1544" s="15"/>
      <c r="E1544" s="15"/>
      <c r="F1544" s="15"/>
      <c r="G1544" s="15"/>
      <c r="H1544" s="15"/>
      <c r="I1544" s="15"/>
      <c r="J1544" s="15"/>
      <c r="K1544" s="15"/>
      <c r="L1544" s="15"/>
      <c r="M1544" s="18"/>
      <c r="N1544" s="18"/>
    </row>
    <row r="1545">
      <c r="A1545" s="15"/>
      <c r="B1545" s="15"/>
      <c r="C1545" s="17"/>
      <c r="D1545" s="15"/>
      <c r="E1545" s="15"/>
      <c r="F1545" s="15"/>
      <c r="G1545" s="15"/>
      <c r="H1545" s="15"/>
      <c r="I1545" s="15"/>
      <c r="J1545" s="15"/>
      <c r="K1545" s="15"/>
      <c r="L1545" s="15"/>
      <c r="M1545" s="18"/>
      <c r="N1545" s="18"/>
    </row>
    <row r="1546">
      <c r="A1546" s="15"/>
      <c r="B1546" s="15"/>
      <c r="C1546" s="17"/>
      <c r="D1546" s="15"/>
      <c r="E1546" s="15"/>
      <c r="F1546" s="15"/>
      <c r="G1546" s="15"/>
      <c r="H1546" s="15"/>
      <c r="I1546" s="15"/>
      <c r="J1546" s="15"/>
      <c r="K1546" s="15"/>
      <c r="L1546" s="15"/>
      <c r="M1546" s="18"/>
      <c r="N1546" s="18"/>
    </row>
    <row r="1547">
      <c r="A1547" s="15"/>
      <c r="B1547" s="15"/>
      <c r="C1547" s="17"/>
      <c r="D1547" s="15"/>
      <c r="E1547" s="15"/>
      <c r="F1547" s="15"/>
      <c r="G1547" s="15"/>
      <c r="H1547" s="15"/>
      <c r="I1547" s="15"/>
      <c r="J1547" s="15"/>
      <c r="K1547" s="15"/>
      <c r="L1547" s="15"/>
      <c r="M1547" s="18"/>
      <c r="N1547" s="18"/>
    </row>
    <row r="1548">
      <c r="A1548" s="15"/>
      <c r="B1548" s="15"/>
      <c r="C1548" s="17"/>
      <c r="D1548" s="15"/>
      <c r="E1548" s="15"/>
      <c r="F1548" s="15"/>
      <c r="G1548" s="15"/>
      <c r="H1548" s="15"/>
      <c r="I1548" s="15"/>
      <c r="J1548" s="15"/>
      <c r="K1548" s="15"/>
      <c r="L1548" s="15"/>
      <c r="M1548" s="18"/>
      <c r="N1548" s="18"/>
    </row>
    <row r="1549">
      <c r="A1549" s="15"/>
      <c r="B1549" s="15"/>
      <c r="C1549" s="17"/>
      <c r="D1549" s="15"/>
      <c r="E1549" s="15"/>
      <c r="F1549" s="15"/>
      <c r="G1549" s="15"/>
      <c r="H1549" s="15"/>
      <c r="I1549" s="15"/>
      <c r="J1549" s="15"/>
      <c r="K1549" s="15"/>
      <c r="L1549" s="15"/>
      <c r="M1549" s="18"/>
      <c r="N1549" s="18"/>
    </row>
    <row r="1550">
      <c r="A1550" s="15"/>
      <c r="B1550" s="15"/>
      <c r="C1550" s="17"/>
      <c r="D1550" s="15"/>
      <c r="E1550" s="15"/>
      <c r="F1550" s="15"/>
      <c r="G1550" s="15"/>
      <c r="H1550" s="15"/>
      <c r="I1550" s="15"/>
      <c r="J1550" s="15"/>
      <c r="K1550" s="15"/>
      <c r="L1550" s="15"/>
      <c r="M1550" s="18"/>
      <c r="N1550" s="18"/>
    </row>
    <row r="1551">
      <c r="A1551" s="15"/>
      <c r="B1551" s="15"/>
      <c r="C1551" s="17"/>
      <c r="D1551" s="15"/>
      <c r="E1551" s="15"/>
      <c r="F1551" s="15"/>
      <c r="G1551" s="15"/>
      <c r="H1551" s="15"/>
      <c r="I1551" s="15"/>
      <c r="J1551" s="15"/>
      <c r="K1551" s="15"/>
      <c r="L1551" s="15"/>
      <c r="M1551" s="18"/>
      <c r="N1551" s="18"/>
    </row>
    <row r="1552">
      <c r="A1552" s="15"/>
      <c r="B1552" s="15"/>
      <c r="C1552" s="17"/>
      <c r="D1552" s="15"/>
      <c r="E1552" s="15"/>
      <c r="F1552" s="15"/>
      <c r="G1552" s="15"/>
      <c r="H1552" s="15"/>
      <c r="I1552" s="15"/>
      <c r="J1552" s="15"/>
      <c r="K1552" s="15"/>
      <c r="L1552" s="15"/>
      <c r="M1552" s="18"/>
      <c r="N1552" s="18"/>
    </row>
    <row r="1553">
      <c r="A1553" s="15"/>
      <c r="B1553" s="15"/>
      <c r="C1553" s="17"/>
      <c r="D1553" s="15"/>
      <c r="E1553" s="15"/>
      <c r="F1553" s="15"/>
      <c r="G1553" s="15"/>
      <c r="H1553" s="15"/>
      <c r="I1553" s="15"/>
      <c r="J1553" s="15"/>
      <c r="K1553" s="15"/>
      <c r="L1553" s="15"/>
      <c r="M1553" s="18"/>
      <c r="N1553" s="18"/>
    </row>
    <row r="1554">
      <c r="A1554" s="15"/>
      <c r="B1554" s="15"/>
      <c r="C1554" s="17"/>
      <c r="D1554" s="15"/>
      <c r="E1554" s="15"/>
      <c r="F1554" s="15"/>
      <c r="G1554" s="15"/>
      <c r="H1554" s="15"/>
      <c r="I1554" s="15"/>
      <c r="J1554" s="15"/>
      <c r="K1554" s="15"/>
      <c r="L1554" s="15"/>
      <c r="M1554" s="18"/>
      <c r="N1554" s="18"/>
    </row>
    <row r="1555">
      <c r="A1555" s="15"/>
      <c r="B1555" s="15"/>
      <c r="C1555" s="17"/>
      <c r="D1555" s="15"/>
      <c r="E1555" s="15"/>
      <c r="F1555" s="15"/>
      <c r="G1555" s="15"/>
      <c r="H1555" s="15"/>
      <c r="I1555" s="15"/>
      <c r="J1555" s="15"/>
      <c r="K1555" s="15"/>
      <c r="L1555" s="15"/>
      <c r="M1555" s="18"/>
      <c r="N1555" s="18"/>
    </row>
    <row r="1556">
      <c r="A1556" s="15"/>
      <c r="B1556" s="15"/>
      <c r="C1556" s="17"/>
      <c r="D1556" s="15"/>
      <c r="E1556" s="15"/>
      <c r="F1556" s="15"/>
      <c r="G1556" s="15"/>
      <c r="H1556" s="15"/>
      <c r="I1556" s="15"/>
      <c r="J1556" s="15"/>
      <c r="K1556" s="15"/>
      <c r="L1556" s="15"/>
      <c r="M1556" s="18"/>
      <c r="N1556" s="18"/>
    </row>
    <row r="1557">
      <c r="A1557" s="15"/>
      <c r="B1557" s="15"/>
      <c r="C1557" s="17"/>
      <c r="D1557" s="15"/>
      <c r="E1557" s="15"/>
      <c r="F1557" s="15"/>
      <c r="G1557" s="15"/>
      <c r="H1557" s="15"/>
      <c r="I1557" s="15"/>
      <c r="J1557" s="15"/>
      <c r="K1557" s="15"/>
      <c r="L1557" s="15"/>
      <c r="M1557" s="18"/>
      <c r="N1557" s="18"/>
    </row>
    <row r="1558">
      <c r="A1558" s="15"/>
      <c r="B1558" s="15"/>
      <c r="C1558" s="17"/>
      <c r="D1558" s="15"/>
      <c r="E1558" s="15"/>
      <c r="F1558" s="15"/>
      <c r="G1558" s="15"/>
      <c r="H1558" s="15"/>
      <c r="I1558" s="15"/>
      <c r="J1558" s="15"/>
      <c r="K1558" s="15"/>
      <c r="L1558" s="15"/>
      <c r="M1558" s="18"/>
      <c r="N1558" s="18"/>
    </row>
    <row r="1559">
      <c r="A1559" s="15"/>
      <c r="B1559" s="15"/>
      <c r="C1559" s="17"/>
      <c r="D1559" s="15"/>
      <c r="E1559" s="15"/>
      <c r="F1559" s="15"/>
      <c r="G1559" s="15"/>
      <c r="H1559" s="15"/>
      <c r="I1559" s="15"/>
      <c r="J1559" s="15"/>
      <c r="K1559" s="15"/>
      <c r="L1559" s="15"/>
      <c r="M1559" s="18"/>
      <c r="N1559" s="18"/>
    </row>
    <row r="1560">
      <c r="A1560" s="15"/>
      <c r="B1560" s="15"/>
      <c r="C1560" s="17"/>
      <c r="D1560" s="15"/>
      <c r="E1560" s="15"/>
      <c r="F1560" s="15"/>
      <c r="G1560" s="15"/>
      <c r="H1560" s="15"/>
      <c r="I1560" s="15"/>
      <c r="J1560" s="15"/>
      <c r="K1560" s="15"/>
      <c r="L1560" s="15"/>
      <c r="M1560" s="18"/>
      <c r="N1560" s="18"/>
    </row>
    <row r="1561">
      <c r="A1561" s="15"/>
      <c r="B1561" s="15"/>
      <c r="C1561" s="17"/>
      <c r="D1561" s="15"/>
      <c r="E1561" s="15"/>
      <c r="F1561" s="15"/>
      <c r="G1561" s="15"/>
      <c r="H1561" s="15"/>
      <c r="I1561" s="15"/>
      <c r="J1561" s="15"/>
      <c r="K1561" s="15"/>
      <c r="L1561" s="15"/>
      <c r="M1561" s="18"/>
      <c r="N1561" s="18"/>
    </row>
    <row r="1562">
      <c r="A1562" s="15"/>
      <c r="B1562" s="15"/>
      <c r="C1562" s="17"/>
      <c r="D1562" s="15"/>
      <c r="E1562" s="15"/>
      <c r="F1562" s="15"/>
      <c r="G1562" s="15"/>
      <c r="H1562" s="15"/>
      <c r="I1562" s="15"/>
      <c r="J1562" s="15"/>
      <c r="K1562" s="15"/>
      <c r="L1562" s="15"/>
      <c r="M1562" s="18"/>
      <c r="N1562" s="18"/>
    </row>
    <row r="1563">
      <c r="A1563" s="15"/>
      <c r="B1563" s="15"/>
      <c r="C1563" s="17"/>
      <c r="D1563" s="15"/>
      <c r="E1563" s="15"/>
      <c r="F1563" s="15"/>
      <c r="G1563" s="15"/>
      <c r="H1563" s="15"/>
      <c r="I1563" s="15"/>
      <c r="J1563" s="15"/>
      <c r="K1563" s="15"/>
      <c r="L1563" s="15"/>
      <c r="M1563" s="18"/>
      <c r="N1563" s="18"/>
    </row>
    <row r="1564">
      <c r="A1564" s="15"/>
      <c r="B1564" s="15"/>
      <c r="C1564" s="17"/>
      <c r="D1564" s="15"/>
      <c r="E1564" s="15"/>
      <c r="F1564" s="15"/>
      <c r="G1564" s="15"/>
      <c r="H1564" s="15"/>
      <c r="I1564" s="15"/>
      <c r="J1564" s="15"/>
      <c r="K1564" s="15"/>
      <c r="L1564" s="15"/>
      <c r="M1564" s="18"/>
      <c r="N1564" s="18"/>
    </row>
    <row r="1565">
      <c r="A1565" s="15"/>
      <c r="B1565" s="15"/>
      <c r="C1565" s="17"/>
      <c r="D1565" s="15"/>
      <c r="E1565" s="15"/>
      <c r="F1565" s="15"/>
      <c r="G1565" s="15"/>
      <c r="H1565" s="15"/>
      <c r="I1565" s="15"/>
      <c r="J1565" s="15"/>
      <c r="K1565" s="15"/>
      <c r="L1565" s="15"/>
      <c r="M1565" s="18"/>
      <c r="N1565" s="18"/>
    </row>
    <row r="1566">
      <c r="A1566" s="15"/>
      <c r="B1566" s="15"/>
      <c r="C1566" s="17"/>
      <c r="D1566" s="15"/>
      <c r="E1566" s="15"/>
      <c r="F1566" s="15"/>
      <c r="G1566" s="15"/>
      <c r="H1566" s="15"/>
      <c r="I1566" s="15"/>
      <c r="J1566" s="15"/>
      <c r="K1566" s="15"/>
      <c r="L1566" s="15"/>
      <c r="M1566" s="18"/>
      <c r="N1566" s="18"/>
    </row>
    <row r="1567">
      <c r="A1567" s="15"/>
      <c r="B1567" s="15"/>
      <c r="C1567" s="17"/>
      <c r="D1567" s="15"/>
      <c r="E1567" s="15"/>
      <c r="F1567" s="15"/>
      <c r="G1567" s="15"/>
      <c r="H1567" s="15"/>
      <c r="I1567" s="15"/>
      <c r="J1567" s="15"/>
      <c r="K1567" s="15"/>
      <c r="L1567" s="15"/>
      <c r="M1567" s="18"/>
      <c r="N1567" s="18"/>
    </row>
    <row r="1568">
      <c r="A1568" s="15"/>
      <c r="B1568" s="15"/>
      <c r="C1568" s="17"/>
      <c r="D1568" s="15"/>
      <c r="E1568" s="15"/>
      <c r="F1568" s="15"/>
      <c r="G1568" s="15"/>
      <c r="H1568" s="15"/>
      <c r="I1568" s="15"/>
      <c r="J1568" s="15"/>
      <c r="K1568" s="15"/>
      <c r="L1568" s="15"/>
      <c r="M1568" s="18"/>
      <c r="N1568" s="18"/>
    </row>
    <row r="1569">
      <c r="A1569" s="15"/>
      <c r="B1569" s="15"/>
      <c r="C1569" s="17"/>
      <c r="D1569" s="15"/>
      <c r="E1569" s="15"/>
      <c r="F1569" s="15"/>
      <c r="G1569" s="15"/>
      <c r="H1569" s="15"/>
      <c r="I1569" s="15"/>
      <c r="J1569" s="15"/>
      <c r="K1569" s="15"/>
      <c r="L1569" s="15"/>
      <c r="M1569" s="18"/>
      <c r="N1569" s="18"/>
    </row>
    <row r="1570">
      <c r="A1570" s="15"/>
      <c r="B1570" s="15"/>
      <c r="C1570" s="17"/>
      <c r="D1570" s="15"/>
      <c r="E1570" s="15"/>
      <c r="F1570" s="15"/>
      <c r="G1570" s="15"/>
      <c r="H1570" s="15"/>
      <c r="I1570" s="15"/>
      <c r="J1570" s="15"/>
      <c r="K1570" s="15"/>
      <c r="L1570" s="15"/>
      <c r="M1570" s="18"/>
      <c r="N1570" s="18"/>
    </row>
    <row r="1571">
      <c r="A1571" s="15"/>
      <c r="B1571" s="15"/>
      <c r="C1571" s="17"/>
      <c r="D1571" s="15"/>
      <c r="E1571" s="15"/>
      <c r="F1571" s="15"/>
      <c r="G1571" s="15"/>
      <c r="H1571" s="15"/>
      <c r="I1571" s="15"/>
      <c r="J1571" s="15"/>
      <c r="K1571" s="15"/>
      <c r="L1571" s="15"/>
      <c r="M1571" s="18"/>
      <c r="N1571" s="18"/>
    </row>
    <row r="1572">
      <c r="A1572" s="15"/>
      <c r="B1572" s="15"/>
      <c r="C1572" s="17"/>
      <c r="D1572" s="15"/>
      <c r="E1572" s="15"/>
      <c r="F1572" s="15"/>
      <c r="G1572" s="15"/>
      <c r="H1572" s="15"/>
      <c r="I1572" s="15"/>
      <c r="J1572" s="15"/>
      <c r="K1572" s="15"/>
      <c r="L1572" s="15"/>
      <c r="M1572" s="18"/>
      <c r="N1572" s="18"/>
    </row>
    <row r="1573">
      <c r="A1573" s="15"/>
      <c r="B1573" s="15"/>
      <c r="C1573" s="17"/>
      <c r="D1573" s="15"/>
      <c r="E1573" s="15"/>
      <c r="F1573" s="15"/>
      <c r="G1573" s="15"/>
      <c r="H1573" s="15"/>
      <c r="I1573" s="15"/>
      <c r="J1573" s="15"/>
      <c r="K1573" s="15"/>
      <c r="L1573" s="15"/>
      <c r="M1573" s="18"/>
      <c r="N1573" s="18"/>
    </row>
    <row r="1574">
      <c r="A1574" s="15"/>
      <c r="B1574" s="15"/>
      <c r="C1574" s="17"/>
      <c r="D1574" s="15"/>
      <c r="E1574" s="15"/>
      <c r="F1574" s="15"/>
      <c r="G1574" s="15"/>
      <c r="H1574" s="15"/>
      <c r="I1574" s="15"/>
      <c r="J1574" s="15"/>
      <c r="K1574" s="15"/>
      <c r="L1574" s="15"/>
      <c r="M1574" s="18"/>
      <c r="N1574" s="18"/>
    </row>
    <row r="1575">
      <c r="A1575" s="15"/>
      <c r="B1575" s="15"/>
      <c r="C1575" s="17"/>
      <c r="D1575" s="15"/>
      <c r="E1575" s="15"/>
      <c r="F1575" s="15"/>
      <c r="G1575" s="15"/>
      <c r="H1575" s="15"/>
      <c r="I1575" s="15"/>
      <c r="J1575" s="15"/>
      <c r="K1575" s="15"/>
      <c r="L1575" s="15"/>
      <c r="M1575" s="18"/>
      <c r="N1575" s="18"/>
    </row>
    <row r="1576">
      <c r="A1576" s="15"/>
      <c r="B1576" s="15"/>
      <c r="C1576" s="17"/>
      <c r="D1576" s="15"/>
      <c r="E1576" s="15"/>
      <c r="F1576" s="15"/>
      <c r="G1576" s="15"/>
      <c r="H1576" s="15"/>
      <c r="I1576" s="15"/>
      <c r="J1576" s="15"/>
      <c r="K1576" s="15"/>
      <c r="L1576" s="15"/>
      <c r="M1576" s="18"/>
      <c r="N1576" s="18"/>
    </row>
    <row r="1577">
      <c r="A1577" s="15"/>
      <c r="B1577" s="15"/>
      <c r="C1577" s="17"/>
      <c r="D1577" s="15"/>
      <c r="E1577" s="15"/>
      <c r="F1577" s="15"/>
      <c r="G1577" s="15"/>
      <c r="H1577" s="15"/>
      <c r="I1577" s="15"/>
      <c r="J1577" s="15"/>
      <c r="K1577" s="15"/>
      <c r="L1577" s="15"/>
      <c r="M1577" s="18"/>
      <c r="N1577" s="18"/>
    </row>
    <row r="1578">
      <c r="A1578" s="15"/>
      <c r="B1578" s="15"/>
      <c r="C1578" s="17"/>
      <c r="D1578" s="15"/>
      <c r="E1578" s="15"/>
      <c r="F1578" s="15"/>
      <c r="G1578" s="15"/>
      <c r="H1578" s="15"/>
      <c r="I1578" s="15"/>
      <c r="J1578" s="15"/>
      <c r="K1578" s="15"/>
      <c r="L1578" s="15"/>
      <c r="M1578" s="18"/>
      <c r="N1578" s="18"/>
    </row>
    <row r="1579">
      <c r="A1579" s="15"/>
      <c r="B1579" s="15"/>
      <c r="C1579" s="17"/>
      <c r="D1579" s="15"/>
      <c r="E1579" s="15"/>
      <c r="F1579" s="15"/>
      <c r="G1579" s="15"/>
      <c r="H1579" s="15"/>
      <c r="I1579" s="15"/>
      <c r="J1579" s="15"/>
      <c r="K1579" s="15"/>
      <c r="L1579" s="15"/>
      <c r="M1579" s="18"/>
      <c r="N1579" s="18"/>
    </row>
    <row r="1580">
      <c r="A1580" s="15"/>
      <c r="B1580" s="15"/>
      <c r="C1580" s="17"/>
      <c r="D1580" s="15"/>
      <c r="E1580" s="15"/>
      <c r="F1580" s="15"/>
      <c r="G1580" s="15"/>
      <c r="H1580" s="15"/>
      <c r="I1580" s="15"/>
      <c r="J1580" s="15"/>
      <c r="K1580" s="15"/>
      <c r="L1580" s="15"/>
      <c r="M1580" s="18"/>
      <c r="N1580" s="18"/>
    </row>
    <row r="1581">
      <c r="A1581" s="15"/>
      <c r="B1581" s="15"/>
      <c r="C1581" s="17"/>
      <c r="D1581" s="15"/>
      <c r="E1581" s="15"/>
      <c r="F1581" s="15"/>
      <c r="G1581" s="15"/>
      <c r="H1581" s="15"/>
      <c r="I1581" s="15"/>
      <c r="J1581" s="15"/>
      <c r="K1581" s="15"/>
      <c r="L1581" s="15"/>
      <c r="M1581" s="18"/>
      <c r="N1581" s="18"/>
    </row>
    <row r="1582">
      <c r="A1582" s="15"/>
      <c r="B1582" s="15"/>
      <c r="C1582" s="17"/>
      <c r="D1582" s="15"/>
      <c r="E1582" s="15"/>
      <c r="F1582" s="15"/>
      <c r="G1582" s="15"/>
      <c r="H1582" s="15"/>
      <c r="I1582" s="15"/>
      <c r="J1582" s="15"/>
      <c r="K1582" s="15"/>
      <c r="L1582" s="15"/>
      <c r="M1582" s="18"/>
      <c r="N1582" s="18"/>
    </row>
    <row r="1583">
      <c r="A1583" s="15"/>
      <c r="B1583" s="15"/>
      <c r="C1583" s="17"/>
      <c r="D1583" s="15"/>
      <c r="E1583" s="15"/>
      <c r="F1583" s="15"/>
      <c r="G1583" s="15"/>
      <c r="H1583" s="15"/>
      <c r="I1583" s="15"/>
      <c r="J1583" s="15"/>
      <c r="K1583" s="15"/>
      <c r="L1583" s="15"/>
      <c r="M1583" s="18"/>
      <c r="N1583" s="18"/>
    </row>
    <row r="1584">
      <c r="A1584" s="15"/>
      <c r="B1584" s="15"/>
      <c r="C1584" s="17"/>
      <c r="D1584" s="15"/>
      <c r="E1584" s="15"/>
      <c r="F1584" s="15"/>
      <c r="G1584" s="15"/>
      <c r="H1584" s="15"/>
      <c r="I1584" s="15"/>
      <c r="J1584" s="15"/>
      <c r="K1584" s="15"/>
      <c r="L1584" s="15"/>
      <c r="M1584" s="18"/>
      <c r="N1584" s="18"/>
    </row>
    <row r="1585">
      <c r="A1585" s="15"/>
      <c r="B1585" s="15"/>
      <c r="C1585" s="17"/>
      <c r="D1585" s="15"/>
      <c r="E1585" s="15"/>
      <c r="F1585" s="15"/>
      <c r="G1585" s="15"/>
      <c r="H1585" s="15"/>
      <c r="I1585" s="15"/>
      <c r="J1585" s="15"/>
      <c r="K1585" s="15"/>
      <c r="L1585" s="15"/>
      <c r="M1585" s="18"/>
      <c r="N1585" s="18"/>
    </row>
    <row r="1586">
      <c r="A1586" s="15"/>
      <c r="B1586" s="15"/>
      <c r="C1586" s="17"/>
      <c r="D1586" s="15"/>
      <c r="E1586" s="15"/>
      <c r="F1586" s="15"/>
      <c r="G1586" s="15"/>
      <c r="H1586" s="15"/>
      <c r="I1586" s="15"/>
      <c r="J1586" s="15"/>
      <c r="K1586" s="15"/>
      <c r="L1586" s="15"/>
      <c r="M1586" s="18"/>
      <c r="N1586" s="18"/>
    </row>
    <row r="1587">
      <c r="A1587" s="15"/>
      <c r="B1587" s="15"/>
      <c r="C1587" s="17"/>
      <c r="D1587" s="15"/>
      <c r="E1587" s="15"/>
      <c r="F1587" s="15"/>
      <c r="G1587" s="15"/>
      <c r="H1587" s="15"/>
      <c r="I1587" s="15"/>
      <c r="J1587" s="15"/>
      <c r="K1587" s="15"/>
      <c r="L1587" s="15"/>
      <c r="M1587" s="18"/>
      <c r="N1587" s="18"/>
    </row>
    <row r="1588">
      <c r="A1588" s="15"/>
      <c r="B1588" s="15"/>
      <c r="C1588" s="17"/>
      <c r="D1588" s="15"/>
      <c r="E1588" s="15"/>
      <c r="F1588" s="15"/>
      <c r="G1588" s="15"/>
      <c r="H1588" s="15"/>
      <c r="I1588" s="15"/>
      <c r="J1588" s="15"/>
      <c r="K1588" s="15"/>
      <c r="L1588" s="15"/>
      <c r="M1588" s="18"/>
      <c r="N1588" s="18"/>
    </row>
    <row r="1589">
      <c r="A1589" s="15"/>
      <c r="B1589" s="15"/>
      <c r="C1589" s="17"/>
      <c r="D1589" s="15"/>
      <c r="E1589" s="15"/>
      <c r="F1589" s="15"/>
      <c r="G1589" s="15"/>
      <c r="H1589" s="15"/>
      <c r="I1589" s="15"/>
      <c r="J1589" s="15"/>
      <c r="K1589" s="15"/>
      <c r="L1589" s="15"/>
      <c r="M1589" s="18"/>
      <c r="N1589" s="18"/>
    </row>
    <row r="1590">
      <c r="A1590" s="15"/>
      <c r="B1590" s="15"/>
      <c r="C1590" s="17"/>
      <c r="D1590" s="15"/>
      <c r="E1590" s="15"/>
      <c r="F1590" s="15"/>
      <c r="G1590" s="15"/>
      <c r="H1590" s="15"/>
      <c r="I1590" s="15"/>
      <c r="J1590" s="15"/>
      <c r="K1590" s="15"/>
      <c r="L1590" s="15"/>
      <c r="M1590" s="18"/>
      <c r="N1590" s="18"/>
    </row>
    <row r="1591">
      <c r="A1591" s="15"/>
      <c r="B1591" s="15"/>
      <c r="C1591" s="17"/>
      <c r="D1591" s="15"/>
      <c r="E1591" s="15"/>
      <c r="F1591" s="15"/>
      <c r="G1591" s="15"/>
      <c r="H1591" s="15"/>
      <c r="I1591" s="15"/>
      <c r="J1591" s="15"/>
      <c r="K1591" s="15"/>
      <c r="L1591" s="15"/>
      <c r="M1591" s="18"/>
      <c r="N1591" s="18"/>
    </row>
    <row r="1592">
      <c r="A1592" s="15"/>
      <c r="B1592" s="15"/>
      <c r="C1592" s="17"/>
      <c r="D1592" s="15"/>
      <c r="E1592" s="15"/>
      <c r="F1592" s="15"/>
      <c r="G1592" s="15"/>
      <c r="H1592" s="15"/>
      <c r="I1592" s="15"/>
      <c r="J1592" s="15"/>
      <c r="K1592" s="15"/>
      <c r="L1592" s="15"/>
      <c r="M1592" s="18"/>
      <c r="N1592" s="18"/>
    </row>
    <row r="1593">
      <c r="A1593" s="15"/>
      <c r="B1593" s="15"/>
      <c r="C1593" s="17"/>
      <c r="D1593" s="15"/>
      <c r="E1593" s="15"/>
      <c r="F1593" s="15"/>
      <c r="G1593" s="15"/>
      <c r="H1593" s="15"/>
      <c r="I1593" s="15"/>
      <c r="J1593" s="15"/>
      <c r="K1593" s="15"/>
      <c r="L1593" s="15"/>
      <c r="M1593" s="18"/>
      <c r="N1593" s="18"/>
    </row>
    <row r="1594">
      <c r="A1594" s="15"/>
      <c r="B1594" s="15"/>
      <c r="C1594" s="17"/>
      <c r="D1594" s="15"/>
      <c r="E1594" s="15"/>
      <c r="F1594" s="15"/>
      <c r="G1594" s="15"/>
      <c r="H1594" s="15"/>
      <c r="I1594" s="15"/>
      <c r="J1594" s="15"/>
      <c r="K1594" s="15"/>
      <c r="L1594" s="15"/>
      <c r="M1594" s="18"/>
      <c r="N1594" s="18"/>
    </row>
    <row r="1595">
      <c r="A1595" s="15"/>
      <c r="B1595" s="15"/>
      <c r="C1595" s="17"/>
      <c r="D1595" s="15"/>
      <c r="E1595" s="15"/>
      <c r="F1595" s="15"/>
      <c r="G1595" s="15"/>
      <c r="H1595" s="15"/>
      <c r="I1595" s="15"/>
      <c r="J1595" s="15"/>
      <c r="K1595" s="15"/>
      <c r="L1595" s="15"/>
      <c r="M1595" s="18"/>
      <c r="N1595" s="18"/>
    </row>
    <row r="1596">
      <c r="A1596" s="15"/>
      <c r="B1596" s="15"/>
      <c r="C1596" s="17"/>
      <c r="D1596" s="15"/>
      <c r="E1596" s="15"/>
      <c r="F1596" s="15"/>
      <c r="G1596" s="15"/>
      <c r="H1596" s="15"/>
      <c r="I1596" s="15"/>
      <c r="J1596" s="15"/>
      <c r="K1596" s="15"/>
      <c r="L1596" s="15"/>
      <c r="M1596" s="18"/>
      <c r="N1596" s="18"/>
    </row>
    <row r="1597">
      <c r="A1597" s="15"/>
      <c r="B1597" s="15"/>
      <c r="C1597" s="17"/>
      <c r="D1597" s="15"/>
      <c r="E1597" s="15"/>
      <c r="F1597" s="15"/>
      <c r="G1597" s="15"/>
      <c r="H1597" s="15"/>
      <c r="I1597" s="15"/>
      <c r="J1597" s="15"/>
      <c r="K1597" s="15"/>
      <c r="L1597" s="15"/>
      <c r="M1597" s="18"/>
      <c r="N1597" s="18"/>
    </row>
    <row r="1598">
      <c r="A1598" s="15"/>
      <c r="B1598" s="15"/>
      <c r="C1598" s="17"/>
      <c r="D1598" s="15"/>
      <c r="E1598" s="15"/>
      <c r="F1598" s="15"/>
      <c r="G1598" s="15"/>
      <c r="H1598" s="15"/>
      <c r="I1598" s="15"/>
      <c r="J1598" s="15"/>
      <c r="K1598" s="15"/>
      <c r="L1598" s="15"/>
      <c r="M1598" s="18"/>
      <c r="N1598" s="18"/>
    </row>
    <row r="1599">
      <c r="A1599" s="15"/>
      <c r="B1599" s="15"/>
      <c r="C1599" s="17"/>
      <c r="D1599" s="15"/>
      <c r="E1599" s="15"/>
      <c r="F1599" s="15"/>
      <c r="G1599" s="15"/>
      <c r="H1599" s="15"/>
      <c r="I1599" s="15"/>
      <c r="J1599" s="15"/>
      <c r="K1599" s="15"/>
      <c r="L1599" s="15"/>
      <c r="M1599" s="18"/>
      <c r="N1599" s="18"/>
    </row>
    <row r="1600">
      <c r="A1600" s="15"/>
      <c r="B1600" s="15"/>
      <c r="C1600" s="17"/>
      <c r="D1600" s="15"/>
      <c r="E1600" s="15"/>
      <c r="F1600" s="15"/>
      <c r="G1600" s="15"/>
      <c r="H1600" s="15"/>
      <c r="I1600" s="15"/>
      <c r="J1600" s="15"/>
      <c r="K1600" s="15"/>
      <c r="L1600" s="15"/>
      <c r="M1600" s="18"/>
      <c r="N1600" s="18"/>
    </row>
    <row r="1601">
      <c r="A1601" s="15"/>
      <c r="B1601" s="15"/>
      <c r="C1601" s="17"/>
      <c r="D1601" s="15"/>
      <c r="E1601" s="15"/>
      <c r="F1601" s="15"/>
      <c r="G1601" s="15"/>
      <c r="H1601" s="15"/>
      <c r="I1601" s="15"/>
      <c r="J1601" s="15"/>
      <c r="K1601" s="15"/>
      <c r="L1601" s="15"/>
      <c r="M1601" s="18"/>
      <c r="N1601" s="18"/>
    </row>
    <row r="1602">
      <c r="A1602" s="15"/>
      <c r="B1602" s="15"/>
      <c r="C1602" s="17"/>
      <c r="D1602" s="15"/>
      <c r="E1602" s="15"/>
      <c r="F1602" s="15"/>
      <c r="G1602" s="15"/>
      <c r="H1602" s="15"/>
      <c r="I1602" s="15"/>
      <c r="J1602" s="15"/>
      <c r="K1602" s="15"/>
      <c r="L1602" s="15"/>
      <c r="M1602" s="18"/>
      <c r="N1602" s="18"/>
    </row>
    <row r="1603">
      <c r="A1603" s="15"/>
      <c r="B1603" s="15"/>
      <c r="C1603" s="17"/>
      <c r="D1603" s="15"/>
      <c r="E1603" s="15"/>
      <c r="F1603" s="15"/>
      <c r="G1603" s="15"/>
      <c r="H1603" s="15"/>
      <c r="I1603" s="15"/>
      <c r="J1603" s="15"/>
      <c r="K1603" s="15"/>
      <c r="L1603" s="15"/>
      <c r="M1603" s="18"/>
      <c r="N1603" s="18"/>
    </row>
    <row r="1604">
      <c r="A1604" s="15"/>
      <c r="B1604" s="15"/>
      <c r="C1604" s="17"/>
      <c r="D1604" s="15"/>
      <c r="E1604" s="15"/>
      <c r="F1604" s="15"/>
      <c r="G1604" s="15"/>
      <c r="H1604" s="15"/>
      <c r="I1604" s="15"/>
      <c r="J1604" s="15"/>
      <c r="K1604" s="15"/>
      <c r="L1604" s="15"/>
      <c r="M1604" s="18"/>
      <c r="N1604" s="18"/>
    </row>
    <row r="1605">
      <c r="A1605" s="15"/>
      <c r="B1605" s="15"/>
      <c r="C1605" s="17"/>
      <c r="D1605" s="15"/>
      <c r="E1605" s="15"/>
      <c r="F1605" s="15"/>
      <c r="G1605" s="15"/>
      <c r="H1605" s="15"/>
      <c r="I1605" s="15"/>
      <c r="J1605" s="15"/>
      <c r="K1605" s="15"/>
      <c r="L1605" s="15"/>
      <c r="M1605" s="18"/>
      <c r="N1605" s="18"/>
    </row>
    <row r="1606">
      <c r="A1606" s="15"/>
      <c r="B1606" s="15"/>
      <c r="C1606" s="17"/>
      <c r="D1606" s="15"/>
      <c r="E1606" s="15"/>
      <c r="F1606" s="15"/>
      <c r="G1606" s="15"/>
      <c r="H1606" s="15"/>
      <c r="I1606" s="15"/>
      <c r="J1606" s="15"/>
      <c r="K1606" s="15"/>
      <c r="L1606" s="15"/>
      <c r="M1606" s="18"/>
      <c r="N1606" s="18"/>
    </row>
    <row r="1607">
      <c r="A1607" s="15"/>
      <c r="B1607" s="15"/>
      <c r="C1607" s="17"/>
      <c r="D1607" s="15"/>
      <c r="E1607" s="15"/>
      <c r="F1607" s="15"/>
      <c r="G1607" s="15"/>
      <c r="H1607" s="15"/>
      <c r="I1607" s="15"/>
      <c r="J1607" s="15"/>
      <c r="K1607" s="15"/>
      <c r="L1607" s="15"/>
      <c r="M1607" s="18"/>
      <c r="N1607" s="18"/>
    </row>
    <row r="1608">
      <c r="A1608" s="15"/>
      <c r="B1608" s="15"/>
      <c r="C1608" s="17"/>
      <c r="D1608" s="15"/>
      <c r="E1608" s="15"/>
      <c r="F1608" s="15"/>
      <c r="G1608" s="15"/>
      <c r="H1608" s="15"/>
      <c r="I1608" s="15"/>
      <c r="J1608" s="15"/>
      <c r="K1608" s="15"/>
      <c r="L1608" s="15"/>
      <c r="M1608" s="18"/>
      <c r="N1608" s="18"/>
    </row>
    <row r="1609">
      <c r="A1609" s="15"/>
      <c r="B1609" s="15"/>
      <c r="C1609" s="17"/>
      <c r="D1609" s="15"/>
      <c r="E1609" s="15"/>
      <c r="F1609" s="15"/>
      <c r="G1609" s="15"/>
      <c r="H1609" s="15"/>
      <c r="I1609" s="15"/>
      <c r="J1609" s="15"/>
      <c r="K1609" s="15"/>
      <c r="L1609" s="15"/>
      <c r="M1609" s="18"/>
      <c r="N1609" s="18"/>
    </row>
    <row r="1610">
      <c r="A1610" s="15"/>
      <c r="B1610" s="15"/>
      <c r="C1610" s="17"/>
      <c r="D1610" s="15"/>
      <c r="E1610" s="15"/>
      <c r="F1610" s="15"/>
      <c r="G1610" s="15"/>
      <c r="H1610" s="15"/>
      <c r="I1610" s="15"/>
      <c r="J1610" s="15"/>
      <c r="K1610" s="15"/>
      <c r="L1610" s="15"/>
      <c r="M1610" s="18"/>
      <c r="N1610" s="18"/>
    </row>
    <row r="1611">
      <c r="A1611" s="15"/>
      <c r="B1611" s="15"/>
      <c r="C1611" s="17"/>
      <c r="D1611" s="15"/>
      <c r="E1611" s="15"/>
      <c r="F1611" s="15"/>
      <c r="G1611" s="15"/>
      <c r="H1611" s="15"/>
      <c r="I1611" s="15"/>
      <c r="J1611" s="15"/>
      <c r="K1611" s="15"/>
      <c r="L1611" s="15"/>
      <c r="M1611" s="18"/>
      <c r="N1611" s="18"/>
    </row>
    <row r="1612">
      <c r="A1612" s="15"/>
      <c r="B1612" s="15"/>
      <c r="C1612" s="17"/>
      <c r="D1612" s="15"/>
      <c r="E1612" s="15"/>
      <c r="F1612" s="15"/>
      <c r="G1612" s="15"/>
      <c r="H1612" s="15"/>
      <c r="I1612" s="15"/>
      <c r="J1612" s="15"/>
      <c r="K1612" s="15"/>
      <c r="L1612" s="15"/>
      <c r="M1612" s="18"/>
      <c r="N1612" s="18"/>
    </row>
    <row r="1613">
      <c r="A1613" s="15"/>
      <c r="B1613" s="15"/>
      <c r="C1613" s="17"/>
      <c r="D1613" s="15"/>
      <c r="E1613" s="15"/>
      <c r="F1613" s="15"/>
      <c r="G1613" s="15"/>
      <c r="H1613" s="15"/>
      <c r="I1613" s="15"/>
      <c r="J1613" s="15"/>
      <c r="K1613" s="15"/>
      <c r="L1613" s="15"/>
      <c r="M1613" s="18"/>
      <c r="N1613" s="18"/>
    </row>
    <row r="1614">
      <c r="A1614" s="15"/>
      <c r="B1614" s="15"/>
      <c r="C1614" s="17"/>
      <c r="D1614" s="15"/>
      <c r="E1614" s="15"/>
      <c r="F1614" s="15"/>
      <c r="G1614" s="15"/>
      <c r="H1614" s="15"/>
      <c r="I1614" s="15"/>
      <c r="J1614" s="15"/>
      <c r="K1614" s="15"/>
      <c r="L1614" s="15"/>
      <c r="M1614" s="18"/>
      <c r="N1614" s="18"/>
    </row>
    <row r="1615">
      <c r="A1615" s="15"/>
      <c r="B1615" s="15"/>
      <c r="C1615" s="17"/>
      <c r="D1615" s="15"/>
      <c r="E1615" s="15"/>
      <c r="F1615" s="15"/>
      <c r="G1615" s="15"/>
      <c r="H1615" s="15"/>
      <c r="I1615" s="15"/>
      <c r="J1615" s="15"/>
      <c r="K1615" s="15"/>
      <c r="L1615" s="15"/>
      <c r="M1615" s="18"/>
      <c r="N1615" s="18"/>
    </row>
    <row r="1616">
      <c r="A1616" s="15"/>
      <c r="B1616" s="15"/>
      <c r="C1616" s="17"/>
      <c r="D1616" s="15"/>
      <c r="E1616" s="15"/>
      <c r="F1616" s="15"/>
      <c r="G1616" s="15"/>
      <c r="H1616" s="15"/>
      <c r="I1616" s="15"/>
      <c r="J1616" s="15"/>
      <c r="K1616" s="15"/>
      <c r="L1616" s="15"/>
      <c r="M1616" s="18"/>
      <c r="N1616" s="18"/>
    </row>
    <row r="1617">
      <c r="A1617" s="15"/>
      <c r="B1617" s="15"/>
      <c r="C1617" s="17"/>
      <c r="D1617" s="15"/>
      <c r="E1617" s="15"/>
      <c r="F1617" s="15"/>
      <c r="G1617" s="15"/>
      <c r="H1617" s="15"/>
      <c r="I1617" s="15"/>
      <c r="J1617" s="15"/>
      <c r="K1617" s="15"/>
      <c r="L1617" s="15"/>
      <c r="M1617" s="18"/>
      <c r="N1617" s="18"/>
    </row>
    <row r="1618">
      <c r="A1618" s="15"/>
      <c r="B1618" s="15"/>
      <c r="C1618" s="17"/>
      <c r="D1618" s="15"/>
      <c r="E1618" s="15"/>
      <c r="F1618" s="15"/>
      <c r="G1618" s="15"/>
      <c r="H1618" s="15"/>
      <c r="I1618" s="15"/>
      <c r="J1618" s="15"/>
      <c r="K1618" s="15"/>
      <c r="L1618" s="15"/>
      <c r="M1618" s="18"/>
      <c r="N1618" s="18"/>
    </row>
    <row r="1619">
      <c r="A1619" s="15"/>
      <c r="B1619" s="15"/>
      <c r="C1619" s="17"/>
      <c r="D1619" s="15"/>
      <c r="E1619" s="15"/>
      <c r="F1619" s="15"/>
      <c r="G1619" s="15"/>
      <c r="H1619" s="15"/>
      <c r="I1619" s="15"/>
      <c r="J1619" s="15"/>
      <c r="K1619" s="15"/>
      <c r="L1619" s="15"/>
      <c r="M1619" s="18"/>
      <c r="N1619" s="18"/>
    </row>
    <row r="1620">
      <c r="A1620" s="15"/>
      <c r="B1620" s="15"/>
      <c r="C1620" s="17"/>
      <c r="D1620" s="15"/>
      <c r="E1620" s="15"/>
      <c r="F1620" s="15"/>
      <c r="G1620" s="15"/>
      <c r="H1620" s="15"/>
      <c r="I1620" s="15"/>
      <c r="J1620" s="15"/>
      <c r="K1620" s="15"/>
      <c r="L1620" s="15"/>
      <c r="M1620" s="18"/>
      <c r="N1620" s="18"/>
    </row>
    <row r="1621">
      <c r="A1621" s="15"/>
      <c r="B1621" s="15"/>
      <c r="C1621" s="17"/>
      <c r="D1621" s="15"/>
      <c r="E1621" s="15"/>
      <c r="F1621" s="15"/>
      <c r="G1621" s="15"/>
      <c r="H1621" s="15"/>
      <c r="I1621" s="15"/>
      <c r="J1621" s="15"/>
      <c r="K1621" s="15"/>
      <c r="L1621" s="15"/>
      <c r="M1621" s="18"/>
      <c r="N1621" s="18"/>
    </row>
    <row r="1622">
      <c r="A1622" s="15"/>
      <c r="B1622" s="15"/>
      <c r="C1622" s="17"/>
      <c r="D1622" s="15"/>
      <c r="E1622" s="15"/>
      <c r="F1622" s="15"/>
      <c r="G1622" s="15"/>
      <c r="H1622" s="15"/>
      <c r="I1622" s="15"/>
      <c r="J1622" s="15"/>
      <c r="K1622" s="15"/>
      <c r="L1622" s="15"/>
      <c r="M1622" s="18"/>
      <c r="N1622" s="18"/>
    </row>
    <row r="1623">
      <c r="A1623" s="15"/>
      <c r="B1623" s="15"/>
      <c r="C1623" s="17"/>
      <c r="D1623" s="15"/>
      <c r="E1623" s="15"/>
      <c r="F1623" s="15"/>
      <c r="G1623" s="15"/>
      <c r="H1623" s="15"/>
      <c r="I1623" s="15"/>
      <c r="J1623" s="15"/>
      <c r="K1623" s="15"/>
      <c r="L1623" s="15"/>
      <c r="M1623" s="18"/>
      <c r="N1623" s="18"/>
    </row>
    <row r="1624">
      <c r="A1624" s="15"/>
      <c r="B1624" s="15"/>
      <c r="C1624" s="17"/>
      <c r="D1624" s="15"/>
      <c r="E1624" s="15"/>
      <c r="F1624" s="15"/>
      <c r="G1624" s="15"/>
      <c r="H1624" s="15"/>
      <c r="I1624" s="15"/>
      <c r="J1624" s="15"/>
      <c r="K1624" s="15"/>
      <c r="L1624" s="15"/>
      <c r="M1624" s="18"/>
      <c r="N1624" s="18"/>
    </row>
    <row r="1625">
      <c r="A1625" s="15"/>
      <c r="B1625" s="15"/>
      <c r="C1625" s="17"/>
      <c r="D1625" s="15"/>
      <c r="E1625" s="15"/>
      <c r="F1625" s="15"/>
      <c r="G1625" s="15"/>
      <c r="H1625" s="15"/>
      <c r="I1625" s="15"/>
      <c r="J1625" s="15"/>
      <c r="K1625" s="15"/>
      <c r="L1625" s="15"/>
      <c r="M1625" s="18"/>
      <c r="N1625" s="18"/>
    </row>
    <row r="1626">
      <c r="A1626" s="15"/>
      <c r="B1626" s="15"/>
      <c r="C1626" s="17"/>
      <c r="D1626" s="15"/>
      <c r="E1626" s="15"/>
      <c r="F1626" s="15"/>
      <c r="G1626" s="15"/>
      <c r="H1626" s="15"/>
      <c r="I1626" s="15"/>
      <c r="J1626" s="15"/>
      <c r="K1626" s="15"/>
      <c r="L1626" s="15"/>
      <c r="M1626" s="18"/>
      <c r="N1626" s="18"/>
    </row>
    <row r="1627">
      <c r="A1627" s="15"/>
      <c r="B1627" s="15"/>
      <c r="C1627" s="17"/>
      <c r="D1627" s="15"/>
      <c r="E1627" s="15"/>
      <c r="F1627" s="15"/>
      <c r="G1627" s="15"/>
      <c r="H1627" s="15"/>
      <c r="I1627" s="15"/>
      <c r="J1627" s="15"/>
      <c r="K1627" s="15"/>
      <c r="L1627" s="15"/>
      <c r="M1627" s="18"/>
      <c r="N1627" s="18"/>
    </row>
    <row r="1628">
      <c r="A1628" s="15"/>
      <c r="B1628" s="15"/>
      <c r="C1628" s="17"/>
      <c r="D1628" s="15"/>
      <c r="E1628" s="15"/>
      <c r="F1628" s="15"/>
      <c r="G1628" s="15"/>
      <c r="H1628" s="15"/>
      <c r="I1628" s="15"/>
      <c r="J1628" s="15"/>
      <c r="K1628" s="15"/>
      <c r="L1628" s="15"/>
      <c r="M1628" s="18"/>
      <c r="N1628" s="18"/>
    </row>
    <row r="1629">
      <c r="A1629" s="15"/>
      <c r="B1629" s="15"/>
      <c r="C1629" s="17"/>
      <c r="D1629" s="15"/>
      <c r="E1629" s="15"/>
      <c r="F1629" s="15"/>
      <c r="G1629" s="15"/>
      <c r="H1629" s="15"/>
      <c r="I1629" s="15"/>
      <c r="J1629" s="15"/>
      <c r="K1629" s="15"/>
      <c r="L1629" s="15"/>
      <c r="M1629" s="18"/>
      <c r="N1629" s="18"/>
    </row>
    <row r="1630">
      <c r="A1630" s="15"/>
      <c r="B1630" s="15"/>
      <c r="C1630" s="17"/>
      <c r="D1630" s="15"/>
      <c r="E1630" s="15"/>
      <c r="F1630" s="15"/>
      <c r="G1630" s="15"/>
      <c r="H1630" s="15"/>
      <c r="I1630" s="15"/>
      <c r="J1630" s="15"/>
      <c r="K1630" s="15"/>
      <c r="L1630" s="15"/>
      <c r="M1630" s="18"/>
      <c r="N1630" s="18"/>
    </row>
    <row r="1631">
      <c r="A1631" s="15"/>
      <c r="B1631" s="15"/>
      <c r="C1631" s="17"/>
      <c r="D1631" s="15"/>
      <c r="E1631" s="15"/>
      <c r="F1631" s="15"/>
      <c r="G1631" s="15"/>
      <c r="H1631" s="15"/>
      <c r="I1631" s="15"/>
      <c r="J1631" s="15"/>
      <c r="K1631" s="15"/>
      <c r="L1631" s="15"/>
      <c r="M1631" s="18"/>
      <c r="N1631" s="18"/>
    </row>
    <row r="1632">
      <c r="A1632" s="15"/>
      <c r="B1632" s="15"/>
      <c r="C1632" s="17"/>
      <c r="D1632" s="15"/>
      <c r="E1632" s="15"/>
      <c r="F1632" s="15"/>
      <c r="G1632" s="15"/>
      <c r="H1632" s="15"/>
      <c r="I1632" s="15"/>
      <c r="J1632" s="15"/>
      <c r="K1632" s="15"/>
      <c r="L1632" s="15"/>
      <c r="M1632" s="18"/>
      <c r="N1632" s="18"/>
    </row>
    <row r="1633">
      <c r="A1633" s="15"/>
      <c r="B1633" s="15"/>
      <c r="C1633" s="17"/>
      <c r="D1633" s="15"/>
      <c r="E1633" s="15"/>
      <c r="F1633" s="15"/>
      <c r="G1633" s="15"/>
      <c r="H1633" s="15"/>
      <c r="I1633" s="15"/>
      <c r="J1633" s="15"/>
      <c r="K1633" s="15"/>
      <c r="L1633" s="15"/>
      <c r="M1633" s="18"/>
      <c r="N1633" s="18"/>
    </row>
    <row r="1634">
      <c r="A1634" s="15"/>
      <c r="B1634" s="15"/>
      <c r="C1634" s="17"/>
      <c r="D1634" s="15"/>
      <c r="E1634" s="15"/>
      <c r="F1634" s="15"/>
      <c r="G1634" s="15"/>
      <c r="H1634" s="15"/>
      <c r="I1634" s="15"/>
      <c r="J1634" s="15"/>
      <c r="K1634" s="15"/>
      <c r="L1634" s="15"/>
      <c r="M1634" s="18"/>
      <c r="N1634" s="18"/>
    </row>
    <row r="1635">
      <c r="A1635" s="15"/>
      <c r="B1635" s="15"/>
      <c r="C1635" s="17"/>
      <c r="D1635" s="15"/>
      <c r="E1635" s="15"/>
      <c r="F1635" s="15"/>
      <c r="G1635" s="15"/>
      <c r="H1635" s="15"/>
      <c r="I1635" s="15"/>
      <c r="J1635" s="15"/>
      <c r="K1635" s="15"/>
      <c r="L1635" s="15"/>
      <c r="M1635" s="18"/>
      <c r="N1635" s="18"/>
    </row>
    <row r="1636">
      <c r="A1636" s="15"/>
      <c r="B1636" s="15"/>
      <c r="C1636" s="17"/>
      <c r="D1636" s="15"/>
      <c r="E1636" s="15"/>
      <c r="F1636" s="15"/>
      <c r="G1636" s="15"/>
      <c r="H1636" s="15"/>
      <c r="I1636" s="15"/>
      <c r="J1636" s="15"/>
      <c r="K1636" s="15"/>
      <c r="L1636" s="15"/>
      <c r="M1636" s="18"/>
      <c r="N1636" s="18"/>
    </row>
    <row r="1637">
      <c r="A1637" s="15"/>
      <c r="B1637" s="15"/>
      <c r="C1637" s="17"/>
      <c r="D1637" s="15"/>
      <c r="E1637" s="15"/>
      <c r="F1637" s="15"/>
      <c r="G1637" s="15"/>
      <c r="H1637" s="15"/>
      <c r="I1637" s="15"/>
      <c r="J1637" s="15"/>
      <c r="K1637" s="15"/>
      <c r="L1637" s="15"/>
      <c r="M1637" s="18"/>
      <c r="N1637" s="18"/>
    </row>
    <row r="1638">
      <c r="A1638" s="15"/>
      <c r="B1638" s="15"/>
      <c r="C1638" s="17"/>
      <c r="D1638" s="15"/>
      <c r="E1638" s="15"/>
      <c r="F1638" s="15"/>
      <c r="G1638" s="15"/>
      <c r="H1638" s="15"/>
      <c r="I1638" s="15"/>
      <c r="J1638" s="15"/>
      <c r="K1638" s="15"/>
      <c r="L1638" s="15"/>
      <c r="M1638" s="18"/>
      <c r="N1638" s="18"/>
    </row>
    <row r="1639">
      <c r="A1639" s="15"/>
      <c r="B1639" s="15"/>
      <c r="C1639" s="17"/>
      <c r="D1639" s="15"/>
      <c r="E1639" s="15"/>
      <c r="F1639" s="15"/>
      <c r="G1639" s="15"/>
      <c r="H1639" s="15"/>
      <c r="I1639" s="15"/>
      <c r="J1639" s="15"/>
      <c r="K1639" s="15"/>
      <c r="L1639" s="15"/>
      <c r="M1639" s="18"/>
      <c r="N1639" s="18"/>
    </row>
    <row r="1640">
      <c r="A1640" s="15"/>
      <c r="B1640" s="15"/>
      <c r="C1640" s="17"/>
      <c r="D1640" s="15"/>
      <c r="E1640" s="15"/>
      <c r="F1640" s="15"/>
      <c r="G1640" s="15"/>
      <c r="H1640" s="15"/>
      <c r="I1640" s="15"/>
      <c r="J1640" s="15"/>
      <c r="K1640" s="15"/>
      <c r="L1640" s="15"/>
      <c r="M1640" s="18"/>
      <c r="N1640" s="18"/>
    </row>
    <row r="1641">
      <c r="A1641" s="15"/>
      <c r="B1641" s="15"/>
      <c r="C1641" s="17"/>
      <c r="D1641" s="15"/>
      <c r="E1641" s="15"/>
      <c r="F1641" s="15"/>
      <c r="G1641" s="15"/>
      <c r="H1641" s="15"/>
      <c r="I1641" s="15"/>
      <c r="J1641" s="15"/>
      <c r="K1641" s="15"/>
      <c r="L1641" s="15"/>
      <c r="M1641" s="18"/>
      <c r="N1641" s="18"/>
    </row>
    <row r="1642">
      <c r="A1642" s="15"/>
      <c r="B1642" s="15"/>
      <c r="C1642" s="17"/>
      <c r="D1642" s="15"/>
      <c r="E1642" s="15"/>
      <c r="F1642" s="15"/>
      <c r="G1642" s="15"/>
      <c r="H1642" s="15"/>
      <c r="I1642" s="15"/>
      <c r="J1642" s="15"/>
      <c r="K1642" s="15"/>
      <c r="L1642" s="15"/>
      <c r="M1642" s="18"/>
      <c r="N1642" s="18"/>
    </row>
    <row r="1643">
      <c r="A1643" s="15"/>
      <c r="B1643" s="15"/>
      <c r="C1643" s="17"/>
      <c r="D1643" s="15"/>
      <c r="E1643" s="15"/>
      <c r="F1643" s="15"/>
      <c r="G1643" s="15"/>
      <c r="H1643" s="15"/>
      <c r="I1643" s="15"/>
      <c r="J1643" s="15"/>
      <c r="K1643" s="15"/>
      <c r="L1643" s="15"/>
      <c r="M1643" s="18"/>
      <c r="N1643" s="18"/>
    </row>
    <row r="1644">
      <c r="A1644" s="15"/>
      <c r="B1644" s="15"/>
      <c r="C1644" s="17"/>
      <c r="D1644" s="15"/>
      <c r="E1644" s="15"/>
      <c r="F1644" s="15"/>
      <c r="G1644" s="15"/>
      <c r="H1644" s="15"/>
      <c r="I1644" s="15"/>
      <c r="J1644" s="15"/>
      <c r="K1644" s="15"/>
      <c r="L1644" s="15"/>
      <c r="M1644" s="18"/>
      <c r="N1644" s="18"/>
    </row>
    <row r="1645">
      <c r="A1645" s="15"/>
      <c r="B1645" s="15"/>
      <c r="C1645" s="17"/>
      <c r="D1645" s="15"/>
      <c r="E1645" s="15"/>
      <c r="F1645" s="15"/>
      <c r="G1645" s="15"/>
      <c r="H1645" s="15"/>
      <c r="I1645" s="15"/>
      <c r="J1645" s="15"/>
      <c r="K1645" s="15"/>
      <c r="L1645" s="15"/>
      <c r="M1645" s="18"/>
      <c r="N1645" s="18"/>
    </row>
    <row r="1646">
      <c r="A1646" s="15"/>
      <c r="B1646" s="15"/>
      <c r="C1646" s="17"/>
      <c r="D1646" s="15"/>
      <c r="E1646" s="15"/>
      <c r="F1646" s="15"/>
      <c r="G1646" s="15"/>
      <c r="H1646" s="15"/>
      <c r="I1646" s="15"/>
      <c r="J1646" s="15"/>
      <c r="K1646" s="15"/>
      <c r="L1646" s="15"/>
      <c r="M1646" s="18"/>
      <c r="N1646" s="18"/>
    </row>
    <row r="1647">
      <c r="A1647" s="15"/>
      <c r="B1647" s="15"/>
      <c r="C1647" s="17"/>
      <c r="D1647" s="15"/>
      <c r="E1647" s="15"/>
      <c r="F1647" s="15"/>
      <c r="G1647" s="15"/>
      <c r="H1647" s="15"/>
      <c r="I1647" s="15"/>
      <c r="J1647" s="15"/>
      <c r="K1647" s="15"/>
      <c r="L1647" s="15"/>
      <c r="M1647" s="18"/>
      <c r="N1647" s="18"/>
    </row>
    <row r="1648">
      <c r="A1648" s="15"/>
      <c r="B1648" s="15"/>
      <c r="C1648" s="17"/>
      <c r="D1648" s="15"/>
      <c r="E1648" s="15"/>
      <c r="F1648" s="15"/>
      <c r="G1648" s="15"/>
      <c r="H1648" s="15"/>
      <c r="I1648" s="15"/>
      <c r="J1648" s="15"/>
      <c r="K1648" s="15"/>
      <c r="L1648" s="15"/>
      <c r="M1648" s="18"/>
      <c r="N1648" s="18"/>
    </row>
    <row r="1649">
      <c r="A1649" s="15"/>
      <c r="B1649" s="15"/>
      <c r="C1649" s="17"/>
      <c r="D1649" s="15"/>
      <c r="E1649" s="15"/>
      <c r="F1649" s="15"/>
      <c r="G1649" s="15"/>
      <c r="H1649" s="15"/>
      <c r="I1649" s="15"/>
      <c r="J1649" s="15"/>
      <c r="K1649" s="15"/>
      <c r="L1649" s="15"/>
      <c r="M1649" s="18"/>
      <c r="N1649" s="18"/>
    </row>
    <row r="1650">
      <c r="A1650" s="15"/>
      <c r="B1650" s="15"/>
      <c r="C1650" s="17"/>
      <c r="D1650" s="15"/>
      <c r="E1650" s="15"/>
      <c r="F1650" s="15"/>
      <c r="G1650" s="15"/>
      <c r="H1650" s="15"/>
      <c r="I1650" s="15"/>
      <c r="J1650" s="15"/>
      <c r="K1650" s="15"/>
      <c r="L1650" s="15"/>
      <c r="M1650" s="18"/>
      <c r="N1650" s="18"/>
    </row>
    <row r="1651">
      <c r="A1651" s="15"/>
      <c r="B1651" s="15"/>
      <c r="C1651" s="17"/>
      <c r="D1651" s="15"/>
      <c r="E1651" s="15"/>
      <c r="F1651" s="15"/>
      <c r="G1651" s="15"/>
      <c r="H1651" s="15"/>
      <c r="I1651" s="15"/>
      <c r="J1651" s="15"/>
      <c r="K1651" s="15"/>
      <c r="L1651" s="15"/>
      <c r="M1651" s="18"/>
      <c r="N1651" s="18"/>
    </row>
    <row r="1652">
      <c r="A1652" s="15"/>
      <c r="B1652" s="15"/>
      <c r="C1652" s="17"/>
      <c r="D1652" s="15"/>
      <c r="E1652" s="15"/>
      <c r="F1652" s="15"/>
      <c r="G1652" s="15"/>
      <c r="H1652" s="15"/>
      <c r="I1652" s="15"/>
      <c r="J1652" s="15"/>
      <c r="K1652" s="15"/>
      <c r="L1652" s="15"/>
      <c r="M1652" s="18"/>
      <c r="N1652" s="18"/>
    </row>
    <row r="1653">
      <c r="A1653" s="15"/>
      <c r="B1653" s="15"/>
      <c r="C1653" s="17"/>
      <c r="D1653" s="15"/>
      <c r="E1653" s="15"/>
      <c r="F1653" s="15"/>
      <c r="G1653" s="15"/>
      <c r="H1653" s="15"/>
      <c r="I1653" s="15"/>
      <c r="J1653" s="15"/>
      <c r="K1653" s="15"/>
      <c r="L1653" s="15"/>
      <c r="M1653" s="18"/>
      <c r="N1653" s="18"/>
    </row>
    <row r="1654">
      <c r="A1654" s="15"/>
      <c r="B1654" s="15"/>
      <c r="C1654" s="17"/>
      <c r="D1654" s="15"/>
      <c r="E1654" s="15"/>
      <c r="F1654" s="15"/>
      <c r="G1654" s="15"/>
      <c r="H1654" s="15"/>
      <c r="I1654" s="15"/>
      <c r="J1654" s="15"/>
      <c r="K1654" s="15"/>
      <c r="L1654" s="15"/>
      <c r="M1654" s="18"/>
      <c r="N1654" s="18"/>
    </row>
    <row r="1655">
      <c r="A1655" s="15"/>
      <c r="B1655" s="15"/>
      <c r="C1655" s="17"/>
      <c r="D1655" s="15"/>
      <c r="E1655" s="15"/>
      <c r="F1655" s="15"/>
      <c r="G1655" s="15"/>
      <c r="H1655" s="15"/>
      <c r="I1655" s="15"/>
      <c r="J1655" s="15"/>
      <c r="K1655" s="15"/>
      <c r="L1655" s="15"/>
      <c r="M1655" s="18"/>
      <c r="N1655" s="18"/>
    </row>
    <row r="1656">
      <c r="A1656" s="15"/>
      <c r="B1656" s="15"/>
      <c r="C1656" s="17"/>
      <c r="D1656" s="15"/>
      <c r="E1656" s="15"/>
      <c r="F1656" s="15"/>
      <c r="G1656" s="15"/>
      <c r="H1656" s="15"/>
      <c r="I1656" s="15"/>
      <c r="J1656" s="15"/>
      <c r="K1656" s="15"/>
      <c r="L1656" s="15"/>
      <c r="M1656" s="18"/>
      <c r="N1656" s="18"/>
    </row>
    <row r="1657">
      <c r="A1657" s="15"/>
      <c r="B1657" s="15"/>
      <c r="C1657" s="17"/>
      <c r="D1657" s="15"/>
      <c r="E1657" s="15"/>
      <c r="F1657" s="15"/>
      <c r="G1657" s="15"/>
      <c r="H1657" s="15"/>
      <c r="I1657" s="15"/>
      <c r="J1657" s="15"/>
      <c r="K1657" s="15"/>
      <c r="L1657" s="15"/>
      <c r="M1657" s="18"/>
      <c r="N1657" s="18"/>
    </row>
    <row r="1658">
      <c r="A1658" s="15"/>
      <c r="B1658" s="15"/>
      <c r="C1658" s="17"/>
      <c r="D1658" s="15"/>
      <c r="E1658" s="15"/>
      <c r="F1658" s="15"/>
      <c r="G1658" s="15"/>
      <c r="H1658" s="15"/>
      <c r="I1658" s="15"/>
      <c r="J1658" s="15"/>
      <c r="K1658" s="15"/>
      <c r="L1658" s="15"/>
      <c r="M1658" s="18"/>
      <c r="N1658" s="18"/>
    </row>
    <row r="1659">
      <c r="A1659" s="15"/>
      <c r="B1659" s="15"/>
      <c r="C1659" s="17"/>
      <c r="D1659" s="15"/>
      <c r="E1659" s="15"/>
      <c r="F1659" s="15"/>
      <c r="G1659" s="15"/>
      <c r="H1659" s="15"/>
      <c r="I1659" s="15"/>
      <c r="J1659" s="15"/>
      <c r="K1659" s="15"/>
      <c r="L1659" s="15"/>
      <c r="M1659" s="18"/>
      <c r="N1659" s="18"/>
    </row>
    <row r="1660">
      <c r="A1660" s="15"/>
      <c r="B1660" s="15"/>
      <c r="C1660" s="17"/>
      <c r="D1660" s="15"/>
      <c r="E1660" s="15"/>
      <c r="F1660" s="15"/>
      <c r="G1660" s="15"/>
      <c r="H1660" s="15"/>
      <c r="I1660" s="15"/>
      <c r="J1660" s="15"/>
      <c r="K1660" s="15"/>
      <c r="L1660" s="15"/>
      <c r="M1660" s="18"/>
      <c r="N1660" s="18"/>
    </row>
    <row r="1661">
      <c r="A1661" s="15"/>
      <c r="B1661" s="15"/>
      <c r="C1661" s="17"/>
      <c r="D1661" s="15"/>
      <c r="E1661" s="15"/>
      <c r="F1661" s="15"/>
      <c r="G1661" s="15"/>
      <c r="H1661" s="15"/>
      <c r="I1661" s="15"/>
      <c r="J1661" s="15"/>
      <c r="K1661" s="15"/>
      <c r="L1661" s="15"/>
      <c r="M1661" s="18"/>
      <c r="N1661" s="18"/>
    </row>
    <row r="1662">
      <c r="A1662" s="15"/>
      <c r="B1662" s="15"/>
      <c r="C1662" s="17"/>
      <c r="D1662" s="15"/>
      <c r="E1662" s="15"/>
      <c r="F1662" s="15"/>
      <c r="G1662" s="15"/>
      <c r="H1662" s="15"/>
      <c r="I1662" s="15"/>
      <c r="J1662" s="15"/>
      <c r="K1662" s="15"/>
      <c r="L1662" s="15"/>
      <c r="M1662" s="18"/>
      <c r="N1662" s="18"/>
    </row>
    <row r="1663">
      <c r="A1663" s="15"/>
      <c r="B1663" s="15"/>
      <c r="C1663" s="17"/>
      <c r="D1663" s="15"/>
      <c r="E1663" s="15"/>
      <c r="F1663" s="15"/>
      <c r="G1663" s="15"/>
      <c r="H1663" s="15"/>
      <c r="I1663" s="15"/>
      <c r="J1663" s="15"/>
      <c r="K1663" s="15"/>
      <c r="L1663" s="15"/>
      <c r="M1663" s="18"/>
      <c r="N1663" s="18"/>
    </row>
    <row r="1664">
      <c r="A1664" s="15"/>
      <c r="B1664" s="15"/>
      <c r="C1664" s="17"/>
      <c r="D1664" s="15"/>
      <c r="E1664" s="15"/>
      <c r="F1664" s="15"/>
      <c r="G1664" s="15"/>
      <c r="H1664" s="15"/>
      <c r="I1664" s="15"/>
      <c r="J1664" s="15"/>
      <c r="K1664" s="15"/>
      <c r="L1664" s="15"/>
      <c r="M1664" s="18"/>
      <c r="N1664" s="18"/>
    </row>
    <row r="1665">
      <c r="A1665" s="15"/>
      <c r="B1665" s="15"/>
      <c r="C1665" s="17"/>
      <c r="D1665" s="15"/>
      <c r="E1665" s="15"/>
      <c r="F1665" s="15"/>
      <c r="G1665" s="15"/>
      <c r="H1665" s="15"/>
      <c r="I1665" s="15"/>
      <c r="J1665" s="15"/>
      <c r="K1665" s="15"/>
      <c r="L1665" s="15"/>
      <c r="M1665" s="18"/>
      <c r="N1665" s="18"/>
    </row>
    <row r="1666">
      <c r="A1666" s="15"/>
      <c r="B1666" s="15"/>
      <c r="C1666" s="17"/>
      <c r="D1666" s="15"/>
      <c r="E1666" s="15"/>
      <c r="F1666" s="15"/>
      <c r="G1666" s="15"/>
      <c r="H1666" s="15"/>
      <c r="I1666" s="15"/>
      <c r="J1666" s="15"/>
      <c r="K1666" s="15"/>
      <c r="L1666" s="15"/>
      <c r="M1666" s="18"/>
      <c r="N1666" s="18"/>
    </row>
    <row r="1667">
      <c r="A1667" s="15"/>
      <c r="B1667" s="15"/>
      <c r="C1667" s="17"/>
      <c r="D1667" s="15"/>
      <c r="E1667" s="15"/>
      <c r="F1667" s="15"/>
      <c r="G1667" s="15"/>
      <c r="H1667" s="15"/>
      <c r="I1667" s="15"/>
      <c r="J1667" s="15"/>
      <c r="K1667" s="15"/>
      <c r="L1667" s="15"/>
      <c r="M1667" s="18"/>
      <c r="N1667" s="18"/>
    </row>
    <row r="1668">
      <c r="A1668" s="15"/>
      <c r="B1668" s="15"/>
      <c r="C1668" s="17"/>
      <c r="D1668" s="15"/>
      <c r="E1668" s="15"/>
      <c r="F1668" s="15"/>
      <c r="G1668" s="15"/>
      <c r="H1668" s="15"/>
      <c r="I1668" s="15"/>
      <c r="J1668" s="15"/>
      <c r="K1668" s="15"/>
      <c r="L1668" s="15"/>
      <c r="M1668" s="18"/>
      <c r="N1668" s="18"/>
    </row>
    <row r="1669">
      <c r="A1669" s="15"/>
      <c r="B1669" s="15"/>
      <c r="C1669" s="17"/>
      <c r="D1669" s="15"/>
      <c r="E1669" s="15"/>
      <c r="F1669" s="15"/>
      <c r="G1669" s="15"/>
      <c r="H1669" s="15"/>
      <c r="I1669" s="15"/>
      <c r="J1669" s="15"/>
      <c r="K1669" s="15"/>
      <c r="L1669" s="15"/>
      <c r="M1669" s="18"/>
      <c r="N1669" s="18"/>
    </row>
    <row r="1670">
      <c r="A1670" s="15"/>
      <c r="B1670" s="15"/>
      <c r="C1670" s="17"/>
      <c r="D1670" s="15"/>
      <c r="E1670" s="15"/>
      <c r="F1670" s="15"/>
      <c r="G1670" s="15"/>
      <c r="H1670" s="15"/>
      <c r="I1670" s="15"/>
      <c r="J1670" s="15"/>
      <c r="K1670" s="15"/>
      <c r="L1670" s="15"/>
      <c r="M1670" s="18"/>
      <c r="N1670" s="18"/>
    </row>
    <row r="1671">
      <c r="A1671" s="15"/>
      <c r="B1671" s="15"/>
      <c r="C1671" s="17"/>
      <c r="D1671" s="15"/>
      <c r="E1671" s="15"/>
      <c r="F1671" s="15"/>
      <c r="G1671" s="15"/>
      <c r="H1671" s="15"/>
      <c r="I1671" s="15"/>
      <c r="J1671" s="15"/>
      <c r="K1671" s="15"/>
      <c r="L1671" s="15"/>
      <c r="M1671" s="18"/>
      <c r="N1671" s="18"/>
    </row>
    <row r="1672">
      <c r="A1672" s="15"/>
      <c r="B1672" s="15"/>
      <c r="C1672" s="17"/>
      <c r="D1672" s="15"/>
      <c r="E1672" s="15"/>
      <c r="F1672" s="15"/>
      <c r="G1672" s="15"/>
      <c r="H1672" s="15"/>
      <c r="I1672" s="15"/>
      <c r="J1672" s="15"/>
      <c r="K1672" s="15"/>
      <c r="L1672" s="15"/>
      <c r="M1672" s="18"/>
      <c r="N1672" s="18"/>
    </row>
    <row r="1673">
      <c r="A1673" s="15"/>
      <c r="B1673" s="15"/>
      <c r="C1673" s="17"/>
      <c r="D1673" s="15"/>
      <c r="E1673" s="15"/>
      <c r="F1673" s="15"/>
      <c r="G1673" s="15"/>
      <c r="H1673" s="15"/>
      <c r="I1673" s="15"/>
      <c r="J1673" s="15"/>
      <c r="K1673" s="15"/>
      <c r="L1673" s="15"/>
      <c r="M1673" s="18"/>
      <c r="N1673" s="18"/>
    </row>
    <row r="1674">
      <c r="A1674" s="15"/>
      <c r="B1674" s="15"/>
      <c r="C1674" s="17"/>
      <c r="D1674" s="15"/>
      <c r="E1674" s="15"/>
      <c r="F1674" s="15"/>
      <c r="G1674" s="15"/>
      <c r="H1674" s="15"/>
      <c r="I1674" s="15"/>
      <c r="J1674" s="15"/>
      <c r="K1674" s="15"/>
      <c r="L1674" s="15"/>
      <c r="M1674" s="18"/>
      <c r="N1674" s="18"/>
    </row>
    <row r="1675">
      <c r="A1675" s="15"/>
      <c r="B1675" s="15"/>
      <c r="C1675" s="17"/>
      <c r="D1675" s="15"/>
      <c r="E1675" s="15"/>
      <c r="F1675" s="15"/>
      <c r="G1675" s="15"/>
      <c r="H1675" s="15"/>
      <c r="I1675" s="15"/>
      <c r="J1675" s="15"/>
      <c r="K1675" s="15"/>
      <c r="L1675" s="15"/>
      <c r="M1675" s="18"/>
      <c r="N1675" s="18"/>
    </row>
    <row r="1676">
      <c r="A1676" s="15"/>
      <c r="B1676" s="15"/>
      <c r="C1676" s="17"/>
      <c r="D1676" s="15"/>
      <c r="E1676" s="15"/>
      <c r="F1676" s="15"/>
      <c r="G1676" s="15"/>
      <c r="H1676" s="15"/>
      <c r="I1676" s="15"/>
      <c r="J1676" s="15"/>
      <c r="K1676" s="15"/>
      <c r="L1676" s="15"/>
      <c r="M1676" s="18"/>
      <c r="N1676" s="18"/>
    </row>
    <row r="1677">
      <c r="A1677" s="15"/>
      <c r="B1677" s="15"/>
      <c r="C1677" s="17"/>
      <c r="D1677" s="15"/>
      <c r="E1677" s="15"/>
      <c r="F1677" s="15"/>
      <c r="G1677" s="15"/>
      <c r="H1677" s="15"/>
      <c r="I1677" s="15"/>
      <c r="J1677" s="15"/>
      <c r="K1677" s="15"/>
      <c r="L1677" s="15"/>
      <c r="M1677" s="18"/>
      <c r="N1677" s="18"/>
    </row>
    <row r="1678">
      <c r="A1678" s="15"/>
      <c r="B1678" s="15"/>
      <c r="C1678" s="17"/>
      <c r="D1678" s="15"/>
      <c r="E1678" s="15"/>
      <c r="F1678" s="15"/>
      <c r="G1678" s="15"/>
      <c r="H1678" s="15"/>
      <c r="I1678" s="15"/>
      <c r="J1678" s="15"/>
      <c r="K1678" s="15"/>
      <c r="L1678" s="15"/>
      <c r="M1678" s="18"/>
      <c r="N1678" s="18"/>
    </row>
    <row r="1679">
      <c r="A1679" s="15"/>
      <c r="B1679" s="15"/>
      <c r="C1679" s="17"/>
      <c r="D1679" s="15"/>
      <c r="E1679" s="15"/>
      <c r="F1679" s="15"/>
      <c r="G1679" s="15"/>
      <c r="H1679" s="15"/>
      <c r="I1679" s="15"/>
      <c r="J1679" s="15"/>
      <c r="K1679" s="15"/>
      <c r="L1679" s="15"/>
      <c r="M1679" s="18"/>
      <c r="N1679" s="18"/>
    </row>
    <row r="1680">
      <c r="A1680" s="15"/>
      <c r="B1680" s="15"/>
      <c r="C1680" s="17"/>
      <c r="D1680" s="15"/>
      <c r="E1680" s="15"/>
      <c r="F1680" s="15"/>
      <c r="G1680" s="15"/>
      <c r="H1680" s="15"/>
      <c r="I1680" s="15"/>
      <c r="J1680" s="15"/>
      <c r="K1680" s="15"/>
      <c r="L1680" s="15"/>
      <c r="M1680" s="18"/>
      <c r="N1680" s="18"/>
    </row>
    <row r="1681">
      <c r="A1681" s="15"/>
      <c r="B1681" s="15"/>
      <c r="C1681" s="17"/>
      <c r="D1681" s="15"/>
      <c r="E1681" s="15"/>
      <c r="F1681" s="15"/>
      <c r="G1681" s="15"/>
      <c r="H1681" s="15"/>
      <c r="I1681" s="15"/>
      <c r="J1681" s="15"/>
      <c r="K1681" s="15"/>
      <c r="L1681" s="15"/>
      <c r="M1681" s="18"/>
      <c r="N1681" s="18"/>
    </row>
    <row r="1682">
      <c r="A1682" s="15"/>
      <c r="B1682" s="15"/>
      <c r="C1682" s="17"/>
      <c r="D1682" s="15"/>
      <c r="E1682" s="15"/>
      <c r="F1682" s="15"/>
      <c r="G1682" s="15"/>
      <c r="H1682" s="15"/>
      <c r="I1682" s="15"/>
      <c r="J1682" s="15"/>
      <c r="K1682" s="15"/>
      <c r="L1682" s="15"/>
      <c r="M1682" s="18"/>
      <c r="N1682" s="18"/>
    </row>
    <row r="1683">
      <c r="A1683" s="15"/>
      <c r="B1683" s="15"/>
      <c r="C1683" s="17"/>
      <c r="D1683" s="15"/>
      <c r="E1683" s="15"/>
      <c r="F1683" s="15"/>
      <c r="G1683" s="15"/>
      <c r="H1683" s="15"/>
      <c r="I1683" s="15"/>
      <c r="J1683" s="15"/>
      <c r="K1683" s="15"/>
      <c r="L1683" s="15"/>
      <c r="M1683" s="18"/>
      <c r="N1683" s="18"/>
    </row>
    <row r="1684">
      <c r="A1684" s="15"/>
      <c r="B1684" s="15"/>
      <c r="C1684" s="17"/>
      <c r="D1684" s="15"/>
      <c r="E1684" s="15"/>
      <c r="F1684" s="15"/>
      <c r="G1684" s="15"/>
      <c r="H1684" s="15"/>
      <c r="I1684" s="15"/>
      <c r="J1684" s="15"/>
      <c r="K1684" s="15"/>
      <c r="L1684" s="15"/>
      <c r="M1684" s="18"/>
      <c r="N1684" s="18"/>
    </row>
    <row r="1685">
      <c r="A1685" s="15"/>
      <c r="B1685" s="15"/>
      <c r="C1685" s="17"/>
      <c r="D1685" s="15"/>
      <c r="E1685" s="15"/>
      <c r="F1685" s="15"/>
      <c r="G1685" s="15"/>
      <c r="H1685" s="15"/>
      <c r="I1685" s="15"/>
      <c r="J1685" s="15"/>
      <c r="K1685" s="15"/>
      <c r="L1685" s="15"/>
      <c r="M1685" s="18"/>
      <c r="N1685" s="18"/>
    </row>
    <row r="1686">
      <c r="A1686" s="15"/>
      <c r="B1686" s="15"/>
      <c r="C1686" s="17"/>
      <c r="D1686" s="15"/>
      <c r="E1686" s="15"/>
      <c r="F1686" s="15"/>
      <c r="G1686" s="15"/>
      <c r="H1686" s="15"/>
      <c r="I1686" s="15"/>
      <c r="J1686" s="15"/>
      <c r="K1686" s="15"/>
      <c r="L1686" s="15"/>
      <c r="M1686" s="18"/>
      <c r="N1686" s="18"/>
    </row>
    <row r="1687">
      <c r="A1687" s="15"/>
      <c r="B1687" s="15"/>
      <c r="C1687" s="17"/>
      <c r="D1687" s="15"/>
      <c r="E1687" s="15"/>
      <c r="F1687" s="15"/>
      <c r="G1687" s="15"/>
      <c r="H1687" s="15"/>
      <c r="I1687" s="15"/>
      <c r="J1687" s="15"/>
      <c r="K1687" s="15"/>
      <c r="L1687" s="15"/>
      <c r="M1687" s="18"/>
      <c r="N1687" s="18"/>
    </row>
    <row r="1688">
      <c r="A1688" s="15"/>
      <c r="B1688" s="15"/>
      <c r="C1688" s="17"/>
      <c r="D1688" s="15"/>
      <c r="E1688" s="15"/>
      <c r="F1688" s="15"/>
      <c r="G1688" s="15"/>
      <c r="H1688" s="15"/>
      <c r="I1688" s="15"/>
      <c r="J1688" s="15"/>
      <c r="K1688" s="15"/>
      <c r="L1688" s="15"/>
      <c r="M1688" s="18"/>
      <c r="N1688" s="18"/>
    </row>
    <row r="1689">
      <c r="A1689" s="15"/>
      <c r="B1689" s="15"/>
      <c r="C1689" s="17"/>
      <c r="D1689" s="15"/>
      <c r="E1689" s="15"/>
      <c r="F1689" s="15"/>
      <c r="G1689" s="15"/>
      <c r="H1689" s="15"/>
      <c r="I1689" s="15"/>
      <c r="J1689" s="15"/>
      <c r="K1689" s="15"/>
      <c r="L1689" s="15"/>
      <c r="M1689" s="18"/>
      <c r="N1689" s="18"/>
    </row>
    <row r="1690">
      <c r="A1690" s="15"/>
      <c r="B1690" s="15"/>
      <c r="C1690" s="17"/>
      <c r="D1690" s="15"/>
      <c r="E1690" s="15"/>
      <c r="F1690" s="15"/>
      <c r="G1690" s="15"/>
      <c r="H1690" s="15"/>
      <c r="I1690" s="15"/>
      <c r="J1690" s="15"/>
      <c r="K1690" s="15"/>
      <c r="L1690" s="15"/>
      <c r="M1690" s="18"/>
      <c r="N1690" s="18"/>
    </row>
    <row r="1691">
      <c r="A1691" s="15"/>
      <c r="B1691" s="15"/>
      <c r="C1691" s="17"/>
      <c r="D1691" s="15"/>
      <c r="E1691" s="15"/>
      <c r="F1691" s="15"/>
      <c r="G1691" s="15"/>
      <c r="H1691" s="15"/>
      <c r="I1691" s="15"/>
      <c r="J1691" s="15"/>
      <c r="K1691" s="15"/>
      <c r="L1691" s="15"/>
      <c r="M1691" s="18"/>
      <c r="N1691" s="18"/>
    </row>
    <row r="1692">
      <c r="A1692" s="15"/>
      <c r="B1692" s="15"/>
      <c r="C1692" s="17"/>
      <c r="D1692" s="15"/>
      <c r="E1692" s="15"/>
      <c r="F1692" s="15"/>
      <c r="G1692" s="15"/>
      <c r="H1692" s="15"/>
      <c r="I1692" s="15"/>
      <c r="J1692" s="15"/>
      <c r="K1692" s="15"/>
      <c r="L1692" s="15"/>
      <c r="M1692" s="18"/>
      <c r="N1692" s="18"/>
    </row>
    <row r="1693">
      <c r="A1693" s="15"/>
      <c r="B1693" s="15"/>
      <c r="C1693" s="17"/>
      <c r="D1693" s="15"/>
      <c r="E1693" s="15"/>
      <c r="F1693" s="15"/>
      <c r="G1693" s="15"/>
      <c r="H1693" s="15"/>
      <c r="I1693" s="15"/>
      <c r="J1693" s="15"/>
      <c r="K1693" s="15"/>
      <c r="L1693" s="15"/>
      <c r="M1693" s="18"/>
      <c r="N1693" s="18"/>
    </row>
    <row r="1694">
      <c r="A1694" s="15"/>
      <c r="B1694" s="15"/>
      <c r="C1694" s="17"/>
      <c r="D1694" s="15"/>
      <c r="E1694" s="15"/>
      <c r="F1694" s="15"/>
      <c r="G1694" s="15"/>
      <c r="H1694" s="15"/>
      <c r="I1694" s="15"/>
      <c r="J1694" s="15"/>
      <c r="K1694" s="15"/>
      <c r="L1694" s="15"/>
      <c r="M1694" s="18"/>
      <c r="N1694" s="18"/>
    </row>
    <row r="1695">
      <c r="A1695" s="15"/>
      <c r="B1695" s="15"/>
      <c r="C1695" s="17"/>
      <c r="D1695" s="15"/>
      <c r="E1695" s="15"/>
      <c r="F1695" s="15"/>
      <c r="G1695" s="15"/>
      <c r="H1695" s="15"/>
      <c r="I1695" s="15"/>
      <c r="J1695" s="15"/>
      <c r="K1695" s="15"/>
      <c r="L1695" s="15"/>
      <c r="M1695" s="18"/>
      <c r="N1695" s="18"/>
    </row>
    <row r="1696">
      <c r="A1696" s="15"/>
      <c r="B1696" s="15"/>
      <c r="C1696" s="17"/>
      <c r="D1696" s="15"/>
      <c r="E1696" s="15"/>
      <c r="F1696" s="15"/>
      <c r="G1696" s="15"/>
      <c r="H1696" s="15"/>
      <c r="I1696" s="15"/>
      <c r="J1696" s="15"/>
      <c r="K1696" s="15"/>
      <c r="L1696" s="15"/>
      <c r="M1696" s="18"/>
      <c r="N1696" s="18"/>
    </row>
    <row r="1697">
      <c r="A1697" s="15"/>
      <c r="B1697" s="15"/>
      <c r="C1697" s="17"/>
      <c r="D1697" s="15"/>
      <c r="E1697" s="15"/>
      <c r="F1697" s="15"/>
      <c r="G1697" s="15"/>
      <c r="H1697" s="15"/>
      <c r="I1697" s="15"/>
      <c r="J1697" s="15"/>
      <c r="K1697" s="15"/>
      <c r="L1697" s="15"/>
      <c r="M1697" s="18"/>
      <c r="N1697" s="18"/>
    </row>
    <row r="1698">
      <c r="A1698" s="15"/>
      <c r="B1698" s="15"/>
      <c r="C1698" s="17"/>
      <c r="D1698" s="15"/>
      <c r="E1698" s="15"/>
      <c r="F1698" s="15"/>
      <c r="G1698" s="15"/>
      <c r="H1698" s="15"/>
      <c r="I1698" s="15"/>
      <c r="J1698" s="15"/>
      <c r="K1698" s="15"/>
      <c r="L1698" s="15"/>
      <c r="M1698" s="18"/>
      <c r="N1698" s="18"/>
    </row>
    <row r="1699">
      <c r="A1699" s="15"/>
      <c r="B1699" s="15"/>
      <c r="C1699" s="17"/>
      <c r="D1699" s="15"/>
      <c r="E1699" s="15"/>
      <c r="F1699" s="15"/>
      <c r="G1699" s="15"/>
      <c r="H1699" s="15"/>
      <c r="I1699" s="15"/>
      <c r="J1699" s="15"/>
      <c r="K1699" s="15"/>
      <c r="L1699" s="15"/>
      <c r="M1699" s="18"/>
      <c r="N1699" s="18"/>
    </row>
    <row r="1700">
      <c r="A1700" s="15"/>
      <c r="B1700" s="15"/>
      <c r="C1700" s="17"/>
      <c r="D1700" s="15"/>
      <c r="E1700" s="15"/>
      <c r="F1700" s="15"/>
      <c r="G1700" s="15"/>
      <c r="H1700" s="15"/>
      <c r="I1700" s="15"/>
      <c r="J1700" s="15"/>
      <c r="K1700" s="15"/>
      <c r="L1700" s="15"/>
      <c r="M1700" s="18"/>
      <c r="N1700" s="18"/>
    </row>
    <row r="1701">
      <c r="A1701" s="15"/>
      <c r="B1701" s="15"/>
      <c r="C1701" s="17"/>
      <c r="D1701" s="15"/>
      <c r="E1701" s="15"/>
      <c r="F1701" s="15"/>
      <c r="G1701" s="15"/>
      <c r="H1701" s="15"/>
      <c r="I1701" s="15"/>
      <c r="J1701" s="15"/>
      <c r="K1701" s="15"/>
      <c r="L1701" s="15"/>
      <c r="M1701" s="18"/>
      <c r="N1701" s="18"/>
    </row>
    <row r="1702">
      <c r="A1702" s="15"/>
      <c r="B1702" s="15"/>
      <c r="C1702" s="17"/>
      <c r="D1702" s="15"/>
      <c r="E1702" s="15"/>
      <c r="F1702" s="15"/>
      <c r="G1702" s="15"/>
      <c r="H1702" s="15"/>
      <c r="I1702" s="15"/>
      <c r="J1702" s="15"/>
      <c r="K1702" s="15"/>
      <c r="L1702" s="15"/>
      <c r="M1702" s="18"/>
      <c r="N1702" s="18"/>
    </row>
    <row r="1703">
      <c r="A1703" s="15"/>
      <c r="B1703" s="15"/>
      <c r="C1703" s="17"/>
      <c r="D1703" s="15"/>
      <c r="E1703" s="15"/>
      <c r="F1703" s="15"/>
      <c r="G1703" s="15"/>
      <c r="H1703" s="15"/>
      <c r="I1703" s="15"/>
      <c r="J1703" s="15"/>
      <c r="K1703" s="15"/>
      <c r="L1703" s="15"/>
      <c r="M1703" s="18"/>
      <c r="N1703" s="18"/>
    </row>
    <row r="1704">
      <c r="A1704" s="15"/>
      <c r="B1704" s="15"/>
      <c r="C1704" s="17"/>
      <c r="D1704" s="15"/>
      <c r="E1704" s="15"/>
      <c r="F1704" s="15"/>
      <c r="G1704" s="15"/>
      <c r="H1704" s="15"/>
      <c r="I1704" s="15"/>
      <c r="J1704" s="15"/>
      <c r="K1704" s="15"/>
      <c r="L1704" s="15"/>
      <c r="M1704" s="18"/>
      <c r="N1704" s="18"/>
    </row>
    <row r="1705">
      <c r="A1705" s="15"/>
      <c r="B1705" s="15"/>
      <c r="C1705" s="17"/>
      <c r="D1705" s="15"/>
      <c r="E1705" s="15"/>
      <c r="F1705" s="15"/>
      <c r="G1705" s="15"/>
      <c r="H1705" s="15"/>
      <c r="I1705" s="15"/>
      <c r="J1705" s="15"/>
      <c r="K1705" s="15"/>
      <c r="L1705" s="15"/>
      <c r="M1705" s="18"/>
      <c r="N1705" s="18"/>
    </row>
    <row r="1706">
      <c r="A1706" s="15"/>
      <c r="B1706" s="15"/>
      <c r="C1706" s="17"/>
      <c r="D1706" s="15"/>
      <c r="E1706" s="15"/>
      <c r="F1706" s="15"/>
      <c r="G1706" s="15"/>
      <c r="H1706" s="15"/>
      <c r="I1706" s="15"/>
      <c r="J1706" s="15"/>
      <c r="K1706" s="15"/>
      <c r="L1706" s="15"/>
      <c r="M1706" s="18"/>
      <c r="N1706" s="18"/>
    </row>
    <row r="1707">
      <c r="A1707" s="15"/>
      <c r="B1707" s="15"/>
      <c r="C1707" s="17"/>
      <c r="D1707" s="15"/>
      <c r="E1707" s="15"/>
      <c r="F1707" s="15"/>
      <c r="G1707" s="15"/>
      <c r="H1707" s="15"/>
      <c r="I1707" s="15"/>
      <c r="J1707" s="15"/>
      <c r="K1707" s="15"/>
      <c r="L1707" s="15"/>
      <c r="M1707" s="18"/>
      <c r="N1707" s="18"/>
    </row>
    <row r="1708">
      <c r="A1708" s="15"/>
      <c r="B1708" s="15"/>
      <c r="C1708" s="17"/>
      <c r="D1708" s="15"/>
      <c r="E1708" s="15"/>
      <c r="F1708" s="15"/>
      <c r="G1708" s="15"/>
      <c r="H1708" s="15"/>
      <c r="I1708" s="15"/>
      <c r="J1708" s="15"/>
      <c r="K1708" s="15"/>
      <c r="L1708" s="15"/>
      <c r="M1708" s="18"/>
      <c r="N1708" s="18"/>
    </row>
    <row r="1709">
      <c r="A1709" s="15"/>
      <c r="B1709" s="15"/>
      <c r="C1709" s="17"/>
      <c r="D1709" s="15"/>
      <c r="E1709" s="15"/>
      <c r="F1709" s="15"/>
      <c r="G1709" s="15"/>
      <c r="H1709" s="15"/>
      <c r="I1709" s="15"/>
      <c r="J1709" s="15"/>
      <c r="K1709" s="15"/>
      <c r="L1709" s="15"/>
      <c r="M1709" s="18"/>
      <c r="N1709" s="18"/>
    </row>
    <row r="1710">
      <c r="A1710" s="15"/>
      <c r="B1710" s="15"/>
      <c r="C1710" s="17"/>
      <c r="D1710" s="15"/>
      <c r="E1710" s="15"/>
      <c r="F1710" s="15"/>
      <c r="G1710" s="15"/>
      <c r="H1710" s="15"/>
      <c r="I1710" s="15"/>
      <c r="J1710" s="15"/>
      <c r="K1710" s="15"/>
      <c r="L1710" s="15"/>
      <c r="M1710" s="18"/>
      <c r="N1710" s="18"/>
    </row>
    <row r="1711">
      <c r="A1711" s="15"/>
      <c r="B1711" s="15"/>
      <c r="C1711" s="17"/>
      <c r="D1711" s="15"/>
      <c r="E1711" s="15"/>
      <c r="F1711" s="15"/>
      <c r="G1711" s="15"/>
      <c r="H1711" s="15"/>
      <c r="I1711" s="15"/>
      <c r="J1711" s="15"/>
      <c r="K1711" s="15"/>
      <c r="L1711" s="15"/>
      <c r="M1711" s="18"/>
      <c r="N1711" s="18"/>
    </row>
    <row r="1712">
      <c r="A1712" s="15"/>
      <c r="B1712" s="15"/>
      <c r="C1712" s="17"/>
      <c r="D1712" s="15"/>
      <c r="E1712" s="15"/>
      <c r="F1712" s="15"/>
      <c r="G1712" s="15"/>
      <c r="H1712" s="15"/>
      <c r="I1712" s="15"/>
      <c r="J1712" s="15"/>
      <c r="K1712" s="15"/>
      <c r="L1712" s="15"/>
      <c r="M1712" s="18"/>
      <c r="N1712" s="18"/>
    </row>
    <row r="1713">
      <c r="A1713" s="15"/>
      <c r="B1713" s="15"/>
      <c r="C1713" s="17"/>
      <c r="D1713" s="15"/>
      <c r="E1713" s="15"/>
      <c r="F1713" s="15"/>
      <c r="G1713" s="15"/>
      <c r="H1713" s="15"/>
      <c r="I1713" s="15"/>
      <c r="J1713" s="15"/>
      <c r="K1713" s="15"/>
      <c r="L1713" s="15"/>
      <c r="M1713" s="18"/>
      <c r="N1713" s="18"/>
    </row>
    <row r="1714">
      <c r="A1714" s="15"/>
      <c r="B1714" s="15"/>
      <c r="C1714" s="17"/>
      <c r="D1714" s="15"/>
      <c r="E1714" s="15"/>
      <c r="F1714" s="15"/>
      <c r="G1714" s="15"/>
      <c r="H1714" s="15"/>
      <c r="I1714" s="15"/>
      <c r="J1714" s="15"/>
      <c r="K1714" s="15"/>
      <c r="L1714" s="15"/>
      <c r="M1714" s="18"/>
      <c r="N1714" s="18"/>
    </row>
    <row r="1715">
      <c r="A1715" s="15"/>
      <c r="B1715" s="15"/>
      <c r="C1715" s="17"/>
      <c r="D1715" s="15"/>
      <c r="E1715" s="15"/>
      <c r="F1715" s="15"/>
      <c r="G1715" s="15"/>
      <c r="H1715" s="15"/>
      <c r="I1715" s="15"/>
      <c r="J1715" s="15"/>
      <c r="K1715" s="15"/>
      <c r="L1715" s="15"/>
      <c r="M1715" s="18"/>
      <c r="N1715" s="18"/>
    </row>
    <row r="1716">
      <c r="A1716" s="15"/>
      <c r="B1716" s="15"/>
      <c r="C1716" s="17"/>
      <c r="D1716" s="15"/>
      <c r="E1716" s="15"/>
      <c r="F1716" s="15"/>
      <c r="G1716" s="15"/>
      <c r="H1716" s="15"/>
      <c r="I1716" s="15"/>
      <c r="J1716" s="15"/>
      <c r="K1716" s="15"/>
      <c r="L1716" s="15"/>
      <c r="M1716" s="18"/>
      <c r="N1716" s="18"/>
    </row>
    <row r="1717">
      <c r="A1717" s="15"/>
      <c r="B1717" s="15"/>
      <c r="C1717" s="17"/>
      <c r="D1717" s="15"/>
      <c r="E1717" s="15"/>
      <c r="F1717" s="15"/>
      <c r="G1717" s="15"/>
      <c r="H1717" s="15"/>
      <c r="I1717" s="15"/>
      <c r="J1717" s="15"/>
      <c r="K1717" s="15"/>
      <c r="L1717" s="15"/>
      <c r="M1717" s="18"/>
      <c r="N1717" s="18"/>
    </row>
    <row r="1718">
      <c r="A1718" s="15"/>
      <c r="B1718" s="15"/>
      <c r="C1718" s="17"/>
      <c r="D1718" s="15"/>
      <c r="E1718" s="15"/>
      <c r="F1718" s="15"/>
      <c r="G1718" s="15"/>
      <c r="H1718" s="15"/>
      <c r="I1718" s="15"/>
      <c r="J1718" s="15"/>
      <c r="K1718" s="15"/>
      <c r="L1718" s="15"/>
      <c r="M1718" s="18"/>
      <c r="N1718" s="18"/>
    </row>
    <row r="1719">
      <c r="A1719" s="15"/>
      <c r="B1719" s="15"/>
      <c r="C1719" s="17"/>
      <c r="D1719" s="15"/>
      <c r="E1719" s="15"/>
      <c r="F1719" s="15"/>
      <c r="G1719" s="15"/>
      <c r="H1719" s="15"/>
      <c r="I1719" s="15"/>
      <c r="J1719" s="15"/>
      <c r="K1719" s="15"/>
      <c r="L1719" s="15"/>
      <c r="M1719" s="18"/>
      <c r="N1719" s="18"/>
    </row>
    <row r="1720">
      <c r="A1720" s="15"/>
      <c r="B1720" s="15"/>
      <c r="C1720" s="17"/>
      <c r="D1720" s="15"/>
      <c r="E1720" s="15"/>
      <c r="F1720" s="15"/>
      <c r="G1720" s="15"/>
      <c r="H1720" s="15"/>
      <c r="I1720" s="15"/>
      <c r="J1720" s="15"/>
      <c r="K1720" s="15"/>
      <c r="L1720" s="15"/>
      <c r="M1720" s="18"/>
      <c r="N1720" s="18"/>
    </row>
    <row r="1721">
      <c r="A1721" s="15"/>
      <c r="B1721" s="15"/>
      <c r="C1721" s="17"/>
      <c r="D1721" s="15"/>
      <c r="E1721" s="15"/>
      <c r="F1721" s="15"/>
      <c r="G1721" s="15"/>
      <c r="H1721" s="15"/>
      <c r="I1721" s="15"/>
      <c r="J1721" s="15"/>
      <c r="K1721" s="15"/>
      <c r="L1721" s="15"/>
      <c r="M1721" s="18"/>
      <c r="N1721" s="18"/>
    </row>
    <row r="1722">
      <c r="A1722" s="15"/>
      <c r="B1722" s="15"/>
      <c r="C1722" s="17"/>
      <c r="D1722" s="15"/>
      <c r="E1722" s="15"/>
      <c r="F1722" s="15"/>
      <c r="G1722" s="15"/>
      <c r="H1722" s="15"/>
      <c r="I1722" s="15"/>
      <c r="J1722" s="15"/>
      <c r="K1722" s="15"/>
      <c r="L1722" s="15"/>
      <c r="M1722" s="18"/>
      <c r="N1722" s="18"/>
    </row>
    <row r="1723">
      <c r="A1723" s="15"/>
      <c r="B1723" s="15"/>
      <c r="C1723" s="17"/>
      <c r="D1723" s="15"/>
      <c r="E1723" s="15"/>
      <c r="F1723" s="15"/>
      <c r="G1723" s="15"/>
      <c r="H1723" s="15"/>
      <c r="I1723" s="15"/>
      <c r="J1723" s="15"/>
      <c r="K1723" s="15"/>
      <c r="L1723" s="15"/>
      <c r="M1723" s="18"/>
      <c r="N1723" s="18"/>
    </row>
    <row r="1724">
      <c r="A1724" s="15"/>
      <c r="B1724" s="15"/>
      <c r="C1724" s="17"/>
      <c r="D1724" s="15"/>
      <c r="E1724" s="15"/>
      <c r="F1724" s="15"/>
      <c r="G1724" s="15"/>
      <c r="H1724" s="15"/>
      <c r="I1724" s="15"/>
      <c r="J1724" s="15"/>
      <c r="K1724" s="15"/>
      <c r="L1724" s="15"/>
      <c r="M1724" s="18"/>
      <c r="N1724" s="18"/>
    </row>
    <row r="1725">
      <c r="A1725" s="15"/>
      <c r="B1725" s="15"/>
      <c r="C1725" s="17"/>
      <c r="D1725" s="15"/>
      <c r="E1725" s="15"/>
      <c r="F1725" s="15"/>
      <c r="G1725" s="15"/>
      <c r="H1725" s="15"/>
      <c r="I1725" s="15"/>
      <c r="J1725" s="15"/>
      <c r="K1725" s="15"/>
      <c r="L1725" s="15"/>
      <c r="M1725" s="18"/>
      <c r="N1725" s="18"/>
    </row>
    <row r="1726">
      <c r="A1726" s="15"/>
      <c r="B1726" s="15"/>
      <c r="C1726" s="17"/>
      <c r="D1726" s="15"/>
      <c r="E1726" s="15"/>
      <c r="F1726" s="15"/>
      <c r="G1726" s="15"/>
      <c r="H1726" s="15"/>
      <c r="I1726" s="15"/>
      <c r="J1726" s="15"/>
      <c r="K1726" s="15"/>
      <c r="L1726" s="15"/>
      <c r="M1726" s="18"/>
      <c r="N1726" s="18"/>
    </row>
    <row r="1727">
      <c r="A1727" s="15"/>
      <c r="B1727" s="15"/>
      <c r="C1727" s="17"/>
      <c r="D1727" s="15"/>
      <c r="E1727" s="15"/>
      <c r="F1727" s="15"/>
      <c r="G1727" s="15"/>
      <c r="H1727" s="15"/>
      <c r="I1727" s="15"/>
      <c r="J1727" s="15"/>
      <c r="K1727" s="15"/>
      <c r="L1727" s="15"/>
      <c r="M1727" s="18"/>
      <c r="N1727" s="18"/>
    </row>
    <row r="1728">
      <c r="A1728" s="15"/>
      <c r="B1728" s="15"/>
      <c r="C1728" s="17"/>
      <c r="D1728" s="15"/>
      <c r="E1728" s="15"/>
      <c r="F1728" s="15"/>
      <c r="G1728" s="15"/>
      <c r="H1728" s="15"/>
      <c r="I1728" s="15"/>
      <c r="J1728" s="15"/>
      <c r="K1728" s="15"/>
      <c r="L1728" s="15"/>
      <c r="M1728" s="18"/>
      <c r="N1728" s="18"/>
    </row>
    <row r="1729">
      <c r="A1729" s="15"/>
      <c r="B1729" s="15"/>
      <c r="C1729" s="17"/>
      <c r="D1729" s="15"/>
      <c r="E1729" s="15"/>
      <c r="F1729" s="15"/>
      <c r="G1729" s="15"/>
      <c r="H1729" s="15"/>
      <c r="I1729" s="15"/>
      <c r="J1729" s="15"/>
      <c r="K1729" s="15"/>
      <c r="L1729" s="15"/>
      <c r="M1729" s="18"/>
      <c r="N1729" s="18"/>
    </row>
    <row r="1730">
      <c r="A1730" s="15"/>
      <c r="B1730" s="15"/>
      <c r="C1730" s="17"/>
      <c r="D1730" s="15"/>
      <c r="E1730" s="15"/>
      <c r="F1730" s="15"/>
      <c r="G1730" s="15"/>
      <c r="H1730" s="15"/>
      <c r="I1730" s="15"/>
      <c r="J1730" s="15"/>
      <c r="K1730" s="15"/>
      <c r="L1730" s="15"/>
      <c r="M1730" s="18"/>
      <c r="N1730" s="18"/>
    </row>
    <row r="1731">
      <c r="A1731" s="15"/>
      <c r="B1731" s="15"/>
      <c r="C1731" s="17"/>
      <c r="D1731" s="15"/>
      <c r="E1731" s="15"/>
      <c r="F1731" s="15"/>
      <c r="G1731" s="15"/>
      <c r="H1731" s="15"/>
      <c r="I1731" s="15"/>
      <c r="J1731" s="15"/>
      <c r="K1731" s="15"/>
      <c r="L1731" s="15"/>
      <c r="M1731" s="18"/>
      <c r="N1731" s="18"/>
    </row>
    <row r="1732">
      <c r="A1732" s="15"/>
      <c r="B1732" s="15"/>
      <c r="C1732" s="17"/>
      <c r="D1732" s="15"/>
      <c r="E1732" s="15"/>
      <c r="F1732" s="15"/>
      <c r="G1732" s="15"/>
      <c r="H1732" s="15"/>
      <c r="I1732" s="15"/>
      <c r="J1732" s="15"/>
      <c r="K1732" s="15"/>
      <c r="L1732" s="15"/>
      <c r="M1732" s="18"/>
      <c r="N1732" s="18"/>
    </row>
    <row r="1733">
      <c r="A1733" s="15"/>
      <c r="B1733" s="15"/>
      <c r="C1733" s="17"/>
      <c r="D1733" s="15"/>
      <c r="E1733" s="15"/>
      <c r="F1733" s="15"/>
      <c r="G1733" s="15"/>
      <c r="H1733" s="15"/>
      <c r="I1733" s="15"/>
      <c r="J1733" s="15"/>
      <c r="K1733" s="15"/>
      <c r="L1733" s="15"/>
      <c r="M1733" s="18"/>
      <c r="N1733" s="18"/>
    </row>
    <row r="1734">
      <c r="A1734" s="15"/>
      <c r="B1734" s="15"/>
      <c r="C1734" s="17"/>
      <c r="D1734" s="15"/>
      <c r="E1734" s="15"/>
      <c r="F1734" s="15"/>
      <c r="G1734" s="15"/>
      <c r="H1734" s="15"/>
      <c r="I1734" s="15"/>
      <c r="J1734" s="15"/>
      <c r="K1734" s="15"/>
      <c r="L1734" s="15"/>
      <c r="M1734" s="18"/>
      <c r="N1734" s="18"/>
    </row>
    <row r="1735">
      <c r="A1735" s="15"/>
      <c r="B1735" s="15"/>
      <c r="C1735" s="17"/>
      <c r="D1735" s="15"/>
      <c r="E1735" s="15"/>
      <c r="F1735" s="15"/>
      <c r="G1735" s="15"/>
      <c r="H1735" s="15"/>
      <c r="I1735" s="15"/>
      <c r="J1735" s="15"/>
      <c r="K1735" s="15"/>
      <c r="L1735" s="15"/>
      <c r="M1735" s="18"/>
      <c r="N1735" s="18"/>
    </row>
    <row r="1736">
      <c r="A1736" s="15"/>
      <c r="B1736" s="15"/>
      <c r="C1736" s="17"/>
      <c r="D1736" s="15"/>
      <c r="E1736" s="15"/>
      <c r="F1736" s="15"/>
      <c r="G1736" s="15"/>
      <c r="H1736" s="15"/>
      <c r="I1736" s="15"/>
      <c r="J1736" s="15"/>
      <c r="K1736" s="15"/>
      <c r="L1736" s="15"/>
      <c r="M1736" s="18"/>
      <c r="N1736" s="18"/>
    </row>
    <row r="1737">
      <c r="A1737" s="15"/>
      <c r="B1737" s="15"/>
      <c r="C1737" s="17"/>
      <c r="D1737" s="15"/>
      <c r="E1737" s="15"/>
      <c r="F1737" s="15"/>
      <c r="G1737" s="15"/>
      <c r="H1737" s="15"/>
      <c r="I1737" s="15"/>
      <c r="J1737" s="15"/>
      <c r="K1737" s="15"/>
      <c r="L1737" s="15"/>
      <c r="M1737" s="18"/>
      <c r="N1737" s="18"/>
    </row>
    <row r="1738">
      <c r="A1738" s="15"/>
      <c r="B1738" s="15"/>
      <c r="C1738" s="17"/>
      <c r="D1738" s="15"/>
      <c r="E1738" s="15"/>
      <c r="F1738" s="15"/>
      <c r="G1738" s="15"/>
      <c r="H1738" s="15"/>
      <c r="I1738" s="15"/>
      <c r="J1738" s="15"/>
      <c r="K1738" s="15"/>
      <c r="L1738" s="15"/>
      <c r="M1738" s="18"/>
      <c r="N1738" s="18"/>
    </row>
    <row r="1739">
      <c r="A1739" s="15"/>
      <c r="B1739" s="15"/>
      <c r="C1739" s="17"/>
      <c r="D1739" s="15"/>
      <c r="E1739" s="15"/>
      <c r="F1739" s="15"/>
      <c r="G1739" s="15"/>
      <c r="H1739" s="15"/>
      <c r="I1739" s="15"/>
      <c r="J1739" s="15"/>
      <c r="K1739" s="15"/>
      <c r="L1739" s="15"/>
      <c r="M1739" s="18"/>
      <c r="N1739" s="18"/>
    </row>
    <row r="1740">
      <c r="A1740" s="15"/>
      <c r="B1740" s="15"/>
      <c r="C1740" s="17"/>
      <c r="D1740" s="15"/>
      <c r="E1740" s="15"/>
      <c r="F1740" s="15"/>
      <c r="G1740" s="15"/>
      <c r="H1740" s="15"/>
      <c r="I1740" s="15"/>
      <c r="J1740" s="15"/>
      <c r="K1740" s="15"/>
      <c r="L1740" s="15"/>
      <c r="M1740" s="18"/>
      <c r="N1740" s="18"/>
    </row>
    <row r="1741">
      <c r="A1741" s="15"/>
      <c r="B1741" s="15"/>
      <c r="C1741" s="17"/>
      <c r="D1741" s="15"/>
      <c r="E1741" s="15"/>
      <c r="F1741" s="15"/>
      <c r="G1741" s="15"/>
      <c r="H1741" s="15"/>
      <c r="I1741" s="15"/>
      <c r="J1741" s="15"/>
      <c r="K1741" s="15"/>
      <c r="L1741" s="15"/>
      <c r="M1741" s="18"/>
      <c r="N1741" s="18"/>
    </row>
    <row r="1742">
      <c r="A1742" s="15"/>
      <c r="B1742" s="15"/>
      <c r="C1742" s="17"/>
      <c r="D1742" s="15"/>
      <c r="E1742" s="15"/>
      <c r="F1742" s="15"/>
      <c r="G1742" s="15"/>
      <c r="H1742" s="15"/>
      <c r="I1742" s="15"/>
      <c r="J1742" s="15"/>
      <c r="K1742" s="15"/>
      <c r="L1742" s="15"/>
      <c r="M1742" s="18"/>
      <c r="N1742" s="18"/>
    </row>
    <row r="1743">
      <c r="A1743" s="15"/>
      <c r="B1743" s="15"/>
      <c r="C1743" s="17"/>
      <c r="D1743" s="15"/>
      <c r="E1743" s="15"/>
      <c r="F1743" s="15"/>
      <c r="G1743" s="15"/>
      <c r="H1743" s="15"/>
      <c r="I1743" s="15"/>
      <c r="J1743" s="15"/>
      <c r="K1743" s="15"/>
      <c r="L1743" s="15"/>
      <c r="M1743" s="18"/>
      <c r="N1743" s="18"/>
    </row>
    <row r="1744">
      <c r="A1744" s="15"/>
      <c r="B1744" s="15"/>
      <c r="C1744" s="17"/>
      <c r="D1744" s="15"/>
      <c r="E1744" s="15"/>
      <c r="F1744" s="15"/>
      <c r="G1744" s="15"/>
      <c r="H1744" s="15"/>
      <c r="I1744" s="15"/>
      <c r="J1744" s="15"/>
      <c r="K1744" s="15"/>
      <c r="L1744" s="15"/>
      <c r="M1744" s="18"/>
      <c r="N1744" s="18"/>
    </row>
    <row r="1745">
      <c r="A1745" s="15"/>
      <c r="B1745" s="15"/>
      <c r="C1745" s="17"/>
      <c r="D1745" s="15"/>
      <c r="E1745" s="15"/>
      <c r="F1745" s="15"/>
      <c r="G1745" s="15"/>
      <c r="H1745" s="15"/>
      <c r="I1745" s="15"/>
      <c r="J1745" s="15"/>
      <c r="K1745" s="15"/>
      <c r="L1745" s="15"/>
      <c r="M1745" s="18"/>
      <c r="N1745" s="18"/>
    </row>
    <row r="1746">
      <c r="A1746" s="15"/>
      <c r="B1746" s="15"/>
      <c r="C1746" s="17"/>
      <c r="D1746" s="15"/>
      <c r="E1746" s="15"/>
      <c r="F1746" s="15"/>
      <c r="G1746" s="15"/>
      <c r="H1746" s="15"/>
      <c r="I1746" s="15"/>
      <c r="J1746" s="15"/>
      <c r="K1746" s="15"/>
      <c r="L1746" s="15"/>
      <c r="M1746" s="18"/>
      <c r="N1746" s="18"/>
    </row>
    <row r="1747">
      <c r="A1747" s="15"/>
      <c r="B1747" s="15"/>
      <c r="C1747" s="17"/>
      <c r="D1747" s="15"/>
      <c r="E1747" s="15"/>
      <c r="F1747" s="15"/>
      <c r="G1747" s="15"/>
      <c r="H1747" s="15"/>
      <c r="I1747" s="15"/>
      <c r="J1747" s="15"/>
      <c r="K1747" s="15"/>
      <c r="L1747" s="15"/>
      <c r="M1747" s="18"/>
      <c r="N1747" s="18"/>
    </row>
    <row r="1748">
      <c r="A1748" s="15"/>
      <c r="B1748" s="15"/>
      <c r="C1748" s="17"/>
      <c r="D1748" s="15"/>
      <c r="E1748" s="15"/>
      <c r="F1748" s="15"/>
      <c r="G1748" s="15"/>
      <c r="H1748" s="15"/>
      <c r="I1748" s="15"/>
      <c r="J1748" s="15"/>
      <c r="K1748" s="15"/>
      <c r="L1748" s="15"/>
      <c r="M1748" s="18"/>
      <c r="N1748" s="18"/>
    </row>
    <row r="1749">
      <c r="A1749" s="15"/>
      <c r="B1749" s="15"/>
      <c r="C1749" s="17"/>
      <c r="D1749" s="15"/>
      <c r="E1749" s="15"/>
      <c r="F1749" s="15"/>
      <c r="G1749" s="15"/>
      <c r="H1749" s="15"/>
      <c r="I1749" s="15"/>
      <c r="J1749" s="15"/>
      <c r="K1749" s="15"/>
      <c r="L1749" s="15"/>
      <c r="M1749" s="18"/>
      <c r="N1749" s="18"/>
    </row>
    <row r="1750">
      <c r="A1750" s="15"/>
      <c r="B1750" s="15"/>
      <c r="C1750" s="17"/>
      <c r="D1750" s="15"/>
      <c r="E1750" s="15"/>
      <c r="F1750" s="15"/>
      <c r="G1750" s="15"/>
      <c r="H1750" s="15"/>
      <c r="I1750" s="15"/>
      <c r="J1750" s="15"/>
      <c r="K1750" s="15"/>
      <c r="L1750" s="15"/>
      <c r="M1750" s="18"/>
      <c r="N1750" s="18"/>
    </row>
    <row r="1751">
      <c r="A1751" s="15"/>
      <c r="B1751" s="15"/>
      <c r="C1751" s="17"/>
      <c r="D1751" s="15"/>
      <c r="E1751" s="15"/>
      <c r="F1751" s="15"/>
      <c r="G1751" s="15"/>
      <c r="H1751" s="15"/>
      <c r="I1751" s="15"/>
      <c r="J1751" s="15"/>
      <c r="K1751" s="15"/>
      <c r="L1751" s="15"/>
      <c r="M1751" s="18"/>
      <c r="N1751" s="18"/>
    </row>
    <row r="1752">
      <c r="A1752" s="15"/>
      <c r="B1752" s="15"/>
      <c r="C1752" s="17"/>
      <c r="D1752" s="15"/>
      <c r="E1752" s="15"/>
      <c r="F1752" s="15"/>
      <c r="G1752" s="15"/>
      <c r="H1752" s="15"/>
      <c r="I1752" s="15"/>
      <c r="J1752" s="15"/>
      <c r="K1752" s="15"/>
      <c r="L1752" s="15"/>
      <c r="M1752" s="18"/>
      <c r="N1752" s="18"/>
    </row>
    <row r="1753">
      <c r="A1753" s="15"/>
      <c r="B1753" s="15"/>
      <c r="C1753" s="17"/>
      <c r="D1753" s="15"/>
      <c r="E1753" s="15"/>
      <c r="F1753" s="15"/>
      <c r="G1753" s="15"/>
      <c r="H1753" s="15"/>
      <c r="I1753" s="15"/>
      <c r="J1753" s="15"/>
      <c r="K1753" s="15"/>
      <c r="L1753" s="15"/>
      <c r="M1753" s="18"/>
      <c r="N1753" s="18"/>
    </row>
    <row r="1754">
      <c r="A1754" s="15"/>
      <c r="B1754" s="15"/>
      <c r="C1754" s="17"/>
      <c r="D1754" s="15"/>
      <c r="E1754" s="15"/>
      <c r="F1754" s="15"/>
      <c r="G1754" s="15"/>
      <c r="H1754" s="15"/>
      <c r="I1754" s="15"/>
      <c r="J1754" s="15"/>
      <c r="K1754" s="15"/>
      <c r="L1754" s="15"/>
      <c r="M1754" s="18"/>
      <c r="N1754" s="18"/>
    </row>
    <row r="1755">
      <c r="A1755" s="15"/>
      <c r="B1755" s="15"/>
      <c r="C1755" s="17"/>
      <c r="D1755" s="15"/>
      <c r="E1755" s="15"/>
      <c r="F1755" s="15"/>
      <c r="G1755" s="15"/>
      <c r="H1755" s="15"/>
      <c r="I1755" s="15"/>
      <c r="J1755" s="15"/>
      <c r="K1755" s="15"/>
      <c r="L1755" s="15"/>
      <c r="M1755" s="18"/>
      <c r="N1755" s="18"/>
    </row>
    <row r="1756">
      <c r="A1756" s="15"/>
      <c r="B1756" s="15"/>
      <c r="C1756" s="17"/>
      <c r="D1756" s="15"/>
      <c r="E1756" s="15"/>
      <c r="F1756" s="15"/>
      <c r="G1756" s="15"/>
      <c r="H1756" s="15"/>
      <c r="I1756" s="15"/>
      <c r="J1756" s="15"/>
      <c r="K1756" s="15"/>
      <c r="L1756" s="15"/>
      <c r="M1756" s="18"/>
      <c r="N1756" s="18"/>
    </row>
    <row r="1757">
      <c r="A1757" s="15"/>
      <c r="B1757" s="15"/>
      <c r="C1757" s="17"/>
      <c r="D1757" s="15"/>
      <c r="E1757" s="15"/>
      <c r="F1757" s="15"/>
      <c r="G1757" s="15"/>
      <c r="H1757" s="15"/>
      <c r="I1757" s="15"/>
      <c r="J1757" s="15"/>
      <c r="K1757" s="15"/>
      <c r="L1757" s="15"/>
      <c r="M1757" s="18"/>
      <c r="N1757" s="18"/>
    </row>
    <row r="1758">
      <c r="A1758" s="15"/>
      <c r="B1758" s="15"/>
      <c r="C1758" s="17"/>
      <c r="D1758" s="15"/>
      <c r="E1758" s="15"/>
      <c r="F1758" s="15"/>
      <c r="G1758" s="15"/>
      <c r="H1758" s="15"/>
      <c r="I1758" s="15"/>
      <c r="J1758" s="15"/>
      <c r="K1758" s="15"/>
      <c r="L1758" s="15"/>
      <c r="M1758" s="18"/>
      <c r="N1758" s="18"/>
    </row>
    <row r="1759">
      <c r="A1759" s="15"/>
      <c r="B1759" s="15"/>
      <c r="C1759" s="17"/>
      <c r="D1759" s="15"/>
      <c r="E1759" s="15"/>
      <c r="F1759" s="15"/>
      <c r="G1759" s="15"/>
      <c r="H1759" s="15"/>
      <c r="I1759" s="15"/>
      <c r="J1759" s="15"/>
      <c r="K1759" s="15"/>
      <c r="L1759" s="15"/>
      <c r="M1759" s="18"/>
      <c r="N1759" s="18"/>
    </row>
    <row r="1760">
      <c r="A1760" s="15"/>
      <c r="B1760" s="15"/>
      <c r="C1760" s="17"/>
      <c r="D1760" s="15"/>
      <c r="E1760" s="15"/>
      <c r="F1760" s="15"/>
      <c r="G1760" s="15"/>
      <c r="H1760" s="15"/>
      <c r="I1760" s="15"/>
      <c r="J1760" s="15"/>
      <c r="K1760" s="15"/>
      <c r="L1760" s="15"/>
      <c r="M1760" s="18"/>
      <c r="N1760" s="18"/>
    </row>
    <row r="1761">
      <c r="A1761" s="15"/>
      <c r="B1761" s="15"/>
      <c r="C1761" s="17"/>
      <c r="D1761" s="15"/>
      <c r="E1761" s="15"/>
      <c r="F1761" s="15"/>
      <c r="G1761" s="15"/>
      <c r="H1761" s="15"/>
      <c r="I1761" s="15"/>
      <c r="J1761" s="15"/>
      <c r="K1761" s="15"/>
      <c r="L1761" s="15"/>
      <c r="M1761" s="18"/>
      <c r="N1761" s="18"/>
    </row>
    <row r="1762">
      <c r="A1762" s="15"/>
      <c r="B1762" s="15"/>
      <c r="C1762" s="17"/>
      <c r="D1762" s="15"/>
      <c r="E1762" s="15"/>
      <c r="F1762" s="15"/>
      <c r="G1762" s="15"/>
      <c r="H1762" s="15"/>
      <c r="I1762" s="15"/>
      <c r="J1762" s="15"/>
      <c r="K1762" s="15"/>
      <c r="L1762" s="15"/>
      <c r="M1762" s="18"/>
      <c r="N1762" s="18"/>
    </row>
    <row r="1763">
      <c r="A1763" s="15"/>
      <c r="B1763" s="15"/>
      <c r="C1763" s="17"/>
      <c r="D1763" s="15"/>
      <c r="E1763" s="15"/>
      <c r="F1763" s="15"/>
      <c r="G1763" s="15"/>
      <c r="H1763" s="15"/>
      <c r="I1763" s="15"/>
      <c r="J1763" s="15"/>
      <c r="K1763" s="15"/>
      <c r="L1763" s="15"/>
      <c r="M1763" s="18"/>
      <c r="N1763" s="18"/>
    </row>
    <row r="1764">
      <c r="A1764" s="15"/>
      <c r="B1764" s="15"/>
      <c r="C1764" s="17"/>
      <c r="D1764" s="15"/>
      <c r="E1764" s="15"/>
      <c r="F1764" s="15"/>
      <c r="G1764" s="15"/>
      <c r="H1764" s="15"/>
      <c r="I1764" s="15"/>
      <c r="J1764" s="15"/>
      <c r="K1764" s="15"/>
      <c r="L1764" s="15"/>
      <c r="M1764" s="18"/>
      <c r="N1764" s="18"/>
    </row>
    <row r="1765">
      <c r="A1765" s="15"/>
      <c r="B1765" s="15"/>
      <c r="C1765" s="17"/>
      <c r="D1765" s="15"/>
      <c r="E1765" s="15"/>
      <c r="F1765" s="15"/>
      <c r="G1765" s="15"/>
      <c r="H1765" s="15"/>
      <c r="I1765" s="15"/>
      <c r="J1765" s="15"/>
      <c r="K1765" s="15"/>
      <c r="L1765" s="15"/>
      <c r="M1765" s="18"/>
      <c r="N1765" s="18"/>
    </row>
    <row r="1766">
      <c r="A1766" s="15"/>
      <c r="B1766" s="15"/>
      <c r="C1766" s="17"/>
      <c r="D1766" s="15"/>
      <c r="E1766" s="15"/>
      <c r="F1766" s="15"/>
      <c r="G1766" s="15"/>
      <c r="H1766" s="15"/>
      <c r="I1766" s="15"/>
      <c r="J1766" s="15"/>
      <c r="K1766" s="15"/>
      <c r="L1766" s="15"/>
      <c r="M1766" s="18"/>
      <c r="N1766" s="18"/>
    </row>
    <row r="1767">
      <c r="A1767" s="15"/>
      <c r="B1767" s="15"/>
      <c r="C1767" s="17"/>
      <c r="D1767" s="15"/>
      <c r="E1767" s="15"/>
      <c r="F1767" s="15"/>
      <c r="G1767" s="15"/>
      <c r="H1767" s="15"/>
      <c r="I1767" s="15"/>
      <c r="J1767" s="15"/>
      <c r="K1767" s="15"/>
      <c r="L1767" s="15"/>
      <c r="M1767" s="18"/>
      <c r="N1767" s="18"/>
    </row>
    <row r="1768">
      <c r="A1768" s="15"/>
      <c r="B1768" s="15"/>
      <c r="C1768" s="17"/>
      <c r="D1768" s="15"/>
      <c r="E1768" s="15"/>
      <c r="F1768" s="15"/>
      <c r="G1768" s="15"/>
      <c r="H1768" s="15"/>
      <c r="I1768" s="15"/>
      <c r="J1768" s="15"/>
      <c r="K1768" s="15"/>
      <c r="L1768" s="15"/>
      <c r="M1768" s="18"/>
      <c r="N1768" s="18"/>
    </row>
    <row r="1769">
      <c r="A1769" s="15"/>
      <c r="B1769" s="15"/>
      <c r="C1769" s="17"/>
      <c r="D1769" s="15"/>
      <c r="E1769" s="15"/>
      <c r="F1769" s="15"/>
      <c r="G1769" s="15"/>
      <c r="H1769" s="15"/>
      <c r="I1769" s="15"/>
      <c r="J1769" s="15"/>
      <c r="K1769" s="15"/>
      <c r="L1769" s="15"/>
      <c r="M1769" s="18"/>
      <c r="N1769" s="18"/>
    </row>
    <row r="1770">
      <c r="A1770" s="15"/>
      <c r="B1770" s="15"/>
      <c r="C1770" s="17"/>
      <c r="D1770" s="15"/>
      <c r="E1770" s="15"/>
      <c r="F1770" s="15"/>
      <c r="G1770" s="15"/>
      <c r="H1770" s="15"/>
      <c r="I1770" s="15"/>
      <c r="J1770" s="15"/>
      <c r="K1770" s="15"/>
      <c r="L1770" s="15"/>
      <c r="M1770" s="18"/>
      <c r="N1770" s="18"/>
    </row>
    <row r="1771">
      <c r="A1771" s="15"/>
      <c r="B1771" s="15"/>
      <c r="C1771" s="17"/>
      <c r="D1771" s="15"/>
      <c r="E1771" s="15"/>
      <c r="F1771" s="15"/>
      <c r="G1771" s="15"/>
      <c r="H1771" s="15"/>
      <c r="I1771" s="15"/>
      <c r="J1771" s="15"/>
      <c r="K1771" s="15"/>
      <c r="L1771" s="15"/>
      <c r="M1771" s="18"/>
      <c r="N1771" s="18"/>
    </row>
    <row r="1772">
      <c r="A1772" s="15"/>
      <c r="B1772" s="15"/>
      <c r="C1772" s="17"/>
      <c r="D1772" s="15"/>
      <c r="E1772" s="15"/>
      <c r="F1772" s="15"/>
      <c r="G1772" s="15"/>
      <c r="H1772" s="15"/>
      <c r="I1772" s="15"/>
      <c r="J1772" s="15"/>
      <c r="K1772" s="15"/>
      <c r="L1772" s="15"/>
      <c r="M1772" s="18"/>
      <c r="N1772" s="18"/>
    </row>
    <row r="1773">
      <c r="A1773" s="15"/>
      <c r="B1773" s="15"/>
      <c r="C1773" s="17"/>
      <c r="D1773" s="15"/>
      <c r="E1773" s="15"/>
      <c r="F1773" s="15"/>
      <c r="G1773" s="15"/>
      <c r="H1773" s="15"/>
      <c r="I1773" s="15"/>
      <c r="J1773" s="15"/>
      <c r="K1773" s="15"/>
      <c r="L1773" s="15"/>
      <c r="M1773" s="18"/>
      <c r="N1773" s="18"/>
    </row>
    <row r="1774">
      <c r="A1774" s="15"/>
      <c r="B1774" s="15"/>
      <c r="C1774" s="17"/>
      <c r="D1774" s="15"/>
      <c r="E1774" s="15"/>
      <c r="F1774" s="15"/>
      <c r="G1774" s="15"/>
      <c r="H1774" s="15"/>
      <c r="I1774" s="15"/>
      <c r="J1774" s="15"/>
      <c r="K1774" s="15"/>
      <c r="L1774" s="15"/>
      <c r="M1774" s="18"/>
      <c r="N1774" s="18"/>
    </row>
    <row r="1775">
      <c r="A1775" s="15"/>
      <c r="B1775" s="15"/>
      <c r="C1775" s="17"/>
      <c r="D1775" s="15"/>
      <c r="E1775" s="15"/>
      <c r="F1775" s="15"/>
      <c r="G1775" s="15"/>
      <c r="H1775" s="15"/>
      <c r="I1775" s="15"/>
      <c r="J1775" s="15"/>
      <c r="K1775" s="15"/>
      <c r="L1775" s="15"/>
      <c r="M1775" s="18"/>
      <c r="N1775" s="18"/>
    </row>
    <row r="1776">
      <c r="A1776" s="15"/>
      <c r="B1776" s="15"/>
      <c r="C1776" s="17"/>
      <c r="D1776" s="15"/>
      <c r="E1776" s="15"/>
      <c r="F1776" s="15"/>
      <c r="G1776" s="15"/>
      <c r="H1776" s="15"/>
      <c r="I1776" s="15"/>
      <c r="J1776" s="15"/>
      <c r="K1776" s="15"/>
      <c r="L1776" s="15"/>
      <c r="M1776" s="18"/>
      <c r="N1776" s="18"/>
    </row>
    <row r="1777">
      <c r="A1777" s="15"/>
      <c r="B1777" s="15"/>
      <c r="C1777" s="17"/>
      <c r="D1777" s="15"/>
      <c r="E1777" s="15"/>
      <c r="F1777" s="15"/>
      <c r="G1777" s="15"/>
      <c r="H1777" s="15"/>
      <c r="I1777" s="15"/>
      <c r="J1777" s="15"/>
      <c r="K1777" s="15"/>
      <c r="L1777" s="15"/>
      <c r="M1777" s="18"/>
      <c r="N1777" s="18"/>
    </row>
    <row r="1778">
      <c r="A1778" s="15"/>
      <c r="B1778" s="15"/>
      <c r="C1778" s="17"/>
      <c r="D1778" s="15"/>
      <c r="E1778" s="15"/>
      <c r="F1778" s="15"/>
      <c r="G1778" s="15"/>
      <c r="H1778" s="15"/>
      <c r="I1778" s="15"/>
      <c r="J1778" s="15"/>
      <c r="K1778" s="15"/>
      <c r="L1778" s="15"/>
      <c r="M1778" s="18"/>
      <c r="N1778" s="18"/>
    </row>
    <row r="1779">
      <c r="A1779" s="15"/>
      <c r="B1779" s="15"/>
      <c r="C1779" s="17"/>
      <c r="D1779" s="15"/>
      <c r="E1779" s="15"/>
      <c r="F1779" s="15"/>
      <c r="G1779" s="15"/>
      <c r="H1779" s="15"/>
      <c r="I1779" s="15"/>
      <c r="J1779" s="15"/>
      <c r="K1779" s="15"/>
      <c r="L1779" s="15"/>
      <c r="M1779" s="18"/>
      <c r="N1779" s="18"/>
    </row>
    <row r="1780">
      <c r="A1780" s="15"/>
      <c r="B1780" s="15"/>
      <c r="C1780" s="17"/>
      <c r="D1780" s="15"/>
      <c r="E1780" s="15"/>
      <c r="F1780" s="15"/>
      <c r="G1780" s="15"/>
      <c r="H1780" s="15"/>
      <c r="I1780" s="15"/>
      <c r="J1780" s="15"/>
      <c r="K1780" s="15"/>
      <c r="L1780" s="15"/>
      <c r="M1780" s="18"/>
      <c r="N1780" s="18"/>
    </row>
    <row r="1781">
      <c r="A1781" s="15"/>
      <c r="B1781" s="15"/>
      <c r="C1781" s="17"/>
      <c r="D1781" s="15"/>
      <c r="E1781" s="15"/>
      <c r="F1781" s="15"/>
      <c r="G1781" s="15"/>
      <c r="H1781" s="15"/>
      <c r="I1781" s="15"/>
      <c r="J1781" s="15"/>
      <c r="K1781" s="15"/>
      <c r="L1781" s="15"/>
      <c r="M1781" s="18"/>
      <c r="N1781" s="18"/>
    </row>
    <row r="1782">
      <c r="A1782" s="15"/>
      <c r="B1782" s="15"/>
      <c r="C1782" s="17"/>
      <c r="D1782" s="15"/>
      <c r="E1782" s="15"/>
      <c r="F1782" s="15"/>
      <c r="G1782" s="15"/>
      <c r="H1782" s="15"/>
      <c r="I1782" s="15"/>
      <c r="J1782" s="15"/>
      <c r="K1782" s="15"/>
      <c r="L1782" s="15"/>
      <c r="M1782" s="18"/>
      <c r="N1782" s="18"/>
    </row>
    <row r="1783">
      <c r="A1783" s="15"/>
      <c r="B1783" s="15"/>
      <c r="C1783" s="17"/>
      <c r="D1783" s="15"/>
      <c r="E1783" s="15"/>
      <c r="F1783" s="15"/>
      <c r="G1783" s="15"/>
      <c r="H1783" s="15"/>
      <c r="I1783" s="15"/>
      <c r="J1783" s="15"/>
      <c r="K1783" s="15"/>
      <c r="L1783" s="15"/>
      <c r="M1783" s="18"/>
      <c r="N1783" s="18"/>
    </row>
    <row r="1784">
      <c r="A1784" s="15"/>
      <c r="B1784" s="15"/>
      <c r="C1784" s="17"/>
      <c r="D1784" s="15"/>
      <c r="E1784" s="15"/>
      <c r="F1784" s="15"/>
      <c r="G1784" s="15"/>
      <c r="H1784" s="15"/>
      <c r="I1784" s="15"/>
      <c r="J1784" s="15"/>
      <c r="K1784" s="15"/>
      <c r="L1784" s="15"/>
      <c r="M1784" s="18"/>
      <c r="N1784" s="18"/>
    </row>
    <row r="1785">
      <c r="A1785" s="15"/>
      <c r="B1785" s="15"/>
      <c r="C1785" s="17"/>
      <c r="D1785" s="15"/>
      <c r="E1785" s="15"/>
      <c r="F1785" s="15"/>
      <c r="G1785" s="15"/>
      <c r="H1785" s="15"/>
      <c r="I1785" s="15"/>
      <c r="J1785" s="15"/>
      <c r="K1785" s="15"/>
      <c r="L1785" s="15"/>
      <c r="M1785" s="18"/>
      <c r="N1785" s="18"/>
    </row>
    <row r="1786">
      <c r="A1786" s="15"/>
      <c r="B1786" s="15"/>
      <c r="C1786" s="17"/>
      <c r="D1786" s="15"/>
      <c r="E1786" s="15"/>
      <c r="F1786" s="15"/>
      <c r="G1786" s="15"/>
      <c r="H1786" s="15"/>
      <c r="I1786" s="15"/>
      <c r="J1786" s="15"/>
      <c r="K1786" s="15"/>
      <c r="L1786" s="15"/>
      <c r="M1786" s="18"/>
      <c r="N1786" s="18"/>
    </row>
    <row r="1787">
      <c r="A1787" s="15"/>
      <c r="B1787" s="15"/>
      <c r="C1787" s="17"/>
      <c r="D1787" s="15"/>
      <c r="E1787" s="15"/>
      <c r="F1787" s="15"/>
      <c r="G1787" s="15"/>
      <c r="H1787" s="15"/>
      <c r="I1787" s="15"/>
      <c r="J1787" s="15"/>
      <c r="K1787" s="15"/>
      <c r="L1787" s="15"/>
      <c r="M1787" s="18"/>
      <c r="N1787" s="18"/>
    </row>
    <row r="1788">
      <c r="A1788" s="15"/>
      <c r="B1788" s="15"/>
      <c r="C1788" s="17"/>
      <c r="D1788" s="15"/>
      <c r="E1788" s="15"/>
      <c r="F1788" s="15"/>
      <c r="G1788" s="15"/>
      <c r="H1788" s="15"/>
      <c r="I1788" s="15"/>
      <c r="J1788" s="15"/>
      <c r="K1788" s="15"/>
      <c r="L1788" s="15"/>
      <c r="M1788" s="18"/>
      <c r="N1788" s="18"/>
    </row>
    <row r="1789">
      <c r="A1789" s="15"/>
      <c r="B1789" s="15"/>
      <c r="C1789" s="17"/>
      <c r="D1789" s="15"/>
      <c r="E1789" s="15"/>
      <c r="F1789" s="15"/>
      <c r="G1789" s="15"/>
      <c r="H1789" s="15"/>
      <c r="I1789" s="15"/>
      <c r="J1789" s="15"/>
      <c r="K1789" s="15"/>
      <c r="L1789" s="15"/>
      <c r="M1789" s="18"/>
      <c r="N1789" s="18"/>
    </row>
    <row r="1790">
      <c r="A1790" s="15"/>
      <c r="B1790" s="15"/>
      <c r="C1790" s="17"/>
      <c r="D1790" s="15"/>
      <c r="E1790" s="15"/>
      <c r="F1790" s="15"/>
      <c r="G1790" s="15"/>
      <c r="H1790" s="15"/>
      <c r="I1790" s="15"/>
      <c r="J1790" s="15"/>
      <c r="K1790" s="15"/>
      <c r="L1790" s="15"/>
      <c r="M1790" s="18"/>
      <c r="N1790" s="18"/>
    </row>
    <row r="1791">
      <c r="A1791" s="15"/>
      <c r="B1791" s="15"/>
      <c r="C1791" s="17"/>
      <c r="D1791" s="15"/>
      <c r="E1791" s="15"/>
      <c r="F1791" s="15"/>
      <c r="G1791" s="15"/>
      <c r="H1791" s="15"/>
      <c r="I1791" s="15"/>
      <c r="J1791" s="15"/>
      <c r="K1791" s="15"/>
      <c r="L1791" s="15"/>
      <c r="M1791" s="18"/>
      <c r="N1791" s="18"/>
    </row>
    <row r="1792">
      <c r="A1792" s="15"/>
      <c r="B1792" s="15"/>
      <c r="C1792" s="17"/>
      <c r="D1792" s="15"/>
      <c r="E1792" s="15"/>
      <c r="F1792" s="15"/>
      <c r="G1792" s="15"/>
      <c r="H1792" s="15"/>
      <c r="I1792" s="15"/>
      <c r="J1792" s="15"/>
      <c r="K1792" s="15"/>
      <c r="L1792" s="15"/>
      <c r="M1792" s="18"/>
      <c r="N1792" s="18"/>
    </row>
    <row r="1793">
      <c r="A1793" s="15"/>
      <c r="B1793" s="15"/>
      <c r="C1793" s="17"/>
      <c r="D1793" s="15"/>
      <c r="E1793" s="15"/>
      <c r="F1793" s="15"/>
      <c r="G1793" s="15"/>
      <c r="H1793" s="15"/>
      <c r="I1793" s="15"/>
      <c r="J1793" s="15"/>
      <c r="K1793" s="15"/>
      <c r="L1793" s="15"/>
      <c r="M1793" s="18"/>
      <c r="N1793" s="18"/>
    </row>
    <row r="1794">
      <c r="A1794" s="15"/>
      <c r="B1794" s="15"/>
      <c r="C1794" s="17"/>
      <c r="D1794" s="15"/>
      <c r="E1794" s="15"/>
      <c r="F1794" s="15"/>
      <c r="G1794" s="15"/>
      <c r="H1794" s="15"/>
      <c r="I1794" s="15"/>
      <c r="J1794" s="15"/>
      <c r="K1794" s="15"/>
      <c r="L1794" s="15"/>
      <c r="M1794" s="18"/>
      <c r="N1794" s="18"/>
    </row>
    <row r="1795">
      <c r="A1795" s="15"/>
      <c r="B1795" s="15"/>
      <c r="C1795" s="17"/>
      <c r="D1795" s="15"/>
      <c r="E1795" s="15"/>
      <c r="F1795" s="15"/>
      <c r="G1795" s="15"/>
      <c r="H1795" s="15"/>
      <c r="I1795" s="15"/>
      <c r="J1795" s="15"/>
      <c r="K1795" s="15"/>
      <c r="L1795" s="15"/>
      <c r="M1795" s="18"/>
      <c r="N1795" s="18"/>
    </row>
    <row r="1796">
      <c r="A1796" s="15"/>
      <c r="B1796" s="15"/>
      <c r="C1796" s="17"/>
      <c r="D1796" s="15"/>
      <c r="E1796" s="15"/>
      <c r="F1796" s="15"/>
      <c r="G1796" s="15"/>
      <c r="H1796" s="15"/>
      <c r="I1796" s="15"/>
      <c r="J1796" s="15"/>
      <c r="K1796" s="15"/>
      <c r="L1796" s="15"/>
      <c r="M1796" s="18"/>
      <c r="N1796" s="18"/>
    </row>
    <row r="1797">
      <c r="A1797" s="15"/>
      <c r="B1797" s="15"/>
      <c r="C1797" s="17"/>
      <c r="D1797" s="15"/>
      <c r="E1797" s="15"/>
      <c r="F1797" s="15"/>
      <c r="G1797" s="15"/>
      <c r="H1797" s="15"/>
      <c r="I1797" s="15"/>
      <c r="J1797" s="15"/>
      <c r="K1797" s="15"/>
      <c r="L1797" s="15"/>
      <c r="M1797" s="18"/>
      <c r="N1797" s="18"/>
    </row>
    <row r="1798">
      <c r="A1798" s="15"/>
      <c r="B1798" s="15"/>
      <c r="C1798" s="17"/>
      <c r="D1798" s="15"/>
      <c r="E1798" s="15"/>
      <c r="F1798" s="15"/>
      <c r="G1798" s="15"/>
      <c r="H1798" s="15"/>
      <c r="I1798" s="15"/>
      <c r="J1798" s="15"/>
      <c r="K1798" s="15"/>
      <c r="L1798" s="15"/>
      <c r="M1798" s="18"/>
      <c r="N1798" s="18"/>
    </row>
    <row r="1799">
      <c r="A1799" s="15"/>
      <c r="B1799" s="15"/>
      <c r="C1799" s="17"/>
      <c r="D1799" s="15"/>
      <c r="E1799" s="15"/>
      <c r="F1799" s="15"/>
      <c r="G1799" s="15"/>
      <c r="H1799" s="15"/>
      <c r="I1799" s="15"/>
      <c r="J1799" s="15"/>
      <c r="K1799" s="15"/>
      <c r="L1799" s="15"/>
      <c r="M1799" s="18"/>
      <c r="N1799" s="18"/>
    </row>
    <row r="1800">
      <c r="A1800" s="15"/>
      <c r="B1800" s="15"/>
      <c r="C1800" s="17"/>
      <c r="D1800" s="15"/>
      <c r="E1800" s="15"/>
      <c r="F1800" s="15"/>
      <c r="G1800" s="15"/>
      <c r="H1800" s="15"/>
      <c r="I1800" s="15"/>
      <c r="J1800" s="15"/>
      <c r="K1800" s="15"/>
      <c r="L1800" s="15"/>
      <c r="M1800" s="18"/>
      <c r="N1800" s="18"/>
    </row>
    <row r="1801">
      <c r="A1801" s="15"/>
      <c r="B1801" s="15"/>
      <c r="C1801" s="17"/>
      <c r="D1801" s="15"/>
      <c r="E1801" s="15"/>
      <c r="F1801" s="15"/>
      <c r="G1801" s="15"/>
      <c r="H1801" s="15"/>
      <c r="I1801" s="15"/>
      <c r="J1801" s="15"/>
      <c r="K1801" s="15"/>
      <c r="L1801" s="15"/>
      <c r="M1801" s="18"/>
      <c r="N1801" s="18"/>
    </row>
    <row r="1802">
      <c r="A1802" s="15"/>
      <c r="B1802" s="15"/>
      <c r="C1802" s="17"/>
      <c r="D1802" s="15"/>
      <c r="E1802" s="15"/>
      <c r="F1802" s="15"/>
      <c r="G1802" s="15"/>
      <c r="H1802" s="15"/>
      <c r="I1802" s="15"/>
      <c r="J1802" s="15"/>
      <c r="K1802" s="15"/>
      <c r="L1802" s="15"/>
      <c r="M1802" s="18"/>
      <c r="N1802" s="18"/>
    </row>
    <row r="1803">
      <c r="A1803" s="15"/>
      <c r="B1803" s="15"/>
      <c r="C1803" s="17"/>
      <c r="D1803" s="15"/>
      <c r="E1803" s="15"/>
      <c r="F1803" s="15"/>
      <c r="G1803" s="15"/>
      <c r="H1803" s="15"/>
      <c r="I1803" s="15"/>
      <c r="J1803" s="15"/>
      <c r="K1803" s="15"/>
      <c r="L1803" s="15"/>
      <c r="M1803" s="18"/>
      <c r="N1803" s="18"/>
    </row>
    <row r="1804">
      <c r="A1804" s="15"/>
      <c r="B1804" s="15"/>
      <c r="C1804" s="17"/>
      <c r="D1804" s="15"/>
      <c r="E1804" s="15"/>
      <c r="F1804" s="15"/>
      <c r="G1804" s="15"/>
      <c r="H1804" s="15"/>
      <c r="I1804" s="15"/>
      <c r="J1804" s="15"/>
      <c r="K1804" s="15"/>
      <c r="L1804" s="15"/>
      <c r="M1804" s="18"/>
      <c r="N1804" s="18"/>
    </row>
    <row r="1805">
      <c r="A1805" s="15"/>
      <c r="B1805" s="15"/>
      <c r="C1805" s="17"/>
      <c r="D1805" s="15"/>
      <c r="E1805" s="15"/>
      <c r="F1805" s="15"/>
      <c r="G1805" s="15"/>
      <c r="H1805" s="15"/>
      <c r="I1805" s="15"/>
      <c r="J1805" s="15"/>
      <c r="K1805" s="15"/>
      <c r="L1805" s="15"/>
      <c r="M1805" s="18"/>
      <c r="N1805" s="18"/>
    </row>
    <row r="1806">
      <c r="A1806" s="15"/>
      <c r="B1806" s="15"/>
      <c r="C1806" s="17"/>
      <c r="D1806" s="15"/>
      <c r="E1806" s="15"/>
      <c r="F1806" s="15"/>
      <c r="G1806" s="15"/>
      <c r="H1806" s="15"/>
      <c r="I1806" s="15"/>
      <c r="J1806" s="15"/>
      <c r="K1806" s="15"/>
      <c r="L1806" s="15"/>
      <c r="M1806" s="18"/>
      <c r="N1806" s="18"/>
    </row>
    <row r="1807">
      <c r="A1807" s="15"/>
      <c r="B1807" s="15"/>
      <c r="C1807" s="17"/>
      <c r="D1807" s="15"/>
      <c r="E1807" s="15"/>
      <c r="F1807" s="15"/>
      <c r="G1807" s="15"/>
      <c r="H1807" s="15"/>
      <c r="I1807" s="15"/>
      <c r="J1807" s="15"/>
      <c r="K1807" s="15"/>
      <c r="L1807" s="15"/>
      <c r="M1807" s="18"/>
      <c r="N1807" s="18"/>
    </row>
    <row r="1808">
      <c r="A1808" s="15"/>
      <c r="B1808" s="15"/>
      <c r="C1808" s="17"/>
      <c r="D1808" s="15"/>
      <c r="E1808" s="15"/>
      <c r="F1808" s="15"/>
      <c r="G1808" s="15"/>
      <c r="H1808" s="15"/>
      <c r="I1808" s="15"/>
      <c r="J1808" s="15"/>
      <c r="K1808" s="15"/>
      <c r="L1808" s="15"/>
      <c r="M1808" s="18"/>
      <c r="N1808" s="18"/>
    </row>
    <row r="1809">
      <c r="A1809" s="15"/>
      <c r="B1809" s="15"/>
      <c r="C1809" s="17"/>
      <c r="D1809" s="15"/>
      <c r="E1809" s="15"/>
      <c r="F1809" s="15"/>
      <c r="G1809" s="15"/>
      <c r="H1809" s="15"/>
      <c r="I1809" s="15"/>
      <c r="J1809" s="15"/>
      <c r="K1809" s="15"/>
      <c r="L1809" s="15"/>
      <c r="M1809" s="18"/>
      <c r="N1809" s="18"/>
    </row>
    <row r="1810">
      <c r="A1810" s="15"/>
      <c r="B1810" s="15"/>
      <c r="C1810" s="17"/>
      <c r="D1810" s="15"/>
      <c r="E1810" s="15"/>
      <c r="F1810" s="15"/>
      <c r="G1810" s="15"/>
      <c r="H1810" s="15"/>
      <c r="I1810" s="15"/>
      <c r="J1810" s="15"/>
      <c r="K1810" s="15"/>
      <c r="L1810" s="15"/>
      <c r="M1810" s="18"/>
      <c r="N1810" s="18"/>
    </row>
    <row r="1811">
      <c r="A1811" s="15"/>
      <c r="B1811" s="15"/>
      <c r="C1811" s="17"/>
      <c r="D1811" s="15"/>
      <c r="E1811" s="15"/>
      <c r="F1811" s="15"/>
      <c r="G1811" s="15"/>
      <c r="H1811" s="15"/>
      <c r="I1811" s="15"/>
      <c r="J1811" s="15"/>
      <c r="K1811" s="15"/>
      <c r="L1811" s="15"/>
      <c r="M1811" s="18"/>
      <c r="N1811" s="18"/>
    </row>
    <row r="1812">
      <c r="A1812" s="15"/>
      <c r="B1812" s="15"/>
      <c r="C1812" s="17"/>
      <c r="D1812" s="15"/>
      <c r="E1812" s="15"/>
      <c r="F1812" s="15"/>
      <c r="G1812" s="15"/>
      <c r="H1812" s="15"/>
      <c r="I1812" s="15"/>
      <c r="J1812" s="15"/>
      <c r="K1812" s="15"/>
      <c r="L1812" s="15"/>
      <c r="M1812" s="18"/>
      <c r="N1812" s="18"/>
    </row>
    <row r="1813">
      <c r="A1813" s="15"/>
      <c r="B1813" s="15"/>
      <c r="C1813" s="17"/>
      <c r="D1813" s="15"/>
      <c r="E1813" s="15"/>
      <c r="F1813" s="15"/>
      <c r="G1813" s="15"/>
      <c r="H1813" s="15"/>
      <c r="I1813" s="15"/>
      <c r="J1813" s="15"/>
      <c r="K1813" s="15"/>
      <c r="L1813" s="15"/>
      <c r="M1813" s="18"/>
      <c r="N1813" s="18"/>
    </row>
    <row r="1814">
      <c r="A1814" s="15"/>
      <c r="B1814" s="15"/>
      <c r="C1814" s="17"/>
      <c r="D1814" s="15"/>
      <c r="E1814" s="15"/>
      <c r="F1814" s="15"/>
      <c r="G1814" s="15"/>
      <c r="H1814" s="15"/>
      <c r="I1814" s="15"/>
      <c r="J1814" s="15"/>
      <c r="K1814" s="15"/>
      <c r="L1814" s="15"/>
      <c r="M1814" s="18"/>
      <c r="N1814" s="18"/>
    </row>
    <row r="1815">
      <c r="A1815" s="15"/>
      <c r="B1815" s="15"/>
      <c r="C1815" s="17"/>
      <c r="D1815" s="15"/>
      <c r="E1815" s="15"/>
      <c r="F1815" s="15"/>
      <c r="G1815" s="15"/>
      <c r="H1815" s="15"/>
      <c r="I1815" s="15"/>
      <c r="J1815" s="15"/>
      <c r="K1815" s="15"/>
      <c r="L1815" s="15"/>
      <c r="M1815" s="18"/>
      <c r="N1815" s="18"/>
    </row>
    <row r="1816">
      <c r="A1816" s="15"/>
      <c r="B1816" s="15"/>
      <c r="C1816" s="17"/>
      <c r="D1816" s="15"/>
      <c r="E1816" s="15"/>
      <c r="F1816" s="15"/>
      <c r="G1816" s="15"/>
      <c r="H1816" s="15"/>
      <c r="I1816" s="15"/>
      <c r="J1816" s="15"/>
      <c r="K1816" s="15"/>
      <c r="L1816" s="15"/>
      <c r="M1816" s="18"/>
      <c r="N1816" s="18"/>
    </row>
    <row r="1817">
      <c r="A1817" s="15"/>
      <c r="B1817" s="15"/>
      <c r="C1817" s="17"/>
      <c r="D1817" s="15"/>
      <c r="E1817" s="15"/>
      <c r="F1817" s="15"/>
      <c r="G1817" s="15"/>
      <c r="H1817" s="15"/>
      <c r="I1817" s="15"/>
      <c r="J1817" s="15"/>
      <c r="K1817" s="15"/>
      <c r="L1817" s="15"/>
      <c r="M1817" s="18"/>
      <c r="N1817" s="18"/>
    </row>
    <row r="1818">
      <c r="A1818" s="15"/>
      <c r="B1818" s="15"/>
      <c r="C1818" s="17"/>
      <c r="D1818" s="15"/>
      <c r="E1818" s="15"/>
      <c r="F1818" s="15"/>
      <c r="G1818" s="15"/>
      <c r="H1818" s="15"/>
      <c r="I1818" s="15"/>
      <c r="J1818" s="15"/>
      <c r="K1818" s="15"/>
      <c r="L1818" s="15"/>
      <c r="M1818" s="18"/>
      <c r="N1818" s="18"/>
    </row>
    <row r="1819">
      <c r="A1819" s="15"/>
      <c r="B1819" s="15"/>
      <c r="C1819" s="17"/>
      <c r="D1819" s="15"/>
      <c r="E1819" s="15"/>
      <c r="F1819" s="15"/>
      <c r="G1819" s="15"/>
      <c r="H1819" s="15"/>
      <c r="I1819" s="15"/>
      <c r="J1819" s="15"/>
      <c r="K1819" s="15"/>
      <c r="L1819" s="15"/>
      <c r="M1819" s="18"/>
      <c r="N1819" s="18"/>
    </row>
    <row r="1820">
      <c r="A1820" s="15"/>
      <c r="B1820" s="15"/>
      <c r="C1820" s="17"/>
      <c r="D1820" s="15"/>
      <c r="E1820" s="15"/>
      <c r="F1820" s="15"/>
      <c r="G1820" s="15"/>
      <c r="H1820" s="15"/>
      <c r="I1820" s="15"/>
      <c r="J1820" s="15"/>
      <c r="K1820" s="15"/>
      <c r="L1820" s="15"/>
      <c r="M1820" s="18"/>
      <c r="N1820" s="18"/>
    </row>
    <row r="1821">
      <c r="A1821" s="15"/>
      <c r="B1821" s="15"/>
      <c r="C1821" s="17"/>
      <c r="D1821" s="15"/>
      <c r="E1821" s="15"/>
      <c r="F1821" s="15"/>
      <c r="G1821" s="15"/>
      <c r="H1821" s="15"/>
      <c r="I1821" s="15"/>
      <c r="J1821" s="15"/>
      <c r="K1821" s="15"/>
      <c r="L1821" s="15"/>
      <c r="M1821" s="18"/>
      <c r="N1821" s="18"/>
    </row>
    <row r="1822">
      <c r="A1822" s="15"/>
      <c r="B1822" s="15"/>
      <c r="C1822" s="17"/>
      <c r="D1822" s="15"/>
      <c r="E1822" s="15"/>
      <c r="F1822" s="15"/>
      <c r="G1822" s="15"/>
      <c r="H1822" s="15"/>
      <c r="I1822" s="15"/>
      <c r="J1822" s="15"/>
      <c r="K1822" s="15"/>
      <c r="L1822" s="15"/>
      <c r="M1822" s="18"/>
      <c r="N1822" s="18"/>
    </row>
    <row r="1823">
      <c r="A1823" s="15"/>
      <c r="B1823" s="15"/>
      <c r="C1823" s="17"/>
      <c r="D1823" s="15"/>
      <c r="E1823" s="15"/>
      <c r="F1823" s="15"/>
      <c r="G1823" s="15"/>
      <c r="H1823" s="15"/>
      <c r="I1823" s="15"/>
      <c r="J1823" s="15"/>
      <c r="K1823" s="15"/>
      <c r="L1823" s="15"/>
      <c r="M1823" s="18"/>
      <c r="N1823" s="18"/>
    </row>
    <row r="1824">
      <c r="A1824" s="15"/>
      <c r="B1824" s="15"/>
      <c r="C1824" s="17"/>
      <c r="D1824" s="15"/>
      <c r="E1824" s="15"/>
      <c r="F1824" s="15"/>
      <c r="G1824" s="15"/>
      <c r="H1824" s="15"/>
      <c r="I1824" s="15"/>
      <c r="J1824" s="15"/>
      <c r="K1824" s="15"/>
      <c r="L1824" s="15"/>
      <c r="M1824" s="18"/>
      <c r="N1824" s="18"/>
    </row>
    <row r="1825">
      <c r="A1825" s="15"/>
      <c r="B1825" s="15"/>
      <c r="C1825" s="17"/>
      <c r="D1825" s="15"/>
      <c r="E1825" s="15"/>
      <c r="F1825" s="15"/>
      <c r="G1825" s="15"/>
      <c r="H1825" s="15"/>
      <c r="I1825" s="15"/>
      <c r="J1825" s="15"/>
      <c r="K1825" s="15"/>
      <c r="L1825" s="15"/>
      <c r="M1825" s="18"/>
      <c r="N1825" s="18"/>
    </row>
    <row r="1826">
      <c r="A1826" s="15"/>
      <c r="B1826" s="15"/>
      <c r="C1826" s="17"/>
      <c r="D1826" s="15"/>
      <c r="E1826" s="15"/>
      <c r="F1826" s="15"/>
      <c r="G1826" s="15"/>
      <c r="H1826" s="15"/>
      <c r="I1826" s="15"/>
      <c r="J1826" s="15"/>
      <c r="K1826" s="15"/>
      <c r="L1826" s="15"/>
      <c r="M1826" s="18"/>
      <c r="N1826" s="18"/>
    </row>
    <row r="1827">
      <c r="A1827" s="15"/>
      <c r="B1827" s="15"/>
      <c r="C1827" s="17"/>
      <c r="D1827" s="15"/>
      <c r="E1827" s="15"/>
      <c r="F1827" s="15"/>
      <c r="G1827" s="15"/>
      <c r="H1827" s="15"/>
      <c r="I1827" s="15"/>
      <c r="J1827" s="15"/>
      <c r="K1827" s="15"/>
      <c r="L1827" s="15"/>
      <c r="M1827" s="18"/>
      <c r="N1827" s="18"/>
    </row>
    <row r="1828">
      <c r="A1828" s="15"/>
      <c r="B1828" s="15"/>
      <c r="C1828" s="17"/>
      <c r="D1828" s="15"/>
      <c r="E1828" s="15"/>
      <c r="F1828" s="15"/>
      <c r="G1828" s="15"/>
      <c r="H1828" s="15"/>
      <c r="I1828" s="15"/>
      <c r="J1828" s="15"/>
      <c r="K1828" s="15"/>
      <c r="L1828" s="15"/>
      <c r="M1828" s="18"/>
      <c r="N1828" s="18"/>
    </row>
    <row r="1829">
      <c r="A1829" s="15"/>
      <c r="B1829" s="15"/>
      <c r="C1829" s="17"/>
      <c r="D1829" s="15"/>
      <c r="E1829" s="15"/>
      <c r="F1829" s="15"/>
      <c r="G1829" s="15"/>
      <c r="H1829" s="15"/>
      <c r="I1829" s="15"/>
      <c r="J1829" s="15"/>
      <c r="K1829" s="15"/>
      <c r="L1829" s="15"/>
      <c r="M1829" s="18"/>
      <c r="N1829" s="18"/>
    </row>
    <row r="1830">
      <c r="A1830" s="15"/>
      <c r="B1830" s="15"/>
      <c r="C1830" s="17"/>
      <c r="D1830" s="15"/>
      <c r="E1830" s="15"/>
      <c r="F1830" s="15"/>
      <c r="G1830" s="15"/>
      <c r="H1830" s="15"/>
      <c r="I1830" s="15"/>
      <c r="J1830" s="15"/>
      <c r="K1830" s="15"/>
      <c r="L1830" s="15"/>
      <c r="M1830" s="18"/>
      <c r="N1830" s="18"/>
    </row>
    <row r="1831">
      <c r="A1831" s="15"/>
      <c r="B1831" s="15"/>
      <c r="C1831" s="17"/>
      <c r="D1831" s="15"/>
      <c r="E1831" s="15"/>
      <c r="F1831" s="15"/>
      <c r="G1831" s="15"/>
      <c r="H1831" s="15"/>
      <c r="I1831" s="15"/>
      <c r="J1831" s="15"/>
      <c r="K1831" s="15"/>
      <c r="L1831" s="15"/>
      <c r="M1831" s="18"/>
      <c r="N1831" s="18"/>
    </row>
    <row r="1832">
      <c r="A1832" s="15"/>
      <c r="B1832" s="15"/>
      <c r="C1832" s="17"/>
      <c r="D1832" s="15"/>
      <c r="E1832" s="15"/>
      <c r="F1832" s="15"/>
      <c r="G1832" s="15"/>
      <c r="H1832" s="15"/>
      <c r="I1832" s="15"/>
      <c r="J1832" s="15"/>
      <c r="K1832" s="15"/>
      <c r="L1832" s="15"/>
      <c r="M1832" s="18"/>
      <c r="N1832" s="18"/>
    </row>
    <row r="1833">
      <c r="A1833" s="15"/>
      <c r="B1833" s="15"/>
      <c r="C1833" s="17"/>
      <c r="D1833" s="15"/>
      <c r="E1833" s="15"/>
      <c r="F1833" s="15"/>
      <c r="G1833" s="15"/>
      <c r="H1833" s="15"/>
      <c r="I1833" s="15"/>
      <c r="J1833" s="15"/>
      <c r="K1833" s="15"/>
      <c r="L1833" s="15"/>
      <c r="M1833" s="18"/>
      <c r="N1833" s="18"/>
    </row>
    <row r="1834">
      <c r="A1834" s="15"/>
      <c r="B1834" s="15"/>
      <c r="C1834" s="17"/>
      <c r="D1834" s="15"/>
      <c r="E1834" s="15"/>
      <c r="F1834" s="15"/>
      <c r="G1834" s="15"/>
      <c r="H1834" s="15"/>
      <c r="I1834" s="15"/>
      <c r="J1834" s="15"/>
      <c r="K1834" s="15"/>
      <c r="L1834" s="15"/>
      <c r="M1834" s="18"/>
      <c r="N1834" s="18"/>
    </row>
    <row r="1835">
      <c r="A1835" s="15"/>
      <c r="B1835" s="15"/>
      <c r="C1835" s="17"/>
      <c r="D1835" s="15"/>
      <c r="E1835" s="15"/>
      <c r="F1835" s="15"/>
      <c r="G1835" s="15"/>
      <c r="H1835" s="15"/>
      <c r="I1835" s="15"/>
      <c r="J1835" s="15"/>
      <c r="K1835" s="15"/>
      <c r="L1835" s="15"/>
      <c r="M1835" s="18"/>
      <c r="N1835" s="18"/>
    </row>
    <row r="1836">
      <c r="A1836" s="15"/>
      <c r="B1836" s="15"/>
      <c r="C1836" s="17"/>
      <c r="D1836" s="15"/>
      <c r="E1836" s="15"/>
      <c r="F1836" s="15"/>
      <c r="G1836" s="15"/>
      <c r="H1836" s="15"/>
      <c r="I1836" s="15"/>
      <c r="J1836" s="15"/>
      <c r="K1836" s="15"/>
      <c r="L1836" s="15"/>
      <c r="M1836" s="18"/>
      <c r="N1836" s="18"/>
    </row>
    <row r="1837">
      <c r="A1837" s="15"/>
      <c r="B1837" s="15"/>
      <c r="C1837" s="17"/>
      <c r="D1837" s="15"/>
      <c r="E1837" s="15"/>
      <c r="F1837" s="15"/>
      <c r="G1837" s="15"/>
      <c r="H1837" s="15"/>
      <c r="I1837" s="15"/>
      <c r="J1837" s="15"/>
      <c r="K1837" s="15"/>
      <c r="L1837" s="15"/>
      <c r="M1837" s="18"/>
      <c r="N1837" s="18"/>
    </row>
    <row r="1838">
      <c r="A1838" s="15"/>
      <c r="B1838" s="15"/>
      <c r="C1838" s="17"/>
      <c r="D1838" s="15"/>
      <c r="E1838" s="15"/>
      <c r="F1838" s="15"/>
      <c r="G1838" s="15"/>
      <c r="H1838" s="15"/>
      <c r="I1838" s="15"/>
      <c r="J1838" s="15"/>
      <c r="K1838" s="15"/>
      <c r="L1838" s="15"/>
      <c r="M1838" s="18"/>
      <c r="N1838" s="18"/>
    </row>
    <row r="1839">
      <c r="A1839" s="15"/>
      <c r="B1839" s="15"/>
      <c r="C1839" s="17"/>
      <c r="D1839" s="15"/>
      <c r="E1839" s="15"/>
      <c r="F1839" s="15"/>
      <c r="G1839" s="15"/>
      <c r="H1839" s="15"/>
      <c r="I1839" s="15"/>
      <c r="J1839" s="15"/>
      <c r="K1839" s="15"/>
      <c r="L1839" s="15"/>
      <c r="M1839" s="18"/>
      <c r="N1839" s="18"/>
    </row>
    <row r="1840">
      <c r="A1840" s="15"/>
      <c r="B1840" s="15"/>
      <c r="C1840" s="17"/>
      <c r="D1840" s="15"/>
      <c r="E1840" s="15"/>
      <c r="F1840" s="15"/>
      <c r="G1840" s="15"/>
      <c r="H1840" s="15"/>
      <c r="I1840" s="15"/>
      <c r="J1840" s="15"/>
      <c r="K1840" s="15"/>
      <c r="L1840" s="15"/>
      <c r="M1840" s="18"/>
      <c r="N1840" s="18"/>
    </row>
    <row r="1841">
      <c r="A1841" s="15"/>
      <c r="B1841" s="15"/>
      <c r="C1841" s="17"/>
      <c r="D1841" s="15"/>
      <c r="E1841" s="15"/>
      <c r="F1841" s="15"/>
      <c r="G1841" s="15"/>
      <c r="H1841" s="15"/>
      <c r="I1841" s="15"/>
      <c r="J1841" s="15"/>
      <c r="K1841" s="15"/>
      <c r="L1841" s="15"/>
      <c r="M1841" s="18"/>
      <c r="N1841" s="18"/>
    </row>
    <row r="1842">
      <c r="A1842" s="15"/>
      <c r="B1842" s="15"/>
      <c r="C1842" s="17"/>
      <c r="D1842" s="15"/>
      <c r="E1842" s="15"/>
      <c r="F1842" s="15"/>
      <c r="G1842" s="15"/>
      <c r="H1842" s="15"/>
      <c r="I1842" s="15"/>
      <c r="J1842" s="15"/>
      <c r="K1842" s="15"/>
      <c r="L1842" s="15"/>
      <c r="M1842" s="18"/>
      <c r="N1842" s="18"/>
    </row>
    <row r="1843">
      <c r="A1843" s="15"/>
      <c r="B1843" s="15"/>
      <c r="C1843" s="17"/>
      <c r="D1843" s="15"/>
      <c r="E1843" s="15"/>
      <c r="F1843" s="15"/>
      <c r="G1843" s="15"/>
      <c r="H1843" s="15"/>
      <c r="I1843" s="15"/>
      <c r="J1843" s="15"/>
      <c r="K1843" s="15"/>
      <c r="L1843" s="15"/>
      <c r="M1843" s="18"/>
      <c r="N1843" s="18"/>
    </row>
    <row r="1844">
      <c r="A1844" s="15"/>
      <c r="B1844" s="15"/>
      <c r="C1844" s="17"/>
      <c r="D1844" s="15"/>
      <c r="E1844" s="15"/>
      <c r="F1844" s="15"/>
      <c r="G1844" s="15"/>
      <c r="H1844" s="15"/>
      <c r="I1844" s="15"/>
      <c r="J1844" s="15"/>
      <c r="K1844" s="15"/>
      <c r="L1844" s="15"/>
      <c r="M1844" s="18"/>
      <c r="N1844" s="18"/>
    </row>
    <row r="1845">
      <c r="A1845" s="15"/>
      <c r="B1845" s="15"/>
      <c r="C1845" s="17"/>
      <c r="D1845" s="15"/>
      <c r="E1845" s="15"/>
      <c r="F1845" s="15"/>
      <c r="G1845" s="15"/>
      <c r="H1845" s="15"/>
      <c r="I1845" s="15"/>
      <c r="J1845" s="15"/>
      <c r="K1845" s="15"/>
      <c r="L1845" s="15"/>
      <c r="M1845" s="18"/>
      <c r="N1845" s="18"/>
    </row>
    <row r="1846">
      <c r="A1846" s="15"/>
      <c r="B1846" s="15"/>
      <c r="C1846" s="17"/>
      <c r="D1846" s="15"/>
      <c r="E1846" s="15"/>
      <c r="F1846" s="15"/>
      <c r="G1846" s="15"/>
      <c r="H1846" s="15"/>
      <c r="I1846" s="15"/>
      <c r="J1846" s="15"/>
      <c r="K1846" s="15"/>
      <c r="L1846" s="15"/>
      <c r="M1846" s="18"/>
      <c r="N1846" s="18"/>
    </row>
    <row r="1847">
      <c r="A1847" s="15"/>
      <c r="B1847" s="15"/>
      <c r="C1847" s="17"/>
      <c r="D1847" s="15"/>
      <c r="E1847" s="15"/>
      <c r="F1847" s="15"/>
      <c r="G1847" s="15"/>
      <c r="H1847" s="15"/>
      <c r="I1847" s="15"/>
      <c r="J1847" s="15"/>
      <c r="K1847" s="15"/>
      <c r="L1847" s="15"/>
      <c r="M1847" s="18"/>
      <c r="N1847" s="18"/>
    </row>
    <row r="1848">
      <c r="A1848" s="15"/>
      <c r="B1848" s="15"/>
      <c r="C1848" s="17"/>
      <c r="D1848" s="15"/>
      <c r="E1848" s="15"/>
      <c r="F1848" s="15"/>
      <c r="G1848" s="15"/>
      <c r="H1848" s="15"/>
      <c r="I1848" s="15"/>
      <c r="J1848" s="15"/>
      <c r="K1848" s="15"/>
      <c r="L1848" s="15"/>
      <c r="M1848" s="18"/>
      <c r="N1848" s="18"/>
    </row>
    <row r="1849">
      <c r="A1849" s="15"/>
      <c r="B1849" s="15"/>
      <c r="C1849" s="17"/>
      <c r="D1849" s="15"/>
      <c r="E1849" s="15"/>
      <c r="F1849" s="15"/>
      <c r="G1849" s="15"/>
      <c r="H1849" s="15"/>
      <c r="I1849" s="15"/>
      <c r="J1849" s="15"/>
      <c r="K1849" s="15"/>
      <c r="L1849" s="15"/>
      <c r="M1849" s="18"/>
      <c r="N1849" s="18"/>
    </row>
    <row r="1850">
      <c r="A1850" s="15"/>
      <c r="B1850" s="15"/>
      <c r="C1850" s="17"/>
      <c r="D1850" s="15"/>
      <c r="E1850" s="15"/>
      <c r="F1850" s="15"/>
      <c r="G1850" s="15"/>
      <c r="H1850" s="15"/>
      <c r="I1850" s="15"/>
      <c r="J1850" s="15"/>
      <c r="K1850" s="15"/>
      <c r="L1850" s="15"/>
      <c r="M1850" s="18"/>
      <c r="N1850" s="18"/>
    </row>
    <row r="1851">
      <c r="A1851" s="15"/>
      <c r="B1851" s="15"/>
      <c r="C1851" s="17"/>
      <c r="D1851" s="15"/>
      <c r="E1851" s="15"/>
      <c r="F1851" s="15"/>
      <c r="G1851" s="15"/>
      <c r="H1851" s="15"/>
      <c r="I1851" s="15"/>
      <c r="J1851" s="15"/>
      <c r="K1851" s="15"/>
      <c r="L1851" s="15"/>
      <c r="M1851" s="18"/>
      <c r="N1851" s="18"/>
    </row>
    <row r="1852">
      <c r="A1852" s="15"/>
      <c r="B1852" s="15"/>
      <c r="C1852" s="17"/>
      <c r="D1852" s="15"/>
      <c r="E1852" s="15"/>
      <c r="F1852" s="15"/>
      <c r="G1852" s="15"/>
      <c r="H1852" s="15"/>
      <c r="I1852" s="15"/>
      <c r="J1852" s="15"/>
      <c r="K1852" s="15"/>
      <c r="L1852" s="15"/>
      <c r="M1852" s="18"/>
      <c r="N1852" s="18"/>
    </row>
    <row r="1853">
      <c r="A1853" s="15"/>
      <c r="B1853" s="15"/>
      <c r="C1853" s="17"/>
      <c r="D1853" s="15"/>
      <c r="E1853" s="15"/>
      <c r="F1853" s="15"/>
      <c r="G1853" s="15"/>
      <c r="H1853" s="15"/>
      <c r="I1853" s="15"/>
      <c r="J1853" s="15"/>
      <c r="K1853" s="15"/>
      <c r="L1853" s="15"/>
      <c r="M1853" s="18"/>
      <c r="N1853" s="18"/>
    </row>
    <row r="1854">
      <c r="A1854" s="15"/>
      <c r="B1854" s="15"/>
      <c r="C1854" s="17"/>
      <c r="D1854" s="15"/>
      <c r="E1854" s="15"/>
      <c r="F1854" s="15"/>
      <c r="G1854" s="15"/>
      <c r="H1854" s="15"/>
      <c r="I1854" s="15"/>
      <c r="J1854" s="15"/>
      <c r="K1854" s="15"/>
      <c r="L1854" s="15"/>
      <c r="M1854" s="18"/>
      <c r="N1854" s="18"/>
    </row>
    <row r="1855">
      <c r="A1855" s="15"/>
      <c r="B1855" s="15"/>
      <c r="C1855" s="17"/>
      <c r="D1855" s="15"/>
      <c r="E1855" s="15"/>
      <c r="F1855" s="15"/>
      <c r="G1855" s="15"/>
      <c r="H1855" s="15"/>
      <c r="I1855" s="15"/>
      <c r="J1855" s="15"/>
      <c r="K1855" s="15"/>
      <c r="L1855" s="15"/>
      <c r="M1855" s="18"/>
      <c r="N1855" s="18"/>
    </row>
    <row r="1856">
      <c r="A1856" s="15"/>
      <c r="B1856" s="15"/>
      <c r="C1856" s="17"/>
      <c r="D1856" s="15"/>
      <c r="E1856" s="15"/>
      <c r="F1856" s="15"/>
      <c r="G1856" s="15"/>
      <c r="H1856" s="15"/>
      <c r="I1856" s="15"/>
      <c r="J1856" s="15"/>
      <c r="K1856" s="15"/>
      <c r="L1856" s="15"/>
      <c r="M1856" s="18"/>
      <c r="N1856" s="18"/>
    </row>
    <row r="1857">
      <c r="A1857" s="15"/>
      <c r="B1857" s="15"/>
      <c r="C1857" s="17"/>
      <c r="D1857" s="15"/>
      <c r="E1857" s="15"/>
      <c r="F1857" s="15"/>
      <c r="G1857" s="15"/>
      <c r="H1857" s="15"/>
      <c r="I1857" s="15"/>
      <c r="J1857" s="15"/>
      <c r="K1857" s="15"/>
      <c r="L1857" s="15"/>
      <c r="M1857" s="18"/>
      <c r="N1857" s="18"/>
    </row>
    <row r="1858">
      <c r="A1858" s="15"/>
      <c r="B1858" s="15"/>
      <c r="C1858" s="17"/>
      <c r="D1858" s="15"/>
      <c r="E1858" s="15"/>
      <c r="F1858" s="15"/>
      <c r="G1858" s="15"/>
      <c r="H1858" s="15"/>
      <c r="I1858" s="15"/>
      <c r="J1858" s="15"/>
      <c r="K1858" s="15"/>
      <c r="L1858" s="15"/>
      <c r="M1858" s="18"/>
      <c r="N1858" s="18"/>
    </row>
    <row r="1859">
      <c r="A1859" s="15"/>
      <c r="B1859" s="15"/>
      <c r="C1859" s="17"/>
      <c r="D1859" s="15"/>
      <c r="E1859" s="15"/>
      <c r="F1859" s="15"/>
      <c r="G1859" s="15"/>
      <c r="H1859" s="15"/>
      <c r="I1859" s="15"/>
      <c r="J1859" s="15"/>
      <c r="K1859" s="15"/>
      <c r="L1859" s="15"/>
      <c r="M1859" s="18"/>
      <c r="N1859" s="18"/>
    </row>
    <row r="1860">
      <c r="A1860" s="15"/>
      <c r="B1860" s="15"/>
      <c r="C1860" s="17"/>
      <c r="D1860" s="15"/>
      <c r="E1860" s="15"/>
      <c r="F1860" s="15"/>
      <c r="G1860" s="15"/>
      <c r="H1860" s="15"/>
      <c r="I1860" s="15"/>
      <c r="J1860" s="15"/>
      <c r="K1860" s="15"/>
      <c r="L1860" s="15"/>
      <c r="M1860" s="18"/>
      <c r="N1860" s="18"/>
    </row>
    <row r="1861">
      <c r="A1861" s="15"/>
      <c r="B1861" s="15"/>
      <c r="C1861" s="17"/>
      <c r="D1861" s="15"/>
      <c r="E1861" s="15"/>
      <c r="F1861" s="15"/>
      <c r="G1861" s="15"/>
      <c r="H1861" s="15"/>
      <c r="I1861" s="15"/>
      <c r="J1861" s="15"/>
      <c r="K1861" s="15"/>
      <c r="L1861" s="15"/>
      <c r="M1861" s="18"/>
      <c r="N1861" s="18"/>
    </row>
    <row r="1862">
      <c r="A1862" s="15"/>
      <c r="B1862" s="15"/>
      <c r="C1862" s="17"/>
      <c r="D1862" s="15"/>
      <c r="E1862" s="15"/>
      <c r="F1862" s="15"/>
      <c r="G1862" s="15"/>
      <c r="H1862" s="15"/>
      <c r="I1862" s="15"/>
      <c r="J1862" s="15"/>
      <c r="K1862" s="15"/>
      <c r="L1862" s="15"/>
      <c r="M1862" s="18"/>
      <c r="N1862" s="18"/>
    </row>
    <row r="1863">
      <c r="A1863" s="15"/>
      <c r="B1863" s="15"/>
      <c r="C1863" s="17"/>
      <c r="D1863" s="15"/>
      <c r="E1863" s="15"/>
      <c r="F1863" s="15"/>
      <c r="G1863" s="15"/>
      <c r="H1863" s="15"/>
      <c r="I1863" s="15"/>
      <c r="J1863" s="15"/>
      <c r="K1863" s="15"/>
      <c r="L1863" s="15"/>
      <c r="M1863" s="18"/>
      <c r="N1863" s="18"/>
    </row>
    <row r="1864">
      <c r="A1864" s="15"/>
      <c r="B1864" s="15"/>
      <c r="C1864" s="17"/>
      <c r="D1864" s="15"/>
      <c r="E1864" s="15"/>
      <c r="F1864" s="15"/>
      <c r="G1864" s="15"/>
      <c r="H1864" s="15"/>
      <c r="I1864" s="15"/>
      <c r="J1864" s="15"/>
      <c r="K1864" s="15"/>
      <c r="L1864" s="15"/>
      <c r="M1864" s="18"/>
      <c r="N1864" s="18"/>
    </row>
    <row r="1865">
      <c r="A1865" s="15"/>
      <c r="B1865" s="15"/>
      <c r="C1865" s="17"/>
      <c r="D1865" s="15"/>
      <c r="E1865" s="15"/>
      <c r="F1865" s="15"/>
      <c r="G1865" s="15"/>
      <c r="H1865" s="15"/>
      <c r="I1865" s="15"/>
      <c r="J1865" s="15"/>
      <c r="K1865" s="15"/>
      <c r="L1865" s="15"/>
      <c r="M1865" s="18"/>
      <c r="N1865" s="18"/>
    </row>
    <row r="1866">
      <c r="A1866" s="15"/>
      <c r="B1866" s="15"/>
      <c r="C1866" s="17"/>
      <c r="D1866" s="15"/>
      <c r="E1866" s="15"/>
      <c r="F1866" s="15"/>
      <c r="G1866" s="15"/>
      <c r="H1866" s="15"/>
      <c r="I1866" s="15"/>
      <c r="J1866" s="15"/>
      <c r="K1866" s="15"/>
      <c r="L1866" s="15"/>
      <c r="M1866" s="18"/>
      <c r="N1866" s="18"/>
    </row>
    <row r="1867">
      <c r="A1867" s="15"/>
      <c r="B1867" s="15"/>
      <c r="C1867" s="17"/>
      <c r="D1867" s="15"/>
      <c r="E1867" s="15"/>
      <c r="F1867" s="15"/>
      <c r="G1867" s="15"/>
      <c r="H1867" s="15"/>
      <c r="I1867" s="15"/>
      <c r="J1867" s="15"/>
      <c r="K1867" s="15"/>
      <c r="L1867" s="15"/>
      <c r="M1867" s="18"/>
      <c r="N1867" s="18"/>
    </row>
    <row r="1868">
      <c r="A1868" s="15"/>
      <c r="B1868" s="15"/>
      <c r="C1868" s="17"/>
      <c r="D1868" s="15"/>
      <c r="E1868" s="15"/>
      <c r="F1868" s="15"/>
      <c r="G1868" s="15"/>
      <c r="H1868" s="15"/>
      <c r="I1868" s="15"/>
      <c r="J1868" s="15"/>
      <c r="K1868" s="15"/>
      <c r="L1868" s="15"/>
      <c r="M1868" s="18"/>
      <c r="N1868" s="18"/>
    </row>
    <row r="1869">
      <c r="A1869" s="15"/>
      <c r="B1869" s="15"/>
      <c r="C1869" s="17"/>
      <c r="D1869" s="15"/>
      <c r="E1869" s="15"/>
      <c r="F1869" s="15"/>
      <c r="G1869" s="15"/>
      <c r="H1869" s="15"/>
      <c r="I1869" s="15"/>
      <c r="J1869" s="15"/>
      <c r="K1869" s="15"/>
      <c r="L1869" s="15"/>
      <c r="M1869" s="18"/>
      <c r="N1869" s="18"/>
    </row>
    <row r="1870">
      <c r="A1870" s="15"/>
      <c r="B1870" s="15"/>
      <c r="C1870" s="17"/>
      <c r="D1870" s="15"/>
      <c r="E1870" s="15"/>
      <c r="F1870" s="15"/>
      <c r="G1870" s="15"/>
      <c r="H1870" s="15"/>
      <c r="I1870" s="15"/>
      <c r="J1870" s="15"/>
      <c r="K1870" s="15"/>
      <c r="L1870" s="15"/>
      <c r="M1870" s="18"/>
      <c r="N1870" s="18"/>
    </row>
    <row r="1871">
      <c r="A1871" s="15"/>
      <c r="B1871" s="15"/>
      <c r="C1871" s="17"/>
      <c r="D1871" s="15"/>
      <c r="E1871" s="15"/>
      <c r="F1871" s="15"/>
      <c r="G1871" s="15"/>
      <c r="H1871" s="15"/>
      <c r="I1871" s="15"/>
      <c r="J1871" s="15"/>
      <c r="K1871" s="15"/>
      <c r="L1871" s="15"/>
      <c r="M1871" s="18"/>
      <c r="N1871" s="18"/>
    </row>
    <row r="1872">
      <c r="A1872" s="15"/>
      <c r="B1872" s="15"/>
      <c r="C1872" s="17"/>
      <c r="D1872" s="15"/>
      <c r="E1872" s="15"/>
      <c r="F1872" s="15"/>
      <c r="G1872" s="15"/>
      <c r="H1872" s="15"/>
      <c r="I1872" s="15"/>
      <c r="J1872" s="15"/>
      <c r="K1872" s="15"/>
      <c r="L1872" s="15"/>
      <c r="M1872" s="18"/>
      <c r="N1872" s="18"/>
    </row>
    <row r="1873">
      <c r="A1873" s="15"/>
      <c r="B1873" s="15"/>
      <c r="C1873" s="17"/>
      <c r="D1873" s="15"/>
      <c r="E1873" s="15"/>
      <c r="F1873" s="15"/>
      <c r="G1873" s="15"/>
      <c r="H1873" s="15"/>
      <c r="I1873" s="15"/>
      <c r="J1873" s="15"/>
      <c r="K1873" s="15"/>
      <c r="L1873" s="15"/>
      <c r="M1873" s="18"/>
      <c r="N1873" s="18"/>
    </row>
    <row r="1874">
      <c r="A1874" s="15"/>
      <c r="B1874" s="15"/>
      <c r="C1874" s="17"/>
      <c r="D1874" s="15"/>
      <c r="E1874" s="15"/>
      <c r="F1874" s="15"/>
      <c r="G1874" s="15"/>
      <c r="H1874" s="15"/>
      <c r="I1874" s="15"/>
      <c r="J1874" s="15"/>
      <c r="K1874" s="15"/>
      <c r="L1874" s="15"/>
      <c r="M1874" s="18"/>
      <c r="N1874" s="18"/>
    </row>
    <row r="1875">
      <c r="A1875" s="15"/>
      <c r="B1875" s="15"/>
      <c r="C1875" s="17"/>
      <c r="D1875" s="15"/>
      <c r="E1875" s="15"/>
      <c r="F1875" s="15"/>
      <c r="G1875" s="15"/>
      <c r="H1875" s="15"/>
      <c r="I1875" s="15"/>
      <c r="J1875" s="15"/>
      <c r="K1875" s="15"/>
      <c r="L1875" s="15"/>
      <c r="M1875" s="18"/>
      <c r="N1875" s="18"/>
    </row>
    <row r="1876">
      <c r="A1876" s="15"/>
      <c r="B1876" s="15"/>
      <c r="C1876" s="17"/>
      <c r="D1876" s="15"/>
      <c r="E1876" s="15"/>
      <c r="F1876" s="15"/>
      <c r="G1876" s="15"/>
      <c r="H1876" s="15"/>
      <c r="I1876" s="15"/>
      <c r="J1876" s="15"/>
      <c r="K1876" s="15"/>
      <c r="L1876" s="15"/>
      <c r="M1876" s="18"/>
      <c r="N1876" s="18"/>
    </row>
    <row r="1877">
      <c r="A1877" s="15"/>
      <c r="B1877" s="15"/>
      <c r="C1877" s="17"/>
      <c r="D1877" s="15"/>
      <c r="E1877" s="15"/>
      <c r="F1877" s="15"/>
      <c r="G1877" s="15"/>
      <c r="H1877" s="15"/>
      <c r="I1877" s="15"/>
      <c r="J1877" s="15"/>
      <c r="K1877" s="15"/>
      <c r="L1877" s="15"/>
      <c r="M1877" s="18"/>
      <c r="N1877" s="18"/>
    </row>
    <row r="1878">
      <c r="A1878" s="15"/>
      <c r="B1878" s="15"/>
      <c r="C1878" s="17"/>
      <c r="D1878" s="15"/>
      <c r="E1878" s="15"/>
      <c r="F1878" s="15"/>
      <c r="G1878" s="15"/>
      <c r="H1878" s="15"/>
      <c r="I1878" s="15"/>
      <c r="J1878" s="15"/>
      <c r="K1878" s="15"/>
      <c r="L1878" s="15"/>
      <c r="M1878" s="18"/>
      <c r="N1878" s="18"/>
    </row>
    <row r="1879">
      <c r="A1879" s="15"/>
      <c r="B1879" s="15"/>
      <c r="C1879" s="17"/>
      <c r="D1879" s="15"/>
      <c r="E1879" s="15"/>
      <c r="F1879" s="15"/>
      <c r="G1879" s="15"/>
      <c r="H1879" s="15"/>
      <c r="I1879" s="15"/>
      <c r="J1879" s="15"/>
      <c r="K1879" s="15"/>
      <c r="L1879" s="15"/>
      <c r="M1879" s="18"/>
      <c r="N1879" s="18"/>
    </row>
    <row r="1880">
      <c r="A1880" s="15"/>
      <c r="B1880" s="15"/>
      <c r="C1880" s="17"/>
      <c r="D1880" s="15"/>
      <c r="E1880" s="15"/>
      <c r="F1880" s="15"/>
      <c r="G1880" s="15"/>
      <c r="H1880" s="15"/>
      <c r="I1880" s="15"/>
      <c r="J1880" s="15"/>
      <c r="K1880" s="15"/>
      <c r="L1880" s="15"/>
      <c r="M1880" s="18"/>
      <c r="N1880" s="18"/>
    </row>
    <row r="1881">
      <c r="A1881" s="15"/>
      <c r="B1881" s="15"/>
      <c r="C1881" s="17"/>
      <c r="D1881" s="15"/>
      <c r="E1881" s="15"/>
      <c r="F1881" s="15"/>
      <c r="G1881" s="15"/>
      <c r="H1881" s="15"/>
      <c r="I1881" s="15"/>
      <c r="J1881" s="15"/>
      <c r="K1881" s="15"/>
      <c r="L1881" s="15"/>
      <c r="M1881" s="18"/>
      <c r="N1881" s="18"/>
    </row>
    <row r="1882">
      <c r="A1882" s="15"/>
      <c r="B1882" s="15"/>
      <c r="C1882" s="17"/>
      <c r="D1882" s="15"/>
      <c r="E1882" s="15"/>
      <c r="F1882" s="15"/>
      <c r="G1882" s="15"/>
      <c r="H1882" s="15"/>
      <c r="I1882" s="15"/>
      <c r="J1882" s="15"/>
      <c r="K1882" s="15"/>
      <c r="L1882" s="15"/>
      <c r="M1882" s="18"/>
      <c r="N1882" s="18"/>
    </row>
    <row r="1883">
      <c r="A1883" s="15"/>
      <c r="B1883" s="15"/>
      <c r="C1883" s="17"/>
      <c r="D1883" s="15"/>
      <c r="E1883" s="15"/>
      <c r="F1883" s="15"/>
      <c r="G1883" s="15"/>
      <c r="H1883" s="15"/>
      <c r="I1883" s="15"/>
      <c r="J1883" s="15"/>
      <c r="K1883" s="15"/>
      <c r="L1883" s="15"/>
      <c r="M1883" s="18"/>
      <c r="N1883" s="18"/>
    </row>
    <row r="1884">
      <c r="A1884" s="15"/>
      <c r="B1884" s="15"/>
      <c r="C1884" s="17"/>
      <c r="D1884" s="15"/>
      <c r="E1884" s="15"/>
      <c r="F1884" s="15"/>
      <c r="G1884" s="15"/>
      <c r="H1884" s="15"/>
      <c r="I1884" s="15"/>
      <c r="J1884" s="15"/>
      <c r="K1884" s="15"/>
      <c r="L1884" s="15"/>
      <c r="M1884" s="18"/>
      <c r="N1884" s="18"/>
    </row>
    <row r="1885">
      <c r="A1885" s="15"/>
      <c r="B1885" s="15"/>
      <c r="C1885" s="17"/>
      <c r="D1885" s="15"/>
      <c r="E1885" s="15"/>
      <c r="F1885" s="15"/>
      <c r="G1885" s="15"/>
      <c r="H1885" s="15"/>
      <c r="I1885" s="15"/>
      <c r="J1885" s="15"/>
      <c r="K1885" s="15"/>
      <c r="L1885" s="15"/>
      <c r="M1885" s="18"/>
      <c r="N1885" s="18"/>
    </row>
    <row r="1886">
      <c r="A1886" s="15"/>
      <c r="B1886" s="15"/>
      <c r="C1886" s="17"/>
      <c r="D1886" s="15"/>
      <c r="E1886" s="15"/>
      <c r="F1886" s="15"/>
      <c r="G1886" s="15"/>
      <c r="H1886" s="15"/>
      <c r="I1886" s="15"/>
      <c r="J1886" s="15"/>
      <c r="K1886" s="15"/>
      <c r="L1886" s="15"/>
      <c r="M1886" s="18"/>
      <c r="N1886" s="18"/>
    </row>
    <row r="1887">
      <c r="A1887" s="15"/>
      <c r="B1887" s="15"/>
      <c r="C1887" s="17"/>
      <c r="D1887" s="15"/>
      <c r="E1887" s="15"/>
      <c r="F1887" s="15"/>
      <c r="G1887" s="15"/>
      <c r="H1887" s="15"/>
      <c r="I1887" s="15"/>
      <c r="J1887" s="15"/>
      <c r="K1887" s="15"/>
      <c r="L1887" s="15"/>
      <c r="M1887" s="18"/>
      <c r="N1887" s="18"/>
    </row>
    <row r="1888">
      <c r="A1888" s="15"/>
      <c r="B1888" s="15"/>
      <c r="C1888" s="17"/>
      <c r="D1888" s="15"/>
      <c r="E1888" s="15"/>
      <c r="F1888" s="15"/>
      <c r="G1888" s="15"/>
      <c r="H1888" s="15"/>
      <c r="I1888" s="15"/>
      <c r="J1888" s="15"/>
      <c r="K1888" s="15"/>
      <c r="L1888" s="15"/>
      <c r="M1888" s="18"/>
      <c r="N1888" s="18"/>
    </row>
    <row r="1889">
      <c r="A1889" s="15"/>
      <c r="B1889" s="15"/>
      <c r="C1889" s="17"/>
      <c r="D1889" s="15"/>
      <c r="E1889" s="15"/>
      <c r="F1889" s="15"/>
      <c r="G1889" s="15"/>
      <c r="H1889" s="15"/>
      <c r="I1889" s="15"/>
      <c r="J1889" s="15"/>
      <c r="K1889" s="15"/>
      <c r="L1889" s="15"/>
      <c r="M1889" s="18"/>
      <c r="N1889" s="18"/>
    </row>
    <row r="1890">
      <c r="A1890" s="15"/>
      <c r="B1890" s="15"/>
      <c r="C1890" s="17"/>
      <c r="D1890" s="15"/>
      <c r="E1890" s="15"/>
      <c r="F1890" s="15"/>
      <c r="G1890" s="15"/>
      <c r="H1890" s="15"/>
      <c r="I1890" s="15"/>
      <c r="J1890" s="15"/>
      <c r="K1890" s="15"/>
      <c r="L1890" s="15"/>
      <c r="M1890" s="18"/>
      <c r="N1890" s="18"/>
    </row>
    <row r="1891">
      <c r="A1891" s="15"/>
      <c r="B1891" s="15"/>
      <c r="C1891" s="17"/>
      <c r="D1891" s="15"/>
      <c r="E1891" s="15"/>
      <c r="F1891" s="15"/>
      <c r="G1891" s="15"/>
      <c r="H1891" s="15"/>
      <c r="I1891" s="15"/>
      <c r="J1891" s="15"/>
      <c r="K1891" s="15"/>
      <c r="L1891" s="15"/>
      <c r="M1891" s="18"/>
      <c r="N1891" s="18"/>
    </row>
    <row r="1892">
      <c r="A1892" s="15"/>
      <c r="B1892" s="15"/>
      <c r="C1892" s="17"/>
      <c r="D1892" s="15"/>
      <c r="E1892" s="15"/>
      <c r="F1892" s="15"/>
      <c r="G1892" s="15"/>
      <c r="H1892" s="15"/>
      <c r="I1892" s="15"/>
      <c r="J1892" s="15"/>
      <c r="K1892" s="15"/>
      <c r="L1892" s="15"/>
      <c r="M1892" s="18"/>
      <c r="N1892" s="18"/>
    </row>
    <row r="1893">
      <c r="A1893" s="15"/>
      <c r="B1893" s="15"/>
      <c r="C1893" s="17"/>
      <c r="D1893" s="15"/>
      <c r="E1893" s="15"/>
      <c r="F1893" s="15"/>
      <c r="G1893" s="15"/>
      <c r="H1893" s="15"/>
      <c r="I1893" s="15"/>
      <c r="J1893" s="15"/>
      <c r="K1893" s="15"/>
      <c r="L1893" s="15"/>
      <c r="M1893" s="18"/>
      <c r="N1893" s="18"/>
    </row>
    <row r="1894">
      <c r="A1894" s="15"/>
      <c r="B1894" s="15"/>
      <c r="C1894" s="17"/>
      <c r="D1894" s="15"/>
      <c r="E1894" s="15"/>
      <c r="F1894" s="15"/>
      <c r="G1894" s="15"/>
      <c r="H1894" s="15"/>
      <c r="I1894" s="15"/>
      <c r="J1894" s="15"/>
      <c r="K1894" s="15"/>
      <c r="L1894" s="15"/>
      <c r="M1894" s="18"/>
      <c r="N1894" s="18"/>
    </row>
    <row r="1895">
      <c r="A1895" s="15"/>
      <c r="B1895" s="15"/>
      <c r="C1895" s="17"/>
      <c r="D1895" s="15"/>
      <c r="E1895" s="15"/>
      <c r="F1895" s="15"/>
      <c r="G1895" s="15"/>
      <c r="H1895" s="15"/>
      <c r="I1895" s="15"/>
      <c r="J1895" s="15"/>
      <c r="K1895" s="15"/>
      <c r="L1895" s="15"/>
      <c r="M1895" s="18"/>
      <c r="N1895" s="18"/>
    </row>
    <row r="1896">
      <c r="A1896" s="15"/>
      <c r="B1896" s="15"/>
      <c r="C1896" s="17"/>
      <c r="D1896" s="15"/>
      <c r="E1896" s="15"/>
      <c r="F1896" s="15"/>
      <c r="G1896" s="15"/>
      <c r="H1896" s="15"/>
      <c r="I1896" s="15"/>
      <c r="J1896" s="15"/>
      <c r="K1896" s="15"/>
      <c r="L1896" s="15"/>
      <c r="M1896" s="18"/>
      <c r="N1896" s="18"/>
    </row>
    <row r="1897">
      <c r="A1897" s="15"/>
      <c r="B1897" s="15"/>
      <c r="C1897" s="17"/>
      <c r="D1897" s="15"/>
      <c r="E1897" s="15"/>
      <c r="F1897" s="15"/>
      <c r="G1897" s="15"/>
      <c r="H1897" s="15"/>
      <c r="I1897" s="15"/>
      <c r="J1897" s="15"/>
      <c r="K1897" s="15"/>
      <c r="L1897" s="15"/>
      <c r="M1897" s="18"/>
      <c r="N1897" s="18"/>
    </row>
    <row r="1898">
      <c r="A1898" s="15"/>
      <c r="B1898" s="15"/>
      <c r="C1898" s="17"/>
      <c r="D1898" s="15"/>
      <c r="E1898" s="15"/>
      <c r="F1898" s="15"/>
      <c r="G1898" s="15"/>
      <c r="H1898" s="15"/>
      <c r="I1898" s="15"/>
      <c r="J1898" s="15"/>
      <c r="K1898" s="15"/>
      <c r="L1898" s="15"/>
      <c r="M1898" s="18"/>
      <c r="N1898" s="18"/>
    </row>
    <row r="1899">
      <c r="A1899" s="15"/>
      <c r="B1899" s="15"/>
      <c r="C1899" s="17"/>
      <c r="D1899" s="15"/>
      <c r="E1899" s="15"/>
      <c r="F1899" s="15"/>
      <c r="G1899" s="15"/>
      <c r="H1899" s="15"/>
      <c r="I1899" s="15"/>
      <c r="J1899" s="15"/>
      <c r="K1899" s="15"/>
      <c r="L1899" s="15"/>
      <c r="M1899" s="18"/>
      <c r="N1899" s="18"/>
    </row>
    <row r="1900">
      <c r="A1900" s="15"/>
      <c r="B1900" s="15"/>
      <c r="C1900" s="17"/>
      <c r="D1900" s="15"/>
      <c r="E1900" s="15"/>
      <c r="F1900" s="15"/>
      <c r="G1900" s="15"/>
      <c r="H1900" s="15"/>
      <c r="I1900" s="15"/>
      <c r="J1900" s="15"/>
      <c r="K1900" s="15"/>
      <c r="L1900" s="15"/>
      <c r="M1900" s="18"/>
      <c r="N1900" s="18"/>
    </row>
    <row r="1901">
      <c r="A1901" s="15"/>
      <c r="B1901" s="15"/>
      <c r="C1901" s="17"/>
      <c r="D1901" s="15"/>
      <c r="E1901" s="15"/>
      <c r="F1901" s="15"/>
      <c r="G1901" s="15"/>
      <c r="H1901" s="15"/>
      <c r="I1901" s="15"/>
      <c r="J1901" s="15"/>
      <c r="K1901" s="15"/>
      <c r="L1901" s="15"/>
      <c r="M1901" s="18"/>
      <c r="N1901" s="18"/>
    </row>
    <row r="1902">
      <c r="A1902" s="15"/>
      <c r="B1902" s="15"/>
      <c r="C1902" s="17"/>
      <c r="D1902" s="15"/>
      <c r="E1902" s="15"/>
      <c r="F1902" s="15"/>
      <c r="G1902" s="15"/>
      <c r="H1902" s="15"/>
      <c r="I1902" s="15"/>
      <c r="J1902" s="15"/>
      <c r="K1902" s="15"/>
      <c r="L1902" s="15"/>
      <c r="M1902" s="18"/>
      <c r="N1902" s="18"/>
    </row>
    <row r="1903">
      <c r="A1903" s="15"/>
      <c r="B1903" s="15"/>
      <c r="C1903" s="17"/>
      <c r="D1903" s="15"/>
      <c r="E1903" s="15"/>
      <c r="F1903" s="15"/>
      <c r="G1903" s="15"/>
      <c r="H1903" s="15"/>
      <c r="I1903" s="15"/>
      <c r="J1903" s="15"/>
      <c r="K1903" s="15"/>
      <c r="L1903" s="15"/>
      <c r="M1903" s="18"/>
      <c r="N1903" s="18"/>
    </row>
    <row r="1904">
      <c r="A1904" s="15"/>
      <c r="B1904" s="15"/>
      <c r="C1904" s="17"/>
      <c r="D1904" s="15"/>
      <c r="E1904" s="15"/>
      <c r="F1904" s="15"/>
      <c r="G1904" s="15"/>
      <c r="H1904" s="15"/>
      <c r="I1904" s="15"/>
      <c r="J1904" s="15"/>
      <c r="K1904" s="15"/>
      <c r="L1904" s="15"/>
      <c r="M1904" s="18"/>
      <c r="N1904" s="18"/>
    </row>
    <row r="1905">
      <c r="A1905" s="15"/>
      <c r="B1905" s="15"/>
      <c r="C1905" s="17"/>
      <c r="D1905" s="15"/>
      <c r="E1905" s="15"/>
      <c r="F1905" s="15"/>
      <c r="G1905" s="15"/>
      <c r="H1905" s="15"/>
      <c r="I1905" s="15"/>
      <c r="J1905" s="15"/>
      <c r="K1905" s="15"/>
      <c r="L1905" s="15"/>
      <c r="M1905" s="18"/>
      <c r="N1905" s="18"/>
    </row>
    <row r="1906">
      <c r="A1906" s="15"/>
      <c r="B1906" s="15"/>
      <c r="C1906" s="17"/>
      <c r="D1906" s="15"/>
      <c r="E1906" s="15"/>
      <c r="F1906" s="15"/>
      <c r="G1906" s="15"/>
      <c r="H1906" s="15"/>
      <c r="I1906" s="15"/>
      <c r="J1906" s="15"/>
      <c r="K1906" s="15"/>
      <c r="L1906" s="15"/>
      <c r="M1906" s="18"/>
      <c r="N1906" s="18"/>
    </row>
    <row r="1907">
      <c r="A1907" s="15"/>
      <c r="B1907" s="15"/>
      <c r="C1907" s="17"/>
      <c r="D1907" s="15"/>
      <c r="E1907" s="15"/>
      <c r="F1907" s="15"/>
      <c r="G1907" s="15"/>
      <c r="H1907" s="15"/>
      <c r="I1907" s="15"/>
      <c r="J1907" s="15"/>
      <c r="K1907" s="15"/>
      <c r="L1907" s="15"/>
      <c r="M1907" s="18"/>
      <c r="N1907" s="18"/>
    </row>
    <row r="1908">
      <c r="A1908" s="15"/>
      <c r="B1908" s="15"/>
      <c r="C1908" s="17"/>
      <c r="D1908" s="15"/>
      <c r="E1908" s="15"/>
      <c r="F1908" s="15"/>
      <c r="G1908" s="15"/>
      <c r="H1908" s="15"/>
      <c r="I1908" s="15"/>
      <c r="J1908" s="15"/>
      <c r="K1908" s="15"/>
      <c r="L1908" s="15"/>
      <c r="M1908" s="18"/>
      <c r="N1908" s="18"/>
    </row>
    <row r="1909">
      <c r="A1909" s="15"/>
      <c r="B1909" s="15"/>
      <c r="C1909" s="17"/>
      <c r="D1909" s="15"/>
      <c r="E1909" s="15"/>
      <c r="F1909" s="15"/>
      <c r="G1909" s="15"/>
      <c r="H1909" s="15"/>
      <c r="I1909" s="15"/>
      <c r="J1909" s="15"/>
      <c r="K1909" s="15"/>
      <c r="L1909" s="15"/>
      <c r="M1909" s="18"/>
      <c r="N1909" s="18"/>
    </row>
    <row r="1910">
      <c r="A1910" s="15"/>
      <c r="B1910" s="15"/>
      <c r="C1910" s="17"/>
      <c r="D1910" s="15"/>
      <c r="E1910" s="15"/>
      <c r="F1910" s="15"/>
      <c r="G1910" s="15"/>
      <c r="H1910" s="15"/>
      <c r="I1910" s="15"/>
      <c r="J1910" s="15"/>
      <c r="K1910" s="15"/>
      <c r="L1910" s="15"/>
      <c r="M1910" s="18"/>
      <c r="N1910" s="18"/>
    </row>
    <row r="1911">
      <c r="A1911" s="15"/>
      <c r="B1911" s="15"/>
      <c r="C1911" s="17"/>
      <c r="D1911" s="15"/>
      <c r="E1911" s="15"/>
      <c r="F1911" s="15"/>
      <c r="G1911" s="15"/>
      <c r="H1911" s="15"/>
      <c r="I1911" s="15"/>
      <c r="J1911" s="15"/>
      <c r="K1911" s="15"/>
      <c r="L1911" s="15"/>
      <c r="M1911" s="18"/>
      <c r="N1911" s="18"/>
    </row>
    <row r="1912">
      <c r="A1912" s="15"/>
      <c r="B1912" s="15"/>
      <c r="C1912" s="17"/>
      <c r="D1912" s="15"/>
      <c r="E1912" s="15"/>
      <c r="F1912" s="15"/>
      <c r="G1912" s="15"/>
      <c r="H1912" s="15"/>
      <c r="I1912" s="15"/>
      <c r="J1912" s="15"/>
      <c r="K1912" s="15"/>
      <c r="L1912" s="15"/>
      <c r="M1912" s="18"/>
      <c r="N1912" s="18"/>
    </row>
    <row r="1913">
      <c r="A1913" s="15"/>
      <c r="B1913" s="15"/>
      <c r="C1913" s="17"/>
      <c r="D1913" s="15"/>
      <c r="E1913" s="15"/>
      <c r="F1913" s="15"/>
      <c r="G1913" s="15"/>
      <c r="H1913" s="15"/>
      <c r="I1913" s="15"/>
      <c r="J1913" s="15"/>
      <c r="K1913" s="15"/>
      <c r="L1913" s="15"/>
      <c r="M1913" s="18"/>
      <c r="N1913" s="18"/>
    </row>
    <row r="1914">
      <c r="A1914" s="15"/>
      <c r="B1914" s="15"/>
      <c r="C1914" s="17"/>
      <c r="D1914" s="15"/>
      <c r="E1914" s="15"/>
      <c r="F1914" s="15"/>
      <c r="G1914" s="15"/>
      <c r="H1914" s="15"/>
      <c r="I1914" s="15"/>
      <c r="J1914" s="15"/>
      <c r="K1914" s="15"/>
      <c r="L1914" s="15"/>
      <c r="M1914" s="18"/>
      <c r="N1914" s="18"/>
    </row>
    <row r="1915">
      <c r="A1915" s="15"/>
      <c r="B1915" s="15"/>
      <c r="C1915" s="17"/>
      <c r="D1915" s="15"/>
      <c r="E1915" s="15"/>
      <c r="F1915" s="15"/>
      <c r="G1915" s="15"/>
      <c r="H1915" s="15"/>
      <c r="I1915" s="15"/>
      <c r="J1915" s="15"/>
      <c r="K1915" s="15"/>
      <c r="L1915" s="15"/>
      <c r="M1915" s="18"/>
      <c r="N1915" s="18"/>
    </row>
    <row r="1916">
      <c r="A1916" s="15"/>
      <c r="B1916" s="15"/>
      <c r="C1916" s="17"/>
      <c r="D1916" s="15"/>
      <c r="E1916" s="15"/>
      <c r="F1916" s="15"/>
      <c r="G1916" s="15"/>
      <c r="H1916" s="15"/>
      <c r="I1916" s="15"/>
      <c r="J1916" s="15"/>
      <c r="K1916" s="15"/>
      <c r="L1916" s="15"/>
      <c r="M1916" s="18"/>
      <c r="N1916" s="18"/>
    </row>
    <row r="1917">
      <c r="A1917" s="15"/>
      <c r="B1917" s="15"/>
      <c r="C1917" s="17"/>
      <c r="D1917" s="15"/>
      <c r="E1917" s="15"/>
      <c r="F1917" s="15"/>
      <c r="G1917" s="15"/>
      <c r="H1917" s="15"/>
      <c r="I1917" s="15"/>
      <c r="J1917" s="15"/>
      <c r="K1917" s="15"/>
      <c r="L1917" s="15"/>
      <c r="M1917" s="18"/>
      <c r="N1917" s="18"/>
    </row>
    <row r="1918">
      <c r="A1918" s="15"/>
      <c r="B1918" s="15"/>
      <c r="C1918" s="17"/>
      <c r="D1918" s="15"/>
      <c r="E1918" s="15"/>
      <c r="F1918" s="15"/>
      <c r="G1918" s="15"/>
      <c r="H1918" s="15"/>
      <c r="I1918" s="15"/>
      <c r="J1918" s="15"/>
      <c r="K1918" s="15"/>
      <c r="L1918" s="15"/>
      <c r="M1918" s="18"/>
      <c r="N1918" s="18"/>
    </row>
    <row r="1919">
      <c r="A1919" s="15"/>
      <c r="B1919" s="15"/>
      <c r="C1919" s="17"/>
      <c r="D1919" s="15"/>
      <c r="E1919" s="15"/>
      <c r="F1919" s="15"/>
      <c r="G1919" s="15"/>
      <c r="H1919" s="15"/>
      <c r="I1919" s="15"/>
      <c r="J1919" s="15"/>
      <c r="K1919" s="15"/>
      <c r="L1919" s="15"/>
      <c r="M1919" s="18"/>
      <c r="N1919" s="18"/>
    </row>
    <row r="1920">
      <c r="A1920" s="15"/>
      <c r="B1920" s="15"/>
      <c r="C1920" s="17"/>
      <c r="D1920" s="15"/>
      <c r="E1920" s="15"/>
      <c r="F1920" s="15"/>
      <c r="G1920" s="15"/>
      <c r="H1920" s="15"/>
      <c r="I1920" s="15"/>
      <c r="J1920" s="15"/>
      <c r="K1920" s="15"/>
      <c r="L1920" s="15"/>
      <c r="M1920" s="18"/>
      <c r="N1920" s="18"/>
    </row>
    <row r="1921">
      <c r="A1921" s="15"/>
      <c r="B1921" s="15"/>
      <c r="C1921" s="17"/>
      <c r="D1921" s="15"/>
      <c r="E1921" s="15"/>
      <c r="F1921" s="15"/>
      <c r="G1921" s="15"/>
      <c r="H1921" s="15"/>
      <c r="I1921" s="15"/>
      <c r="J1921" s="15"/>
      <c r="K1921" s="15"/>
      <c r="L1921" s="15"/>
      <c r="M1921" s="18"/>
      <c r="N1921" s="18"/>
    </row>
    <row r="1922">
      <c r="A1922" s="15"/>
      <c r="B1922" s="15"/>
      <c r="C1922" s="17"/>
      <c r="D1922" s="15"/>
      <c r="E1922" s="15"/>
      <c r="F1922" s="15"/>
      <c r="G1922" s="15"/>
      <c r="H1922" s="15"/>
      <c r="I1922" s="15"/>
      <c r="J1922" s="15"/>
      <c r="K1922" s="15"/>
      <c r="L1922" s="15"/>
      <c r="M1922" s="18"/>
      <c r="N1922" s="18"/>
    </row>
    <row r="1923">
      <c r="A1923" s="15"/>
      <c r="B1923" s="15"/>
      <c r="C1923" s="17"/>
      <c r="D1923" s="15"/>
      <c r="E1923" s="15"/>
      <c r="F1923" s="15"/>
      <c r="G1923" s="15"/>
      <c r="H1923" s="15"/>
      <c r="I1923" s="15"/>
      <c r="J1923" s="15"/>
      <c r="K1923" s="15"/>
      <c r="L1923" s="15"/>
      <c r="M1923" s="18"/>
      <c r="N1923" s="18"/>
    </row>
    <row r="1924">
      <c r="A1924" s="15"/>
      <c r="B1924" s="15"/>
      <c r="C1924" s="17"/>
      <c r="D1924" s="15"/>
      <c r="E1924" s="15"/>
      <c r="F1924" s="15"/>
      <c r="G1924" s="15"/>
      <c r="H1924" s="15"/>
      <c r="I1924" s="15"/>
      <c r="J1924" s="15"/>
      <c r="K1924" s="15"/>
      <c r="L1924" s="15"/>
      <c r="M1924" s="18"/>
      <c r="N1924" s="18"/>
    </row>
    <row r="1925">
      <c r="A1925" s="15"/>
      <c r="B1925" s="15"/>
      <c r="C1925" s="17"/>
      <c r="D1925" s="15"/>
      <c r="E1925" s="15"/>
      <c r="F1925" s="15"/>
      <c r="G1925" s="15"/>
      <c r="H1925" s="15"/>
      <c r="I1925" s="15"/>
      <c r="J1925" s="15"/>
      <c r="K1925" s="15"/>
      <c r="L1925" s="15"/>
      <c r="M1925" s="18"/>
      <c r="N1925" s="18"/>
    </row>
    <row r="1926">
      <c r="A1926" s="15"/>
      <c r="B1926" s="15"/>
      <c r="C1926" s="17"/>
      <c r="D1926" s="15"/>
      <c r="E1926" s="15"/>
      <c r="F1926" s="15"/>
      <c r="G1926" s="15"/>
      <c r="H1926" s="15"/>
      <c r="I1926" s="15"/>
      <c r="J1926" s="15"/>
      <c r="K1926" s="15"/>
      <c r="L1926" s="15"/>
      <c r="M1926" s="18"/>
      <c r="N1926" s="18"/>
    </row>
    <row r="1927">
      <c r="A1927" s="15"/>
      <c r="B1927" s="15"/>
      <c r="C1927" s="17"/>
      <c r="D1927" s="15"/>
      <c r="E1927" s="15"/>
      <c r="F1927" s="15"/>
      <c r="G1927" s="15"/>
      <c r="H1927" s="15"/>
      <c r="I1927" s="15"/>
      <c r="J1927" s="15"/>
      <c r="K1927" s="15"/>
      <c r="L1927" s="15"/>
      <c r="M1927" s="18"/>
      <c r="N1927" s="18"/>
    </row>
    <row r="1928">
      <c r="A1928" s="15"/>
      <c r="B1928" s="15"/>
      <c r="C1928" s="17"/>
      <c r="D1928" s="15"/>
      <c r="E1928" s="15"/>
      <c r="F1928" s="15"/>
      <c r="G1928" s="15"/>
      <c r="H1928" s="15"/>
      <c r="I1928" s="15"/>
      <c r="J1928" s="15"/>
      <c r="K1928" s="15"/>
      <c r="L1928" s="15"/>
      <c r="M1928" s="18"/>
      <c r="N1928" s="18"/>
    </row>
    <row r="1929">
      <c r="A1929" s="15"/>
      <c r="B1929" s="15"/>
      <c r="C1929" s="17"/>
      <c r="D1929" s="15"/>
      <c r="E1929" s="15"/>
      <c r="F1929" s="15"/>
      <c r="G1929" s="15"/>
      <c r="H1929" s="15"/>
      <c r="I1929" s="15"/>
      <c r="J1929" s="15"/>
      <c r="K1929" s="15"/>
      <c r="L1929" s="15"/>
      <c r="M1929" s="18"/>
      <c r="N1929" s="18"/>
    </row>
    <row r="1930">
      <c r="A1930" s="15"/>
      <c r="B1930" s="15"/>
      <c r="C1930" s="17"/>
      <c r="D1930" s="15"/>
      <c r="E1930" s="15"/>
      <c r="F1930" s="15"/>
      <c r="G1930" s="15"/>
      <c r="H1930" s="15"/>
      <c r="I1930" s="15"/>
      <c r="J1930" s="15"/>
      <c r="K1930" s="15"/>
      <c r="L1930" s="15"/>
      <c r="M1930" s="18"/>
      <c r="N1930" s="18"/>
    </row>
    <row r="1931">
      <c r="A1931" s="15"/>
      <c r="B1931" s="15"/>
      <c r="C1931" s="17"/>
      <c r="D1931" s="15"/>
      <c r="E1931" s="15"/>
      <c r="F1931" s="15"/>
      <c r="G1931" s="15"/>
      <c r="H1931" s="15"/>
      <c r="I1931" s="15"/>
      <c r="J1931" s="15"/>
      <c r="K1931" s="15"/>
      <c r="L1931" s="15"/>
      <c r="M1931" s="18"/>
      <c r="N1931" s="18"/>
    </row>
    <row r="1932">
      <c r="A1932" s="15"/>
      <c r="B1932" s="15"/>
      <c r="C1932" s="17"/>
      <c r="D1932" s="15"/>
      <c r="E1932" s="15"/>
      <c r="F1932" s="15"/>
      <c r="G1932" s="15"/>
      <c r="H1932" s="15"/>
      <c r="I1932" s="15"/>
      <c r="J1932" s="15"/>
      <c r="K1932" s="15"/>
      <c r="L1932" s="15"/>
      <c r="M1932" s="18"/>
      <c r="N1932" s="18"/>
    </row>
    <row r="1933">
      <c r="A1933" s="15"/>
      <c r="B1933" s="15"/>
      <c r="C1933" s="17"/>
      <c r="D1933" s="15"/>
      <c r="E1933" s="15"/>
      <c r="F1933" s="15"/>
      <c r="G1933" s="15"/>
      <c r="H1933" s="15"/>
      <c r="I1933" s="15"/>
      <c r="J1933" s="15"/>
      <c r="K1933" s="15"/>
      <c r="L1933" s="15"/>
      <c r="M1933" s="18"/>
      <c r="N1933" s="18"/>
    </row>
    <row r="1934">
      <c r="A1934" s="15"/>
      <c r="B1934" s="15"/>
      <c r="C1934" s="17"/>
      <c r="D1934" s="15"/>
      <c r="E1934" s="15"/>
      <c r="F1934" s="15"/>
      <c r="G1934" s="15"/>
      <c r="H1934" s="15"/>
      <c r="I1934" s="15"/>
      <c r="J1934" s="15"/>
      <c r="K1934" s="15"/>
      <c r="L1934" s="15"/>
      <c r="M1934" s="18"/>
      <c r="N1934" s="18"/>
    </row>
    <row r="1935">
      <c r="A1935" s="15"/>
      <c r="B1935" s="15"/>
      <c r="C1935" s="17"/>
      <c r="D1935" s="15"/>
      <c r="E1935" s="15"/>
      <c r="F1935" s="15"/>
      <c r="G1935" s="15"/>
      <c r="H1935" s="15"/>
      <c r="I1935" s="15"/>
      <c r="J1935" s="15"/>
      <c r="K1935" s="15"/>
      <c r="L1935" s="15"/>
      <c r="M1935" s="18"/>
      <c r="N1935" s="18"/>
    </row>
    <row r="1936">
      <c r="A1936" s="15"/>
      <c r="B1936" s="15"/>
      <c r="C1936" s="17"/>
      <c r="D1936" s="15"/>
      <c r="E1936" s="15"/>
      <c r="F1936" s="15"/>
      <c r="G1936" s="15"/>
      <c r="H1936" s="15"/>
      <c r="I1936" s="15"/>
      <c r="J1936" s="15"/>
      <c r="K1936" s="15"/>
      <c r="L1936" s="15"/>
      <c r="M1936" s="18"/>
      <c r="N1936" s="18"/>
    </row>
    <row r="1937">
      <c r="A1937" s="15"/>
      <c r="B1937" s="15"/>
      <c r="C1937" s="17"/>
      <c r="D1937" s="15"/>
      <c r="E1937" s="15"/>
      <c r="F1937" s="15"/>
      <c r="G1937" s="15"/>
      <c r="H1937" s="15"/>
      <c r="I1937" s="15"/>
      <c r="J1937" s="15"/>
      <c r="K1937" s="15"/>
      <c r="L1937" s="15"/>
      <c r="M1937" s="18"/>
      <c r="N1937" s="18"/>
    </row>
    <row r="1938">
      <c r="A1938" s="15"/>
      <c r="B1938" s="15"/>
      <c r="C1938" s="17"/>
      <c r="D1938" s="15"/>
      <c r="E1938" s="15"/>
      <c r="F1938" s="15"/>
      <c r="G1938" s="15"/>
      <c r="H1938" s="15"/>
      <c r="I1938" s="15"/>
      <c r="J1938" s="15"/>
      <c r="K1938" s="15"/>
      <c r="L1938" s="15"/>
      <c r="M1938" s="18"/>
      <c r="N1938" s="18"/>
    </row>
    <row r="1939">
      <c r="A1939" s="15"/>
      <c r="B1939" s="15"/>
      <c r="C1939" s="17"/>
      <c r="D1939" s="15"/>
      <c r="E1939" s="15"/>
      <c r="F1939" s="15"/>
      <c r="G1939" s="15"/>
      <c r="H1939" s="15"/>
      <c r="I1939" s="15"/>
      <c r="J1939" s="15"/>
      <c r="K1939" s="15"/>
      <c r="L1939" s="15"/>
      <c r="M1939" s="18"/>
      <c r="N1939" s="18"/>
    </row>
    <row r="1940">
      <c r="A1940" s="15"/>
      <c r="B1940" s="15"/>
      <c r="C1940" s="17"/>
      <c r="D1940" s="15"/>
      <c r="E1940" s="15"/>
      <c r="F1940" s="15"/>
      <c r="G1940" s="15"/>
      <c r="H1940" s="15"/>
      <c r="I1940" s="15"/>
      <c r="J1940" s="15"/>
      <c r="K1940" s="15"/>
      <c r="L1940" s="15"/>
      <c r="M1940" s="18"/>
      <c r="N1940" s="18"/>
    </row>
    <row r="1941">
      <c r="A1941" s="15"/>
      <c r="B1941" s="15"/>
      <c r="C1941" s="17"/>
      <c r="D1941" s="15"/>
      <c r="E1941" s="15"/>
      <c r="F1941" s="15"/>
      <c r="G1941" s="15"/>
      <c r="H1941" s="15"/>
      <c r="I1941" s="15"/>
      <c r="J1941" s="15"/>
      <c r="K1941" s="15"/>
      <c r="L1941" s="15"/>
      <c r="M1941" s="18"/>
      <c r="N1941" s="18"/>
    </row>
    <row r="1942">
      <c r="A1942" s="15"/>
      <c r="B1942" s="15"/>
      <c r="C1942" s="17"/>
      <c r="D1942" s="15"/>
      <c r="E1942" s="15"/>
      <c r="F1942" s="15"/>
      <c r="G1942" s="15"/>
      <c r="H1942" s="15"/>
      <c r="I1942" s="15"/>
      <c r="J1942" s="15"/>
      <c r="K1942" s="15"/>
      <c r="L1942" s="15"/>
      <c r="M1942" s="18"/>
      <c r="N1942" s="18"/>
    </row>
    <row r="1943">
      <c r="A1943" s="15"/>
      <c r="B1943" s="15"/>
      <c r="C1943" s="17"/>
      <c r="D1943" s="15"/>
      <c r="E1943" s="15"/>
      <c r="F1943" s="15"/>
      <c r="G1943" s="15"/>
      <c r="H1943" s="15"/>
      <c r="I1943" s="15"/>
      <c r="J1943" s="15"/>
      <c r="K1943" s="15"/>
      <c r="L1943" s="15"/>
      <c r="M1943" s="18"/>
      <c r="N1943" s="18"/>
    </row>
    <row r="1944">
      <c r="A1944" s="15"/>
      <c r="B1944" s="15"/>
      <c r="C1944" s="17"/>
      <c r="D1944" s="15"/>
      <c r="E1944" s="15"/>
      <c r="F1944" s="15"/>
      <c r="G1944" s="15"/>
      <c r="H1944" s="15"/>
      <c r="I1944" s="15"/>
      <c r="J1944" s="15"/>
      <c r="K1944" s="15"/>
      <c r="L1944" s="15"/>
      <c r="M1944" s="18"/>
      <c r="N1944" s="18"/>
    </row>
    <row r="1945">
      <c r="A1945" s="15"/>
      <c r="B1945" s="15"/>
      <c r="C1945" s="17"/>
      <c r="D1945" s="15"/>
      <c r="E1945" s="15"/>
      <c r="F1945" s="15"/>
      <c r="G1945" s="15"/>
      <c r="H1945" s="15"/>
      <c r="I1945" s="15"/>
      <c r="J1945" s="15"/>
      <c r="K1945" s="15"/>
      <c r="L1945" s="15"/>
      <c r="M1945" s="18"/>
      <c r="N1945" s="18"/>
    </row>
    <row r="1946">
      <c r="A1946" s="15"/>
      <c r="B1946" s="15"/>
      <c r="C1946" s="17"/>
      <c r="D1946" s="15"/>
      <c r="E1946" s="15"/>
      <c r="F1946" s="15"/>
      <c r="G1946" s="15"/>
      <c r="H1946" s="15"/>
      <c r="I1946" s="15"/>
      <c r="J1946" s="15"/>
      <c r="K1946" s="15"/>
      <c r="L1946" s="15"/>
      <c r="M1946" s="18"/>
      <c r="N1946" s="18"/>
    </row>
    <row r="1947">
      <c r="A1947" s="15"/>
      <c r="B1947" s="15"/>
      <c r="C1947" s="17"/>
      <c r="D1947" s="15"/>
      <c r="E1947" s="15"/>
      <c r="F1947" s="15"/>
      <c r="G1947" s="15"/>
      <c r="H1947" s="15"/>
      <c r="I1947" s="15"/>
      <c r="J1947" s="15"/>
      <c r="K1947" s="15"/>
      <c r="L1947" s="15"/>
      <c r="M1947" s="18"/>
      <c r="N1947" s="18"/>
    </row>
    <row r="1948">
      <c r="A1948" s="15"/>
      <c r="B1948" s="15"/>
      <c r="C1948" s="17"/>
      <c r="D1948" s="15"/>
      <c r="E1948" s="15"/>
      <c r="F1948" s="15"/>
      <c r="G1948" s="15"/>
      <c r="H1948" s="15"/>
      <c r="I1948" s="15"/>
      <c r="J1948" s="15"/>
      <c r="K1948" s="15"/>
      <c r="L1948" s="15"/>
      <c r="M1948" s="18"/>
      <c r="N1948" s="18"/>
    </row>
    <row r="1949">
      <c r="A1949" s="15"/>
      <c r="B1949" s="15"/>
      <c r="C1949" s="17"/>
      <c r="D1949" s="15"/>
      <c r="E1949" s="15"/>
      <c r="F1949" s="15"/>
      <c r="G1949" s="15"/>
      <c r="H1949" s="15"/>
      <c r="I1949" s="15"/>
      <c r="J1949" s="15"/>
      <c r="K1949" s="15"/>
      <c r="L1949" s="15"/>
      <c r="M1949" s="18"/>
      <c r="N1949" s="18"/>
    </row>
    <row r="1950">
      <c r="A1950" s="15"/>
      <c r="B1950" s="15"/>
      <c r="C1950" s="17"/>
      <c r="D1950" s="15"/>
      <c r="E1950" s="15"/>
      <c r="F1950" s="15"/>
      <c r="G1950" s="15"/>
      <c r="H1950" s="15"/>
      <c r="I1950" s="15"/>
      <c r="J1950" s="15"/>
      <c r="K1950" s="15"/>
      <c r="L1950" s="15"/>
      <c r="M1950" s="18"/>
      <c r="N1950" s="18"/>
    </row>
    <row r="1951">
      <c r="A1951" s="15"/>
      <c r="B1951" s="15"/>
      <c r="C1951" s="17"/>
      <c r="D1951" s="15"/>
      <c r="E1951" s="15"/>
      <c r="F1951" s="15"/>
      <c r="G1951" s="15"/>
      <c r="H1951" s="15"/>
      <c r="I1951" s="15"/>
      <c r="J1951" s="15"/>
      <c r="K1951" s="15"/>
      <c r="L1951" s="15"/>
      <c r="M1951" s="18"/>
      <c r="N1951" s="18"/>
    </row>
    <row r="1952">
      <c r="A1952" s="15"/>
      <c r="B1952" s="15"/>
      <c r="C1952" s="17"/>
      <c r="D1952" s="15"/>
      <c r="E1952" s="15"/>
      <c r="F1952" s="15"/>
      <c r="G1952" s="15"/>
      <c r="H1952" s="15"/>
      <c r="I1952" s="15"/>
      <c r="J1952" s="15"/>
      <c r="K1952" s="15"/>
      <c r="L1952" s="15"/>
      <c r="M1952" s="18"/>
      <c r="N1952" s="18"/>
    </row>
    <row r="1953">
      <c r="A1953" s="15"/>
      <c r="B1953" s="15"/>
      <c r="C1953" s="17"/>
      <c r="D1953" s="15"/>
      <c r="E1953" s="15"/>
      <c r="F1953" s="15"/>
      <c r="G1953" s="15"/>
      <c r="H1953" s="15"/>
      <c r="I1953" s="15"/>
      <c r="J1953" s="15"/>
      <c r="K1953" s="15"/>
      <c r="L1953" s="15"/>
      <c r="M1953" s="18"/>
      <c r="N1953" s="18"/>
    </row>
    <row r="1954">
      <c r="A1954" s="15"/>
      <c r="B1954" s="15"/>
      <c r="C1954" s="17"/>
      <c r="D1954" s="15"/>
      <c r="E1954" s="15"/>
      <c r="F1954" s="15"/>
      <c r="G1954" s="15"/>
      <c r="H1954" s="15"/>
      <c r="I1954" s="15"/>
      <c r="J1954" s="15"/>
      <c r="K1954" s="15"/>
      <c r="L1954" s="15"/>
      <c r="M1954" s="18"/>
      <c r="N1954" s="18"/>
    </row>
    <row r="1955">
      <c r="A1955" s="15"/>
      <c r="B1955" s="15"/>
      <c r="C1955" s="17"/>
      <c r="D1955" s="15"/>
      <c r="E1955" s="15"/>
      <c r="F1955" s="15"/>
      <c r="G1955" s="15"/>
      <c r="H1955" s="15"/>
      <c r="I1955" s="15"/>
      <c r="J1955" s="15"/>
      <c r="K1955" s="15"/>
      <c r="L1955" s="15"/>
      <c r="M1955" s="18"/>
      <c r="N1955" s="18"/>
    </row>
    <row r="1956">
      <c r="A1956" s="15"/>
      <c r="B1956" s="15"/>
      <c r="C1956" s="17"/>
      <c r="D1956" s="15"/>
      <c r="E1956" s="15"/>
      <c r="F1956" s="15"/>
      <c r="G1956" s="15"/>
      <c r="H1956" s="15"/>
      <c r="I1956" s="15"/>
      <c r="J1956" s="15"/>
      <c r="K1956" s="15"/>
      <c r="L1956" s="15"/>
      <c r="M1956" s="18"/>
      <c r="N1956" s="18"/>
    </row>
    <row r="1957">
      <c r="A1957" s="15"/>
      <c r="B1957" s="15"/>
      <c r="C1957" s="17"/>
      <c r="D1957" s="15"/>
      <c r="E1957" s="15"/>
      <c r="F1957" s="15"/>
      <c r="G1957" s="15"/>
      <c r="H1957" s="15"/>
      <c r="I1957" s="15"/>
      <c r="J1957" s="15"/>
      <c r="K1957" s="15"/>
      <c r="L1957" s="15"/>
      <c r="M1957" s="18"/>
      <c r="N1957" s="18"/>
    </row>
    <row r="1958">
      <c r="A1958" s="15"/>
      <c r="B1958" s="15"/>
      <c r="C1958" s="17"/>
      <c r="D1958" s="15"/>
      <c r="E1958" s="15"/>
      <c r="F1958" s="15"/>
      <c r="G1958" s="15"/>
      <c r="H1958" s="15"/>
      <c r="I1958" s="15"/>
      <c r="J1958" s="15"/>
      <c r="K1958" s="15"/>
      <c r="L1958" s="15"/>
      <c r="M1958" s="18"/>
      <c r="N1958" s="18"/>
    </row>
    <row r="1959">
      <c r="A1959" s="15"/>
      <c r="B1959" s="15"/>
      <c r="C1959" s="17"/>
      <c r="D1959" s="15"/>
      <c r="E1959" s="15"/>
      <c r="F1959" s="15"/>
      <c r="G1959" s="15"/>
      <c r="H1959" s="15"/>
      <c r="I1959" s="15"/>
      <c r="J1959" s="15"/>
      <c r="K1959" s="15"/>
      <c r="L1959" s="15"/>
      <c r="M1959" s="18"/>
      <c r="N1959" s="18"/>
    </row>
    <row r="1960">
      <c r="A1960" s="15"/>
      <c r="B1960" s="15"/>
      <c r="C1960" s="17"/>
      <c r="D1960" s="15"/>
      <c r="E1960" s="15"/>
      <c r="F1960" s="15"/>
      <c r="G1960" s="15"/>
      <c r="H1960" s="15"/>
      <c r="I1960" s="15"/>
      <c r="J1960" s="15"/>
      <c r="K1960" s="15"/>
      <c r="L1960" s="15"/>
      <c r="M1960" s="18"/>
      <c r="N1960" s="18"/>
    </row>
    <row r="1961">
      <c r="A1961" s="15"/>
      <c r="B1961" s="15"/>
      <c r="C1961" s="17"/>
      <c r="D1961" s="15"/>
      <c r="E1961" s="15"/>
      <c r="F1961" s="15"/>
      <c r="G1961" s="15"/>
      <c r="H1961" s="15"/>
      <c r="I1961" s="15"/>
      <c r="J1961" s="15"/>
      <c r="K1961" s="15"/>
      <c r="L1961" s="15"/>
      <c r="M1961" s="18"/>
      <c r="N1961" s="18"/>
    </row>
    <row r="1962">
      <c r="A1962" s="15"/>
      <c r="B1962" s="15"/>
      <c r="C1962" s="17"/>
      <c r="D1962" s="15"/>
      <c r="E1962" s="15"/>
      <c r="F1962" s="15"/>
      <c r="G1962" s="15"/>
      <c r="H1962" s="15"/>
      <c r="I1962" s="15"/>
      <c r="J1962" s="15"/>
      <c r="K1962" s="15"/>
      <c r="L1962" s="15"/>
      <c r="M1962" s="18"/>
      <c r="N1962" s="18"/>
    </row>
    <row r="1963">
      <c r="A1963" s="15"/>
      <c r="B1963" s="15"/>
      <c r="C1963" s="17"/>
      <c r="D1963" s="15"/>
      <c r="E1963" s="15"/>
      <c r="F1963" s="15"/>
      <c r="G1963" s="15"/>
      <c r="H1963" s="15"/>
      <c r="I1963" s="15"/>
      <c r="J1963" s="15"/>
      <c r="K1963" s="15"/>
      <c r="L1963" s="15"/>
      <c r="M1963" s="18"/>
      <c r="N1963" s="18"/>
    </row>
    <row r="1964">
      <c r="A1964" s="15"/>
      <c r="B1964" s="15"/>
      <c r="C1964" s="17"/>
      <c r="D1964" s="15"/>
      <c r="E1964" s="15"/>
      <c r="F1964" s="15"/>
      <c r="G1964" s="15"/>
      <c r="H1964" s="15"/>
      <c r="I1964" s="15"/>
      <c r="J1964" s="15"/>
      <c r="K1964" s="15"/>
      <c r="L1964" s="15"/>
      <c r="M1964" s="18"/>
      <c r="N1964" s="18"/>
    </row>
    <row r="1965">
      <c r="A1965" s="15"/>
      <c r="B1965" s="15"/>
      <c r="C1965" s="17"/>
      <c r="D1965" s="15"/>
      <c r="E1965" s="15"/>
      <c r="F1965" s="15"/>
      <c r="G1965" s="15"/>
      <c r="H1965" s="15"/>
      <c r="I1965" s="15"/>
      <c r="J1965" s="15"/>
      <c r="K1965" s="15"/>
      <c r="L1965" s="15"/>
      <c r="M1965" s="18"/>
      <c r="N1965" s="18"/>
    </row>
    <row r="1966">
      <c r="A1966" s="15"/>
      <c r="B1966" s="15"/>
      <c r="C1966" s="17"/>
      <c r="D1966" s="15"/>
      <c r="E1966" s="15"/>
      <c r="F1966" s="15"/>
      <c r="G1966" s="15"/>
      <c r="H1966" s="15"/>
      <c r="I1966" s="15"/>
      <c r="J1966" s="15"/>
      <c r="K1966" s="15"/>
      <c r="L1966" s="15"/>
      <c r="M1966" s="18"/>
      <c r="N1966" s="18"/>
    </row>
    <row r="1967">
      <c r="A1967" s="15"/>
      <c r="B1967" s="15"/>
      <c r="C1967" s="17"/>
      <c r="D1967" s="15"/>
      <c r="E1967" s="15"/>
      <c r="F1967" s="15"/>
      <c r="G1967" s="15"/>
      <c r="H1967" s="15"/>
      <c r="I1967" s="15"/>
      <c r="J1967" s="15"/>
      <c r="K1967" s="15"/>
      <c r="L1967" s="15"/>
      <c r="M1967" s="18"/>
      <c r="N1967" s="18"/>
    </row>
    <row r="1968">
      <c r="A1968" s="15"/>
      <c r="B1968" s="15"/>
      <c r="C1968" s="17"/>
      <c r="D1968" s="15"/>
      <c r="E1968" s="15"/>
      <c r="F1968" s="15"/>
      <c r="G1968" s="15"/>
      <c r="H1968" s="15"/>
      <c r="I1968" s="15"/>
      <c r="J1968" s="15"/>
      <c r="K1968" s="15"/>
      <c r="L1968" s="15"/>
      <c r="M1968" s="18"/>
      <c r="N1968" s="18"/>
    </row>
    <row r="1969">
      <c r="A1969" s="15"/>
      <c r="B1969" s="15"/>
      <c r="C1969" s="17"/>
      <c r="D1969" s="15"/>
      <c r="E1969" s="15"/>
      <c r="F1969" s="15"/>
      <c r="G1969" s="15"/>
      <c r="H1969" s="15"/>
      <c r="I1969" s="15"/>
      <c r="J1969" s="15"/>
      <c r="K1969" s="15"/>
      <c r="L1969" s="15"/>
      <c r="M1969" s="18"/>
      <c r="N1969" s="18"/>
    </row>
    <row r="1970">
      <c r="A1970" s="15"/>
      <c r="B1970" s="15"/>
      <c r="C1970" s="17"/>
      <c r="D1970" s="15"/>
      <c r="E1970" s="15"/>
      <c r="F1970" s="15"/>
      <c r="G1970" s="15"/>
      <c r="H1970" s="15"/>
      <c r="I1970" s="15"/>
      <c r="J1970" s="15"/>
      <c r="K1970" s="15"/>
      <c r="L1970" s="15"/>
      <c r="M1970" s="18"/>
      <c r="N1970" s="18"/>
    </row>
    <row r="1971">
      <c r="A1971" s="15"/>
      <c r="B1971" s="15"/>
      <c r="C1971" s="17"/>
      <c r="D1971" s="15"/>
      <c r="E1971" s="15"/>
      <c r="F1971" s="15"/>
      <c r="G1971" s="15"/>
      <c r="H1971" s="15"/>
      <c r="I1971" s="15"/>
      <c r="J1971" s="15"/>
      <c r="K1971" s="15"/>
      <c r="L1971" s="15"/>
      <c r="M1971" s="18"/>
      <c r="N1971" s="18"/>
    </row>
    <row r="1972">
      <c r="A1972" s="15"/>
      <c r="B1972" s="15"/>
      <c r="C1972" s="17"/>
      <c r="D1972" s="15"/>
      <c r="E1972" s="15"/>
      <c r="F1972" s="15"/>
      <c r="G1972" s="15"/>
      <c r="H1972" s="15"/>
      <c r="I1972" s="15"/>
      <c r="J1972" s="15"/>
      <c r="K1972" s="15"/>
      <c r="L1972" s="15"/>
      <c r="M1972" s="18"/>
      <c r="N1972" s="18"/>
    </row>
    <row r="1973">
      <c r="A1973" s="15"/>
      <c r="B1973" s="15"/>
      <c r="C1973" s="17"/>
      <c r="D1973" s="15"/>
      <c r="E1973" s="15"/>
      <c r="F1973" s="15"/>
      <c r="G1973" s="15"/>
      <c r="H1973" s="15"/>
      <c r="I1973" s="15"/>
      <c r="J1973" s="15"/>
      <c r="K1973" s="15"/>
      <c r="L1973" s="15"/>
      <c r="M1973" s="18"/>
      <c r="N1973" s="18"/>
    </row>
    <row r="1974">
      <c r="A1974" s="15"/>
      <c r="B1974" s="15"/>
      <c r="C1974" s="17"/>
      <c r="D1974" s="15"/>
      <c r="E1974" s="15"/>
      <c r="F1974" s="15"/>
      <c r="G1974" s="15"/>
      <c r="H1974" s="15"/>
      <c r="I1974" s="15"/>
      <c r="J1974" s="15"/>
      <c r="K1974" s="15"/>
      <c r="L1974" s="15"/>
      <c r="M1974" s="18"/>
      <c r="N1974" s="18"/>
    </row>
    <row r="1975">
      <c r="A1975" s="15"/>
      <c r="B1975" s="15"/>
      <c r="C1975" s="17"/>
      <c r="D1975" s="15"/>
      <c r="E1975" s="15"/>
      <c r="F1975" s="15"/>
      <c r="G1975" s="15"/>
      <c r="H1975" s="15"/>
      <c r="I1975" s="15"/>
      <c r="J1975" s="15"/>
      <c r="K1975" s="15"/>
      <c r="L1975" s="15"/>
      <c r="M1975" s="18"/>
      <c r="N1975" s="18"/>
    </row>
    <row r="1976">
      <c r="A1976" s="15"/>
      <c r="B1976" s="15"/>
      <c r="C1976" s="17"/>
      <c r="D1976" s="15"/>
      <c r="E1976" s="15"/>
      <c r="F1976" s="15"/>
      <c r="G1976" s="15"/>
      <c r="H1976" s="15"/>
      <c r="I1976" s="15"/>
      <c r="J1976" s="15"/>
      <c r="K1976" s="15"/>
      <c r="L1976" s="15"/>
      <c r="M1976" s="18"/>
      <c r="N1976" s="18"/>
    </row>
    <row r="1977">
      <c r="A1977" s="15"/>
      <c r="B1977" s="15"/>
      <c r="C1977" s="17"/>
      <c r="D1977" s="15"/>
      <c r="E1977" s="15"/>
      <c r="F1977" s="15"/>
      <c r="G1977" s="15"/>
      <c r="H1977" s="15"/>
      <c r="I1977" s="15"/>
      <c r="J1977" s="15"/>
      <c r="K1977" s="15"/>
      <c r="L1977" s="15"/>
      <c r="M1977" s="18"/>
      <c r="N1977" s="18"/>
    </row>
    <row r="1978">
      <c r="A1978" s="15"/>
      <c r="B1978" s="15"/>
      <c r="C1978" s="17"/>
      <c r="D1978" s="15"/>
      <c r="E1978" s="15"/>
      <c r="F1978" s="15"/>
      <c r="G1978" s="15"/>
      <c r="H1978" s="15"/>
      <c r="I1978" s="15"/>
      <c r="J1978" s="15"/>
      <c r="K1978" s="15"/>
      <c r="L1978" s="15"/>
      <c r="M1978" s="18"/>
      <c r="N1978" s="18"/>
    </row>
    <row r="1979">
      <c r="A1979" s="15"/>
      <c r="B1979" s="15"/>
      <c r="C1979" s="17"/>
      <c r="D1979" s="15"/>
      <c r="E1979" s="15"/>
      <c r="F1979" s="15"/>
      <c r="G1979" s="15"/>
      <c r="H1979" s="15"/>
      <c r="I1979" s="15"/>
      <c r="J1979" s="15"/>
      <c r="K1979" s="15"/>
      <c r="L1979" s="15"/>
      <c r="M1979" s="18"/>
      <c r="N1979" s="18"/>
    </row>
    <row r="1980">
      <c r="A1980" s="15"/>
      <c r="B1980" s="15"/>
      <c r="C1980" s="17"/>
      <c r="D1980" s="15"/>
      <c r="E1980" s="15"/>
      <c r="F1980" s="15"/>
      <c r="G1980" s="15"/>
      <c r="H1980" s="15"/>
      <c r="I1980" s="15"/>
      <c r="J1980" s="15"/>
      <c r="K1980" s="15"/>
      <c r="L1980" s="15"/>
      <c r="M1980" s="18"/>
      <c r="N1980" s="18"/>
    </row>
    <row r="1981">
      <c r="A1981" s="15"/>
      <c r="B1981" s="15"/>
      <c r="C1981" s="17"/>
      <c r="D1981" s="15"/>
      <c r="E1981" s="15"/>
      <c r="F1981" s="15"/>
      <c r="G1981" s="15"/>
      <c r="H1981" s="15"/>
      <c r="I1981" s="15"/>
      <c r="J1981" s="15"/>
      <c r="K1981" s="15"/>
      <c r="L1981" s="15"/>
      <c r="M1981" s="18"/>
      <c r="N1981" s="18"/>
    </row>
    <row r="1982">
      <c r="A1982" s="15"/>
      <c r="B1982" s="15"/>
      <c r="C1982" s="17"/>
      <c r="D1982" s="15"/>
      <c r="E1982" s="15"/>
      <c r="F1982" s="15"/>
      <c r="G1982" s="15"/>
      <c r="H1982" s="15"/>
      <c r="I1982" s="15"/>
      <c r="J1982" s="15"/>
      <c r="K1982" s="15"/>
      <c r="L1982" s="15"/>
      <c r="M1982" s="18"/>
      <c r="N1982" s="18"/>
    </row>
    <row r="1983">
      <c r="A1983" s="15"/>
      <c r="B1983" s="15"/>
      <c r="C1983" s="17"/>
      <c r="D1983" s="15"/>
      <c r="E1983" s="15"/>
      <c r="F1983" s="15"/>
      <c r="G1983" s="15"/>
      <c r="H1983" s="15"/>
      <c r="I1983" s="15"/>
      <c r="J1983" s="15"/>
      <c r="K1983" s="15"/>
      <c r="L1983" s="15"/>
      <c r="M1983" s="18"/>
      <c r="N1983" s="18"/>
    </row>
    <row r="1984">
      <c r="A1984" s="15"/>
      <c r="B1984" s="15"/>
      <c r="C1984" s="17"/>
      <c r="D1984" s="15"/>
      <c r="E1984" s="15"/>
      <c r="F1984" s="15"/>
      <c r="G1984" s="15"/>
      <c r="H1984" s="15"/>
      <c r="I1984" s="15"/>
      <c r="J1984" s="15"/>
      <c r="K1984" s="15"/>
      <c r="L1984" s="15"/>
      <c r="M1984" s="18"/>
      <c r="N1984" s="18"/>
    </row>
    <row r="1985">
      <c r="A1985" s="15"/>
      <c r="B1985" s="15"/>
      <c r="C1985" s="17"/>
      <c r="D1985" s="15"/>
      <c r="E1985" s="15"/>
      <c r="F1985" s="15"/>
      <c r="G1985" s="15"/>
      <c r="H1985" s="15"/>
      <c r="I1985" s="15"/>
      <c r="J1985" s="15"/>
      <c r="K1985" s="15"/>
      <c r="L1985" s="15"/>
      <c r="M1985" s="18"/>
      <c r="N1985" s="18"/>
    </row>
    <row r="1986">
      <c r="A1986" s="15"/>
      <c r="B1986" s="15"/>
      <c r="C1986" s="17"/>
      <c r="D1986" s="15"/>
      <c r="E1986" s="15"/>
      <c r="F1986" s="15"/>
      <c r="G1986" s="15"/>
      <c r="H1986" s="15"/>
      <c r="I1986" s="15"/>
      <c r="J1986" s="15"/>
      <c r="K1986" s="15"/>
      <c r="L1986" s="15"/>
      <c r="M1986" s="18"/>
      <c r="N1986" s="18"/>
    </row>
    <row r="1987">
      <c r="A1987" s="15"/>
      <c r="B1987" s="15"/>
      <c r="C1987" s="17"/>
      <c r="D1987" s="15"/>
      <c r="E1987" s="15"/>
      <c r="F1987" s="15"/>
      <c r="G1987" s="15"/>
      <c r="H1987" s="15"/>
      <c r="I1987" s="15"/>
      <c r="J1987" s="15"/>
      <c r="K1987" s="15"/>
      <c r="L1987" s="15"/>
      <c r="M1987" s="18"/>
      <c r="N1987" s="18"/>
    </row>
    <row r="1988">
      <c r="A1988" s="15"/>
      <c r="B1988" s="15"/>
      <c r="C1988" s="17"/>
      <c r="D1988" s="15"/>
      <c r="E1988" s="15"/>
      <c r="F1988" s="15"/>
      <c r="G1988" s="15"/>
      <c r="H1988" s="15"/>
      <c r="I1988" s="15"/>
      <c r="J1988" s="15"/>
      <c r="K1988" s="15"/>
      <c r="L1988" s="15"/>
      <c r="M1988" s="18"/>
      <c r="N1988" s="18"/>
    </row>
    <row r="1989">
      <c r="A1989" s="15"/>
      <c r="B1989" s="15"/>
      <c r="C1989" s="17"/>
      <c r="D1989" s="15"/>
      <c r="E1989" s="15"/>
      <c r="F1989" s="15"/>
      <c r="G1989" s="15"/>
      <c r="H1989" s="15"/>
      <c r="I1989" s="15"/>
      <c r="J1989" s="15"/>
      <c r="K1989" s="15"/>
      <c r="L1989" s="15"/>
      <c r="M1989" s="18"/>
      <c r="N1989" s="18"/>
    </row>
    <row r="1990">
      <c r="A1990" s="15"/>
      <c r="B1990" s="15"/>
      <c r="C1990" s="17"/>
      <c r="D1990" s="15"/>
      <c r="E1990" s="15"/>
      <c r="F1990" s="15"/>
      <c r="G1990" s="15"/>
      <c r="H1990" s="15"/>
      <c r="I1990" s="15"/>
      <c r="J1990" s="15"/>
      <c r="K1990" s="15"/>
      <c r="L1990" s="15"/>
      <c r="M1990" s="18"/>
      <c r="N1990" s="18"/>
    </row>
    <row r="1991">
      <c r="A1991" s="15"/>
      <c r="B1991" s="15"/>
      <c r="C1991" s="17"/>
      <c r="D1991" s="15"/>
      <c r="E1991" s="15"/>
      <c r="F1991" s="15"/>
      <c r="G1991" s="15"/>
      <c r="H1991" s="15"/>
      <c r="I1991" s="15"/>
      <c r="J1991" s="15"/>
      <c r="K1991" s="15"/>
      <c r="L1991" s="15"/>
      <c r="M1991" s="18"/>
      <c r="N1991" s="18"/>
    </row>
    <row r="1992">
      <c r="A1992" s="15"/>
      <c r="B1992" s="15"/>
      <c r="C1992" s="17"/>
      <c r="D1992" s="15"/>
      <c r="E1992" s="15"/>
      <c r="F1992" s="15"/>
      <c r="G1992" s="15"/>
      <c r="H1992" s="15"/>
      <c r="I1992" s="15"/>
      <c r="J1992" s="15"/>
      <c r="K1992" s="15"/>
      <c r="L1992" s="15"/>
      <c r="M1992" s="18"/>
      <c r="N1992" s="18"/>
    </row>
    <row r="1993">
      <c r="A1993" s="15"/>
      <c r="B1993" s="15"/>
      <c r="C1993" s="17"/>
      <c r="D1993" s="15"/>
      <c r="E1993" s="15"/>
      <c r="F1993" s="15"/>
      <c r="G1993" s="15"/>
      <c r="H1993" s="15"/>
      <c r="I1993" s="15"/>
      <c r="J1993" s="15"/>
      <c r="K1993" s="15"/>
      <c r="L1993" s="15"/>
      <c r="M1993" s="18"/>
      <c r="N1993" s="18"/>
    </row>
    <row r="1994">
      <c r="A1994" s="15"/>
      <c r="B1994" s="15"/>
      <c r="C1994" s="17"/>
      <c r="D1994" s="15"/>
      <c r="E1994" s="15"/>
      <c r="F1994" s="15"/>
      <c r="G1994" s="15"/>
      <c r="H1994" s="15"/>
      <c r="I1994" s="15"/>
      <c r="J1994" s="15"/>
      <c r="K1994" s="15"/>
      <c r="L1994" s="15"/>
      <c r="M1994" s="18"/>
      <c r="N1994" s="18"/>
    </row>
    <row r="1995">
      <c r="A1995" s="15"/>
      <c r="B1995" s="15"/>
      <c r="C1995" s="17"/>
      <c r="D1995" s="15"/>
      <c r="E1995" s="15"/>
      <c r="F1995" s="15"/>
      <c r="G1995" s="15"/>
      <c r="H1995" s="15"/>
      <c r="I1995" s="15"/>
      <c r="J1995" s="15"/>
      <c r="K1995" s="15"/>
      <c r="L1995" s="15"/>
      <c r="M1995" s="18"/>
      <c r="N1995" s="18"/>
    </row>
    <row r="1996">
      <c r="A1996" s="15"/>
      <c r="B1996" s="15"/>
      <c r="C1996" s="17"/>
      <c r="D1996" s="15"/>
      <c r="E1996" s="15"/>
      <c r="F1996" s="15"/>
      <c r="G1996" s="15"/>
      <c r="H1996" s="15"/>
      <c r="I1996" s="15"/>
      <c r="J1996" s="15"/>
      <c r="K1996" s="15"/>
      <c r="L1996" s="15"/>
      <c r="M1996" s="18"/>
      <c r="N1996" s="18"/>
    </row>
    <row r="1997">
      <c r="A1997" s="15"/>
      <c r="B1997" s="15"/>
      <c r="C1997" s="17"/>
      <c r="D1997" s="15"/>
      <c r="E1997" s="15"/>
      <c r="F1997" s="15"/>
      <c r="G1997" s="15"/>
      <c r="H1997" s="15"/>
      <c r="I1997" s="15"/>
      <c r="J1997" s="15"/>
      <c r="K1997" s="15"/>
      <c r="L1997" s="15"/>
      <c r="M1997" s="18"/>
      <c r="N1997" s="18"/>
    </row>
    <row r="1998">
      <c r="A1998" s="15"/>
      <c r="B1998" s="15"/>
      <c r="C1998" s="17"/>
      <c r="D1998" s="15"/>
      <c r="E1998" s="15"/>
      <c r="F1998" s="15"/>
      <c r="G1998" s="15"/>
      <c r="H1998" s="15"/>
      <c r="I1998" s="15"/>
      <c r="J1998" s="15"/>
      <c r="K1998" s="15"/>
      <c r="L1998" s="15"/>
      <c r="M1998" s="18"/>
      <c r="N1998" s="18"/>
    </row>
    <row r="1999">
      <c r="A1999" s="15"/>
      <c r="B1999" s="15"/>
      <c r="C1999" s="17"/>
      <c r="D1999" s="15"/>
      <c r="E1999" s="15"/>
      <c r="F1999" s="15"/>
      <c r="G1999" s="15"/>
      <c r="H1999" s="15"/>
      <c r="I1999" s="15"/>
      <c r="J1999" s="15"/>
      <c r="K1999" s="15"/>
      <c r="L1999" s="15"/>
      <c r="M1999" s="18"/>
      <c r="N1999" s="18"/>
    </row>
    <row r="2000">
      <c r="A2000" s="15"/>
      <c r="B2000" s="15"/>
      <c r="C2000" s="17"/>
      <c r="D2000" s="15"/>
      <c r="E2000" s="15"/>
      <c r="F2000" s="15"/>
      <c r="G2000" s="15"/>
      <c r="H2000" s="15"/>
      <c r="I2000" s="15"/>
      <c r="J2000" s="15"/>
      <c r="K2000" s="15"/>
      <c r="L2000" s="15"/>
      <c r="M2000" s="18"/>
      <c r="N2000" s="18"/>
    </row>
    <row r="2001">
      <c r="A2001" s="15"/>
      <c r="B2001" s="15"/>
      <c r="C2001" s="17"/>
      <c r="D2001" s="15"/>
      <c r="E2001" s="15"/>
      <c r="F2001" s="15"/>
      <c r="G2001" s="15"/>
      <c r="H2001" s="15"/>
      <c r="I2001" s="15"/>
      <c r="J2001" s="15"/>
      <c r="K2001" s="15"/>
      <c r="L2001" s="15"/>
      <c r="M2001" s="18"/>
      <c r="N2001" s="18"/>
    </row>
    <row r="2002">
      <c r="A2002" s="15"/>
      <c r="B2002" s="15"/>
      <c r="C2002" s="17"/>
      <c r="D2002" s="15"/>
      <c r="E2002" s="15"/>
      <c r="F2002" s="15"/>
      <c r="G2002" s="15"/>
      <c r="H2002" s="15"/>
      <c r="I2002" s="15"/>
      <c r="J2002" s="15"/>
      <c r="K2002" s="15"/>
      <c r="L2002" s="15"/>
      <c r="M2002" s="18"/>
      <c r="N2002" s="18"/>
    </row>
    <row r="2003">
      <c r="A2003" s="15"/>
      <c r="B2003" s="15"/>
      <c r="C2003" s="17"/>
      <c r="D2003" s="15"/>
      <c r="E2003" s="15"/>
      <c r="F2003" s="15"/>
      <c r="G2003" s="15"/>
      <c r="H2003" s="15"/>
      <c r="I2003" s="15"/>
      <c r="J2003" s="15"/>
      <c r="K2003" s="15"/>
      <c r="L2003" s="15"/>
      <c r="M2003" s="18"/>
      <c r="N2003" s="18"/>
    </row>
    <row r="2004">
      <c r="A2004" s="15"/>
      <c r="B2004" s="15"/>
      <c r="C2004" s="17"/>
      <c r="D2004" s="15"/>
      <c r="E2004" s="15"/>
      <c r="F2004" s="15"/>
      <c r="G2004" s="15"/>
      <c r="H2004" s="15"/>
      <c r="I2004" s="15"/>
      <c r="J2004" s="15"/>
      <c r="K2004" s="15"/>
      <c r="L2004" s="15"/>
      <c r="M2004" s="18"/>
      <c r="N2004" s="18"/>
    </row>
    <row r="2005">
      <c r="A2005" s="15"/>
      <c r="B2005" s="15"/>
      <c r="C2005" s="17"/>
      <c r="D2005" s="15"/>
      <c r="E2005" s="15"/>
      <c r="F2005" s="15"/>
      <c r="G2005" s="15"/>
      <c r="H2005" s="15"/>
      <c r="I2005" s="15"/>
      <c r="J2005" s="15"/>
      <c r="K2005" s="15"/>
      <c r="L2005" s="15"/>
      <c r="M2005" s="18"/>
      <c r="N2005" s="18"/>
    </row>
    <row r="2006">
      <c r="A2006" s="15"/>
      <c r="B2006" s="15"/>
      <c r="C2006" s="17"/>
      <c r="D2006" s="15"/>
      <c r="E2006" s="15"/>
      <c r="F2006" s="15"/>
      <c r="G2006" s="15"/>
      <c r="H2006" s="15"/>
      <c r="I2006" s="15"/>
      <c r="J2006" s="15"/>
      <c r="K2006" s="15"/>
      <c r="L2006" s="15"/>
      <c r="M2006" s="18"/>
      <c r="N2006" s="18"/>
    </row>
  </sheetData>
  <autoFilter ref="$A$1:$N$1408">
    <filterColumn colId="8">
      <filters>
        <filter val="-"/>
      </filters>
    </filterColumn>
  </autoFil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33</v>
      </c>
      <c r="B1" s="3">
        <f>countif($I$2:$I$118,A1)</f>
        <v>0</v>
      </c>
      <c r="C1" s="20" t="str">
        <f t="shared" ref="C1:C9" si="1">B1/$Q$12</f>
        <v>#DIV/0!</v>
      </c>
    </row>
    <row r="2">
      <c r="A2" s="6" t="s">
        <v>34</v>
      </c>
      <c r="B2" s="6">
        <v>31.0</v>
      </c>
      <c r="C2" s="20" t="str">
        <f t="shared" si="1"/>
        <v>#DIV/0!</v>
      </c>
    </row>
    <row r="3">
      <c r="A3" s="6" t="s">
        <v>35</v>
      </c>
      <c r="B3" s="3">
        <f t="shared" ref="B3:B9" si="2">countif($I$2:$I$118,A3)</f>
        <v>0</v>
      </c>
      <c r="C3" s="20" t="str">
        <f t="shared" si="1"/>
        <v>#DIV/0!</v>
      </c>
    </row>
    <row r="4">
      <c r="A4" s="6" t="s">
        <v>36</v>
      </c>
      <c r="B4" s="3">
        <f t="shared" si="2"/>
        <v>0</v>
      </c>
      <c r="C4" s="20" t="str">
        <f t="shared" si="1"/>
        <v>#DIV/0!</v>
      </c>
    </row>
    <row r="5">
      <c r="A5" s="6" t="s">
        <v>37</v>
      </c>
      <c r="B5" s="3">
        <f t="shared" si="2"/>
        <v>0</v>
      </c>
      <c r="C5" s="20" t="str">
        <f t="shared" si="1"/>
        <v>#DIV/0!</v>
      </c>
    </row>
    <row r="6">
      <c r="A6" s="6" t="s">
        <v>38</v>
      </c>
      <c r="B6" s="3">
        <f t="shared" si="2"/>
        <v>0</v>
      </c>
      <c r="C6" s="20" t="str">
        <f t="shared" si="1"/>
        <v>#DIV/0!</v>
      </c>
    </row>
    <row r="7">
      <c r="A7" s="6" t="s">
        <v>39</v>
      </c>
      <c r="B7" s="3">
        <f t="shared" si="2"/>
        <v>0</v>
      </c>
      <c r="C7" s="20" t="str">
        <f t="shared" si="1"/>
        <v>#DIV/0!</v>
      </c>
    </row>
    <row r="8">
      <c r="A8" s="6" t="s">
        <v>40</v>
      </c>
      <c r="B8" s="3">
        <f t="shared" si="2"/>
        <v>0</v>
      </c>
      <c r="C8" s="20" t="str">
        <f t="shared" si="1"/>
        <v>#DIV/0!</v>
      </c>
    </row>
    <row r="9">
      <c r="A9" s="6" t="s">
        <v>41</v>
      </c>
      <c r="B9" s="3">
        <f t="shared" si="2"/>
        <v>0</v>
      </c>
      <c r="C9" s="20" t="str">
        <f t="shared" si="1"/>
        <v>#DIV/0!</v>
      </c>
    </row>
    <row r="10">
      <c r="A10" s="6" t="s">
        <v>42</v>
      </c>
      <c r="B10" s="3">
        <f t="shared" ref="B10:C10" si="3">SUM(B1:B9)</f>
        <v>31</v>
      </c>
      <c r="C10" s="20" t="str">
        <f t="shared" si="3"/>
        <v>#DIV/0!</v>
      </c>
    </row>
    <row r="11">
      <c r="B11" s="6">
        <v>114.0</v>
      </c>
      <c r="C11" s="20"/>
    </row>
    <row r="12">
      <c r="C12" s="20"/>
    </row>
    <row r="13">
      <c r="A13" s="6" t="s">
        <v>43</v>
      </c>
      <c r="B13" s="6">
        <v>114.0</v>
      </c>
      <c r="C13" s="20"/>
    </row>
    <row r="14">
      <c r="A14" s="6" t="s">
        <v>44</v>
      </c>
      <c r="B14" s="6">
        <v>91.0</v>
      </c>
      <c r="C14" s="20"/>
    </row>
    <row r="15">
      <c r="A15" s="6" t="s">
        <v>45</v>
      </c>
      <c r="B15" s="6">
        <v>40.0</v>
      </c>
      <c r="C15" s="20"/>
    </row>
    <row r="16">
      <c r="A16" s="6" t="s">
        <v>46</v>
      </c>
      <c r="B16" s="6">
        <v>27.0</v>
      </c>
      <c r="C16" s="20"/>
    </row>
    <row r="17">
      <c r="A17" s="6" t="s">
        <v>36</v>
      </c>
      <c r="B17" s="6">
        <v>296.0</v>
      </c>
      <c r="C17" s="20"/>
    </row>
  </sheetData>
  <drawing r:id="rId1"/>
</worksheet>
</file>